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ivotTables/pivotTable1.xml" ContentType="application/vnd.openxmlformats-officedocument.spreadsheetml.pivotTable+xml"/>
  <Override PartName="/xl/drawings/drawing1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ulio\Desktop\Diagnostico y Desempeño\Proyecto Sempertex\Entrega Final\"/>
    </mc:Choice>
  </mc:AlternateContent>
  <bookViews>
    <workbookView xWindow="0" yWindow="0" windowWidth="20490" windowHeight="7620" tabRatio="830"/>
  </bookViews>
  <sheets>
    <sheet name="Graficos Final" sheetId="40" r:id="rId1"/>
    <sheet name="Realista" sheetId="36" r:id="rId2"/>
    <sheet name="Supuestos" sheetId="25" r:id="rId3"/>
    <sheet name="Optimista" sheetId="39" r:id="rId4"/>
    <sheet name="Pesimista" sheetId="37" r:id="rId5"/>
    <sheet name="Proyección Base" sheetId="29" r:id="rId6"/>
    <sheet name="Analisis Sectorial" sheetId="1" r:id="rId7"/>
    <sheet name="TIC" sheetId="31" r:id="rId8"/>
    <sheet name="TCS" sheetId="32" r:id="rId9"/>
    <sheet name="Flujo de Caja" sheetId="24" r:id="rId10"/>
    <sheet name="Ejercicio Deuda" sheetId="26" r:id="rId11"/>
    <sheet name="Evaluación Inversión PPE" sheetId="16" r:id="rId12"/>
    <sheet name="Evaluación Disminución Costo" sheetId="14" r:id="rId13"/>
    <sheet name="Costos Sempertex" sheetId="12" r:id="rId14"/>
    <sheet name="Gráficos II" sheetId="19" r:id="rId15"/>
    <sheet name="Gráficos III" sheetId="27" r:id="rId16"/>
    <sheet name="Ratios Latex de C." sheetId="7" r:id="rId17"/>
    <sheet name="Ratios Bombatex" sheetId="9" r:id="rId18"/>
    <sheet name="EF Sempertex 2011-2014 I" sheetId="10" r:id="rId19"/>
    <sheet name="EF Sempertex 2015 I" sheetId="11" r:id="rId20"/>
    <sheet name="EF Latex de C 2011-2015" sheetId="8" r:id="rId21"/>
    <sheet name="EF Bombatex 2011-2015" sheetId="6" r:id="rId22"/>
    <sheet name="EF Rumatex 2011-2015" sheetId="4" r:id="rId23"/>
    <sheet name="Ratios Rumatex" sheetId="3" r:id="rId24"/>
    <sheet name="CERTIFICADO1" sheetId="18" r:id="rId25"/>
    <sheet name="Resumen Exportación" sheetId="20" r:id="rId26"/>
    <sheet name="Detalle Exportación" sheetId="22" r:id="rId27"/>
    <sheet name="Detalle Importaciones" sheetId="21" r:id="rId28"/>
    <sheet name="Tasa de Cambio" sheetId="23" r:id="rId29"/>
    <sheet name="PIB" sheetId="33" r:id="rId30"/>
    <sheet name="1.3.1. Total nacional" sheetId="34" r:id="rId31"/>
  </sheets>
  <definedNames>
    <definedName name="_xlnm._FilterDatabase" localSheetId="26" hidden="1">'Detalle Exportación'!$A$3:$BI$702</definedName>
    <definedName name="_xlnm._FilterDatabase" localSheetId="27" hidden="1">'Detalle Importaciones'!$A$3:$EE$272</definedName>
    <definedName name="_xlnm._FilterDatabase" localSheetId="28" hidden="1">'Tasa de Cambio'!$A$8:$D$9043</definedName>
    <definedName name="_IMP1111" localSheetId="3">#REF!</definedName>
    <definedName name="_IMP1111" localSheetId="4">#REF!</definedName>
    <definedName name="_IMP1111" localSheetId="1">#REF!</definedName>
    <definedName name="_IMP1111">#REF!</definedName>
    <definedName name="_IMP1112" localSheetId="3">#REF!</definedName>
    <definedName name="_IMP1112" localSheetId="4">#REF!</definedName>
    <definedName name="_IMP1112" localSheetId="1">#REF!</definedName>
    <definedName name="_IMP1112">#REF!</definedName>
    <definedName name="_IMP1113" localSheetId="3">#REF!</definedName>
    <definedName name="_IMP1113" localSheetId="4">#REF!</definedName>
    <definedName name="_IMP1113" localSheetId="1">#REF!</definedName>
    <definedName name="_IMP1113">#REF!</definedName>
    <definedName name="_IMP1114" localSheetId="3">#REF!</definedName>
    <definedName name="_IMP1114" localSheetId="4">#REF!</definedName>
    <definedName name="_IMP1114" localSheetId="1">#REF!</definedName>
    <definedName name="_IMP1114">#REF!</definedName>
    <definedName name="_IMP1115" localSheetId="3">#REF!</definedName>
    <definedName name="_IMP1115" localSheetId="4">#REF!</definedName>
    <definedName name="_IMP1115" localSheetId="1">#REF!</definedName>
    <definedName name="_IMP1115">#REF!</definedName>
    <definedName name="_IMP1116" localSheetId="3">#REF!</definedName>
    <definedName name="_IMP1116" localSheetId="4">#REF!</definedName>
    <definedName name="_IMP1116" localSheetId="1">#REF!</definedName>
    <definedName name="_IMP1116">#REF!</definedName>
    <definedName name="_IMP1132" localSheetId="3">#REF!</definedName>
    <definedName name="_IMP1132" localSheetId="4">#REF!</definedName>
    <definedName name="_IMP1132" localSheetId="1">#REF!</definedName>
    <definedName name="_IMP1132">#REF!</definedName>
    <definedName name="_IMP1133" localSheetId="3">#REF!</definedName>
    <definedName name="_IMP1133" localSheetId="4">#REF!</definedName>
    <definedName name="_IMP1133" localSheetId="1">#REF!</definedName>
    <definedName name="_IMP1133">#REF!</definedName>
    <definedName name="_Regression_Int" localSheetId="24" hidden="1">1</definedName>
    <definedName name="_Regression_Int" localSheetId="29" hidden="1">1</definedName>
    <definedName name="A_impresión_IM" localSheetId="29">PIB!$A$1:$G$29</definedName>
    <definedName name="_xlnm.Print_Area" localSheetId="29">PIB!$A$1:$G$30</definedName>
    <definedName name="HTML_CodePage" hidden="1">1252</definedName>
    <definedName name="HTML_Control" hidden="1">{"'CERTIFICADO1'!$A$1:$G$221"}</definedName>
    <definedName name="HTML_Description" hidden="1">""</definedName>
    <definedName name="HTML_Email" hidden="1">""</definedName>
    <definedName name="HTML_Header" hidden="1">""</definedName>
    <definedName name="HTML_LastUpdate" hidden="1">"2/07/2002"</definedName>
    <definedName name="HTML_LineAfter" hidden="1">FALSE</definedName>
    <definedName name="HTML_LineBefore" hidden="1">FALSE</definedName>
    <definedName name="HTML_Name" hidden="1">"Superintendencia Bancaria"</definedName>
    <definedName name="HTML_OBDlg2" hidden="1">TRUE</definedName>
    <definedName name="HTML_OBDlg4" hidden="1">TRUE</definedName>
    <definedName name="HTML_OS" hidden="1">0</definedName>
    <definedName name="HTML_PathFile" hidden="1">"C:\Mis documentos\Marlen\Marlen\TASASBCTELASIG\certificacion-internet\PRUEBA 1.htm"</definedName>
    <definedName name="HTML_Title" hidden="1">""</definedName>
    <definedName name="IMPRESION" localSheetId="3">#REF!</definedName>
    <definedName name="IMPRESION" localSheetId="4">#REF!</definedName>
    <definedName name="IMPRESION" localSheetId="1">#REF!</definedName>
    <definedName name="IMPRESION">#REF!</definedName>
  </definedNames>
  <calcPr calcId="162913"/>
  <pivotCaches>
    <pivotCache cacheId="0" r:id="rId32"/>
  </pivotCaches>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D24" i="40" l="1"/>
  <c r="E24" i="40"/>
  <c r="F24" i="40"/>
  <c r="G24" i="40"/>
  <c r="H24" i="40"/>
  <c r="C24" i="40"/>
  <c r="E23" i="40"/>
  <c r="F23" i="40" s="1"/>
  <c r="G23" i="40" s="1"/>
  <c r="H23" i="40" s="1"/>
  <c r="D23" i="40"/>
  <c r="D5" i="40"/>
  <c r="E5" i="40"/>
  <c r="F5" i="40"/>
  <c r="G5" i="40"/>
  <c r="H5" i="40"/>
  <c r="C5" i="40"/>
  <c r="D4" i="40"/>
  <c r="E4" i="40"/>
  <c r="F4" i="40"/>
  <c r="G4" i="40"/>
  <c r="H4" i="40"/>
  <c r="C4" i="40"/>
  <c r="E3" i="40"/>
  <c r="F3" i="40" s="1"/>
  <c r="G3" i="40" s="1"/>
  <c r="H3" i="40" s="1"/>
  <c r="D3" i="40"/>
  <c r="E97" i="25" l="1"/>
  <c r="E80" i="25"/>
  <c r="C177" i="40" l="1"/>
  <c r="C176" i="40"/>
  <c r="C175" i="40"/>
  <c r="D174" i="40"/>
  <c r="E174" i="40" s="1"/>
  <c r="F174" i="40" s="1"/>
  <c r="G174" i="40" s="1"/>
  <c r="H174" i="40" s="1"/>
  <c r="C155" i="40"/>
  <c r="C154" i="40"/>
  <c r="C153" i="40"/>
  <c r="D152" i="40"/>
  <c r="E152" i="40" s="1"/>
  <c r="F152" i="40" s="1"/>
  <c r="G152" i="40" s="1"/>
  <c r="H152" i="40" s="1"/>
  <c r="C132" i="40" l="1"/>
  <c r="D130" i="40"/>
  <c r="E130" i="40" s="1"/>
  <c r="F130" i="40" s="1"/>
  <c r="G130" i="40" s="1"/>
  <c r="H130" i="40" s="1"/>
  <c r="C110" i="40"/>
  <c r="D108" i="40"/>
  <c r="E108" i="40" s="1"/>
  <c r="F108" i="40" s="1"/>
  <c r="G108" i="40" s="1"/>
  <c r="H108" i="40" s="1"/>
  <c r="C89" i="40"/>
  <c r="C88" i="40"/>
  <c r="C87" i="40"/>
  <c r="D86" i="40"/>
  <c r="E86" i="40" s="1"/>
  <c r="F86" i="40" s="1"/>
  <c r="G86" i="40" s="1"/>
  <c r="H86" i="40" s="1"/>
  <c r="C67" i="40"/>
  <c r="D65" i="40"/>
  <c r="E65" i="40" s="1"/>
  <c r="F65" i="40" s="1"/>
  <c r="G65" i="40" s="1"/>
  <c r="H65" i="40" s="1"/>
  <c r="D43" i="40"/>
  <c r="E43" i="40" s="1"/>
  <c r="F43" i="40" s="1"/>
  <c r="G43" i="40" s="1"/>
  <c r="H43" i="40" s="1"/>
  <c r="F90" i="25"/>
  <c r="E5" i="39"/>
  <c r="F5" i="39"/>
  <c r="G5" i="39"/>
  <c r="H5" i="39"/>
  <c r="D5" i="39"/>
  <c r="C149" i="39"/>
  <c r="C95" i="39"/>
  <c r="D91" i="39"/>
  <c r="C81" i="39"/>
  <c r="C78" i="39"/>
  <c r="C75" i="39"/>
  <c r="C74" i="39"/>
  <c r="C65" i="39"/>
  <c r="C80" i="39" s="1"/>
  <c r="C62" i="39"/>
  <c r="D57" i="39"/>
  <c r="E57" i="39" s="1"/>
  <c r="F57" i="39" s="1"/>
  <c r="G57" i="39" s="1"/>
  <c r="H57" i="39" s="1"/>
  <c r="C57" i="39"/>
  <c r="C55" i="39"/>
  <c r="C54" i="39"/>
  <c r="C72" i="39" s="1"/>
  <c r="C53" i="39"/>
  <c r="C52" i="39"/>
  <c r="C51" i="39"/>
  <c r="C49" i="39"/>
  <c r="C48" i="39"/>
  <c r="H40" i="39"/>
  <c r="D40" i="39"/>
  <c r="E40" i="39" s="1"/>
  <c r="F40" i="39" s="1"/>
  <c r="G40" i="39" s="1"/>
  <c r="C40" i="39"/>
  <c r="D39" i="39"/>
  <c r="E39" i="39" s="1"/>
  <c r="F39" i="39" s="1"/>
  <c r="G39" i="39" s="1"/>
  <c r="H39" i="39" s="1"/>
  <c r="C39" i="39"/>
  <c r="C37" i="39"/>
  <c r="D37" i="39" s="1"/>
  <c r="C36" i="39"/>
  <c r="C33" i="39"/>
  <c r="D29" i="39"/>
  <c r="C29" i="39"/>
  <c r="D28" i="39"/>
  <c r="C28" i="39"/>
  <c r="C27" i="39"/>
  <c r="F25" i="39"/>
  <c r="G25" i="39" s="1"/>
  <c r="H25" i="39" s="1"/>
  <c r="D25" i="39"/>
  <c r="E25" i="39" s="1"/>
  <c r="C25" i="39"/>
  <c r="C24" i="39"/>
  <c r="C23" i="39" s="1"/>
  <c r="C22" i="39" s="1"/>
  <c r="C21" i="39"/>
  <c r="C20" i="39"/>
  <c r="C19" i="39"/>
  <c r="C98" i="39" s="1"/>
  <c r="D95" i="39" s="1"/>
  <c r="C18" i="39"/>
  <c r="C17" i="39"/>
  <c r="C111" i="39" s="1"/>
  <c r="C14" i="39"/>
  <c r="C6" i="39"/>
  <c r="C60" i="39" s="1"/>
  <c r="G2" i="39"/>
  <c r="H2" i="39" s="1"/>
  <c r="E2" i="39"/>
  <c r="F2" i="39" s="1"/>
  <c r="D2" i="39"/>
  <c r="D97" i="25"/>
  <c r="C7" i="39" s="1"/>
  <c r="F99" i="25"/>
  <c r="G99" i="25" s="1"/>
  <c r="H99" i="25" s="1"/>
  <c r="I99" i="25" s="1"/>
  <c r="E90" i="25"/>
  <c r="D93" i="39" s="1"/>
  <c r="E88" i="25"/>
  <c r="D92" i="39" s="1"/>
  <c r="E91" i="25"/>
  <c r="D5" i="37"/>
  <c r="F82" i="25"/>
  <c r="E5" i="37" s="1"/>
  <c r="D80" i="25"/>
  <c r="I80" i="25" s="1"/>
  <c r="H7" i="37" s="1"/>
  <c r="E73" i="25"/>
  <c r="E71" i="25"/>
  <c r="C95" i="37"/>
  <c r="C81" i="37"/>
  <c r="C78" i="37"/>
  <c r="C75" i="37"/>
  <c r="C74" i="37"/>
  <c r="C65" i="37"/>
  <c r="C80" i="37" s="1"/>
  <c r="C62" i="37"/>
  <c r="D57" i="37"/>
  <c r="E57" i="37" s="1"/>
  <c r="F57" i="37" s="1"/>
  <c r="G57" i="37" s="1"/>
  <c r="H57" i="37" s="1"/>
  <c r="C57" i="37"/>
  <c r="C55" i="37"/>
  <c r="C54" i="37"/>
  <c r="C72" i="37" s="1"/>
  <c r="C53" i="37"/>
  <c r="C52" i="37"/>
  <c r="C51" i="37"/>
  <c r="C49" i="37"/>
  <c r="C48" i="37"/>
  <c r="C40" i="37"/>
  <c r="D40" i="37" s="1"/>
  <c r="E40" i="37" s="1"/>
  <c r="F40" i="37" s="1"/>
  <c r="G40" i="37" s="1"/>
  <c r="H40" i="37" s="1"/>
  <c r="C39" i="37"/>
  <c r="C37" i="37"/>
  <c r="D37" i="37" s="1"/>
  <c r="D36" i="37"/>
  <c r="C36" i="37"/>
  <c r="D33" i="37"/>
  <c r="C33" i="37"/>
  <c r="C32" i="37"/>
  <c r="C29" i="37"/>
  <c r="D29" i="37" s="1"/>
  <c r="C28" i="37"/>
  <c r="C25" i="37"/>
  <c r="D25" i="37" s="1"/>
  <c r="E25" i="37" s="1"/>
  <c r="F25" i="37" s="1"/>
  <c r="G25" i="37" s="1"/>
  <c r="H25" i="37" s="1"/>
  <c r="C24" i="37"/>
  <c r="C23" i="37"/>
  <c r="C22" i="37" s="1"/>
  <c r="C21" i="37"/>
  <c r="C20" i="37"/>
  <c r="C19" i="37"/>
  <c r="C18" i="37"/>
  <c r="C14" i="37"/>
  <c r="D14" i="37" s="1"/>
  <c r="C6" i="37"/>
  <c r="E2" i="37"/>
  <c r="F2" i="37" s="1"/>
  <c r="G2" i="37" s="1"/>
  <c r="H2" i="37" s="1"/>
  <c r="D2" i="37"/>
  <c r="D93" i="36"/>
  <c r="D92" i="36"/>
  <c r="C95" i="36"/>
  <c r="C81" i="36"/>
  <c r="C78" i="36"/>
  <c r="C75" i="36"/>
  <c r="C74" i="36"/>
  <c r="C65" i="36"/>
  <c r="C80" i="36" s="1"/>
  <c r="C62" i="36"/>
  <c r="C57" i="36"/>
  <c r="D57" i="36" s="1"/>
  <c r="E57" i="36" s="1"/>
  <c r="F57" i="36" s="1"/>
  <c r="G57" i="36" s="1"/>
  <c r="H57" i="36" s="1"/>
  <c r="C55" i="36"/>
  <c r="C54" i="36"/>
  <c r="C72" i="36" s="1"/>
  <c r="C53" i="36"/>
  <c r="C52" i="36"/>
  <c r="C51" i="36"/>
  <c r="C49" i="36"/>
  <c r="C48" i="36"/>
  <c r="D40" i="36"/>
  <c r="E40" i="36" s="1"/>
  <c r="F40" i="36" s="1"/>
  <c r="G40" i="36" s="1"/>
  <c r="H40" i="36" s="1"/>
  <c r="C40" i="36"/>
  <c r="C39" i="36"/>
  <c r="D39" i="36" s="1"/>
  <c r="E39" i="36" s="1"/>
  <c r="F39" i="36" s="1"/>
  <c r="G39" i="36" s="1"/>
  <c r="H39" i="36" s="1"/>
  <c r="C37" i="36"/>
  <c r="D37" i="36" s="1"/>
  <c r="C36" i="36"/>
  <c r="D36" i="36" s="1"/>
  <c r="C33" i="36"/>
  <c r="D33" i="36" s="1"/>
  <c r="C32" i="36"/>
  <c r="C29" i="36"/>
  <c r="D29" i="36" s="1"/>
  <c r="C28" i="36"/>
  <c r="C27" i="36"/>
  <c r="C25" i="36"/>
  <c r="D25" i="36" s="1"/>
  <c r="E25" i="36" s="1"/>
  <c r="F25" i="36" s="1"/>
  <c r="G25" i="36" s="1"/>
  <c r="H25" i="36" s="1"/>
  <c r="C24" i="36"/>
  <c r="C23" i="36" s="1"/>
  <c r="C22" i="36" s="1"/>
  <c r="C21" i="36"/>
  <c r="C20" i="36"/>
  <c r="C19" i="36"/>
  <c r="C98" i="36" s="1"/>
  <c r="D95" i="36" s="1"/>
  <c r="C18" i="36"/>
  <c r="C14" i="36"/>
  <c r="D14" i="36" s="1"/>
  <c r="C6" i="36"/>
  <c r="D6" i="36" s="1"/>
  <c r="D4" i="36"/>
  <c r="G2" i="36"/>
  <c r="H2" i="36" s="1"/>
  <c r="D2" i="36"/>
  <c r="E2" i="36" s="1"/>
  <c r="F2" i="36" s="1"/>
  <c r="C143" i="29"/>
  <c r="G90" i="25" l="1"/>
  <c r="F93" i="39" s="1"/>
  <c r="E93" i="39"/>
  <c r="D92" i="37"/>
  <c r="D91" i="37" s="1"/>
  <c r="F71" i="25"/>
  <c r="G71" i="25" s="1"/>
  <c r="H71" i="25" s="1"/>
  <c r="I71" i="25" s="1"/>
  <c r="D93" i="37"/>
  <c r="F73" i="25"/>
  <c r="G73" i="25" s="1"/>
  <c r="H73" i="25" s="1"/>
  <c r="I73" i="25" s="1"/>
  <c r="E89" i="25"/>
  <c r="F91" i="25"/>
  <c r="F88" i="25"/>
  <c r="G97" i="25"/>
  <c r="F7" i="39" s="1"/>
  <c r="D7" i="39"/>
  <c r="F97" i="25"/>
  <c r="E7" i="39" s="1"/>
  <c r="I97" i="25"/>
  <c r="H7" i="39" s="1"/>
  <c r="H97" i="25"/>
  <c r="G7" i="39" s="1"/>
  <c r="H90" i="25"/>
  <c r="G91" i="25"/>
  <c r="F89" i="25"/>
  <c r="C16" i="39"/>
  <c r="C35" i="39"/>
  <c r="C138" i="39" s="1"/>
  <c r="D36" i="39"/>
  <c r="C77" i="39"/>
  <c r="C59" i="39"/>
  <c r="D14" i="39"/>
  <c r="C137" i="39"/>
  <c r="C32" i="39"/>
  <c r="D33" i="39"/>
  <c r="C96" i="39"/>
  <c r="C94" i="39" s="1"/>
  <c r="C135" i="39"/>
  <c r="D6" i="39"/>
  <c r="D60" i="39" s="1"/>
  <c r="D77" i="39" s="1"/>
  <c r="C142" i="39"/>
  <c r="C97" i="39"/>
  <c r="C93" i="39"/>
  <c r="C92" i="39"/>
  <c r="C101" i="39"/>
  <c r="C99" i="39"/>
  <c r="C50" i="39"/>
  <c r="C100" i="39"/>
  <c r="C87" i="39"/>
  <c r="C143" i="39"/>
  <c r="E28" i="39"/>
  <c r="C43" i="39"/>
  <c r="C88" i="39"/>
  <c r="D107" i="39"/>
  <c r="D175" i="40" s="1"/>
  <c r="D107" i="37"/>
  <c r="D177" i="40" s="1"/>
  <c r="E72" i="25"/>
  <c r="E74" i="25"/>
  <c r="G82" i="25"/>
  <c r="F5" i="37" s="1"/>
  <c r="H80" i="25"/>
  <c r="G7" i="37" s="1"/>
  <c r="G80" i="25"/>
  <c r="F7" i="37" s="1"/>
  <c r="D7" i="37"/>
  <c r="F80" i="25"/>
  <c r="E7" i="37" s="1"/>
  <c r="C7" i="37"/>
  <c r="D48" i="36"/>
  <c r="D53" i="36" s="1"/>
  <c r="H82" i="25"/>
  <c r="D32" i="37"/>
  <c r="E33" i="37"/>
  <c r="C98" i="37"/>
  <c r="C17" i="37"/>
  <c r="D39" i="37"/>
  <c r="E39" i="37" s="1"/>
  <c r="F39" i="37" s="1"/>
  <c r="G39" i="37" s="1"/>
  <c r="H39" i="37" s="1"/>
  <c r="C35" i="37"/>
  <c r="C138" i="37" s="1"/>
  <c r="E14" i="37"/>
  <c r="C149" i="37"/>
  <c r="C137" i="37"/>
  <c r="C27" i="37"/>
  <c r="C60" i="37"/>
  <c r="D28" i="37"/>
  <c r="D81" i="37"/>
  <c r="E36" i="37"/>
  <c r="C101" i="37"/>
  <c r="C99" i="37"/>
  <c r="C100" i="37"/>
  <c r="C92" i="37"/>
  <c r="C50" i="37"/>
  <c r="D6" i="37"/>
  <c r="C87" i="37"/>
  <c r="C88" i="37"/>
  <c r="C97" i="37"/>
  <c r="C93" i="37"/>
  <c r="E36" i="36"/>
  <c r="E81" i="36" s="1"/>
  <c r="D81" i="36"/>
  <c r="C88" i="36"/>
  <c r="C87" i="36"/>
  <c r="C17" i="36"/>
  <c r="E33" i="36"/>
  <c r="D32" i="36"/>
  <c r="E6" i="36"/>
  <c r="E14" i="36"/>
  <c r="C149" i="36"/>
  <c r="D28" i="36"/>
  <c r="C35" i="36"/>
  <c r="C138" i="36" s="1"/>
  <c r="C101" i="36"/>
  <c r="C97" i="36"/>
  <c r="C96" i="36" s="1"/>
  <c r="C94" i="36" s="1"/>
  <c r="C93" i="36"/>
  <c r="C60" i="36"/>
  <c r="C100" i="36"/>
  <c r="C92" i="36"/>
  <c r="C50" i="36"/>
  <c r="H91" i="25" l="1"/>
  <c r="G93" i="39"/>
  <c r="G88" i="25"/>
  <c r="E92" i="39"/>
  <c r="I90" i="25"/>
  <c r="E14" i="39"/>
  <c r="D81" i="39"/>
  <c r="E36" i="39"/>
  <c r="D59" i="39"/>
  <c r="C58" i="39"/>
  <c r="D135" i="39"/>
  <c r="E6" i="39"/>
  <c r="C127" i="39"/>
  <c r="C144" i="39"/>
  <c r="C133" i="39"/>
  <c r="J16" i="39"/>
  <c r="F28" i="39"/>
  <c r="C116" i="39"/>
  <c r="C56" i="39"/>
  <c r="K50" i="39"/>
  <c r="C106" i="39"/>
  <c r="C91" i="39"/>
  <c r="C107" i="39"/>
  <c r="D32" i="39"/>
  <c r="E33" i="39"/>
  <c r="C42" i="39"/>
  <c r="C102" i="39"/>
  <c r="D49" i="36"/>
  <c r="D50" i="36" s="1"/>
  <c r="L50" i="36" s="1"/>
  <c r="D55" i="36"/>
  <c r="D51" i="36"/>
  <c r="D18" i="36"/>
  <c r="D22" i="36"/>
  <c r="D100" i="36" s="1"/>
  <c r="D52" i="36"/>
  <c r="I82" i="25"/>
  <c r="H5" i="37" s="1"/>
  <c r="G5" i="37"/>
  <c r="C43" i="37"/>
  <c r="C142" i="37"/>
  <c r="C96" i="37"/>
  <c r="C94" i="37" s="1"/>
  <c r="C106" i="37" s="1"/>
  <c r="D95" i="37"/>
  <c r="E6" i="37"/>
  <c r="C91" i="37"/>
  <c r="C107" i="37"/>
  <c r="D60" i="37"/>
  <c r="E28" i="37"/>
  <c r="F14" i="37"/>
  <c r="E32" i="37"/>
  <c r="F33" i="37"/>
  <c r="C116" i="37"/>
  <c r="C56" i="37"/>
  <c r="K50" i="37"/>
  <c r="E81" i="37"/>
  <c r="F36" i="37"/>
  <c r="C59" i="37"/>
  <c r="C111" i="37"/>
  <c r="C16" i="37"/>
  <c r="F36" i="36"/>
  <c r="C116" i="36"/>
  <c r="C56" i="36"/>
  <c r="K50" i="36"/>
  <c r="C142" i="36"/>
  <c r="C59" i="36"/>
  <c r="C111" i="36"/>
  <c r="C16" i="36"/>
  <c r="C107" i="36"/>
  <c r="C106" i="36"/>
  <c r="C91" i="36"/>
  <c r="D60" i="36"/>
  <c r="E28" i="36"/>
  <c r="F6" i="36"/>
  <c r="F33" i="36"/>
  <c r="E32" i="36"/>
  <c r="F81" i="36"/>
  <c r="G36" i="36"/>
  <c r="C99" i="36"/>
  <c r="D17" i="36" s="1"/>
  <c r="D97" i="36"/>
  <c r="C137" i="36"/>
  <c r="F14" i="36"/>
  <c r="C43" i="36"/>
  <c r="D60" i="25"/>
  <c r="F58" i="25"/>
  <c r="E59" i="25"/>
  <c r="D58" i="25"/>
  <c r="D73" i="25" s="1"/>
  <c r="D56" i="25"/>
  <c r="D71" i="25" s="1"/>
  <c r="E57" i="25"/>
  <c r="F56" i="25"/>
  <c r="F92" i="39" l="1"/>
  <c r="H88" i="25"/>
  <c r="G89" i="25"/>
  <c r="E91" i="39"/>
  <c r="E107" i="39"/>
  <c r="E175" i="40" s="1"/>
  <c r="H93" i="39"/>
  <c r="D74" i="25"/>
  <c r="D90" i="25"/>
  <c r="D72" i="25"/>
  <c r="D88" i="25"/>
  <c r="I91" i="25"/>
  <c r="C126" i="39"/>
  <c r="C122" i="39"/>
  <c r="G28" i="39"/>
  <c r="D58" i="39"/>
  <c r="E59" i="39"/>
  <c r="C148" i="39"/>
  <c r="C112" i="39"/>
  <c r="K56" i="39"/>
  <c r="C117" i="39"/>
  <c r="C61" i="39"/>
  <c r="C71" i="39"/>
  <c r="E135" i="39"/>
  <c r="F6" i="39"/>
  <c r="F14" i="39"/>
  <c r="F33" i="39"/>
  <c r="E32" i="39"/>
  <c r="E81" i="39"/>
  <c r="F36" i="39"/>
  <c r="D19" i="36"/>
  <c r="D98" i="36" s="1"/>
  <c r="G58" i="25"/>
  <c r="E93" i="36"/>
  <c r="G56" i="25"/>
  <c r="E92" i="36"/>
  <c r="D59" i="25"/>
  <c r="D116" i="36"/>
  <c r="D57" i="25"/>
  <c r="D56" i="36"/>
  <c r="D117" i="36" s="1"/>
  <c r="E60" i="25"/>
  <c r="D75" i="25"/>
  <c r="D92" i="25" s="1"/>
  <c r="E92" i="25" s="1"/>
  <c r="C148" i="37"/>
  <c r="K56" i="37"/>
  <c r="C117" i="37"/>
  <c r="C112" i="37"/>
  <c r="F6" i="37"/>
  <c r="D59" i="37"/>
  <c r="C58" i="37"/>
  <c r="C61" i="37" s="1"/>
  <c r="G14" i="37"/>
  <c r="C144" i="37"/>
  <c r="C127" i="37"/>
  <c r="C133" i="37"/>
  <c r="J16" i="37"/>
  <c r="C42" i="37"/>
  <c r="C102" i="37"/>
  <c r="F81" i="37"/>
  <c r="G36" i="37"/>
  <c r="G33" i="37"/>
  <c r="F32" i="37"/>
  <c r="F28" i="37"/>
  <c r="C143" i="37"/>
  <c r="G6" i="36"/>
  <c r="D107" i="36"/>
  <c r="D176" i="40" s="1"/>
  <c r="D91" i="36"/>
  <c r="F28" i="36"/>
  <c r="D111" i="36"/>
  <c r="D74" i="36"/>
  <c r="D16" i="36"/>
  <c r="D99" i="36"/>
  <c r="D59" i="36"/>
  <c r="C58" i="36"/>
  <c r="C61" i="36" s="1"/>
  <c r="C148" i="36"/>
  <c r="C117" i="36"/>
  <c r="C112" i="36"/>
  <c r="K56" i="36"/>
  <c r="L51" i="36"/>
  <c r="C144" i="36"/>
  <c r="C133" i="36"/>
  <c r="C127" i="36"/>
  <c r="J16" i="36"/>
  <c r="C42" i="36"/>
  <c r="C143" i="36"/>
  <c r="C102" i="36"/>
  <c r="G14" i="36"/>
  <c r="D96" i="36"/>
  <c r="E95" i="36"/>
  <c r="G81" i="36"/>
  <c r="H36" i="36"/>
  <c r="F32" i="36"/>
  <c r="G33" i="36"/>
  <c r="L56" i="36"/>
  <c r="D61" i="25"/>
  <c r="F59" i="25"/>
  <c r="G59" i="25"/>
  <c r="F57" i="25"/>
  <c r="C90" i="29"/>
  <c r="D4" i="29"/>
  <c r="H64" i="25"/>
  <c r="I64" i="25" s="1"/>
  <c r="E64" i="25"/>
  <c r="F64" i="25"/>
  <c r="G64" i="25"/>
  <c r="D64" i="25"/>
  <c r="F92" i="25" l="1"/>
  <c r="D94" i="39"/>
  <c r="G92" i="39"/>
  <c r="I88" i="25"/>
  <c r="H89" i="25"/>
  <c r="F91" i="39"/>
  <c r="F107" i="39"/>
  <c r="F175" i="40" s="1"/>
  <c r="D91" i="25"/>
  <c r="D89" i="25"/>
  <c r="F59" i="39"/>
  <c r="H28" i="39"/>
  <c r="F32" i="39"/>
  <c r="G33" i="39"/>
  <c r="C63" i="39"/>
  <c r="K61" i="39"/>
  <c r="G14" i="39"/>
  <c r="F135" i="39"/>
  <c r="G6" i="39"/>
  <c r="F81" i="39"/>
  <c r="G36" i="39"/>
  <c r="C162" i="39"/>
  <c r="C132" i="39"/>
  <c r="C121" i="39"/>
  <c r="C73" i="39"/>
  <c r="C76" i="39" s="1"/>
  <c r="C79" i="39" s="1"/>
  <c r="C82" i="39" s="1"/>
  <c r="C120" i="39"/>
  <c r="C158" i="39" s="1"/>
  <c r="G57" i="25"/>
  <c r="E61" i="25"/>
  <c r="F60" i="25"/>
  <c r="G60" i="25" s="1"/>
  <c r="G65" i="25"/>
  <c r="H56" i="25"/>
  <c r="F92" i="36"/>
  <c r="F65" i="25"/>
  <c r="F72" i="25"/>
  <c r="E92" i="37"/>
  <c r="F74" i="25"/>
  <c r="E93" i="37"/>
  <c r="H58" i="25"/>
  <c r="F93" i="36"/>
  <c r="D94" i="36"/>
  <c r="D20" i="36" s="1"/>
  <c r="D21" i="36" s="1"/>
  <c r="D148" i="36"/>
  <c r="E75" i="25"/>
  <c r="D106" i="39" s="1"/>
  <c r="D153" i="40" s="1"/>
  <c r="D76" i="25"/>
  <c r="E65" i="25"/>
  <c r="K61" i="37"/>
  <c r="C63" i="37"/>
  <c r="C126" i="37"/>
  <c r="C122" i="37"/>
  <c r="G32" i="37"/>
  <c r="H33" i="37"/>
  <c r="H32" i="37" s="1"/>
  <c r="D58" i="37"/>
  <c r="E59" i="37"/>
  <c r="G28" i="37"/>
  <c r="G81" i="37"/>
  <c r="H36" i="37"/>
  <c r="H14" i="37"/>
  <c r="G6" i="37"/>
  <c r="C63" i="36"/>
  <c r="K61" i="36"/>
  <c r="C7" i="36"/>
  <c r="H6" i="36"/>
  <c r="H81" i="36"/>
  <c r="C122" i="36"/>
  <c r="C126" i="36"/>
  <c r="G32" i="36"/>
  <c r="H33" i="36"/>
  <c r="H32" i="36" s="1"/>
  <c r="D58" i="36"/>
  <c r="D61" i="36" s="1"/>
  <c r="E59" i="36"/>
  <c r="D133" i="36"/>
  <c r="K16" i="36"/>
  <c r="K17" i="36" s="1"/>
  <c r="D102" i="36"/>
  <c r="L57" i="36"/>
  <c r="H14" i="36"/>
  <c r="G28" i="36"/>
  <c r="H65" i="25"/>
  <c r="H62" i="1"/>
  <c r="G62" i="1"/>
  <c r="F62" i="1"/>
  <c r="E62" i="1"/>
  <c r="D62" i="1"/>
  <c r="H58" i="1"/>
  <c r="E58" i="1"/>
  <c r="F58" i="1"/>
  <c r="G58" i="1"/>
  <c r="D58" i="1"/>
  <c r="E144" i="1"/>
  <c r="F144" i="1"/>
  <c r="G144" i="1"/>
  <c r="H144" i="1"/>
  <c r="D144" i="1"/>
  <c r="H141" i="1"/>
  <c r="E141" i="1"/>
  <c r="F141" i="1"/>
  <c r="G141" i="1"/>
  <c r="D141" i="1"/>
  <c r="E16" i="1"/>
  <c r="F16" i="1"/>
  <c r="G16" i="1"/>
  <c r="H16" i="1"/>
  <c r="D16" i="1"/>
  <c r="H15" i="1"/>
  <c r="E15" i="1"/>
  <c r="F15" i="1"/>
  <c r="G15" i="1"/>
  <c r="D15" i="1"/>
  <c r="G91" i="39" l="1"/>
  <c r="G107" i="39"/>
  <c r="G175" i="40" s="1"/>
  <c r="H92" i="39"/>
  <c r="I89" i="25"/>
  <c r="G92" i="25"/>
  <c r="E94" i="39"/>
  <c r="F61" i="25"/>
  <c r="C157" i="39"/>
  <c r="C124" i="39"/>
  <c r="C118" i="39"/>
  <c r="C125" i="39" s="1"/>
  <c r="C66" i="39"/>
  <c r="K66" i="39" s="1"/>
  <c r="K63" i="39"/>
  <c r="C8" i="39"/>
  <c r="G59" i="39"/>
  <c r="G81" i="39"/>
  <c r="H36" i="39"/>
  <c r="H6" i="39"/>
  <c r="H135" i="39" s="1"/>
  <c r="G135" i="39"/>
  <c r="H14" i="39"/>
  <c r="G32" i="39"/>
  <c r="H33" i="39"/>
  <c r="H32" i="39" s="1"/>
  <c r="D93" i="25"/>
  <c r="E94" i="36"/>
  <c r="G61" i="25"/>
  <c r="G74" i="25"/>
  <c r="F93" i="37"/>
  <c r="E91" i="37"/>
  <c r="E107" i="37"/>
  <c r="E177" i="40" s="1"/>
  <c r="G93" i="36"/>
  <c r="H59" i="25"/>
  <c r="I58" i="25"/>
  <c r="F92" i="37"/>
  <c r="G72" i="25"/>
  <c r="I56" i="25"/>
  <c r="G92" i="36"/>
  <c r="H57" i="25"/>
  <c r="F75" i="25"/>
  <c r="D94" i="37"/>
  <c r="D106" i="37" s="1"/>
  <c r="D155" i="40" s="1"/>
  <c r="E76" i="25"/>
  <c r="F94" i="36"/>
  <c r="C157" i="37"/>
  <c r="C124" i="37"/>
  <c r="C118" i="37"/>
  <c r="C125" i="37" s="1"/>
  <c r="K63" i="37"/>
  <c r="C66" i="37"/>
  <c r="K66" i="37" s="1"/>
  <c r="C8" i="37"/>
  <c r="C135" i="37"/>
  <c r="C77" i="37"/>
  <c r="C71" i="37"/>
  <c r="H6" i="37"/>
  <c r="H81" i="37"/>
  <c r="H28" i="37"/>
  <c r="F59" i="37"/>
  <c r="L61" i="36"/>
  <c r="F59" i="36"/>
  <c r="D88" i="36"/>
  <c r="D87" i="36"/>
  <c r="C157" i="36"/>
  <c r="C66" i="36"/>
  <c r="K66" i="36" s="1"/>
  <c r="K63" i="36"/>
  <c r="C124" i="36"/>
  <c r="C118" i="36"/>
  <c r="C125" i="36" s="1"/>
  <c r="C8" i="36"/>
  <c r="H28" i="36"/>
  <c r="D7" i="36"/>
  <c r="D62" i="36" s="1"/>
  <c r="D63" i="36" s="1"/>
  <c r="C135" i="36"/>
  <c r="C77" i="36"/>
  <c r="C71" i="36"/>
  <c r="E91" i="36"/>
  <c r="E107" i="36"/>
  <c r="E176" i="40" s="1"/>
  <c r="D122" i="36"/>
  <c r="D126" i="36"/>
  <c r="H60" i="25"/>
  <c r="J65" i="25"/>
  <c r="H31" i="25"/>
  <c r="G31" i="25"/>
  <c r="F31" i="25"/>
  <c r="E31" i="25"/>
  <c r="D31" i="25"/>
  <c r="H30" i="25"/>
  <c r="G30" i="25"/>
  <c r="F30" i="25"/>
  <c r="E30" i="25"/>
  <c r="D30" i="25"/>
  <c r="D24" i="25"/>
  <c r="E24" i="25"/>
  <c r="F24" i="25"/>
  <c r="G24" i="25"/>
  <c r="H24" i="25"/>
  <c r="D25" i="25"/>
  <c r="E25" i="25"/>
  <c r="F25" i="25"/>
  <c r="G25" i="25"/>
  <c r="H25" i="25"/>
  <c r="E106" i="39" l="1"/>
  <c r="E153" i="40" s="1"/>
  <c r="H92" i="25"/>
  <c r="F94" i="39"/>
  <c r="H91" i="39"/>
  <c r="H107" i="39"/>
  <c r="H175" i="40" s="1"/>
  <c r="H32" i="25"/>
  <c r="H59" i="39"/>
  <c r="C154" i="39"/>
  <c r="C156" i="39" s="1"/>
  <c r="C109" i="40" s="1"/>
  <c r="D8" i="39"/>
  <c r="C129" i="39"/>
  <c r="C66" i="40" s="1"/>
  <c r="C161" i="39"/>
  <c r="H81" i="39"/>
  <c r="E93" i="25"/>
  <c r="F26" i="25"/>
  <c r="E26" i="25"/>
  <c r="G92" i="37"/>
  <c r="H72" i="25"/>
  <c r="D32" i="25"/>
  <c r="I30" i="25"/>
  <c r="I31" i="25"/>
  <c r="H93" i="36"/>
  <c r="I59" i="25"/>
  <c r="H92" i="36"/>
  <c r="I57" i="25"/>
  <c r="F91" i="37"/>
  <c r="F107" i="37"/>
  <c r="F177" i="40" s="1"/>
  <c r="G93" i="37"/>
  <c r="H74" i="25"/>
  <c r="E32" i="25"/>
  <c r="D26" i="25"/>
  <c r="G32" i="25"/>
  <c r="G75" i="25"/>
  <c r="E94" i="37"/>
  <c r="E106" i="37" s="1"/>
  <c r="E155" i="40" s="1"/>
  <c r="F76" i="25"/>
  <c r="H26" i="25"/>
  <c r="F32" i="25"/>
  <c r="E4" i="36"/>
  <c r="E48" i="36" s="1"/>
  <c r="G94" i="36"/>
  <c r="C162" i="37"/>
  <c r="C132" i="37"/>
  <c r="C121" i="37"/>
  <c r="C73" i="37"/>
  <c r="C76" i="37" s="1"/>
  <c r="C79" i="37" s="1"/>
  <c r="C82" i="37" s="1"/>
  <c r="C120" i="37"/>
  <c r="C158" i="37" s="1"/>
  <c r="C154" i="37"/>
  <c r="D8" i="37"/>
  <c r="C161" i="37"/>
  <c r="G59" i="37"/>
  <c r="D135" i="37"/>
  <c r="D77" i="37"/>
  <c r="D118" i="36"/>
  <c r="D125" i="36" s="1"/>
  <c r="L63" i="36"/>
  <c r="D157" i="36"/>
  <c r="C161" i="36"/>
  <c r="E7" i="36"/>
  <c r="D135" i="36"/>
  <c r="D71" i="36"/>
  <c r="D77" i="36"/>
  <c r="C154" i="36"/>
  <c r="D8" i="36"/>
  <c r="D65" i="36" s="1"/>
  <c r="G59" i="36"/>
  <c r="C162" i="36"/>
  <c r="C120" i="36"/>
  <c r="C158" i="36" s="1"/>
  <c r="C132" i="36"/>
  <c r="C121" i="36"/>
  <c r="C73" i="36"/>
  <c r="C76" i="36" s="1"/>
  <c r="C79" i="36" s="1"/>
  <c r="C82" i="36" s="1"/>
  <c r="C156" i="36"/>
  <c r="D106" i="36"/>
  <c r="D154" i="40" s="1"/>
  <c r="H61" i="25"/>
  <c r="I60" i="25"/>
  <c r="G26" i="25"/>
  <c r="K65" i="25"/>
  <c r="E4" i="29"/>
  <c r="J64" i="25"/>
  <c r="E13" i="32"/>
  <c r="F13" i="32"/>
  <c r="G13" i="32"/>
  <c r="H13" i="32"/>
  <c r="D13" i="32"/>
  <c r="E29" i="32"/>
  <c r="D29" i="32"/>
  <c r="E4" i="32"/>
  <c r="D4" i="32"/>
  <c r="C148" i="32"/>
  <c r="C94" i="32"/>
  <c r="C80" i="32"/>
  <c r="C77" i="32"/>
  <c r="C74" i="32"/>
  <c r="C73" i="32"/>
  <c r="C71" i="32"/>
  <c r="C64" i="32"/>
  <c r="C79" i="32" s="1"/>
  <c r="C61" i="32"/>
  <c r="C59" i="32"/>
  <c r="C56" i="32"/>
  <c r="D56" i="32" s="1"/>
  <c r="E56" i="32" s="1"/>
  <c r="F56" i="32" s="1"/>
  <c r="G56" i="32" s="1"/>
  <c r="H56" i="32" s="1"/>
  <c r="C54" i="32"/>
  <c r="C53" i="32"/>
  <c r="C52" i="32"/>
  <c r="C51" i="32"/>
  <c r="C50" i="32"/>
  <c r="C48" i="32"/>
  <c r="C47" i="32"/>
  <c r="E39" i="32"/>
  <c r="F39" i="32" s="1"/>
  <c r="G39" i="32" s="1"/>
  <c r="H39" i="32" s="1"/>
  <c r="D39" i="32"/>
  <c r="C39" i="32"/>
  <c r="F38" i="32"/>
  <c r="G38" i="32" s="1"/>
  <c r="H38" i="32" s="1"/>
  <c r="C38" i="32"/>
  <c r="D38" i="32" s="1"/>
  <c r="E38" i="32" s="1"/>
  <c r="C36" i="32"/>
  <c r="D36" i="32" s="1"/>
  <c r="D35" i="32"/>
  <c r="C35" i="32"/>
  <c r="E32" i="32"/>
  <c r="D32" i="32"/>
  <c r="D31" i="32" s="1"/>
  <c r="C32" i="32"/>
  <c r="C31" i="32"/>
  <c r="C28" i="32"/>
  <c r="D28" i="32" s="1"/>
  <c r="D27" i="32"/>
  <c r="C27" i="32"/>
  <c r="C26" i="32"/>
  <c r="D24" i="32"/>
  <c r="E24" i="32" s="1"/>
  <c r="F24" i="32" s="1"/>
  <c r="G24" i="32" s="1"/>
  <c r="H24" i="32" s="1"/>
  <c r="C24" i="32"/>
  <c r="C23" i="32"/>
  <c r="C20" i="32"/>
  <c r="C19" i="32"/>
  <c r="C18" i="32"/>
  <c r="C97" i="32" s="1"/>
  <c r="D94" i="32" s="1"/>
  <c r="C17" i="32"/>
  <c r="C13" i="32"/>
  <c r="D5" i="32"/>
  <c r="E5" i="32" s="1"/>
  <c r="C5" i="32"/>
  <c r="D2" i="32"/>
  <c r="E2" i="32" s="1"/>
  <c r="F2" i="32" s="1"/>
  <c r="G2" i="32" s="1"/>
  <c r="H2" i="32" s="1"/>
  <c r="E4" i="31"/>
  <c r="D4" i="31"/>
  <c r="C94" i="31"/>
  <c r="C80" i="31"/>
  <c r="C77" i="31"/>
  <c r="C74" i="31"/>
  <c r="C73" i="31"/>
  <c r="C64" i="31"/>
  <c r="C79" i="31" s="1"/>
  <c r="C61" i="31"/>
  <c r="E56" i="31"/>
  <c r="F56" i="31" s="1"/>
  <c r="G56" i="31" s="1"/>
  <c r="H56" i="31" s="1"/>
  <c r="D56" i="31"/>
  <c r="C56" i="31"/>
  <c r="C54" i="31"/>
  <c r="C53" i="31"/>
  <c r="C71" i="31" s="1"/>
  <c r="C52" i="31"/>
  <c r="C51" i="31"/>
  <c r="C50" i="31"/>
  <c r="C48" i="31"/>
  <c r="C47" i="31"/>
  <c r="C39" i="31"/>
  <c r="D39" i="31" s="1"/>
  <c r="E39" i="31" s="1"/>
  <c r="F39" i="31" s="1"/>
  <c r="G39" i="31" s="1"/>
  <c r="H39" i="31" s="1"/>
  <c r="E38" i="31"/>
  <c r="F38" i="31" s="1"/>
  <c r="G38" i="31" s="1"/>
  <c r="H38" i="31" s="1"/>
  <c r="D38" i="31"/>
  <c r="C38" i="31"/>
  <c r="D36" i="31"/>
  <c r="C36" i="31"/>
  <c r="C35" i="31"/>
  <c r="C32" i="31"/>
  <c r="D28" i="31"/>
  <c r="C28" i="31"/>
  <c r="C27" i="31"/>
  <c r="C148" i="31" s="1"/>
  <c r="C24" i="31"/>
  <c r="D24" i="31" s="1"/>
  <c r="E24" i="31" s="1"/>
  <c r="F24" i="31" s="1"/>
  <c r="G24" i="31" s="1"/>
  <c r="H24" i="31" s="1"/>
  <c r="C23" i="31"/>
  <c r="C22" i="31"/>
  <c r="C21" i="31"/>
  <c r="C20" i="31"/>
  <c r="C19" i="31"/>
  <c r="C18" i="31"/>
  <c r="C97" i="31" s="1"/>
  <c r="D94" i="31" s="1"/>
  <c r="C17" i="31"/>
  <c r="C13" i="31"/>
  <c r="C5" i="31"/>
  <c r="D5" i="31" s="1"/>
  <c r="F2" i="31"/>
  <c r="G2" i="31" s="1"/>
  <c r="H2" i="31" s="1"/>
  <c r="E2" i="31"/>
  <c r="D2" i="31"/>
  <c r="D134" i="29"/>
  <c r="E134" i="29"/>
  <c r="F134" i="29"/>
  <c r="G134" i="29"/>
  <c r="H134" i="29"/>
  <c r="C134" i="29"/>
  <c r="L248" i="1"/>
  <c r="M248" i="1"/>
  <c r="N248" i="1"/>
  <c r="O248" i="1"/>
  <c r="D47" i="29"/>
  <c r="F106" i="39" l="1"/>
  <c r="F153" i="40" s="1"/>
  <c r="I92" i="25"/>
  <c r="H94" i="39" s="1"/>
  <c r="G94" i="39"/>
  <c r="C160" i="39"/>
  <c r="C131" i="40" s="1"/>
  <c r="E78" i="25"/>
  <c r="D4" i="37" s="1"/>
  <c r="D48" i="37" s="1"/>
  <c r="D53" i="37" s="1"/>
  <c r="E95" i="25"/>
  <c r="D4" i="39" s="1"/>
  <c r="D48" i="39" s="1"/>
  <c r="G95" i="25"/>
  <c r="F4" i="39" s="1"/>
  <c r="F95" i="25"/>
  <c r="E4" i="39" s="1"/>
  <c r="D154" i="39"/>
  <c r="E8" i="39"/>
  <c r="F93" i="25"/>
  <c r="D51" i="37"/>
  <c r="F78" i="25"/>
  <c r="E4" i="37" s="1"/>
  <c r="G78" i="25"/>
  <c r="F4" i="37" s="1"/>
  <c r="I32" i="25"/>
  <c r="H92" i="37"/>
  <c r="I72" i="25"/>
  <c r="H93" i="37"/>
  <c r="I74" i="25"/>
  <c r="G91" i="37"/>
  <c r="G107" i="37"/>
  <c r="G177" i="40" s="1"/>
  <c r="K64" i="25"/>
  <c r="I26" i="25"/>
  <c r="C9" i="39" s="1"/>
  <c r="D9" i="39" s="1"/>
  <c r="E9" i="39" s="1"/>
  <c r="F9" i="39" s="1"/>
  <c r="G9" i="39" s="1"/>
  <c r="H9" i="39" s="1"/>
  <c r="C129" i="37"/>
  <c r="C68" i="40" s="1"/>
  <c r="H75" i="25"/>
  <c r="F94" i="37"/>
  <c r="F106" i="37" s="1"/>
  <c r="F155" i="40" s="1"/>
  <c r="G76" i="25"/>
  <c r="E18" i="36"/>
  <c r="E55" i="36"/>
  <c r="E53" i="36"/>
  <c r="E49" i="36"/>
  <c r="E50" i="36" s="1"/>
  <c r="E52" i="36"/>
  <c r="E51" i="36"/>
  <c r="E22" i="36"/>
  <c r="E100" i="36" s="1"/>
  <c r="E17" i="36"/>
  <c r="F4" i="36"/>
  <c r="F48" i="36" s="1"/>
  <c r="C156" i="37"/>
  <c r="C111" i="40" s="1"/>
  <c r="H94" i="36"/>
  <c r="E135" i="37"/>
  <c r="H59" i="37"/>
  <c r="C160" i="37"/>
  <c r="C133" i="40" s="1"/>
  <c r="D154" i="37"/>
  <c r="E8" i="37"/>
  <c r="D80" i="36"/>
  <c r="D66" i="36"/>
  <c r="D154" i="36"/>
  <c r="E8" i="36"/>
  <c r="F7" i="36"/>
  <c r="E135" i="36"/>
  <c r="D120" i="36"/>
  <c r="D158" i="36" s="1"/>
  <c r="D132" i="36"/>
  <c r="D121" i="36"/>
  <c r="C129" i="36"/>
  <c r="F91" i="36"/>
  <c r="F107" i="36"/>
  <c r="F176" i="40" s="1"/>
  <c r="H59" i="36"/>
  <c r="C160" i="36"/>
  <c r="D156" i="36"/>
  <c r="D110" i="40" s="1"/>
  <c r="I61" i="25"/>
  <c r="L65" i="25"/>
  <c r="H95" i="25" s="1"/>
  <c r="G4" i="39" s="1"/>
  <c r="F4" i="29"/>
  <c r="F5" i="32"/>
  <c r="C87" i="32"/>
  <c r="C86" i="32"/>
  <c r="C16" i="32"/>
  <c r="C42" i="32"/>
  <c r="C22" i="32"/>
  <c r="C21" i="32" s="1"/>
  <c r="E27" i="32"/>
  <c r="C34" i="32"/>
  <c r="C137" i="32" s="1"/>
  <c r="D80" i="32"/>
  <c r="C96" i="32"/>
  <c r="C92" i="32"/>
  <c r="D59" i="32"/>
  <c r="C95" i="32"/>
  <c r="C93" i="32" s="1"/>
  <c r="C136" i="32"/>
  <c r="E31" i="32"/>
  <c r="F32" i="32"/>
  <c r="C58" i="32"/>
  <c r="E35" i="32"/>
  <c r="C91" i="32"/>
  <c r="C100" i="32"/>
  <c r="C98" i="32"/>
  <c r="C49" i="32"/>
  <c r="C99" i="32"/>
  <c r="E5" i="31"/>
  <c r="D13" i="31"/>
  <c r="C87" i="31"/>
  <c r="C86" i="31"/>
  <c r="C16" i="31"/>
  <c r="J27" i="31"/>
  <c r="C26" i="31"/>
  <c r="C59" i="31"/>
  <c r="D27" i="31"/>
  <c r="C31" i="31"/>
  <c r="D32" i="31"/>
  <c r="C34" i="31"/>
  <c r="C137" i="31" s="1"/>
  <c r="D35" i="31"/>
  <c r="C99" i="31"/>
  <c r="C96" i="31"/>
  <c r="C95" i="31" s="1"/>
  <c r="C93" i="31" s="1"/>
  <c r="C92" i="31"/>
  <c r="C91" i="31"/>
  <c r="C100" i="31"/>
  <c r="C98" i="31"/>
  <c r="C49" i="31"/>
  <c r="G106" i="39" l="1"/>
  <c r="G153" i="40" s="1"/>
  <c r="D22" i="37"/>
  <c r="D100" i="37" s="1"/>
  <c r="D17" i="37"/>
  <c r="D16" i="37" s="1"/>
  <c r="E48" i="37"/>
  <c r="E18" i="37" s="1"/>
  <c r="D49" i="37"/>
  <c r="D19" i="37" s="1"/>
  <c r="D52" i="37"/>
  <c r="D18" i="37"/>
  <c r="D55" i="37"/>
  <c r="D49" i="39"/>
  <c r="D50" i="39" s="1"/>
  <c r="E48" i="39"/>
  <c r="D52" i="39"/>
  <c r="D17" i="39"/>
  <c r="D55" i="39"/>
  <c r="D51" i="39"/>
  <c r="D53" i="39"/>
  <c r="D54" i="39" s="1"/>
  <c r="D22" i="39"/>
  <c r="D100" i="39" s="1"/>
  <c r="D18" i="39"/>
  <c r="E154" i="39"/>
  <c r="F8" i="39"/>
  <c r="G93" i="25"/>
  <c r="H78" i="25"/>
  <c r="G4" i="37" s="1"/>
  <c r="E22" i="37"/>
  <c r="E100" i="37" s="1"/>
  <c r="C8" i="32"/>
  <c r="D8" i="32" s="1"/>
  <c r="E8" i="32" s="1"/>
  <c r="F8" i="32" s="1"/>
  <c r="G8" i="32" s="1"/>
  <c r="H8" i="32" s="1"/>
  <c r="D99" i="37"/>
  <c r="E17" i="37" s="1"/>
  <c r="E99" i="37" s="1"/>
  <c r="D111" i="37"/>
  <c r="D97" i="37"/>
  <c r="C8" i="31"/>
  <c r="D8" i="31" s="1"/>
  <c r="E8" i="31" s="1"/>
  <c r="F8" i="31" s="1"/>
  <c r="G8" i="31" s="1"/>
  <c r="H8" i="31" s="1"/>
  <c r="C9" i="37"/>
  <c r="D9" i="37" s="1"/>
  <c r="D54" i="37" s="1"/>
  <c r="C9" i="36"/>
  <c r="D9" i="36" s="1"/>
  <c r="E9" i="36" s="1"/>
  <c r="F9" i="36" s="1"/>
  <c r="G9" i="36" s="1"/>
  <c r="H9" i="36" s="1"/>
  <c r="H91" i="37"/>
  <c r="H107" i="37"/>
  <c r="H177" i="40" s="1"/>
  <c r="F18" i="36"/>
  <c r="F49" i="36"/>
  <c r="F53" i="36"/>
  <c r="F51" i="36"/>
  <c r="F52" i="36"/>
  <c r="F55" i="36"/>
  <c r="F22" i="36"/>
  <c r="F100" i="36" s="1"/>
  <c r="E16" i="36"/>
  <c r="E111" i="36"/>
  <c r="E74" i="36"/>
  <c r="E116" i="36"/>
  <c r="M50" i="36"/>
  <c r="M51" i="36" s="1"/>
  <c r="E56" i="36"/>
  <c r="I75" i="25"/>
  <c r="H106" i="39" s="1"/>
  <c r="H153" i="40" s="1"/>
  <c r="G94" i="37"/>
  <c r="G106" i="37" s="1"/>
  <c r="G155" i="40" s="1"/>
  <c r="H76" i="25"/>
  <c r="G4" i="36"/>
  <c r="G48" i="36" s="1"/>
  <c r="E99" i="36"/>
  <c r="F17" i="36" s="1"/>
  <c r="E19" i="36"/>
  <c r="E97" i="36"/>
  <c r="E154" i="37"/>
  <c r="F8" i="37"/>
  <c r="F135" i="37"/>
  <c r="G7" i="36"/>
  <c r="F135" i="36"/>
  <c r="L66" i="36"/>
  <c r="D38" i="36"/>
  <c r="E106" i="36"/>
  <c r="E154" i="40" s="1"/>
  <c r="E154" i="36"/>
  <c r="F8" i="36"/>
  <c r="M65" i="25"/>
  <c r="I95" i="25" s="1"/>
  <c r="H4" i="39" s="1"/>
  <c r="G4" i="29"/>
  <c r="L64" i="25"/>
  <c r="E80" i="32"/>
  <c r="F35" i="32"/>
  <c r="C115" i="32"/>
  <c r="K49" i="32"/>
  <c r="C55" i="32"/>
  <c r="G32" i="32"/>
  <c r="F31" i="32"/>
  <c r="C110" i="32"/>
  <c r="C15" i="32"/>
  <c r="G5" i="32"/>
  <c r="C105" i="32"/>
  <c r="C106" i="32"/>
  <c r="D58" i="32"/>
  <c r="C57" i="32"/>
  <c r="F27" i="32"/>
  <c r="C141" i="32"/>
  <c r="D59" i="31"/>
  <c r="E27" i="31"/>
  <c r="E13" i="31"/>
  <c r="E32" i="31"/>
  <c r="D31" i="31"/>
  <c r="C58" i="31"/>
  <c r="C110" i="31"/>
  <c r="C15" i="31"/>
  <c r="C136" i="31"/>
  <c r="C115" i="31"/>
  <c r="C55" i="31"/>
  <c r="K49" i="31"/>
  <c r="C105" i="31"/>
  <c r="C106" i="31"/>
  <c r="C142" i="31"/>
  <c r="C141" i="31"/>
  <c r="C42" i="31"/>
  <c r="F5" i="31"/>
  <c r="D80" i="31"/>
  <c r="E35" i="31"/>
  <c r="E52" i="37" l="1"/>
  <c r="D74" i="37"/>
  <c r="E53" i="37"/>
  <c r="E55" i="37"/>
  <c r="E51" i="37"/>
  <c r="D50" i="37"/>
  <c r="E49" i="37"/>
  <c r="F48" i="37"/>
  <c r="G48" i="37" s="1"/>
  <c r="E16" i="37"/>
  <c r="E133" i="37" s="1"/>
  <c r="E111" i="37"/>
  <c r="E74" i="37"/>
  <c r="D116" i="39"/>
  <c r="D56" i="39"/>
  <c r="L50" i="39"/>
  <c r="L51" i="39" s="1"/>
  <c r="D99" i="39"/>
  <c r="E17" i="39" s="1"/>
  <c r="D16" i="39"/>
  <c r="D74" i="39"/>
  <c r="D111" i="39"/>
  <c r="D72" i="39"/>
  <c r="D24" i="39"/>
  <c r="F48" i="39"/>
  <c r="E22" i="39"/>
  <c r="E100" i="39" s="1"/>
  <c r="E18" i="39"/>
  <c r="E55" i="39"/>
  <c r="E52" i="39"/>
  <c r="E53" i="39"/>
  <c r="E54" i="39" s="1"/>
  <c r="E72" i="39" s="1"/>
  <c r="E51" i="39"/>
  <c r="E49" i="39"/>
  <c r="D19" i="39"/>
  <c r="D98" i="39" s="1"/>
  <c r="D97" i="39"/>
  <c r="F154" i="39"/>
  <c r="G8" i="39"/>
  <c r="H93" i="25"/>
  <c r="I93" i="25"/>
  <c r="I78" i="25"/>
  <c r="H4" i="37" s="1"/>
  <c r="D98" i="37"/>
  <c r="D133" i="37"/>
  <c r="K16" i="37"/>
  <c r="K17" i="37" s="1"/>
  <c r="D102" i="37"/>
  <c r="E9" i="37"/>
  <c r="F9" i="37" s="1"/>
  <c r="G9" i="37" s="1"/>
  <c r="H9" i="37" s="1"/>
  <c r="D54" i="36"/>
  <c r="D72" i="36" s="1"/>
  <c r="D73" i="36" s="1"/>
  <c r="G18" i="36"/>
  <c r="G51" i="36"/>
  <c r="G53" i="36"/>
  <c r="G54" i="36" s="1"/>
  <c r="G72" i="36" s="1"/>
  <c r="G52" i="36"/>
  <c r="G22" i="36"/>
  <c r="G55" i="36"/>
  <c r="G49" i="36"/>
  <c r="E98" i="36"/>
  <c r="H94" i="37"/>
  <c r="H106" i="37" s="1"/>
  <c r="H155" i="40" s="1"/>
  <c r="I76" i="25"/>
  <c r="L16" i="37"/>
  <c r="F54" i="36"/>
  <c r="F72" i="36" s="1"/>
  <c r="F16" i="36"/>
  <c r="F111" i="36"/>
  <c r="F74" i="36"/>
  <c r="E54" i="36"/>
  <c r="E72" i="36" s="1"/>
  <c r="E133" i="36"/>
  <c r="L16" i="36"/>
  <c r="L17" i="36" s="1"/>
  <c r="E102" i="36"/>
  <c r="F50" i="36"/>
  <c r="F19" i="36"/>
  <c r="F98" i="36" s="1"/>
  <c r="F97" i="36"/>
  <c r="E117" i="36"/>
  <c r="M56" i="36"/>
  <c r="M57" i="36" s="1"/>
  <c r="E71" i="36"/>
  <c r="H4" i="36"/>
  <c r="H48" i="36" s="1"/>
  <c r="D24" i="36"/>
  <c r="D72" i="37"/>
  <c r="D24" i="37"/>
  <c r="F99" i="36"/>
  <c r="G17" i="36" s="1"/>
  <c r="H135" i="37"/>
  <c r="G135" i="37"/>
  <c r="F154" i="37"/>
  <c r="G8" i="37"/>
  <c r="D35" i="36"/>
  <c r="E37" i="36"/>
  <c r="F154" i="36"/>
  <c r="G8" i="36"/>
  <c r="H7" i="36"/>
  <c r="G135" i="36"/>
  <c r="G107" i="36"/>
  <c r="G176" i="40" s="1"/>
  <c r="G91" i="36"/>
  <c r="M64" i="25"/>
  <c r="H4" i="29"/>
  <c r="E58" i="32"/>
  <c r="D57" i="32"/>
  <c r="C126" i="32"/>
  <c r="C143" i="32"/>
  <c r="C132" i="32"/>
  <c r="J15" i="32"/>
  <c r="C101" i="32"/>
  <c r="C41" i="32"/>
  <c r="C142" i="32"/>
  <c r="G27" i="32"/>
  <c r="C147" i="32"/>
  <c r="C111" i="32"/>
  <c r="K55" i="32"/>
  <c r="C116" i="32"/>
  <c r="C60" i="32"/>
  <c r="H32" i="32"/>
  <c r="H31" i="32" s="1"/>
  <c r="G31" i="32"/>
  <c r="F80" i="32"/>
  <c r="G35" i="32"/>
  <c r="H5" i="32"/>
  <c r="F13" i="31"/>
  <c r="C57" i="31"/>
  <c r="C60" i="31" s="1"/>
  <c r="D58" i="31"/>
  <c r="E80" i="31"/>
  <c r="F35" i="31"/>
  <c r="F27" i="31"/>
  <c r="C126" i="31"/>
  <c r="C143" i="31"/>
  <c r="C132" i="31"/>
  <c r="J15" i="31"/>
  <c r="C41" i="31"/>
  <c r="C101" i="31"/>
  <c r="G5" i="31"/>
  <c r="C147" i="31"/>
  <c r="C111" i="31"/>
  <c r="C116" i="31"/>
  <c r="K55" i="31"/>
  <c r="E31" i="31"/>
  <c r="F32" i="31"/>
  <c r="F22" i="37" l="1"/>
  <c r="F100" i="37" s="1"/>
  <c r="G18" i="37"/>
  <c r="G51" i="37"/>
  <c r="G52" i="37"/>
  <c r="G53" i="37"/>
  <c r="E102" i="37"/>
  <c r="F51" i="37"/>
  <c r="F53" i="37"/>
  <c r="F54" i="37" s="1"/>
  <c r="F72" i="37" s="1"/>
  <c r="F52" i="37"/>
  <c r="F18" i="37"/>
  <c r="F55" i="37"/>
  <c r="E97" i="37"/>
  <c r="F49" i="37"/>
  <c r="E50" i="37"/>
  <c r="E19" i="37"/>
  <c r="E98" i="37" s="1"/>
  <c r="F95" i="37" s="1"/>
  <c r="G55" i="37"/>
  <c r="G22" i="37"/>
  <c r="G100" i="37" s="1"/>
  <c r="H48" i="37"/>
  <c r="L50" i="37"/>
  <c r="L51" i="37" s="1"/>
  <c r="D116" i="37"/>
  <c r="F17" i="37"/>
  <c r="D56" i="37"/>
  <c r="E99" i="39"/>
  <c r="F17" i="39" s="1"/>
  <c r="F99" i="39" s="1"/>
  <c r="E74" i="39"/>
  <c r="E111" i="39"/>
  <c r="E16" i="39"/>
  <c r="G48" i="39"/>
  <c r="F18" i="39"/>
  <c r="F55" i="39"/>
  <c r="F52" i="39"/>
  <c r="F53" i="39"/>
  <c r="F54" i="39" s="1"/>
  <c r="F72" i="39" s="1"/>
  <c r="F51" i="39"/>
  <c r="F22" i="39"/>
  <c r="F49" i="39"/>
  <c r="E97" i="39"/>
  <c r="E19" i="39"/>
  <c r="E98" i="39" s="1"/>
  <c r="E50" i="39"/>
  <c r="D112" i="39"/>
  <c r="D87" i="40" s="1"/>
  <c r="D148" i="39"/>
  <c r="D61" i="39"/>
  <c r="D117" i="39"/>
  <c r="D71" i="39"/>
  <c r="L56" i="39"/>
  <c r="L57" i="39" s="1"/>
  <c r="D112" i="36"/>
  <c r="D88" i="40" s="1"/>
  <c r="E95" i="39"/>
  <c r="D96" i="39"/>
  <c r="D20" i="39" s="1"/>
  <c r="D21" i="39" s="1"/>
  <c r="D23" i="39"/>
  <c r="E24" i="39"/>
  <c r="D133" i="39"/>
  <c r="D102" i="39"/>
  <c r="K16" i="39"/>
  <c r="K17" i="39" s="1"/>
  <c r="G154" i="39"/>
  <c r="H8" i="39"/>
  <c r="H154" i="39" s="1"/>
  <c r="E112" i="36"/>
  <c r="E88" i="40" s="1"/>
  <c r="E54" i="37"/>
  <c r="E72" i="37" s="1"/>
  <c r="L17" i="37"/>
  <c r="G54" i="37"/>
  <c r="G72" i="37" s="1"/>
  <c r="D122" i="37"/>
  <c r="D126" i="37"/>
  <c r="E95" i="37"/>
  <c r="D96" i="37"/>
  <c r="D20" i="37" s="1"/>
  <c r="D21" i="37" s="1"/>
  <c r="H18" i="36"/>
  <c r="H51" i="36"/>
  <c r="H52" i="36"/>
  <c r="H49" i="36"/>
  <c r="H50" i="36" s="1"/>
  <c r="H55" i="36"/>
  <c r="H53" i="36"/>
  <c r="H54" i="36" s="1"/>
  <c r="H72" i="36" s="1"/>
  <c r="H18" i="37"/>
  <c r="H51" i="37"/>
  <c r="H52" i="37"/>
  <c r="H53" i="37"/>
  <c r="H54" i="37" s="1"/>
  <c r="H72" i="37" s="1"/>
  <c r="H55" i="37"/>
  <c r="D23" i="37"/>
  <c r="E132" i="36"/>
  <c r="E121" i="36"/>
  <c r="E120" i="36"/>
  <c r="E158" i="36" s="1"/>
  <c r="E73" i="36"/>
  <c r="G95" i="36"/>
  <c r="G50" i="36"/>
  <c r="G19" i="36"/>
  <c r="G98" i="36" s="1"/>
  <c r="G97" i="36"/>
  <c r="F116" i="36"/>
  <c r="F56" i="36"/>
  <c r="N50" i="36"/>
  <c r="N51" i="36" s="1"/>
  <c r="E126" i="37"/>
  <c r="E122" i="37"/>
  <c r="F133" i="36"/>
  <c r="M16" i="36"/>
  <c r="M17" i="36" s="1"/>
  <c r="F102" i="36"/>
  <c r="F95" i="36"/>
  <c r="F96" i="36" s="1"/>
  <c r="F20" i="36" s="1"/>
  <c r="F21" i="36" s="1"/>
  <c r="E96" i="36"/>
  <c r="E20" i="36" s="1"/>
  <c r="E21" i="36" s="1"/>
  <c r="G100" i="36"/>
  <c r="H22" i="36" s="1"/>
  <c r="G16" i="36"/>
  <c r="G111" i="36"/>
  <c r="G74" i="36"/>
  <c r="E24" i="36"/>
  <c r="D23" i="36"/>
  <c r="E126" i="36"/>
  <c r="E122" i="36"/>
  <c r="G99" i="36"/>
  <c r="H17" i="36" s="1"/>
  <c r="G154" i="37"/>
  <c r="H8" i="37"/>
  <c r="H154" i="37" s="1"/>
  <c r="H135" i="36"/>
  <c r="D144" i="36"/>
  <c r="D30" i="36"/>
  <c r="D138" i="36" s="1"/>
  <c r="D127" i="36"/>
  <c r="D124" i="36"/>
  <c r="D162" i="36"/>
  <c r="G154" i="36"/>
  <c r="H8" i="36"/>
  <c r="H154" i="36" s="1"/>
  <c r="F106" i="36"/>
  <c r="F154" i="40" s="1"/>
  <c r="H35" i="32"/>
  <c r="G80" i="32"/>
  <c r="K60" i="32"/>
  <c r="C6" i="32"/>
  <c r="C62" i="32"/>
  <c r="C125" i="32"/>
  <c r="C121" i="32"/>
  <c r="H27" i="32"/>
  <c r="F58" i="32"/>
  <c r="C62" i="31"/>
  <c r="K60" i="31"/>
  <c r="C6" i="31"/>
  <c r="C125" i="31"/>
  <c r="C121" i="31"/>
  <c r="F80" i="31"/>
  <c r="G35" i="31"/>
  <c r="G13" i="31"/>
  <c r="F31" i="31"/>
  <c r="G32" i="31"/>
  <c r="H5" i="31"/>
  <c r="G27" i="31"/>
  <c r="D57" i="31"/>
  <c r="E58" i="31"/>
  <c r="E96" i="37" l="1"/>
  <c r="E20" i="37" s="1"/>
  <c r="E21" i="37" s="1"/>
  <c r="E87" i="37" s="1"/>
  <c r="H22" i="37"/>
  <c r="H100" i="37" s="1"/>
  <c r="D148" i="37"/>
  <c r="L56" i="37"/>
  <c r="L57" i="37" s="1"/>
  <c r="D117" i="37"/>
  <c r="D61" i="37"/>
  <c r="D71" i="37"/>
  <c r="D112" i="37"/>
  <c r="D89" i="40" s="1"/>
  <c r="F99" i="37"/>
  <c r="G17" i="37" s="1"/>
  <c r="F74" i="37"/>
  <c r="F16" i="37"/>
  <c r="F111" i="37"/>
  <c r="M50" i="37"/>
  <c r="M51" i="37" s="1"/>
  <c r="E116" i="37"/>
  <c r="E56" i="37"/>
  <c r="E112" i="37" s="1"/>
  <c r="E89" i="40" s="1"/>
  <c r="F50" i="37"/>
  <c r="G49" i="37"/>
  <c r="F97" i="37"/>
  <c r="F19" i="37"/>
  <c r="F98" i="37" s="1"/>
  <c r="G17" i="39"/>
  <c r="G111" i="39" s="1"/>
  <c r="E24" i="37"/>
  <c r="F24" i="37" s="1"/>
  <c r="D126" i="39"/>
  <c r="J126" i="39" s="1"/>
  <c r="D122" i="39"/>
  <c r="D87" i="39"/>
  <c r="D88" i="39"/>
  <c r="D120" i="39"/>
  <c r="D158" i="39" s="1"/>
  <c r="D73" i="39"/>
  <c r="D132" i="39"/>
  <c r="D121" i="39"/>
  <c r="G49" i="39"/>
  <c r="G50" i="39" s="1"/>
  <c r="F19" i="39"/>
  <c r="F98" i="39" s="1"/>
  <c r="F97" i="39"/>
  <c r="F100" i="39"/>
  <c r="G22" i="39" s="1"/>
  <c r="E133" i="39"/>
  <c r="L16" i="39"/>
  <c r="L17" i="39" s="1"/>
  <c r="E102" i="39"/>
  <c r="E56" i="39"/>
  <c r="M50" i="39"/>
  <c r="M51" i="39" s="1"/>
  <c r="E116" i="39"/>
  <c r="E23" i="39"/>
  <c r="F24" i="39"/>
  <c r="D62" i="39"/>
  <c r="D63" i="39" s="1"/>
  <c r="L61" i="39"/>
  <c r="E96" i="39"/>
  <c r="E20" i="39" s="1"/>
  <c r="E21" i="39" s="1"/>
  <c r="E88" i="39" s="1"/>
  <c r="F95" i="39"/>
  <c r="F16" i="39"/>
  <c r="F74" i="39"/>
  <c r="F111" i="39"/>
  <c r="D75" i="39"/>
  <c r="D101" i="39"/>
  <c r="F50" i="39"/>
  <c r="H48" i="39"/>
  <c r="G52" i="39"/>
  <c r="G18" i="39"/>
  <c r="G51" i="39"/>
  <c r="G55" i="39"/>
  <c r="G53" i="39"/>
  <c r="G54" i="39" s="1"/>
  <c r="G72" i="39" s="1"/>
  <c r="D88" i="37"/>
  <c r="D87" i="37"/>
  <c r="F88" i="36"/>
  <c r="F87" i="36"/>
  <c r="H100" i="36"/>
  <c r="H16" i="36"/>
  <c r="H111" i="36"/>
  <c r="H74" i="36"/>
  <c r="F122" i="36"/>
  <c r="F126" i="36"/>
  <c r="H116" i="36"/>
  <c r="P50" i="36"/>
  <c r="H56" i="36"/>
  <c r="E88" i="36"/>
  <c r="E87" i="36"/>
  <c r="F112" i="36"/>
  <c r="F88" i="40" s="1"/>
  <c r="N56" i="36"/>
  <c r="N57" i="36" s="1"/>
  <c r="F117" i="36"/>
  <c r="F71" i="36"/>
  <c r="D101" i="36"/>
  <c r="D75" i="36"/>
  <c r="D76" i="36" s="1"/>
  <c r="G133" i="36"/>
  <c r="N16" i="36"/>
  <c r="N17" i="36" s="1"/>
  <c r="G102" i="36"/>
  <c r="H95" i="36"/>
  <c r="G96" i="36"/>
  <c r="G20" i="36" s="1"/>
  <c r="G21" i="36" s="1"/>
  <c r="D75" i="37"/>
  <c r="D101" i="37"/>
  <c r="H99" i="36"/>
  <c r="F24" i="36"/>
  <c r="E23" i="36"/>
  <c r="E101" i="36" s="1"/>
  <c r="G116" i="36"/>
  <c r="G56" i="36"/>
  <c r="O50" i="36"/>
  <c r="O51" i="36" s="1"/>
  <c r="H19" i="36"/>
  <c r="H98" i="36" s="1"/>
  <c r="H97" i="36"/>
  <c r="D161" i="36"/>
  <c r="D160" i="36" s="1"/>
  <c r="D132" i="40" s="1"/>
  <c r="D129" i="36"/>
  <c r="D67" i="40" s="1"/>
  <c r="H107" i="36"/>
  <c r="H176" i="40" s="1"/>
  <c r="H91" i="36"/>
  <c r="E29" i="36"/>
  <c r="D137" i="36"/>
  <c r="D149" i="36"/>
  <c r="D27" i="36"/>
  <c r="H80" i="32"/>
  <c r="C156" i="32"/>
  <c r="C123" i="32"/>
  <c r="C117" i="32"/>
  <c r="C124" i="32" s="1"/>
  <c r="C65" i="32"/>
  <c r="K65" i="32" s="1"/>
  <c r="K62" i="32"/>
  <c r="C7" i="32"/>
  <c r="G58" i="32"/>
  <c r="D6" i="32"/>
  <c r="C76" i="32"/>
  <c r="C134" i="32"/>
  <c r="C70" i="32"/>
  <c r="H27" i="31"/>
  <c r="H35" i="31"/>
  <c r="G80" i="31"/>
  <c r="H13" i="31"/>
  <c r="D6" i="31"/>
  <c r="C134" i="31"/>
  <c r="C76" i="31"/>
  <c r="C70" i="31"/>
  <c r="F58" i="31"/>
  <c r="G31" i="31"/>
  <c r="H32" i="31"/>
  <c r="H31" i="31" s="1"/>
  <c r="C156" i="31"/>
  <c r="C123" i="31"/>
  <c r="C117" i="31"/>
  <c r="C124" i="31" s="1"/>
  <c r="C65" i="31"/>
  <c r="K65" i="31" s="1"/>
  <c r="K62" i="31"/>
  <c r="C7" i="31"/>
  <c r="E88" i="37" l="1"/>
  <c r="G99" i="39"/>
  <c r="H17" i="39" s="1"/>
  <c r="E23" i="37"/>
  <c r="G74" i="39"/>
  <c r="D62" i="37"/>
  <c r="D63" i="37" s="1"/>
  <c r="L61" i="37"/>
  <c r="G50" i="37"/>
  <c r="G97" i="37"/>
  <c r="G19" i="37"/>
  <c r="G98" i="37" s="1"/>
  <c r="H49" i="37"/>
  <c r="G74" i="37"/>
  <c r="G16" i="37"/>
  <c r="G99" i="37"/>
  <c r="H17" i="37" s="1"/>
  <c r="G111" i="37"/>
  <c r="F56" i="37"/>
  <c r="N50" i="37"/>
  <c r="N51" i="37" s="1"/>
  <c r="F116" i="37"/>
  <c r="F96" i="37"/>
  <c r="F20" i="37" s="1"/>
  <c r="F21" i="37" s="1"/>
  <c r="G95" i="37"/>
  <c r="M56" i="37"/>
  <c r="M57" i="37" s="1"/>
  <c r="E117" i="37"/>
  <c r="E71" i="37"/>
  <c r="F133" i="37"/>
  <c r="M16" i="37"/>
  <c r="M17" i="37" s="1"/>
  <c r="F102" i="37"/>
  <c r="D121" i="37"/>
  <c r="D120" i="37"/>
  <c r="D158" i="37" s="1"/>
  <c r="D132" i="37"/>
  <c r="D73" i="37"/>
  <c r="D76" i="37" s="1"/>
  <c r="E87" i="39"/>
  <c r="G100" i="39"/>
  <c r="E126" i="39"/>
  <c r="K126" i="39" s="1"/>
  <c r="E122" i="39"/>
  <c r="H99" i="39"/>
  <c r="H74" i="39"/>
  <c r="H111" i="39"/>
  <c r="H55" i="39"/>
  <c r="H18" i="39"/>
  <c r="H22" i="39"/>
  <c r="H100" i="39" s="1"/>
  <c r="H51" i="39"/>
  <c r="H53" i="39"/>
  <c r="H54" i="39" s="1"/>
  <c r="H72" i="39" s="1"/>
  <c r="H52" i="39"/>
  <c r="L63" i="39"/>
  <c r="D118" i="39"/>
  <c r="D125" i="39" s="1"/>
  <c r="J125" i="39" s="1"/>
  <c r="D157" i="39"/>
  <c r="D156" i="39" s="1"/>
  <c r="D109" i="40" s="1"/>
  <c r="D65" i="39"/>
  <c r="D80" i="39" s="1"/>
  <c r="G116" i="39"/>
  <c r="G56" i="39"/>
  <c r="O50" i="39"/>
  <c r="F56" i="39"/>
  <c r="F116" i="39"/>
  <c r="N50" i="39"/>
  <c r="N51" i="39" s="1"/>
  <c r="F133" i="39"/>
  <c r="F102" i="39"/>
  <c r="M16" i="39"/>
  <c r="M17" i="39" s="1"/>
  <c r="G24" i="39"/>
  <c r="G95" i="39"/>
  <c r="F96" i="39"/>
  <c r="F20" i="39" s="1"/>
  <c r="F21" i="39" s="1"/>
  <c r="D76" i="39"/>
  <c r="G16" i="39"/>
  <c r="E75" i="39"/>
  <c r="E101" i="39"/>
  <c r="M56" i="39"/>
  <c r="M57" i="39" s="1"/>
  <c r="E117" i="39"/>
  <c r="E112" i="39"/>
  <c r="E87" i="40" s="1"/>
  <c r="E71" i="39"/>
  <c r="F23" i="39"/>
  <c r="H49" i="39"/>
  <c r="H50" i="39" s="1"/>
  <c r="G19" i="39"/>
  <c r="G98" i="39" s="1"/>
  <c r="G97" i="39"/>
  <c r="E75" i="36"/>
  <c r="E76" i="36" s="1"/>
  <c r="G117" i="36"/>
  <c r="O56" i="36"/>
  <c r="O57" i="36" s="1"/>
  <c r="G112" i="36"/>
  <c r="G88" i="40" s="1"/>
  <c r="G71" i="36"/>
  <c r="F73" i="36"/>
  <c r="F132" i="36"/>
  <c r="F121" i="36"/>
  <c r="F120" i="36"/>
  <c r="F158" i="36" s="1"/>
  <c r="P56" i="36"/>
  <c r="H117" i="36"/>
  <c r="H112" i="36"/>
  <c r="H88" i="40" s="1"/>
  <c r="H71" i="36"/>
  <c r="E75" i="37"/>
  <c r="E101" i="37"/>
  <c r="P51" i="36"/>
  <c r="H96" i="36"/>
  <c r="H20" i="36" s="1"/>
  <c r="G24" i="37"/>
  <c r="F23" i="37"/>
  <c r="G24" i="36"/>
  <c r="F23" i="36"/>
  <c r="G126" i="36"/>
  <c r="G122" i="36"/>
  <c r="H133" i="36"/>
  <c r="O16" i="36"/>
  <c r="O17" i="36" s="1"/>
  <c r="H102" i="36"/>
  <c r="E60" i="36"/>
  <c r="G88" i="36"/>
  <c r="G87" i="36"/>
  <c r="D142" i="36"/>
  <c r="D78" i="36"/>
  <c r="D79" i="36" s="1"/>
  <c r="D82" i="36" s="1"/>
  <c r="D143" i="36"/>
  <c r="D43" i="36"/>
  <c r="D44" i="36" s="1"/>
  <c r="D42" i="36"/>
  <c r="G106" i="36"/>
  <c r="G154" i="40" s="1"/>
  <c r="C161" i="32"/>
  <c r="C131" i="32"/>
  <c r="C120" i="32"/>
  <c r="C72" i="32"/>
  <c r="C75" i="32" s="1"/>
  <c r="C78" i="32" s="1"/>
  <c r="C81" i="32" s="1"/>
  <c r="C119" i="32"/>
  <c r="C157" i="32" s="1"/>
  <c r="C155" i="32"/>
  <c r="D47" i="32" s="1"/>
  <c r="H58" i="32"/>
  <c r="C153" i="32"/>
  <c r="D7" i="32"/>
  <c r="C128" i="32"/>
  <c r="C160" i="32"/>
  <c r="C159" i="32" s="1"/>
  <c r="E6" i="32"/>
  <c r="D134" i="32"/>
  <c r="D76" i="32"/>
  <c r="C161" i="31"/>
  <c r="C131" i="31"/>
  <c r="C120" i="31"/>
  <c r="C72" i="31"/>
  <c r="C75" i="31" s="1"/>
  <c r="C78" i="31" s="1"/>
  <c r="C81" i="31" s="1"/>
  <c r="C119" i="31"/>
  <c r="C157" i="31" s="1"/>
  <c r="H80" i="31"/>
  <c r="C128" i="31"/>
  <c r="C160" i="31"/>
  <c r="C153" i="31"/>
  <c r="C155" i="31" s="1"/>
  <c r="D7" i="31"/>
  <c r="G58" i="31"/>
  <c r="E6" i="31"/>
  <c r="D134" i="31"/>
  <c r="D76" i="31"/>
  <c r="P57" i="36" l="1"/>
  <c r="F117" i="37"/>
  <c r="N56" i="37"/>
  <c r="N57" i="37" s="1"/>
  <c r="F71" i="37"/>
  <c r="F112" i="37"/>
  <c r="F89" i="40" s="1"/>
  <c r="O50" i="37"/>
  <c r="O51" i="37" s="1"/>
  <c r="G116" i="37"/>
  <c r="G56" i="37"/>
  <c r="E132" i="37"/>
  <c r="E120" i="37"/>
  <c r="E158" i="37" s="1"/>
  <c r="E121" i="37"/>
  <c r="E73" i="37"/>
  <c r="E76" i="37" s="1"/>
  <c r="F88" i="37"/>
  <c r="F87" i="37"/>
  <c r="H50" i="37"/>
  <c r="H19" i="37"/>
  <c r="H98" i="37" s="1"/>
  <c r="H97" i="37"/>
  <c r="F126" i="37"/>
  <c r="F122" i="37"/>
  <c r="H99" i="37"/>
  <c r="H16" i="37"/>
  <c r="H111" i="37"/>
  <c r="H74" i="37"/>
  <c r="H95" i="37"/>
  <c r="G96" i="37"/>
  <c r="G20" i="37" s="1"/>
  <c r="G21" i="37" s="1"/>
  <c r="N16" i="37"/>
  <c r="N17" i="37" s="1"/>
  <c r="G102" i="37"/>
  <c r="G133" i="37"/>
  <c r="D118" i="37"/>
  <c r="D125" i="37" s="1"/>
  <c r="L63" i="37"/>
  <c r="D65" i="37"/>
  <c r="D157" i="37"/>
  <c r="D156" i="37" s="1"/>
  <c r="D111" i="40" s="1"/>
  <c r="H24" i="39"/>
  <c r="H23" i="39" s="1"/>
  <c r="H16" i="39"/>
  <c r="D66" i="39"/>
  <c r="L66" i="39" s="1"/>
  <c r="H116" i="39"/>
  <c r="H56" i="39"/>
  <c r="P50" i="39"/>
  <c r="P51" i="39" s="1"/>
  <c r="G133" i="39"/>
  <c r="G102" i="39"/>
  <c r="N16" i="39"/>
  <c r="N17" i="39" s="1"/>
  <c r="F75" i="39"/>
  <c r="F101" i="39"/>
  <c r="O16" i="39"/>
  <c r="H19" i="39"/>
  <c r="H98" i="39" s="1"/>
  <c r="H97" i="39"/>
  <c r="E73" i="39"/>
  <c r="E76" i="39" s="1"/>
  <c r="E121" i="39"/>
  <c r="E120" i="39"/>
  <c r="E158" i="39" s="1"/>
  <c r="E132" i="39"/>
  <c r="F88" i="39"/>
  <c r="F87" i="39"/>
  <c r="F126" i="39"/>
  <c r="L126" i="39" s="1"/>
  <c r="F122" i="39"/>
  <c r="F112" i="39"/>
  <c r="F87" i="40" s="1"/>
  <c r="F71" i="39"/>
  <c r="F117" i="39"/>
  <c r="N56" i="39"/>
  <c r="N57" i="39" s="1"/>
  <c r="D38" i="39"/>
  <c r="G23" i="39"/>
  <c r="H75" i="39" s="1"/>
  <c r="G112" i="39"/>
  <c r="G87" i="40" s="1"/>
  <c r="G117" i="39"/>
  <c r="O56" i="39"/>
  <c r="O57" i="39" s="1"/>
  <c r="G71" i="39"/>
  <c r="H95" i="39"/>
  <c r="G96" i="39"/>
  <c r="G20" i="39" s="1"/>
  <c r="G21" i="39" s="1"/>
  <c r="G88" i="39" s="1"/>
  <c r="O51" i="39"/>
  <c r="H101" i="39"/>
  <c r="H24" i="36"/>
  <c r="H23" i="36" s="1"/>
  <c r="G23" i="36"/>
  <c r="G73" i="36"/>
  <c r="G132" i="36"/>
  <c r="G121" i="36"/>
  <c r="G120" i="36"/>
  <c r="G158" i="36" s="1"/>
  <c r="F101" i="37"/>
  <c r="F75" i="37"/>
  <c r="H122" i="36"/>
  <c r="H126" i="36"/>
  <c r="H24" i="37"/>
  <c r="H23" i="37" s="1"/>
  <c r="G23" i="37"/>
  <c r="H121" i="36"/>
  <c r="H73" i="36"/>
  <c r="H120" i="36"/>
  <c r="H158" i="36" s="1"/>
  <c r="H132" i="36"/>
  <c r="F75" i="36"/>
  <c r="F76" i="36" s="1"/>
  <c r="F101" i="36"/>
  <c r="E77" i="36"/>
  <c r="E148" i="36"/>
  <c r="E58" i="36"/>
  <c r="E61" i="36" s="1"/>
  <c r="H106" i="36"/>
  <c r="H154" i="40" s="1"/>
  <c r="H21" i="36"/>
  <c r="D21" i="32"/>
  <c r="D17" i="32"/>
  <c r="D91" i="32" s="1"/>
  <c r="D52" i="32"/>
  <c r="D53" i="32" s="1"/>
  <c r="D16" i="32"/>
  <c r="D98" i="32" s="1"/>
  <c r="D54" i="32"/>
  <c r="D50" i="32"/>
  <c r="D48" i="32"/>
  <c r="D49" i="32" s="1"/>
  <c r="D51" i="32"/>
  <c r="D153" i="32"/>
  <c r="E7" i="32"/>
  <c r="F6" i="32"/>
  <c r="E134" i="32"/>
  <c r="C159" i="31"/>
  <c r="D47" i="31" s="1"/>
  <c r="H58" i="31"/>
  <c r="F6" i="31"/>
  <c r="E134" i="31"/>
  <c r="D153" i="31"/>
  <c r="E7" i="31"/>
  <c r="H96" i="37" l="1"/>
  <c r="H20" i="37" s="1"/>
  <c r="H21" i="37" s="1"/>
  <c r="H88" i="37" s="1"/>
  <c r="D80" i="37"/>
  <c r="D66" i="37"/>
  <c r="G122" i="37"/>
  <c r="G126" i="37"/>
  <c r="H116" i="37"/>
  <c r="P50" i="37"/>
  <c r="P51" i="37" s="1"/>
  <c r="H56" i="37"/>
  <c r="G71" i="37"/>
  <c r="G117" i="37"/>
  <c r="G112" i="37"/>
  <c r="G89" i="40" s="1"/>
  <c r="O56" i="37"/>
  <c r="O57" i="37" s="1"/>
  <c r="F132" i="37"/>
  <c r="F121" i="37"/>
  <c r="F120" i="37"/>
  <c r="F158" i="37" s="1"/>
  <c r="F73" i="37"/>
  <c r="F76" i="37" s="1"/>
  <c r="G88" i="37"/>
  <c r="G87" i="37"/>
  <c r="H133" i="37"/>
  <c r="H102" i="37"/>
  <c r="O16" i="37"/>
  <c r="O17" i="37" s="1"/>
  <c r="H133" i="39"/>
  <c r="H102" i="39"/>
  <c r="H96" i="39"/>
  <c r="H20" i="39" s="1"/>
  <c r="H21" i="39" s="1"/>
  <c r="H88" i="39" s="1"/>
  <c r="G121" i="39"/>
  <c r="G120" i="39"/>
  <c r="G158" i="39" s="1"/>
  <c r="G73" i="39"/>
  <c r="G132" i="39"/>
  <c r="G75" i="39"/>
  <c r="G101" i="39"/>
  <c r="G87" i="39"/>
  <c r="H71" i="39"/>
  <c r="H117" i="39"/>
  <c r="H112" i="39"/>
  <c r="H87" i="40" s="1"/>
  <c r="P56" i="39"/>
  <c r="P57" i="39" s="1"/>
  <c r="E37" i="39"/>
  <c r="D35" i="39"/>
  <c r="F73" i="39"/>
  <c r="F76" i="39" s="1"/>
  <c r="F120" i="39"/>
  <c r="F158" i="39" s="1"/>
  <c r="F132" i="39"/>
  <c r="F121" i="39"/>
  <c r="O17" i="39"/>
  <c r="G122" i="39"/>
  <c r="G126" i="39"/>
  <c r="M126" i="39" s="1"/>
  <c r="G75" i="37"/>
  <c r="G101" i="37"/>
  <c r="G75" i="36"/>
  <c r="G76" i="36" s="1"/>
  <c r="G101" i="36"/>
  <c r="H75" i="37"/>
  <c r="H101" i="37"/>
  <c r="H75" i="36"/>
  <c r="H76" i="36" s="1"/>
  <c r="H101" i="36"/>
  <c r="M61" i="36"/>
  <c r="E62" i="36"/>
  <c r="E63" i="36" s="1"/>
  <c r="H88" i="36"/>
  <c r="H87" i="36"/>
  <c r="D115" i="32"/>
  <c r="D55" i="32"/>
  <c r="L49" i="32"/>
  <c r="L50" i="32" s="1"/>
  <c r="E153" i="32"/>
  <c r="F7" i="32"/>
  <c r="D71" i="32"/>
  <c r="D23" i="32"/>
  <c r="D22" i="32" s="1"/>
  <c r="D96" i="32"/>
  <c r="D18" i="32"/>
  <c r="D97" i="32" s="1"/>
  <c r="G6" i="32"/>
  <c r="F134" i="32"/>
  <c r="D110" i="32"/>
  <c r="D73" i="32"/>
  <c r="D15" i="32"/>
  <c r="D99" i="32"/>
  <c r="E153" i="31"/>
  <c r="F7" i="31"/>
  <c r="G6" i="31"/>
  <c r="F134" i="31"/>
  <c r="D16" i="31"/>
  <c r="D98" i="31" s="1"/>
  <c r="D21" i="31"/>
  <c r="D17" i="31"/>
  <c r="D50" i="31"/>
  <c r="D49" i="31"/>
  <c r="D52" i="31"/>
  <c r="D53" i="31" s="1"/>
  <c r="D54" i="31"/>
  <c r="D48" i="31"/>
  <c r="D51" i="31"/>
  <c r="H87" i="37" l="1"/>
  <c r="D38" i="37"/>
  <c r="L66" i="37"/>
  <c r="H122" i="37"/>
  <c r="H126" i="37"/>
  <c r="G121" i="37"/>
  <c r="G73" i="37"/>
  <c r="G76" i="37" s="1"/>
  <c r="G120" i="37"/>
  <c r="G158" i="37" s="1"/>
  <c r="G132" i="37"/>
  <c r="H117" i="37"/>
  <c r="H71" i="37"/>
  <c r="H112" i="37"/>
  <c r="H89" i="40" s="1"/>
  <c r="P56" i="37"/>
  <c r="P57" i="37" s="1"/>
  <c r="H87" i="39"/>
  <c r="H122" i="39"/>
  <c r="H126" i="39"/>
  <c r="N126" i="39" s="1"/>
  <c r="G76" i="39"/>
  <c r="D30" i="39"/>
  <c r="D138" i="39" s="1"/>
  <c r="D127" i="39"/>
  <c r="J127" i="39" s="1"/>
  <c r="D162" i="39"/>
  <c r="D144" i="39"/>
  <c r="D124" i="39"/>
  <c r="H132" i="39"/>
  <c r="H121" i="39"/>
  <c r="H73" i="39"/>
  <c r="H76" i="39" s="1"/>
  <c r="H120" i="39"/>
  <c r="H158" i="39" s="1"/>
  <c r="E157" i="36"/>
  <c r="E156" i="36" s="1"/>
  <c r="E110" i="40" s="1"/>
  <c r="E118" i="36"/>
  <c r="E125" i="36" s="1"/>
  <c r="E65" i="36"/>
  <c r="E80" i="36" s="1"/>
  <c r="M63" i="36"/>
  <c r="D74" i="32"/>
  <c r="D100" i="32"/>
  <c r="D92" i="32"/>
  <c r="D132" i="32"/>
  <c r="K15" i="32"/>
  <c r="K16" i="32" s="1"/>
  <c r="D101" i="32"/>
  <c r="H6" i="32"/>
  <c r="H134" i="32" s="1"/>
  <c r="G134" i="32"/>
  <c r="F153" i="32"/>
  <c r="G7" i="32"/>
  <c r="D147" i="32"/>
  <c r="D116" i="32"/>
  <c r="D111" i="32"/>
  <c r="D70" i="32"/>
  <c r="D60" i="32"/>
  <c r="L55" i="32"/>
  <c r="L56" i="32" s="1"/>
  <c r="D95" i="32"/>
  <c r="E94" i="32"/>
  <c r="D71" i="31"/>
  <c r="D23" i="31"/>
  <c r="D22" i="31" s="1"/>
  <c r="D91" i="31"/>
  <c r="D115" i="31"/>
  <c r="D55" i="31"/>
  <c r="L49" i="31"/>
  <c r="L50" i="31" s="1"/>
  <c r="F153" i="31"/>
  <c r="G7" i="31"/>
  <c r="D99" i="31"/>
  <c r="D96" i="31"/>
  <c r="D92" i="31"/>
  <c r="D18" i="31"/>
  <c r="D97" i="31" s="1"/>
  <c r="D110" i="31"/>
  <c r="D73" i="31"/>
  <c r="D15" i="31"/>
  <c r="H6" i="31"/>
  <c r="H134" i="31" s="1"/>
  <c r="G134" i="31"/>
  <c r="C23" i="29"/>
  <c r="C8" i="29"/>
  <c r="C20" i="29"/>
  <c r="K248" i="1"/>
  <c r="C94" i="29"/>
  <c r="C80" i="29"/>
  <c r="C77" i="29"/>
  <c r="C74" i="29"/>
  <c r="C73" i="29"/>
  <c r="C64" i="29"/>
  <c r="C79" i="29" s="1"/>
  <c r="C61" i="29"/>
  <c r="C56" i="29"/>
  <c r="D56" i="29" s="1"/>
  <c r="E56" i="29" s="1"/>
  <c r="F56" i="29" s="1"/>
  <c r="G56" i="29" s="1"/>
  <c r="H56" i="29" s="1"/>
  <c r="C53" i="29"/>
  <c r="C54" i="29"/>
  <c r="C52" i="29"/>
  <c r="C51" i="29"/>
  <c r="C50" i="29"/>
  <c r="C48" i="29"/>
  <c r="C47" i="29"/>
  <c r="C39" i="29"/>
  <c r="D39" i="29" s="1"/>
  <c r="E39" i="29" s="1"/>
  <c r="F39" i="29" s="1"/>
  <c r="G39" i="29" s="1"/>
  <c r="H39" i="29" s="1"/>
  <c r="C38" i="29"/>
  <c r="D38" i="29" s="1"/>
  <c r="E38" i="29" s="1"/>
  <c r="F38" i="29" s="1"/>
  <c r="G38" i="29" s="1"/>
  <c r="H38" i="29" s="1"/>
  <c r="C36" i="29"/>
  <c r="D36" i="29" s="1"/>
  <c r="C35" i="29"/>
  <c r="C32" i="29"/>
  <c r="C28" i="29"/>
  <c r="D28" i="29" s="1"/>
  <c r="C27" i="29"/>
  <c r="C24" i="29"/>
  <c r="D24" i="29" s="1"/>
  <c r="E24" i="29" s="1"/>
  <c r="F24" i="29" s="1"/>
  <c r="G24" i="29" s="1"/>
  <c r="H24" i="29" s="1"/>
  <c r="C22" i="29"/>
  <c r="C21" i="29" s="1"/>
  <c r="C99" i="29" s="1"/>
  <c r="C19" i="29"/>
  <c r="C18" i="29"/>
  <c r="C97" i="29" s="1"/>
  <c r="D94" i="29" s="1"/>
  <c r="C17" i="29"/>
  <c r="C13" i="29"/>
  <c r="C5" i="29"/>
  <c r="D5" i="29" s="1"/>
  <c r="E5" i="29" s="1"/>
  <c r="F5" i="29" s="1"/>
  <c r="G5" i="29" s="1"/>
  <c r="H5" i="29" s="1"/>
  <c r="D2" i="29"/>
  <c r="E2" i="29" s="1"/>
  <c r="F2" i="29" s="1"/>
  <c r="G2" i="29" s="1"/>
  <c r="H2" i="29" s="1"/>
  <c r="E37" i="37" l="1"/>
  <c r="D35" i="37"/>
  <c r="H73" i="37"/>
  <c r="H76" i="37" s="1"/>
  <c r="H132" i="37"/>
  <c r="H120" i="37"/>
  <c r="H158" i="37" s="1"/>
  <c r="H121" i="37"/>
  <c r="D129" i="39"/>
  <c r="D66" i="40" s="1"/>
  <c r="D161" i="39"/>
  <c r="D160" i="39" s="1"/>
  <c r="D131" i="40" s="1"/>
  <c r="D137" i="39"/>
  <c r="E29" i="39"/>
  <c r="E60" i="39" s="1"/>
  <c r="D27" i="39"/>
  <c r="D149" i="39"/>
  <c r="E66" i="36"/>
  <c r="D61" i="32"/>
  <c r="D62" i="32"/>
  <c r="L60" i="32"/>
  <c r="D131" i="32"/>
  <c r="D120" i="32"/>
  <c r="D119" i="32"/>
  <c r="D157" i="32" s="1"/>
  <c r="D72" i="32"/>
  <c r="D75" i="32" s="1"/>
  <c r="D106" i="32"/>
  <c r="D19" i="32"/>
  <c r="D20" i="32" s="1"/>
  <c r="G153" i="32"/>
  <c r="H7" i="32"/>
  <c r="H153" i="32" s="1"/>
  <c r="D125" i="32"/>
  <c r="D121" i="32"/>
  <c r="D132" i="31"/>
  <c r="D101" i="31"/>
  <c r="K15" i="31"/>
  <c r="K16" i="31" s="1"/>
  <c r="D147" i="31"/>
  <c r="D116" i="31"/>
  <c r="D111" i="31"/>
  <c r="L55" i="31"/>
  <c r="L56" i="31" s="1"/>
  <c r="D60" i="31"/>
  <c r="D70" i="31"/>
  <c r="D106" i="31"/>
  <c r="G153" i="31"/>
  <c r="H7" i="31"/>
  <c r="H153" i="31" s="1"/>
  <c r="D95" i="31"/>
  <c r="E94" i="31"/>
  <c r="D74" i="31"/>
  <c r="D100" i="31"/>
  <c r="D32" i="29"/>
  <c r="C31" i="29"/>
  <c r="C16" i="29"/>
  <c r="C110" i="29" s="1"/>
  <c r="C86" i="29"/>
  <c r="C87" i="29"/>
  <c r="D13" i="29"/>
  <c r="E13" i="29" s="1"/>
  <c r="F13" i="29" s="1"/>
  <c r="C59" i="29"/>
  <c r="C26" i="29"/>
  <c r="C49" i="29"/>
  <c r="K49" i="29" s="1"/>
  <c r="C71" i="29"/>
  <c r="C34" i="29"/>
  <c r="C136" i="29" s="1"/>
  <c r="D8" i="29"/>
  <c r="C148" i="29"/>
  <c r="D27" i="29"/>
  <c r="D59" i="29" s="1"/>
  <c r="D35" i="29"/>
  <c r="C100" i="29"/>
  <c r="C91" i="29"/>
  <c r="C96" i="29"/>
  <c r="C95" i="29" s="1"/>
  <c r="C93" i="29" s="1"/>
  <c r="C92" i="29"/>
  <c r="D127" i="37" l="1"/>
  <c r="D162" i="37"/>
  <c r="D144" i="37"/>
  <c r="D30" i="37"/>
  <c r="D124" i="37"/>
  <c r="E148" i="39"/>
  <c r="E58" i="39"/>
  <c r="E61" i="39" s="1"/>
  <c r="E77" i="39"/>
  <c r="D78" i="39"/>
  <c r="D79" i="39" s="1"/>
  <c r="D82" i="39" s="1"/>
  <c r="D43" i="39"/>
  <c r="D44" i="39" s="1"/>
  <c r="D142" i="39"/>
  <c r="D143" i="39"/>
  <c r="D42" i="39"/>
  <c r="M66" i="36"/>
  <c r="E38" i="36"/>
  <c r="D87" i="32"/>
  <c r="D86" i="32"/>
  <c r="D156" i="32"/>
  <c r="D155" i="32" s="1"/>
  <c r="E47" i="32" s="1"/>
  <c r="D117" i="32"/>
  <c r="D124" i="32" s="1"/>
  <c r="L62" i="32"/>
  <c r="D64" i="32"/>
  <c r="D79" i="32" s="1"/>
  <c r="D93" i="32"/>
  <c r="D105" i="32" s="1"/>
  <c r="L60" i="31"/>
  <c r="D61" i="31"/>
  <c r="D62" i="31" s="1"/>
  <c r="D125" i="31"/>
  <c r="D121" i="31"/>
  <c r="D19" i="31"/>
  <c r="D20" i="31" s="1"/>
  <c r="D131" i="31"/>
  <c r="D120" i="31"/>
  <c r="D119" i="31"/>
  <c r="D157" i="31" s="1"/>
  <c r="D72" i="31"/>
  <c r="D75" i="31" s="1"/>
  <c r="C55" i="29"/>
  <c r="C115" i="29"/>
  <c r="C111" i="29"/>
  <c r="C42" i="29"/>
  <c r="C141" i="29"/>
  <c r="E32" i="29"/>
  <c r="D31" i="29"/>
  <c r="G13" i="29"/>
  <c r="E8" i="29"/>
  <c r="C137" i="29"/>
  <c r="C15" i="29"/>
  <c r="C98" i="29"/>
  <c r="C105" i="29"/>
  <c r="C106" i="29"/>
  <c r="D80" i="29"/>
  <c r="E35" i="29"/>
  <c r="C147" i="29"/>
  <c r="C116" i="29"/>
  <c r="K55" i="29"/>
  <c r="E27" i="29"/>
  <c r="C58" i="29"/>
  <c r="D58" i="29" s="1"/>
  <c r="E29" i="37" l="1"/>
  <c r="E60" i="37" s="1"/>
  <c r="D137" i="37"/>
  <c r="D149" i="37"/>
  <c r="D27" i="37"/>
  <c r="D138" i="37"/>
  <c r="D161" i="37"/>
  <c r="D160" i="37" s="1"/>
  <c r="D133" i="40" s="1"/>
  <c r="D129" i="37"/>
  <c r="D68" i="40" s="1"/>
  <c r="M61" i="39"/>
  <c r="E62" i="39"/>
  <c r="E63" i="39" s="1"/>
  <c r="F37" i="36"/>
  <c r="E35" i="36"/>
  <c r="E21" i="32"/>
  <c r="E52" i="32"/>
  <c r="E53" i="32" s="1"/>
  <c r="E16" i="32"/>
  <c r="E54" i="32"/>
  <c r="E17" i="32"/>
  <c r="E91" i="32" s="1"/>
  <c r="E50" i="32"/>
  <c r="E51" i="32"/>
  <c r="E48" i="32"/>
  <c r="D65" i="32"/>
  <c r="D93" i="31"/>
  <c r="D105" i="31" s="1"/>
  <c r="D156" i="31"/>
  <c r="D155" i="31" s="1"/>
  <c r="D117" i="31"/>
  <c r="D124" i="31" s="1"/>
  <c r="D64" i="31"/>
  <c r="D79" i="31" s="1"/>
  <c r="L62" i="31"/>
  <c r="D87" i="31"/>
  <c r="D86" i="31"/>
  <c r="C126" i="29"/>
  <c r="C41" i="29"/>
  <c r="C142" i="29"/>
  <c r="F32" i="29"/>
  <c r="E31" i="29"/>
  <c r="H13" i="29"/>
  <c r="D57" i="29"/>
  <c r="E58" i="29"/>
  <c r="F58" i="29" s="1"/>
  <c r="G58" i="29" s="1"/>
  <c r="H58" i="29" s="1"/>
  <c r="F8" i="29"/>
  <c r="J15" i="29"/>
  <c r="C132" i="29"/>
  <c r="C101" i="29"/>
  <c r="C57" i="29"/>
  <c r="C60" i="29" s="1"/>
  <c r="E80" i="29"/>
  <c r="F35" i="29"/>
  <c r="F27" i="29"/>
  <c r="D42" i="37" l="1"/>
  <c r="D78" i="37"/>
  <c r="D79" i="37" s="1"/>
  <c r="D82" i="37" s="1"/>
  <c r="D142" i="37"/>
  <c r="D143" i="37"/>
  <c r="D43" i="37"/>
  <c r="D44" i="37" s="1"/>
  <c r="E77" i="37"/>
  <c r="E148" i="37"/>
  <c r="E58" i="37"/>
  <c r="E61" i="37" s="1"/>
  <c r="E118" i="39"/>
  <c r="E125" i="39" s="1"/>
  <c r="K125" i="39" s="1"/>
  <c r="E157" i="39"/>
  <c r="E156" i="39" s="1"/>
  <c r="E109" i="40" s="1"/>
  <c r="M63" i="39"/>
  <c r="E65" i="39"/>
  <c r="E80" i="39" s="1"/>
  <c r="E144" i="36"/>
  <c r="E127" i="36"/>
  <c r="E162" i="36"/>
  <c r="E30" i="36"/>
  <c r="E124" i="36"/>
  <c r="E96" i="32"/>
  <c r="E18" i="32"/>
  <c r="E97" i="32" s="1"/>
  <c r="E49" i="32"/>
  <c r="E73" i="32"/>
  <c r="E110" i="32"/>
  <c r="E15" i="32"/>
  <c r="E71" i="32"/>
  <c r="E23" i="32"/>
  <c r="E99" i="32"/>
  <c r="D37" i="32"/>
  <c r="L65" i="32"/>
  <c r="E98" i="32"/>
  <c r="D65" i="31"/>
  <c r="D37" i="31" s="1"/>
  <c r="L65" i="31"/>
  <c r="G32" i="29"/>
  <c r="F31" i="29"/>
  <c r="G8" i="29"/>
  <c r="C121" i="29"/>
  <c r="C125" i="29"/>
  <c r="G27" i="29"/>
  <c r="C62" i="29"/>
  <c r="K60" i="29"/>
  <c r="C6" i="29"/>
  <c r="F80" i="29"/>
  <c r="G35" i="29"/>
  <c r="D295" i="27"/>
  <c r="D296" i="27"/>
  <c r="D299" i="27"/>
  <c r="D302" i="27"/>
  <c r="D280" i="27"/>
  <c r="D281" i="27"/>
  <c r="D284" i="27"/>
  <c r="D287" i="27"/>
  <c r="D265" i="27"/>
  <c r="D266" i="27"/>
  <c r="D269" i="27"/>
  <c r="D272" i="27"/>
  <c r="E62" i="37" l="1"/>
  <c r="E63" i="37" s="1"/>
  <c r="M61" i="37"/>
  <c r="E66" i="39"/>
  <c r="E161" i="36"/>
  <c r="E160" i="36" s="1"/>
  <c r="E132" i="40" s="1"/>
  <c r="E129" i="36"/>
  <c r="E67" i="40" s="1"/>
  <c r="E137" i="36"/>
  <c r="E27" i="36"/>
  <c r="F29" i="36"/>
  <c r="E149" i="36"/>
  <c r="E138" i="36"/>
  <c r="E95" i="32"/>
  <c r="F94" i="32"/>
  <c r="E22" i="32"/>
  <c r="E92" i="32"/>
  <c r="J37" i="32"/>
  <c r="E36" i="32"/>
  <c r="D34" i="32"/>
  <c r="E132" i="32"/>
  <c r="E101" i="32"/>
  <c r="L15" i="32"/>
  <c r="L16" i="32" s="1"/>
  <c r="E55" i="32"/>
  <c r="M49" i="32"/>
  <c r="M50" i="32" s="1"/>
  <c r="E115" i="32"/>
  <c r="J37" i="31"/>
  <c r="E36" i="31"/>
  <c r="D34" i="31"/>
  <c r="H32" i="29"/>
  <c r="H31" i="29" s="1"/>
  <c r="G31" i="29"/>
  <c r="H8" i="29"/>
  <c r="D6" i="29"/>
  <c r="C70" i="29"/>
  <c r="C76" i="29"/>
  <c r="C156" i="29"/>
  <c r="C123" i="29"/>
  <c r="C117" i="29"/>
  <c r="C124" i="29" s="1"/>
  <c r="C65" i="29"/>
  <c r="K65" i="29" s="1"/>
  <c r="K62" i="29"/>
  <c r="C7" i="29"/>
  <c r="G80" i="29"/>
  <c r="H35" i="29"/>
  <c r="H27" i="29"/>
  <c r="E53" i="24"/>
  <c r="F53" i="24"/>
  <c r="G53" i="24"/>
  <c r="H53" i="24"/>
  <c r="H68" i="24" s="1"/>
  <c r="H287" i="27" s="1"/>
  <c r="D53" i="24"/>
  <c r="E68" i="24" s="1"/>
  <c r="E287" i="27" s="1"/>
  <c r="E46" i="24"/>
  <c r="E67" i="24" s="1"/>
  <c r="E286" i="27" s="1"/>
  <c r="F46" i="24"/>
  <c r="G46" i="24"/>
  <c r="G67" i="24" s="1"/>
  <c r="G286" i="27" s="1"/>
  <c r="H46" i="24"/>
  <c r="H67" i="24" s="1"/>
  <c r="H286" i="27" s="1"/>
  <c r="D46" i="24"/>
  <c r="D67" i="24" s="1"/>
  <c r="D286" i="27" s="1"/>
  <c r="F67" i="24"/>
  <c r="F286" i="27" s="1"/>
  <c r="H11" i="24"/>
  <c r="H32" i="24" s="1"/>
  <c r="H271" i="27" s="1"/>
  <c r="E11" i="24"/>
  <c r="E32" i="24" s="1"/>
  <c r="E271" i="27" s="1"/>
  <c r="F11" i="24"/>
  <c r="F32" i="24" s="1"/>
  <c r="F271" i="27" s="1"/>
  <c r="G11" i="24"/>
  <c r="G32" i="24" s="1"/>
  <c r="G271" i="27" s="1"/>
  <c r="D11" i="24"/>
  <c r="D32" i="24" s="1"/>
  <c r="D271" i="27" s="1"/>
  <c r="H18" i="24"/>
  <c r="E18" i="24"/>
  <c r="F18" i="24"/>
  <c r="G18" i="24"/>
  <c r="D18" i="24"/>
  <c r="M63" i="37" l="1"/>
  <c r="E118" i="37"/>
  <c r="E125" i="37" s="1"/>
  <c r="E65" i="37"/>
  <c r="E80" i="37" s="1"/>
  <c r="E157" i="37"/>
  <c r="E156" i="37" s="1"/>
  <c r="E111" i="40" s="1"/>
  <c r="M66" i="39"/>
  <c r="E38" i="39"/>
  <c r="E142" i="36"/>
  <c r="E143" i="36"/>
  <c r="E43" i="36"/>
  <c r="E44" i="36" s="1"/>
  <c r="E78" i="36"/>
  <c r="E79" i="36" s="1"/>
  <c r="E82" i="36" s="1"/>
  <c r="E42" i="36"/>
  <c r="F60" i="36"/>
  <c r="E116" i="32"/>
  <c r="E111" i="32"/>
  <c r="M55" i="32"/>
  <c r="M56" i="32" s="1"/>
  <c r="E70" i="32"/>
  <c r="D137" i="32"/>
  <c r="D126" i="32"/>
  <c r="D143" i="32"/>
  <c r="D161" i="32"/>
  <c r="D123" i="32"/>
  <c r="E106" i="32"/>
  <c r="E121" i="32"/>
  <c r="E125" i="32"/>
  <c r="E74" i="32"/>
  <c r="E100" i="32"/>
  <c r="E19" i="32"/>
  <c r="E20" i="32" s="1"/>
  <c r="D143" i="31"/>
  <c r="D29" i="31"/>
  <c r="D126" i="31"/>
  <c r="D161" i="31"/>
  <c r="D123" i="31"/>
  <c r="C153" i="29"/>
  <c r="D7" i="29"/>
  <c r="H80" i="29"/>
  <c r="C160" i="29"/>
  <c r="C161" i="29"/>
  <c r="C131" i="29"/>
  <c r="C120" i="29"/>
  <c r="C72" i="29"/>
  <c r="C119" i="29"/>
  <c r="C157" i="29" s="1"/>
  <c r="C155" i="29" s="1"/>
  <c r="E6" i="29"/>
  <c r="D76" i="29"/>
  <c r="G68" i="24"/>
  <c r="G287" i="27" s="1"/>
  <c r="F68" i="24"/>
  <c r="F287" i="27" s="1"/>
  <c r="G33" i="24"/>
  <c r="G272" i="27" s="1"/>
  <c r="F33" i="24"/>
  <c r="F272" i="27" s="1"/>
  <c r="H33" i="24"/>
  <c r="H272" i="27" s="1"/>
  <c r="E33" i="24"/>
  <c r="E272" i="27" s="1"/>
  <c r="E107" i="26"/>
  <c r="D107" i="26"/>
  <c r="D51" i="26"/>
  <c r="D7" i="26"/>
  <c r="E7" i="26" s="1"/>
  <c r="D48" i="26"/>
  <c r="D47" i="26"/>
  <c r="E47" i="26" s="1"/>
  <c r="D43" i="26"/>
  <c r="E43" i="26" s="1"/>
  <c r="D44" i="26"/>
  <c r="E44" i="26" s="1"/>
  <c r="D45" i="26"/>
  <c r="E45" i="26" s="1"/>
  <c r="D42" i="26"/>
  <c r="E42" i="26" s="1"/>
  <c r="D40" i="26"/>
  <c r="E40" i="26" s="1"/>
  <c r="D39" i="26"/>
  <c r="E39" i="26" s="1"/>
  <c r="E100" i="26" s="1"/>
  <c r="D36" i="26"/>
  <c r="E36" i="26" s="1"/>
  <c r="D35" i="26"/>
  <c r="E35" i="26" s="1"/>
  <c r="D34" i="26"/>
  <c r="E34" i="26" s="1"/>
  <c r="D32" i="26"/>
  <c r="E32" i="26" s="1"/>
  <c r="E66" i="37" l="1"/>
  <c r="E35" i="39"/>
  <c r="F37" i="39"/>
  <c r="F77" i="36"/>
  <c r="F148" i="36"/>
  <c r="F58" i="36"/>
  <c r="F61" i="36" s="1"/>
  <c r="E93" i="32"/>
  <c r="E105" i="32" s="1"/>
  <c r="D128" i="32"/>
  <c r="D160" i="32"/>
  <c r="D159" i="32" s="1"/>
  <c r="E87" i="32"/>
  <c r="E86" i="32"/>
  <c r="D148" i="32"/>
  <c r="D26" i="32"/>
  <c r="D136" i="32"/>
  <c r="E28" i="32"/>
  <c r="E119" i="32"/>
  <c r="E157" i="32" s="1"/>
  <c r="E131" i="32"/>
  <c r="E120" i="32"/>
  <c r="E72" i="32"/>
  <c r="E75" i="32" s="1"/>
  <c r="E28" i="31"/>
  <c r="D148" i="31"/>
  <c r="D26" i="31"/>
  <c r="D136" i="31"/>
  <c r="D128" i="31"/>
  <c r="D160" i="31"/>
  <c r="D159" i="31" s="1"/>
  <c r="E47" i="31" s="1"/>
  <c r="D137" i="31"/>
  <c r="C159" i="29"/>
  <c r="D21" i="29"/>
  <c r="F6" i="29"/>
  <c r="C128" i="29"/>
  <c r="E7" i="29"/>
  <c r="D153" i="29"/>
  <c r="C75" i="29"/>
  <c r="C78" i="29" s="1"/>
  <c r="C81" i="29" s="1"/>
  <c r="D100" i="26"/>
  <c r="E41" i="26"/>
  <c r="E46" i="26" s="1"/>
  <c r="E33" i="26"/>
  <c r="D41" i="26"/>
  <c r="D33" i="26"/>
  <c r="D84" i="26" s="1"/>
  <c r="H248" i="1"/>
  <c r="H10" i="24" s="1"/>
  <c r="G248" i="1"/>
  <c r="G10" i="24" s="1"/>
  <c r="F248" i="1"/>
  <c r="F10" i="24" s="1"/>
  <c r="E248" i="1"/>
  <c r="E10" i="24" s="1"/>
  <c r="D248" i="1"/>
  <c r="D10" i="24" s="1"/>
  <c r="E268" i="1"/>
  <c r="F268" i="1"/>
  <c r="G268" i="1"/>
  <c r="D268" i="1"/>
  <c r="H259" i="1"/>
  <c r="D259" i="1"/>
  <c r="E38" i="37" l="1"/>
  <c r="M66" i="37"/>
  <c r="E30" i="39"/>
  <c r="E138" i="39" s="1"/>
  <c r="E144" i="39"/>
  <c r="E124" i="39"/>
  <c r="E127" i="39"/>
  <c r="K127" i="39" s="1"/>
  <c r="E162" i="39"/>
  <c r="F62" i="36"/>
  <c r="F63" i="36" s="1"/>
  <c r="N61" i="36"/>
  <c r="E59" i="32"/>
  <c r="D142" i="32"/>
  <c r="D77" i="32"/>
  <c r="D78" i="32" s="1"/>
  <c r="D81" i="32" s="1"/>
  <c r="D141" i="32"/>
  <c r="D42" i="32"/>
  <c r="D43" i="32" s="1"/>
  <c r="D41" i="32"/>
  <c r="D142" i="31"/>
  <c r="D77" i="31"/>
  <c r="D78" i="31" s="1"/>
  <c r="D81" i="31" s="1"/>
  <c r="D141" i="31"/>
  <c r="D42" i="31"/>
  <c r="D43" i="31" s="1"/>
  <c r="D41" i="31"/>
  <c r="E21" i="31"/>
  <c r="E17" i="31"/>
  <c r="E91" i="31" s="1"/>
  <c r="E51" i="31"/>
  <c r="E16" i="31"/>
  <c r="E98" i="31" s="1"/>
  <c r="E48" i="31"/>
  <c r="E49" i="31" s="1"/>
  <c r="E52" i="31"/>
  <c r="E53" i="31" s="1"/>
  <c r="E50" i="31"/>
  <c r="E54" i="31"/>
  <c r="E59" i="31"/>
  <c r="D52" i="29"/>
  <c r="D53" i="29" s="1"/>
  <c r="D71" i="29" s="1"/>
  <c r="D50" i="29"/>
  <c r="D51" i="29"/>
  <c r="D99" i="29"/>
  <c r="D48" i="29"/>
  <c r="D18" i="29" s="1"/>
  <c r="D97" i="29" s="1"/>
  <c r="D17" i="29"/>
  <c r="D91" i="29" s="1"/>
  <c r="D90" i="29" s="1"/>
  <c r="D54" i="29"/>
  <c r="D16" i="29"/>
  <c r="D15" i="29" s="1"/>
  <c r="G6" i="29"/>
  <c r="E153" i="29"/>
  <c r="F7" i="29"/>
  <c r="E84" i="26"/>
  <c r="E61" i="26"/>
  <c r="E62" i="26"/>
  <c r="D46" i="26"/>
  <c r="D61" i="26"/>
  <c r="G257" i="1"/>
  <c r="G45" i="24" s="1"/>
  <c r="F257" i="1"/>
  <c r="D257" i="1"/>
  <c r="E257" i="1"/>
  <c r="H257" i="1"/>
  <c r="E35" i="37" l="1"/>
  <c r="F37" i="37"/>
  <c r="D49" i="29"/>
  <c r="D115" i="29" s="1"/>
  <c r="D96" i="29"/>
  <c r="D95" i="29" s="1"/>
  <c r="E161" i="39"/>
  <c r="E160" i="39" s="1"/>
  <c r="E131" i="40" s="1"/>
  <c r="E129" i="39"/>
  <c r="E66" i="40" s="1"/>
  <c r="E137" i="39"/>
  <c r="E27" i="39"/>
  <c r="E149" i="39"/>
  <c r="F29" i="39"/>
  <c r="F60" i="39" s="1"/>
  <c r="D23" i="29"/>
  <c r="D22" i="29" s="1"/>
  <c r="D74" i="29" s="1"/>
  <c r="F157" i="36"/>
  <c r="F156" i="36" s="1"/>
  <c r="F110" i="40" s="1"/>
  <c r="F118" i="36"/>
  <c r="F125" i="36" s="1"/>
  <c r="N63" i="36"/>
  <c r="F65" i="36"/>
  <c r="F80" i="36" s="1"/>
  <c r="E76" i="32"/>
  <c r="E57" i="32"/>
  <c r="E60" i="32" s="1"/>
  <c r="E147" i="32"/>
  <c r="M49" i="31"/>
  <c r="M50" i="31" s="1"/>
  <c r="E115" i="31"/>
  <c r="E55" i="31"/>
  <c r="E71" i="31"/>
  <c r="E23" i="31"/>
  <c r="E99" i="31"/>
  <c r="E76" i="31"/>
  <c r="E57" i="31"/>
  <c r="E96" i="31"/>
  <c r="E18" i="31"/>
  <c r="E97" i="31" s="1"/>
  <c r="E110" i="31"/>
  <c r="E73" i="31"/>
  <c r="E15" i="31"/>
  <c r="D110" i="29"/>
  <c r="D98" i="29"/>
  <c r="D73" i="29"/>
  <c r="D132" i="29"/>
  <c r="D101" i="29"/>
  <c r="K15" i="29"/>
  <c r="K16" i="29" s="1"/>
  <c r="D55" i="29"/>
  <c r="D111" i="29" s="1"/>
  <c r="L49" i="29"/>
  <c r="L50" i="29" s="1"/>
  <c r="E94" i="29"/>
  <c r="F153" i="29"/>
  <c r="G7" i="29"/>
  <c r="H6" i="29"/>
  <c r="D92" i="29"/>
  <c r="D50" i="26"/>
  <c r="D62" i="26"/>
  <c r="E45" i="24"/>
  <c r="H45" i="24"/>
  <c r="D45" i="24"/>
  <c r="F45" i="24"/>
  <c r="F155" i="6"/>
  <c r="E155" i="6"/>
  <c r="D155" i="6"/>
  <c r="C155" i="6"/>
  <c r="B155" i="6"/>
  <c r="F154" i="6"/>
  <c r="E154" i="6"/>
  <c r="D154" i="6"/>
  <c r="C154" i="6"/>
  <c r="B154" i="6"/>
  <c r="F153" i="6"/>
  <c r="E153" i="6"/>
  <c r="D153" i="6"/>
  <c r="C153" i="6"/>
  <c r="B153" i="6"/>
  <c r="F152" i="6"/>
  <c r="H81" i="24" s="1"/>
  <c r="H102" i="24" s="1"/>
  <c r="H301" i="27" s="1"/>
  <c r="E152" i="6"/>
  <c r="G81" i="24" s="1"/>
  <c r="G102" i="24" s="1"/>
  <c r="G301" i="27" s="1"/>
  <c r="D152" i="6"/>
  <c r="F81" i="24" s="1"/>
  <c r="F102" i="24" s="1"/>
  <c r="F301" i="27" s="1"/>
  <c r="C152" i="6"/>
  <c r="E81" i="24" s="1"/>
  <c r="E102" i="24" s="1"/>
  <c r="E301" i="27" s="1"/>
  <c r="B152" i="6"/>
  <c r="D81" i="24" s="1"/>
  <c r="D102" i="24" s="1"/>
  <c r="D301" i="27" s="1"/>
  <c r="F151" i="6"/>
  <c r="E151" i="6"/>
  <c r="D151" i="6"/>
  <c r="C151" i="6"/>
  <c r="B151" i="6"/>
  <c r="F150" i="6"/>
  <c r="E150" i="6"/>
  <c r="D150" i="6"/>
  <c r="C150" i="6"/>
  <c r="B150" i="6"/>
  <c r="F149" i="6"/>
  <c r="E149" i="6"/>
  <c r="D149" i="6"/>
  <c r="C149" i="6"/>
  <c r="B149" i="6"/>
  <c r="F148" i="6"/>
  <c r="E148" i="6"/>
  <c r="D148" i="6"/>
  <c r="C148" i="6"/>
  <c r="B148" i="6"/>
  <c r="F147" i="6"/>
  <c r="E147" i="6"/>
  <c r="D147" i="6"/>
  <c r="C147" i="6"/>
  <c r="B147" i="6"/>
  <c r="F146" i="6"/>
  <c r="E146" i="6"/>
  <c r="D146" i="6"/>
  <c r="C146" i="6"/>
  <c r="B146" i="6"/>
  <c r="F145" i="6"/>
  <c r="E145" i="6"/>
  <c r="D145" i="6"/>
  <c r="C145" i="6"/>
  <c r="B145" i="6"/>
  <c r="F144" i="6"/>
  <c r="E144" i="6"/>
  <c r="D144" i="6"/>
  <c r="C144" i="6"/>
  <c r="B144" i="6"/>
  <c r="F143" i="6"/>
  <c r="E143" i="6"/>
  <c r="D143" i="6"/>
  <c r="C143" i="6"/>
  <c r="B143" i="6"/>
  <c r="F142" i="6"/>
  <c r="E142" i="6"/>
  <c r="D142" i="6"/>
  <c r="C142" i="6"/>
  <c r="B142" i="6"/>
  <c r="F141" i="6"/>
  <c r="E141" i="6"/>
  <c r="D141" i="6"/>
  <c r="C141" i="6"/>
  <c r="B141" i="6"/>
  <c r="E140" i="6"/>
  <c r="B140" i="6"/>
  <c r="F139" i="6"/>
  <c r="D139" i="6"/>
  <c r="C139" i="6"/>
  <c r="B139" i="6"/>
  <c r="F138" i="6"/>
  <c r="E138" i="6"/>
  <c r="D138" i="6"/>
  <c r="C138" i="6"/>
  <c r="B138" i="6"/>
  <c r="F137" i="6"/>
  <c r="E137" i="6"/>
  <c r="D137" i="6"/>
  <c r="C137" i="6"/>
  <c r="B137" i="6"/>
  <c r="F136" i="6"/>
  <c r="E136" i="6"/>
  <c r="D136" i="6"/>
  <c r="C136" i="6"/>
  <c r="B136" i="6"/>
  <c r="F135" i="6"/>
  <c r="E135" i="6"/>
  <c r="D135" i="6"/>
  <c r="B135" i="6"/>
  <c r="F134" i="6"/>
  <c r="E134" i="6"/>
  <c r="D134" i="6"/>
  <c r="C134" i="6"/>
  <c r="B134" i="6"/>
  <c r="F133" i="6"/>
  <c r="E133" i="6"/>
  <c r="D133" i="6"/>
  <c r="C133" i="6"/>
  <c r="B133" i="6"/>
  <c r="F132" i="6"/>
  <c r="E132" i="6"/>
  <c r="D132" i="6"/>
  <c r="C132" i="6"/>
  <c r="B132" i="6"/>
  <c r="F131" i="6"/>
  <c r="E131" i="6"/>
  <c r="D131" i="6"/>
  <c r="C131" i="6"/>
  <c r="B131" i="6"/>
  <c r="F130" i="6"/>
  <c r="E130" i="6"/>
  <c r="D130" i="6"/>
  <c r="C130" i="6"/>
  <c r="B130" i="6"/>
  <c r="F129" i="6"/>
  <c r="E129" i="6"/>
  <c r="D129" i="6"/>
  <c r="B129" i="6"/>
  <c r="F128" i="6"/>
  <c r="E128" i="6"/>
  <c r="D128" i="6"/>
  <c r="B128" i="6"/>
  <c r="F127" i="6"/>
  <c r="E127" i="6"/>
  <c r="D127" i="6"/>
  <c r="C127" i="6"/>
  <c r="B127" i="6"/>
  <c r="F126" i="6"/>
  <c r="E126" i="6"/>
  <c r="D126" i="6"/>
  <c r="C126" i="6"/>
  <c r="B126" i="6"/>
  <c r="F125" i="6"/>
  <c r="E125" i="6"/>
  <c r="D125" i="6"/>
  <c r="B125" i="6"/>
  <c r="F124" i="6"/>
  <c r="E124" i="6"/>
  <c r="D124" i="6"/>
  <c r="B124" i="6"/>
  <c r="F123" i="6"/>
  <c r="E123" i="6"/>
  <c r="D123" i="6"/>
  <c r="B123" i="6"/>
  <c r="F122" i="6"/>
  <c r="E122" i="6"/>
  <c r="D122" i="6"/>
  <c r="C122" i="6"/>
  <c r="B122" i="6"/>
  <c r="F121" i="6"/>
  <c r="E121" i="6"/>
  <c r="D121" i="6"/>
  <c r="C121" i="6"/>
  <c r="B121" i="6"/>
  <c r="F120" i="6"/>
  <c r="E120" i="6"/>
  <c r="D120" i="6"/>
  <c r="C120" i="6"/>
  <c r="B120" i="6"/>
  <c r="F119" i="6"/>
  <c r="E119" i="6"/>
  <c r="D119" i="6"/>
  <c r="C119" i="6"/>
  <c r="B119" i="6"/>
  <c r="F118" i="6"/>
  <c r="E118" i="6"/>
  <c r="D118" i="6"/>
  <c r="C118" i="6"/>
  <c r="B118" i="6"/>
  <c r="F117" i="6"/>
  <c r="E117" i="6"/>
  <c r="D117" i="6"/>
  <c r="C117" i="6"/>
  <c r="B117" i="6"/>
  <c r="F116" i="6"/>
  <c r="E116" i="6"/>
  <c r="D116" i="6"/>
  <c r="C116" i="6"/>
  <c r="B116" i="6"/>
  <c r="F115" i="6"/>
  <c r="E115" i="6"/>
  <c r="D115" i="6"/>
  <c r="C115" i="6"/>
  <c r="B115" i="6"/>
  <c r="F114" i="6"/>
  <c r="E114" i="6"/>
  <c r="D114" i="6"/>
  <c r="C114" i="6"/>
  <c r="B114" i="6"/>
  <c r="F113" i="6"/>
  <c r="E113" i="6"/>
  <c r="D113" i="6"/>
  <c r="C113" i="6"/>
  <c r="B113" i="6"/>
  <c r="F112" i="6"/>
  <c r="E112" i="6"/>
  <c r="D112" i="6"/>
  <c r="C112" i="6"/>
  <c r="B112" i="6"/>
  <c r="F106" i="6"/>
  <c r="E106" i="6"/>
  <c r="D106" i="6"/>
  <c r="C106" i="6"/>
  <c r="B106" i="6"/>
  <c r="F105" i="6"/>
  <c r="E105" i="6"/>
  <c r="D105" i="6"/>
  <c r="C105" i="6"/>
  <c r="B105" i="6"/>
  <c r="F104" i="6"/>
  <c r="E104" i="6"/>
  <c r="D104" i="6"/>
  <c r="C104" i="6"/>
  <c r="B104" i="6"/>
  <c r="F103" i="6"/>
  <c r="E103" i="6"/>
  <c r="D103" i="6"/>
  <c r="F102" i="6"/>
  <c r="E102" i="6"/>
  <c r="D102" i="6"/>
  <c r="F101" i="6"/>
  <c r="E101" i="6"/>
  <c r="D101" i="6"/>
  <c r="C101" i="6"/>
  <c r="B101" i="6"/>
  <c r="F100" i="6"/>
  <c r="E100" i="6"/>
  <c r="D100" i="6"/>
  <c r="C100" i="6"/>
  <c r="B100" i="6"/>
  <c r="F99" i="6"/>
  <c r="E99" i="6"/>
  <c r="D99" i="6"/>
  <c r="C99" i="6"/>
  <c r="B99" i="6"/>
  <c r="F98" i="6"/>
  <c r="E98" i="6"/>
  <c r="D98" i="6"/>
  <c r="C98" i="6"/>
  <c r="B98" i="6"/>
  <c r="F97" i="6"/>
  <c r="E97" i="6"/>
  <c r="D97" i="6"/>
  <c r="C97" i="6"/>
  <c r="B97" i="6"/>
  <c r="F96" i="6"/>
  <c r="E96" i="6"/>
  <c r="D96" i="6"/>
  <c r="C96" i="6"/>
  <c r="B96" i="6"/>
  <c r="F95" i="6"/>
  <c r="E95" i="6"/>
  <c r="D95" i="6"/>
  <c r="C95" i="6"/>
  <c r="B95" i="6"/>
  <c r="F94" i="6"/>
  <c r="E94" i="6"/>
  <c r="D94" i="6"/>
  <c r="C94" i="6"/>
  <c r="B94" i="6"/>
  <c r="F88" i="6"/>
  <c r="E88" i="6"/>
  <c r="D88" i="6"/>
  <c r="B88" i="6"/>
  <c r="F87" i="6"/>
  <c r="E87" i="6"/>
  <c r="F86" i="6"/>
  <c r="E86" i="6"/>
  <c r="D86" i="6"/>
  <c r="C86" i="6"/>
  <c r="B86" i="6"/>
  <c r="F85" i="6"/>
  <c r="E85" i="6"/>
  <c r="D85" i="6"/>
  <c r="C85" i="6"/>
  <c r="B85" i="6"/>
  <c r="F84" i="6"/>
  <c r="E84" i="6"/>
  <c r="D84" i="6"/>
  <c r="C84" i="6"/>
  <c r="B84" i="6"/>
  <c r="F83" i="6"/>
  <c r="E83" i="6"/>
  <c r="D83" i="6"/>
  <c r="B83" i="6"/>
  <c r="F82" i="6"/>
  <c r="E82" i="6"/>
  <c r="D82" i="6"/>
  <c r="C82" i="6"/>
  <c r="B82" i="6"/>
  <c r="F81" i="6"/>
  <c r="H88" i="24" s="1"/>
  <c r="E81" i="6"/>
  <c r="G88" i="24" s="1"/>
  <c r="D81" i="6"/>
  <c r="F88" i="24" s="1"/>
  <c r="C81" i="6"/>
  <c r="E88" i="24" s="1"/>
  <c r="B81" i="6"/>
  <c r="D88" i="24" s="1"/>
  <c r="F80" i="6"/>
  <c r="E80" i="6"/>
  <c r="D80" i="6"/>
  <c r="C80" i="6"/>
  <c r="B80" i="6"/>
  <c r="F79" i="6"/>
  <c r="E79" i="6"/>
  <c r="D79" i="6"/>
  <c r="B79" i="6"/>
  <c r="F78" i="6"/>
  <c r="E78" i="6"/>
  <c r="D78" i="6"/>
  <c r="C78" i="6"/>
  <c r="B78" i="6"/>
  <c r="F77" i="6"/>
  <c r="E77" i="6"/>
  <c r="D77" i="6"/>
  <c r="C77" i="6"/>
  <c r="B77" i="6"/>
  <c r="F76" i="6"/>
  <c r="E76" i="6"/>
  <c r="D76" i="6"/>
  <c r="C76" i="6"/>
  <c r="B76" i="6"/>
  <c r="F75" i="6"/>
  <c r="E75" i="6"/>
  <c r="D75" i="6"/>
  <c r="C75" i="6"/>
  <c r="B75" i="6"/>
  <c r="F74" i="6"/>
  <c r="E74" i="6"/>
  <c r="D74" i="6"/>
  <c r="C74" i="6"/>
  <c r="B74" i="6"/>
  <c r="F73" i="6"/>
  <c r="E73" i="6"/>
  <c r="D73" i="6"/>
  <c r="B73" i="6"/>
  <c r="F72" i="6"/>
  <c r="E72" i="6"/>
  <c r="D72" i="6"/>
  <c r="C72" i="6"/>
  <c r="B72" i="6"/>
  <c r="F71" i="6"/>
  <c r="E71" i="6"/>
  <c r="D71" i="6"/>
  <c r="C71" i="6"/>
  <c r="B71" i="6"/>
  <c r="F70" i="6"/>
  <c r="E70" i="6"/>
  <c r="D70" i="6"/>
  <c r="B70" i="6"/>
  <c r="F69" i="6"/>
  <c r="E69" i="6"/>
  <c r="D69" i="6"/>
  <c r="C69" i="6"/>
  <c r="B69" i="6"/>
  <c r="F68" i="6"/>
  <c r="E68" i="6"/>
  <c r="D68" i="6"/>
  <c r="C68" i="6"/>
  <c r="B68" i="6"/>
  <c r="F67" i="6"/>
  <c r="E67" i="6"/>
  <c r="D67" i="6"/>
  <c r="C67" i="6"/>
  <c r="B67" i="6"/>
  <c r="F66" i="6"/>
  <c r="E66" i="6"/>
  <c r="D66" i="6"/>
  <c r="C66" i="6"/>
  <c r="B66" i="6"/>
  <c r="F65" i="6"/>
  <c r="E65" i="6"/>
  <c r="D65" i="6"/>
  <c r="C65" i="6"/>
  <c r="B65" i="6"/>
  <c r="F64" i="6"/>
  <c r="E64" i="6"/>
  <c r="D64" i="6"/>
  <c r="C64" i="6"/>
  <c r="B64" i="6"/>
  <c r="F63" i="6"/>
  <c r="E63" i="6"/>
  <c r="D63" i="6"/>
  <c r="B63" i="6"/>
  <c r="F62" i="6"/>
  <c r="E62" i="6"/>
  <c r="D62" i="6"/>
  <c r="C62" i="6"/>
  <c r="B62" i="6"/>
  <c r="F61" i="6"/>
  <c r="E61" i="6"/>
  <c r="D61" i="6"/>
  <c r="C61" i="6"/>
  <c r="B61" i="6"/>
  <c r="F60" i="6"/>
  <c r="E60" i="6"/>
  <c r="D60" i="6"/>
  <c r="C60" i="6"/>
  <c r="B60" i="6"/>
  <c r="F59" i="6"/>
  <c r="E59" i="6"/>
  <c r="D59" i="6"/>
  <c r="C59" i="6"/>
  <c r="B59" i="6"/>
  <c r="F58" i="6"/>
  <c r="E58" i="6"/>
  <c r="D58" i="6"/>
  <c r="C58" i="6"/>
  <c r="B58" i="6"/>
  <c r="F57" i="6"/>
  <c r="E57" i="6"/>
  <c r="D57" i="6"/>
  <c r="C57" i="6"/>
  <c r="B57" i="6"/>
  <c r="F56" i="6"/>
  <c r="E56" i="6"/>
  <c r="D56" i="6"/>
  <c r="C56" i="6"/>
  <c r="B56" i="6"/>
  <c r="F55" i="6"/>
  <c r="E55" i="6"/>
  <c r="D55" i="6"/>
  <c r="C55" i="6"/>
  <c r="B55" i="6"/>
  <c r="F54" i="6"/>
  <c r="E54" i="6"/>
  <c r="D54" i="6"/>
  <c r="C54" i="6"/>
  <c r="B54" i="6"/>
  <c r="F53" i="6"/>
  <c r="E53" i="6"/>
  <c r="D53" i="6"/>
  <c r="C53" i="6"/>
  <c r="B53" i="6"/>
  <c r="F52" i="6"/>
  <c r="E52" i="6"/>
  <c r="D52" i="6"/>
  <c r="C52" i="6"/>
  <c r="B52" i="6"/>
  <c r="F51" i="6"/>
  <c r="E51" i="6"/>
  <c r="D51" i="6"/>
  <c r="C51" i="6"/>
  <c r="B51" i="6"/>
  <c r="F50" i="6"/>
  <c r="E50" i="6"/>
  <c r="D50" i="6"/>
  <c r="C50" i="6"/>
  <c r="B50" i="6"/>
  <c r="F49" i="6"/>
  <c r="E49" i="6"/>
  <c r="D49" i="6"/>
  <c r="C49" i="6"/>
  <c r="B49" i="6"/>
  <c r="F48" i="6"/>
  <c r="E48" i="6"/>
  <c r="D48" i="6"/>
  <c r="C48" i="6"/>
  <c r="B48" i="6"/>
  <c r="F47" i="6"/>
  <c r="E47" i="6"/>
  <c r="D47" i="6"/>
  <c r="C47" i="6"/>
  <c r="B47" i="6"/>
  <c r="F46" i="6"/>
  <c r="E46" i="6"/>
  <c r="D46" i="6"/>
  <c r="B46" i="6"/>
  <c r="F45" i="6"/>
  <c r="E45" i="6"/>
  <c r="D45" i="6"/>
  <c r="C45" i="6"/>
  <c r="B45" i="6"/>
  <c r="F44" i="6"/>
  <c r="E44" i="6"/>
  <c r="D44" i="6"/>
  <c r="C44" i="6"/>
  <c r="B44" i="6"/>
  <c r="F43" i="6"/>
  <c r="E43" i="6"/>
  <c r="D43" i="6"/>
  <c r="C43" i="6"/>
  <c r="B43" i="6"/>
  <c r="F42" i="6"/>
  <c r="E42" i="6"/>
  <c r="D42" i="6"/>
  <c r="C42" i="6"/>
  <c r="B42" i="6"/>
  <c r="F41" i="6"/>
  <c r="E41" i="6"/>
  <c r="D41" i="6"/>
  <c r="B41" i="6"/>
  <c r="F40" i="6"/>
  <c r="E40" i="6"/>
  <c r="D40" i="6"/>
  <c r="C40" i="6"/>
  <c r="B40" i="6"/>
  <c r="F39" i="6"/>
  <c r="E39" i="6"/>
  <c r="D39" i="6"/>
  <c r="C39" i="6"/>
  <c r="B39" i="6"/>
  <c r="F38" i="6"/>
  <c r="E38" i="6"/>
  <c r="D38" i="6"/>
  <c r="C38" i="6"/>
  <c r="B38" i="6"/>
  <c r="F37" i="6"/>
  <c r="E37" i="6"/>
  <c r="D37" i="6"/>
  <c r="C37" i="6"/>
  <c r="B37" i="6"/>
  <c r="F36" i="6"/>
  <c r="E36" i="6"/>
  <c r="D36" i="6"/>
  <c r="C36" i="6"/>
  <c r="B36" i="6"/>
  <c r="F35" i="6"/>
  <c r="E35" i="6"/>
  <c r="D35" i="6"/>
  <c r="C35" i="6"/>
  <c r="B35" i="6"/>
  <c r="F34" i="6"/>
  <c r="E34" i="6"/>
  <c r="D34" i="6"/>
  <c r="C34" i="6"/>
  <c r="B34" i="6"/>
  <c r="F33" i="6"/>
  <c r="E33" i="6"/>
  <c r="D33" i="6"/>
  <c r="C33" i="6"/>
  <c r="B33" i="6"/>
  <c r="F32" i="6"/>
  <c r="E32" i="6"/>
  <c r="D32" i="6"/>
  <c r="C32" i="6"/>
  <c r="B32" i="6"/>
  <c r="F31" i="6"/>
  <c r="H66" i="1" s="1"/>
  <c r="E31" i="6"/>
  <c r="G66" i="1" s="1"/>
  <c r="D31" i="6"/>
  <c r="F66" i="1" s="1"/>
  <c r="C31" i="6"/>
  <c r="E66" i="1" s="1"/>
  <c r="B31" i="6"/>
  <c r="D66" i="1" s="1"/>
  <c r="F30" i="6"/>
  <c r="E30" i="6"/>
  <c r="D30" i="6"/>
  <c r="C30" i="6"/>
  <c r="B30" i="6"/>
  <c r="F29" i="6"/>
  <c r="E29" i="6"/>
  <c r="D29" i="6"/>
  <c r="C29" i="6"/>
  <c r="B29" i="6"/>
  <c r="F28" i="6"/>
  <c r="E28" i="6"/>
  <c r="D28" i="6"/>
  <c r="B28" i="6"/>
  <c r="F27" i="6"/>
  <c r="E27" i="6"/>
  <c r="D27" i="6"/>
  <c r="C27" i="6"/>
  <c r="B27" i="6"/>
  <c r="F26" i="6"/>
  <c r="E26" i="6"/>
  <c r="D26" i="6"/>
  <c r="C26" i="6"/>
  <c r="B26" i="6"/>
  <c r="F25" i="6"/>
  <c r="E25" i="6"/>
  <c r="D25" i="6"/>
  <c r="C25" i="6"/>
  <c r="B25" i="6"/>
  <c r="F24" i="6"/>
  <c r="E24" i="6"/>
  <c r="D24" i="6"/>
  <c r="C24" i="6"/>
  <c r="B24" i="6"/>
  <c r="I2" i="6"/>
  <c r="E144" i="37" l="1"/>
  <c r="E127" i="37"/>
  <c r="E162" i="37"/>
  <c r="E124" i="37"/>
  <c r="E30" i="37"/>
  <c r="E138" i="37" s="1"/>
  <c r="F148" i="39"/>
  <c r="F77" i="39"/>
  <c r="F58" i="39"/>
  <c r="F61" i="39" s="1"/>
  <c r="E78" i="39"/>
  <c r="E79" i="39" s="1"/>
  <c r="E82" i="39" s="1"/>
  <c r="E43" i="39"/>
  <c r="E44" i="39" s="1"/>
  <c r="E143" i="39"/>
  <c r="E142" i="39"/>
  <c r="E42" i="39"/>
  <c r="G17" i="1"/>
  <c r="G14" i="1" s="1"/>
  <c r="H17" i="1"/>
  <c r="D17" i="1"/>
  <c r="E17" i="1"/>
  <c r="E14" i="1" s="1"/>
  <c r="F66" i="36"/>
  <c r="N66" i="36" s="1"/>
  <c r="F17" i="1"/>
  <c r="F14" i="1" s="1"/>
  <c r="G103" i="24"/>
  <c r="G302" i="27" s="1"/>
  <c r="F103" i="24"/>
  <c r="F302" i="27" s="1"/>
  <c r="E103" i="24"/>
  <c r="E302" i="27" s="1"/>
  <c r="H103" i="24"/>
  <c r="H302" i="27" s="1"/>
  <c r="M60" i="32"/>
  <c r="E61" i="32"/>
  <c r="E62" i="32" s="1"/>
  <c r="E92" i="31"/>
  <c r="E106" i="31" s="1"/>
  <c r="E22" i="31"/>
  <c r="E116" i="31"/>
  <c r="E111" i="31"/>
  <c r="E147" i="31"/>
  <c r="M55" i="31"/>
  <c r="M56" i="31" s="1"/>
  <c r="E70" i="31"/>
  <c r="E60" i="31"/>
  <c r="E95" i="31"/>
  <c r="F94" i="31"/>
  <c r="E132" i="31"/>
  <c r="E101" i="31"/>
  <c r="L15" i="31"/>
  <c r="L16" i="31" s="1"/>
  <c r="D100" i="29"/>
  <c r="D19" i="29"/>
  <c r="D106" i="29"/>
  <c r="G153" i="29"/>
  <c r="H7" i="29"/>
  <c r="H153" i="29" s="1"/>
  <c r="D121" i="29"/>
  <c r="D125" i="29"/>
  <c r="D116" i="29"/>
  <c r="D147" i="29"/>
  <c r="L55" i="29"/>
  <c r="L56" i="29" s="1"/>
  <c r="D70" i="29"/>
  <c r="D60" i="29"/>
  <c r="D52" i="26"/>
  <c r="D6" i="26"/>
  <c r="E11" i="25"/>
  <c r="D10" i="25"/>
  <c r="E10" i="25" s="1"/>
  <c r="E161" i="37" l="1"/>
  <c r="E160" i="37" s="1"/>
  <c r="E133" i="40" s="1"/>
  <c r="E129" i="37"/>
  <c r="E68" i="40" s="1"/>
  <c r="F29" i="37"/>
  <c r="F60" i="37" s="1"/>
  <c r="E137" i="37"/>
  <c r="E149" i="37"/>
  <c r="E27" i="37"/>
  <c r="N61" i="39"/>
  <c r="F62" i="39"/>
  <c r="F63" i="39" s="1"/>
  <c r="F38" i="36"/>
  <c r="F35" i="36" s="1"/>
  <c r="E13" i="25"/>
  <c r="E64" i="32"/>
  <c r="E79" i="32" s="1"/>
  <c r="E156" i="32"/>
  <c r="E155" i="32" s="1"/>
  <c r="E117" i="32"/>
  <c r="E124" i="32" s="1"/>
  <c r="M62" i="32"/>
  <c r="E65" i="32"/>
  <c r="M60" i="31"/>
  <c r="E61" i="31"/>
  <c r="E62" i="31" s="1"/>
  <c r="E119" i="31"/>
  <c r="E157" i="31" s="1"/>
  <c r="E131" i="31"/>
  <c r="E120" i="31"/>
  <c r="E72" i="31"/>
  <c r="E74" i="31"/>
  <c r="E100" i="31"/>
  <c r="E121" i="31"/>
  <c r="E125" i="31"/>
  <c r="E19" i="31"/>
  <c r="E20" i="31" s="1"/>
  <c r="D93" i="29"/>
  <c r="D105" i="29" s="1"/>
  <c r="D20" i="29"/>
  <c r="D119" i="29"/>
  <c r="D157" i="29" s="1"/>
  <c r="D131" i="29"/>
  <c r="D120" i="29"/>
  <c r="D72" i="29"/>
  <c r="L60" i="29"/>
  <c r="D61" i="29"/>
  <c r="D62" i="29" s="1"/>
  <c r="D156" i="29" s="1"/>
  <c r="E79" i="26"/>
  <c r="E75" i="26"/>
  <c r="D79" i="26"/>
  <c r="D75" i="26"/>
  <c r="D63" i="26"/>
  <c r="D87" i="26" s="1"/>
  <c r="D83" i="26"/>
  <c r="D82" i="26" s="1"/>
  <c r="D57" i="11"/>
  <c r="F57" i="11" s="1"/>
  <c r="G57" i="11" s="1"/>
  <c r="F148" i="37" l="1"/>
  <c r="F58" i="37"/>
  <c r="F61" i="37" s="1"/>
  <c r="F77" i="37"/>
  <c r="E78" i="37"/>
  <c r="E79" i="37" s="1"/>
  <c r="E82" i="37" s="1"/>
  <c r="E42" i="37"/>
  <c r="E143" i="37"/>
  <c r="E43" i="37"/>
  <c r="E44" i="37" s="1"/>
  <c r="E142" i="37"/>
  <c r="F157" i="39"/>
  <c r="F156" i="39" s="1"/>
  <c r="F109" i="40" s="1"/>
  <c r="N63" i="39"/>
  <c r="F118" i="39"/>
  <c r="F125" i="39" s="1"/>
  <c r="L125" i="39" s="1"/>
  <c r="F65" i="39"/>
  <c r="F80" i="39" s="1"/>
  <c r="G37" i="36"/>
  <c r="F144" i="36"/>
  <c r="F127" i="36"/>
  <c r="F162" i="36"/>
  <c r="F30" i="36"/>
  <c r="F124" i="36"/>
  <c r="D86" i="29"/>
  <c r="M65" i="32"/>
  <c r="E37" i="32"/>
  <c r="E75" i="31"/>
  <c r="E64" i="31"/>
  <c r="E79" i="31" s="1"/>
  <c r="E156" i="31"/>
  <c r="E155" i="31" s="1"/>
  <c r="F4" i="31" s="1"/>
  <c r="E65" i="31"/>
  <c r="M62" i="31"/>
  <c r="E117" i="31"/>
  <c r="E124" i="31" s="1"/>
  <c r="E86" i="31"/>
  <c r="E87" i="31"/>
  <c r="E93" i="31"/>
  <c r="E105" i="31" s="1"/>
  <c r="D87" i="29"/>
  <c r="D117" i="29"/>
  <c r="D124" i="29" s="1"/>
  <c r="D155" i="29"/>
  <c r="D64" i="29"/>
  <c r="D79" i="29" s="1"/>
  <c r="L62" i="29"/>
  <c r="D75" i="29"/>
  <c r="E94" i="26"/>
  <c r="D94" i="26"/>
  <c r="E90" i="24"/>
  <c r="F90" i="24"/>
  <c r="G90" i="24"/>
  <c r="D90" i="24"/>
  <c r="E86" i="24"/>
  <c r="F86" i="24"/>
  <c r="G86" i="24"/>
  <c r="H86" i="24"/>
  <c r="D86" i="24"/>
  <c r="E76" i="24"/>
  <c r="F76" i="24"/>
  <c r="G76" i="24"/>
  <c r="H76" i="24"/>
  <c r="D76" i="24"/>
  <c r="H55" i="24"/>
  <c r="D55" i="24"/>
  <c r="E51" i="24"/>
  <c r="F51" i="24"/>
  <c r="G51" i="24"/>
  <c r="H51" i="24"/>
  <c r="D51" i="24"/>
  <c r="E41" i="24"/>
  <c r="E59" i="24" s="1"/>
  <c r="E278" i="27" s="1"/>
  <c r="F41" i="24"/>
  <c r="G41" i="24"/>
  <c r="G59" i="24" s="1"/>
  <c r="G278" i="27" s="1"/>
  <c r="H41" i="24"/>
  <c r="H59" i="24" s="1"/>
  <c r="H278" i="27" s="1"/>
  <c r="D41" i="24"/>
  <c r="F59" i="24"/>
  <c r="F278" i="27" s="1"/>
  <c r="H16" i="24"/>
  <c r="E16" i="24"/>
  <c r="F16" i="24"/>
  <c r="G16" i="24"/>
  <c r="D16" i="24"/>
  <c r="F62" i="37" l="1"/>
  <c r="F63" i="37" s="1"/>
  <c r="N61" i="37"/>
  <c r="F66" i="39"/>
  <c r="F149" i="36"/>
  <c r="F27" i="36"/>
  <c r="G29" i="36"/>
  <c r="F137" i="36"/>
  <c r="F138" i="36"/>
  <c r="F129" i="36"/>
  <c r="F67" i="40" s="1"/>
  <c r="F161" i="36"/>
  <c r="F160" i="36" s="1"/>
  <c r="F132" i="40" s="1"/>
  <c r="G94" i="24"/>
  <c r="G293" i="27" s="1"/>
  <c r="G147" i="1"/>
  <c r="F94" i="24"/>
  <c r="F293" i="27" s="1"/>
  <c r="F147" i="1"/>
  <c r="H94" i="24"/>
  <c r="H293" i="27" s="1"/>
  <c r="H147" i="1"/>
  <c r="D77" i="24"/>
  <c r="D147" i="1"/>
  <c r="E94" i="24"/>
  <c r="E293" i="27" s="1"/>
  <c r="E147" i="1"/>
  <c r="F36" i="32"/>
  <c r="E34" i="32"/>
  <c r="M65" i="31"/>
  <c r="E37" i="31"/>
  <c r="D65" i="29"/>
  <c r="G42" i="24"/>
  <c r="D94" i="24"/>
  <c r="D293" i="27" s="1"/>
  <c r="F77" i="24"/>
  <c r="D42" i="24"/>
  <c r="G77" i="24"/>
  <c r="E42" i="24"/>
  <c r="F42" i="24"/>
  <c r="H42" i="24"/>
  <c r="H77" i="24"/>
  <c r="E77" i="24"/>
  <c r="D59" i="24"/>
  <c r="D278" i="27" s="1"/>
  <c r="F65" i="37" l="1"/>
  <c r="F80" i="37" s="1"/>
  <c r="F118" i="37"/>
  <c r="F125" i="37" s="1"/>
  <c r="F157" i="37"/>
  <c r="F156" i="37" s="1"/>
  <c r="F111" i="40" s="1"/>
  <c r="N63" i="37"/>
  <c r="F66" i="37"/>
  <c r="N66" i="39"/>
  <c r="F38" i="39"/>
  <c r="G60" i="36"/>
  <c r="F143" i="36"/>
  <c r="F142" i="36"/>
  <c r="F43" i="36"/>
  <c r="F44" i="36" s="1"/>
  <c r="F78" i="36"/>
  <c r="F79" i="36" s="1"/>
  <c r="F82" i="36" s="1"/>
  <c r="F42" i="36"/>
  <c r="E126" i="32"/>
  <c r="E143" i="32"/>
  <c r="E161" i="32"/>
  <c r="E123" i="32"/>
  <c r="F36" i="31"/>
  <c r="E34" i="31"/>
  <c r="L65" i="29"/>
  <c r="D37" i="29"/>
  <c r="H6" i="24"/>
  <c r="D6" i="24"/>
  <c r="E6" i="24"/>
  <c r="E24" i="24" s="1"/>
  <c r="E263" i="27" s="1"/>
  <c r="F6" i="24"/>
  <c r="F24" i="24" s="1"/>
  <c r="F263" i="27" s="1"/>
  <c r="G6" i="24"/>
  <c r="G24" i="24" s="1"/>
  <c r="G263" i="27" s="1"/>
  <c r="D24" i="24"/>
  <c r="D263" i="27" s="1"/>
  <c r="D314" i="1"/>
  <c r="D78" i="24" s="1"/>
  <c r="E314" i="1"/>
  <c r="E78" i="24" s="1"/>
  <c r="F314" i="1"/>
  <c r="F78" i="24" s="1"/>
  <c r="G314" i="1"/>
  <c r="G78" i="24" s="1"/>
  <c r="H314" i="1"/>
  <c r="H78" i="24" s="1"/>
  <c r="H310" i="1"/>
  <c r="H43" i="24" s="1"/>
  <c r="G310" i="1"/>
  <c r="G43" i="24" s="1"/>
  <c r="F310" i="1"/>
  <c r="F43" i="24" s="1"/>
  <c r="E310" i="1"/>
  <c r="E43" i="24" s="1"/>
  <c r="D310" i="1"/>
  <c r="D43" i="24" s="1"/>
  <c r="H306" i="1"/>
  <c r="H8" i="24" s="1"/>
  <c r="G306" i="1"/>
  <c r="G8" i="24" s="1"/>
  <c r="F306" i="1"/>
  <c r="F8" i="24" s="1"/>
  <c r="E306" i="1"/>
  <c r="E8" i="24" s="1"/>
  <c r="D306" i="1"/>
  <c r="D8" i="24" s="1"/>
  <c r="D64" i="11"/>
  <c r="H313" i="1"/>
  <c r="G313" i="1"/>
  <c r="F313" i="1"/>
  <c r="E313" i="1"/>
  <c r="D313" i="1"/>
  <c r="H309" i="1"/>
  <c r="G309" i="1"/>
  <c r="F309" i="1"/>
  <c r="E309" i="1"/>
  <c r="D309" i="1"/>
  <c r="H305" i="1"/>
  <c r="G305" i="1"/>
  <c r="F305" i="1"/>
  <c r="E305" i="1"/>
  <c r="D305" i="1"/>
  <c r="N66" i="37" l="1"/>
  <c r="F38" i="37"/>
  <c r="G37" i="39"/>
  <c r="F35" i="39"/>
  <c r="G77" i="36"/>
  <c r="G148" i="36"/>
  <c r="G58" i="36"/>
  <c r="G61" i="36" s="1"/>
  <c r="E160" i="32"/>
  <c r="E159" i="32" s="1"/>
  <c r="F4" i="32" s="1"/>
  <c r="F47" i="32" s="1"/>
  <c r="E128" i="32"/>
  <c r="F28" i="32"/>
  <c r="E136" i="32"/>
  <c r="E148" i="32"/>
  <c r="E26" i="32"/>
  <c r="E137" i="32"/>
  <c r="E126" i="31"/>
  <c r="E29" i="31"/>
  <c r="E143" i="31"/>
  <c r="E161" i="31"/>
  <c r="E123" i="31"/>
  <c r="E36" i="29"/>
  <c r="D34" i="29"/>
  <c r="H24" i="24"/>
  <c r="H263" i="27" s="1"/>
  <c r="D54" i="26"/>
  <c r="E7" i="24"/>
  <c r="D7" i="24"/>
  <c r="F7" i="24"/>
  <c r="H7" i="24"/>
  <c r="G7" i="24"/>
  <c r="D9038" i="23"/>
  <c r="C9038" i="23"/>
  <c r="D9037" i="23"/>
  <c r="C9037" i="23"/>
  <c r="D9036" i="23"/>
  <c r="C9036" i="23"/>
  <c r="D9035" i="23"/>
  <c r="C9035" i="23"/>
  <c r="D9034" i="23"/>
  <c r="C9034" i="23"/>
  <c r="D9033" i="23"/>
  <c r="C9033" i="23"/>
  <c r="D9032" i="23"/>
  <c r="C9032" i="23"/>
  <c r="D9031" i="23"/>
  <c r="C9031" i="23"/>
  <c r="D9030" i="23"/>
  <c r="C9030" i="23"/>
  <c r="D9029" i="23"/>
  <c r="C9029" i="23"/>
  <c r="D9028" i="23"/>
  <c r="C9028" i="23"/>
  <c r="D9027" i="23"/>
  <c r="C9027" i="23"/>
  <c r="D9026" i="23"/>
  <c r="C9026" i="23"/>
  <c r="D9025" i="23"/>
  <c r="C9025" i="23"/>
  <c r="D9024" i="23"/>
  <c r="C9024" i="23"/>
  <c r="D9023" i="23"/>
  <c r="C9023" i="23"/>
  <c r="D9022" i="23"/>
  <c r="C9022" i="23"/>
  <c r="D9021" i="23"/>
  <c r="C9021" i="23"/>
  <c r="D9020" i="23"/>
  <c r="C9020" i="23"/>
  <c r="D9019" i="23"/>
  <c r="C9019" i="23"/>
  <c r="D9018" i="23"/>
  <c r="C9018" i="23"/>
  <c r="D9017" i="23"/>
  <c r="C9017" i="23"/>
  <c r="D9016" i="23"/>
  <c r="C9016" i="23"/>
  <c r="D9015" i="23"/>
  <c r="C9015" i="23"/>
  <c r="D9014" i="23"/>
  <c r="C9014" i="23"/>
  <c r="D9013" i="23"/>
  <c r="C9013" i="23"/>
  <c r="D9012" i="23"/>
  <c r="C9012" i="23"/>
  <c r="D9011" i="23"/>
  <c r="C9011" i="23"/>
  <c r="D9010" i="23"/>
  <c r="C9010" i="23"/>
  <c r="D9009" i="23"/>
  <c r="C9009" i="23"/>
  <c r="D9008" i="23"/>
  <c r="C9008" i="23"/>
  <c r="D9007" i="23"/>
  <c r="C9007" i="23"/>
  <c r="D9006" i="23"/>
  <c r="C9006" i="23"/>
  <c r="D9005" i="23"/>
  <c r="C9005" i="23"/>
  <c r="D9004" i="23"/>
  <c r="C9004" i="23"/>
  <c r="D9003" i="23"/>
  <c r="C9003" i="23"/>
  <c r="D9002" i="23"/>
  <c r="C9002" i="23"/>
  <c r="D9001" i="23"/>
  <c r="C9001" i="23"/>
  <c r="D9000" i="23"/>
  <c r="C9000" i="23"/>
  <c r="D8999" i="23"/>
  <c r="C8999" i="23"/>
  <c r="D8998" i="23"/>
  <c r="C8998" i="23"/>
  <c r="D8997" i="23"/>
  <c r="C8997" i="23"/>
  <c r="D8996" i="23"/>
  <c r="C8996" i="23"/>
  <c r="D8995" i="23"/>
  <c r="C8995" i="23"/>
  <c r="D8994" i="23"/>
  <c r="C8994" i="23"/>
  <c r="D8993" i="23"/>
  <c r="C8993" i="23"/>
  <c r="D8992" i="23"/>
  <c r="C8992" i="23"/>
  <c r="D8991" i="23"/>
  <c r="C8991" i="23"/>
  <c r="D8990" i="23"/>
  <c r="C8990" i="23"/>
  <c r="D8989" i="23"/>
  <c r="C8989" i="23"/>
  <c r="D8988" i="23"/>
  <c r="C8988" i="23"/>
  <c r="D8987" i="23"/>
  <c r="C8987" i="23"/>
  <c r="D8986" i="23"/>
  <c r="C8986" i="23"/>
  <c r="D8985" i="23"/>
  <c r="C8985" i="23"/>
  <c r="D8984" i="23"/>
  <c r="C8984" i="23"/>
  <c r="D8983" i="23"/>
  <c r="C8983" i="23"/>
  <c r="D8982" i="23"/>
  <c r="C8982" i="23"/>
  <c r="D8981" i="23"/>
  <c r="C8981" i="23"/>
  <c r="D8980" i="23"/>
  <c r="C8980" i="23"/>
  <c r="D8979" i="23"/>
  <c r="C8979" i="23"/>
  <c r="D8978" i="23"/>
  <c r="C8978" i="23"/>
  <c r="D8977" i="23"/>
  <c r="C8977" i="23"/>
  <c r="D8976" i="23"/>
  <c r="C8976" i="23"/>
  <c r="D8975" i="23"/>
  <c r="C8975" i="23"/>
  <c r="D8974" i="23"/>
  <c r="C8974" i="23"/>
  <c r="D8973" i="23"/>
  <c r="C8973" i="23"/>
  <c r="D8972" i="23"/>
  <c r="C8972" i="23"/>
  <c r="D8971" i="23"/>
  <c r="C8971" i="23"/>
  <c r="D8970" i="23"/>
  <c r="C8970" i="23"/>
  <c r="D8969" i="23"/>
  <c r="C8969" i="23"/>
  <c r="D8968" i="23"/>
  <c r="C8968" i="23"/>
  <c r="D8967" i="23"/>
  <c r="C8967" i="23"/>
  <c r="D8966" i="23"/>
  <c r="C8966" i="23"/>
  <c r="D8965" i="23"/>
  <c r="C8965" i="23"/>
  <c r="D8964" i="23"/>
  <c r="C8964" i="23"/>
  <c r="D8963" i="23"/>
  <c r="C8963" i="23"/>
  <c r="D8962" i="23"/>
  <c r="C8962" i="23"/>
  <c r="D8961" i="23"/>
  <c r="C8961" i="23"/>
  <c r="D8960" i="23"/>
  <c r="C8960" i="23"/>
  <c r="D8959" i="23"/>
  <c r="C8959" i="23"/>
  <c r="D8958" i="23"/>
  <c r="C8958" i="23"/>
  <c r="D8957" i="23"/>
  <c r="C8957" i="23"/>
  <c r="D8956" i="23"/>
  <c r="C8956" i="23"/>
  <c r="D8955" i="23"/>
  <c r="C8955" i="23"/>
  <c r="D8954" i="23"/>
  <c r="C8954" i="23"/>
  <c r="D8953" i="23"/>
  <c r="C8953" i="23"/>
  <c r="D8952" i="23"/>
  <c r="C8952" i="23"/>
  <c r="D8951" i="23"/>
  <c r="C8951" i="23"/>
  <c r="D8950" i="23"/>
  <c r="C8950" i="23"/>
  <c r="D8949" i="23"/>
  <c r="C8949" i="23"/>
  <c r="D8948" i="23"/>
  <c r="C8948" i="23"/>
  <c r="D8947" i="23"/>
  <c r="C8947" i="23"/>
  <c r="D8946" i="23"/>
  <c r="C8946" i="23"/>
  <c r="D8945" i="23"/>
  <c r="C8945" i="23"/>
  <c r="D8944" i="23"/>
  <c r="C8944" i="23"/>
  <c r="D8943" i="23"/>
  <c r="C8943" i="23"/>
  <c r="D8942" i="23"/>
  <c r="C8942" i="23"/>
  <c r="D8941" i="23"/>
  <c r="C8941" i="23"/>
  <c r="D8940" i="23"/>
  <c r="C8940" i="23"/>
  <c r="D8939" i="23"/>
  <c r="C8939" i="23"/>
  <c r="D8938" i="23"/>
  <c r="C8938" i="23"/>
  <c r="D8937" i="23"/>
  <c r="C8937" i="23"/>
  <c r="D8936" i="23"/>
  <c r="C8936" i="23"/>
  <c r="D8935" i="23"/>
  <c r="C8935" i="23"/>
  <c r="D8934" i="23"/>
  <c r="C8934" i="23"/>
  <c r="D8933" i="23"/>
  <c r="C8933" i="23"/>
  <c r="D8932" i="23"/>
  <c r="C8932" i="23"/>
  <c r="D8931" i="23"/>
  <c r="C8931" i="23"/>
  <c r="D8930" i="23"/>
  <c r="C8930" i="23"/>
  <c r="D8929" i="23"/>
  <c r="C8929" i="23"/>
  <c r="D8928" i="23"/>
  <c r="C8928" i="23"/>
  <c r="D8927" i="23"/>
  <c r="C8927" i="23"/>
  <c r="D8926" i="23"/>
  <c r="C8926" i="23"/>
  <c r="D8925" i="23"/>
  <c r="C8925" i="23"/>
  <c r="D8924" i="23"/>
  <c r="C8924" i="23"/>
  <c r="D8923" i="23"/>
  <c r="C8923" i="23"/>
  <c r="D8922" i="23"/>
  <c r="C8922" i="23"/>
  <c r="D8921" i="23"/>
  <c r="C8921" i="23"/>
  <c r="D8920" i="23"/>
  <c r="C8920" i="23"/>
  <c r="D8919" i="23"/>
  <c r="C8919" i="23"/>
  <c r="D8918" i="23"/>
  <c r="C8918" i="23"/>
  <c r="D8917" i="23"/>
  <c r="C8917" i="23"/>
  <c r="D8916" i="23"/>
  <c r="C8916" i="23"/>
  <c r="D8915" i="23"/>
  <c r="C8915" i="23"/>
  <c r="D8914" i="23"/>
  <c r="C8914" i="23"/>
  <c r="D8913" i="23"/>
  <c r="C8913" i="23"/>
  <c r="D8912" i="23"/>
  <c r="C8912" i="23"/>
  <c r="D8911" i="23"/>
  <c r="C8911" i="23"/>
  <c r="D8910" i="23"/>
  <c r="C8910" i="23"/>
  <c r="D8909" i="23"/>
  <c r="C8909" i="23"/>
  <c r="D8908" i="23"/>
  <c r="C8908" i="23"/>
  <c r="D8907" i="23"/>
  <c r="C8907" i="23"/>
  <c r="D8906" i="23"/>
  <c r="C8906" i="23"/>
  <c r="D8905" i="23"/>
  <c r="C8905" i="23"/>
  <c r="D8904" i="23"/>
  <c r="C8904" i="23"/>
  <c r="D8903" i="23"/>
  <c r="C8903" i="23"/>
  <c r="D8902" i="23"/>
  <c r="C8902" i="23"/>
  <c r="D8901" i="23"/>
  <c r="C8901" i="23"/>
  <c r="D8900" i="23"/>
  <c r="C8900" i="23"/>
  <c r="D8899" i="23"/>
  <c r="C8899" i="23"/>
  <c r="D8898" i="23"/>
  <c r="C8898" i="23"/>
  <c r="D8897" i="23"/>
  <c r="C8897" i="23"/>
  <c r="D8896" i="23"/>
  <c r="C8896" i="23"/>
  <c r="D8895" i="23"/>
  <c r="C8895" i="23"/>
  <c r="D8894" i="23"/>
  <c r="C8894" i="23"/>
  <c r="D8893" i="23"/>
  <c r="C8893" i="23"/>
  <c r="D8892" i="23"/>
  <c r="C8892" i="23"/>
  <c r="D8891" i="23"/>
  <c r="C8891" i="23"/>
  <c r="D8890" i="23"/>
  <c r="C8890" i="23"/>
  <c r="D8889" i="23"/>
  <c r="C8889" i="23"/>
  <c r="D8888" i="23"/>
  <c r="C8888" i="23"/>
  <c r="D8887" i="23"/>
  <c r="C8887" i="23"/>
  <c r="D8886" i="23"/>
  <c r="C8886" i="23"/>
  <c r="D8885" i="23"/>
  <c r="C8885" i="23"/>
  <c r="D8884" i="23"/>
  <c r="C8884" i="23"/>
  <c r="D8883" i="23"/>
  <c r="C8883" i="23"/>
  <c r="D8882" i="23"/>
  <c r="C8882" i="23"/>
  <c r="D8881" i="23"/>
  <c r="C8881" i="23"/>
  <c r="D8880" i="23"/>
  <c r="C8880" i="23"/>
  <c r="D8879" i="23"/>
  <c r="C8879" i="23"/>
  <c r="D8878" i="23"/>
  <c r="C8878" i="23"/>
  <c r="D8877" i="23"/>
  <c r="C8877" i="23"/>
  <c r="D8876" i="23"/>
  <c r="C8876" i="23"/>
  <c r="D8875" i="23"/>
  <c r="C8875" i="23"/>
  <c r="D8874" i="23"/>
  <c r="C8874" i="23"/>
  <c r="D8873" i="23"/>
  <c r="C8873" i="23"/>
  <c r="D8872" i="23"/>
  <c r="C8872" i="23"/>
  <c r="D8871" i="23"/>
  <c r="C8871" i="23"/>
  <c r="D8870" i="23"/>
  <c r="C8870" i="23"/>
  <c r="D8869" i="23"/>
  <c r="C8869" i="23"/>
  <c r="D8868" i="23"/>
  <c r="C8868" i="23"/>
  <c r="D8867" i="23"/>
  <c r="C8867" i="23"/>
  <c r="D8866" i="23"/>
  <c r="C8866" i="23"/>
  <c r="D8865" i="23"/>
  <c r="C8865" i="23"/>
  <c r="D8864" i="23"/>
  <c r="C8864" i="23"/>
  <c r="D8863" i="23"/>
  <c r="C8863" i="23"/>
  <c r="D8862" i="23"/>
  <c r="C8862" i="23"/>
  <c r="D8861" i="23"/>
  <c r="C8861" i="23"/>
  <c r="D8860" i="23"/>
  <c r="C8860" i="23"/>
  <c r="D8859" i="23"/>
  <c r="C8859" i="23"/>
  <c r="D8858" i="23"/>
  <c r="C8858" i="23"/>
  <c r="D8857" i="23"/>
  <c r="C8857" i="23"/>
  <c r="D8856" i="23"/>
  <c r="C8856" i="23"/>
  <c r="D8855" i="23"/>
  <c r="C8855" i="23"/>
  <c r="D8854" i="23"/>
  <c r="C8854" i="23"/>
  <c r="D8853" i="23"/>
  <c r="C8853" i="23"/>
  <c r="D8852" i="23"/>
  <c r="C8852" i="23"/>
  <c r="D8851" i="23"/>
  <c r="C8851" i="23"/>
  <c r="D8850" i="23"/>
  <c r="C8850" i="23"/>
  <c r="D8849" i="23"/>
  <c r="C8849" i="23"/>
  <c r="D8848" i="23"/>
  <c r="C8848" i="23"/>
  <c r="D8847" i="23"/>
  <c r="C8847" i="23"/>
  <c r="D8846" i="23"/>
  <c r="C8846" i="23"/>
  <c r="D8845" i="23"/>
  <c r="C8845" i="23"/>
  <c r="D8844" i="23"/>
  <c r="C8844" i="23"/>
  <c r="D8843" i="23"/>
  <c r="C8843" i="23"/>
  <c r="D8842" i="23"/>
  <c r="C8842" i="23"/>
  <c r="D8841" i="23"/>
  <c r="C8841" i="23"/>
  <c r="D8840" i="23"/>
  <c r="C8840" i="23"/>
  <c r="D8839" i="23"/>
  <c r="C8839" i="23"/>
  <c r="D8838" i="23"/>
  <c r="C8838" i="23"/>
  <c r="D8837" i="23"/>
  <c r="C8837" i="23"/>
  <c r="D8836" i="23"/>
  <c r="C8836" i="23"/>
  <c r="D8835" i="23"/>
  <c r="C8835" i="23"/>
  <c r="D8834" i="23"/>
  <c r="C8834" i="23"/>
  <c r="D8833" i="23"/>
  <c r="C8833" i="23"/>
  <c r="D8832" i="23"/>
  <c r="C8832" i="23"/>
  <c r="D8831" i="23"/>
  <c r="C8831" i="23"/>
  <c r="D8830" i="23"/>
  <c r="C8830" i="23"/>
  <c r="D8829" i="23"/>
  <c r="C8829" i="23"/>
  <c r="D8828" i="23"/>
  <c r="C8828" i="23"/>
  <c r="D8827" i="23"/>
  <c r="C8827" i="23"/>
  <c r="D8826" i="23"/>
  <c r="C8826" i="23"/>
  <c r="D8825" i="23"/>
  <c r="C8825" i="23"/>
  <c r="D8824" i="23"/>
  <c r="C8824" i="23"/>
  <c r="D8823" i="23"/>
  <c r="C8823" i="23"/>
  <c r="D8822" i="23"/>
  <c r="C8822" i="23"/>
  <c r="D8821" i="23"/>
  <c r="C8821" i="23"/>
  <c r="D8820" i="23"/>
  <c r="C8820" i="23"/>
  <c r="D8819" i="23"/>
  <c r="C8819" i="23"/>
  <c r="D8818" i="23"/>
  <c r="C8818" i="23"/>
  <c r="D8817" i="23"/>
  <c r="C8817" i="23"/>
  <c r="D8816" i="23"/>
  <c r="C8816" i="23"/>
  <c r="D8815" i="23"/>
  <c r="C8815" i="23"/>
  <c r="D8814" i="23"/>
  <c r="C8814" i="23"/>
  <c r="D8813" i="23"/>
  <c r="C8813" i="23"/>
  <c r="D8812" i="23"/>
  <c r="C8812" i="23"/>
  <c r="D8811" i="23"/>
  <c r="C8811" i="23"/>
  <c r="D8810" i="23"/>
  <c r="C8810" i="23"/>
  <c r="D8809" i="23"/>
  <c r="C8809" i="23"/>
  <c r="D8808" i="23"/>
  <c r="C8808" i="23"/>
  <c r="D8807" i="23"/>
  <c r="C8807" i="23"/>
  <c r="D8806" i="23"/>
  <c r="C8806" i="23"/>
  <c r="D8805" i="23"/>
  <c r="C8805" i="23"/>
  <c r="D8804" i="23"/>
  <c r="C8804" i="23"/>
  <c r="D8803" i="23"/>
  <c r="C8803" i="23"/>
  <c r="D8802" i="23"/>
  <c r="C8802" i="23"/>
  <c r="D8801" i="23"/>
  <c r="C8801" i="23"/>
  <c r="D8800" i="23"/>
  <c r="C8800" i="23"/>
  <c r="D8799" i="23"/>
  <c r="C8799" i="23"/>
  <c r="D8798" i="23"/>
  <c r="C8798" i="23"/>
  <c r="D8797" i="23"/>
  <c r="C8797" i="23"/>
  <c r="D8796" i="23"/>
  <c r="C8796" i="23"/>
  <c r="D8795" i="23"/>
  <c r="C8795" i="23"/>
  <c r="D8794" i="23"/>
  <c r="C8794" i="23"/>
  <c r="D8793" i="23"/>
  <c r="C8793" i="23"/>
  <c r="D8792" i="23"/>
  <c r="C8792" i="23"/>
  <c r="D8791" i="23"/>
  <c r="C8791" i="23"/>
  <c r="D8790" i="23"/>
  <c r="C8790" i="23"/>
  <c r="D8789" i="23"/>
  <c r="C8789" i="23"/>
  <c r="D8788" i="23"/>
  <c r="C8788" i="23"/>
  <c r="D8787" i="23"/>
  <c r="C8787" i="23"/>
  <c r="D8786" i="23"/>
  <c r="C8786" i="23"/>
  <c r="D8785" i="23"/>
  <c r="C8785" i="23"/>
  <c r="D8784" i="23"/>
  <c r="C8784" i="23"/>
  <c r="D8783" i="23"/>
  <c r="C8783" i="23"/>
  <c r="D8782" i="23"/>
  <c r="C8782" i="23"/>
  <c r="D8781" i="23"/>
  <c r="C8781" i="23"/>
  <c r="D8780" i="23"/>
  <c r="C8780" i="23"/>
  <c r="D8779" i="23"/>
  <c r="C8779" i="23"/>
  <c r="D8778" i="23"/>
  <c r="C8778" i="23"/>
  <c r="D8777" i="23"/>
  <c r="C8777" i="23"/>
  <c r="D8776" i="23"/>
  <c r="C8776" i="23"/>
  <c r="D8775" i="23"/>
  <c r="C8775" i="23"/>
  <c r="D8774" i="23"/>
  <c r="C8774" i="23"/>
  <c r="D8773" i="23"/>
  <c r="C8773" i="23"/>
  <c r="D8772" i="23"/>
  <c r="C8772" i="23"/>
  <c r="D8771" i="23"/>
  <c r="C8771" i="23"/>
  <c r="D8770" i="23"/>
  <c r="C8770" i="23"/>
  <c r="D8769" i="23"/>
  <c r="C8769" i="23"/>
  <c r="D8768" i="23"/>
  <c r="C8768" i="23"/>
  <c r="D8767" i="23"/>
  <c r="C8767" i="23"/>
  <c r="D8766" i="23"/>
  <c r="C8766" i="23"/>
  <c r="D8765" i="23"/>
  <c r="C8765" i="23"/>
  <c r="D8764" i="23"/>
  <c r="C8764" i="23"/>
  <c r="D8763" i="23"/>
  <c r="C8763" i="23"/>
  <c r="D8762" i="23"/>
  <c r="C8762" i="23"/>
  <c r="D8761" i="23"/>
  <c r="C8761" i="23"/>
  <c r="D8760" i="23"/>
  <c r="C8760" i="23"/>
  <c r="D8759" i="23"/>
  <c r="C8759" i="23"/>
  <c r="D8758" i="23"/>
  <c r="C8758" i="23"/>
  <c r="D8757" i="23"/>
  <c r="C8757" i="23"/>
  <c r="D8756" i="23"/>
  <c r="C8756" i="23"/>
  <c r="D8755" i="23"/>
  <c r="C8755" i="23"/>
  <c r="D8754" i="23"/>
  <c r="C8754" i="23"/>
  <c r="D8753" i="23"/>
  <c r="C8753" i="23"/>
  <c r="D8752" i="23"/>
  <c r="C8752" i="23"/>
  <c r="D8751" i="23"/>
  <c r="C8751" i="23"/>
  <c r="D8750" i="23"/>
  <c r="C8750" i="23"/>
  <c r="D8749" i="23"/>
  <c r="C8749" i="23"/>
  <c r="D8748" i="23"/>
  <c r="C8748" i="23"/>
  <c r="D8747" i="23"/>
  <c r="C8747" i="23"/>
  <c r="D8746" i="23"/>
  <c r="C8746" i="23"/>
  <c r="D8745" i="23"/>
  <c r="C8745" i="23"/>
  <c r="D8744" i="23"/>
  <c r="C8744" i="23"/>
  <c r="D8743" i="23"/>
  <c r="C8743" i="23"/>
  <c r="D8742" i="23"/>
  <c r="C8742" i="23"/>
  <c r="D8741" i="23"/>
  <c r="C8741" i="23"/>
  <c r="D8740" i="23"/>
  <c r="C8740" i="23"/>
  <c r="D8739" i="23"/>
  <c r="C8739" i="23"/>
  <c r="D8738" i="23"/>
  <c r="C8738" i="23"/>
  <c r="D8737" i="23"/>
  <c r="C8737" i="23"/>
  <c r="D8736" i="23"/>
  <c r="C8736" i="23"/>
  <c r="D8735" i="23"/>
  <c r="C8735" i="23"/>
  <c r="D8734" i="23"/>
  <c r="C8734" i="23"/>
  <c r="D8733" i="23"/>
  <c r="C8733" i="23"/>
  <c r="D8732" i="23"/>
  <c r="C8732" i="23"/>
  <c r="D8731" i="23"/>
  <c r="C8731" i="23"/>
  <c r="D8730" i="23"/>
  <c r="C8730" i="23"/>
  <c r="D8729" i="23"/>
  <c r="C8729" i="23"/>
  <c r="D8728" i="23"/>
  <c r="C8728" i="23"/>
  <c r="D8727" i="23"/>
  <c r="C8727" i="23"/>
  <c r="D8726" i="23"/>
  <c r="C8726" i="23"/>
  <c r="D8725" i="23"/>
  <c r="C8725" i="23"/>
  <c r="D8724" i="23"/>
  <c r="C8724" i="23"/>
  <c r="D8723" i="23"/>
  <c r="C8723" i="23"/>
  <c r="D8722" i="23"/>
  <c r="C8722" i="23"/>
  <c r="D8721" i="23"/>
  <c r="C8721" i="23"/>
  <c r="D8720" i="23"/>
  <c r="C8720" i="23"/>
  <c r="D8719" i="23"/>
  <c r="C8719" i="23"/>
  <c r="D8718" i="23"/>
  <c r="C8718" i="23"/>
  <c r="D8717" i="23"/>
  <c r="C8717" i="23"/>
  <c r="D8716" i="23"/>
  <c r="C8716" i="23"/>
  <c r="D8715" i="23"/>
  <c r="C8715" i="23"/>
  <c r="D8714" i="23"/>
  <c r="C8714" i="23"/>
  <c r="D8713" i="23"/>
  <c r="C8713" i="23"/>
  <c r="D8712" i="23"/>
  <c r="C8712" i="23"/>
  <c r="D8711" i="23"/>
  <c r="C8711" i="23"/>
  <c r="D8710" i="23"/>
  <c r="C8710" i="23"/>
  <c r="D8709" i="23"/>
  <c r="C8709" i="23"/>
  <c r="D8708" i="23"/>
  <c r="C8708" i="23"/>
  <c r="D8707" i="23"/>
  <c r="C8707" i="23"/>
  <c r="D8706" i="23"/>
  <c r="C8706" i="23"/>
  <c r="D8705" i="23"/>
  <c r="C8705" i="23"/>
  <c r="D8704" i="23"/>
  <c r="C8704" i="23"/>
  <c r="D8703" i="23"/>
  <c r="C8703" i="23"/>
  <c r="D8702" i="23"/>
  <c r="C8702" i="23"/>
  <c r="D8701" i="23"/>
  <c r="C8701" i="23"/>
  <c r="D8700" i="23"/>
  <c r="C8700" i="23"/>
  <c r="D8699" i="23"/>
  <c r="C8699" i="23"/>
  <c r="D8698" i="23"/>
  <c r="C8698" i="23"/>
  <c r="D8697" i="23"/>
  <c r="C8697" i="23"/>
  <c r="D8696" i="23"/>
  <c r="C8696" i="23"/>
  <c r="D8695" i="23"/>
  <c r="C8695" i="23"/>
  <c r="D8694" i="23"/>
  <c r="C8694" i="23"/>
  <c r="D8693" i="23"/>
  <c r="C8693" i="23"/>
  <c r="D8692" i="23"/>
  <c r="C8692" i="23"/>
  <c r="D8691" i="23"/>
  <c r="C8691" i="23"/>
  <c r="D8690" i="23"/>
  <c r="C8690" i="23"/>
  <c r="D8689" i="23"/>
  <c r="C8689" i="23"/>
  <c r="D8688" i="23"/>
  <c r="C8688" i="23"/>
  <c r="D8687" i="23"/>
  <c r="C8687" i="23"/>
  <c r="D8686" i="23"/>
  <c r="C8686" i="23"/>
  <c r="D8685" i="23"/>
  <c r="C8685" i="23"/>
  <c r="D8684" i="23"/>
  <c r="C8684" i="23"/>
  <c r="D8683" i="23"/>
  <c r="C8683" i="23"/>
  <c r="D8682" i="23"/>
  <c r="C8682" i="23"/>
  <c r="D8681" i="23"/>
  <c r="C8681" i="23"/>
  <c r="D8680" i="23"/>
  <c r="C8680" i="23"/>
  <c r="D8679" i="23"/>
  <c r="C8679" i="23"/>
  <c r="D8678" i="23"/>
  <c r="C8678" i="23"/>
  <c r="D8677" i="23"/>
  <c r="C8677" i="23"/>
  <c r="D8676" i="23"/>
  <c r="C8676" i="23"/>
  <c r="D8675" i="23"/>
  <c r="C8675" i="23"/>
  <c r="D8674" i="23"/>
  <c r="C8674" i="23"/>
  <c r="D8673" i="23"/>
  <c r="C8673" i="23"/>
  <c r="D8672" i="23"/>
  <c r="C8672" i="23"/>
  <c r="D8671" i="23"/>
  <c r="C8671" i="23"/>
  <c r="D8670" i="23"/>
  <c r="C8670" i="23"/>
  <c r="D8669" i="23"/>
  <c r="C8669" i="23"/>
  <c r="D8668" i="23"/>
  <c r="C8668" i="23"/>
  <c r="D8667" i="23"/>
  <c r="C8667" i="23"/>
  <c r="D8666" i="23"/>
  <c r="C8666" i="23"/>
  <c r="D8665" i="23"/>
  <c r="C8665" i="23"/>
  <c r="D8664" i="23"/>
  <c r="C8664" i="23"/>
  <c r="D8663" i="23"/>
  <c r="C8663" i="23"/>
  <c r="D8662" i="23"/>
  <c r="C8662" i="23"/>
  <c r="D8661" i="23"/>
  <c r="C8661" i="23"/>
  <c r="D8660" i="23"/>
  <c r="C8660" i="23"/>
  <c r="D8659" i="23"/>
  <c r="C8659" i="23"/>
  <c r="D8658" i="23"/>
  <c r="C8658" i="23"/>
  <c r="D8657" i="23"/>
  <c r="C8657" i="23"/>
  <c r="D8656" i="23"/>
  <c r="C8656" i="23"/>
  <c r="D8655" i="23"/>
  <c r="C8655" i="23"/>
  <c r="D8654" i="23"/>
  <c r="C8654" i="23"/>
  <c r="D8653" i="23"/>
  <c r="C8653" i="23"/>
  <c r="D8652" i="23"/>
  <c r="C8652" i="23"/>
  <c r="D8651" i="23"/>
  <c r="C8651" i="23"/>
  <c r="D8650" i="23"/>
  <c r="C8650" i="23"/>
  <c r="D8649" i="23"/>
  <c r="C8649" i="23"/>
  <c r="D8648" i="23"/>
  <c r="C8648" i="23"/>
  <c r="D8647" i="23"/>
  <c r="C8647" i="23"/>
  <c r="D8646" i="23"/>
  <c r="C8646" i="23"/>
  <c r="D8645" i="23"/>
  <c r="C8645" i="23"/>
  <c r="D8644" i="23"/>
  <c r="C8644" i="23"/>
  <c r="D8643" i="23"/>
  <c r="C8643" i="23"/>
  <c r="D8642" i="23"/>
  <c r="C8642" i="23"/>
  <c r="D8641" i="23"/>
  <c r="C8641" i="23"/>
  <c r="D8640" i="23"/>
  <c r="C8640" i="23"/>
  <c r="D8639" i="23"/>
  <c r="C8639" i="23"/>
  <c r="D8638" i="23"/>
  <c r="C8638" i="23"/>
  <c r="D8637" i="23"/>
  <c r="C8637" i="23"/>
  <c r="D8636" i="23"/>
  <c r="C8636" i="23"/>
  <c r="D8635" i="23"/>
  <c r="C8635" i="23"/>
  <c r="D8634" i="23"/>
  <c r="C8634" i="23"/>
  <c r="D8633" i="23"/>
  <c r="C8633" i="23"/>
  <c r="D8632" i="23"/>
  <c r="C8632" i="23"/>
  <c r="D8631" i="23"/>
  <c r="C8631" i="23"/>
  <c r="D8630" i="23"/>
  <c r="C8630" i="23"/>
  <c r="D8629" i="23"/>
  <c r="C8629" i="23"/>
  <c r="D8628" i="23"/>
  <c r="C8628" i="23"/>
  <c r="D8627" i="23"/>
  <c r="C8627" i="23"/>
  <c r="D8626" i="23"/>
  <c r="C8626" i="23"/>
  <c r="D8625" i="23"/>
  <c r="C8625" i="23"/>
  <c r="D8624" i="23"/>
  <c r="C8624" i="23"/>
  <c r="D8623" i="23"/>
  <c r="C8623" i="23"/>
  <c r="D8622" i="23"/>
  <c r="C8622" i="23"/>
  <c r="D8621" i="23"/>
  <c r="C8621" i="23"/>
  <c r="D8620" i="23"/>
  <c r="C8620" i="23"/>
  <c r="D8619" i="23"/>
  <c r="C8619" i="23"/>
  <c r="D8618" i="23"/>
  <c r="C8618" i="23"/>
  <c r="D8617" i="23"/>
  <c r="C8617" i="23"/>
  <c r="D8616" i="23"/>
  <c r="C8616" i="23"/>
  <c r="D8615" i="23"/>
  <c r="C8615" i="23"/>
  <c r="D8614" i="23"/>
  <c r="C8614" i="23"/>
  <c r="D8613" i="23"/>
  <c r="C8613" i="23"/>
  <c r="D8612" i="23"/>
  <c r="C8612" i="23"/>
  <c r="D8611" i="23"/>
  <c r="C8611" i="23"/>
  <c r="D8610" i="23"/>
  <c r="C8610" i="23"/>
  <c r="D8609" i="23"/>
  <c r="C8609" i="23"/>
  <c r="D8608" i="23"/>
  <c r="C8608" i="23"/>
  <c r="D8607" i="23"/>
  <c r="C8607" i="23"/>
  <c r="D8606" i="23"/>
  <c r="C8606" i="23"/>
  <c r="D8605" i="23"/>
  <c r="C8605" i="23"/>
  <c r="D8604" i="23"/>
  <c r="C8604" i="23"/>
  <c r="D8603" i="23"/>
  <c r="C8603" i="23"/>
  <c r="D8602" i="23"/>
  <c r="C8602" i="23"/>
  <c r="D8601" i="23"/>
  <c r="C8601" i="23"/>
  <c r="D8600" i="23"/>
  <c r="C8600" i="23"/>
  <c r="D8599" i="23"/>
  <c r="C8599" i="23"/>
  <c r="D8598" i="23"/>
  <c r="C8598" i="23"/>
  <c r="D8597" i="23"/>
  <c r="C8597" i="23"/>
  <c r="D8596" i="23"/>
  <c r="C8596" i="23"/>
  <c r="D8595" i="23"/>
  <c r="C8595" i="23"/>
  <c r="D8594" i="23"/>
  <c r="C8594" i="23"/>
  <c r="D8593" i="23"/>
  <c r="C8593" i="23"/>
  <c r="D8592" i="23"/>
  <c r="C8592" i="23"/>
  <c r="D8591" i="23"/>
  <c r="C8591" i="23"/>
  <c r="D8590" i="23"/>
  <c r="C8590" i="23"/>
  <c r="D8589" i="23"/>
  <c r="C8589" i="23"/>
  <c r="D8588" i="23"/>
  <c r="C8588" i="23"/>
  <c r="D8587" i="23"/>
  <c r="C8587" i="23"/>
  <c r="D8586" i="23"/>
  <c r="C8586" i="23"/>
  <c r="D8585" i="23"/>
  <c r="C8585" i="23"/>
  <c r="D8584" i="23"/>
  <c r="C8584" i="23"/>
  <c r="D8583" i="23"/>
  <c r="C8583" i="23"/>
  <c r="D8582" i="23"/>
  <c r="C8582" i="23"/>
  <c r="D8581" i="23"/>
  <c r="C8581" i="23"/>
  <c r="D8580" i="23"/>
  <c r="C8580" i="23"/>
  <c r="D8579" i="23"/>
  <c r="C8579" i="23"/>
  <c r="D8578" i="23"/>
  <c r="C8578" i="23"/>
  <c r="D8577" i="23"/>
  <c r="C8577" i="23"/>
  <c r="D8576" i="23"/>
  <c r="C8576" i="23"/>
  <c r="D8575" i="23"/>
  <c r="C8575" i="23"/>
  <c r="D8574" i="23"/>
  <c r="C8574" i="23"/>
  <c r="D8573" i="23"/>
  <c r="C8573" i="23"/>
  <c r="D8572" i="23"/>
  <c r="C8572" i="23"/>
  <c r="D8571" i="23"/>
  <c r="C8571" i="23"/>
  <c r="D8570" i="23"/>
  <c r="C8570" i="23"/>
  <c r="D8569" i="23"/>
  <c r="C8569" i="23"/>
  <c r="D8568" i="23"/>
  <c r="C8568" i="23"/>
  <c r="D8567" i="23"/>
  <c r="C8567" i="23"/>
  <c r="D8566" i="23"/>
  <c r="C8566" i="23"/>
  <c r="D8565" i="23"/>
  <c r="C8565" i="23"/>
  <c r="D8564" i="23"/>
  <c r="C8564" i="23"/>
  <c r="D8563" i="23"/>
  <c r="C8563" i="23"/>
  <c r="D8562" i="23"/>
  <c r="C8562" i="23"/>
  <c r="D8561" i="23"/>
  <c r="C8561" i="23"/>
  <c r="D8560" i="23"/>
  <c r="C8560" i="23"/>
  <c r="D8559" i="23"/>
  <c r="C8559" i="23"/>
  <c r="D8558" i="23"/>
  <c r="C8558" i="23"/>
  <c r="D8557" i="23"/>
  <c r="C8557" i="23"/>
  <c r="D8556" i="23"/>
  <c r="C8556" i="23"/>
  <c r="D8555" i="23"/>
  <c r="C8555" i="23"/>
  <c r="D8554" i="23"/>
  <c r="C8554" i="23"/>
  <c r="D8553" i="23"/>
  <c r="C8553" i="23"/>
  <c r="D8552" i="23"/>
  <c r="C8552" i="23"/>
  <c r="D8551" i="23"/>
  <c r="C8551" i="23"/>
  <c r="D8550" i="23"/>
  <c r="C8550" i="23"/>
  <c r="D8549" i="23"/>
  <c r="C8549" i="23"/>
  <c r="D8548" i="23"/>
  <c r="C8548" i="23"/>
  <c r="D8547" i="23"/>
  <c r="C8547" i="23"/>
  <c r="D8546" i="23"/>
  <c r="C8546" i="23"/>
  <c r="D8545" i="23"/>
  <c r="C8545" i="23"/>
  <c r="D8544" i="23"/>
  <c r="C8544" i="23"/>
  <c r="D8543" i="23"/>
  <c r="C8543" i="23"/>
  <c r="D8542" i="23"/>
  <c r="C8542" i="23"/>
  <c r="D8541" i="23"/>
  <c r="C8541" i="23"/>
  <c r="D8540" i="23"/>
  <c r="C8540" i="23"/>
  <c r="D8539" i="23"/>
  <c r="C8539" i="23"/>
  <c r="D8538" i="23"/>
  <c r="C8538" i="23"/>
  <c r="D8537" i="23"/>
  <c r="C8537" i="23"/>
  <c r="D8536" i="23"/>
  <c r="C8536" i="23"/>
  <c r="D8535" i="23"/>
  <c r="C8535" i="23"/>
  <c r="D8534" i="23"/>
  <c r="C8534" i="23"/>
  <c r="D8533" i="23"/>
  <c r="C8533" i="23"/>
  <c r="D8532" i="23"/>
  <c r="C8532" i="23"/>
  <c r="D8531" i="23"/>
  <c r="C8531" i="23"/>
  <c r="D8530" i="23"/>
  <c r="C8530" i="23"/>
  <c r="D8529" i="23"/>
  <c r="C8529" i="23"/>
  <c r="D8528" i="23"/>
  <c r="C8528" i="23"/>
  <c r="D8527" i="23"/>
  <c r="C8527" i="23"/>
  <c r="D8526" i="23"/>
  <c r="C8526" i="23"/>
  <c r="D8525" i="23"/>
  <c r="C8525" i="23"/>
  <c r="D8524" i="23"/>
  <c r="C8524" i="23"/>
  <c r="D8523" i="23"/>
  <c r="C8523" i="23"/>
  <c r="D8522" i="23"/>
  <c r="C8522" i="23"/>
  <c r="D8521" i="23"/>
  <c r="C8521" i="23"/>
  <c r="D8520" i="23"/>
  <c r="C8520" i="23"/>
  <c r="D8519" i="23"/>
  <c r="C8519" i="23"/>
  <c r="D8518" i="23"/>
  <c r="C8518" i="23"/>
  <c r="D8517" i="23"/>
  <c r="C8517" i="23"/>
  <c r="D8516" i="23"/>
  <c r="C8516" i="23"/>
  <c r="D8515" i="23"/>
  <c r="C8515" i="23"/>
  <c r="D8514" i="23"/>
  <c r="C8514" i="23"/>
  <c r="D8513" i="23"/>
  <c r="C8513" i="23"/>
  <c r="D8512" i="23"/>
  <c r="C8512" i="23"/>
  <c r="D8511" i="23"/>
  <c r="C8511" i="23"/>
  <c r="D8510" i="23"/>
  <c r="C8510" i="23"/>
  <c r="D8509" i="23"/>
  <c r="C8509" i="23"/>
  <c r="D8508" i="23"/>
  <c r="C8508" i="23"/>
  <c r="D8507" i="23"/>
  <c r="C8507" i="23"/>
  <c r="D8506" i="23"/>
  <c r="C8506" i="23"/>
  <c r="D8505" i="23"/>
  <c r="C8505" i="23"/>
  <c r="D8504" i="23"/>
  <c r="C8504" i="23"/>
  <c r="D8503" i="23"/>
  <c r="C8503" i="23"/>
  <c r="D8502" i="23"/>
  <c r="C8502" i="23"/>
  <c r="D8501" i="23"/>
  <c r="C8501" i="23"/>
  <c r="D8500" i="23"/>
  <c r="C8500" i="23"/>
  <c r="D8499" i="23"/>
  <c r="C8499" i="23"/>
  <c r="D8498" i="23"/>
  <c r="C8498" i="23"/>
  <c r="D8497" i="23"/>
  <c r="C8497" i="23"/>
  <c r="D8496" i="23"/>
  <c r="C8496" i="23"/>
  <c r="D8495" i="23"/>
  <c r="C8495" i="23"/>
  <c r="D8494" i="23"/>
  <c r="C8494" i="23"/>
  <c r="D8493" i="23"/>
  <c r="C8493" i="23"/>
  <c r="D8492" i="23"/>
  <c r="C8492" i="23"/>
  <c r="D8491" i="23"/>
  <c r="C8491" i="23"/>
  <c r="D8490" i="23"/>
  <c r="C8490" i="23"/>
  <c r="D8489" i="23"/>
  <c r="C8489" i="23"/>
  <c r="D8488" i="23"/>
  <c r="C8488" i="23"/>
  <c r="D8487" i="23"/>
  <c r="C8487" i="23"/>
  <c r="D8486" i="23"/>
  <c r="C8486" i="23"/>
  <c r="D8485" i="23"/>
  <c r="C8485" i="23"/>
  <c r="D8484" i="23"/>
  <c r="C8484" i="23"/>
  <c r="D8483" i="23"/>
  <c r="C8483" i="23"/>
  <c r="D8482" i="23"/>
  <c r="C8482" i="23"/>
  <c r="D8481" i="23"/>
  <c r="C8481" i="23"/>
  <c r="D8480" i="23"/>
  <c r="C8480" i="23"/>
  <c r="D8479" i="23"/>
  <c r="C8479" i="23"/>
  <c r="D8478" i="23"/>
  <c r="C8478" i="23"/>
  <c r="D8477" i="23"/>
  <c r="C8477" i="23"/>
  <c r="D8476" i="23"/>
  <c r="C8476" i="23"/>
  <c r="D8475" i="23"/>
  <c r="C8475" i="23"/>
  <c r="D8474" i="23"/>
  <c r="C8474" i="23"/>
  <c r="D8473" i="23"/>
  <c r="C8473" i="23"/>
  <c r="D8472" i="23"/>
  <c r="C8472" i="23"/>
  <c r="D8471" i="23"/>
  <c r="C8471" i="23"/>
  <c r="D8470" i="23"/>
  <c r="C8470" i="23"/>
  <c r="D8469" i="23"/>
  <c r="C8469" i="23"/>
  <c r="D8468" i="23"/>
  <c r="C8468" i="23"/>
  <c r="D8467" i="23"/>
  <c r="C8467" i="23"/>
  <c r="D8466" i="23"/>
  <c r="C8466" i="23"/>
  <c r="D8465" i="23"/>
  <c r="C8465" i="23"/>
  <c r="D8464" i="23"/>
  <c r="C8464" i="23"/>
  <c r="D8463" i="23"/>
  <c r="C8463" i="23"/>
  <c r="D8462" i="23"/>
  <c r="C8462" i="23"/>
  <c r="D8461" i="23"/>
  <c r="C8461" i="23"/>
  <c r="D8460" i="23"/>
  <c r="C8460" i="23"/>
  <c r="D8459" i="23"/>
  <c r="C8459" i="23"/>
  <c r="D8458" i="23"/>
  <c r="C8458" i="23"/>
  <c r="D8457" i="23"/>
  <c r="C8457" i="23"/>
  <c r="D8456" i="23"/>
  <c r="C8456" i="23"/>
  <c r="D8455" i="23"/>
  <c r="C8455" i="23"/>
  <c r="D8454" i="23"/>
  <c r="C8454" i="23"/>
  <c r="D8453" i="23"/>
  <c r="C8453" i="23"/>
  <c r="D8452" i="23"/>
  <c r="C8452" i="23"/>
  <c r="D8451" i="23"/>
  <c r="C8451" i="23"/>
  <c r="D8450" i="23"/>
  <c r="C8450" i="23"/>
  <c r="D8449" i="23"/>
  <c r="C8449" i="23"/>
  <c r="D8448" i="23"/>
  <c r="C8448" i="23"/>
  <c r="D8447" i="23"/>
  <c r="C8447" i="23"/>
  <c r="D8446" i="23"/>
  <c r="C8446" i="23"/>
  <c r="D8445" i="23"/>
  <c r="C8445" i="23"/>
  <c r="D8444" i="23"/>
  <c r="C8444" i="23"/>
  <c r="D8443" i="23"/>
  <c r="C8443" i="23"/>
  <c r="D8442" i="23"/>
  <c r="C8442" i="23"/>
  <c r="D8441" i="23"/>
  <c r="C8441" i="23"/>
  <c r="D8440" i="23"/>
  <c r="C8440" i="23"/>
  <c r="D8439" i="23"/>
  <c r="C8439" i="23"/>
  <c r="D8438" i="23"/>
  <c r="C8438" i="23"/>
  <c r="D8437" i="23"/>
  <c r="C8437" i="23"/>
  <c r="D8436" i="23"/>
  <c r="C8436" i="23"/>
  <c r="D8435" i="23"/>
  <c r="C8435" i="23"/>
  <c r="D8434" i="23"/>
  <c r="C8434" i="23"/>
  <c r="D8433" i="23"/>
  <c r="C8433" i="23"/>
  <c r="D8432" i="23"/>
  <c r="C8432" i="23"/>
  <c r="D8431" i="23"/>
  <c r="C8431" i="23"/>
  <c r="D8430" i="23"/>
  <c r="C8430" i="23"/>
  <c r="D8429" i="23"/>
  <c r="C8429" i="23"/>
  <c r="D8428" i="23"/>
  <c r="C8428" i="23"/>
  <c r="D8427" i="23"/>
  <c r="C8427" i="23"/>
  <c r="D8426" i="23"/>
  <c r="C8426" i="23"/>
  <c r="D8425" i="23"/>
  <c r="C8425" i="23"/>
  <c r="D8424" i="23"/>
  <c r="C8424" i="23"/>
  <c r="D8423" i="23"/>
  <c r="C8423" i="23"/>
  <c r="D8422" i="23"/>
  <c r="C8422" i="23"/>
  <c r="D8421" i="23"/>
  <c r="C8421" i="23"/>
  <c r="D8420" i="23"/>
  <c r="C8420" i="23"/>
  <c r="D8419" i="23"/>
  <c r="C8419" i="23"/>
  <c r="D8418" i="23"/>
  <c r="C8418" i="23"/>
  <c r="D8417" i="23"/>
  <c r="C8417" i="23"/>
  <c r="D8416" i="23"/>
  <c r="C8416" i="23"/>
  <c r="D8415" i="23"/>
  <c r="C8415" i="23"/>
  <c r="D8414" i="23"/>
  <c r="C8414" i="23"/>
  <c r="D8413" i="23"/>
  <c r="C8413" i="23"/>
  <c r="D8412" i="23"/>
  <c r="C8412" i="23"/>
  <c r="D8411" i="23"/>
  <c r="C8411" i="23"/>
  <c r="D8410" i="23"/>
  <c r="C8410" i="23"/>
  <c r="D8409" i="23"/>
  <c r="C8409" i="23"/>
  <c r="D8408" i="23"/>
  <c r="C8408" i="23"/>
  <c r="D8407" i="23"/>
  <c r="C8407" i="23"/>
  <c r="D8406" i="23"/>
  <c r="C8406" i="23"/>
  <c r="D8405" i="23"/>
  <c r="C8405" i="23"/>
  <c r="D8404" i="23"/>
  <c r="C8404" i="23"/>
  <c r="D8403" i="23"/>
  <c r="C8403" i="23"/>
  <c r="D8402" i="23"/>
  <c r="C8402" i="23"/>
  <c r="D8401" i="23"/>
  <c r="C8401" i="23"/>
  <c r="D8400" i="23"/>
  <c r="C8400" i="23"/>
  <c r="D8399" i="23"/>
  <c r="C8399" i="23"/>
  <c r="D8398" i="23"/>
  <c r="C8398" i="23"/>
  <c r="D8397" i="23"/>
  <c r="C8397" i="23"/>
  <c r="D8396" i="23"/>
  <c r="C8396" i="23"/>
  <c r="D8395" i="23"/>
  <c r="C8395" i="23"/>
  <c r="D8394" i="23"/>
  <c r="C8394" i="23"/>
  <c r="D8393" i="23"/>
  <c r="C8393" i="23"/>
  <c r="D8392" i="23"/>
  <c r="C8392" i="23"/>
  <c r="D8391" i="23"/>
  <c r="C8391" i="23"/>
  <c r="D8390" i="23"/>
  <c r="C8390" i="23"/>
  <c r="D8389" i="23"/>
  <c r="C8389" i="23"/>
  <c r="D8388" i="23"/>
  <c r="C8388" i="23"/>
  <c r="D8387" i="23"/>
  <c r="C8387" i="23"/>
  <c r="D8386" i="23"/>
  <c r="C8386" i="23"/>
  <c r="D8385" i="23"/>
  <c r="C8385" i="23"/>
  <c r="D8384" i="23"/>
  <c r="C8384" i="23"/>
  <c r="D8383" i="23"/>
  <c r="C8383" i="23"/>
  <c r="D8382" i="23"/>
  <c r="C8382" i="23"/>
  <c r="D8381" i="23"/>
  <c r="C8381" i="23"/>
  <c r="D8380" i="23"/>
  <c r="C8380" i="23"/>
  <c r="D8379" i="23"/>
  <c r="C8379" i="23"/>
  <c r="D8378" i="23"/>
  <c r="C8378" i="23"/>
  <c r="D8377" i="23"/>
  <c r="C8377" i="23"/>
  <c r="D8376" i="23"/>
  <c r="C8376" i="23"/>
  <c r="D8375" i="23"/>
  <c r="C8375" i="23"/>
  <c r="D8374" i="23"/>
  <c r="C8374" i="23"/>
  <c r="D8373" i="23"/>
  <c r="C8373" i="23"/>
  <c r="D8372" i="23"/>
  <c r="C8372" i="23"/>
  <c r="D8371" i="23"/>
  <c r="C8371" i="23"/>
  <c r="D8370" i="23"/>
  <c r="C8370" i="23"/>
  <c r="D8369" i="23"/>
  <c r="C8369" i="23"/>
  <c r="D8368" i="23"/>
  <c r="C8368" i="23"/>
  <c r="D8367" i="23"/>
  <c r="C8367" i="23"/>
  <c r="D8366" i="23"/>
  <c r="C8366" i="23"/>
  <c r="D8365" i="23"/>
  <c r="C8365" i="23"/>
  <c r="D8364" i="23"/>
  <c r="C8364" i="23"/>
  <c r="D8363" i="23"/>
  <c r="C8363" i="23"/>
  <c r="D8362" i="23"/>
  <c r="C8362" i="23"/>
  <c r="D8361" i="23"/>
  <c r="C8361" i="23"/>
  <c r="D8360" i="23"/>
  <c r="C8360" i="23"/>
  <c r="D8359" i="23"/>
  <c r="C8359" i="23"/>
  <c r="D8358" i="23"/>
  <c r="C8358" i="23"/>
  <c r="D8357" i="23"/>
  <c r="C8357" i="23"/>
  <c r="D8356" i="23"/>
  <c r="C8356" i="23"/>
  <c r="D8355" i="23"/>
  <c r="C8355" i="23"/>
  <c r="D8354" i="23"/>
  <c r="C8354" i="23"/>
  <c r="D8353" i="23"/>
  <c r="C8353" i="23"/>
  <c r="D8352" i="23"/>
  <c r="C8352" i="23"/>
  <c r="D8351" i="23"/>
  <c r="C8351" i="23"/>
  <c r="D8350" i="23"/>
  <c r="C8350" i="23"/>
  <c r="D8349" i="23"/>
  <c r="C8349" i="23"/>
  <c r="D8348" i="23"/>
  <c r="C8348" i="23"/>
  <c r="D8347" i="23"/>
  <c r="C8347" i="23"/>
  <c r="D8346" i="23"/>
  <c r="C8346" i="23"/>
  <c r="D8345" i="23"/>
  <c r="C8345" i="23"/>
  <c r="D8344" i="23"/>
  <c r="C8344" i="23"/>
  <c r="D8343" i="23"/>
  <c r="C8343" i="23"/>
  <c r="D8342" i="23"/>
  <c r="C8342" i="23"/>
  <c r="D8341" i="23"/>
  <c r="C8341" i="23"/>
  <c r="D8340" i="23"/>
  <c r="C8340" i="23"/>
  <c r="D8339" i="23"/>
  <c r="C8339" i="23"/>
  <c r="D8338" i="23"/>
  <c r="C8338" i="23"/>
  <c r="D8337" i="23"/>
  <c r="C8337" i="23"/>
  <c r="D8336" i="23"/>
  <c r="C8336" i="23"/>
  <c r="D8335" i="23"/>
  <c r="C8335" i="23"/>
  <c r="D8334" i="23"/>
  <c r="C8334" i="23"/>
  <c r="D8333" i="23"/>
  <c r="C8333" i="23"/>
  <c r="D8332" i="23"/>
  <c r="C8332" i="23"/>
  <c r="D8331" i="23"/>
  <c r="C8331" i="23"/>
  <c r="D8330" i="23"/>
  <c r="C8330" i="23"/>
  <c r="D8329" i="23"/>
  <c r="C8329" i="23"/>
  <c r="D8328" i="23"/>
  <c r="C8328" i="23"/>
  <c r="D8327" i="23"/>
  <c r="C8327" i="23"/>
  <c r="D8326" i="23"/>
  <c r="C8326" i="23"/>
  <c r="D8325" i="23"/>
  <c r="C8325" i="23"/>
  <c r="D8324" i="23"/>
  <c r="C8324" i="23"/>
  <c r="D8323" i="23"/>
  <c r="C8323" i="23"/>
  <c r="D8322" i="23"/>
  <c r="C8322" i="23"/>
  <c r="D8321" i="23"/>
  <c r="C8321" i="23"/>
  <c r="D8320" i="23"/>
  <c r="C8320" i="23"/>
  <c r="D8319" i="23"/>
  <c r="C8319" i="23"/>
  <c r="D8318" i="23"/>
  <c r="C8318" i="23"/>
  <c r="D8317" i="23"/>
  <c r="C8317" i="23"/>
  <c r="D8316" i="23"/>
  <c r="C8316" i="23"/>
  <c r="D8315" i="23"/>
  <c r="C8315" i="23"/>
  <c r="D8314" i="23"/>
  <c r="C8314" i="23"/>
  <c r="D8313" i="23"/>
  <c r="C8313" i="23"/>
  <c r="D8312" i="23"/>
  <c r="C8312" i="23"/>
  <c r="D8311" i="23"/>
  <c r="C8311" i="23"/>
  <c r="D8310" i="23"/>
  <c r="C8310" i="23"/>
  <c r="D8309" i="23"/>
  <c r="C8309" i="23"/>
  <c r="D8308" i="23"/>
  <c r="C8308" i="23"/>
  <c r="D8307" i="23"/>
  <c r="C8307" i="23"/>
  <c r="D8306" i="23"/>
  <c r="C8306" i="23"/>
  <c r="D8305" i="23"/>
  <c r="C8305" i="23"/>
  <c r="D8304" i="23"/>
  <c r="C8304" i="23"/>
  <c r="D8303" i="23"/>
  <c r="C8303" i="23"/>
  <c r="D8302" i="23"/>
  <c r="C8302" i="23"/>
  <c r="D8301" i="23"/>
  <c r="C8301" i="23"/>
  <c r="D8300" i="23"/>
  <c r="C8300" i="23"/>
  <c r="D8299" i="23"/>
  <c r="C8299" i="23"/>
  <c r="D8298" i="23"/>
  <c r="C8298" i="23"/>
  <c r="D8297" i="23"/>
  <c r="C8297" i="23"/>
  <c r="D8296" i="23"/>
  <c r="C8296" i="23"/>
  <c r="D8295" i="23"/>
  <c r="C8295" i="23"/>
  <c r="D8294" i="23"/>
  <c r="C8294" i="23"/>
  <c r="D8293" i="23"/>
  <c r="C8293" i="23"/>
  <c r="D8292" i="23"/>
  <c r="C8292" i="23"/>
  <c r="D8291" i="23"/>
  <c r="C8291" i="23"/>
  <c r="D8290" i="23"/>
  <c r="C8290" i="23"/>
  <c r="D8289" i="23"/>
  <c r="C8289" i="23"/>
  <c r="D8288" i="23"/>
  <c r="C8288" i="23"/>
  <c r="D8287" i="23"/>
  <c r="C8287" i="23"/>
  <c r="D8286" i="23"/>
  <c r="C8286" i="23"/>
  <c r="D8285" i="23"/>
  <c r="C8285" i="23"/>
  <c r="D8284" i="23"/>
  <c r="C8284" i="23"/>
  <c r="D8283" i="23"/>
  <c r="C8283" i="23"/>
  <c r="D8282" i="23"/>
  <c r="C8282" i="23"/>
  <c r="D8281" i="23"/>
  <c r="C8281" i="23"/>
  <c r="D8280" i="23"/>
  <c r="C8280" i="23"/>
  <c r="D8279" i="23"/>
  <c r="C8279" i="23"/>
  <c r="D8278" i="23"/>
  <c r="C8278" i="23"/>
  <c r="D8277" i="23"/>
  <c r="C8277" i="23"/>
  <c r="D8276" i="23"/>
  <c r="C8276" i="23"/>
  <c r="D8275" i="23"/>
  <c r="C8275" i="23"/>
  <c r="D8274" i="23"/>
  <c r="C8274" i="23"/>
  <c r="D8273" i="23"/>
  <c r="C8273" i="23"/>
  <c r="D8272" i="23"/>
  <c r="C8272" i="23"/>
  <c r="D8271" i="23"/>
  <c r="C8271" i="23"/>
  <c r="D8270" i="23"/>
  <c r="C8270" i="23"/>
  <c r="D8269" i="23"/>
  <c r="C8269" i="23"/>
  <c r="D8268" i="23"/>
  <c r="C8268" i="23"/>
  <c r="D8267" i="23"/>
  <c r="C8267" i="23"/>
  <c r="D8266" i="23"/>
  <c r="C8266" i="23"/>
  <c r="D8265" i="23"/>
  <c r="C8265" i="23"/>
  <c r="D8264" i="23"/>
  <c r="C8264" i="23"/>
  <c r="D8263" i="23"/>
  <c r="C8263" i="23"/>
  <c r="D8262" i="23"/>
  <c r="C8262" i="23"/>
  <c r="D8261" i="23"/>
  <c r="C8261" i="23"/>
  <c r="D8260" i="23"/>
  <c r="C8260" i="23"/>
  <c r="D8259" i="23"/>
  <c r="C8259" i="23"/>
  <c r="D8258" i="23"/>
  <c r="C8258" i="23"/>
  <c r="D8257" i="23"/>
  <c r="C8257" i="23"/>
  <c r="D8256" i="23"/>
  <c r="C8256" i="23"/>
  <c r="D8255" i="23"/>
  <c r="C8255" i="23"/>
  <c r="D8254" i="23"/>
  <c r="C8254" i="23"/>
  <c r="D8253" i="23"/>
  <c r="C8253" i="23"/>
  <c r="D8252" i="23"/>
  <c r="C8252" i="23"/>
  <c r="D8251" i="23"/>
  <c r="C8251" i="23"/>
  <c r="D8250" i="23"/>
  <c r="C8250" i="23"/>
  <c r="D8249" i="23"/>
  <c r="C8249" i="23"/>
  <c r="D8248" i="23"/>
  <c r="C8248" i="23"/>
  <c r="D8247" i="23"/>
  <c r="C8247" i="23"/>
  <c r="D8246" i="23"/>
  <c r="C8246" i="23"/>
  <c r="D8245" i="23"/>
  <c r="C8245" i="23"/>
  <c r="D8244" i="23"/>
  <c r="C8244" i="23"/>
  <c r="D8243" i="23"/>
  <c r="C8243" i="23"/>
  <c r="D8242" i="23"/>
  <c r="C8242" i="23"/>
  <c r="D8241" i="23"/>
  <c r="C8241" i="23"/>
  <c r="D8240" i="23"/>
  <c r="C8240" i="23"/>
  <c r="D8239" i="23"/>
  <c r="C8239" i="23"/>
  <c r="D8238" i="23"/>
  <c r="C8238" i="23"/>
  <c r="D8237" i="23"/>
  <c r="C8237" i="23"/>
  <c r="D8236" i="23"/>
  <c r="C8236" i="23"/>
  <c r="D8235" i="23"/>
  <c r="C8235" i="23"/>
  <c r="D8234" i="23"/>
  <c r="C8234" i="23"/>
  <c r="D8233" i="23"/>
  <c r="C8233" i="23"/>
  <c r="D8232" i="23"/>
  <c r="C8232" i="23"/>
  <c r="D8231" i="23"/>
  <c r="C8231" i="23"/>
  <c r="D8230" i="23"/>
  <c r="C8230" i="23"/>
  <c r="D8229" i="23"/>
  <c r="C8229" i="23"/>
  <c r="D8228" i="23"/>
  <c r="C8228" i="23"/>
  <c r="D8227" i="23"/>
  <c r="C8227" i="23"/>
  <c r="D8226" i="23"/>
  <c r="C8226" i="23"/>
  <c r="D8225" i="23"/>
  <c r="C8225" i="23"/>
  <c r="D8224" i="23"/>
  <c r="C8224" i="23"/>
  <c r="D8223" i="23"/>
  <c r="C8223" i="23"/>
  <c r="D8222" i="23"/>
  <c r="C8222" i="23"/>
  <c r="D8221" i="23"/>
  <c r="C8221" i="23"/>
  <c r="D8220" i="23"/>
  <c r="C8220" i="23"/>
  <c r="D8219" i="23"/>
  <c r="C8219" i="23"/>
  <c r="D8218" i="23"/>
  <c r="C8218" i="23"/>
  <c r="D8217" i="23"/>
  <c r="C8217" i="23"/>
  <c r="D8216" i="23"/>
  <c r="C8216" i="23"/>
  <c r="D8215" i="23"/>
  <c r="C8215" i="23"/>
  <c r="D8214" i="23"/>
  <c r="C8214" i="23"/>
  <c r="D8213" i="23"/>
  <c r="C8213" i="23"/>
  <c r="D8212" i="23"/>
  <c r="C8212" i="23"/>
  <c r="D8211" i="23"/>
  <c r="C8211" i="23"/>
  <c r="D8210" i="23"/>
  <c r="C8210" i="23"/>
  <c r="D8209" i="23"/>
  <c r="C8209" i="23"/>
  <c r="D8208" i="23"/>
  <c r="C8208" i="23"/>
  <c r="D8207" i="23"/>
  <c r="C8207" i="23"/>
  <c r="D8206" i="23"/>
  <c r="C8206" i="23"/>
  <c r="D8205" i="23"/>
  <c r="C8205" i="23"/>
  <c r="D8204" i="23"/>
  <c r="C8204" i="23"/>
  <c r="D8203" i="23"/>
  <c r="C8203" i="23"/>
  <c r="D8202" i="23"/>
  <c r="C8202" i="23"/>
  <c r="D8201" i="23"/>
  <c r="C8201" i="23"/>
  <c r="D8200" i="23"/>
  <c r="C8200" i="23"/>
  <c r="D8199" i="23"/>
  <c r="C8199" i="23"/>
  <c r="D8198" i="23"/>
  <c r="C8198" i="23"/>
  <c r="D8197" i="23"/>
  <c r="C8197" i="23"/>
  <c r="D8196" i="23"/>
  <c r="C8196" i="23"/>
  <c r="D8195" i="23"/>
  <c r="C8195" i="23"/>
  <c r="D8194" i="23"/>
  <c r="C8194" i="23"/>
  <c r="D8193" i="23"/>
  <c r="C8193" i="23"/>
  <c r="D8192" i="23"/>
  <c r="C8192" i="23"/>
  <c r="D8191" i="23"/>
  <c r="C8191" i="23"/>
  <c r="D8190" i="23"/>
  <c r="C8190" i="23"/>
  <c r="D8189" i="23"/>
  <c r="C8189" i="23"/>
  <c r="D8188" i="23"/>
  <c r="C8188" i="23"/>
  <c r="D8187" i="23"/>
  <c r="C8187" i="23"/>
  <c r="D8186" i="23"/>
  <c r="C8186" i="23"/>
  <c r="D8185" i="23"/>
  <c r="C8185" i="23"/>
  <c r="D8184" i="23"/>
  <c r="C8184" i="23"/>
  <c r="D8183" i="23"/>
  <c r="C8183" i="23"/>
  <c r="D8182" i="23"/>
  <c r="C8182" i="23"/>
  <c r="D8181" i="23"/>
  <c r="C8181" i="23"/>
  <c r="D8180" i="23"/>
  <c r="C8180" i="23"/>
  <c r="D8179" i="23"/>
  <c r="C8179" i="23"/>
  <c r="D8178" i="23"/>
  <c r="C8178" i="23"/>
  <c r="D8177" i="23"/>
  <c r="C8177" i="23"/>
  <c r="D8176" i="23"/>
  <c r="C8176" i="23"/>
  <c r="D8175" i="23"/>
  <c r="C8175" i="23"/>
  <c r="D8174" i="23"/>
  <c r="C8174" i="23"/>
  <c r="D8173" i="23"/>
  <c r="C8173" i="23"/>
  <c r="D8172" i="23"/>
  <c r="C8172" i="23"/>
  <c r="D8171" i="23"/>
  <c r="C8171" i="23"/>
  <c r="D8170" i="23"/>
  <c r="C8170" i="23"/>
  <c r="D8169" i="23"/>
  <c r="C8169" i="23"/>
  <c r="D8168" i="23"/>
  <c r="C8168" i="23"/>
  <c r="D8167" i="23"/>
  <c r="C8167" i="23"/>
  <c r="D8166" i="23"/>
  <c r="C8166" i="23"/>
  <c r="D8165" i="23"/>
  <c r="C8165" i="23"/>
  <c r="D8164" i="23"/>
  <c r="C8164" i="23"/>
  <c r="D8163" i="23"/>
  <c r="C8163" i="23"/>
  <c r="D8162" i="23"/>
  <c r="C8162" i="23"/>
  <c r="D8161" i="23"/>
  <c r="C8161" i="23"/>
  <c r="D8160" i="23"/>
  <c r="C8160" i="23"/>
  <c r="D8159" i="23"/>
  <c r="C8159" i="23"/>
  <c r="D8158" i="23"/>
  <c r="C8158" i="23"/>
  <c r="D8157" i="23"/>
  <c r="C8157" i="23"/>
  <c r="D8156" i="23"/>
  <c r="C8156" i="23"/>
  <c r="D8155" i="23"/>
  <c r="C8155" i="23"/>
  <c r="D8154" i="23"/>
  <c r="C8154" i="23"/>
  <c r="D8153" i="23"/>
  <c r="C8153" i="23"/>
  <c r="D8152" i="23"/>
  <c r="C8152" i="23"/>
  <c r="D8151" i="23"/>
  <c r="C8151" i="23"/>
  <c r="D8150" i="23"/>
  <c r="C8150" i="23"/>
  <c r="D8149" i="23"/>
  <c r="C8149" i="23"/>
  <c r="D8148" i="23"/>
  <c r="C8148" i="23"/>
  <c r="D8147" i="23"/>
  <c r="C8147" i="23"/>
  <c r="D8146" i="23"/>
  <c r="C8146" i="23"/>
  <c r="D8145" i="23"/>
  <c r="C8145" i="23"/>
  <c r="D8144" i="23"/>
  <c r="C8144" i="23"/>
  <c r="D8143" i="23"/>
  <c r="C8143" i="23"/>
  <c r="D8142" i="23"/>
  <c r="C8142" i="23"/>
  <c r="D8141" i="23"/>
  <c r="C8141" i="23"/>
  <c r="D8140" i="23"/>
  <c r="C8140" i="23"/>
  <c r="D8139" i="23"/>
  <c r="C8139" i="23"/>
  <c r="D8138" i="23"/>
  <c r="C8138" i="23"/>
  <c r="D8137" i="23"/>
  <c r="C8137" i="23"/>
  <c r="D8136" i="23"/>
  <c r="C8136" i="23"/>
  <c r="D8135" i="23"/>
  <c r="C8135" i="23"/>
  <c r="D8134" i="23"/>
  <c r="C8134" i="23"/>
  <c r="D8133" i="23"/>
  <c r="C8133" i="23"/>
  <c r="D8132" i="23"/>
  <c r="C8132" i="23"/>
  <c r="D8131" i="23"/>
  <c r="C8131" i="23"/>
  <c r="D8130" i="23"/>
  <c r="C8130" i="23"/>
  <c r="D8129" i="23"/>
  <c r="C8129" i="23"/>
  <c r="D8128" i="23"/>
  <c r="C8128" i="23"/>
  <c r="D8127" i="23"/>
  <c r="C8127" i="23"/>
  <c r="D8126" i="23"/>
  <c r="C8126" i="23"/>
  <c r="D8125" i="23"/>
  <c r="C8125" i="23"/>
  <c r="D8124" i="23"/>
  <c r="C8124" i="23"/>
  <c r="D8123" i="23"/>
  <c r="C8123" i="23"/>
  <c r="D8122" i="23"/>
  <c r="C8122" i="23"/>
  <c r="D8121" i="23"/>
  <c r="C8121" i="23"/>
  <c r="D8120" i="23"/>
  <c r="C8120" i="23"/>
  <c r="D8119" i="23"/>
  <c r="C8119" i="23"/>
  <c r="D8118" i="23"/>
  <c r="C8118" i="23"/>
  <c r="D8117" i="23"/>
  <c r="C8117" i="23"/>
  <c r="D8116" i="23"/>
  <c r="C8116" i="23"/>
  <c r="D8115" i="23"/>
  <c r="C8115" i="23"/>
  <c r="D8114" i="23"/>
  <c r="C8114" i="23"/>
  <c r="D8113" i="23"/>
  <c r="C8113" i="23"/>
  <c r="D8112" i="23"/>
  <c r="C8112" i="23"/>
  <c r="D8111" i="23"/>
  <c r="C8111" i="23"/>
  <c r="D8110" i="23"/>
  <c r="C8110" i="23"/>
  <c r="D8109" i="23"/>
  <c r="C8109" i="23"/>
  <c r="D8108" i="23"/>
  <c r="C8108" i="23"/>
  <c r="D8107" i="23"/>
  <c r="C8107" i="23"/>
  <c r="D8106" i="23"/>
  <c r="C8106" i="23"/>
  <c r="D8105" i="23"/>
  <c r="C8105" i="23"/>
  <c r="D8104" i="23"/>
  <c r="C8104" i="23"/>
  <c r="D8103" i="23"/>
  <c r="C8103" i="23"/>
  <c r="D8102" i="23"/>
  <c r="C8102" i="23"/>
  <c r="D8101" i="23"/>
  <c r="C8101" i="23"/>
  <c r="D8100" i="23"/>
  <c r="C8100" i="23"/>
  <c r="D8099" i="23"/>
  <c r="C8099" i="23"/>
  <c r="D8098" i="23"/>
  <c r="C8098" i="23"/>
  <c r="D8097" i="23"/>
  <c r="C8097" i="23"/>
  <c r="D8096" i="23"/>
  <c r="C8096" i="23"/>
  <c r="D8095" i="23"/>
  <c r="C8095" i="23"/>
  <c r="D8094" i="23"/>
  <c r="C8094" i="23"/>
  <c r="D8093" i="23"/>
  <c r="C8093" i="23"/>
  <c r="D8092" i="23"/>
  <c r="C8092" i="23"/>
  <c r="D8091" i="23"/>
  <c r="C8091" i="23"/>
  <c r="D8090" i="23"/>
  <c r="C8090" i="23"/>
  <c r="D8089" i="23"/>
  <c r="C8089" i="23"/>
  <c r="D8088" i="23"/>
  <c r="C8088" i="23"/>
  <c r="D8087" i="23"/>
  <c r="C8087" i="23"/>
  <c r="D8086" i="23"/>
  <c r="C8086" i="23"/>
  <c r="D8085" i="23"/>
  <c r="C8085" i="23"/>
  <c r="D8084" i="23"/>
  <c r="C8084" i="23"/>
  <c r="D8083" i="23"/>
  <c r="C8083" i="23"/>
  <c r="D8082" i="23"/>
  <c r="C8082" i="23"/>
  <c r="D8081" i="23"/>
  <c r="C8081" i="23"/>
  <c r="D8080" i="23"/>
  <c r="C8080" i="23"/>
  <c r="D8079" i="23"/>
  <c r="C8079" i="23"/>
  <c r="D8078" i="23"/>
  <c r="C8078" i="23"/>
  <c r="D8077" i="23"/>
  <c r="C8077" i="23"/>
  <c r="D8076" i="23"/>
  <c r="C8076" i="23"/>
  <c r="D8075" i="23"/>
  <c r="C8075" i="23"/>
  <c r="D8074" i="23"/>
  <c r="C8074" i="23"/>
  <c r="D8073" i="23"/>
  <c r="C8073" i="23"/>
  <c r="D8072" i="23"/>
  <c r="C8072" i="23"/>
  <c r="D8071" i="23"/>
  <c r="C8071" i="23"/>
  <c r="D8070" i="23"/>
  <c r="C8070" i="23"/>
  <c r="D8069" i="23"/>
  <c r="C8069" i="23"/>
  <c r="D8068" i="23"/>
  <c r="C8068" i="23"/>
  <c r="D8067" i="23"/>
  <c r="C8067" i="23"/>
  <c r="D8066" i="23"/>
  <c r="C8066" i="23"/>
  <c r="D8065" i="23"/>
  <c r="C8065" i="23"/>
  <c r="D8064" i="23"/>
  <c r="C8064" i="23"/>
  <c r="D8063" i="23"/>
  <c r="C8063" i="23"/>
  <c r="D8062" i="23"/>
  <c r="C8062" i="23"/>
  <c r="D8061" i="23"/>
  <c r="C8061" i="23"/>
  <c r="D8060" i="23"/>
  <c r="C8060" i="23"/>
  <c r="D8059" i="23"/>
  <c r="C8059" i="23"/>
  <c r="D8058" i="23"/>
  <c r="C8058" i="23"/>
  <c r="D8057" i="23"/>
  <c r="C8057" i="23"/>
  <c r="D8056" i="23"/>
  <c r="C8056" i="23"/>
  <c r="D8055" i="23"/>
  <c r="C8055" i="23"/>
  <c r="D8054" i="23"/>
  <c r="C8054" i="23"/>
  <c r="D8053" i="23"/>
  <c r="C8053" i="23"/>
  <c r="D8052" i="23"/>
  <c r="C8052" i="23"/>
  <c r="D8051" i="23"/>
  <c r="C8051" i="23"/>
  <c r="D8050" i="23"/>
  <c r="C8050" i="23"/>
  <c r="D8049" i="23"/>
  <c r="C8049" i="23"/>
  <c r="D8048" i="23"/>
  <c r="C8048" i="23"/>
  <c r="D8047" i="23"/>
  <c r="C8047" i="23"/>
  <c r="D8046" i="23"/>
  <c r="C8046" i="23"/>
  <c r="D8045" i="23"/>
  <c r="C8045" i="23"/>
  <c r="D8044" i="23"/>
  <c r="C8044" i="23"/>
  <c r="D8043" i="23"/>
  <c r="C8043" i="23"/>
  <c r="D8042" i="23"/>
  <c r="C8042" i="23"/>
  <c r="D8041" i="23"/>
  <c r="C8041" i="23"/>
  <c r="D8040" i="23"/>
  <c r="C8040" i="23"/>
  <c r="D8039" i="23"/>
  <c r="C8039" i="23"/>
  <c r="D8038" i="23"/>
  <c r="C8038" i="23"/>
  <c r="D8037" i="23"/>
  <c r="C8037" i="23"/>
  <c r="D8036" i="23"/>
  <c r="C8036" i="23"/>
  <c r="D8035" i="23"/>
  <c r="C8035" i="23"/>
  <c r="D8034" i="23"/>
  <c r="C8034" i="23"/>
  <c r="D8033" i="23"/>
  <c r="C8033" i="23"/>
  <c r="D8032" i="23"/>
  <c r="C8032" i="23"/>
  <c r="D8031" i="23"/>
  <c r="C8031" i="23"/>
  <c r="D8030" i="23"/>
  <c r="C8030" i="23"/>
  <c r="D8029" i="23"/>
  <c r="C8029" i="23"/>
  <c r="D8028" i="23"/>
  <c r="C8028" i="23"/>
  <c r="D8027" i="23"/>
  <c r="C8027" i="23"/>
  <c r="D8026" i="23"/>
  <c r="C8026" i="23"/>
  <c r="D8025" i="23"/>
  <c r="C8025" i="23"/>
  <c r="D8024" i="23"/>
  <c r="C8024" i="23"/>
  <c r="D8023" i="23"/>
  <c r="C8023" i="23"/>
  <c r="D8022" i="23"/>
  <c r="C8022" i="23"/>
  <c r="D8021" i="23"/>
  <c r="C8021" i="23"/>
  <c r="D8020" i="23"/>
  <c r="C8020" i="23"/>
  <c r="D8019" i="23"/>
  <c r="C8019" i="23"/>
  <c r="D8018" i="23"/>
  <c r="C8018" i="23"/>
  <c r="D8017" i="23"/>
  <c r="C8017" i="23"/>
  <c r="D8016" i="23"/>
  <c r="C8016" i="23"/>
  <c r="D8015" i="23"/>
  <c r="C8015" i="23"/>
  <c r="D8014" i="23"/>
  <c r="C8014" i="23"/>
  <c r="D8013" i="23"/>
  <c r="C8013" i="23"/>
  <c r="D8012" i="23"/>
  <c r="C8012" i="23"/>
  <c r="D8011" i="23"/>
  <c r="C8011" i="23"/>
  <c r="D8010" i="23"/>
  <c r="C8010" i="23"/>
  <c r="D8009" i="23"/>
  <c r="C8009" i="23"/>
  <c r="D8008" i="23"/>
  <c r="C8008" i="23"/>
  <c r="D8007" i="23"/>
  <c r="C8007" i="23"/>
  <c r="D8006" i="23"/>
  <c r="C8006" i="23"/>
  <c r="D8005" i="23"/>
  <c r="C8005" i="23"/>
  <c r="D8004" i="23"/>
  <c r="C8004" i="23"/>
  <c r="D8003" i="23"/>
  <c r="C8003" i="23"/>
  <c r="D8002" i="23"/>
  <c r="C8002" i="23"/>
  <c r="D8001" i="23"/>
  <c r="C8001" i="23"/>
  <c r="D8000" i="23"/>
  <c r="C8000" i="23"/>
  <c r="D7999" i="23"/>
  <c r="C7999" i="23"/>
  <c r="D7998" i="23"/>
  <c r="C7998" i="23"/>
  <c r="D7997" i="23"/>
  <c r="C7997" i="23"/>
  <c r="D7996" i="23"/>
  <c r="C7996" i="23"/>
  <c r="D7995" i="23"/>
  <c r="C7995" i="23"/>
  <c r="D7994" i="23"/>
  <c r="C7994" i="23"/>
  <c r="D7993" i="23"/>
  <c r="C7993" i="23"/>
  <c r="D7992" i="23"/>
  <c r="C7992" i="23"/>
  <c r="D7991" i="23"/>
  <c r="C7991" i="23"/>
  <c r="D7990" i="23"/>
  <c r="C7990" i="23"/>
  <c r="D7989" i="23"/>
  <c r="C7989" i="23"/>
  <c r="D7988" i="23"/>
  <c r="C7988" i="23"/>
  <c r="D7987" i="23"/>
  <c r="C7987" i="23"/>
  <c r="D7986" i="23"/>
  <c r="C7986" i="23"/>
  <c r="D7985" i="23"/>
  <c r="C7985" i="23"/>
  <c r="D7984" i="23"/>
  <c r="C7984" i="23"/>
  <c r="D7983" i="23"/>
  <c r="C7983" i="23"/>
  <c r="D7982" i="23"/>
  <c r="C7982" i="23"/>
  <c r="D7981" i="23"/>
  <c r="C7981" i="23"/>
  <c r="D7980" i="23"/>
  <c r="C7980" i="23"/>
  <c r="D7979" i="23"/>
  <c r="C7979" i="23"/>
  <c r="D7978" i="23"/>
  <c r="C7978" i="23"/>
  <c r="D7977" i="23"/>
  <c r="C7977" i="23"/>
  <c r="D7976" i="23"/>
  <c r="C7976" i="23"/>
  <c r="D7975" i="23"/>
  <c r="C7975" i="23"/>
  <c r="D7974" i="23"/>
  <c r="C7974" i="23"/>
  <c r="D7973" i="23"/>
  <c r="C7973" i="23"/>
  <c r="D7972" i="23"/>
  <c r="C7972" i="23"/>
  <c r="D7971" i="23"/>
  <c r="C7971" i="23"/>
  <c r="D7970" i="23"/>
  <c r="C7970" i="23"/>
  <c r="D7969" i="23"/>
  <c r="C7969" i="23"/>
  <c r="D7968" i="23"/>
  <c r="C7968" i="23"/>
  <c r="D7967" i="23"/>
  <c r="C7967" i="23"/>
  <c r="D7966" i="23"/>
  <c r="C7966" i="23"/>
  <c r="D7965" i="23"/>
  <c r="C7965" i="23"/>
  <c r="D7964" i="23"/>
  <c r="C7964" i="23"/>
  <c r="D7963" i="23"/>
  <c r="C7963" i="23"/>
  <c r="D7962" i="23"/>
  <c r="C7962" i="23"/>
  <c r="D7961" i="23"/>
  <c r="C7961" i="23"/>
  <c r="D7960" i="23"/>
  <c r="C7960" i="23"/>
  <c r="D7959" i="23"/>
  <c r="C7959" i="23"/>
  <c r="D7958" i="23"/>
  <c r="C7958" i="23"/>
  <c r="D7957" i="23"/>
  <c r="C7957" i="23"/>
  <c r="D7956" i="23"/>
  <c r="C7956" i="23"/>
  <c r="D7955" i="23"/>
  <c r="C7955" i="23"/>
  <c r="D7954" i="23"/>
  <c r="C7954" i="23"/>
  <c r="D7953" i="23"/>
  <c r="C7953" i="23"/>
  <c r="D7952" i="23"/>
  <c r="C7952" i="23"/>
  <c r="D7951" i="23"/>
  <c r="C7951" i="23"/>
  <c r="D7950" i="23"/>
  <c r="C7950" i="23"/>
  <c r="D7949" i="23"/>
  <c r="C7949" i="23"/>
  <c r="D7948" i="23"/>
  <c r="C7948" i="23"/>
  <c r="D7947" i="23"/>
  <c r="C7947" i="23"/>
  <c r="D7946" i="23"/>
  <c r="C7946" i="23"/>
  <c r="D7945" i="23"/>
  <c r="C7945" i="23"/>
  <c r="D7944" i="23"/>
  <c r="C7944" i="23"/>
  <c r="D7943" i="23"/>
  <c r="C7943" i="23"/>
  <c r="D7942" i="23"/>
  <c r="C7942" i="23"/>
  <c r="D7941" i="23"/>
  <c r="C7941" i="23"/>
  <c r="D7940" i="23"/>
  <c r="C7940" i="23"/>
  <c r="D7939" i="23"/>
  <c r="C7939" i="23"/>
  <c r="D7938" i="23"/>
  <c r="C7938" i="23"/>
  <c r="D7937" i="23"/>
  <c r="C7937" i="23"/>
  <c r="D7936" i="23"/>
  <c r="C7936" i="23"/>
  <c r="D7935" i="23"/>
  <c r="C7935" i="23"/>
  <c r="D7934" i="23"/>
  <c r="C7934" i="23"/>
  <c r="D7933" i="23"/>
  <c r="C7933" i="23"/>
  <c r="D7932" i="23"/>
  <c r="C7932" i="23"/>
  <c r="D7931" i="23"/>
  <c r="C7931" i="23"/>
  <c r="D7930" i="23"/>
  <c r="C7930" i="23"/>
  <c r="D7929" i="23"/>
  <c r="C7929" i="23"/>
  <c r="D7928" i="23"/>
  <c r="C7928" i="23"/>
  <c r="D7927" i="23"/>
  <c r="C7927" i="23"/>
  <c r="D7926" i="23"/>
  <c r="C7926" i="23"/>
  <c r="D7925" i="23"/>
  <c r="C7925" i="23"/>
  <c r="D7924" i="23"/>
  <c r="C7924" i="23"/>
  <c r="D7923" i="23"/>
  <c r="C7923" i="23"/>
  <c r="D7922" i="23"/>
  <c r="C7922" i="23"/>
  <c r="D7921" i="23"/>
  <c r="C7921" i="23"/>
  <c r="D7920" i="23"/>
  <c r="C7920" i="23"/>
  <c r="D7919" i="23"/>
  <c r="C7919" i="23"/>
  <c r="D7918" i="23"/>
  <c r="C7918" i="23"/>
  <c r="D7917" i="23"/>
  <c r="C7917" i="23"/>
  <c r="D7916" i="23"/>
  <c r="C7916" i="23"/>
  <c r="D7915" i="23"/>
  <c r="C7915" i="23"/>
  <c r="D7914" i="23"/>
  <c r="C7914" i="23"/>
  <c r="D7913" i="23"/>
  <c r="C7913" i="23"/>
  <c r="D7912" i="23"/>
  <c r="C7912" i="23"/>
  <c r="D7911" i="23"/>
  <c r="C7911" i="23"/>
  <c r="D7910" i="23"/>
  <c r="C7910" i="23"/>
  <c r="D7909" i="23"/>
  <c r="C7909" i="23"/>
  <c r="D7908" i="23"/>
  <c r="C7908" i="23"/>
  <c r="D7907" i="23"/>
  <c r="C7907" i="23"/>
  <c r="D7906" i="23"/>
  <c r="C7906" i="23"/>
  <c r="D7905" i="23"/>
  <c r="C7905" i="23"/>
  <c r="D7904" i="23"/>
  <c r="C7904" i="23"/>
  <c r="D7903" i="23"/>
  <c r="C7903" i="23"/>
  <c r="D7902" i="23"/>
  <c r="C7902" i="23"/>
  <c r="D7901" i="23"/>
  <c r="C7901" i="23"/>
  <c r="D7900" i="23"/>
  <c r="C7900" i="23"/>
  <c r="D7899" i="23"/>
  <c r="C7899" i="23"/>
  <c r="D7898" i="23"/>
  <c r="C7898" i="23"/>
  <c r="D7897" i="23"/>
  <c r="C7897" i="23"/>
  <c r="D7896" i="23"/>
  <c r="C7896" i="23"/>
  <c r="D7895" i="23"/>
  <c r="C7895" i="23"/>
  <c r="D7894" i="23"/>
  <c r="C7894" i="23"/>
  <c r="D7893" i="23"/>
  <c r="C7893" i="23"/>
  <c r="D7892" i="23"/>
  <c r="C7892" i="23"/>
  <c r="D7891" i="23"/>
  <c r="C7891" i="23"/>
  <c r="D7890" i="23"/>
  <c r="C7890" i="23"/>
  <c r="D7889" i="23"/>
  <c r="C7889" i="23"/>
  <c r="D7888" i="23"/>
  <c r="C7888" i="23"/>
  <c r="D7887" i="23"/>
  <c r="C7887" i="23"/>
  <c r="D7886" i="23"/>
  <c r="C7886" i="23"/>
  <c r="D7885" i="23"/>
  <c r="C7885" i="23"/>
  <c r="D7884" i="23"/>
  <c r="C7884" i="23"/>
  <c r="D7883" i="23"/>
  <c r="C7883" i="23"/>
  <c r="D7882" i="23"/>
  <c r="C7882" i="23"/>
  <c r="D7881" i="23"/>
  <c r="C7881" i="23"/>
  <c r="D7880" i="23"/>
  <c r="C7880" i="23"/>
  <c r="D7879" i="23"/>
  <c r="C7879" i="23"/>
  <c r="D7878" i="23"/>
  <c r="C7878" i="23"/>
  <c r="D7877" i="23"/>
  <c r="C7877" i="23"/>
  <c r="D7876" i="23"/>
  <c r="C7876" i="23"/>
  <c r="D7875" i="23"/>
  <c r="C7875" i="23"/>
  <c r="D7874" i="23"/>
  <c r="C7874" i="23"/>
  <c r="D7873" i="23"/>
  <c r="C7873" i="23"/>
  <c r="D7872" i="23"/>
  <c r="C7872" i="23"/>
  <c r="D7871" i="23"/>
  <c r="C7871" i="23"/>
  <c r="D7870" i="23"/>
  <c r="C7870" i="23"/>
  <c r="D7869" i="23"/>
  <c r="C7869" i="23"/>
  <c r="D7868" i="23"/>
  <c r="C7868" i="23"/>
  <c r="D7867" i="23"/>
  <c r="C7867" i="23"/>
  <c r="D7866" i="23"/>
  <c r="C7866" i="23"/>
  <c r="D7865" i="23"/>
  <c r="C7865" i="23"/>
  <c r="D7864" i="23"/>
  <c r="C7864" i="23"/>
  <c r="D7863" i="23"/>
  <c r="C7863" i="23"/>
  <c r="D7862" i="23"/>
  <c r="C7862" i="23"/>
  <c r="D7861" i="23"/>
  <c r="C7861" i="23"/>
  <c r="D7860" i="23"/>
  <c r="C7860" i="23"/>
  <c r="D7859" i="23"/>
  <c r="C7859" i="23"/>
  <c r="D7858" i="23"/>
  <c r="C7858" i="23"/>
  <c r="D7857" i="23"/>
  <c r="C7857" i="23"/>
  <c r="D7856" i="23"/>
  <c r="C7856" i="23"/>
  <c r="D7855" i="23"/>
  <c r="C7855" i="23"/>
  <c r="D7854" i="23"/>
  <c r="C7854" i="23"/>
  <c r="D7853" i="23"/>
  <c r="C7853" i="23"/>
  <c r="D7852" i="23"/>
  <c r="C7852" i="23"/>
  <c r="D7851" i="23"/>
  <c r="C7851" i="23"/>
  <c r="D7850" i="23"/>
  <c r="C7850" i="23"/>
  <c r="D7849" i="23"/>
  <c r="C7849" i="23"/>
  <c r="D7848" i="23"/>
  <c r="C7848" i="23"/>
  <c r="D7847" i="23"/>
  <c r="C7847" i="23"/>
  <c r="D7846" i="23"/>
  <c r="C7846" i="23"/>
  <c r="D7845" i="23"/>
  <c r="C7845" i="23"/>
  <c r="D7844" i="23"/>
  <c r="C7844" i="23"/>
  <c r="D7843" i="23"/>
  <c r="C7843" i="23"/>
  <c r="D7842" i="23"/>
  <c r="C7842" i="23"/>
  <c r="D7841" i="23"/>
  <c r="C7841" i="23"/>
  <c r="D7840" i="23"/>
  <c r="C7840" i="23"/>
  <c r="D7839" i="23"/>
  <c r="C7839" i="23"/>
  <c r="D7838" i="23"/>
  <c r="C7838" i="23"/>
  <c r="D7837" i="23"/>
  <c r="C7837" i="23"/>
  <c r="D7836" i="23"/>
  <c r="C7836" i="23"/>
  <c r="D7835" i="23"/>
  <c r="C7835" i="23"/>
  <c r="D7834" i="23"/>
  <c r="C7834" i="23"/>
  <c r="D7833" i="23"/>
  <c r="C7833" i="23"/>
  <c r="D7832" i="23"/>
  <c r="C7832" i="23"/>
  <c r="D7831" i="23"/>
  <c r="C7831" i="23"/>
  <c r="D7830" i="23"/>
  <c r="C7830" i="23"/>
  <c r="D7829" i="23"/>
  <c r="C7829" i="23"/>
  <c r="D7828" i="23"/>
  <c r="C7828" i="23"/>
  <c r="D7827" i="23"/>
  <c r="C7827" i="23"/>
  <c r="D7826" i="23"/>
  <c r="C7826" i="23"/>
  <c r="D7825" i="23"/>
  <c r="C7825" i="23"/>
  <c r="D7824" i="23"/>
  <c r="C7824" i="23"/>
  <c r="D7823" i="23"/>
  <c r="C7823" i="23"/>
  <c r="D7822" i="23"/>
  <c r="C7822" i="23"/>
  <c r="D7821" i="23"/>
  <c r="C7821" i="23"/>
  <c r="D7820" i="23"/>
  <c r="C7820" i="23"/>
  <c r="D7819" i="23"/>
  <c r="C7819" i="23"/>
  <c r="D7818" i="23"/>
  <c r="C7818" i="23"/>
  <c r="D7817" i="23"/>
  <c r="C7817" i="23"/>
  <c r="D7816" i="23"/>
  <c r="C7816" i="23"/>
  <c r="D7815" i="23"/>
  <c r="C7815" i="23"/>
  <c r="D7814" i="23"/>
  <c r="C7814" i="23"/>
  <c r="D7813" i="23"/>
  <c r="C7813" i="23"/>
  <c r="D7812" i="23"/>
  <c r="C7812" i="23"/>
  <c r="D7811" i="23"/>
  <c r="C7811" i="23"/>
  <c r="D7810" i="23"/>
  <c r="C7810" i="23"/>
  <c r="D7809" i="23"/>
  <c r="C7809" i="23"/>
  <c r="D7808" i="23"/>
  <c r="C7808" i="23"/>
  <c r="D7807" i="23"/>
  <c r="C7807" i="23"/>
  <c r="D7806" i="23"/>
  <c r="C7806" i="23"/>
  <c r="D7805" i="23"/>
  <c r="C7805" i="23"/>
  <c r="D7804" i="23"/>
  <c r="C7804" i="23"/>
  <c r="D7803" i="23"/>
  <c r="C7803" i="23"/>
  <c r="D7802" i="23"/>
  <c r="C7802" i="23"/>
  <c r="D7801" i="23"/>
  <c r="C7801" i="23"/>
  <c r="D7800" i="23"/>
  <c r="C7800" i="23"/>
  <c r="D7799" i="23"/>
  <c r="C7799" i="23"/>
  <c r="D7798" i="23"/>
  <c r="C7798" i="23"/>
  <c r="D7797" i="23"/>
  <c r="C7797" i="23"/>
  <c r="D7796" i="23"/>
  <c r="C7796" i="23"/>
  <c r="D7795" i="23"/>
  <c r="C7795" i="23"/>
  <c r="D7794" i="23"/>
  <c r="C7794" i="23"/>
  <c r="D7793" i="23"/>
  <c r="C7793" i="23"/>
  <c r="D7792" i="23"/>
  <c r="C7792" i="23"/>
  <c r="D7791" i="23"/>
  <c r="C7791" i="23"/>
  <c r="D7790" i="23"/>
  <c r="C7790" i="23"/>
  <c r="D7789" i="23"/>
  <c r="C7789" i="23"/>
  <c r="D7788" i="23"/>
  <c r="C7788" i="23"/>
  <c r="D7787" i="23"/>
  <c r="C7787" i="23"/>
  <c r="D7786" i="23"/>
  <c r="C7786" i="23"/>
  <c r="D7785" i="23"/>
  <c r="C7785" i="23"/>
  <c r="D7784" i="23"/>
  <c r="C7784" i="23"/>
  <c r="D7783" i="23"/>
  <c r="C7783" i="23"/>
  <c r="D7782" i="23"/>
  <c r="C7782" i="23"/>
  <c r="D7781" i="23"/>
  <c r="C7781" i="23"/>
  <c r="D7780" i="23"/>
  <c r="C7780" i="23"/>
  <c r="D7779" i="23"/>
  <c r="C7779" i="23"/>
  <c r="D7778" i="23"/>
  <c r="C7778" i="23"/>
  <c r="D7777" i="23"/>
  <c r="C7777" i="23"/>
  <c r="D7776" i="23"/>
  <c r="C7776" i="23"/>
  <c r="D7775" i="23"/>
  <c r="C7775" i="23"/>
  <c r="D7774" i="23"/>
  <c r="C7774" i="23"/>
  <c r="D7773" i="23"/>
  <c r="C7773" i="23"/>
  <c r="D7772" i="23"/>
  <c r="C7772" i="23"/>
  <c r="D7771" i="23"/>
  <c r="C7771" i="23"/>
  <c r="D7770" i="23"/>
  <c r="C7770" i="23"/>
  <c r="D7769" i="23"/>
  <c r="C7769" i="23"/>
  <c r="D7768" i="23"/>
  <c r="C7768" i="23"/>
  <c r="D7767" i="23"/>
  <c r="C7767" i="23"/>
  <c r="D7766" i="23"/>
  <c r="C7766" i="23"/>
  <c r="D7765" i="23"/>
  <c r="C7765" i="23"/>
  <c r="D7764" i="23"/>
  <c r="C7764" i="23"/>
  <c r="D7763" i="23"/>
  <c r="C7763" i="23"/>
  <c r="D7762" i="23"/>
  <c r="C7762" i="23"/>
  <c r="D7761" i="23"/>
  <c r="C7761" i="23"/>
  <c r="D7760" i="23"/>
  <c r="C7760" i="23"/>
  <c r="D7759" i="23"/>
  <c r="C7759" i="23"/>
  <c r="D7758" i="23"/>
  <c r="C7758" i="23"/>
  <c r="D7757" i="23"/>
  <c r="C7757" i="23"/>
  <c r="D7756" i="23"/>
  <c r="C7756" i="23"/>
  <c r="D7755" i="23"/>
  <c r="C7755" i="23"/>
  <c r="D7754" i="23"/>
  <c r="C7754" i="23"/>
  <c r="D7753" i="23"/>
  <c r="C7753" i="23"/>
  <c r="D7752" i="23"/>
  <c r="C7752" i="23"/>
  <c r="D7751" i="23"/>
  <c r="C7751" i="23"/>
  <c r="D7750" i="23"/>
  <c r="C7750" i="23"/>
  <c r="D7749" i="23"/>
  <c r="C7749" i="23"/>
  <c r="D7748" i="23"/>
  <c r="C7748" i="23"/>
  <c r="D7747" i="23"/>
  <c r="C7747" i="23"/>
  <c r="D7746" i="23"/>
  <c r="C7746" i="23"/>
  <c r="D7745" i="23"/>
  <c r="C7745" i="23"/>
  <c r="D7744" i="23"/>
  <c r="C7744" i="23"/>
  <c r="D7743" i="23"/>
  <c r="C7743" i="23"/>
  <c r="D7742" i="23"/>
  <c r="C7742" i="23"/>
  <c r="D7741" i="23"/>
  <c r="C7741" i="23"/>
  <c r="D7740" i="23"/>
  <c r="C7740" i="23"/>
  <c r="D7739" i="23"/>
  <c r="C7739" i="23"/>
  <c r="D7738" i="23"/>
  <c r="C7738" i="23"/>
  <c r="D7737" i="23"/>
  <c r="C7737" i="23"/>
  <c r="D7736" i="23"/>
  <c r="C7736" i="23"/>
  <c r="D7735" i="23"/>
  <c r="C7735" i="23"/>
  <c r="D7734" i="23"/>
  <c r="C7734" i="23"/>
  <c r="D7733" i="23"/>
  <c r="C7733" i="23"/>
  <c r="D7732" i="23"/>
  <c r="C7732" i="23"/>
  <c r="D7731" i="23"/>
  <c r="C7731" i="23"/>
  <c r="D7730" i="23"/>
  <c r="C7730" i="23"/>
  <c r="D7729" i="23"/>
  <c r="C7729" i="23"/>
  <c r="D7728" i="23"/>
  <c r="C7728" i="23"/>
  <c r="D7727" i="23"/>
  <c r="C7727" i="23"/>
  <c r="D7726" i="23"/>
  <c r="C7726" i="23"/>
  <c r="D7725" i="23"/>
  <c r="C7725" i="23"/>
  <c r="D7724" i="23"/>
  <c r="C7724" i="23"/>
  <c r="D7723" i="23"/>
  <c r="C7723" i="23"/>
  <c r="D7722" i="23"/>
  <c r="C7722" i="23"/>
  <c r="D7721" i="23"/>
  <c r="C7721" i="23"/>
  <c r="D7720" i="23"/>
  <c r="C7720" i="23"/>
  <c r="D7719" i="23"/>
  <c r="C7719" i="23"/>
  <c r="D7718" i="23"/>
  <c r="C7718" i="23"/>
  <c r="D7717" i="23"/>
  <c r="C7717" i="23"/>
  <c r="D7716" i="23"/>
  <c r="C7716" i="23"/>
  <c r="D7715" i="23"/>
  <c r="C7715" i="23"/>
  <c r="D7714" i="23"/>
  <c r="C7714" i="23"/>
  <c r="D7713" i="23"/>
  <c r="C7713" i="23"/>
  <c r="D7712" i="23"/>
  <c r="C7712" i="23"/>
  <c r="D7711" i="23"/>
  <c r="C7711" i="23"/>
  <c r="D7710" i="23"/>
  <c r="C7710" i="23"/>
  <c r="D7709" i="23"/>
  <c r="C7709" i="23"/>
  <c r="D7708" i="23"/>
  <c r="C7708" i="23"/>
  <c r="D7707" i="23"/>
  <c r="C7707" i="23"/>
  <c r="D7706" i="23"/>
  <c r="C7706" i="23"/>
  <c r="D7705" i="23"/>
  <c r="C7705" i="23"/>
  <c r="D7704" i="23"/>
  <c r="C7704" i="23"/>
  <c r="D7703" i="23"/>
  <c r="C7703" i="23"/>
  <c r="D7702" i="23"/>
  <c r="C7702" i="23"/>
  <c r="D7701" i="23"/>
  <c r="C7701" i="23"/>
  <c r="D7700" i="23"/>
  <c r="C7700" i="23"/>
  <c r="D7699" i="23"/>
  <c r="C7699" i="23"/>
  <c r="D7698" i="23"/>
  <c r="C7698" i="23"/>
  <c r="D7697" i="23"/>
  <c r="C7697" i="23"/>
  <c r="D7696" i="23"/>
  <c r="C7696" i="23"/>
  <c r="D7695" i="23"/>
  <c r="C7695" i="23"/>
  <c r="D7694" i="23"/>
  <c r="C7694" i="23"/>
  <c r="D7693" i="23"/>
  <c r="C7693" i="23"/>
  <c r="D7692" i="23"/>
  <c r="C7692" i="23"/>
  <c r="D7691" i="23"/>
  <c r="C7691" i="23"/>
  <c r="D7690" i="23"/>
  <c r="C7690" i="23"/>
  <c r="D7689" i="23"/>
  <c r="C7689" i="23"/>
  <c r="D7688" i="23"/>
  <c r="C7688" i="23"/>
  <c r="D7687" i="23"/>
  <c r="C7687" i="23"/>
  <c r="D7686" i="23"/>
  <c r="C7686" i="23"/>
  <c r="D7685" i="23"/>
  <c r="C7685" i="23"/>
  <c r="D7684" i="23"/>
  <c r="C7684" i="23"/>
  <c r="D7683" i="23"/>
  <c r="C7683" i="23"/>
  <c r="D7682" i="23"/>
  <c r="C7682" i="23"/>
  <c r="D7681" i="23"/>
  <c r="C7681" i="23"/>
  <c r="D7680" i="23"/>
  <c r="C7680" i="23"/>
  <c r="D7679" i="23"/>
  <c r="C7679" i="23"/>
  <c r="D7678" i="23"/>
  <c r="C7678" i="23"/>
  <c r="D7677" i="23"/>
  <c r="C7677" i="23"/>
  <c r="D7676" i="23"/>
  <c r="C7676" i="23"/>
  <c r="D7675" i="23"/>
  <c r="C7675" i="23"/>
  <c r="D7674" i="23"/>
  <c r="C7674" i="23"/>
  <c r="D7673" i="23"/>
  <c r="C7673" i="23"/>
  <c r="D7672" i="23"/>
  <c r="C7672" i="23"/>
  <c r="D7671" i="23"/>
  <c r="C7671" i="23"/>
  <c r="D7670" i="23"/>
  <c r="C7670" i="23"/>
  <c r="D7669" i="23"/>
  <c r="C7669" i="23"/>
  <c r="D7668" i="23"/>
  <c r="C7668" i="23"/>
  <c r="D7667" i="23"/>
  <c r="C7667" i="23"/>
  <c r="D7666" i="23"/>
  <c r="C7666" i="23"/>
  <c r="D7665" i="23"/>
  <c r="C7665" i="23"/>
  <c r="D7664" i="23"/>
  <c r="C7664" i="23"/>
  <c r="D7663" i="23"/>
  <c r="C7663" i="23"/>
  <c r="D7662" i="23"/>
  <c r="C7662" i="23"/>
  <c r="D7661" i="23"/>
  <c r="C7661" i="23"/>
  <c r="D7660" i="23"/>
  <c r="C7660" i="23"/>
  <c r="D7659" i="23"/>
  <c r="C7659" i="23"/>
  <c r="D7658" i="23"/>
  <c r="C7658" i="23"/>
  <c r="D7657" i="23"/>
  <c r="C7657" i="23"/>
  <c r="D7656" i="23"/>
  <c r="C7656" i="23"/>
  <c r="D7655" i="23"/>
  <c r="C7655" i="23"/>
  <c r="D7654" i="23"/>
  <c r="C7654" i="23"/>
  <c r="D7653" i="23"/>
  <c r="C7653" i="23"/>
  <c r="D7652" i="23"/>
  <c r="C7652" i="23"/>
  <c r="D7651" i="23"/>
  <c r="C7651" i="23"/>
  <c r="D7650" i="23"/>
  <c r="C7650" i="23"/>
  <c r="D7649" i="23"/>
  <c r="C7649" i="23"/>
  <c r="D7648" i="23"/>
  <c r="C7648" i="23"/>
  <c r="D7647" i="23"/>
  <c r="C7647" i="23"/>
  <c r="D7646" i="23"/>
  <c r="C7646" i="23"/>
  <c r="D7645" i="23"/>
  <c r="C7645" i="23"/>
  <c r="D7644" i="23"/>
  <c r="C7644" i="23"/>
  <c r="D7643" i="23"/>
  <c r="C7643" i="23"/>
  <c r="D7642" i="23"/>
  <c r="C7642" i="23"/>
  <c r="D7641" i="23"/>
  <c r="C7641" i="23"/>
  <c r="D7640" i="23"/>
  <c r="C7640" i="23"/>
  <c r="D7639" i="23"/>
  <c r="C7639" i="23"/>
  <c r="D7638" i="23"/>
  <c r="C7638" i="23"/>
  <c r="D7637" i="23"/>
  <c r="C7637" i="23"/>
  <c r="D7636" i="23"/>
  <c r="C7636" i="23"/>
  <c r="D7635" i="23"/>
  <c r="C7635" i="23"/>
  <c r="D7634" i="23"/>
  <c r="C7634" i="23"/>
  <c r="D7633" i="23"/>
  <c r="C7633" i="23"/>
  <c r="D7632" i="23"/>
  <c r="C7632" i="23"/>
  <c r="D7631" i="23"/>
  <c r="C7631" i="23"/>
  <c r="D7630" i="23"/>
  <c r="C7630" i="23"/>
  <c r="D7629" i="23"/>
  <c r="C7629" i="23"/>
  <c r="D7628" i="23"/>
  <c r="C7628" i="23"/>
  <c r="D7627" i="23"/>
  <c r="C7627" i="23"/>
  <c r="D7626" i="23"/>
  <c r="C7626" i="23"/>
  <c r="D7625" i="23"/>
  <c r="C7625" i="23"/>
  <c r="D7624" i="23"/>
  <c r="C7624" i="23"/>
  <c r="D7623" i="23"/>
  <c r="C7623" i="23"/>
  <c r="D7622" i="23"/>
  <c r="C7622" i="23"/>
  <c r="D7621" i="23"/>
  <c r="C7621" i="23"/>
  <c r="D7620" i="23"/>
  <c r="C7620" i="23"/>
  <c r="D7619" i="23"/>
  <c r="C7619" i="23"/>
  <c r="D7618" i="23"/>
  <c r="C7618" i="23"/>
  <c r="D7617" i="23"/>
  <c r="C7617" i="23"/>
  <c r="D7616" i="23"/>
  <c r="C7616" i="23"/>
  <c r="D7615" i="23"/>
  <c r="C7615" i="23"/>
  <c r="D7614" i="23"/>
  <c r="C7614" i="23"/>
  <c r="D7613" i="23"/>
  <c r="C7613" i="23"/>
  <c r="D7612" i="23"/>
  <c r="C7612" i="23"/>
  <c r="D7611" i="23"/>
  <c r="C7611" i="23"/>
  <c r="D7610" i="23"/>
  <c r="C7610" i="23"/>
  <c r="D7609" i="23"/>
  <c r="C7609" i="23"/>
  <c r="D7608" i="23"/>
  <c r="C7608" i="23"/>
  <c r="D7607" i="23"/>
  <c r="C7607" i="23"/>
  <c r="D7606" i="23"/>
  <c r="C7606" i="23"/>
  <c r="D7605" i="23"/>
  <c r="C7605" i="23"/>
  <c r="D7604" i="23"/>
  <c r="C7604" i="23"/>
  <c r="D7603" i="23"/>
  <c r="C7603" i="23"/>
  <c r="D7602" i="23"/>
  <c r="C7602" i="23"/>
  <c r="D7601" i="23"/>
  <c r="C7601" i="23"/>
  <c r="D7600" i="23"/>
  <c r="C7600" i="23"/>
  <c r="D7599" i="23"/>
  <c r="C7599" i="23"/>
  <c r="D7598" i="23"/>
  <c r="C7598" i="23"/>
  <c r="D7597" i="23"/>
  <c r="C7597" i="23"/>
  <c r="D7596" i="23"/>
  <c r="C7596" i="23"/>
  <c r="D7595" i="23"/>
  <c r="C7595" i="23"/>
  <c r="D7594" i="23"/>
  <c r="C7594" i="23"/>
  <c r="D7593" i="23"/>
  <c r="C7593" i="23"/>
  <c r="D7592" i="23"/>
  <c r="C7592" i="23"/>
  <c r="D7591" i="23"/>
  <c r="C7591" i="23"/>
  <c r="D7590" i="23"/>
  <c r="C7590" i="23"/>
  <c r="D7589" i="23"/>
  <c r="C7589" i="23"/>
  <c r="D7588" i="23"/>
  <c r="C7588" i="23"/>
  <c r="D7587" i="23"/>
  <c r="C7587" i="23"/>
  <c r="D7586" i="23"/>
  <c r="C7586" i="23"/>
  <c r="D7585" i="23"/>
  <c r="C7585" i="23"/>
  <c r="D7584" i="23"/>
  <c r="C7584" i="23"/>
  <c r="D7583" i="23"/>
  <c r="C7583" i="23"/>
  <c r="D7582" i="23"/>
  <c r="C7582" i="23"/>
  <c r="D7581" i="23"/>
  <c r="C7581" i="23"/>
  <c r="D7580" i="23"/>
  <c r="C7580" i="23"/>
  <c r="D7579" i="23"/>
  <c r="C7579" i="23"/>
  <c r="D7578" i="23"/>
  <c r="C7578" i="23"/>
  <c r="D7577" i="23"/>
  <c r="C7577" i="23"/>
  <c r="D7576" i="23"/>
  <c r="C7576" i="23"/>
  <c r="D7575" i="23"/>
  <c r="C7575" i="23"/>
  <c r="D7574" i="23"/>
  <c r="C7574" i="23"/>
  <c r="D7573" i="23"/>
  <c r="C7573" i="23"/>
  <c r="D7572" i="23"/>
  <c r="C7572" i="23"/>
  <c r="D7571" i="23"/>
  <c r="C7571" i="23"/>
  <c r="D7570" i="23"/>
  <c r="C7570" i="23"/>
  <c r="D7569" i="23"/>
  <c r="C7569" i="23"/>
  <c r="D7568" i="23"/>
  <c r="C7568" i="23"/>
  <c r="D7567" i="23"/>
  <c r="C7567" i="23"/>
  <c r="D7566" i="23"/>
  <c r="C7566" i="23"/>
  <c r="D7565" i="23"/>
  <c r="C7565" i="23"/>
  <c r="D7564" i="23"/>
  <c r="C7564" i="23"/>
  <c r="D7563" i="23"/>
  <c r="C7563" i="23"/>
  <c r="D7562" i="23"/>
  <c r="C7562" i="23"/>
  <c r="D7561" i="23"/>
  <c r="C7561" i="23"/>
  <c r="D7560" i="23"/>
  <c r="C7560" i="23"/>
  <c r="D7559" i="23"/>
  <c r="C7559" i="23"/>
  <c r="D7558" i="23"/>
  <c r="C7558" i="23"/>
  <c r="D7557" i="23"/>
  <c r="C7557" i="23"/>
  <c r="D7556" i="23"/>
  <c r="C7556" i="23"/>
  <c r="D7555" i="23"/>
  <c r="C7555" i="23"/>
  <c r="D7554" i="23"/>
  <c r="C7554" i="23"/>
  <c r="D7553" i="23"/>
  <c r="C7553" i="23"/>
  <c r="D7552" i="23"/>
  <c r="C7552" i="23"/>
  <c r="D7551" i="23"/>
  <c r="C7551" i="23"/>
  <c r="D7550" i="23"/>
  <c r="C7550" i="23"/>
  <c r="D7549" i="23"/>
  <c r="C7549" i="23"/>
  <c r="D7548" i="23"/>
  <c r="C7548" i="23"/>
  <c r="D7547" i="23"/>
  <c r="C7547" i="23"/>
  <c r="D7546" i="23"/>
  <c r="C7546" i="23"/>
  <c r="D7545" i="23"/>
  <c r="C7545" i="23"/>
  <c r="D7544" i="23"/>
  <c r="C7544" i="23"/>
  <c r="D7543" i="23"/>
  <c r="C7543" i="23"/>
  <c r="D7542" i="23"/>
  <c r="C7542" i="23"/>
  <c r="D7541" i="23"/>
  <c r="C7541" i="23"/>
  <c r="D7540" i="23"/>
  <c r="C7540" i="23"/>
  <c r="D7539" i="23"/>
  <c r="C7539" i="23"/>
  <c r="D7538" i="23"/>
  <c r="C7538" i="23"/>
  <c r="D7537" i="23"/>
  <c r="C7537" i="23"/>
  <c r="D7536" i="23"/>
  <c r="C7536" i="23"/>
  <c r="D7535" i="23"/>
  <c r="C7535" i="23"/>
  <c r="D7534" i="23"/>
  <c r="C7534" i="23"/>
  <c r="D7533" i="23"/>
  <c r="C7533" i="23"/>
  <c r="D7532" i="23"/>
  <c r="C7532" i="23"/>
  <c r="D7531" i="23"/>
  <c r="C7531" i="23"/>
  <c r="D7530" i="23"/>
  <c r="C7530" i="23"/>
  <c r="D7529" i="23"/>
  <c r="C7529" i="23"/>
  <c r="D7528" i="23"/>
  <c r="C7528" i="23"/>
  <c r="D7527" i="23"/>
  <c r="C7527" i="23"/>
  <c r="D7526" i="23"/>
  <c r="C7526" i="23"/>
  <c r="D7525" i="23"/>
  <c r="C7525" i="23"/>
  <c r="D7524" i="23"/>
  <c r="C7524" i="23"/>
  <c r="D7523" i="23"/>
  <c r="C7523" i="23"/>
  <c r="D7522" i="23"/>
  <c r="C7522" i="23"/>
  <c r="D7521" i="23"/>
  <c r="C7521" i="23"/>
  <c r="D7520" i="23"/>
  <c r="C7520" i="23"/>
  <c r="D7519" i="23"/>
  <c r="C7519" i="23"/>
  <c r="D7518" i="23"/>
  <c r="C7518" i="23"/>
  <c r="D7517" i="23"/>
  <c r="C7517" i="23"/>
  <c r="D7516" i="23"/>
  <c r="C7516" i="23"/>
  <c r="D7515" i="23"/>
  <c r="C7515" i="23"/>
  <c r="D7514" i="23"/>
  <c r="C7514" i="23"/>
  <c r="D7513" i="23"/>
  <c r="C7513" i="23"/>
  <c r="D7512" i="23"/>
  <c r="C7512" i="23"/>
  <c r="D7511" i="23"/>
  <c r="C7511" i="23"/>
  <c r="D7510" i="23"/>
  <c r="C7510" i="23"/>
  <c r="D7509" i="23"/>
  <c r="C7509" i="23"/>
  <c r="D7508" i="23"/>
  <c r="C7508" i="23"/>
  <c r="D7507" i="23"/>
  <c r="C7507" i="23"/>
  <c r="D7506" i="23"/>
  <c r="C7506" i="23"/>
  <c r="D7505" i="23"/>
  <c r="C7505" i="23"/>
  <c r="D7504" i="23"/>
  <c r="C7504" i="23"/>
  <c r="D7503" i="23"/>
  <c r="C7503" i="23"/>
  <c r="D7502" i="23"/>
  <c r="C7502" i="23"/>
  <c r="D7501" i="23"/>
  <c r="C7501" i="23"/>
  <c r="D7500" i="23"/>
  <c r="C7500" i="23"/>
  <c r="D7499" i="23"/>
  <c r="C7499" i="23"/>
  <c r="D7498" i="23"/>
  <c r="C7498" i="23"/>
  <c r="D7497" i="23"/>
  <c r="C7497" i="23"/>
  <c r="D7496" i="23"/>
  <c r="C7496" i="23"/>
  <c r="D7495" i="23"/>
  <c r="C7495" i="23"/>
  <c r="D7494" i="23"/>
  <c r="C7494" i="23"/>
  <c r="D7493" i="23"/>
  <c r="C7493" i="23"/>
  <c r="D7492" i="23"/>
  <c r="C7492" i="23"/>
  <c r="D7491" i="23"/>
  <c r="C7491" i="23"/>
  <c r="D7490" i="23"/>
  <c r="C7490" i="23"/>
  <c r="D7489" i="23"/>
  <c r="C7489" i="23"/>
  <c r="D7488" i="23"/>
  <c r="C7488" i="23"/>
  <c r="D7487" i="23"/>
  <c r="C7487" i="23"/>
  <c r="D7486" i="23"/>
  <c r="C7486" i="23"/>
  <c r="D7485" i="23"/>
  <c r="C7485" i="23"/>
  <c r="D7484" i="23"/>
  <c r="C7484" i="23"/>
  <c r="D7483" i="23"/>
  <c r="C7483" i="23"/>
  <c r="D7482" i="23"/>
  <c r="C7482" i="23"/>
  <c r="D7481" i="23"/>
  <c r="C7481" i="23"/>
  <c r="D7480" i="23"/>
  <c r="C7480" i="23"/>
  <c r="D7479" i="23"/>
  <c r="C7479" i="23"/>
  <c r="D7478" i="23"/>
  <c r="C7478" i="23"/>
  <c r="D7477" i="23"/>
  <c r="C7477" i="23"/>
  <c r="D7476" i="23"/>
  <c r="C7476" i="23"/>
  <c r="D7475" i="23"/>
  <c r="C7475" i="23"/>
  <c r="D7474" i="23"/>
  <c r="C7474" i="23"/>
  <c r="D7473" i="23"/>
  <c r="C7473" i="23"/>
  <c r="D7472" i="23"/>
  <c r="C7472" i="23"/>
  <c r="D7471" i="23"/>
  <c r="C7471" i="23"/>
  <c r="D7470" i="23"/>
  <c r="C7470" i="23"/>
  <c r="D7469" i="23"/>
  <c r="C7469" i="23"/>
  <c r="D7468" i="23"/>
  <c r="C7468" i="23"/>
  <c r="D7467" i="23"/>
  <c r="C7467" i="23"/>
  <c r="D7466" i="23"/>
  <c r="C7466" i="23"/>
  <c r="D7465" i="23"/>
  <c r="C7465" i="23"/>
  <c r="D7464" i="23"/>
  <c r="C7464" i="23"/>
  <c r="D7463" i="23"/>
  <c r="C7463" i="23"/>
  <c r="D7462" i="23"/>
  <c r="C7462" i="23"/>
  <c r="D7461" i="23"/>
  <c r="C7461" i="23"/>
  <c r="D7460" i="23"/>
  <c r="C7460" i="23"/>
  <c r="D7459" i="23"/>
  <c r="C7459" i="23"/>
  <c r="D7458" i="23"/>
  <c r="C7458" i="23"/>
  <c r="D7457" i="23"/>
  <c r="C7457" i="23"/>
  <c r="D7456" i="23"/>
  <c r="C7456" i="23"/>
  <c r="D7455" i="23"/>
  <c r="C7455" i="23"/>
  <c r="D7454" i="23"/>
  <c r="C7454" i="23"/>
  <c r="D7453" i="23"/>
  <c r="C7453" i="23"/>
  <c r="D7452" i="23"/>
  <c r="C7452" i="23"/>
  <c r="D7451" i="23"/>
  <c r="C7451" i="23"/>
  <c r="D7450" i="23"/>
  <c r="C7450" i="23"/>
  <c r="D7449" i="23"/>
  <c r="C7449" i="23"/>
  <c r="D7448" i="23"/>
  <c r="C7448" i="23"/>
  <c r="D7447" i="23"/>
  <c r="C7447" i="23"/>
  <c r="D7446" i="23"/>
  <c r="C7446" i="23"/>
  <c r="D7445" i="23"/>
  <c r="C7445" i="23"/>
  <c r="D7444" i="23"/>
  <c r="C7444" i="23"/>
  <c r="D7443" i="23"/>
  <c r="C7443" i="23"/>
  <c r="D7442" i="23"/>
  <c r="C7442" i="23"/>
  <c r="D7441" i="23"/>
  <c r="C7441" i="23"/>
  <c r="D7440" i="23"/>
  <c r="C7440" i="23"/>
  <c r="D7439" i="23"/>
  <c r="C7439" i="23"/>
  <c r="D7438" i="23"/>
  <c r="C7438" i="23"/>
  <c r="D7437" i="23"/>
  <c r="C7437" i="23"/>
  <c r="D7436" i="23"/>
  <c r="C7436" i="23"/>
  <c r="D7435" i="23"/>
  <c r="C7435" i="23"/>
  <c r="D7434" i="23"/>
  <c r="C7434" i="23"/>
  <c r="D7433" i="23"/>
  <c r="C7433" i="23"/>
  <c r="D7432" i="23"/>
  <c r="C7432" i="23"/>
  <c r="D7431" i="23"/>
  <c r="C7431" i="23"/>
  <c r="D7430" i="23"/>
  <c r="C7430" i="23"/>
  <c r="D7429" i="23"/>
  <c r="C7429" i="23"/>
  <c r="D7428" i="23"/>
  <c r="C7428" i="23"/>
  <c r="D7427" i="23"/>
  <c r="C7427" i="23"/>
  <c r="D7426" i="23"/>
  <c r="C7426" i="23"/>
  <c r="D7425" i="23"/>
  <c r="C7425" i="23"/>
  <c r="D7424" i="23"/>
  <c r="C7424" i="23"/>
  <c r="D7423" i="23"/>
  <c r="C7423" i="23"/>
  <c r="D7422" i="23"/>
  <c r="C7422" i="23"/>
  <c r="D7421" i="23"/>
  <c r="C7421" i="23"/>
  <c r="D7420" i="23"/>
  <c r="C7420" i="23"/>
  <c r="D7419" i="23"/>
  <c r="C7419" i="23"/>
  <c r="D7418" i="23"/>
  <c r="C7418" i="23"/>
  <c r="D7417" i="23"/>
  <c r="C7417" i="23"/>
  <c r="D7416" i="23"/>
  <c r="C7416" i="23"/>
  <c r="D7415" i="23"/>
  <c r="C7415" i="23"/>
  <c r="D7414" i="23"/>
  <c r="C7414" i="23"/>
  <c r="D7413" i="23"/>
  <c r="C7413" i="23"/>
  <c r="D7412" i="23"/>
  <c r="C7412" i="23"/>
  <c r="D7411" i="23"/>
  <c r="C7411" i="23"/>
  <c r="D7410" i="23"/>
  <c r="C7410" i="23"/>
  <c r="D7409" i="23"/>
  <c r="C7409" i="23"/>
  <c r="D7408" i="23"/>
  <c r="C7408" i="23"/>
  <c r="D7407" i="23"/>
  <c r="C7407" i="23"/>
  <c r="D7406" i="23"/>
  <c r="C7406" i="23"/>
  <c r="D7405" i="23"/>
  <c r="C7405" i="23"/>
  <c r="D7404" i="23"/>
  <c r="C7404" i="23"/>
  <c r="D7403" i="23"/>
  <c r="C7403" i="23"/>
  <c r="D7402" i="23"/>
  <c r="C7402" i="23"/>
  <c r="D7401" i="23"/>
  <c r="C7401" i="23"/>
  <c r="D7400" i="23"/>
  <c r="C7400" i="23"/>
  <c r="D7399" i="23"/>
  <c r="C7399" i="23"/>
  <c r="D7398" i="23"/>
  <c r="C7398" i="23"/>
  <c r="D7397" i="23"/>
  <c r="C7397" i="23"/>
  <c r="D7396" i="23"/>
  <c r="C7396" i="23"/>
  <c r="D7395" i="23"/>
  <c r="C7395" i="23"/>
  <c r="D7394" i="23"/>
  <c r="C7394" i="23"/>
  <c r="D7393" i="23"/>
  <c r="C7393" i="23"/>
  <c r="D7392" i="23"/>
  <c r="C7392" i="23"/>
  <c r="D7391" i="23"/>
  <c r="C7391" i="23"/>
  <c r="D7390" i="23"/>
  <c r="C7390" i="23"/>
  <c r="D7389" i="23"/>
  <c r="C7389" i="23"/>
  <c r="D7388" i="23"/>
  <c r="C7388" i="23"/>
  <c r="D7387" i="23"/>
  <c r="C7387" i="23"/>
  <c r="D7386" i="23"/>
  <c r="C7386" i="23"/>
  <c r="D7385" i="23"/>
  <c r="C7385" i="23"/>
  <c r="D7384" i="23"/>
  <c r="C7384" i="23"/>
  <c r="D7383" i="23"/>
  <c r="C7383" i="23"/>
  <c r="D7382" i="23"/>
  <c r="C7382" i="23"/>
  <c r="D7381" i="23"/>
  <c r="C7381" i="23"/>
  <c r="D7380" i="23"/>
  <c r="C7380" i="23"/>
  <c r="D7379" i="23"/>
  <c r="C7379" i="23"/>
  <c r="D7378" i="23"/>
  <c r="C7378" i="23"/>
  <c r="D7377" i="23"/>
  <c r="C7377" i="23"/>
  <c r="D7376" i="23"/>
  <c r="C7376" i="23"/>
  <c r="D7375" i="23"/>
  <c r="C7375" i="23"/>
  <c r="D7374" i="23"/>
  <c r="C7374" i="23"/>
  <c r="D7373" i="23"/>
  <c r="C7373" i="23"/>
  <c r="D7372" i="23"/>
  <c r="C7372" i="23"/>
  <c r="D7371" i="23"/>
  <c r="C7371" i="23"/>
  <c r="D7370" i="23"/>
  <c r="C7370" i="23"/>
  <c r="D7369" i="23"/>
  <c r="C7369" i="23"/>
  <c r="D7368" i="23"/>
  <c r="C7368" i="23"/>
  <c r="D7367" i="23"/>
  <c r="C7367" i="23"/>
  <c r="D7366" i="23"/>
  <c r="C7366" i="23"/>
  <c r="D7365" i="23"/>
  <c r="C7365" i="23"/>
  <c r="D7364" i="23"/>
  <c r="C7364" i="23"/>
  <c r="D7363" i="23"/>
  <c r="C7363" i="23"/>
  <c r="D7362" i="23"/>
  <c r="C7362" i="23"/>
  <c r="D7361" i="23"/>
  <c r="C7361" i="23"/>
  <c r="D7360" i="23"/>
  <c r="C7360" i="23"/>
  <c r="D7359" i="23"/>
  <c r="C7359" i="23"/>
  <c r="D7358" i="23"/>
  <c r="C7358" i="23"/>
  <c r="D7357" i="23"/>
  <c r="C7357" i="23"/>
  <c r="D7356" i="23"/>
  <c r="C7356" i="23"/>
  <c r="D7355" i="23"/>
  <c r="C7355" i="23"/>
  <c r="D7354" i="23"/>
  <c r="C7354" i="23"/>
  <c r="D7353" i="23"/>
  <c r="C7353" i="23"/>
  <c r="D7352" i="23"/>
  <c r="C7352" i="23"/>
  <c r="D7351" i="23"/>
  <c r="C7351" i="23"/>
  <c r="D7350" i="23"/>
  <c r="C7350" i="23"/>
  <c r="D7349" i="23"/>
  <c r="C7349" i="23"/>
  <c r="D7348" i="23"/>
  <c r="C7348" i="23"/>
  <c r="D7347" i="23"/>
  <c r="C7347" i="23"/>
  <c r="D7346" i="23"/>
  <c r="C7346" i="23"/>
  <c r="D7345" i="23"/>
  <c r="C7345" i="23"/>
  <c r="D7344" i="23"/>
  <c r="C7344" i="23"/>
  <c r="D7343" i="23"/>
  <c r="C7343" i="23"/>
  <c r="D7342" i="23"/>
  <c r="C7342" i="23"/>
  <c r="D7341" i="23"/>
  <c r="C7341" i="23"/>
  <c r="D7340" i="23"/>
  <c r="C7340" i="23"/>
  <c r="D7339" i="23"/>
  <c r="C7339" i="23"/>
  <c r="D7338" i="23"/>
  <c r="C7338" i="23"/>
  <c r="D7337" i="23"/>
  <c r="C7337" i="23"/>
  <c r="D7336" i="23"/>
  <c r="C7336" i="23"/>
  <c r="D7335" i="23"/>
  <c r="C7335" i="23"/>
  <c r="D7334" i="23"/>
  <c r="C7334" i="23"/>
  <c r="D7333" i="23"/>
  <c r="C7333" i="23"/>
  <c r="D7332" i="23"/>
  <c r="C7332" i="23"/>
  <c r="D7331" i="23"/>
  <c r="C7331" i="23"/>
  <c r="D7330" i="23"/>
  <c r="C7330" i="23"/>
  <c r="D7329" i="23"/>
  <c r="C7329" i="23"/>
  <c r="D7328" i="23"/>
  <c r="C7328" i="23"/>
  <c r="D7327" i="23"/>
  <c r="C7327" i="23"/>
  <c r="D7326" i="23"/>
  <c r="C7326" i="23"/>
  <c r="D7325" i="23"/>
  <c r="C7325" i="23"/>
  <c r="D7324" i="23"/>
  <c r="C7324" i="23"/>
  <c r="D7323" i="23"/>
  <c r="C7323" i="23"/>
  <c r="D7322" i="23"/>
  <c r="C7322" i="23"/>
  <c r="D7321" i="23"/>
  <c r="C7321" i="23"/>
  <c r="D7320" i="23"/>
  <c r="C7320" i="23"/>
  <c r="D7319" i="23"/>
  <c r="C7319" i="23"/>
  <c r="D7318" i="23"/>
  <c r="C7318" i="23"/>
  <c r="D7317" i="23"/>
  <c r="C7317" i="23"/>
  <c r="D7316" i="23"/>
  <c r="C7316" i="23"/>
  <c r="D7315" i="23"/>
  <c r="C7315" i="23"/>
  <c r="D7314" i="23"/>
  <c r="C7314" i="23"/>
  <c r="D7313" i="23"/>
  <c r="C7313" i="23"/>
  <c r="D7312" i="23"/>
  <c r="C7312" i="23"/>
  <c r="D7311" i="23"/>
  <c r="C7311" i="23"/>
  <c r="D7310" i="23"/>
  <c r="C7310" i="23"/>
  <c r="D7309" i="23"/>
  <c r="C7309" i="23"/>
  <c r="D7308" i="23"/>
  <c r="C7308" i="23"/>
  <c r="D7307" i="23"/>
  <c r="C7307" i="23"/>
  <c r="D7306" i="23"/>
  <c r="C7306" i="23"/>
  <c r="D7305" i="23"/>
  <c r="C7305" i="23"/>
  <c r="D7304" i="23"/>
  <c r="C7304" i="23"/>
  <c r="D7303" i="23"/>
  <c r="C7303" i="23"/>
  <c r="D7302" i="23"/>
  <c r="C7302" i="23"/>
  <c r="D7301" i="23"/>
  <c r="C7301" i="23"/>
  <c r="D7300" i="23"/>
  <c r="C7300" i="23"/>
  <c r="D7299" i="23"/>
  <c r="C7299" i="23"/>
  <c r="D7298" i="23"/>
  <c r="C7298" i="23"/>
  <c r="D7297" i="23"/>
  <c r="C7297" i="23"/>
  <c r="D7296" i="23"/>
  <c r="C7296" i="23"/>
  <c r="D7295" i="23"/>
  <c r="C7295" i="23"/>
  <c r="D7294" i="23"/>
  <c r="C7294" i="23"/>
  <c r="D7293" i="23"/>
  <c r="C7293" i="23"/>
  <c r="D7292" i="23"/>
  <c r="C7292" i="23"/>
  <c r="D7291" i="23"/>
  <c r="C7291" i="23"/>
  <c r="D7290" i="23"/>
  <c r="C7290" i="23"/>
  <c r="D7289" i="23"/>
  <c r="C7289" i="23"/>
  <c r="D7288" i="23"/>
  <c r="C7288" i="23"/>
  <c r="D7287" i="23"/>
  <c r="C7287" i="23"/>
  <c r="D7286" i="23"/>
  <c r="C7286" i="23"/>
  <c r="D7285" i="23"/>
  <c r="C7285" i="23"/>
  <c r="D7284" i="23"/>
  <c r="C7284" i="23"/>
  <c r="D7283" i="23"/>
  <c r="C7283" i="23"/>
  <c r="D7282" i="23"/>
  <c r="C7282" i="23"/>
  <c r="D7281" i="23"/>
  <c r="C7281" i="23"/>
  <c r="D7280" i="23"/>
  <c r="C7280" i="23"/>
  <c r="D7279" i="23"/>
  <c r="C7279" i="23"/>
  <c r="D7278" i="23"/>
  <c r="C7278" i="23"/>
  <c r="D7277" i="23"/>
  <c r="C7277" i="23"/>
  <c r="D7276" i="23"/>
  <c r="C7276" i="23"/>
  <c r="D7275" i="23"/>
  <c r="C7275" i="23"/>
  <c r="D7274" i="23"/>
  <c r="C7274" i="23"/>
  <c r="D7273" i="23"/>
  <c r="C7273" i="23"/>
  <c r="D7272" i="23"/>
  <c r="C7272" i="23"/>
  <c r="D7271" i="23"/>
  <c r="C7271" i="23"/>
  <c r="D7270" i="23"/>
  <c r="C7270" i="23"/>
  <c r="D7269" i="23"/>
  <c r="C7269" i="23"/>
  <c r="D7268" i="23"/>
  <c r="C7268" i="23"/>
  <c r="D7267" i="23"/>
  <c r="C7267" i="23"/>
  <c r="D7266" i="23"/>
  <c r="C7266" i="23"/>
  <c r="D7265" i="23"/>
  <c r="C7265" i="23"/>
  <c r="D7264" i="23"/>
  <c r="C7264" i="23"/>
  <c r="D7263" i="23"/>
  <c r="C7263" i="23"/>
  <c r="D7262" i="23"/>
  <c r="C7262" i="23"/>
  <c r="D7261" i="23"/>
  <c r="C7261" i="23"/>
  <c r="D7260" i="23"/>
  <c r="C7260" i="23"/>
  <c r="D7259" i="23"/>
  <c r="C7259" i="23"/>
  <c r="D7258" i="23"/>
  <c r="C7258" i="23"/>
  <c r="D7257" i="23"/>
  <c r="C7257" i="23"/>
  <c r="D7256" i="23"/>
  <c r="C7256" i="23"/>
  <c r="D7255" i="23"/>
  <c r="C7255" i="23"/>
  <c r="D7254" i="23"/>
  <c r="C7254" i="23"/>
  <c r="D7253" i="23"/>
  <c r="C7253" i="23"/>
  <c r="D7252" i="23"/>
  <c r="C7252" i="23"/>
  <c r="D7251" i="23"/>
  <c r="C7251" i="23"/>
  <c r="D7250" i="23"/>
  <c r="C7250" i="23"/>
  <c r="D7249" i="23"/>
  <c r="C7249" i="23"/>
  <c r="D7248" i="23"/>
  <c r="C7248" i="23"/>
  <c r="D7247" i="23"/>
  <c r="C7247" i="23"/>
  <c r="D7246" i="23"/>
  <c r="C7246" i="23"/>
  <c r="D7245" i="23"/>
  <c r="C7245" i="23"/>
  <c r="D7244" i="23"/>
  <c r="C7244" i="23"/>
  <c r="D7243" i="23"/>
  <c r="C7243" i="23"/>
  <c r="D7242" i="23"/>
  <c r="C7242" i="23"/>
  <c r="D7241" i="23"/>
  <c r="C7241" i="23"/>
  <c r="D7240" i="23"/>
  <c r="C7240" i="23"/>
  <c r="D7239" i="23"/>
  <c r="C7239" i="23"/>
  <c r="D7238" i="23"/>
  <c r="C7238" i="23"/>
  <c r="D7237" i="23"/>
  <c r="C7237" i="23"/>
  <c r="D7236" i="23"/>
  <c r="C7236" i="23"/>
  <c r="D7235" i="23"/>
  <c r="C7235" i="23"/>
  <c r="D7234" i="23"/>
  <c r="C7234" i="23"/>
  <c r="D7233" i="23"/>
  <c r="C7233" i="23"/>
  <c r="D7232" i="23"/>
  <c r="C7232" i="23"/>
  <c r="D7231" i="23"/>
  <c r="C7231" i="23"/>
  <c r="D7230" i="23"/>
  <c r="C7230" i="23"/>
  <c r="D7229" i="23"/>
  <c r="C7229" i="23"/>
  <c r="D7228" i="23"/>
  <c r="C7228" i="23"/>
  <c r="D7227" i="23"/>
  <c r="C7227" i="23"/>
  <c r="D7226" i="23"/>
  <c r="C7226" i="23"/>
  <c r="D7225" i="23"/>
  <c r="C7225" i="23"/>
  <c r="D7224" i="23"/>
  <c r="C7224" i="23"/>
  <c r="D7223" i="23"/>
  <c r="C7223" i="23"/>
  <c r="D7222" i="23"/>
  <c r="C7222" i="23"/>
  <c r="D7221" i="23"/>
  <c r="C7221" i="23"/>
  <c r="D7220" i="23"/>
  <c r="C7220" i="23"/>
  <c r="D7219" i="23"/>
  <c r="C7219" i="23"/>
  <c r="D7218" i="23"/>
  <c r="C7218" i="23"/>
  <c r="D7217" i="23"/>
  <c r="C7217" i="23"/>
  <c r="D7216" i="23"/>
  <c r="C7216" i="23"/>
  <c r="D7215" i="23"/>
  <c r="C7215" i="23"/>
  <c r="D7214" i="23"/>
  <c r="C7214" i="23"/>
  <c r="D7213" i="23"/>
  <c r="C7213" i="23"/>
  <c r="D7212" i="23"/>
  <c r="C7212" i="23"/>
  <c r="D7211" i="23"/>
  <c r="C7211" i="23"/>
  <c r="D7210" i="23"/>
  <c r="C7210" i="23"/>
  <c r="D7209" i="23"/>
  <c r="C7209" i="23"/>
  <c r="D7208" i="23"/>
  <c r="C7208" i="23"/>
  <c r="D7207" i="23"/>
  <c r="C7207" i="23"/>
  <c r="D7206" i="23"/>
  <c r="C7206" i="23"/>
  <c r="D7205" i="23"/>
  <c r="C7205" i="23"/>
  <c r="D7204" i="23"/>
  <c r="C7204" i="23"/>
  <c r="D7203" i="23"/>
  <c r="C7203" i="23"/>
  <c r="D7202" i="23"/>
  <c r="C7202" i="23"/>
  <c r="D7201" i="23"/>
  <c r="C7201" i="23"/>
  <c r="D7200" i="23"/>
  <c r="C7200" i="23"/>
  <c r="D7199" i="23"/>
  <c r="C7199" i="23"/>
  <c r="D7198" i="23"/>
  <c r="C7198" i="23"/>
  <c r="D7197" i="23"/>
  <c r="C7197" i="23"/>
  <c r="D7196" i="23"/>
  <c r="C7196" i="23"/>
  <c r="D7195" i="23"/>
  <c r="C7195" i="23"/>
  <c r="D7194" i="23"/>
  <c r="C7194" i="23"/>
  <c r="D7193" i="23"/>
  <c r="C7193" i="23"/>
  <c r="D7192" i="23"/>
  <c r="C7192" i="23"/>
  <c r="D7191" i="23"/>
  <c r="C7191" i="23"/>
  <c r="D7190" i="23"/>
  <c r="C7190" i="23"/>
  <c r="D7189" i="23"/>
  <c r="C7189" i="23"/>
  <c r="D7188" i="23"/>
  <c r="C7188" i="23"/>
  <c r="D7187" i="23"/>
  <c r="C7187" i="23"/>
  <c r="D7186" i="23"/>
  <c r="C7186" i="23"/>
  <c r="D7185" i="23"/>
  <c r="C7185" i="23"/>
  <c r="D7184" i="23"/>
  <c r="C7184" i="23"/>
  <c r="D7183" i="23"/>
  <c r="C7183" i="23"/>
  <c r="D7182" i="23"/>
  <c r="C7182" i="23"/>
  <c r="D7181" i="23"/>
  <c r="C7181" i="23"/>
  <c r="D7180" i="23"/>
  <c r="C7180" i="23"/>
  <c r="D7179" i="23"/>
  <c r="C7179" i="23"/>
  <c r="D7178" i="23"/>
  <c r="C7178" i="23"/>
  <c r="D7177" i="23"/>
  <c r="C7177" i="23"/>
  <c r="D7176" i="23"/>
  <c r="C7176" i="23"/>
  <c r="D7175" i="23"/>
  <c r="C7175" i="23"/>
  <c r="D7174" i="23"/>
  <c r="C7174" i="23"/>
  <c r="D7173" i="23"/>
  <c r="C7173" i="23"/>
  <c r="D7172" i="23"/>
  <c r="C7172" i="23"/>
  <c r="D7171" i="23"/>
  <c r="C7171" i="23"/>
  <c r="D7170" i="23"/>
  <c r="C7170" i="23"/>
  <c r="D7169" i="23"/>
  <c r="C7169" i="23"/>
  <c r="D7168" i="23"/>
  <c r="C7168" i="23"/>
  <c r="D7167" i="23"/>
  <c r="C7167" i="23"/>
  <c r="D7166" i="23"/>
  <c r="C7166" i="23"/>
  <c r="D7165" i="23"/>
  <c r="C7165" i="23"/>
  <c r="D7164" i="23"/>
  <c r="C7164" i="23"/>
  <c r="D7163" i="23"/>
  <c r="C7163" i="23"/>
  <c r="D7162" i="23"/>
  <c r="C7162" i="23"/>
  <c r="D7161" i="23"/>
  <c r="C7161" i="23"/>
  <c r="D7160" i="23"/>
  <c r="C7160" i="23"/>
  <c r="D7159" i="23"/>
  <c r="C7159" i="23"/>
  <c r="D7158" i="23"/>
  <c r="C7158" i="23"/>
  <c r="D7157" i="23"/>
  <c r="C7157" i="23"/>
  <c r="D7156" i="23"/>
  <c r="C7156" i="23"/>
  <c r="D7155" i="23"/>
  <c r="C7155" i="23"/>
  <c r="D7154" i="23"/>
  <c r="C7154" i="23"/>
  <c r="D7153" i="23"/>
  <c r="C7153" i="23"/>
  <c r="D7152" i="23"/>
  <c r="C7152" i="23"/>
  <c r="D7151" i="23"/>
  <c r="C7151" i="23"/>
  <c r="D7150" i="23"/>
  <c r="C7150" i="23"/>
  <c r="D7149" i="23"/>
  <c r="C7149" i="23"/>
  <c r="D7148" i="23"/>
  <c r="C7148" i="23"/>
  <c r="D7147" i="23"/>
  <c r="C7147" i="23"/>
  <c r="D7146" i="23"/>
  <c r="C7146" i="23"/>
  <c r="D7145" i="23"/>
  <c r="C7145" i="23"/>
  <c r="D7144" i="23"/>
  <c r="C7144" i="23"/>
  <c r="D7143" i="23"/>
  <c r="C7143" i="23"/>
  <c r="D7142" i="23"/>
  <c r="C7142" i="23"/>
  <c r="D7141" i="23"/>
  <c r="C7141" i="23"/>
  <c r="D7140" i="23"/>
  <c r="C7140" i="23"/>
  <c r="D7139" i="23"/>
  <c r="C7139" i="23"/>
  <c r="D7138" i="23"/>
  <c r="C7138" i="23"/>
  <c r="D7137" i="23"/>
  <c r="C7137" i="23"/>
  <c r="D7136" i="23"/>
  <c r="C7136" i="23"/>
  <c r="D7135" i="23"/>
  <c r="C7135" i="23"/>
  <c r="D7134" i="23"/>
  <c r="C7134" i="23"/>
  <c r="D7133" i="23"/>
  <c r="C7133" i="23"/>
  <c r="D7132" i="23"/>
  <c r="C7132" i="23"/>
  <c r="D7131" i="23"/>
  <c r="C7131" i="23"/>
  <c r="D7130" i="23"/>
  <c r="C7130" i="23"/>
  <c r="D7129" i="23"/>
  <c r="C7129" i="23"/>
  <c r="D7128" i="23"/>
  <c r="C7128" i="23"/>
  <c r="D7127" i="23"/>
  <c r="C7127" i="23"/>
  <c r="D7126" i="23"/>
  <c r="C7126" i="23"/>
  <c r="D7125" i="23"/>
  <c r="C7125" i="23"/>
  <c r="D7124" i="23"/>
  <c r="C7124" i="23"/>
  <c r="D7123" i="23"/>
  <c r="C7123" i="23"/>
  <c r="D7122" i="23"/>
  <c r="C7122" i="23"/>
  <c r="D7121" i="23"/>
  <c r="C7121" i="23"/>
  <c r="D7120" i="23"/>
  <c r="C7120" i="23"/>
  <c r="D7119" i="23"/>
  <c r="C7119" i="23"/>
  <c r="D7118" i="23"/>
  <c r="C7118" i="23"/>
  <c r="D7117" i="23"/>
  <c r="C7117" i="23"/>
  <c r="D7116" i="23"/>
  <c r="C7116" i="23"/>
  <c r="D7115" i="23"/>
  <c r="C7115" i="23"/>
  <c r="D7114" i="23"/>
  <c r="C7114" i="23"/>
  <c r="D7113" i="23"/>
  <c r="C7113" i="23"/>
  <c r="D7112" i="23"/>
  <c r="C7112" i="23"/>
  <c r="D7111" i="23"/>
  <c r="C7111" i="23"/>
  <c r="D7110" i="23"/>
  <c r="C7110" i="23"/>
  <c r="D7109" i="23"/>
  <c r="C7109" i="23"/>
  <c r="D7108" i="23"/>
  <c r="C7108" i="23"/>
  <c r="D7107" i="23"/>
  <c r="C7107" i="23"/>
  <c r="D7106" i="23"/>
  <c r="C7106" i="23"/>
  <c r="D7105" i="23"/>
  <c r="C7105" i="23"/>
  <c r="D7104" i="23"/>
  <c r="C7104" i="23"/>
  <c r="D7103" i="23"/>
  <c r="C7103" i="23"/>
  <c r="D7102" i="23"/>
  <c r="C7102" i="23"/>
  <c r="D7101" i="23"/>
  <c r="C7101" i="23"/>
  <c r="D7100" i="23"/>
  <c r="C7100" i="23"/>
  <c r="D7099" i="23"/>
  <c r="C7099" i="23"/>
  <c r="D7098" i="23"/>
  <c r="C7098" i="23"/>
  <c r="D7097" i="23"/>
  <c r="C7097" i="23"/>
  <c r="D7096" i="23"/>
  <c r="C7096" i="23"/>
  <c r="D7095" i="23"/>
  <c r="C7095" i="23"/>
  <c r="D7094" i="23"/>
  <c r="C7094" i="23"/>
  <c r="D7093" i="23"/>
  <c r="C7093" i="23"/>
  <c r="D7092" i="23"/>
  <c r="C7092" i="23"/>
  <c r="D7091" i="23"/>
  <c r="C7091" i="23"/>
  <c r="D7090" i="23"/>
  <c r="C7090" i="23"/>
  <c r="D7089" i="23"/>
  <c r="C7089" i="23"/>
  <c r="D7088" i="23"/>
  <c r="C7088" i="23"/>
  <c r="D7087" i="23"/>
  <c r="C7087" i="23"/>
  <c r="D7086" i="23"/>
  <c r="C7086" i="23"/>
  <c r="D7085" i="23"/>
  <c r="C7085" i="23"/>
  <c r="D7084" i="23"/>
  <c r="C7084" i="23"/>
  <c r="D7083" i="23"/>
  <c r="C7083" i="23"/>
  <c r="D7082" i="23"/>
  <c r="C7082" i="23"/>
  <c r="D7081" i="23"/>
  <c r="C7081" i="23"/>
  <c r="D7080" i="23"/>
  <c r="C7080" i="23"/>
  <c r="D7079" i="23"/>
  <c r="C7079" i="23"/>
  <c r="D7078" i="23"/>
  <c r="C7078" i="23"/>
  <c r="D7077" i="23"/>
  <c r="C7077" i="23"/>
  <c r="D7076" i="23"/>
  <c r="C7076" i="23"/>
  <c r="D7075" i="23"/>
  <c r="C7075" i="23"/>
  <c r="D7074" i="23"/>
  <c r="C7074" i="23"/>
  <c r="D7073" i="23"/>
  <c r="C7073" i="23"/>
  <c r="D7072" i="23"/>
  <c r="C7072" i="23"/>
  <c r="D7071" i="23"/>
  <c r="C7071" i="23"/>
  <c r="D7070" i="23"/>
  <c r="C7070" i="23"/>
  <c r="D7069" i="23"/>
  <c r="C7069" i="23"/>
  <c r="D7068" i="23"/>
  <c r="C7068" i="23"/>
  <c r="D7067" i="23"/>
  <c r="C7067" i="23"/>
  <c r="D7066" i="23"/>
  <c r="C7066" i="23"/>
  <c r="D7065" i="23"/>
  <c r="C7065" i="23"/>
  <c r="D7064" i="23"/>
  <c r="C7064" i="23"/>
  <c r="D7063" i="23"/>
  <c r="C7063" i="23"/>
  <c r="D7062" i="23"/>
  <c r="C7062" i="23"/>
  <c r="D7061" i="23"/>
  <c r="C7061" i="23"/>
  <c r="D7060" i="23"/>
  <c r="C7060" i="23"/>
  <c r="D7059" i="23"/>
  <c r="C7059" i="23"/>
  <c r="D7058" i="23"/>
  <c r="C7058" i="23"/>
  <c r="D7057" i="23"/>
  <c r="C7057" i="23"/>
  <c r="D7056" i="23"/>
  <c r="C7056" i="23"/>
  <c r="D7055" i="23"/>
  <c r="C7055" i="23"/>
  <c r="D7054" i="23"/>
  <c r="C7054" i="23"/>
  <c r="D7053" i="23"/>
  <c r="C7053" i="23"/>
  <c r="D7052" i="23"/>
  <c r="C7052" i="23"/>
  <c r="D7051" i="23"/>
  <c r="C7051" i="23"/>
  <c r="D7050" i="23"/>
  <c r="C7050" i="23"/>
  <c r="D7049" i="23"/>
  <c r="C7049" i="23"/>
  <c r="D7048" i="23"/>
  <c r="C7048" i="23"/>
  <c r="D7047" i="23"/>
  <c r="C7047" i="23"/>
  <c r="D7046" i="23"/>
  <c r="C7046" i="23"/>
  <c r="D7045" i="23"/>
  <c r="C7045" i="23"/>
  <c r="D7044" i="23"/>
  <c r="C7044" i="23"/>
  <c r="D7043" i="23"/>
  <c r="C7043" i="23"/>
  <c r="D7042" i="23"/>
  <c r="C7042" i="23"/>
  <c r="D7041" i="23"/>
  <c r="C7041" i="23"/>
  <c r="D7040" i="23"/>
  <c r="C7040" i="23"/>
  <c r="D7039" i="23"/>
  <c r="C7039" i="23"/>
  <c r="D7038" i="23"/>
  <c r="C7038" i="23"/>
  <c r="D7037" i="23"/>
  <c r="C7037" i="23"/>
  <c r="D7036" i="23"/>
  <c r="C7036" i="23"/>
  <c r="D7035" i="23"/>
  <c r="C7035" i="23"/>
  <c r="D7034" i="23"/>
  <c r="C7034" i="23"/>
  <c r="D7033" i="23"/>
  <c r="C7033" i="23"/>
  <c r="D7032" i="23"/>
  <c r="C7032" i="23"/>
  <c r="D7031" i="23"/>
  <c r="C7031" i="23"/>
  <c r="D7030" i="23"/>
  <c r="C7030" i="23"/>
  <c r="D7029" i="23"/>
  <c r="C7029" i="23"/>
  <c r="D7028" i="23"/>
  <c r="C7028" i="23"/>
  <c r="D7027" i="23"/>
  <c r="C7027" i="23"/>
  <c r="D7026" i="23"/>
  <c r="C7026" i="23"/>
  <c r="D7025" i="23"/>
  <c r="C7025" i="23"/>
  <c r="D7024" i="23"/>
  <c r="C7024" i="23"/>
  <c r="D7023" i="23"/>
  <c r="C7023" i="23"/>
  <c r="D7022" i="23"/>
  <c r="C7022" i="23"/>
  <c r="D7021" i="23"/>
  <c r="C7021" i="23"/>
  <c r="D7020" i="23"/>
  <c r="C7020" i="23"/>
  <c r="D7019" i="23"/>
  <c r="C7019" i="23"/>
  <c r="D7018" i="23"/>
  <c r="C7018" i="23"/>
  <c r="D7017" i="23"/>
  <c r="C7017" i="23"/>
  <c r="D7016" i="23"/>
  <c r="C7016" i="23"/>
  <c r="D7015" i="23"/>
  <c r="C7015" i="23"/>
  <c r="D7014" i="23"/>
  <c r="C7014" i="23"/>
  <c r="D7013" i="23"/>
  <c r="C7013" i="23"/>
  <c r="D7012" i="23"/>
  <c r="C7012" i="23"/>
  <c r="D7011" i="23"/>
  <c r="C7011" i="23"/>
  <c r="D7010" i="23"/>
  <c r="C7010" i="23"/>
  <c r="D7009" i="23"/>
  <c r="C7009" i="23"/>
  <c r="D7008" i="23"/>
  <c r="C7008" i="23"/>
  <c r="D7007" i="23"/>
  <c r="C7007" i="23"/>
  <c r="D7006" i="23"/>
  <c r="C7006" i="23"/>
  <c r="D7005" i="23"/>
  <c r="C7005" i="23"/>
  <c r="D7004" i="23"/>
  <c r="C7004" i="23"/>
  <c r="D7003" i="23"/>
  <c r="C7003" i="23"/>
  <c r="D7002" i="23"/>
  <c r="C7002" i="23"/>
  <c r="D7001" i="23"/>
  <c r="C7001" i="23"/>
  <c r="D7000" i="23"/>
  <c r="C7000" i="23"/>
  <c r="D6999" i="23"/>
  <c r="C6999" i="23"/>
  <c r="D6998" i="23"/>
  <c r="C6998" i="23"/>
  <c r="D6997" i="23"/>
  <c r="C6997" i="23"/>
  <c r="D6996" i="23"/>
  <c r="C6996" i="23"/>
  <c r="D6995" i="23"/>
  <c r="C6995" i="23"/>
  <c r="D6994" i="23"/>
  <c r="C6994" i="23"/>
  <c r="D6993" i="23"/>
  <c r="C6993" i="23"/>
  <c r="D6992" i="23"/>
  <c r="C6992" i="23"/>
  <c r="D6991" i="23"/>
  <c r="C6991" i="23"/>
  <c r="D6990" i="23"/>
  <c r="C6990" i="23"/>
  <c r="D6989" i="23"/>
  <c r="C6989" i="23"/>
  <c r="D6988" i="23"/>
  <c r="C6988" i="23"/>
  <c r="D6987" i="23"/>
  <c r="C6987" i="23"/>
  <c r="D6986" i="23"/>
  <c r="C6986" i="23"/>
  <c r="D6985" i="23"/>
  <c r="C6985" i="23"/>
  <c r="D6984" i="23"/>
  <c r="C6984" i="23"/>
  <c r="D6983" i="23"/>
  <c r="C6983" i="23"/>
  <c r="D6982" i="23"/>
  <c r="C6982" i="23"/>
  <c r="D6981" i="23"/>
  <c r="C6981" i="23"/>
  <c r="D6980" i="23"/>
  <c r="C6980" i="23"/>
  <c r="D6979" i="23"/>
  <c r="C6979" i="23"/>
  <c r="D6978" i="23"/>
  <c r="C6978" i="23"/>
  <c r="D6977" i="23"/>
  <c r="C6977" i="23"/>
  <c r="D6976" i="23"/>
  <c r="C6976" i="23"/>
  <c r="D6975" i="23"/>
  <c r="C6975" i="23"/>
  <c r="D6974" i="23"/>
  <c r="C6974" i="23"/>
  <c r="D6973" i="23"/>
  <c r="C6973" i="23"/>
  <c r="D6972" i="23"/>
  <c r="C6972" i="23"/>
  <c r="D6971" i="23"/>
  <c r="C6971" i="23"/>
  <c r="D6970" i="23"/>
  <c r="C6970" i="23"/>
  <c r="D6969" i="23"/>
  <c r="C6969" i="23"/>
  <c r="D6968" i="23"/>
  <c r="C6968" i="23"/>
  <c r="D6967" i="23"/>
  <c r="C6967" i="23"/>
  <c r="D6966" i="23"/>
  <c r="C6966" i="23"/>
  <c r="D6965" i="23"/>
  <c r="C6965" i="23"/>
  <c r="D6964" i="23"/>
  <c r="C6964" i="23"/>
  <c r="D6963" i="23"/>
  <c r="C6963" i="23"/>
  <c r="D6962" i="23"/>
  <c r="C6962" i="23"/>
  <c r="D6961" i="23"/>
  <c r="C6961" i="23"/>
  <c r="D6960" i="23"/>
  <c r="C6960" i="23"/>
  <c r="D6959" i="23"/>
  <c r="C6959" i="23"/>
  <c r="D6958" i="23"/>
  <c r="C6958" i="23"/>
  <c r="D6957" i="23"/>
  <c r="C6957" i="23"/>
  <c r="D6956" i="23"/>
  <c r="C6956" i="23"/>
  <c r="D6955" i="23"/>
  <c r="C6955" i="23"/>
  <c r="D6954" i="23"/>
  <c r="C6954" i="23"/>
  <c r="D6953" i="23"/>
  <c r="C6953" i="23"/>
  <c r="D6952" i="23"/>
  <c r="C6952" i="23"/>
  <c r="D6951" i="23"/>
  <c r="C6951" i="23"/>
  <c r="D6950" i="23"/>
  <c r="C6950" i="23"/>
  <c r="D6949" i="23"/>
  <c r="C6949" i="23"/>
  <c r="D6948" i="23"/>
  <c r="C6948" i="23"/>
  <c r="D6947" i="23"/>
  <c r="C6947" i="23"/>
  <c r="D6946" i="23"/>
  <c r="C6946" i="23"/>
  <c r="D6945" i="23"/>
  <c r="C6945" i="23"/>
  <c r="D6944" i="23"/>
  <c r="C6944" i="23"/>
  <c r="D6943" i="23"/>
  <c r="C6943" i="23"/>
  <c r="D6942" i="23"/>
  <c r="C6942" i="23"/>
  <c r="D6941" i="23"/>
  <c r="C6941" i="23"/>
  <c r="D6940" i="23"/>
  <c r="C6940" i="23"/>
  <c r="D6939" i="23"/>
  <c r="C6939" i="23"/>
  <c r="D6938" i="23"/>
  <c r="C6938" i="23"/>
  <c r="D6937" i="23"/>
  <c r="C6937" i="23"/>
  <c r="D6936" i="23"/>
  <c r="C6936" i="23"/>
  <c r="D6935" i="23"/>
  <c r="C6935" i="23"/>
  <c r="D6934" i="23"/>
  <c r="C6934" i="23"/>
  <c r="D6933" i="23"/>
  <c r="C6933" i="23"/>
  <c r="D6932" i="23"/>
  <c r="C6932" i="23"/>
  <c r="D6931" i="23"/>
  <c r="C6931" i="23"/>
  <c r="D6930" i="23"/>
  <c r="C6930" i="23"/>
  <c r="D6929" i="23"/>
  <c r="C6929" i="23"/>
  <c r="D6928" i="23"/>
  <c r="C6928" i="23"/>
  <c r="D6927" i="23"/>
  <c r="C6927" i="23"/>
  <c r="D6926" i="23"/>
  <c r="C6926" i="23"/>
  <c r="D6925" i="23"/>
  <c r="C6925" i="23"/>
  <c r="D6924" i="23"/>
  <c r="C6924" i="23"/>
  <c r="D6923" i="23"/>
  <c r="C6923" i="23"/>
  <c r="D6922" i="23"/>
  <c r="C6922" i="23"/>
  <c r="D6921" i="23"/>
  <c r="C6921" i="23"/>
  <c r="D6920" i="23"/>
  <c r="C6920" i="23"/>
  <c r="D6919" i="23"/>
  <c r="C6919" i="23"/>
  <c r="D6918" i="23"/>
  <c r="C6918" i="23"/>
  <c r="D6917" i="23"/>
  <c r="C6917" i="23"/>
  <c r="D6916" i="23"/>
  <c r="C6916" i="23"/>
  <c r="D6915" i="23"/>
  <c r="C6915" i="23"/>
  <c r="D6914" i="23"/>
  <c r="C6914" i="23"/>
  <c r="D6913" i="23"/>
  <c r="C6913" i="23"/>
  <c r="D6912" i="23"/>
  <c r="C6912" i="23"/>
  <c r="D6911" i="23"/>
  <c r="C6911" i="23"/>
  <c r="D6910" i="23"/>
  <c r="C6910" i="23"/>
  <c r="D6909" i="23"/>
  <c r="C6909" i="23"/>
  <c r="D6908" i="23"/>
  <c r="C6908" i="23"/>
  <c r="D6907" i="23"/>
  <c r="C6907" i="23"/>
  <c r="D6906" i="23"/>
  <c r="C6906" i="23"/>
  <c r="D6905" i="23"/>
  <c r="C6905" i="23"/>
  <c r="D6904" i="23"/>
  <c r="C6904" i="23"/>
  <c r="D6903" i="23"/>
  <c r="C6903" i="23"/>
  <c r="D6902" i="23"/>
  <c r="C6902" i="23"/>
  <c r="D6901" i="23"/>
  <c r="C6901" i="23"/>
  <c r="D6900" i="23"/>
  <c r="C6900" i="23"/>
  <c r="D6899" i="23"/>
  <c r="C6899" i="23"/>
  <c r="D6898" i="23"/>
  <c r="C6898" i="23"/>
  <c r="D6897" i="23"/>
  <c r="C6897" i="23"/>
  <c r="D6896" i="23"/>
  <c r="C6896" i="23"/>
  <c r="D6895" i="23"/>
  <c r="C6895" i="23"/>
  <c r="D6894" i="23"/>
  <c r="C6894" i="23"/>
  <c r="D6893" i="23"/>
  <c r="C6893" i="23"/>
  <c r="D6892" i="23"/>
  <c r="C6892" i="23"/>
  <c r="D6891" i="23"/>
  <c r="C6891" i="23"/>
  <c r="D6890" i="23"/>
  <c r="C6890" i="23"/>
  <c r="D6889" i="23"/>
  <c r="C6889" i="23"/>
  <c r="D6888" i="23"/>
  <c r="C6888" i="23"/>
  <c r="D6887" i="23"/>
  <c r="C6887" i="23"/>
  <c r="D6886" i="23"/>
  <c r="C6886" i="23"/>
  <c r="D6885" i="23"/>
  <c r="C6885" i="23"/>
  <c r="D6884" i="23"/>
  <c r="C6884" i="23"/>
  <c r="D6883" i="23"/>
  <c r="C6883" i="23"/>
  <c r="D6882" i="23"/>
  <c r="C6882" i="23"/>
  <c r="D6881" i="23"/>
  <c r="C6881" i="23"/>
  <c r="D6880" i="23"/>
  <c r="C6880" i="23"/>
  <c r="D6879" i="23"/>
  <c r="C6879" i="23"/>
  <c r="D6878" i="23"/>
  <c r="C6878" i="23"/>
  <c r="D6877" i="23"/>
  <c r="C6877" i="23"/>
  <c r="D6876" i="23"/>
  <c r="C6876" i="23"/>
  <c r="D6875" i="23"/>
  <c r="C6875" i="23"/>
  <c r="D6874" i="23"/>
  <c r="C6874" i="23"/>
  <c r="D6873" i="23"/>
  <c r="C6873" i="23"/>
  <c r="D6872" i="23"/>
  <c r="C6872" i="23"/>
  <c r="D6871" i="23"/>
  <c r="C6871" i="23"/>
  <c r="D6870" i="23"/>
  <c r="C6870" i="23"/>
  <c r="D6869" i="23"/>
  <c r="C6869" i="23"/>
  <c r="D6868" i="23"/>
  <c r="C6868" i="23"/>
  <c r="D6867" i="23"/>
  <c r="C6867" i="23"/>
  <c r="D6866" i="23"/>
  <c r="C6866" i="23"/>
  <c r="D6865" i="23"/>
  <c r="C6865" i="23"/>
  <c r="D6864" i="23"/>
  <c r="C6864" i="23"/>
  <c r="D6863" i="23"/>
  <c r="C6863" i="23"/>
  <c r="D6862" i="23"/>
  <c r="C6862" i="23"/>
  <c r="D6861" i="23"/>
  <c r="C6861" i="23"/>
  <c r="D6860" i="23"/>
  <c r="C6860" i="23"/>
  <c r="D6859" i="23"/>
  <c r="C6859" i="23"/>
  <c r="D6858" i="23"/>
  <c r="C6858" i="23"/>
  <c r="D6857" i="23"/>
  <c r="C6857" i="23"/>
  <c r="D6856" i="23"/>
  <c r="C6856" i="23"/>
  <c r="D6855" i="23"/>
  <c r="C6855" i="23"/>
  <c r="D6854" i="23"/>
  <c r="C6854" i="23"/>
  <c r="D6853" i="23"/>
  <c r="C6853" i="23"/>
  <c r="D6852" i="23"/>
  <c r="C6852" i="23"/>
  <c r="D6851" i="23"/>
  <c r="C6851" i="23"/>
  <c r="D6850" i="23"/>
  <c r="C6850" i="23"/>
  <c r="D6849" i="23"/>
  <c r="C6849" i="23"/>
  <c r="D6848" i="23"/>
  <c r="C6848" i="23"/>
  <c r="D6847" i="23"/>
  <c r="C6847" i="23"/>
  <c r="D6846" i="23"/>
  <c r="C6846" i="23"/>
  <c r="D6845" i="23"/>
  <c r="C6845" i="23"/>
  <c r="D6844" i="23"/>
  <c r="C6844" i="23"/>
  <c r="D6843" i="23"/>
  <c r="C6843" i="23"/>
  <c r="D6842" i="23"/>
  <c r="C6842" i="23"/>
  <c r="D6841" i="23"/>
  <c r="C6841" i="23"/>
  <c r="D6840" i="23"/>
  <c r="C6840" i="23"/>
  <c r="D6839" i="23"/>
  <c r="C6839" i="23"/>
  <c r="D6838" i="23"/>
  <c r="C6838" i="23"/>
  <c r="D6837" i="23"/>
  <c r="C6837" i="23"/>
  <c r="D6836" i="23"/>
  <c r="C6836" i="23"/>
  <c r="D6835" i="23"/>
  <c r="C6835" i="23"/>
  <c r="D6834" i="23"/>
  <c r="C6834" i="23"/>
  <c r="D6833" i="23"/>
  <c r="C6833" i="23"/>
  <c r="D6832" i="23"/>
  <c r="C6832" i="23"/>
  <c r="D6831" i="23"/>
  <c r="C6831" i="23"/>
  <c r="D6830" i="23"/>
  <c r="C6830" i="23"/>
  <c r="D6829" i="23"/>
  <c r="C6829" i="23"/>
  <c r="D6828" i="23"/>
  <c r="C6828" i="23"/>
  <c r="D6827" i="23"/>
  <c r="C6827" i="23"/>
  <c r="D6826" i="23"/>
  <c r="C6826" i="23"/>
  <c r="D6825" i="23"/>
  <c r="C6825" i="23"/>
  <c r="D6824" i="23"/>
  <c r="C6824" i="23"/>
  <c r="D6823" i="23"/>
  <c r="C6823" i="23"/>
  <c r="D6822" i="23"/>
  <c r="C6822" i="23"/>
  <c r="D6821" i="23"/>
  <c r="C6821" i="23"/>
  <c r="D6820" i="23"/>
  <c r="C6820" i="23"/>
  <c r="D6819" i="23"/>
  <c r="C6819" i="23"/>
  <c r="D6818" i="23"/>
  <c r="C6818" i="23"/>
  <c r="D6817" i="23"/>
  <c r="C6817" i="23"/>
  <c r="D6816" i="23"/>
  <c r="C6816" i="23"/>
  <c r="D6815" i="23"/>
  <c r="C6815" i="23"/>
  <c r="D6814" i="23"/>
  <c r="C6814" i="23"/>
  <c r="D6813" i="23"/>
  <c r="C6813" i="23"/>
  <c r="D6812" i="23"/>
  <c r="C6812" i="23"/>
  <c r="D6811" i="23"/>
  <c r="C6811" i="23"/>
  <c r="D6810" i="23"/>
  <c r="C6810" i="23"/>
  <c r="D6809" i="23"/>
  <c r="C6809" i="23"/>
  <c r="D6808" i="23"/>
  <c r="C6808" i="23"/>
  <c r="D6807" i="23"/>
  <c r="C6807" i="23"/>
  <c r="D6806" i="23"/>
  <c r="C6806" i="23"/>
  <c r="D6805" i="23"/>
  <c r="C6805" i="23"/>
  <c r="D6804" i="23"/>
  <c r="C6804" i="23"/>
  <c r="D6803" i="23"/>
  <c r="C6803" i="23"/>
  <c r="D6802" i="23"/>
  <c r="C6802" i="23"/>
  <c r="D6801" i="23"/>
  <c r="C6801" i="23"/>
  <c r="D6800" i="23"/>
  <c r="C6800" i="23"/>
  <c r="D6799" i="23"/>
  <c r="C6799" i="23"/>
  <c r="D6798" i="23"/>
  <c r="C6798" i="23"/>
  <c r="D6797" i="23"/>
  <c r="C6797" i="23"/>
  <c r="D6796" i="23"/>
  <c r="C6796" i="23"/>
  <c r="D6795" i="23"/>
  <c r="C6795" i="23"/>
  <c r="D6794" i="23"/>
  <c r="C6794" i="23"/>
  <c r="D6793" i="23"/>
  <c r="C6793" i="23"/>
  <c r="D6792" i="23"/>
  <c r="C6792" i="23"/>
  <c r="D6791" i="23"/>
  <c r="C6791" i="23"/>
  <c r="D6790" i="23"/>
  <c r="C6790" i="23"/>
  <c r="D6789" i="23"/>
  <c r="C6789" i="23"/>
  <c r="D6788" i="23"/>
  <c r="C6788" i="23"/>
  <c r="D6787" i="23"/>
  <c r="C6787" i="23"/>
  <c r="D6786" i="23"/>
  <c r="C6786" i="23"/>
  <c r="D6785" i="23"/>
  <c r="C6785" i="23"/>
  <c r="D6784" i="23"/>
  <c r="C6784" i="23"/>
  <c r="D6783" i="23"/>
  <c r="C6783" i="23"/>
  <c r="D6782" i="23"/>
  <c r="C6782" i="23"/>
  <c r="D6781" i="23"/>
  <c r="C6781" i="23"/>
  <c r="D6780" i="23"/>
  <c r="C6780" i="23"/>
  <c r="D6779" i="23"/>
  <c r="C6779" i="23"/>
  <c r="D6778" i="23"/>
  <c r="C6778" i="23"/>
  <c r="D6777" i="23"/>
  <c r="C6777" i="23"/>
  <c r="D6776" i="23"/>
  <c r="C6776" i="23"/>
  <c r="D6775" i="23"/>
  <c r="C6775" i="23"/>
  <c r="D6774" i="23"/>
  <c r="C6774" i="23"/>
  <c r="D6773" i="23"/>
  <c r="C6773" i="23"/>
  <c r="D6772" i="23"/>
  <c r="C6772" i="23"/>
  <c r="D6771" i="23"/>
  <c r="C6771" i="23"/>
  <c r="D6770" i="23"/>
  <c r="C6770" i="23"/>
  <c r="D6769" i="23"/>
  <c r="C6769" i="23"/>
  <c r="D6768" i="23"/>
  <c r="C6768" i="23"/>
  <c r="D6767" i="23"/>
  <c r="C6767" i="23"/>
  <c r="D6766" i="23"/>
  <c r="C6766" i="23"/>
  <c r="D6765" i="23"/>
  <c r="C6765" i="23"/>
  <c r="D6764" i="23"/>
  <c r="C6764" i="23"/>
  <c r="D6763" i="23"/>
  <c r="C6763" i="23"/>
  <c r="D6762" i="23"/>
  <c r="C6762" i="23"/>
  <c r="D6761" i="23"/>
  <c r="C6761" i="23"/>
  <c r="D6760" i="23"/>
  <c r="C6760" i="23"/>
  <c r="D6759" i="23"/>
  <c r="C6759" i="23"/>
  <c r="D6758" i="23"/>
  <c r="C6758" i="23"/>
  <c r="D6757" i="23"/>
  <c r="C6757" i="23"/>
  <c r="D6756" i="23"/>
  <c r="C6756" i="23"/>
  <c r="D6755" i="23"/>
  <c r="C6755" i="23"/>
  <c r="D6754" i="23"/>
  <c r="C6754" i="23"/>
  <c r="D6753" i="23"/>
  <c r="C6753" i="23"/>
  <c r="D6752" i="23"/>
  <c r="C6752" i="23"/>
  <c r="D6751" i="23"/>
  <c r="C6751" i="23"/>
  <c r="D6750" i="23"/>
  <c r="C6750" i="23"/>
  <c r="D6749" i="23"/>
  <c r="C6749" i="23"/>
  <c r="D6748" i="23"/>
  <c r="C6748" i="23"/>
  <c r="D6747" i="23"/>
  <c r="C6747" i="23"/>
  <c r="D6746" i="23"/>
  <c r="C6746" i="23"/>
  <c r="D6745" i="23"/>
  <c r="C6745" i="23"/>
  <c r="D6744" i="23"/>
  <c r="C6744" i="23"/>
  <c r="D6743" i="23"/>
  <c r="C6743" i="23"/>
  <c r="D6742" i="23"/>
  <c r="C6742" i="23"/>
  <c r="D6741" i="23"/>
  <c r="C6741" i="23"/>
  <c r="D6740" i="23"/>
  <c r="C6740" i="23"/>
  <c r="D6739" i="23"/>
  <c r="C6739" i="23"/>
  <c r="D6738" i="23"/>
  <c r="C6738" i="23"/>
  <c r="D6737" i="23"/>
  <c r="C6737" i="23"/>
  <c r="D6736" i="23"/>
  <c r="C6736" i="23"/>
  <c r="D6735" i="23"/>
  <c r="C6735" i="23"/>
  <c r="D6734" i="23"/>
  <c r="C6734" i="23"/>
  <c r="D6733" i="23"/>
  <c r="C6733" i="23"/>
  <c r="D6732" i="23"/>
  <c r="C6732" i="23"/>
  <c r="D6731" i="23"/>
  <c r="C6731" i="23"/>
  <c r="D6730" i="23"/>
  <c r="C6730" i="23"/>
  <c r="D6729" i="23"/>
  <c r="C6729" i="23"/>
  <c r="D6728" i="23"/>
  <c r="C6728" i="23"/>
  <c r="D6727" i="23"/>
  <c r="C6727" i="23"/>
  <c r="D6726" i="23"/>
  <c r="C6726" i="23"/>
  <c r="D6725" i="23"/>
  <c r="C6725" i="23"/>
  <c r="D6724" i="23"/>
  <c r="C6724" i="23"/>
  <c r="D6723" i="23"/>
  <c r="C6723" i="23"/>
  <c r="D6722" i="23"/>
  <c r="C6722" i="23"/>
  <c r="D6721" i="23"/>
  <c r="C6721" i="23"/>
  <c r="D6720" i="23"/>
  <c r="C6720" i="23"/>
  <c r="D6719" i="23"/>
  <c r="C6719" i="23"/>
  <c r="D6718" i="23"/>
  <c r="C6718" i="23"/>
  <c r="D6717" i="23"/>
  <c r="C6717" i="23"/>
  <c r="D6716" i="23"/>
  <c r="C6716" i="23"/>
  <c r="D6715" i="23"/>
  <c r="C6715" i="23"/>
  <c r="D6714" i="23"/>
  <c r="C6714" i="23"/>
  <c r="D6713" i="23"/>
  <c r="C6713" i="23"/>
  <c r="D6712" i="23"/>
  <c r="C6712" i="23"/>
  <c r="D6711" i="23"/>
  <c r="C6711" i="23"/>
  <c r="D6710" i="23"/>
  <c r="C6710" i="23"/>
  <c r="D6709" i="23"/>
  <c r="C6709" i="23"/>
  <c r="D6708" i="23"/>
  <c r="C6708" i="23"/>
  <c r="D6707" i="23"/>
  <c r="C6707" i="23"/>
  <c r="D6706" i="23"/>
  <c r="C6706" i="23"/>
  <c r="D6705" i="23"/>
  <c r="C6705" i="23"/>
  <c r="D6704" i="23"/>
  <c r="C6704" i="23"/>
  <c r="D6703" i="23"/>
  <c r="C6703" i="23"/>
  <c r="D6702" i="23"/>
  <c r="C6702" i="23"/>
  <c r="D6701" i="23"/>
  <c r="C6701" i="23"/>
  <c r="D6700" i="23"/>
  <c r="C6700" i="23"/>
  <c r="D6699" i="23"/>
  <c r="C6699" i="23"/>
  <c r="D6698" i="23"/>
  <c r="C6698" i="23"/>
  <c r="D6697" i="23"/>
  <c r="C6697" i="23"/>
  <c r="D6696" i="23"/>
  <c r="C6696" i="23"/>
  <c r="D6695" i="23"/>
  <c r="C6695" i="23"/>
  <c r="D6694" i="23"/>
  <c r="C6694" i="23"/>
  <c r="D6693" i="23"/>
  <c r="C6693" i="23"/>
  <c r="D6692" i="23"/>
  <c r="C6692" i="23"/>
  <c r="D6691" i="23"/>
  <c r="C6691" i="23"/>
  <c r="D6690" i="23"/>
  <c r="C6690" i="23"/>
  <c r="D6689" i="23"/>
  <c r="C6689" i="23"/>
  <c r="D6688" i="23"/>
  <c r="C6688" i="23"/>
  <c r="D6687" i="23"/>
  <c r="C6687" i="23"/>
  <c r="D6686" i="23"/>
  <c r="C6686" i="23"/>
  <c r="D6685" i="23"/>
  <c r="C6685" i="23"/>
  <c r="D6684" i="23"/>
  <c r="C6684" i="23"/>
  <c r="D6683" i="23"/>
  <c r="C6683" i="23"/>
  <c r="D6682" i="23"/>
  <c r="C6682" i="23"/>
  <c r="D6681" i="23"/>
  <c r="C6681" i="23"/>
  <c r="D6680" i="23"/>
  <c r="C6680" i="23"/>
  <c r="D6679" i="23"/>
  <c r="C6679" i="23"/>
  <c r="D6678" i="23"/>
  <c r="C6678" i="23"/>
  <c r="D6677" i="23"/>
  <c r="C6677" i="23"/>
  <c r="D6676" i="23"/>
  <c r="C6676" i="23"/>
  <c r="D6675" i="23"/>
  <c r="C6675" i="23"/>
  <c r="D6674" i="23"/>
  <c r="C6674" i="23"/>
  <c r="D6673" i="23"/>
  <c r="C6673" i="23"/>
  <c r="D6672" i="23"/>
  <c r="C6672" i="23"/>
  <c r="D6671" i="23"/>
  <c r="C6671" i="23"/>
  <c r="D6670" i="23"/>
  <c r="C6670" i="23"/>
  <c r="D6669" i="23"/>
  <c r="C6669" i="23"/>
  <c r="D6668" i="23"/>
  <c r="C6668" i="23"/>
  <c r="D6667" i="23"/>
  <c r="C6667" i="23"/>
  <c r="D6666" i="23"/>
  <c r="C6666" i="23"/>
  <c r="D6665" i="23"/>
  <c r="C6665" i="23"/>
  <c r="D6664" i="23"/>
  <c r="C6664" i="23"/>
  <c r="D6663" i="23"/>
  <c r="C6663" i="23"/>
  <c r="D6662" i="23"/>
  <c r="C6662" i="23"/>
  <c r="D6661" i="23"/>
  <c r="C6661" i="23"/>
  <c r="D6660" i="23"/>
  <c r="C6660" i="23"/>
  <c r="D6659" i="23"/>
  <c r="C6659" i="23"/>
  <c r="D6658" i="23"/>
  <c r="C6658" i="23"/>
  <c r="D6657" i="23"/>
  <c r="C6657" i="23"/>
  <c r="D6656" i="23"/>
  <c r="C6656" i="23"/>
  <c r="D6655" i="23"/>
  <c r="C6655" i="23"/>
  <c r="D6654" i="23"/>
  <c r="C6654" i="23"/>
  <c r="D6653" i="23"/>
  <c r="C6653" i="23"/>
  <c r="D6652" i="23"/>
  <c r="C6652" i="23"/>
  <c r="D6651" i="23"/>
  <c r="C6651" i="23"/>
  <c r="D6650" i="23"/>
  <c r="C6650" i="23"/>
  <c r="D6649" i="23"/>
  <c r="C6649" i="23"/>
  <c r="D6648" i="23"/>
  <c r="C6648" i="23"/>
  <c r="D6647" i="23"/>
  <c r="C6647" i="23"/>
  <c r="D6646" i="23"/>
  <c r="C6646" i="23"/>
  <c r="D6645" i="23"/>
  <c r="C6645" i="23"/>
  <c r="D6644" i="23"/>
  <c r="C6644" i="23"/>
  <c r="D6643" i="23"/>
  <c r="C6643" i="23"/>
  <c r="D6642" i="23"/>
  <c r="C6642" i="23"/>
  <c r="D6641" i="23"/>
  <c r="C6641" i="23"/>
  <c r="D6640" i="23"/>
  <c r="C6640" i="23"/>
  <c r="D6639" i="23"/>
  <c r="C6639" i="23"/>
  <c r="D6638" i="23"/>
  <c r="C6638" i="23"/>
  <c r="D6637" i="23"/>
  <c r="C6637" i="23"/>
  <c r="D6636" i="23"/>
  <c r="C6636" i="23"/>
  <c r="D6635" i="23"/>
  <c r="C6635" i="23"/>
  <c r="D6634" i="23"/>
  <c r="C6634" i="23"/>
  <c r="D6633" i="23"/>
  <c r="C6633" i="23"/>
  <c r="D6632" i="23"/>
  <c r="C6632" i="23"/>
  <c r="D6631" i="23"/>
  <c r="C6631" i="23"/>
  <c r="D6630" i="23"/>
  <c r="C6630" i="23"/>
  <c r="D6629" i="23"/>
  <c r="C6629" i="23"/>
  <c r="D6628" i="23"/>
  <c r="C6628" i="23"/>
  <c r="D6627" i="23"/>
  <c r="C6627" i="23"/>
  <c r="D6626" i="23"/>
  <c r="C6626" i="23"/>
  <c r="D6625" i="23"/>
  <c r="C6625" i="23"/>
  <c r="D6624" i="23"/>
  <c r="C6624" i="23"/>
  <c r="D6623" i="23"/>
  <c r="C6623" i="23"/>
  <c r="D6622" i="23"/>
  <c r="C6622" i="23"/>
  <c r="D6621" i="23"/>
  <c r="C6621" i="23"/>
  <c r="D6620" i="23"/>
  <c r="C6620" i="23"/>
  <c r="D6619" i="23"/>
  <c r="C6619" i="23"/>
  <c r="D6618" i="23"/>
  <c r="C6618" i="23"/>
  <c r="D6617" i="23"/>
  <c r="C6617" i="23"/>
  <c r="D6616" i="23"/>
  <c r="C6616" i="23"/>
  <c r="D6615" i="23"/>
  <c r="C6615" i="23"/>
  <c r="D6614" i="23"/>
  <c r="C6614" i="23"/>
  <c r="D6613" i="23"/>
  <c r="C6613" i="23"/>
  <c r="D6612" i="23"/>
  <c r="C6612" i="23"/>
  <c r="D6611" i="23"/>
  <c r="C6611" i="23"/>
  <c r="D6610" i="23"/>
  <c r="C6610" i="23"/>
  <c r="D6609" i="23"/>
  <c r="C6609" i="23"/>
  <c r="D6608" i="23"/>
  <c r="C6608" i="23"/>
  <c r="D6607" i="23"/>
  <c r="C6607" i="23"/>
  <c r="D6606" i="23"/>
  <c r="C6606" i="23"/>
  <c r="D6605" i="23"/>
  <c r="C6605" i="23"/>
  <c r="D6604" i="23"/>
  <c r="C6604" i="23"/>
  <c r="D6603" i="23"/>
  <c r="C6603" i="23"/>
  <c r="D6602" i="23"/>
  <c r="C6602" i="23"/>
  <c r="D6601" i="23"/>
  <c r="C6601" i="23"/>
  <c r="D6600" i="23"/>
  <c r="C6600" i="23"/>
  <c r="D6599" i="23"/>
  <c r="C6599" i="23"/>
  <c r="D6598" i="23"/>
  <c r="C6598" i="23"/>
  <c r="D6597" i="23"/>
  <c r="C6597" i="23"/>
  <c r="D6596" i="23"/>
  <c r="C6596" i="23"/>
  <c r="D6595" i="23"/>
  <c r="C6595" i="23"/>
  <c r="D6594" i="23"/>
  <c r="C6594" i="23"/>
  <c r="D6593" i="23"/>
  <c r="C6593" i="23"/>
  <c r="D6592" i="23"/>
  <c r="C6592" i="23"/>
  <c r="D6591" i="23"/>
  <c r="C6591" i="23"/>
  <c r="D6590" i="23"/>
  <c r="C6590" i="23"/>
  <c r="D6589" i="23"/>
  <c r="C6589" i="23"/>
  <c r="D6588" i="23"/>
  <c r="C6588" i="23"/>
  <c r="D6587" i="23"/>
  <c r="C6587" i="23"/>
  <c r="D6586" i="23"/>
  <c r="C6586" i="23"/>
  <c r="D6585" i="23"/>
  <c r="C6585" i="23"/>
  <c r="D6584" i="23"/>
  <c r="C6584" i="23"/>
  <c r="D6583" i="23"/>
  <c r="C6583" i="23"/>
  <c r="D6582" i="23"/>
  <c r="C6582" i="23"/>
  <c r="D6581" i="23"/>
  <c r="C6581" i="23"/>
  <c r="D6580" i="23"/>
  <c r="C6580" i="23"/>
  <c r="D6579" i="23"/>
  <c r="C6579" i="23"/>
  <c r="D6578" i="23"/>
  <c r="C6578" i="23"/>
  <c r="D6577" i="23"/>
  <c r="C6577" i="23"/>
  <c r="D6576" i="23"/>
  <c r="C6576" i="23"/>
  <c r="D6575" i="23"/>
  <c r="C6575" i="23"/>
  <c r="D6574" i="23"/>
  <c r="C6574" i="23"/>
  <c r="D6573" i="23"/>
  <c r="C6573" i="23"/>
  <c r="D6572" i="23"/>
  <c r="C6572" i="23"/>
  <c r="D6571" i="23"/>
  <c r="C6571" i="23"/>
  <c r="D6570" i="23"/>
  <c r="C6570" i="23"/>
  <c r="D6569" i="23"/>
  <c r="C6569" i="23"/>
  <c r="D6568" i="23"/>
  <c r="C6568" i="23"/>
  <c r="D6567" i="23"/>
  <c r="C6567" i="23"/>
  <c r="D6566" i="23"/>
  <c r="C6566" i="23"/>
  <c r="D6565" i="23"/>
  <c r="C6565" i="23"/>
  <c r="D6564" i="23"/>
  <c r="C6564" i="23"/>
  <c r="D6563" i="23"/>
  <c r="C6563" i="23"/>
  <c r="D6562" i="23"/>
  <c r="C6562" i="23"/>
  <c r="D6561" i="23"/>
  <c r="C6561" i="23"/>
  <c r="D6560" i="23"/>
  <c r="C6560" i="23"/>
  <c r="D6559" i="23"/>
  <c r="C6559" i="23"/>
  <c r="D6558" i="23"/>
  <c r="C6558" i="23"/>
  <c r="D6557" i="23"/>
  <c r="C6557" i="23"/>
  <c r="D6556" i="23"/>
  <c r="C6556" i="23"/>
  <c r="D6555" i="23"/>
  <c r="C6555" i="23"/>
  <c r="D6554" i="23"/>
  <c r="C6554" i="23"/>
  <c r="D6553" i="23"/>
  <c r="C6553" i="23"/>
  <c r="D6552" i="23"/>
  <c r="C6552" i="23"/>
  <c r="D6551" i="23"/>
  <c r="C6551" i="23"/>
  <c r="D6550" i="23"/>
  <c r="C6550" i="23"/>
  <c r="D6549" i="23"/>
  <c r="C6549" i="23"/>
  <c r="D6548" i="23"/>
  <c r="C6548" i="23"/>
  <c r="D6547" i="23"/>
  <c r="C6547" i="23"/>
  <c r="D6546" i="23"/>
  <c r="C6546" i="23"/>
  <c r="D6545" i="23"/>
  <c r="C6545" i="23"/>
  <c r="D6544" i="23"/>
  <c r="C6544" i="23"/>
  <c r="D6543" i="23"/>
  <c r="C6543" i="23"/>
  <c r="D6542" i="23"/>
  <c r="C6542" i="23"/>
  <c r="D6541" i="23"/>
  <c r="C6541" i="23"/>
  <c r="D6540" i="23"/>
  <c r="C6540" i="23"/>
  <c r="D6539" i="23"/>
  <c r="C6539" i="23"/>
  <c r="D6538" i="23"/>
  <c r="C6538" i="23"/>
  <c r="D6537" i="23"/>
  <c r="C6537" i="23"/>
  <c r="D6536" i="23"/>
  <c r="C6536" i="23"/>
  <c r="D6535" i="23"/>
  <c r="C6535" i="23"/>
  <c r="D6534" i="23"/>
  <c r="C6534" i="23"/>
  <c r="D6533" i="23"/>
  <c r="C6533" i="23"/>
  <c r="D6532" i="23"/>
  <c r="C6532" i="23"/>
  <c r="D6531" i="23"/>
  <c r="C6531" i="23"/>
  <c r="D6530" i="23"/>
  <c r="C6530" i="23"/>
  <c r="D6529" i="23"/>
  <c r="C6529" i="23"/>
  <c r="D6528" i="23"/>
  <c r="C6528" i="23"/>
  <c r="D6527" i="23"/>
  <c r="C6527" i="23"/>
  <c r="D6526" i="23"/>
  <c r="C6526" i="23"/>
  <c r="D6525" i="23"/>
  <c r="C6525" i="23"/>
  <c r="D6524" i="23"/>
  <c r="C6524" i="23"/>
  <c r="D6523" i="23"/>
  <c r="C6523" i="23"/>
  <c r="D6522" i="23"/>
  <c r="C6522" i="23"/>
  <c r="D6521" i="23"/>
  <c r="C6521" i="23"/>
  <c r="D6520" i="23"/>
  <c r="C6520" i="23"/>
  <c r="D6519" i="23"/>
  <c r="C6519" i="23"/>
  <c r="D6518" i="23"/>
  <c r="C6518" i="23"/>
  <c r="D6517" i="23"/>
  <c r="C6517" i="23"/>
  <c r="D6516" i="23"/>
  <c r="C6516" i="23"/>
  <c r="D6515" i="23"/>
  <c r="C6515" i="23"/>
  <c r="D6514" i="23"/>
  <c r="C6514" i="23"/>
  <c r="D6513" i="23"/>
  <c r="C6513" i="23"/>
  <c r="D6512" i="23"/>
  <c r="C6512" i="23"/>
  <c r="D6511" i="23"/>
  <c r="C6511" i="23"/>
  <c r="D6510" i="23"/>
  <c r="C6510" i="23"/>
  <c r="D6509" i="23"/>
  <c r="C6509" i="23"/>
  <c r="D6508" i="23"/>
  <c r="C6508" i="23"/>
  <c r="D6507" i="23"/>
  <c r="C6507" i="23"/>
  <c r="D6506" i="23"/>
  <c r="C6506" i="23"/>
  <c r="D6505" i="23"/>
  <c r="C6505" i="23"/>
  <c r="D6504" i="23"/>
  <c r="C6504" i="23"/>
  <c r="D6503" i="23"/>
  <c r="C6503" i="23"/>
  <c r="D6502" i="23"/>
  <c r="C6502" i="23"/>
  <c r="D6501" i="23"/>
  <c r="C6501" i="23"/>
  <c r="D6500" i="23"/>
  <c r="C6500" i="23"/>
  <c r="D6499" i="23"/>
  <c r="C6499" i="23"/>
  <c r="D6498" i="23"/>
  <c r="C6498" i="23"/>
  <c r="D6497" i="23"/>
  <c r="C6497" i="23"/>
  <c r="D6496" i="23"/>
  <c r="C6496" i="23"/>
  <c r="D6495" i="23"/>
  <c r="C6495" i="23"/>
  <c r="D6494" i="23"/>
  <c r="C6494" i="23"/>
  <c r="D6493" i="23"/>
  <c r="C6493" i="23"/>
  <c r="D6492" i="23"/>
  <c r="C6492" i="23"/>
  <c r="D6491" i="23"/>
  <c r="C6491" i="23"/>
  <c r="D6490" i="23"/>
  <c r="C6490" i="23"/>
  <c r="D6489" i="23"/>
  <c r="C6489" i="23"/>
  <c r="D6488" i="23"/>
  <c r="C6488" i="23"/>
  <c r="D6487" i="23"/>
  <c r="C6487" i="23"/>
  <c r="D6486" i="23"/>
  <c r="C6486" i="23"/>
  <c r="D6485" i="23"/>
  <c r="C6485" i="23"/>
  <c r="D6484" i="23"/>
  <c r="C6484" i="23"/>
  <c r="D6483" i="23"/>
  <c r="C6483" i="23"/>
  <c r="D6482" i="23"/>
  <c r="C6482" i="23"/>
  <c r="D6481" i="23"/>
  <c r="C6481" i="23"/>
  <c r="D6480" i="23"/>
  <c r="C6480" i="23"/>
  <c r="D6479" i="23"/>
  <c r="C6479" i="23"/>
  <c r="D6478" i="23"/>
  <c r="C6478" i="23"/>
  <c r="D6477" i="23"/>
  <c r="C6477" i="23"/>
  <c r="D6476" i="23"/>
  <c r="C6476" i="23"/>
  <c r="D6475" i="23"/>
  <c r="C6475" i="23"/>
  <c r="D6474" i="23"/>
  <c r="C6474" i="23"/>
  <c r="D6473" i="23"/>
  <c r="C6473" i="23"/>
  <c r="D6472" i="23"/>
  <c r="C6472" i="23"/>
  <c r="D6471" i="23"/>
  <c r="C6471" i="23"/>
  <c r="D6470" i="23"/>
  <c r="C6470" i="23"/>
  <c r="D6469" i="23"/>
  <c r="C6469" i="23"/>
  <c r="D6468" i="23"/>
  <c r="C6468" i="23"/>
  <c r="D6467" i="23"/>
  <c r="C6467" i="23"/>
  <c r="D6466" i="23"/>
  <c r="C6466" i="23"/>
  <c r="D6465" i="23"/>
  <c r="C6465" i="23"/>
  <c r="D6464" i="23"/>
  <c r="C6464" i="23"/>
  <c r="D6463" i="23"/>
  <c r="C6463" i="23"/>
  <c r="D6462" i="23"/>
  <c r="C6462" i="23"/>
  <c r="D6461" i="23"/>
  <c r="C6461" i="23"/>
  <c r="D6460" i="23"/>
  <c r="C6460" i="23"/>
  <c r="D6459" i="23"/>
  <c r="C6459" i="23"/>
  <c r="D6458" i="23"/>
  <c r="C6458" i="23"/>
  <c r="D6457" i="23"/>
  <c r="C6457" i="23"/>
  <c r="D6456" i="23"/>
  <c r="C6456" i="23"/>
  <c r="D6455" i="23"/>
  <c r="C6455" i="23"/>
  <c r="D6454" i="23"/>
  <c r="C6454" i="23"/>
  <c r="D6453" i="23"/>
  <c r="C6453" i="23"/>
  <c r="D6452" i="23"/>
  <c r="C6452" i="23"/>
  <c r="D6451" i="23"/>
  <c r="C6451" i="23"/>
  <c r="D6450" i="23"/>
  <c r="C6450" i="23"/>
  <c r="D6449" i="23"/>
  <c r="C6449" i="23"/>
  <c r="D6448" i="23"/>
  <c r="C6448" i="23"/>
  <c r="D6447" i="23"/>
  <c r="C6447" i="23"/>
  <c r="D6446" i="23"/>
  <c r="C6446" i="23"/>
  <c r="D6445" i="23"/>
  <c r="C6445" i="23"/>
  <c r="D6444" i="23"/>
  <c r="C6444" i="23"/>
  <c r="D6443" i="23"/>
  <c r="C6443" i="23"/>
  <c r="D6442" i="23"/>
  <c r="C6442" i="23"/>
  <c r="D6441" i="23"/>
  <c r="C6441" i="23"/>
  <c r="D6440" i="23"/>
  <c r="C6440" i="23"/>
  <c r="D6439" i="23"/>
  <c r="C6439" i="23"/>
  <c r="D6438" i="23"/>
  <c r="C6438" i="23"/>
  <c r="D6437" i="23"/>
  <c r="C6437" i="23"/>
  <c r="D6436" i="23"/>
  <c r="C6436" i="23"/>
  <c r="D6435" i="23"/>
  <c r="C6435" i="23"/>
  <c r="D6434" i="23"/>
  <c r="C6434" i="23"/>
  <c r="D6433" i="23"/>
  <c r="C6433" i="23"/>
  <c r="D6432" i="23"/>
  <c r="C6432" i="23"/>
  <c r="D6431" i="23"/>
  <c r="C6431" i="23"/>
  <c r="D6430" i="23"/>
  <c r="C6430" i="23"/>
  <c r="D6429" i="23"/>
  <c r="C6429" i="23"/>
  <c r="D6428" i="23"/>
  <c r="C6428" i="23"/>
  <c r="D6427" i="23"/>
  <c r="C6427" i="23"/>
  <c r="D6426" i="23"/>
  <c r="C6426" i="23"/>
  <c r="D6425" i="23"/>
  <c r="C6425" i="23"/>
  <c r="D6424" i="23"/>
  <c r="C6424" i="23"/>
  <c r="D6423" i="23"/>
  <c r="C6423" i="23"/>
  <c r="D6422" i="23"/>
  <c r="C6422" i="23"/>
  <c r="D6421" i="23"/>
  <c r="C6421" i="23"/>
  <c r="D6420" i="23"/>
  <c r="C6420" i="23"/>
  <c r="D6419" i="23"/>
  <c r="C6419" i="23"/>
  <c r="D6418" i="23"/>
  <c r="C6418" i="23"/>
  <c r="D6417" i="23"/>
  <c r="C6417" i="23"/>
  <c r="D6416" i="23"/>
  <c r="C6416" i="23"/>
  <c r="D6415" i="23"/>
  <c r="C6415" i="23"/>
  <c r="D6414" i="23"/>
  <c r="C6414" i="23"/>
  <c r="D6413" i="23"/>
  <c r="C6413" i="23"/>
  <c r="D6412" i="23"/>
  <c r="C6412" i="23"/>
  <c r="D6411" i="23"/>
  <c r="C6411" i="23"/>
  <c r="D6410" i="23"/>
  <c r="C6410" i="23"/>
  <c r="D6409" i="23"/>
  <c r="C6409" i="23"/>
  <c r="D6408" i="23"/>
  <c r="C6408" i="23"/>
  <c r="D6407" i="23"/>
  <c r="C6407" i="23"/>
  <c r="D6406" i="23"/>
  <c r="C6406" i="23"/>
  <c r="D6405" i="23"/>
  <c r="C6405" i="23"/>
  <c r="D6404" i="23"/>
  <c r="C6404" i="23"/>
  <c r="D6403" i="23"/>
  <c r="C6403" i="23"/>
  <c r="D6402" i="23"/>
  <c r="C6402" i="23"/>
  <c r="D6401" i="23"/>
  <c r="C6401" i="23"/>
  <c r="D6400" i="23"/>
  <c r="C6400" i="23"/>
  <c r="D6399" i="23"/>
  <c r="C6399" i="23"/>
  <c r="D6398" i="23"/>
  <c r="C6398" i="23"/>
  <c r="D6397" i="23"/>
  <c r="C6397" i="23"/>
  <c r="D6396" i="23"/>
  <c r="C6396" i="23"/>
  <c r="D6395" i="23"/>
  <c r="C6395" i="23"/>
  <c r="D6394" i="23"/>
  <c r="C6394" i="23"/>
  <c r="D6393" i="23"/>
  <c r="C6393" i="23"/>
  <c r="D6392" i="23"/>
  <c r="C6392" i="23"/>
  <c r="D6391" i="23"/>
  <c r="C6391" i="23"/>
  <c r="D6390" i="23"/>
  <c r="C6390" i="23"/>
  <c r="D6389" i="23"/>
  <c r="C6389" i="23"/>
  <c r="D6388" i="23"/>
  <c r="C6388" i="23"/>
  <c r="D6387" i="23"/>
  <c r="C6387" i="23"/>
  <c r="D6386" i="23"/>
  <c r="C6386" i="23"/>
  <c r="D6385" i="23"/>
  <c r="C6385" i="23"/>
  <c r="D6384" i="23"/>
  <c r="C6384" i="23"/>
  <c r="D6383" i="23"/>
  <c r="C6383" i="23"/>
  <c r="D6382" i="23"/>
  <c r="C6382" i="23"/>
  <c r="D6381" i="23"/>
  <c r="C6381" i="23"/>
  <c r="D6380" i="23"/>
  <c r="C6380" i="23"/>
  <c r="D6379" i="23"/>
  <c r="C6379" i="23"/>
  <c r="D6378" i="23"/>
  <c r="C6378" i="23"/>
  <c r="D6377" i="23"/>
  <c r="C6377" i="23"/>
  <c r="D6376" i="23"/>
  <c r="C6376" i="23"/>
  <c r="D6375" i="23"/>
  <c r="C6375" i="23"/>
  <c r="D6374" i="23"/>
  <c r="C6374" i="23"/>
  <c r="D6373" i="23"/>
  <c r="C6373" i="23"/>
  <c r="D6372" i="23"/>
  <c r="C6372" i="23"/>
  <c r="D6371" i="23"/>
  <c r="C6371" i="23"/>
  <c r="D6370" i="23"/>
  <c r="C6370" i="23"/>
  <c r="D6369" i="23"/>
  <c r="C6369" i="23"/>
  <c r="D6368" i="23"/>
  <c r="C6368" i="23"/>
  <c r="D6367" i="23"/>
  <c r="C6367" i="23"/>
  <c r="D6366" i="23"/>
  <c r="C6366" i="23"/>
  <c r="D6365" i="23"/>
  <c r="C6365" i="23"/>
  <c r="D6364" i="23"/>
  <c r="C6364" i="23"/>
  <c r="D6363" i="23"/>
  <c r="C6363" i="23"/>
  <c r="D6362" i="23"/>
  <c r="C6362" i="23"/>
  <c r="D6361" i="23"/>
  <c r="C6361" i="23"/>
  <c r="D6360" i="23"/>
  <c r="C6360" i="23"/>
  <c r="D6359" i="23"/>
  <c r="C6359" i="23"/>
  <c r="D6358" i="23"/>
  <c r="C6358" i="23"/>
  <c r="D6357" i="23"/>
  <c r="C6357" i="23"/>
  <c r="D6356" i="23"/>
  <c r="C6356" i="23"/>
  <c r="D6355" i="23"/>
  <c r="C6355" i="23"/>
  <c r="D6354" i="23"/>
  <c r="C6354" i="23"/>
  <c r="D6353" i="23"/>
  <c r="C6353" i="23"/>
  <c r="D6352" i="23"/>
  <c r="C6352" i="23"/>
  <c r="D6351" i="23"/>
  <c r="C6351" i="23"/>
  <c r="D6350" i="23"/>
  <c r="C6350" i="23"/>
  <c r="D6349" i="23"/>
  <c r="C6349" i="23"/>
  <c r="D6348" i="23"/>
  <c r="C6348" i="23"/>
  <c r="D6347" i="23"/>
  <c r="C6347" i="23"/>
  <c r="D6346" i="23"/>
  <c r="C6346" i="23"/>
  <c r="D6345" i="23"/>
  <c r="C6345" i="23"/>
  <c r="D6344" i="23"/>
  <c r="C6344" i="23"/>
  <c r="D6343" i="23"/>
  <c r="C6343" i="23"/>
  <c r="D6342" i="23"/>
  <c r="C6342" i="23"/>
  <c r="D6341" i="23"/>
  <c r="C6341" i="23"/>
  <c r="D6340" i="23"/>
  <c r="C6340" i="23"/>
  <c r="D6339" i="23"/>
  <c r="C6339" i="23"/>
  <c r="D6338" i="23"/>
  <c r="C6338" i="23"/>
  <c r="D6337" i="23"/>
  <c r="C6337" i="23"/>
  <c r="D6336" i="23"/>
  <c r="C6336" i="23"/>
  <c r="D6335" i="23"/>
  <c r="C6335" i="23"/>
  <c r="D6334" i="23"/>
  <c r="C6334" i="23"/>
  <c r="D6333" i="23"/>
  <c r="C6333" i="23"/>
  <c r="D6332" i="23"/>
  <c r="C6332" i="23"/>
  <c r="D6331" i="23"/>
  <c r="C6331" i="23"/>
  <c r="D6330" i="23"/>
  <c r="C6330" i="23"/>
  <c r="D6329" i="23"/>
  <c r="C6329" i="23"/>
  <c r="D6328" i="23"/>
  <c r="C6328" i="23"/>
  <c r="D6327" i="23"/>
  <c r="C6327" i="23"/>
  <c r="D6326" i="23"/>
  <c r="C6326" i="23"/>
  <c r="D6325" i="23"/>
  <c r="C6325" i="23"/>
  <c r="D6324" i="23"/>
  <c r="C6324" i="23"/>
  <c r="D6323" i="23"/>
  <c r="C6323" i="23"/>
  <c r="D6322" i="23"/>
  <c r="C6322" i="23"/>
  <c r="D6321" i="23"/>
  <c r="C6321" i="23"/>
  <c r="D6320" i="23"/>
  <c r="C6320" i="23"/>
  <c r="D6319" i="23"/>
  <c r="C6319" i="23"/>
  <c r="D6318" i="23"/>
  <c r="C6318" i="23"/>
  <c r="D6317" i="23"/>
  <c r="C6317" i="23"/>
  <c r="D6316" i="23"/>
  <c r="C6316" i="23"/>
  <c r="D6315" i="23"/>
  <c r="C6315" i="23"/>
  <c r="D6314" i="23"/>
  <c r="C6314" i="23"/>
  <c r="D6313" i="23"/>
  <c r="C6313" i="23"/>
  <c r="D6312" i="23"/>
  <c r="C6312" i="23"/>
  <c r="D6311" i="23"/>
  <c r="C6311" i="23"/>
  <c r="D6310" i="23"/>
  <c r="C6310" i="23"/>
  <c r="D6309" i="23"/>
  <c r="C6309" i="23"/>
  <c r="D6308" i="23"/>
  <c r="C6308" i="23"/>
  <c r="D6307" i="23"/>
  <c r="C6307" i="23"/>
  <c r="D6306" i="23"/>
  <c r="C6306" i="23"/>
  <c r="D6305" i="23"/>
  <c r="C6305" i="23"/>
  <c r="D6304" i="23"/>
  <c r="C6304" i="23"/>
  <c r="D6303" i="23"/>
  <c r="C6303" i="23"/>
  <c r="D6302" i="23"/>
  <c r="C6302" i="23"/>
  <c r="D6301" i="23"/>
  <c r="C6301" i="23"/>
  <c r="D6300" i="23"/>
  <c r="C6300" i="23"/>
  <c r="D6299" i="23"/>
  <c r="C6299" i="23"/>
  <c r="D6298" i="23"/>
  <c r="C6298" i="23"/>
  <c r="D6297" i="23"/>
  <c r="C6297" i="23"/>
  <c r="D6296" i="23"/>
  <c r="C6296" i="23"/>
  <c r="D6295" i="23"/>
  <c r="C6295" i="23"/>
  <c r="D6294" i="23"/>
  <c r="C6294" i="23"/>
  <c r="D6293" i="23"/>
  <c r="C6293" i="23"/>
  <c r="D6292" i="23"/>
  <c r="C6292" i="23"/>
  <c r="D6291" i="23"/>
  <c r="C6291" i="23"/>
  <c r="D6290" i="23"/>
  <c r="C6290" i="23"/>
  <c r="D6289" i="23"/>
  <c r="C6289" i="23"/>
  <c r="D6288" i="23"/>
  <c r="C6288" i="23"/>
  <c r="D6287" i="23"/>
  <c r="C6287" i="23"/>
  <c r="D6286" i="23"/>
  <c r="C6286" i="23"/>
  <c r="D6285" i="23"/>
  <c r="C6285" i="23"/>
  <c r="D6284" i="23"/>
  <c r="C6284" i="23"/>
  <c r="D6283" i="23"/>
  <c r="C6283" i="23"/>
  <c r="D6282" i="23"/>
  <c r="C6282" i="23"/>
  <c r="D6281" i="23"/>
  <c r="C6281" i="23"/>
  <c r="D6280" i="23"/>
  <c r="C6280" i="23"/>
  <c r="D6279" i="23"/>
  <c r="C6279" i="23"/>
  <c r="D6278" i="23"/>
  <c r="C6278" i="23"/>
  <c r="D6277" i="23"/>
  <c r="C6277" i="23"/>
  <c r="D6276" i="23"/>
  <c r="C6276" i="23"/>
  <c r="D6275" i="23"/>
  <c r="C6275" i="23"/>
  <c r="D6274" i="23"/>
  <c r="C6274" i="23"/>
  <c r="D6273" i="23"/>
  <c r="C6273" i="23"/>
  <c r="D6272" i="23"/>
  <c r="C6272" i="23"/>
  <c r="D6271" i="23"/>
  <c r="C6271" i="23"/>
  <c r="D6270" i="23"/>
  <c r="C6270" i="23"/>
  <c r="D6269" i="23"/>
  <c r="C6269" i="23"/>
  <c r="D6268" i="23"/>
  <c r="C6268" i="23"/>
  <c r="D6267" i="23"/>
  <c r="C6267" i="23"/>
  <c r="D6266" i="23"/>
  <c r="C6266" i="23"/>
  <c r="D6265" i="23"/>
  <c r="C6265" i="23"/>
  <c r="D6264" i="23"/>
  <c r="C6264" i="23"/>
  <c r="D6263" i="23"/>
  <c r="C6263" i="23"/>
  <c r="D6262" i="23"/>
  <c r="C6262" i="23"/>
  <c r="D6261" i="23"/>
  <c r="C6261" i="23"/>
  <c r="D6260" i="23"/>
  <c r="C6260" i="23"/>
  <c r="D6259" i="23"/>
  <c r="C6259" i="23"/>
  <c r="D6258" i="23"/>
  <c r="C6258" i="23"/>
  <c r="D6257" i="23"/>
  <c r="C6257" i="23"/>
  <c r="D6256" i="23"/>
  <c r="C6256" i="23"/>
  <c r="D6255" i="23"/>
  <c r="C6255" i="23"/>
  <c r="D6254" i="23"/>
  <c r="C6254" i="23"/>
  <c r="D6253" i="23"/>
  <c r="C6253" i="23"/>
  <c r="D6252" i="23"/>
  <c r="C6252" i="23"/>
  <c r="D6251" i="23"/>
  <c r="C6251" i="23"/>
  <c r="D6250" i="23"/>
  <c r="C6250" i="23"/>
  <c r="D6249" i="23"/>
  <c r="C6249" i="23"/>
  <c r="D6248" i="23"/>
  <c r="C6248" i="23"/>
  <c r="D6247" i="23"/>
  <c r="C6247" i="23"/>
  <c r="D6246" i="23"/>
  <c r="C6246" i="23"/>
  <c r="D6245" i="23"/>
  <c r="C6245" i="23"/>
  <c r="D6244" i="23"/>
  <c r="C6244" i="23"/>
  <c r="D6243" i="23"/>
  <c r="C6243" i="23"/>
  <c r="D6242" i="23"/>
  <c r="C6242" i="23"/>
  <c r="D6241" i="23"/>
  <c r="C6241" i="23"/>
  <c r="D6240" i="23"/>
  <c r="C6240" i="23"/>
  <c r="D6239" i="23"/>
  <c r="C6239" i="23"/>
  <c r="D6238" i="23"/>
  <c r="C6238" i="23"/>
  <c r="D6237" i="23"/>
  <c r="C6237" i="23"/>
  <c r="D6236" i="23"/>
  <c r="C6236" i="23"/>
  <c r="D6235" i="23"/>
  <c r="C6235" i="23"/>
  <c r="D6234" i="23"/>
  <c r="C6234" i="23"/>
  <c r="D6233" i="23"/>
  <c r="C6233" i="23"/>
  <c r="D6232" i="23"/>
  <c r="C6232" i="23"/>
  <c r="D6231" i="23"/>
  <c r="C6231" i="23"/>
  <c r="D6230" i="23"/>
  <c r="C6230" i="23"/>
  <c r="D6229" i="23"/>
  <c r="C6229" i="23"/>
  <c r="D6228" i="23"/>
  <c r="C6228" i="23"/>
  <c r="D6227" i="23"/>
  <c r="C6227" i="23"/>
  <c r="D6226" i="23"/>
  <c r="C6226" i="23"/>
  <c r="D6225" i="23"/>
  <c r="C6225" i="23"/>
  <c r="D6224" i="23"/>
  <c r="C6224" i="23"/>
  <c r="D6223" i="23"/>
  <c r="C6223" i="23"/>
  <c r="D6222" i="23"/>
  <c r="C6222" i="23"/>
  <c r="D6221" i="23"/>
  <c r="C6221" i="23"/>
  <c r="D6220" i="23"/>
  <c r="C6220" i="23"/>
  <c r="D6219" i="23"/>
  <c r="C6219" i="23"/>
  <c r="D6218" i="23"/>
  <c r="C6218" i="23"/>
  <c r="D6217" i="23"/>
  <c r="C6217" i="23"/>
  <c r="D6216" i="23"/>
  <c r="C6216" i="23"/>
  <c r="D6215" i="23"/>
  <c r="C6215" i="23"/>
  <c r="D6214" i="23"/>
  <c r="C6214" i="23"/>
  <c r="D6213" i="23"/>
  <c r="C6213" i="23"/>
  <c r="D6212" i="23"/>
  <c r="C6212" i="23"/>
  <c r="D6211" i="23"/>
  <c r="C6211" i="23"/>
  <c r="D6210" i="23"/>
  <c r="C6210" i="23"/>
  <c r="D6209" i="23"/>
  <c r="C6209" i="23"/>
  <c r="D6208" i="23"/>
  <c r="C6208" i="23"/>
  <c r="D6207" i="23"/>
  <c r="C6207" i="23"/>
  <c r="D6206" i="23"/>
  <c r="C6206" i="23"/>
  <c r="D6205" i="23"/>
  <c r="C6205" i="23"/>
  <c r="D6204" i="23"/>
  <c r="C6204" i="23"/>
  <c r="D6203" i="23"/>
  <c r="C6203" i="23"/>
  <c r="D6202" i="23"/>
  <c r="C6202" i="23"/>
  <c r="D6201" i="23"/>
  <c r="C6201" i="23"/>
  <c r="D6200" i="23"/>
  <c r="C6200" i="23"/>
  <c r="D6199" i="23"/>
  <c r="C6199" i="23"/>
  <c r="D6198" i="23"/>
  <c r="C6198" i="23"/>
  <c r="D6197" i="23"/>
  <c r="C6197" i="23"/>
  <c r="D6196" i="23"/>
  <c r="C6196" i="23"/>
  <c r="D6195" i="23"/>
  <c r="C6195" i="23"/>
  <c r="D6194" i="23"/>
  <c r="C6194" i="23"/>
  <c r="D6193" i="23"/>
  <c r="C6193" i="23"/>
  <c r="D6192" i="23"/>
  <c r="C6192" i="23"/>
  <c r="D6191" i="23"/>
  <c r="C6191" i="23"/>
  <c r="D6190" i="23"/>
  <c r="C6190" i="23"/>
  <c r="D6189" i="23"/>
  <c r="C6189" i="23"/>
  <c r="D6188" i="23"/>
  <c r="C6188" i="23"/>
  <c r="D6187" i="23"/>
  <c r="C6187" i="23"/>
  <c r="D6186" i="23"/>
  <c r="C6186" i="23"/>
  <c r="D6185" i="23"/>
  <c r="C6185" i="23"/>
  <c r="D6184" i="23"/>
  <c r="C6184" i="23"/>
  <c r="D6183" i="23"/>
  <c r="C6183" i="23"/>
  <c r="D6182" i="23"/>
  <c r="C6182" i="23"/>
  <c r="D6181" i="23"/>
  <c r="C6181" i="23"/>
  <c r="D6180" i="23"/>
  <c r="C6180" i="23"/>
  <c r="D6179" i="23"/>
  <c r="C6179" i="23"/>
  <c r="D6178" i="23"/>
  <c r="C6178" i="23"/>
  <c r="D6177" i="23"/>
  <c r="C6177" i="23"/>
  <c r="D6176" i="23"/>
  <c r="C6176" i="23"/>
  <c r="D6175" i="23"/>
  <c r="C6175" i="23"/>
  <c r="D6174" i="23"/>
  <c r="C6174" i="23"/>
  <c r="D6173" i="23"/>
  <c r="C6173" i="23"/>
  <c r="D6172" i="23"/>
  <c r="C6172" i="23"/>
  <c r="D6171" i="23"/>
  <c r="C6171" i="23"/>
  <c r="D6170" i="23"/>
  <c r="C6170" i="23"/>
  <c r="D6169" i="23"/>
  <c r="C6169" i="23"/>
  <c r="D6168" i="23"/>
  <c r="C6168" i="23"/>
  <c r="D6167" i="23"/>
  <c r="C6167" i="23"/>
  <c r="D6166" i="23"/>
  <c r="C6166" i="23"/>
  <c r="D6165" i="23"/>
  <c r="C6165" i="23"/>
  <c r="D6164" i="23"/>
  <c r="C6164" i="23"/>
  <c r="D6163" i="23"/>
  <c r="C6163" i="23"/>
  <c r="D6162" i="23"/>
  <c r="C6162" i="23"/>
  <c r="D6161" i="23"/>
  <c r="C6161" i="23"/>
  <c r="D6160" i="23"/>
  <c r="C6160" i="23"/>
  <c r="D6159" i="23"/>
  <c r="C6159" i="23"/>
  <c r="D6158" i="23"/>
  <c r="C6158" i="23"/>
  <c r="D6157" i="23"/>
  <c r="C6157" i="23"/>
  <c r="D6156" i="23"/>
  <c r="C6156" i="23"/>
  <c r="D6155" i="23"/>
  <c r="C6155" i="23"/>
  <c r="D6154" i="23"/>
  <c r="C6154" i="23"/>
  <c r="D6153" i="23"/>
  <c r="C6153" i="23"/>
  <c r="D6152" i="23"/>
  <c r="C6152" i="23"/>
  <c r="D6151" i="23"/>
  <c r="C6151" i="23"/>
  <c r="D6150" i="23"/>
  <c r="C6150" i="23"/>
  <c r="D6149" i="23"/>
  <c r="C6149" i="23"/>
  <c r="D6148" i="23"/>
  <c r="C6148" i="23"/>
  <c r="D6147" i="23"/>
  <c r="C6147" i="23"/>
  <c r="D6146" i="23"/>
  <c r="C6146" i="23"/>
  <c r="D6145" i="23"/>
  <c r="C6145" i="23"/>
  <c r="D6144" i="23"/>
  <c r="C6144" i="23"/>
  <c r="D6143" i="23"/>
  <c r="C6143" i="23"/>
  <c r="D6142" i="23"/>
  <c r="C6142" i="23"/>
  <c r="D6141" i="23"/>
  <c r="C6141" i="23"/>
  <c r="D6140" i="23"/>
  <c r="C6140" i="23"/>
  <c r="D6139" i="23"/>
  <c r="C6139" i="23"/>
  <c r="D6138" i="23"/>
  <c r="C6138" i="23"/>
  <c r="D6137" i="23"/>
  <c r="C6137" i="23"/>
  <c r="D6136" i="23"/>
  <c r="C6136" i="23"/>
  <c r="D6135" i="23"/>
  <c r="C6135" i="23"/>
  <c r="D6134" i="23"/>
  <c r="C6134" i="23"/>
  <c r="D6133" i="23"/>
  <c r="C6133" i="23"/>
  <c r="D6132" i="23"/>
  <c r="C6132" i="23"/>
  <c r="D6131" i="23"/>
  <c r="C6131" i="23"/>
  <c r="D6130" i="23"/>
  <c r="C6130" i="23"/>
  <c r="D6129" i="23"/>
  <c r="C6129" i="23"/>
  <c r="D6128" i="23"/>
  <c r="C6128" i="23"/>
  <c r="D6127" i="23"/>
  <c r="C6127" i="23"/>
  <c r="D6126" i="23"/>
  <c r="C6126" i="23"/>
  <c r="D6125" i="23"/>
  <c r="C6125" i="23"/>
  <c r="D6124" i="23"/>
  <c r="C6124" i="23"/>
  <c r="D6123" i="23"/>
  <c r="C6123" i="23"/>
  <c r="D6122" i="23"/>
  <c r="C6122" i="23"/>
  <c r="D6121" i="23"/>
  <c r="C6121" i="23"/>
  <c r="D6120" i="23"/>
  <c r="C6120" i="23"/>
  <c r="D6119" i="23"/>
  <c r="C6119" i="23"/>
  <c r="D6118" i="23"/>
  <c r="C6118" i="23"/>
  <c r="D6117" i="23"/>
  <c r="C6117" i="23"/>
  <c r="D6116" i="23"/>
  <c r="C6116" i="23"/>
  <c r="D6115" i="23"/>
  <c r="C6115" i="23"/>
  <c r="D6114" i="23"/>
  <c r="C6114" i="23"/>
  <c r="D6113" i="23"/>
  <c r="C6113" i="23"/>
  <c r="D6112" i="23"/>
  <c r="C6112" i="23"/>
  <c r="D6111" i="23"/>
  <c r="C6111" i="23"/>
  <c r="D6110" i="23"/>
  <c r="C6110" i="23"/>
  <c r="D6109" i="23"/>
  <c r="C6109" i="23"/>
  <c r="D6108" i="23"/>
  <c r="C6108" i="23"/>
  <c r="D6107" i="23"/>
  <c r="C6107" i="23"/>
  <c r="D6106" i="23"/>
  <c r="C6106" i="23"/>
  <c r="D6105" i="23"/>
  <c r="C6105" i="23"/>
  <c r="D6104" i="23"/>
  <c r="C6104" i="23"/>
  <c r="D6103" i="23"/>
  <c r="C6103" i="23"/>
  <c r="D6102" i="23"/>
  <c r="C6102" i="23"/>
  <c r="D6101" i="23"/>
  <c r="C6101" i="23"/>
  <c r="D6100" i="23"/>
  <c r="C6100" i="23"/>
  <c r="D6099" i="23"/>
  <c r="C6099" i="23"/>
  <c r="D6098" i="23"/>
  <c r="C6098" i="23"/>
  <c r="D6097" i="23"/>
  <c r="C6097" i="23"/>
  <c r="D6096" i="23"/>
  <c r="C6096" i="23"/>
  <c r="D6095" i="23"/>
  <c r="C6095" i="23"/>
  <c r="D6094" i="23"/>
  <c r="C6094" i="23"/>
  <c r="D6093" i="23"/>
  <c r="C6093" i="23"/>
  <c r="D6092" i="23"/>
  <c r="C6092" i="23"/>
  <c r="D6091" i="23"/>
  <c r="C6091" i="23"/>
  <c r="D6090" i="23"/>
  <c r="C6090" i="23"/>
  <c r="D6089" i="23"/>
  <c r="C6089" i="23"/>
  <c r="D6088" i="23"/>
  <c r="C6088" i="23"/>
  <c r="D6087" i="23"/>
  <c r="C6087" i="23"/>
  <c r="D6086" i="23"/>
  <c r="C6086" i="23"/>
  <c r="D6085" i="23"/>
  <c r="C6085" i="23"/>
  <c r="D6084" i="23"/>
  <c r="C6084" i="23"/>
  <c r="D6083" i="23"/>
  <c r="C6083" i="23"/>
  <c r="D6082" i="23"/>
  <c r="C6082" i="23"/>
  <c r="D6081" i="23"/>
  <c r="C6081" i="23"/>
  <c r="D6080" i="23"/>
  <c r="C6080" i="23"/>
  <c r="D6079" i="23"/>
  <c r="C6079" i="23"/>
  <c r="D6078" i="23"/>
  <c r="C6078" i="23"/>
  <c r="D6077" i="23"/>
  <c r="C6077" i="23"/>
  <c r="D6076" i="23"/>
  <c r="C6076" i="23"/>
  <c r="D6075" i="23"/>
  <c r="C6075" i="23"/>
  <c r="D6074" i="23"/>
  <c r="C6074" i="23"/>
  <c r="D6073" i="23"/>
  <c r="C6073" i="23"/>
  <c r="D6072" i="23"/>
  <c r="C6072" i="23"/>
  <c r="D6071" i="23"/>
  <c r="C6071" i="23"/>
  <c r="D6070" i="23"/>
  <c r="C6070" i="23"/>
  <c r="D6069" i="23"/>
  <c r="C6069" i="23"/>
  <c r="D6068" i="23"/>
  <c r="C6068" i="23"/>
  <c r="D6067" i="23"/>
  <c r="C6067" i="23"/>
  <c r="D6066" i="23"/>
  <c r="C6066" i="23"/>
  <c r="D6065" i="23"/>
  <c r="C6065" i="23"/>
  <c r="D6064" i="23"/>
  <c r="C6064" i="23"/>
  <c r="D6063" i="23"/>
  <c r="C6063" i="23"/>
  <c r="D6062" i="23"/>
  <c r="C6062" i="23"/>
  <c r="D6061" i="23"/>
  <c r="C6061" i="23"/>
  <c r="D6060" i="23"/>
  <c r="C6060" i="23"/>
  <c r="D6059" i="23"/>
  <c r="C6059" i="23"/>
  <c r="D6058" i="23"/>
  <c r="C6058" i="23"/>
  <c r="D6057" i="23"/>
  <c r="C6057" i="23"/>
  <c r="D6056" i="23"/>
  <c r="C6056" i="23"/>
  <c r="D6055" i="23"/>
  <c r="C6055" i="23"/>
  <c r="D6054" i="23"/>
  <c r="C6054" i="23"/>
  <c r="D6053" i="23"/>
  <c r="C6053" i="23"/>
  <c r="D6052" i="23"/>
  <c r="C6052" i="23"/>
  <c r="D6051" i="23"/>
  <c r="C6051" i="23"/>
  <c r="D6050" i="23"/>
  <c r="C6050" i="23"/>
  <c r="D6049" i="23"/>
  <c r="C6049" i="23"/>
  <c r="D6048" i="23"/>
  <c r="C6048" i="23"/>
  <c r="D6047" i="23"/>
  <c r="C6047" i="23"/>
  <c r="D6046" i="23"/>
  <c r="C6046" i="23"/>
  <c r="D6045" i="23"/>
  <c r="C6045" i="23"/>
  <c r="D6044" i="23"/>
  <c r="C6044" i="23"/>
  <c r="D6043" i="23"/>
  <c r="C6043" i="23"/>
  <c r="D6042" i="23"/>
  <c r="C6042" i="23"/>
  <c r="D6041" i="23"/>
  <c r="C6041" i="23"/>
  <c r="D6040" i="23"/>
  <c r="C6040" i="23"/>
  <c r="D6039" i="23"/>
  <c r="C6039" i="23"/>
  <c r="D6038" i="23"/>
  <c r="C6038" i="23"/>
  <c r="D6037" i="23"/>
  <c r="C6037" i="23"/>
  <c r="D6036" i="23"/>
  <c r="C6036" i="23"/>
  <c r="D6035" i="23"/>
  <c r="C6035" i="23"/>
  <c r="D6034" i="23"/>
  <c r="C6034" i="23"/>
  <c r="D6033" i="23"/>
  <c r="C6033" i="23"/>
  <c r="D6032" i="23"/>
  <c r="C6032" i="23"/>
  <c r="D6031" i="23"/>
  <c r="C6031" i="23"/>
  <c r="D6030" i="23"/>
  <c r="C6030" i="23"/>
  <c r="D6029" i="23"/>
  <c r="C6029" i="23"/>
  <c r="D6028" i="23"/>
  <c r="C6028" i="23"/>
  <c r="D6027" i="23"/>
  <c r="C6027" i="23"/>
  <c r="D6026" i="23"/>
  <c r="C6026" i="23"/>
  <c r="D6025" i="23"/>
  <c r="C6025" i="23"/>
  <c r="D6024" i="23"/>
  <c r="C6024" i="23"/>
  <c r="D6023" i="23"/>
  <c r="C6023" i="23"/>
  <c r="D6022" i="23"/>
  <c r="C6022" i="23"/>
  <c r="D6021" i="23"/>
  <c r="C6021" i="23"/>
  <c r="D6020" i="23"/>
  <c r="C6020" i="23"/>
  <c r="D6019" i="23"/>
  <c r="C6019" i="23"/>
  <c r="D6018" i="23"/>
  <c r="C6018" i="23"/>
  <c r="D6017" i="23"/>
  <c r="C6017" i="23"/>
  <c r="D6016" i="23"/>
  <c r="C6016" i="23"/>
  <c r="D6015" i="23"/>
  <c r="C6015" i="23"/>
  <c r="D6014" i="23"/>
  <c r="C6014" i="23"/>
  <c r="D6013" i="23"/>
  <c r="C6013" i="23"/>
  <c r="D6012" i="23"/>
  <c r="C6012" i="23"/>
  <c r="D6011" i="23"/>
  <c r="C6011" i="23"/>
  <c r="D6010" i="23"/>
  <c r="C6010" i="23"/>
  <c r="D6009" i="23"/>
  <c r="C6009" i="23"/>
  <c r="D6008" i="23"/>
  <c r="C6008" i="23"/>
  <c r="D6007" i="23"/>
  <c r="C6007" i="23"/>
  <c r="D6006" i="23"/>
  <c r="C6006" i="23"/>
  <c r="D6005" i="23"/>
  <c r="C6005" i="23"/>
  <c r="D6004" i="23"/>
  <c r="C6004" i="23"/>
  <c r="D6003" i="23"/>
  <c r="C6003" i="23"/>
  <c r="D6002" i="23"/>
  <c r="C6002" i="23"/>
  <c r="D6001" i="23"/>
  <c r="C6001" i="23"/>
  <c r="D6000" i="23"/>
  <c r="C6000" i="23"/>
  <c r="D5999" i="23"/>
  <c r="C5999" i="23"/>
  <c r="D5998" i="23"/>
  <c r="C5998" i="23"/>
  <c r="D5997" i="23"/>
  <c r="C5997" i="23"/>
  <c r="D5996" i="23"/>
  <c r="C5996" i="23"/>
  <c r="D5995" i="23"/>
  <c r="C5995" i="23"/>
  <c r="D5994" i="23"/>
  <c r="C5994" i="23"/>
  <c r="D5993" i="23"/>
  <c r="C5993" i="23"/>
  <c r="D5992" i="23"/>
  <c r="C5992" i="23"/>
  <c r="D5991" i="23"/>
  <c r="C5991" i="23"/>
  <c r="D5990" i="23"/>
  <c r="C5990" i="23"/>
  <c r="D5989" i="23"/>
  <c r="C5989" i="23"/>
  <c r="D5988" i="23"/>
  <c r="C5988" i="23"/>
  <c r="D5987" i="23"/>
  <c r="C5987" i="23"/>
  <c r="D5986" i="23"/>
  <c r="C5986" i="23"/>
  <c r="D5985" i="23"/>
  <c r="C5985" i="23"/>
  <c r="D5984" i="23"/>
  <c r="C5984" i="23"/>
  <c r="D5983" i="23"/>
  <c r="C5983" i="23"/>
  <c r="D5982" i="23"/>
  <c r="C5982" i="23"/>
  <c r="D5981" i="23"/>
  <c r="C5981" i="23"/>
  <c r="D5980" i="23"/>
  <c r="C5980" i="23"/>
  <c r="D5979" i="23"/>
  <c r="C5979" i="23"/>
  <c r="D5978" i="23"/>
  <c r="C5978" i="23"/>
  <c r="D5977" i="23"/>
  <c r="C5977" i="23"/>
  <c r="D5976" i="23"/>
  <c r="C5976" i="23"/>
  <c r="D5975" i="23"/>
  <c r="C5975" i="23"/>
  <c r="D5974" i="23"/>
  <c r="C5974" i="23"/>
  <c r="D5973" i="23"/>
  <c r="C5973" i="23"/>
  <c r="D5972" i="23"/>
  <c r="C5972" i="23"/>
  <c r="D5971" i="23"/>
  <c r="C5971" i="23"/>
  <c r="D5970" i="23"/>
  <c r="C5970" i="23"/>
  <c r="D5969" i="23"/>
  <c r="C5969" i="23"/>
  <c r="D5968" i="23"/>
  <c r="C5968" i="23"/>
  <c r="D5967" i="23"/>
  <c r="C5967" i="23"/>
  <c r="D5966" i="23"/>
  <c r="C5966" i="23"/>
  <c r="D5965" i="23"/>
  <c r="C5965" i="23"/>
  <c r="D5964" i="23"/>
  <c r="C5964" i="23"/>
  <c r="D5963" i="23"/>
  <c r="C5963" i="23"/>
  <c r="D5962" i="23"/>
  <c r="C5962" i="23"/>
  <c r="D5961" i="23"/>
  <c r="C5961" i="23"/>
  <c r="D5960" i="23"/>
  <c r="C5960" i="23"/>
  <c r="D5959" i="23"/>
  <c r="C5959" i="23"/>
  <c r="D5958" i="23"/>
  <c r="C5958" i="23"/>
  <c r="D5957" i="23"/>
  <c r="C5957" i="23"/>
  <c r="D5956" i="23"/>
  <c r="C5956" i="23"/>
  <c r="D5955" i="23"/>
  <c r="C5955" i="23"/>
  <c r="D5954" i="23"/>
  <c r="C5954" i="23"/>
  <c r="D5953" i="23"/>
  <c r="C5953" i="23"/>
  <c r="D5952" i="23"/>
  <c r="C5952" i="23"/>
  <c r="D5951" i="23"/>
  <c r="C5951" i="23"/>
  <c r="D5950" i="23"/>
  <c r="C5950" i="23"/>
  <c r="D5949" i="23"/>
  <c r="C5949" i="23"/>
  <c r="D5948" i="23"/>
  <c r="C5948" i="23"/>
  <c r="D5947" i="23"/>
  <c r="C5947" i="23"/>
  <c r="D5946" i="23"/>
  <c r="C5946" i="23"/>
  <c r="D5945" i="23"/>
  <c r="C5945" i="23"/>
  <c r="D5944" i="23"/>
  <c r="C5944" i="23"/>
  <c r="D5943" i="23"/>
  <c r="C5943" i="23"/>
  <c r="D5942" i="23"/>
  <c r="C5942" i="23"/>
  <c r="D5941" i="23"/>
  <c r="C5941" i="23"/>
  <c r="D5940" i="23"/>
  <c r="C5940" i="23"/>
  <c r="D5939" i="23"/>
  <c r="C5939" i="23"/>
  <c r="D5938" i="23"/>
  <c r="C5938" i="23"/>
  <c r="D5937" i="23"/>
  <c r="C5937" i="23"/>
  <c r="D5936" i="23"/>
  <c r="C5936" i="23"/>
  <c r="D5935" i="23"/>
  <c r="C5935" i="23"/>
  <c r="D5934" i="23"/>
  <c r="C5934" i="23"/>
  <c r="D5933" i="23"/>
  <c r="C5933" i="23"/>
  <c r="D5932" i="23"/>
  <c r="C5932" i="23"/>
  <c r="D5931" i="23"/>
  <c r="C5931" i="23"/>
  <c r="D5930" i="23"/>
  <c r="C5930" i="23"/>
  <c r="D5929" i="23"/>
  <c r="C5929" i="23"/>
  <c r="D5928" i="23"/>
  <c r="C5928" i="23"/>
  <c r="D5927" i="23"/>
  <c r="C5927" i="23"/>
  <c r="D5926" i="23"/>
  <c r="C5926" i="23"/>
  <c r="D5925" i="23"/>
  <c r="C5925" i="23"/>
  <c r="D5924" i="23"/>
  <c r="C5924" i="23"/>
  <c r="D5923" i="23"/>
  <c r="C5923" i="23"/>
  <c r="D5922" i="23"/>
  <c r="C5922" i="23"/>
  <c r="D5921" i="23"/>
  <c r="C5921" i="23"/>
  <c r="D5920" i="23"/>
  <c r="C5920" i="23"/>
  <c r="D5919" i="23"/>
  <c r="C5919" i="23"/>
  <c r="D5918" i="23"/>
  <c r="C5918" i="23"/>
  <c r="D5917" i="23"/>
  <c r="C5917" i="23"/>
  <c r="D5916" i="23"/>
  <c r="C5916" i="23"/>
  <c r="D5915" i="23"/>
  <c r="C5915" i="23"/>
  <c r="D5914" i="23"/>
  <c r="C5914" i="23"/>
  <c r="D5913" i="23"/>
  <c r="C5913" i="23"/>
  <c r="D5912" i="23"/>
  <c r="C5912" i="23"/>
  <c r="D5911" i="23"/>
  <c r="C5911" i="23"/>
  <c r="D5910" i="23"/>
  <c r="C5910" i="23"/>
  <c r="D5909" i="23"/>
  <c r="C5909" i="23"/>
  <c r="D5908" i="23"/>
  <c r="C5908" i="23"/>
  <c r="D5907" i="23"/>
  <c r="C5907" i="23"/>
  <c r="D5906" i="23"/>
  <c r="C5906" i="23"/>
  <c r="D5905" i="23"/>
  <c r="C5905" i="23"/>
  <c r="D5904" i="23"/>
  <c r="C5904" i="23"/>
  <c r="D5903" i="23"/>
  <c r="C5903" i="23"/>
  <c r="D5902" i="23"/>
  <c r="C5902" i="23"/>
  <c r="D5901" i="23"/>
  <c r="C5901" i="23"/>
  <c r="D5900" i="23"/>
  <c r="C5900" i="23"/>
  <c r="D5899" i="23"/>
  <c r="C5899" i="23"/>
  <c r="D5898" i="23"/>
  <c r="C5898" i="23"/>
  <c r="D5897" i="23"/>
  <c r="C5897" i="23"/>
  <c r="D5896" i="23"/>
  <c r="C5896" i="23"/>
  <c r="D5895" i="23"/>
  <c r="C5895" i="23"/>
  <c r="D5894" i="23"/>
  <c r="C5894" i="23"/>
  <c r="D5893" i="23"/>
  <c r="C5893" i="23"/>
  <c r="D5892" i="23"/>
  <c r="C5892" i="23"/>
  <c r="D5891" i="23"/>
  <c r="C5891" i="23"/>
  <c r="D5890" i="23"/>
  <c r="C5890" i="23"/>
  <c r="D5889" i="23"/>
  <c r="C5889" i="23"/>
  <c r="D5888" i="23"/>
  <c r="C5888" i="23"/>
  <c r="D5887" i="23"/>
  <c r="C5887" i="23"/>
  <c r="D5886" i="23"/>
  <c r="C5886" i="23"/>
  <c r="D5885" i="23"/>
  <c r="C5885" i="23"/>
  <c r="D5884" i="23"/>
  <c r="C5884" i="23"/>
  <c r="D5883" i="23"/>
  <c r="C5883" i="23"/>
  <c r="D5882" i="23"/>
  <c r="C5882" i="23"/>
  <c r="D5881" i="23"/>
  <c r="C5881" i="23"/>
  <c r="D5880" i="23"/>
  <c r="C5880" i="23"/>
  <c r="D5879" i="23"/>
  <c r="C5879" i="23"/>
  <c r="D5878" i="23"/>
  <c r="C5878" i="23"/>
  <c r="D5877" i="23"/>
  <c r="C5877" i="23"/>
  <c r="D5876" i="23"/>
  <c r="C5876" i="23"/>
  <c r="D5875" i="23"/>
  <c r="C5875" i="23"/>
  <c r="D5874" i="23"/>
  <c r="C5874" i="23"/>
  <c r="D5873" i="23"/>
  <c r="C5873" i="23"/>
  <c r="D5872" i="23"/>
  <c r="C5872" i="23"/>
  <c r="D5871" i="23"/>
  <c r="C5871" i="23"/>
  <c r="D5870" i="23"/>
  <c r="C5870" i="23"/>
  <c r="D5869" i="23"/>
  <c r="C5869" i="23"/>
  <c r="D5868" i="23"/>
  <c r="C5868" i="23"/>
  <c r="D5867" i="23"/>
  <c r="C5867" i="23"/>
  <c r="D5866" i="23"/>
  <c r="C5866" i="23"/>
  <c r="D5865" i="23"/>
  <c r="C5865" i="23"/>
  <c r="D5864" i="23"/>
  <c r="C5864" i="23"/>
  <c r="D5863" i="23"/>
  <c r="C5863" i="23"/>
  <c r="D5862" i="23"/>
  <c r="C5862" i="23"/>
  <c r="D5861" i="23"/>
  <c r="C5861" i="23"/>
  <c r="D5860" i="23"/>
  <c r="C5860" i="23"/>
  <c r="D5859" i="23"/>
  <c r="C5859" i="23"/>
  <c r="D5858" i="23"/>
  <c r="C5858" i="23"/>
  <c r="D5857" i="23"/>
  <c r="C5857" i="23"/>
  <c r="D5856" i="23"/>
  <c r="C5856" i="23"/>
  <c r="D5855" i="23"/>
  <c r="C5855" i="23"/>
  <c r="D5854" i="23"/>
  <c r="C5854" i="23"/>
  <c r="D5853" i="23"/>
  <c r="C5853" i="23"/>
  <c r="D5852" i="23"/>
  <c r="C5852" i="23"/>
  <c r="D5851" i="23"/>
  <c r="C5851" i="23"/>
  <c r="D5850" i="23"/>
  <c r="C5850" i="23"/>
  <c r="D5849" i="23"/>
  <c r="C5849" i="23"/>
  <c r="D5848" i="23"/>
  <c r="C5848" i="23"/>
  <c r="D5847" i="23"/>
  <c r="C5847" i="23"/>
  <c r="D5846" i="23"/>
  <c r="C5846" i="23"/>
  <c r="D5845" i="23"/>
  <c r="C5845" i="23"/>
  <c r="D5844" i="23"/>
  <c r="C5844" i="23"/>
  <c r="D5843" i="23"/>
  <c r="C5843" i="23"/>
  <c r="D5842" i="23"/>
  <c r="C5842" i="23"/>
  <c r="D5841" i="23"/>
  <c r="C5841" i="23"/>
  <c r="D5840" i="23"/>
  <c r="C5840" i="23"/>
  <c r="D5839" i="23"/>
  <c r="C5839" i="23"/>
  <c r="D5838" i="23"/>
  <c r="C5838" i="23"/>
  <c r="D5837" i="23"/>
  <c r="C5837" i="23"/>
  <c r="D5836" i="23"/>
  <c r="C5836" i="23"/>
  <c r="D5835" i="23"/>
  <c r="C5835" i="23"/>
  <c r="D5834" i="23"/>
  <c r="C5834" i="23"/>
  <c r="D5833" i="23"/>
  <c r="C5833" i="23"/>
  <c r="D5832" i="23"/>
  <c r="C5832" i="23"/>
  <c r="D5831" i="23"/>
  <c r="C5831" i="23"/>
  <c r="D5830" i="23"/>
  <c r="C5830" i="23"/>
  <c r="D5829" i="23"/>
  <c r="C5829" i="23"/>
  <c r="D5828" i="23"/>
  <c r="C5828" i="23"/>
  <c r="D5827" i="23"/>
  <c r="C5827" i="23"/>
  <c r="D5826" i="23"/>
  <c r="C5826" i="23"/>
  <c r="D5825" i="23"/>
  <c r="C5825" i="23"/>
  <c r="D5824" i="23"/>
  <c r="C5824" i="23"/>
  <c r="D5823" i="23"/>
  <c r="C5823" i="23"/>
  <c r="D5822" i="23"/>
  <c r="C5822" i="23"/>
  <c r="D5821" i="23"/>
  <c r="C5821" i="23"/>
  <c r="D5820" i="23"/>
  <c r="C5820" i="23"/>
  <c r="D5819" i="23"/>
  <c r="C5819" i="23"/>
  <c r="D5818" i="23"/>
  <c r="C5818" i="23"/>
  <c r="D5817" i="23"/>
  <c r="C5817" i="23"/>
  <c r="D5816" i="23"/>
  <c r="C5816" i="23"/>
  <c r="D5815" i="23"/>
  <c r="C5815" i="23"/>
  <c r="D5814" i="23"/>
  <c r="C5814" i="23"/>
  <c r="D5813" i="23"/>
  <c r="C5813" i="23"/>
  <c r="D5812" i="23"/>
  <c r="C5812" i="23"/>
  <c r="D5811" i="23"/>
  <c r="C5811" i="23"/>
  <c r="D5810" i="23"/>
  <c r="C5810" i="23"/>
  <c r="D5809" i="23"/>
  <c r="C5809" i="23"/>
  <c r="D5808" i="23"/>
  <c r="C5808" i="23"/>
  <c r="D5807" i="23"/>
  <c r="C5807" i="23"/>
  <c r="D5806" i="23"/>
  <c r="C5806" i="23"/>
  <c r="D5805" i="23"/>
  <c r="C5805" i="23"/>
  <c r="D5804" i="23"/>
  <c r="C5804" i="23"/>
  <c r="D5803" i="23"/>
  <c r="C5803" i="23"/>
  <c r="D5802" i="23"/>
  <c r="C5802" i="23"/>
  <c r="D5801" i="23"/>
  <c r="C5801" i="23"/>
  <c r="D5800" i="23"/>
  <c r="C5800" i="23"/>
  <c r="D5799" i="23"/>
  <c r="C5799" i="23"/>
  <c r="D5798" i="23"/>
  <c r="C5798" i="23"/>
  <c r="D5797" i="23"/>
  <c r="C5797" i="23"/>
  <c r="D5796" i="23"/>
  <c r="C5796" i="23"/>
  <c r="D5795" i="23"/>
  <c r="C5795" i="23"/>
  <c r="D5794" i="23"/>
  <c r="C5794" i="23"/>
  <c r="D5793" i="23"/>
  <c r="C5793" i="23"/>
  <c r="D5792" i="23"/>
  <c r="C5792" i="23"/>
  <c r="D5791" i="23"/>
  <c r="C5791" i="23"/>
  <c r="D5790" i="23"/>
  <c r="C5790" i="23"/>
  <c r="D5789" i="23"/>
  <c r="C5789" i="23"/>
  <c r="D5788" i="23"/>
  <c r="C5788" i="23"/>
  <c r="D5787" i="23"/>
  <c r="C5787" i="23"/>
  <c r="D5786" i="23"/>
  <c r="C5786" i="23"/>
  <c r="D5785" i="23"/>
  <c r="C5785" i="23"/>
  <c r="D5784" i="23"/>
  <c r="C5784" i="23"/>
  <c r="D5783" i="23"/>
  <c r="C5783" i="23"/>
  <c r="D5782" i="23"/>
  <c r="C5782" i="23"/>
  <c r="D5781" i="23"/>
  <c r="C5781" i="23"/>
  <c r="D5780" i="23"/>
  <c r="C5780" i="23"/>
  <c r="D5779" i="23"/>
  <c r="C5779" i="23"/>
  <c r="D5778" i="23"/>
  <c r="C5778" i="23"/>
  <c r="D5777" i="23"/>
  <c r="C5777" i="23"/>
  <c r="D5776" i="23"/>
  <c r="C5776" i="23"/>
  <c r="D5775" i="23"/>
  <c r="C5775" i="23"/>
  <c r="D5774" i="23"/>
  <c r="C5774" i="23"/>
  <c r="D5773" i="23"/>
  <c r="C5773" i="23"/>
  <c r="D5772" i="23"/>
  <c r="C5772" i="23"/>
  <c r="D5771" i="23"/>
  <c r="C5771" i="23"/>
  <c r="D5770" i="23"/>
  <c r="C5770" i="23"/>
  <c r="D5769" i="23"/>
  <c r="C5769" i="23"/>
  <c r="D5768" i="23"/>
  <c r="C5768" i="23"/>
  <c r="D5767" i="23"/>
  <c r="C5767" i="23"/>
  <c r="D5766" i="23"/>
  <c r="C5766" i="23"/>
  <c r="D5765" i="23"/>
  <c r="C5765" i="23"/>
  <c r="D5764" i="23"/>
  <c r="C5764" i="23"/>
  <c r="D5763" i="23"/>
  <c r="C5763" i="23"/>
  <c r="D5762" i="23"/>
  <c r="C5762" i="23"/>
  <c r="D5761" i="23"/>
  <c r="C5761" i="23"/>
  <c r="D5760" i="23"/>
  <c r="C5760" i="23"/>
  <c r="D5759" i="23"/>
  <c r="C5759" i="23"/>
  <c r="D5758" i="23"/>
  <c r="C5758" i="23"/>
  <c r="D5757" i="23"/>
  <c r="C5757" i="23"/>
  <c r="D5756" i="23"/>
  <c r="C5756" i="23"/>
  <c r="D5755" i="23"/>
  <c r="C5755" i="23"/>
  <c r="D5754" i="23"/>
  <c r="C5754" i="23"/>
  <c r="D5753" i="23"/>
  <c r="C5753" i="23"/>
  <c r="D5752" i="23"/>
  <c r="C5752" i="23"/>
  <c r="D5751" i="23"/>
  <c r="C5751" i="23"/>
  <c r="D5750" i="23"/>
  <c r="C5750" i="23"/>
  <c r="D5749" i="23"/>
  <c r="C5749" i="23"/>
  <c r="D5748" i="23"/>
  <c r="C5748" i="23"/>
  <c r="D5747" i="23"/>
  <c r="C5747" i="23"/>
  <c r="D5746" i="23"/>
  <c r="C5746" i="23"/>
  <c r="D5745" i="23"/>
  <c r="C5745" i="23"/>
  <c r="D5744" i="23"/>
  <c r="C5744" i="23"/>
  <c r="D5743" i="23"/>
  <c r="C5743" i="23"/>
  <c r="D5742" i="23"/>
  <c r="C5742" i="23"/>
  <c r="D5741" i="23"/>
  <c r="C5741" i="23"/>
  <c r="D5740" i="23"/>
  <c r="C5740" i="23"/>
  <c r="D5739" i="23"/>
  <c r="C5739" i="23"/>
  <c r="D5738" i="23"/>
  <c r="C5738" i="23"/>
  <c r="D5737" i="23"/>
  <c r="C5737" i="23"/>
  <c r="D5736" i="23"/>
  <c r="C5736" i="23"/>
  <c r="D5735" i="23"/>
  <c r="C5735" i="23"/>
  <c r="D5734" i="23"/>
  <c r="C5734" i="23"/>
  <c r="D5733" i="23"/>
  <c r="C5733" i="23"/>
  <c r="D5732" i="23"/>
  <c r="C5732" i="23"/>
  <c r="D5731" i="23"/>
  <c r="C5731" i="23"/>
  <c r="D5730" i="23"/>
  <c r="C5730" i="23"/>
  <c r="D5729" i="23"/>
  <c r="C5729" i="23"/>
  <c r="D5728" i="23"/>
  <c r="C5728" i="23"/>
  <c r="D5727" i="23"/>
  <c r="C5727" i="23"/>
  <c r="D5726" i="23"/>
  <c r="C5726" i="23"/>
  <c r="D5725" i="23"/>
  <c r="C5725" i="23"/>
  <c r="D5724" i="23"/>
  <c r="C5724" i="23"/>
  <c r="D5723" i="23"/>
  <c r="C5723" i="23"/>
  <c r="D5722" i="23"/>
  <c r="C5722" i="23"/>
  <c r="D5721" i="23"/>
  <c r="C5721" i="23"/>
  <c r="D5720" i="23"/>
  <c r="C5720" i="23"/>
  <c r="D5719" i="23"/>
  <c r="C5719" i="23"/>
  <c r="D5718" i="23"/>
  <c r="C5718" i="23"/>
  <c r="D5717" i="23"/>
  <c r="C5717" i="23"/>
  <c r="D5716" i="23"/>
  <c r="C5716" i="23"/>
  <c r="D5715" i="23"/>
  <c r="C5715" i="23"/>
  <c r="D5714" i="23"/>
  <c r="C5714" i="23"/>
  <c r="D5713" i="23"/>
  <c r="C5713" i="23"/>
  <c r="D5712" i="23"/>
  <c r="C5712" i="23"/>
  <c r="D5711" i="23"/>
  <c r="C5711" i="23"/>
  <c r="D5710" i="23"/>
  <c r="C5710" i="23"/>
  <c r="D5709" i="23"/>
  <c r="C5709" i="23"/>
  <c r="D5708" i="23"/>
  <c r="C5708" i="23"/>
  <c r="D5707" i="23"/>
  <c r="C5707" i="23"/>
  <c r="D5706" i="23"/>
  <c r="C5706" i="23"/>
  <c r="D5705" i="23"/>
  <c r="C5705" i="23"/>
  <c r="D5704" i="23"/>
  <c r="C5704" i="23"/>
  <c r="D5703" i="23"/>
  <c r="C5703" i="23"/>
  <c r="D5702" i="23"/>
  <c r="C5702" i="23"/>
  <c r="D5701" i="23"/>
  <c r="C5701" i="23"/>
  <c r="D5700" i="23"/>
  <c r="C5700" i="23"/>
  <c r="D5699" i="23"/>
  <c r="C5699" i="23"/>
  <c r="D5698" i="23"/>
  <c r="C5698" i="23"/>
  <c r="D5697" i="23"/>
  <c r="C5697" i="23"/>
  <c r="D5696" i="23"/>
  <c r="C5696" i="23"/>
  <c r="D5695" i="23"/>
  <c r="C5695" i="23"/>
  <c r="D5694" i="23"/>
  <c r="C5694" i="23"/>
  <c r="D5693" i="23"/>
  <c r="C5693" i="23"/>
  <c r="D5692" i="23"/>
  <c r="C5692" i="23"/>
  <c r="D5691" i="23"/>
  <c r="C5691" i="23"/>
  <c r="D5690" i="23"/>
  <c r="C5690" i="23"/>
  <c r="D5689" i="23"/>
  <c r="C5689" i="23"/>
  <c r="D5688" i="23"/>
  <c r="C5688" i="23"/>
  <c r="D5687" i="23"/>
  <c r="C5687" i="23"/>
  <c r="D5686" i="23"/>
  <c r="C5686" i="23"/>
  <c r="D5685" i="23"/>
  <c r="C5685" i="23"/>
  <c r="D5684" i="23"/>
  <c r="C5684" i="23"/>
  <c r="D5683" i="23"/>
  <c r="C5683" i="23"/>
  <c r="D5682" i="23"/>
  <c r="C5682" i="23"/>
  <c r="D5681" i="23"/>
  <c r="C5681" i="23"/>
  <c r="D5680" i="23"/>
  <c r="C5680" i="23"/>
  <c r="D5679" i="23"/>
  <c r="C5679" i="23"/>
  <c r="D5678" i="23"/>
  <c r="C5678" i="23"/>
  <c r="D5677" i="23"/>
  <c r="C5677" i="23"/>
  <c r="D5676" i="23"/>
  <c r="C5676" i="23"/>
  <c r="D5675" i="23"/>
  <c r="C5675" i="23"/>
  <c r="D5674" i="23"/>
  <c r="C5674" i="23"/>
  <c r="D5673" i="23"/>
  <c r="C5673" i="23"/>
  <c r="D5672" i="23"/>
  <c r="C5672" i="23"/>
  <c r="D5671" i="23"/>
  <c r="C5671" i="23"/>
  <c r="D5670" i="23"/>
  <c r="C5670" i="23"/>
  <c r="D5669" i="23"/>
  <c r="C5669" i="23"/>
  <c r="D5668" i="23"/>
  <c r="C5668" i="23"/>
  <c r="D5667" i="23"/>
  <c r="C5667" i="23"/>
  <c r="D5666" i="23"/>
  <c r="C5666" i="23"/>
  <c r="D5665" i="23"/>
  <c r="C5665" i="23"/>
  <c r="D5664" i="23"/>
  <c r="C5664" i="23"/>
  <c r="D5663" i="23"/>
  <c r="C5663" i="23"/>
  <c r="D5662" i="23"/>
  <c r="C5662" i="23"/>
  <c r="D5661" i="23"/>
  <c r="C5661" i="23"/>
  <c r="D5660" i="23"/>
  <c r="C5660" i="23"/>
  <c r="D5659" i="23"/>
  <c r="C5659" i="23"/>
  <c r="D5658" i="23"/>
  <c r="C5658" i="23"/>
  <c r="D5657" i="23"/>
  <c r="C5657" i="23"/>
  <c r="D5656" i="23"/>
  <c r="C5656" i="23"/>
  <c r="D5655" i="23"/>
  <c r="C5655" i="23"/>
  <c r="D5654" i="23"/>
  <c r="C5654" i="23"/>
  <c r="D5653" i="23"/>
  <c r="C5653" i="23"/>
  <c r="D5652" i="23"/>
  <c r="C5652" i="23"/>
  <c r="D5651" i="23"/>
  <c r="C5651" i="23"/>
  <c r="D5650" i="23"/>
  <c r="C5650" i="23"/>
  <c r="D5649" i="23"/>
  <c r="C5649" i="23"/>
  <c r="D5648" i="23"/>
  <c r="C5648" i="23"/>
  <c r="D5647" i="23"/>
  <c r="C5647" i="23"/>
  <c r="D5646" i="23"/>
  <c r="C5646" i="23"/>
  <c r="D5645" i="23"/>
  <c r="C5645" i="23"/>
  <c r="D5644" i="23"/>
  <c r="C5644" i="23"/>
  <c r="D5643" i="23"/>
  <c r="C5643" i="23"/>
  <c r="D5642" i="23"/>
  <c r="C5642" i="23"/>
  <c r="D5641" i="23"/>
  <c r="C5641" i="23"/>
  <c r="D5640" i="23"/>
  <c r="C5640" i="23"/>
  <c r="D5639" i="23"/>
  <c r="C5639" i="23"/>
  <c r="D5638" i="23"/>
  <c r="C5638" i="23"/>
  <c r="D5637" i="23"/>
  <c r="C5637" i="23"/>
  <c r="D5636" i="23"/>
  <c r="C5636" i="23"/>
  <c r="D5635" i="23"/>
  <c r="C5635" i="23"/>
  <c r="D5634" i="23"/>
  <c r="C5634" i="23"/>
  <c r="D5633" i="23"/>
  <c r="C5633" i="23"/>
  <c r="D5632" i="23"/>
  <c r="C5632" i="23"/>
  <c r="D5631" i="23"/>
  <c r="C5631" i="23"/>
  <c r="D5630" i="23"/>
  <c r="C5630" i="23"/>
  <c r="D5629" i="23"/>
  <c r="C5629" i="23"/>
  <c r="D5628" i="23"/>
  <c r="C5628" i="23"/>
  <c r="D5627" i="23"/>
  <c r="C5627" i="23"/>
  <c r="D5626" i="23"/>
  <c r="C5626" i="23"/>
  <c r="D5625" i="23"/>
  <c r="C5625" i="23"/>
  <c r="D5624" i="23"/>
  <c r="C5624" i="23"/>
  <c r="D5623" i="23"/>
  <c r="C5623" i="23"/>
  <c r="D5622" i="23"/>
  <c r="C5622" i="23"/>
  <c r="D5621" i="23"/>
  <c r="C5621" i="23"/>
  <c r="D5620" i="23"/>
  <c r="C5620" i="23"/>
  <c r="D5619" i="23"/>
  <c r="C5619" i="23"/>
  <c r="D5618" i="23"/>
  <c r="C5618" i="23"/>
  <c r="D5617" i="23"/>
  <c r="C5617" i="23"/>
  <c r="D5616" i="23"/>
  <c r="C5616" i="23"/>
  <c r="D5615" i="23"/>
  <c r="C5615" i="23"/>
  <c r="D5614" i="23"/>
  <c r="C5614" i="23"/>
  <c r="D5613" i="23"/>
  <c r="C5613" i="23"/>
  <c r="D5612" i="23"/>
  <c r="C5612" i="23"/>
  <c r="D5611" i="23"/>
  <c r="C5611" i="23"/>
  <c r="D5610" i="23"/>
  <c r="C5610" i="23"/>
  <c r="D5609" i="23"/>
  <c r="C5609" i="23"/>
  <c r="D5608" i="23"/>
  <c r="C5608" i="23"/>
  <c r="D5607" i="23"/>
  <c r="C5607" i="23"/>
  <c r="D5606" i="23"/>
  <c r="C5606" i="23"/>
  <c r="D5605" i="23"/>
  <c r="C5605" i="23"/>
  <c r="D5604" i="23"/>
  <c r="C5604" i="23"/>
  <c r="D5603" i="23"/>
  <c r="C5603" i="23"/>
  <c r="D5602" i="23"/>
  <c r="C5602" i="23"/>
  <c r="D5601" i="23"/>
  <c r="C5601" i="23"/>
  <c r="D5600" i="23"/>
  <c r="C5600" i="23"/>
  <c r="D5599" i="23"/>
  <c r="C5599" i="23"/>
  <c r="D5598" i="23"/>
  <c r="C5598" i="23"/>
  <c r="D5597" i="23"/>
  <c r="C5597" i="23"/>
  <c r="D5596" i="23"/>
  <c r="C5596" i="23"/>
  <c r="D5595" i="23"/>
  <c r="C5595" i="23"/>
  <c r="D5594" i="23"/>
  <c r="C5594" i="23"/>
  <c r="D5593" i="23"/>
  <c r="C5593" i="23"/>
  <c r="D5592" i="23"/>
  <c r="C5592" i="23"/>
  <c r="D5591" i="23"/>
  <c r="C5591" i="23"/>
  <c r="D5590" i="23"/>
  <c r="C5590" i="23"/>
  <c r="D5589" i="23"/>
  <c r="C5589" i="23"/>
  <c r="D5588" i="23"/>
  <c r="C5588" i="23"/>
  <c r="D5587" i="23"/>
  <c r="C5587" i="23"/>
  <c r="D5586" i="23"/>
  <c r="C5586" i="23"/>
  <c r="D5585" i="23"/>
  <c r="C5585" i="23"/>
  <c r="D5584" i="23"/>
  <c r="C5584" i="23"/>
  <c r="D5583" i="23"/>
  <c r="C5583" i="23"/>
  <c r="D5582" i="23"/>
  <c r="C5582" i="23"/>
  <c r="D5581" i="23"/>
  <c r="C5581" i="23"/>
  <c r="D5580" i="23"/>
  <c r="C5580" i="23"/>
  <c r="D5579" i="23"/>
  <c r="C5579" i="23"/>
  <c r="D5578" i="23"/>
  <c r="C5578" i="23"/>
  <c r="D5577" i="23"/>
  <c r="C5577" i="23"/>
  <c r="D5576" i="23"/>
  <c r="C5576" i="23"/>
  <c r="D5575" i="23"/>
  <c r="C5575" i="23"/>
  <c r="D5574" i="23"/>
  <c r="C5574" i="23"/>
  <c r="D5573" i="23"/>
  <c r="C5573" i="23"/>
  <c r="D5572" i="23"/>
  <c r="C5572" i="23"/>
  <c r="D5571" i="23"/>
  <c r="C5571" i="23"/>
  <c r="D5570" i="23"/>
  <c r="C5570" i="23"/>
  <c r="D5569" i="23"/>
  <c r="C5569" i="23"/>
  <c r="D5568" i="23"/>
  <c r="C5568" i="23"/>
  <c r="D5567" i="23"/>
  <c r="C5567" i="23"/>
  <c r="D5566" i="23"/>
  <c r="C5566" i="23"/>
  <c r="D5565" i="23"/>
  <c r="C5565" i="23"/>
  <c r="D5564" i="23"/>
  <c r="C5564" i="23"/>
  <c r="D5563" i="23"/>
  <c r="C5563" i="23"/>
  <c r="D5562" i="23"/>
  <c r="C5562" i="23"/>
  <c r="D5561" i="23"/>
  <c r="C5561" i="23"/>
  <c r="D5560" i="23"/>
  <c r="C5560" i="23"/>
  <c r="D5559" i="23"/>
  <c r="C5559" i="23"/>
  <c r="D5558" i="23"/>
  <c r="C5558" i="23"/>
  <c r="D5557" i="23"/>
  <c r="C5557" i="23"/>
  <c r="D5556" i="23"/>
  <c r="C5556" i="23"/>
  <c r="D5555" i="23"/>
  <c r="C5555" i="23"/>
  <c r="D5554" i="23"/>
  <c r="C5554" i="23"/>
  <c r="D5553" i="23"/>
  <c r="C5553" i="23"/>
  <c r="D5552" i="23"/>
  <c r="C5552" i="23"/>
  <c r="D5551" i="23"/>
  <c r="C5551" i="23"/>
  <c r="D5550" i="23"/>
  <c r="C5550" i="23"/>
  <c r="D5549" i="23"/>
  <c r="C5549" i="23"/>
  <c r="D5548" i="23"/>
  <c r="C5548" i="23"/>
  <c r="D5547" i="23"/>
  <c r="C5547" i="23"/>
  <c r="D5546" i="23"/>
  <c r="C5546" i="23"/>
  <c r="D5545" i="23"/>
  <c r="C5545" i="23"/>
  <c r="D5544" i="23"/>
  <c r="C5544" i="23"/>
  <c r="D5543" i="23"/>
  <c r="C5543" i="23"/>
  <c r="D5542" i="23"/>
  <c r="C5542" i="23"/>
  <c r="D5541" i="23"/>
  <c r="C5541" i="23"/>
  <c r="D5540" i="23"/>
  <c r="C5540" i="23"/>
  <c r="D5539" i="23"/>
  <c r="C5539" i="23"/>
  <c r="D5538" i="23"/>
  <c r="C5538" i="23"/>
  <c r="D5537" i="23"/>
  <c r="C5537" i="23"/>
  <c r="D5536" i="23"/>
  <c r="C5536" i="23"/>
  <c r="D5535" i="23"/>
  <c r="C5535" i="23"/>
  <c r="D5534" i="23"/>
  <c r="C5534" i="23"/>
  <c r="D5533" i="23"/>
  <c r="C5533" i="23"/>
  <c r="D5532" i="23"/>
  <c r="C5532" i="23"/>
  <c r="D5531" i="23"/>
  <c r="C5531" i="23"/>
  <c r="D5530" i="23"/>
  <c r="C5530" i="23"/>
  <c r="D5529" i="23"/>
  <c r="C5529" i="23"/>
  <c r="D5528" i="23"/>
  <c r="C5528" i="23"/>
  <c r="D5527" i="23"/>
  <c r="C5527" i="23"/>
  <c r="D5526" i="23"/>
  <c r="C5526" i="23"/>
  <c r="D5525" i="23"/>
  <c r="C5525" i="23"/>
  <c r="D5524" i="23"/>
  <c r="C5524" i="23"/>
  <c r="D5523" i="23"/>
  <c r="C5523" i="23"/>
  <c r="D5522" i="23"/>
  <c r="C5522" i="23"/>
  <c r="D5521" i="23"/>
  <c r="C5521" i="23"/>
  <c r="D5520" i="23"/>
  <c r="C5520" i="23"/>
  <c r="D5519" i="23"/>
  <c r="C5519" i="23"/>
  <c r="D5518" i="23"/>
  <c r="C5518" i="23"/>
  <c r="D5517" i="23"/>
  <c r="C5517" i="23"/>
  <c r="D5516" i="23"/>
  <c r="C5516" i="23"/>
  <c r="D5515" i="23"/>
  <c r="C5515" i="23"/>
  <c r="D5514" i="23"/>
  <c r="C5514" i="23"/>
  <c r="D5513" i="23"/>
  <c r="C5513" i="23"/>
  <c r="D5512" i="23"/>
  <c r="C5512" i="23"/>
  <c r="D5511" i="23"/>
  <c r="C5511" i="23"/>
  <c r="D5510" i="23"/>
  <c r="C5510" i="23"/>
  <c r="D5509" i="23"/>
  <c r="C5509" i="23"/>
  <c r="D5508" i="23"/>
  <c r="C5508" i="23"/>
  <c r="D5507" i="23"/>
  <c r="C5507" i="23"/>
  <c r="D5506" i="23"/>
  <c r="C5506" i="23"/>
  <c r="D5505" i="23"/>
  <c r="C5505" i="23"/>
  <c r="D5504" i="23"/>
  <c r="C5504" i="23"/>
  <c r="D5503" i="23"/>
  <c r="C5503" i="23"/>
  <c r="D5502" i="23"/>
  <c r="C5502" i="23"/>
  <c r="D5501" i="23"/>
  <c r="C5501" i="23"/>
  <c r="D5500" i="23"/>
  <c r="C5500" i="23"/>
  <c r="D5499" i="23"/>
  <c r="C5499" i="23"/>
  <c r="D5498" i="23"/>
  <c r="C5498" i="23"/>
  <c r="D5497" i="23"/>
  <c r="C5497" i="23"/>
  <c r="D5496" i="23"/>
  <c r="C5496" i="23"/>
  <c r="D5495" i="23"/>
  <c r="C5495" i="23"/>
  <c r="D5494" i="23"/>
  <c r="C5494" i="23"/>
  <c r="D5493" i="23"/>
  <c r="C5493" i="23"/>
  <c r="D5492" i="23"/>
  <c r="C5492" i="23"/>
  <c r="D5491" i="23"/>
  <c r="C5491" i="23"/>
  <c r="D5490" i="23"/>
  <c r="C5490" i="23"/>
  <c r="D5489" i="23"/>
  <c r="C5489" i="23"/>
  <c r="D5488" i="23"/>
  <c r="C5488" i="23"/>
  <c r="D5487" i="23"/>
  <c r="C5487" i="23"/>
  <c r="D5486" i="23"/>
  <c r="C5486" i="23"/>
  <c r="D5485" i="23"/>
  <c r="C5485" i="23"/>
  <c r="D5484" i="23"/>
  <c r="C5484" i="23"/>
  <c r="D5483" i="23"/>
  <c r="C5483" i="23"/>
  <c r="D5482" i="23"/>
  <c r="C5482" i="23"/>
  <c r="D5481" i="23"/>
  <c r="C5481" i="23"/>
  <c r="D5480" i="23"/>
  <c r="C5480" i="23"/>
  <c r="D5479" i="23"/>
  <c r="C5479" i="23"/>
  <c r="D5478" i="23"/>
  <c r="C5478" i="23"/>
  <c r="D5477" i="23"/>
  <c r="C5477" i="23"/>
  <c r="D5476" i="23"/>
  <c r="C5476" i="23"/>
  <c r="D5475" i="23"/>
  <c r="C5475" i="23"/>
  <c r="D5474" i="23"/>
  <c r="C5474" i="23"/>
  <c r="D5473" i="23"/>
  <c r="C5473" i="23"/>
  <c r="D5472" i="23"/>
  <c r="C5472" i="23"/>
  <c r="D5471" i="23"/>
  <c r="C5471" i="23"/>
  <c r="D5470" i="23"/>
  <c r="C5470" i="23"/>
  <c r="D5469" i="23"/>
  <c r="C5469" i="23"/>
  <c r="D5468" i="23"/>
  <c r="C5468" i="23"/>
  <c r="D5467" i="23"/>
  <c r="C5467" i="23"/>
  <c r="D5466" i="23"/>
  <c r="C5466" i="23"/>
  <c r="D5465" i="23"/>
  <c r="C5465" i="23"/>
  <c r="D5464" i="23"/>
  <c r="C5464" i="23"/>
  <c r="D5463" i="23"/>
  <c r="C5463" i="23"/>
  <c r="D5462" i="23"/>
  <c r="C5462" i="23"/>
  <c r="D5461" i="23"/>
  <c r="C5461" i="23"/>
  <c r="D5460" i="23"/>
  <c r="C5460" i="23"/>
  <c r="D5459" i="23"/>
  <c r="C5459" i="23"/>
  <c r="D5458" i="23"/>
  <c r="C5458" i="23"/>
  <c r="D5457" i="23"/>
  <c r="C5457" i="23"/>
  <c r="D5456" i="23"/>
  <c r="C5456" i="23"/>
  <c r="D5455" i="23"/>
  <c r="C5455" i="23"/>
  <c r="D5454" i="23"/>
  <c r="C5454" i="23"/>
  <c r="D5453" i="23"/>
  <c r="C5453" i="23"/>
  <c r="D5452" i="23"/>
  <c r="C5452" i="23"/>
  <c r="D5451" i="23"/>
  <c r="C5451" i="23"/>
  <c r="D5450" i="23"/>
  <c r="C5450" i="23"/>
  <c r="D5449" i="23"/>
  <c r="C5449" i="23"/>
  <c r="D5448" i="23"/>
  <c r="C5448" i="23"/>
  <c r="D5447" i="23"/>
  <c r="C5447" i="23"/>
  <c r="D5446" i="23"/>
  <c r="C5446" i="23"/>
  <c r="D5445" i="23"/>
  <c r="C5445" i="23"/>
  <c r="D5444" i="23"/>
  <c r="C5444" i="23"/>
  <c r="D5443" i="23"/>
  <c r="C5443" i="23"/>
  <c r="D5442" i="23"/>
  <c r="C5442" i="23"/>
  <c r="D5441" i="23"/>
  <c r="C5441" i="23"/>
  <c r="D5440" i="23"/>
  <c r="C5440" i="23"/>
  <c r="D5439" i="23"/>
  <c r="C5439" i="23"/>
  <c r="D5438" i="23"/>
  <c r="C5438" i="23"/>
  <c r="D5437" i="23"/>
  <c r="C5437" i="23"/>
  <c r="D5436" i="23"/>
  <c r="C5436" i="23"/>
  <c r="D5435" i="23"/>
  <c r="C5435" i="23"/>
  <c r="D5434" i="23"/>
  <c r="C5434" i="23"/>
  <c r="D5433" i="23"/>
  <c r="C5433" i="23"/>
  <c r="D5432" i="23"/>
  <c r="C5432" i="23"/>
  <c r="D5431" i="23"/>
  <c r="C5431" i="23"/>
  <c r="D5430" i="23"/>
  <c r="C5430" i="23"/>
  <c r="D5429" i="23"/>
  <c r="C5429" i="23"/>
  <c r="D5428" i="23"/>
  <c r="C5428" i="23"/>
  <c r="D5427" i="23"/>
  <c r="C5427" i="23"/>
  <c r="D5426" i="23"/>
  <c r="C5426" i="23"/>
  <c r="D5425" i="23"/>
  <c r="C5425" i="23"/>
  <c r="D5424" i="23"/>
  <c r="C5424" i="23"/>
  <c r="D5423" i="23"/>
  <c r="C5423" i="23"/>
  <c r="D5422" i="23"/>
  <c r="C5422" i="23"/>
  <c r="D5421" i="23"/>
  <c r="C5421" i="23"/>
  <c r="D5420" i="23"/>
  <c r="C5420" i="23"/>
  <c r="D5419" i="23"/>
  <c r="C5419" i="23"/>
  <c r="D5418" i="23"/>
  <c r="C5418" i="23"/>
  <c r="D5417" i="23"/>
  <c r="C5417" i="23"/>
  <c r="D5416" i="23"/>
  <c r="C5416" i="23"/>
  <c r="D5415" i="23"/>
  <c r="C5415" i="23"/>
  <c r="D5414" i="23"/>
  <c r="C5414" i="23"/>
  <c r="D5413" i="23"/>
  <c r="C5413" i="23"/>
  <c r="D5412" i="23"/>
  <c r="C5412" i="23"/>
  <c r="D5411" i="23"/>
  <c r="C5411" i="23"/>
  <c r="D5410" i="23"/>
  <c r="C5410" i="23"/>
  <c r="D5409" i="23"/>
  <c r="C5409" i="23"/>
  <c r="D5408" i="23"/>
  <c r="C5408" i="23"/>
  <c r="D5407" i="23"/>
  <c r="C5407" i="23"/>
  <c r="D5406" i="23"/>
  <c r="C5406" i="23"/>
  <c r="D5405" i="23"/>
  <c r="C5405" i="23"/>
  <c r="D5404" i="23"/>
  <c r="C5404" i="23"/>
  <c r="D5403" i="23"/>
  <c r="C5403" i="23"/>
  <c r="D5402" i="23"/>
  <c r="C5402" i="23"/>
  <c r="D5401" i="23"/>
  <c r="C5401" i="23"/>
  <c r="D5400" i="23"/>
  <c r="C5400" i="23"/>
  <c r="D5399" i="23"/>
  <c r="C5399" i="23"/>
  <c r="D5398" i="23"/>
  <c r="C5398" i="23"/>
  <c r="D5397" i="23"/>
  <c r="C5397" i="23"/>
  <c r="D5396" i="23"/>
  <c r="C5396" i="23"/>
  <c r="D5395" i="23"/>
  <c r="C5395" i="23"/>
  <c r="D5394" i="23"/>
  <c r="C5394" i="23"/>
  <c r="D5393" i="23"/>
  <c r="C5393" i="23"/>
  <c r="D5392" i="23"/>
  <c r="C5392" i="23"/>
  <c r="D5391" i="23"/>
  <c r="C5391" i="23"/>
  <c r="D5390" i="23"/>
  <c r="C5390" i="23"/>
  <c r="D5389" i="23"/>
  <c r="C5389" i="23"/>
  <c r="D5388" i="23"/>
  <c r="C5388" i="23"/>
  <c r="D5387" i="23"/>
  <c r="C5387" i="23"/>
  <c r="D5386" i="23"/>
  <c r="C5386" i="23"/>
  <c r="D5385" i="23"/>
  <c r="C5385" i="23"/>
  <c r="D5384" i="23"/>
  <c r="C5384" i="23"/>
  <c r="D5383" i="23"/>
  <c r="C5383" i="23"/>
  <c r="D5382" i="23"/>
  <c r="C5382" i="23"/>
  <c r="D5381" i="23"/>
  <c r="C5381" i="23"/>
  <c r="D5380" i="23"/>
  <c r="C5380" i="23"/>
  <c r="D5379" i="23"/>
  <c r="C5379" i="23"/>
  <c r="D5378" i="23"/>
  <c r="C5378" i="23"/>
  <c r="D5377" i="23"/>
  <c r="C5377" i="23"/>
  <c r="D5376" i="23"/>
  <c r="C5376" i="23"/>
  <c r="D5375" i="23"/>
  <c r="C5375" i="23"/>
  <c r="D5374" i="23"/>
  <c r="C5374" i="23"/>
  <c r="D5373" i="23"/>
  <c r="C5373" i="23"/>
  <c r="D5372" i="23"/>
  <c r="C5372" i="23"/>
  <c r="D5371" i="23"/>
  <c r="C5371" i="23"/>
  <c r="D5370" i="23"/>
  <c r="C5370" i="23"/>
  <c r="D5369" i="23"/>
  <c r="C5369" i="23"/>
  <c r="D5368" i="23"/>
  <c r="C5368" i="23"/>
  <c r="D5367" i="23"/>
  <c r="C5367" i="23"/>
  <c r="D5366" i="23"/>
  <c r="C5366" i="23"/>
  <c r="D5365" i="23"/>
  <c r="C5365" i="23"/>
  <c r="D5364" i="23"/>
  <c r="C5364" i="23"/>
  <c r="D5363" i="23"/>
  <c r="C5363" i="23"/>
  <c r="D5362" i="23"/>
  <c r="C5362" i="23"/>
  <c r="D5361" i="23"/>
  <c r="C5361" i="23"/>
  <c r="D5360" i="23"/>
  <c r="C5360" i="23"/>
  <c r="D5359" i="23"/>
  <c r="C5359" i="23"/>
  <c r="D5358" i="23"/>
  <c r="C5358" i="23"/>
  <c r="D5357" i="23"/>
  <c r="C5357" i="23"/>
  <c r="D5356" i="23"/>
  <c r="C5356" i="23"/>
  <c r="D5355" i="23"/>
  <c r="C5355" i="23"/>
  <c r="D5354" i="23"/>
  <c r="C5354" i="23"/>
  <c r="D5353" i="23"/>
  <c r="C5353" i="23"/>
  <c r="D5352" i="23"/>
  <c r="C5352" i="23"/>
  <c r="D5351" i="23"/>
  <c r="C5351" i="23"/>
  <c r="D5350" i="23"/>
  <c r="C5350" i="23"/>
  <c r="D5349" i="23"/>
  <c r="C5349" i="23"/>
  <c r="D5348" i="23"/>
  <c r="C5348" i="23"/>
  <c r="D5347" i="23"/>
  <c r="C5347" i="23"/>
  <c r="D5346" i="23"/>
  <c r="C5346" i="23"/>
  <c r="D5345" i="23"/>
  <c r="C5345" i="23"/>
  <c r="D5344" i="23"/>
  <c r="C5344" i="23"/>
  <c r="D5343" i="23"/>
  <c r="C5343" i="23"/>
  <c r="D5342" i="23"/>
  <c r="C5342" i="23"/>
  <c r="D5341" i="23"/>
  <c r="C5341" i="23"/>
  <c r="D5340" i="23"/>
  <c r="C5340" i="23"/>
  <c r="D5339" i="23"/>
  <c r="C5339" i="23"/>
  <c r="D5338" i="23"/>
  <c r="C5338" i="23"/>
  <c r="D5337" i="23"/>
  <c r="C5337" i="23"/>
  <c r="D5336" i="23"/>
  <c r="C5336" i="23"/>
  <c r="D5335" i="23"/>
  <c r="C5335" i="23"/>
  <c r="D5334" i="23"/>
  <c r="C5334" i="23"/>
  <c r="D5333" i="23"/>
  <c r="C5333" i="23"/>
  <c r="D5332" i="23"/>
  <c r="C5332" i="23"/>
  <c r="D5331" i="23"/>
  <c r="C5331" i="23"/>
  <c r="D5330" i="23"/>
  <c r="C5330" i="23"/>
  <c r="D5329" i="23"/>
  <c r="C5329" i="23"/>
  <c r="D5328" i="23"/>
  <c r="C5328" i="23"/>
  <c r="D5327" i="23"/>
  <c r="C5327" i="23"/>
  <c r="D5326" i="23"/>
  <c r="C5326" i="23"/>
  <c r="D5325" i="23"/>
  <c r="C5325" i="23"/>
  <c r="D5324" i="23"/>
  <c r="C5324" i="23"/>
  <c r="D5323" i="23"/>
  <c r="C5323" i="23"/>
  <c r="D5322" i="23"/>
  <c r="C5322" i="23"/>
  <c r="D5321" i="23"/>
  <c r="C5321" i="23"/>
  <c r="D5320" i="23"/>
  <c r="C5320" i="23"/>
  <c r="D5319" i="23"/>
  <c r="C5319" i="23"/>
  <c r="D5318" i="23"/>
  <c r="C5318" i="23"/>
  <c r="D5317" i="23"/>
  <c r="C5317" i="23"/>
  <c r="D5316" i="23"/>
  <c r="C5316" i="23"/>
  <c r="D5315" i="23"/>
  <c r="C5315" i="23"/>
  <c r="D5314" i="23"/>
  <c r="C5314" i="23"/>
  <c r="D5313" i="23"/>
  <c r="C5313" i="23"/>
  <c r="D5312" i="23"/>
  <c r="C5312" i="23"/>
  <c r="D5311" i="23"/>
  <c r="C5311" i="23"/>
  <c r="D5310" i="23"/>
  <c r="C5310" i="23"/>
  <c r="D5309" i="23"/>
  <c r="C5309" i="23"/>
  <c r="D5308" i="23"/>
  <c r="C5308" i="23"/>
  <c r="D5307" i="23"/>
  <c r="C5307" i="23"/>
  <c r="D5306" i="23"/>
  <c r="C5306" i="23"/>
  <c r="D5305" i="23"/>
  <c r="C5305" i="23"/>
  <c r="D5304" i="23"/>
  <c r="C5304" i="23"/>
  <c r="D5303" i="23"/>
  <c r="C5303" i="23"/>
  <c r="D5302" i="23"/>
  <c r="C5302" i="23"/>
  <c r="D5301" i="23"/>
  <c r="C5301" i="23"/>
  <c r="D5300" i="23"/>
  <c r="C5300" i="23"/>
  <c r="D5299" i="23"/>
  <c r="C5299" i="23"/>
  <c r="D5298" i="23"/>
  <c r="C5298" i="23"/>
  <c r="D5297" i="23"/>
  <c r="C5297" i="23"/>
  <c r="D5296" i="23"/>
  <c r="C5296" i="23"/>
  <c r="D5295" i="23"/>
  <c r="C5295" i="23"/>
  <c r="D5294" i="23"/>
  <c r="C5294" i="23"/>
  <c r="D5293" i="23"/>
  <c r="C5293" i="23"/>
  <c r="D5292" i="23"/>
  <c r="C5292" i="23"/>
  <c r="D5291" i="23"/>
  <c r="C5291" i="23"/>
  <c r="D5290" i="23"/>
  <c r="C5290" i="23"/>
  <c r="D5289" i="23"/>
  <c r="C5289" i="23"/>
  <c r="D5288" i="23"/>
  <c r="C5288" i="23"/>
  <c r="D5287" i="23"/>
  <c r="C5287" i="23"/>
  <c r="D5286" i="23"/>
  <c r="C5286" i="23"/>
  <c r="D5285" i="23"/>
  <c r="C5285" i="23"/>
  <c r="D5284" i="23"/>
  <c r="C5284" i="23"/>
  <c r="D5283" i="23"/>
  <c r="C5283" i="23"/>
  <c r="D5282" i="23"/>
  <c r="C5282" i="23"/>
  <c r="D5281" i="23"/>
  <c r="C5281" i="23"/>
  <c r="D5280" i="23"/>
  <c r="C5280" i="23"/>
  <c r="D5279" i="23"/>
  <c r="C5279" i="23"/>
  <c r="D5278" i="23"/>
  <c r="C5278" i="23"/>
  <c r="D5277" i="23"/>
  <c r="C5277" i="23"/>
  <c r="D5276" i="23"/>
  <c r="C5276" i="23"/>
  <c r="D5275" i="23"/>
  <c r="C5275" i="23"/>
  <c r="D5274" i="23"/>
  <c r="C5274" i="23"/>
  <c r="D5273" i="23"/>
  <c r="C5273" i="23"/>
  <c r="D5272" i="23"/>
  <c r="C5272" i="23"/>
  <c r="D5271" i="23"/>
  <c r="C5271" i="23"/>
  <c r="D5270" i="23"/>
  <c r="C5270" i="23"/>
  <c r="D5269" i="23"/>
  <c r="C5269" i="23"/>
  <c r="D5268" i="23"/>
  <c r="C5268" i="23"/>
  <c r="D5267" i="23"/>
  <c r="C5267" i="23"/>
  <c r="D5266" i="23"/>
  <c r="C5266" i="23"/>
  <c r="D5265" i="23"/>
  <c r="C5265" i="23"/>
  <c r="D5264" i="23"/>
  <c r="C5264" i="23"/>
  <c r="D5263" i="23"/>
  <c r="C5263" i="23"/>
  <c r="D5262" i="23"/>
  <c r="C5262" i="23"/>
  <c r="D5261" i="23"/>
  <c r="C5261" i="23"/>
  <c r="D5260" i="23"/>
  <c r="C5260" i="23"/>
  <c r="D5259" i="23"/>
  <c r="C5259" i="23"/>
  <c r="D5258" i="23"/>
  <c r="C5258" i="23"/>
  <c r="D5257" i="23"/>
  <c r="C5257" i="23"/>
  <c r="D5256" i="23"/>
  <c r="C5256" i="23"/>
  <c r="D5255" i="23"/>
  <c r="C5255" i="23"/>
  <c r="D5254" i="23"/>
  <c r="C5254" i="23"/>
  <c r="D5253" i="23"/>
  <c r="C5253" i="23"/>
  <c r="D5252" i="23"/>
  <c r="C5252" i="23"/>
  <c r="D5251" i="23"/>
  <c r="C5251" i="23"/>
  <c r="D5250" i="23"/>
  <c r="C5250" i="23"/>
  <c r="D5249" i="23"/>
  <c r="C5249" i="23"/>
  <c r="D5248" i="23"/>
  <c r="C5248" i="23"/>
  <c r="D5247" i="23"/>
  <c r="C5247" i="23"/>
  <c r="D5246" i="23"/>
  <c r="C5246" i="23"/>
  <c r="D5245" i="23"/>
  <c r="C5245" i="23"/>
  <c r="D5244" i="23"/>
  <c r="C5244" i="23"/>
  <c r="D5243" i="23"/>
  <c r="C5243" i="23"/>
  <c r="D5242" i="23"/>
  <c r="C5242" i="23"/>
  <c r="D5241" i="23"/>
  <c r="C5241" i="23"/>
  <c r="D5240" i="23"/>
  <c r="C5240" i="23"/>
  <c r="D5239" i="23"/>
  <c r="C5239" i="23"/>
  <c r="D5238" i="23"/>
  <c r="C5238" i="23"/>
  <c r="D5237" i="23"/>
  <c r="C5237" i="23"/>
  <c r="D5236" i="23"/>
  <c r="C5236" i="23"/>
  <c r="D5235" i="23"/>
  <c r="C5235" i="23"/>
  <c r="D5234" i="23"/>
  <c r="C5234" i="23"/>
  <c r="D5233" i="23"/>
  <c r="C5233" i="23"/>
  <c r="D5232" i="23"/>
  <c r="C5232" i="23"/>
  <c r="D5231" i="23"/>
  <c r="C5231" i="23"/>
  <c r="D5230" i="23"/>
  <c r="C5230" i="23"/>
  <c r="D5229" i="23"/>
  <c r="C5229" i="23"/>
  <c r="D5228" i="23"/>
  <c r="C5228" i="23"/>
  <c r="D5227" i="23"/>
  <c r="C5227" i="23"/>
  <c r="D5226" i="23"/>
  <c r="C5226" i="23"/>
  <c r="D5225" i="23"/>
  <c r="C5225" i="23"/>
  <c r="D5224" i="23"/>
  <c r="C5224" i="23"/>
  <c r="D5223" i="23"/>
  <c r="C5223" i="23"/>
  <c r="D5222" i="23"/>
  <c r="C5222" i="23"/>
  <c r="D5221" i="23"/>
  <c r="C5221" i="23"/>
  <c r="D5220" i="23"/>
  <c r="C5220" i="23"/>
  <c r="D5219" i="23"/>
  <c r="C5219" i="23"/>
  <c r="D5218" i="23"/>
  <c r="C5218" i="23"/>
  <c r="D5217" i="23"/>
  <c r="C5217" i="23"/>
  <c r="D5216" i="23"/>
  <c r="C5216" i="23"/>
  <c r="D5215" i="23"/>
  <c r="C5215" i="23"/>
  <c r="D5214" i="23"/>
  <c r="C5214" i="23"/>
  <c r="D5213" i="23"/>
  <c r="C5213" i="23"/>
  <c r="D5212" i="23"/>
  <c r="C5212" i="23"/>
  <c r="D5211" i="23"/>
  <c r="C5211" i="23"/>
  <c r="D5210" i="23"/>
  <c r="C5210" i="23"/>
  <c r="D5209" i="23"/>
  <c r="C5209" i="23"/>
  <c r="D5208" i="23"/>
  <c r="C5208" i="23"/>
  <c r="D5207" i="23"/>
  <c r="C5207" i="23"/>
  <c r="D5206" i="23"/>
  <c r="C5206" i="23"/>
  <c r="D5205" i="23"/>
  <c r="C5205" i="23"/>
  <c r="D5204" i="23"/>
  <c r="C5204" i="23"/>
  <c r="D5203" i="23"/>
  <c r="C5203" i="23"/>
  <c r="D5202" i="23"/>
  <c r="C5202" i="23"/>
  <c r="D5201" i="23"/>
  <c r="C5201" i="23"/>
  <c r="D5200" i="23"/>
  <c r="C5200" i="23"/>
  <c r="D5199" i="23"/>
  <c r="C5199" i="23"/>
  <c r="D5198" i="23"/>
  <c r="C5198" i="23"/>
  <c r="D5197" i="23"/>
  <c r="C5197" i="23"/>
  <c r="D5196" i="23"/>
  <c r="C5196" i="23"/>
  <c r="D5195" i="23"/>
  <c r="C5195" i="23"/>
  <c r="D5194" i="23"/>
  <c r="C5194" i="23"/>
  <c r="D5193" i="23"/>
  <c r="C5193" i="23"/>
  <c r="D5192" i="23"/>
  <c r="C5192" i="23"/>
  <c r="D5191" i="23"/>
  <c r="C5191" i="23"/>
  <c r="D5190" i="23"/>
  <c r="C5190" i="23"/>
  <c r="D5189" i="23"/>
  <c r="C5189" i="23"/>
  <c r="D5188" i="23"/>
  <c r="C5188" i="23"/>
  <c r="D5187" i="23"/>
  <c r="C5187" i="23"/>
  <c r="D5186" i="23"/>
  <c r="C5186" i="23"/>
  <c r="D5185" i="23"/>
  <c r="C5185" i="23"/>
  <c r="D5184" i="23"/>
  <c r="C5184" i="23"/>
  <c r="D5183" i="23"/>
  <c r="C5183" i="23"/>
  <c r="D5182" i="23"/>
  <c r="C5182" i="23"/>
  <c r="D5181" i="23"/>
  <c r="C5181" i="23"/>
  <c r="D5180" i="23"/>
  <c r="C5180" i="23"/>
  <c r="D5179" i="23"/>
  <c r="C5179" i="23"/>
  <c r="D5178" i="23"/>
  <c r="C5178" i="23"/>
  <c r="D5177" i="23"/>
  <c r="C5177" i="23"/>
  <c r="D5176" i="23"/>
  <c r="C5176" i="23"/>
  <c r="D5175" i="23"/>
  <c r="C5175" i="23"/>
  <c r="D5174" i="23"/>
  <c r="C5174" i="23"/>
  <c r="D5173" i="23"/>
  <c r="C5173" i="23"/>
  <c r="D5172" i="23"/>
  <c r="C5172" i="23"/>
  <c r="D5171" i="23"/>
  <c r="C5171" i="23"/>
  <c r="D5170" i="23"/>
  <c r="C5170" i="23"/>
  <c r="D5169" i="23"/>
  <c r="C5169" i="23"/>
  <c r="D5168" i="23"/>
  <c r="C5168" i="23"/>
  <c r="D5167" i="23"/>
  <c r="C5167" i="23"/>
  <c r="D5166" i="23"/>
  <c r="C5166" i="23"/>
  <c r="D5165" i="23"/>
  <c r="C5165" i="23"/>
  <c r="D5164" i="23"/>
  <c r="C5164" i="23"/>
  <c r="D5163" i="23"/>
  <c r="C5163" i="23"/>
  <c r="D5162" i="23"/>
  <c r="C5162" i="23"/>
  <c r="D5161" i="23"/>
  <c r="C5161" i="23"/>
  <c r="D5160" i="23"/>
  <c r="C5160" i="23"/>
  <c r="D5159" i="23"/>
  <c r="C5159" i="23"/>
  <c r="D5158" i="23"/>
  <c r="C5158" i="23"/>
  <c r="D5157" i="23"/>
  <c r="C5157" i="23"/>
  <c r="D5156" i="23"/>
  <c r="C5156" i="23"/>
  <c r="D5155" i="23"/>
  <c r="C5155" i="23"/>
  <c r="D5154" i="23"/>
  <c r="C5154" i="23"/>
  <c r="D5153" i="23"/>
  <c r="C5153" i="23"/>
  <c r="D5152" i="23"/>
  <c r="C5152" i="23"/>
  <c r="D5151" i="23"/>
  <c r="C5151" i="23"/>
  <c r="D5150" i="23"/>
  <c r="C5150" i="23"/>
  <c r="D5149" i="23"/>
  <c r="C5149" i="23"/>
  <c r="D5148" i="23"/>
  <c r="C5148" i="23"/>
  <c r="D5147" i="23"/>
  <c r="C5147" i="23"/>
  <c r="D5146" i="23"/>
  <c r="C5146" i="23"/>
  <c r="D5145" i="23"/>
  <c r="C5145" i="23"/>
  <c r="D5144" i="23"/>
  <c r="C5144" i="23"/>
  <c r="D5143" i="23"/>
  <c r="C5143" i="23"/>
  <c r="D5142" i="23"/>
  <c r="C5142" i="23"/>
  <c r="D5141" i="23"/>
  <c r="C5141" i="23"/>
  <c r="D5140" i="23"/>
  <c r="C5140" i="23"/>
  <c r="D5139" i="23"/>
  <c r="C5139" i="23"/>
  <c r="D5138" i="23"/>
  <c r="C5138" i="23"/>
  <c r="D5137" i="23"/>
  <c r="C5137" i="23"/>
  <c r="D5136" i="23"/>
  <c r="C5136" i="23"/>
  <c r="D5135" i="23"/>
  <c r="C5135" i="23"/>
  <c r="D5134" i="23"/>
  <c r="C5134" i="23"/>
  <c r="D5133" i="23"/>
  <c r="C5133" i="23"/>
  <c r="D5132" i="23"/>
  <c r="C5132" i="23"/>
  <c r="D5131" i="23"/>
  <c r="C5131" i="23"/>
  <c r="D5130" i="23"/>
  <c r="C5130" i="23"/>
  <c r="D5129" i="23"/>
  <c r="C5129" i="23"/>
  <c r="D5128" i="23"/>
  <c r="C5128" i="23"/>
  <c r="D5127" i="23"/>
  <c r="C5127" i="23"/>
  <c r="D5126" i="23"/>
  <c r="C5126" i="23"/>
  <c r="D5125" i="23"/>
  <c r="C5125" i="23"/>
  <c r="D5124" i="23"/>
  <c r="C5124" i="23"/>
  <c r="D5123" i="23"/>
  <c r="C5123" i="23"/>
  <c r="D5122" i="23"/>
  <c r="C5122" i="23"/>
  <c r="D5121" i="23"/>
  <c r="C5121" i="23"/>
  <c r="D5120" i="23"/>
  <c r="C5120" i="23"/>
  <c r="D5119" i="23"/>
  <c r="C5119" i="23"/>
  <c r="D5118" i="23"/>
  <c r="C5118" i="23"/>
  <c r="D5117" i="23"/>
  <c r="C5117" i="23"/>
  <c r="D5116" i="23"/>
  <c r="C5116" i="23"/>
  <c r="D5115" i="23"/>
  <c r="C5115" i="23"/>
  <c r="D5114" i="23"/>
  <c r="C5114" i="23"/>
  <c r="D5113" i="23"/>
  <c r="C5113" i="23"/>
  <c r="D5112" i="23"/>
  <c r="C5112" i="23"/>
  <c r="D5111" i="23"/>
  <c r="C5111" i="23"/>
  <c r="D5110" i="23"/>
  <c r="C5110" i="23"/>
  <c r="D5109" i="23"/>
  <c r="C5109" i="23"/>
  <c r="D5108" i="23"/>
  <c r="C5108" i="23"/>
  <c r="D5107" i="23"/>
  <c r="C5107" i="23"/>
  <c r="D5106" i="23"/>
  <c r="C5106" i="23"/>
  <c r="D5105" i="23"/>
  <c r="C5105" i="23"/>
  <c r="D5104" i="23"/>
  <c r="C5104" i="23"/>
  <c r="D5103" i="23"/>
  <c r="C5103" i="23"/>
  <c r="D5102" i="23"/>
  <c r="C5102" i="23"/>
  <c r="D5101" i="23"/>
  <c r="C5101" i="23"/>
  <c r="D5100" i="23"/>
  <c r="C5100" i="23"/>
  <c r="D5099" i="23"/>
  <c r="C5099" i="23"/>
  <c r="D5098" i="23"/>
  <c r="C5098" i="23"/>
  <c r="D5097" i="23"/>
  <c r="C5097" i="23"/>
  <c r="D5096" i="23"/>
  <c r="C5096" i="23"/>
  <c r="D5095" i="23"/>
  <c r="C5095" i="23"/>
  <c r="D5094" i="23"/>
  <c r="C5094" i="23"/>
  <c r="D5093" i="23"/>
  <c r="C5093" i="23"/>
  <c r="D5092" i="23"/>
  <c r="C5092" i="23"/>
  <c r="D5091" i="23"/>
  <c r="C5091" i="23"/>
  <c r="D5090" i="23"/>
  <c r="C5090" i="23"/>
  <c r="D5089" i="23"/>
  <c r="C5089" i="23"/>
  <c r="D5088" i="23"/>
  <c r="C5088" i="23"/>
  <c r="D5087" i="23"/>
  <c r="C5087" i="23"/>
  <c r="D5086" i="23"/>
  <c r="C5086" i="23"/>
  <c r="D5085" i="23"/>
  <c r="C5085" i="23"/>
  <c r="D5084" i="23"/>
  <c r="C5084" i="23"/>
  <c r="D5083" i="23"/>
  <c r="C5083" i="23"/>
  <c r="D5082" i="23"/>
  <c r="C5082" i="23"/>
  <c r="D5081" i="23"/>
  <c r="C5081" i="23"/>
  <c r="D5080" i="23"/>
  <c r="C5080" i="23"/>
  <c r="D5079" i="23"/>
  <c r="C5079" i="23"/>
  <c r="D5078" i="23"/>
  <c r="C5078" i="23"/>
  <c r="D5077" i="23"/>
  <c r="C5077" i="23"/>
  <c r="D5076" i="23"/>
  <c r="C5076" i="23"/>
  <c r="D5075" i="23"/>
  <c r="C5075" i="23"/>
  <c r="D5074" i="23"/>
  <c r="C5074" i="23"/>
  <c r="D5073" i="23"/>
  <c r="C5073" i="23"/>
  <c r="D5072" i="23"/>
  <c r="C5072" i="23"/>
  <c r="D5071" i="23"/>
  <c r="C5071" i="23"/>
  <c r="D5070" i="23"/>
  <c r="C5070" i="23"/>
  <c r="D5069" i="23"/>
  <c r="C5069" i="23"/>
  <c r="D5068" i="23"/>
  <c r="C5068" i="23"/>
  <c r="D5067" i="23"/>
  <c r="C5067" i="23"/>
  <c r="D5066" i="23"/>
  <c r="C5066" i="23"/>
  <c r="D5065" i="23"/>
  <c r="C5065" i="23"/>
  <c r="D5064" i="23"/>
  <c r="C5064" i="23"/>
  <c r="D5063" i="23"/>
  <c r="C5063" i="23"/>
  <c r="D5062" i="23"/>
  <c r="C5062" i="23"/>
  <c r="D5061" i="23"/>
  <c r="C5061" i="23"/>
  <c r="D5060" i="23"/>
  <c r="C5060" i="23"/>
  <c r="D5059" i="23"/>
  <c r="C5059" i="23"/>
  <c r="D5058" i="23"/>
  <c r="C5058" i="23"/>
  <c r="D5057" i="23"/>
  <c r="C5057" i="23"/>
  <c r="D5056" i="23"/>
  <c r="C5056" i="23"/>
  <c r="D5055" i="23"/>
  <c r="C5055" i="23"/>
  <c r="D5054" i="23"/>
  <c r="C5054" i="23"/>
  <c r="D5053" i="23"/>
  <c r="C5053" i="23"/>
  <c r="D5052" i="23"/>
  <c r="C5052" i="23"/>
  <c r="D5051" i="23"/>
  <c r="C5051" i="23"/>
  <c r="D5050" i="23"/>
  <c r="C5050" i="23"/>
  <c r="D5049" i="23"/>
  <c r="C5049" i="23"/>
  <c r="D5048" i="23"/>
  <c r="C5048" i="23"/>
  <c r="D5047" i="23"/>
  <c r="C5047" i="23"/>
  <c r="D5046" i="23"/>
  <c r="C5046" i="23"/>
  <c r="D5045" i="23"/>
  <c r="C5045" i="23"/>
  <c r="D5044" i="23"/>
  <c r="C5044" i="23"/>
  <c r="D5043" i="23"/>
  <c r="C5043" i="23"/>
  <c r="D5042" i="23"/>
  <c r="C5042" i="23"/>
  <c r="D5041" i="23"/>
  <c r="C5041" i="23"/>
  <c r="D5040" i="23"/>
  <c r="C5040" i="23"/>
  <c r="D5039" i="23"/>
  <c r="C5039" i="23"/>
  <c r="D5038" i="23"/>
  <c r="C5038" i="23"/>
  <c r="D5037" i="23"/>
  <c r="C5037" i="23"/>
  <c r="D5036" i="23"/>
  <c r="C5036" i="23"/>
  <c r="D5035" i="23"/>
  <c r="C5035" i="23"/>
  <c r="D5034" i="23"/>
  <c r="C5034" i="23"/>
  <c r="D5033" i="23"/>
  <c r="C5033" i="23"/>
  <c r="D5032" i="23"/>
  <c r="C5032" i="23"/>
  <c r="D5031" i="23"/>
  <c r="C5031" i="23"/>
  <c r="D5030" i="23"/>
  <c r="C5030" i="23"/>
  <c r="D5029" i="23"/>
  <c r="C5029" i="23"/>
  <c r="D5028" i="23"/>
  <c r="C5028" i="23"/>
  <c r="D5027" i="23"/>
  <c r="C5027" i="23"/>
  <c r="D5026" i="23"/>
  <c r="C5026" i="23"/>
  <c r="D5025" i="23"/>
  <c r="C5025" i="23"/>
  <c r="D5024" i="23"/>
  <c r="C5024" i="23"/>
  <c r="D5023" i="23"/>
  <c r="C5023" i="23"/>
  <c r="D5022" i="23"/>
  <c r="C5022" i="23"/>
  <c r="D5021" i="23"/>
  <c r="C5021" i="23"/>
  <c r="D5020" i="23"/>
  <c r="C5020" i="23"/>
  <c r="D5019" i="23"/>
  <c r="C5019" i="23"/>
  <c r="D5018" i="23"/>
  <c r="C5018" i="23"/>
  <c r="D5017" i="23"/>
  <c r="C5017" i="23"/>
  <c r="D5016" i="23"/>
  <c r="C5016" i="23"/>
  <c r="D5015" i="23"/>
  <c r="C5015" i="23"/>
  <c r="D5014" i="23"/>
  <c r="C5014" i="23"/>
  <c r="D5013" i="23"/>
  <c r="C5013" i="23"/>
  <c r="D5012" i="23"/>
  <c r="C5012" i="23"/>
  <c r="D5011" i="23"/>
  <c r="C5011" i="23"/>
  <c r="D5010" i="23"/>
  <c r="C5010" i="23"/>
  <c r="D5009" i="23"/>
  <c r="C5009" i="23"/>
  <c r="D5008" i="23"/>
  <c r="C5008" i="23"/>
  <c r="D5007" i="23"/>
  <c r="C5007" i="23"/>
  <c r="D5006" i="23"/>
  <c r="C5006" i="23"/>
  <c r="D5005" i="23"/>
  <c r="C5005" i="23"/>
  <c r="D5004" i="23"/>
  <c r="C5004" i="23"/>
  <c r="D5003" i="23"/>
  <c r="C5003" i="23"/>
  <c r="D5002" i="23"/>
  <c r="C5002" i="23"/>
  <c r="D5001" i="23"/>
  <c r="C5001" i="23"/>
  <c r="D5000" i="23"/>
  <c r="C5000" i="23"/>
  <c r="D4999" i="23"/>
  <c r="C4999" i="23"/>
  <c r="D4998" i="23"/>
  <c r="C4998" i="23"/>
  <c r="D4997" i="23"/>
  <c r="C4997" i="23"/>
  <c r="D4996" i="23"/>
  <c r="C4996" i="23"/>
  <c r="D4995" i="23"/>
  <c r="C4995" i="23"/>
  <c r="D4994" i="23"/>
  <c r="C4994" i="23"/>
  <c r="D4993" i="23"/>
  <c r="C4993" i="23"/>
  <c r="D4992" i="23"/>
  <c r="C4992" i="23"/>
  <c r="D4991" i="23"/>
  <c r="C4991" i="23"/>
  <c r="D4990" i="23"/>
  <c r="C4990" i="23"/>
  <c r="D4989" i="23"/>
  <c r="C4989" i="23"/>
  <c r="D4988" i="23"/>
  <c r="C4988" i="23"/>
  <c r="D4987" i="23"/>
  <c r="C4987" i="23"/>
  <c r="D4986" i="23"/>
  <c r="C4986" i="23"/>
  <c r="D4985" i="23"/>
  <c r="C4985" i="23"/>
  <c r="D4984" i="23"/>
  <c r="C4984" i="23"/>
  <c r="D4983" i="23"/>
  <c r="C4983" i="23"/>
  <c r="D4982" i="23"/>
  <c r="C4982" i="23"/>
  <c r="D4981" i="23"/>
  <c r="C4981" i="23"/>
  <c r="D4980" i="23"/>
  <c r="C4980" i="23"/>
  <c r="D4979" i="23"/>
  <c r="C4979" i="23"/>
  <c r="D4978" i="23"/>
  <c r="C4978" i="23"/>
  <c r="D4977" i="23"/>
  <c r="C4977" i="23"/>
  <c r="D4976" i="23"/>
  <c r="C4976" i="23"/>
  <c r="D4975" i="23"/>
  <c r="C4975" i="23"/>
  <c r="D4974" i="23"/>
  <c r="C4974" i="23"/>
  <c r="D4973" i="23"/>
  <c r="C4973" i="23"/>
  <c r="D4972" i="23"/>
  <c r="C4972" i="23"/>
  <c r="D4971" i="23"/>
  <c r="C4971" i="23"/>
  <c r="D4970" i="23"/>
  <c r="C4970" i="23"/>
  <c r="D4969" i="23"/>
  <c r="C4969" i="23"/>
  <c r="D4968" i="23"/>
  <c r="C4968" i="23"/>
  <c r="D4967" i="23"/>
  <c r="C4967" i="23"/>
  <c r="D4966" i="23"/>
  <c r="C4966" i="23"/>
  <c r="D4965" i="23"/>
  <c r="C4965" i="23"/>
  <c r="D4964" i="23"/>
  <c r="C4964" i="23"/>
  <c r="D4963" i="23"/>
  <c r="C4963" i="23"/>
  <c r="D4962" i="23"/>
  <c r="C4962" i="23"/>
  <c r="D4961" i="23"/>
  <c r="C4961" i="23"/>
  <c r="D4960" i="23"/>
  <c r="C4960" i="23"/>
  <c r="D4959" i="23"/>
  <c r="C4959" i="23"/>
  <c r="D4958" i="23"/>
  <c r="C4958" i="23"/>
  <c r="D4957" i="23"/>
  <c r="C4957" i="23"/>
  <c r="D4956" i="23"/>
  <c r="C4956" i="23"/>
  <c r="D4955" i="23"/>
  <c r="C4955" i="23"/>
  <c r="D4954" i="23"/>
  <c r="C4954" i="23"/>
  <c r="D4953" i="23"/>
  <c r="C4953" i="23"/>
  <c r="D4952" i="23"/>
  <c r="C4952" i="23"/>
  <c r="D4951" i="23"/>
  <c r="C4951" i="23"/>
  <c r="D4950" i="23"/>
  <c r="C4950" i="23"/>
  <c r="D4949" i="23"/>
  <c r="C4949" i="23"/>
  <c r="D4948" i="23"/>
  <c r="C4948" i="23"/>
  <c r="D4947" i="23"/>
  <c r="C4947" i="23"/>
  <c r="D4946" i="23"/>
  <c r="C4946" i="23"/>
  <c r="D4945" i="23"/>
  <c r="C4945" i="23"/>
  <c r="D4944" i="23"/>
  <c r="C4944" i="23"/>
  <c r="D4943" i="23"/>
  <c r="C4943" i="23"/>
  <c r="D4942" i="23"/>
  <c r="C4942" i="23"/>
  <c r="D4941" i="23"/>
  <c r="C4941" i="23"/>
  <c r="D4940" i="23"/>
  <c r="C4940" i="23"/>
  <c r="D4939" i="23"/>
  <c r="C4939" i="23"/>
  <c r="D4938" i="23"/>
  <c r="C4938" i="23"/>
  <c r="D4937" i="23"/>
  <c r="C4937" i="23"/>
  <c r="D4936" i="23"/>
  <c r="C4936" i="23"/>
  <c r="D4935" i="23"/>
  <c r="C4935" i="23"/>
  <c r="D4934" i="23"/>
  <c r="C4934" i="23"/>
  <c r="D4933" i="23"/>
  <c r="C4933" i="23"/>
  <c r="D4932" i="23"/>
  <c r="C4932" i="23"/>
  <c r="D4931" i="23"/>
  <c r="C4931" i="23"/>
  <c r="D4930" i="23"/>
  <c r="C4930" i="23"/>
  <c r="D4929" i="23"/>
  <c r="C4929" i="23"/>
  <c r="D4928" i="23"/>
  <c r="C4928" i="23"/>
  <c r="D4927" i="23"/>
  <c r="C4927" i="23"/>
  <c r="D4926" i="23"/>
  <c r="C4926" i="23"/>
  <c r="D4925" i="23"/>
  <c r="C4925" i="23"/>
  <c r="D4924" i="23"/>
  <c r="C4924" i="23"/>
  <c r="D4923" i="23"/>
  <c r="C4923" i="23"/>
  <c r="D4922" i="23"/>
  <c r="C4922" i="23"/>
  <c r="D4921" i="23"/>
  <c r="C4921" i="23"/>
  <c r="D4920" i="23"/>
  <c r="C4920" i="23"/>
  <c r="D4919" i="23"/>
  <c r="C4919" i="23"/>
  <c r="D4918" i="23"/>
  <c r="C4918" i="23"/>
  <c r="D4917" i="23"/>
  <c r="C4917" i="23"/>
  <c r="D4916" i="23"/>
  <c r="C4916" i="23"/>
  <c r="D4915" i="23"/>
  <c r="C4915" i="23"/>
  <c r="D4914" i="23"/>
  <c r="C4914" i="23"/>
  <c r="D4913" i="23"/>
  <c r="C4913" i="23"/>
  <c r="D4912" i="23"/>
  <c r="C4912" i="23"/>
  <c r="D4911" i="23"/>
  <c r="C4911" i="23"/>
  <c r="D4910" i="23"/>
  <c r="C4910" i="23"/>
  <c r="D4909" i="23"/>
  <c r="C4909" i="23"/>
  <c r="D4908" i="23"/>
  <c r="C4908" i="23"/>
  <c r="D4907" i="23"/>
  <c r="C4907" i="23"/>
  <c r="D4906" i="23"/>
  <c r="C4906" i="23"/>
  <c r="D4905" i="23"/>
  <c r="C4905" i="23"/>
  <c r="D4904" i="23"/>
  <c r="C4904" i="23"/>
  <c r="D4903" i="23"/>
  <c r="C4903" i="23"/>
  <c r="D4902" i="23"/>
  <c r="C4902" i="23"/>
  <c r="D4901" i="23"/>
  <c r="C4901" i="23"/>
  <c r="D4900" i="23"/>
  <c r="C4900" i="23"/>
  <c r="D4899" i="23"/>
  <c r="C4899" i="23"/>
  <c r="D4898" i="23"/>
  <c r="C4898" i="23"/>
  <c r="D4897" i="23"/>
  <c r="C4897" i="23"/>
  <c r="D4896" i="23"/>
  <c r="C4896" i="23"/>
  <c r="D4895" i="23"/>
  <c r="C4895" i="23"/>
  <c r="D4894" i="23"/>
  <c r="C4894" i="23"/>
  <c r="D4893" i="23"/>
  <c r="C4893" i="23"/>
  <c r="D4892" i="23"/>
  <c r="C4892" i="23"/>
  <c r="D4891" i="23"/>
  <c r="C4891" i="23"/>
  <c r="D4890" i="23"/>
  <c r="C4890" i="23"/>
  <c r="D4889" i="23"/>
  <c r="C4889" i="23"/>
  <c r="D4888" i="23"/>
  <c r="C4888" i="23"/>
  <c r="D4887" i="23"/>
  <c r="C4887" i="23"/>
  <c r="D4886" i="23"/>
  <c r="C4886" i="23"/>
  <c r="D4885" i="23"/>
  <c r="C4885" i="23"/>
  <c r="D4884" i="23"/>
  <c r="C4884" i="23"/>
  <c r="D4883" i="23"/>
  <c r="C4883" i="23"/>
  <c r="D4882" i="23"/>
  <c r="C4882" i="23"/>
  <c r="D4881" i="23"/>
  <c r="C4881" i="23"/>
  <c r="D4880" i="23"/>
  <c r="C4880" i="23"/>
  <c r="D4879" i="23"/>
  <c r="C4879" i="23"/>
  <c r="D4878" i="23"/>
  <c r="C4878" i="23"/>
  <c r="D4877" i="23"/>
  <c r="C4877" i="23"/>
  <c r="D4876" i="23"/>
  <c r="C4876" i="23"/>
  <c r="D4875" i="23"/>
  <c r="C4875" i="23"/>
  <c r="D4874" i="23"/>
  <c r="C4874" i="23"/>
  <c r="D4873" i="23"/>
  <c r="C4873" i="23"/>
  <c r="D4872" i="23"/>
  <c r="C4872" i="23"/>
  <c r="D4871" i="23"/>
  <c r="C4871" i="23"/>
  <c r="D4870" i="23"/>
  <c r="C4870" i="23"/>
  <c r="D4869" i="23"/>
  <c r="C4869" i="23"/>
  <c r="D4868" i="23"/>
  <c r="C4868" i="23"/>
  <c r="D4867" i="23"/>
  <c r="C4867" i="23"/>
  <c r="D4866" i="23"/>
  <c r="C4866" i="23"/>
  <c r="D4865" i="23"/>
  <c r="C4865" i="23"/>
  <c r="D4864" i="23"/>
  <c r="C4864" i="23"/>
  <c r="D4863" i="23"/>
  <c r="C4863" i="23"/>
  <c r="D4862" i="23"/>
  <c r="C4862" i="23"/>
  <c r="D4861" i="23"/>
  <c r="C4861" i="23"/>
  <c r="D4860" i="23"/>
  <c r="C4860" i="23"/>
  <c r="D4859" i="23"/>
  <c r="C4859" i="23"/>
  <c r="D4858" i="23"/>
  <c r="C4858" i="23"/>
  <c r="D4857" i="23"/>
  <c r="C4857" i="23"/>
  <c r="D4856" i="23"/>
  <c r="C4856" i="23"/>
  <c r="D4855" i="23"/>
  <c r="C4855" i="23"/>
  <c r="D4854" i="23"/>
  <c r="C4854" i="23"/>
  <c r="D4853" i="23"/>
  <c r="C4853" i="23"/>
  <c r="D4852" i="23"/>
  <c r="C4852" i="23"/>
  <c r="D4851" i="23"/>
  <c r="C4851" i="23"/>
  <c r="D4850" i="23"/>
  <c r="C4850" i="23"/>
  <c r="D4849" i="23"/>
  <c r="C4849" i="23"/>
  <c r="D4848" i="23"/>
  <c r="C4848" i="23"/>
  <c r="D4847" i="23"/>
  <c r="C4847" i="23"/>
  <c r="D4846" i="23"/>
  <c r="C4846" i="23"/>
  <c r="D4845" i="23"/>
  <c r="C4845" i="23"/>
  <c r="D4844" i="23"/>
  <c r="C4844" i="23"/>
  <c r="D4843" i="23"/>
  <c r="C4843" i="23"/>
  <c r="D4842" i="23"/>
  <c r="C4842" i="23"/>
  <c r="D4841" i="23"/>
  <c r="C4841" i="23"/>
  <c r="D4840" i="23"/>
  <c r="C4840" i="23"/>
  <c r="D4839" i="23"/>
  <c r="C4839" i="23"/>
  <c r="D4838" i="23"/>
  <c r="C4838" i="23"/>
  <c r="D4837" i="23"/>
  <c r="C4837" i="23"/>
  <c r="D4836" i="23"/>
  <c r="C4836" i="23"/>
  <c r="D4835" i="23"/>
  <c r="C4835" i="23"/>
  <c r="D4834" i="23"/>
  <c r="C4834" i="23"/>
  <c r="D4833" i="23"/>
  <c r="C4833" i="23"/>
  <c r="D4832" i="23"/>
  <c r="C4832" i="23"/>
  <c r="D4831" i="23"/>
  <c r="C4831" i="23"/>
  <c r="D4830" i="23"/>
  <c r="C4830" i="23"/>
  <c r="D4829" i="23"/>
  <c r="C4829" i="23"/>
  <c r="D4828" i="23"/>
  <c r="C4828" i="23"/>
  <c r="D4827" i="23"/>
  <c r="C4827" i="23"/>
  <c r="D4826" i="23"/>
  <c r="C4826" i="23"/>
  <c r="D4825" i="23"/>
  <c r="C4825" i="23"/>
  <c r="D4824" i="23"/>
  <c r="C4824" i="23"/>
  <c r="D4823" i="23"/>
  <c r="C4823" i="23"/>
  <c r="D4822" i="23"/>
  <c r="C4822" i="23"/>
  <c r="D4821" i="23"/>
  <c r="C4821" i="23"/>
  <c r="D4820" i="23"/>
  <c r="C4820" i="23"/>
  <c r="D4819" i="23"/>
  <c r="C4819" i="23"/>
  <c r="D4818" i="23"/>
  <c r="C4818" i="23"/>
  <c r="D4817" i="23"/>
  <c r="C4817" i="23"/>
  <c r="D4816" i="23"/>
  <c r="C4816" i="23"/>
  <c r="D4815" i="23"/>
  <c r="C4815" i="23"/>
  <c r="D4814" i="23"/>
  <c r="C4814" i="23"/>
  <c r="D4813" i="23"/>
  <c r="C4813" i="23"/>
  <c r="D4812" i="23"/>
  <c r="C4812" i="23"/>
  <c r="D4811" i="23"/>
  <c r="C4811" i="23"/>
  <c r="D4810" i="23"/>
  <c r="C4810" i="23"/>
  <c r="D4809" i="23"/>
  <c r="C4809" i="23"/>
  <c r="D4808" i="23"/>
  <c r="C4808" i="23"/>
  <c r="D4807" i="23"/>
  <c r="C4807" i="23"/>
  <c r="D4806" i="23"/>
  <c r="C4806" i="23"/>
  <c r="D4805" i="23"/>
  <c r="C4805" i="23"/>
  <c r="D4804" i="23"/>
  <c r="C4804" i="23"/>
  <c r="D4803" i="23"/>
  <c r="C4803" i="23"/>
  <c r="D4802" i="23"/>
  <c r="C4802" i="23"/>
  <c r="D4801" i="23"/>
  <c r="C4801" i="23"/>
  <c r="D4800" i="23"/>
  <c r="C4800" i="23"/>
  <c r="D4799" i="23"/>
  <c r="C4799" i="23"/>
  <c r="D4798" i="23"/>
  <c r="C4798" i="23"/>
  <c r="D4797" i="23"/>
  <c r="C4797" i="23"/>
  <c r="D4796" i="23"/>
  <c r="C4796" i="23"/>
  <c r="D4795" i="23"/>
  <c r="C4795" i="23"/>
  <c r="D4794" i="23"/>
  <c r="C4794" i="23"/>
  <c r="D4793" i="23"/>
  <c r="C4793" i="23"/>
  <c r="D4792" i="23"/>
  <c r="C4792" i="23"/>
  <c r="D4791" i="23"/>
  <c r="C4791" i="23"/>
  <c r="D4790" i="23"/>
  <c r="C4790" i="23"/>
  <c r="D4789" i="23"/>
  <c r="C4789" i="23"/>
  <c r="D4788" i="23"/>
  <c r="C4788" i="23"/>
  <c r="D4787" i="23"/>
  <c r="C4787" i="23"/>
  <c r="D4786" i="23"/>
  <c r="C4786" i="23"/>
  <c r="D4785" i="23"/>
  <c r="C4785" i="23"/>
  <c r="D4784" i="23"/>
  <c r="C4784" i="23"/>
  <c r="D4783" i="23"/>
  <c r="C4783" i="23"/>
  <c r="D4782" i="23"/>
  <c r="C4782" i="23"/>
  <c r="D4781" i="23"/>
  <c r="C4781" i="23"/>
  <c r="D4780" i="23"/>
  <c r="C4780" i="23"/>
  <c r="D4779" i="23"/>
  <c r="C4779" i="23"/>
  <c r="D4778" i="23"/>
  <c r="C4778" i="23"/>
  <c r="D4777" i="23"/>
  <c r="C4777" i="23"/>
  <c r="D4776" i="23"/>
  <c r="C4776" i="23"/>
  <c r="D4775" i="23"/>
  <c r="C4775" i="23"/>
  <c r="D4774" i="23"/>
  <c r="C4774" i="23"/>
  <c r="D4773" i="23"/>
  <c r="C4773" i="23"/>
  <c r="D4772" i="23"/>
  <c r="C4772" i="23"/>
  <c r="D4771" i="23"/>
  <c r="C4771" i="23"/>
  <c r="D4770" i="23"/>
  <c r="C4770" i="23"/>
  <c r="D4769" i="23"/>
  <c r="C4769" i="23"/>
  <c r="D4768" i="23"/>
  <c r="C4768" i="23"/>
  <c r="D4767" i="23"/>
  <c r="C4767" i="23"/>
  <c r="D4766" i="23"/>
  <c r="C4766" i="23"/>
  <c r="D4765" i="23"/>
  <c r="C4765" i="23"/>
  <c r="D4764" i="23"/>
  <c r="C4764" i="23"/>
  <c r="D4763" i="23"/>
  <c r="C4763" i="23"/>
  <c r="D4762" i="23"/>
  <c r="C4762" i="23"/>
  <c r="D4761" i="23"/>
  <c r="C4761" i="23"/>
  <c r="D4760" i="23"/>
  <c r="C4760" i="23"/>
  <c r="D4759" i="23"/>
  <c r="C4759" i="23"/>
  <c r="D4758" i="23"/>
  <c r="C4758" i="23"/>
  <c r="D4757" i="23"/>
  <c r="C4757" i="23"/>
  <c r="D4756" i="23"/>
  <c r="C4756" i="23"/>
  <c r="D4755" i="23"/>
  <c r="C4755" i="23"/>
  <c r="D4754" i="23"/>
  <c r="C4754" i="23"/>
  <c r="D4753" i="23"/>
  <c r="C4753" i="23"/>
  <c r="D4752" i="23"/>
  <c r="C4752" i="23"/>
  <c r="D4751" i="23"/>
  <c r="C4751" i="23"/>
  <c r="D4750" i="23"/>
  <c r="C4750" i="23"/>
  <c r="D4749" i="23"/>
  <c r="C4749" i="23"/>
  <c r="D4748" i="23"/>
  <c r="C4748" i="23"/>
  <c r="D4747" i="23"/>
  <c r="C4747" i="23"/>
  <c r="D4746" i="23"/>
  <c r="C4746" i="23"/>
  <c r="D4745" i="23"/>
  <c r="C4745" i="23"/>
  <c r="D4744" i="23"/>
  <c r="C4744" i="23"/>
  <c r="D4743" i="23"/>
  <c r="C4743" i="23"/>
  <c r="D4742" i="23"/>
  <c r="C4742" i="23"/>
  <c r="D4741" i="23"/>
  <c r="C4741" i="23"/>
  <c r="D4740" i="23"/>
  <c r="C4740" i="23"/>
  <c r="D4739" i="23"/>
  <c r="C4739" i="23"/>
  <c r="D4738" i="23"/>
  <c r="C4738" i="23"/>
  <c r="D4737" i="23"/>
  <c r="C4737" i="23"/>
  <c r="D4736" i="23"/>
  <c r="C4736" i="23"/>
  <c r="D4735" i="23"/>
  <c r="C4735" i="23"/>
  <c r="D4734" i="23"/>
  <c r="C4734" i="23"/>
  <c r="D4733" i="23"/>
  <c r="C4733" i="23"/>
  <c r="D4732" i="23"/>
  <c r="C4732" i="23"/>
  <c r="D4731" i="23"/>
  <c r="C4731" i="23"/>
  <c r="D4730" i="23"/>
  <c r="C4730" i="23"/>
  <c r="D4729" i="23"/>
  <c r="C4729" i="23"/>
  <c r="D4728" i="23"/>
  <c r="C4728" i="23"/>
  <c r="D4727" i="23"/>
  <c r="C4727" i="23"/>
  <c r="D4726" i="23"/>
  <c r="C4726" i="23"/>
  <c r="D4725" i="23"/>
  <c r="C4725" i="23"/>
  <c r="D4724" i="23"/>
  <c r="C4724" i="23"/>
  <c r="D4723" i="23"/>
  <c r="C4723" i="23"/>
  <c r="D4722" i="23"/>
  <c r="C4722" i="23"/>
  <c r="D4721" i="23"/>
  <c r="C4721" i="23"/>
  <c r="D4720" i="23"/>
  <c r="C4720" i="23"/>
  <c r="D4719" i="23"/>
  <c r="C4719" i="23"/>
  <c r="D4718" i="23"/>
  <c r="C4718" i="23"/>
  <c r="D4717" i="23"/>
  <c r="C4717" i="23"/>
  <c r="D4716" i="23"/>
  <c r="C4716" i="23"/>
  <c r="D4715" i="23"/>
  <c r="C4715" i="23"/>
  <c r="D4714" i="23"/>
  <c r="C4714" i="23"/>
  <c r="D4713" i="23"/>
  <c r="C4713" i="23"/>
  <c r="D4712" i="23"/>
  <c r="C4712" i="23"/>
  <c r="D4711" i="23"/>
  <c r="C4711" i="23"/>
  <c r="D4710" i="23"/>
  <c r="C4710" i="23"/>
  <c r="D4709" i="23"/>
  <c r="C4709" i="23"/>
  <c r="D4708" i="23"/>
  <c r="C4708" i="23"/>
  <c r="D4707" i="23"/>
  <c r="C4707" i="23"/>
  <c r="D4706" i="23"/>
  <c r="C4706" i="23"/>
  <c r="D4705" i="23"/>
  <c r="C4705" i="23"/>
  <c r="D4704" i="23"/>
  <c r="C4704" i="23"/>
  <c r="D4703" i="23"/>
  <c r="C4703" i="23"/>
  <c r="D4702" i="23"/>
  <c r="C4702" i="23"/>
  <c r="D4701" i="23"/>
  <c r="C4701" i="23"/>
  <c r="D4700" i="23"/>
  <c r="C4700" i="23"/>
  <c r="D4699" i="23"/>
  <c r="C4699" i="23"/>
  <c r="D4698" i="23"/>
  <c r="C4698" i="23"/>
  <c r="D4697" i="23"/>
  <c r="C4697" i="23"/>
  <c r="D4696" i="23"/>
  <c r="C4696" i="23"/>
  <c r="D4695" i="23"/>
  <c r="C4695" i="23"/>
  <c r="D4694" i="23"/>
  <c r="C4694" i="23"/>
  <c r="D4693" i="23"/>
  <c r="C4693" i="23"/>
  <c r="D4692" i="23"/>
  <c r="C4692" i="23"/>
  <c r="D4691" i="23"/>
  <c r="C4691" i="23"/>
  <c r="D4690" i="23"/>
  <c r="C4690" i="23"/>
  <c r="D4689" i="23"/>
  <c r="C4689" i="23"/>
  <c r="D4688" i="23"/>
  <c r="C4688" i="23"/>
  <c r="D4687" i="23"/>
  <c r="C4687" i="23"/>
  <c r="D4686" i="23"/>
  <c r="C4686" i="23"/>
  <c r="D4685" i="23"/>
  <c r="C4685" i="23"/>
  <c r="D4684" i="23"/>
  <c r="C4684" i="23"/>
  <c r="D4683" i="23"/>
  <c r="C4683" i="23"/>
  <c r="D4682" i="23"/>
  <c r="C4682" i="23"/>
  <c r="D4681" i="23"/>
  <c r="C4681" i="23"/>
  <c r="D4680" i="23"/>
  <c r="C4680" i="23"/>
  <c r="D4679" i="23"/>
  <c r="C4679" i="23"/>
  <c r="D4678" i="23"/>
  <c r="C4678" i="23"/>
  <c r="D4677" i="23"/>
  <c r="C4677" i="23"/>
  <c r="D4676" i="23"/>
  <c r="C4676" i="23"/>
  <c r="D4675" i="23"/>
  <c r="C4675" i="23"/>
  <c r="D4674" i="23"/>
  <c r="C4674" i="23"/>
  <c r="D4673" i="23"/>
  <c r="C4673" i="23"/>
  <c r="D4672" i="23"/>
  <c r="C4672" i="23"/>
  <c r="D4671" i="23"/>
  <c r="C4671" i="23"/>
  <c r="D4670" i="23"/>
  <c r="C4670" i="23"/>
  <c r="D4669" i="23"/>
  <c r="C4669" i="23"/>
  <c r="D4668" i="23"/>
  <c r="C4668" i="23"/>
  <c r="D4667" i="23"/>
  <c r="C4667" i="23"/>
  <c r="D4666" i="23"/>
  <c r="C4666" i="23"/>
  <c r="D4665" i="23"/>
  <c r="C4665" i="23"/>
  <c r="D4664" i="23"/>
  <c r="C4664" i="23"/>
  <c r="D4663" i="23"/>
  <c r="C4663" i="23"/>
  <c r="D4662" i="23"/>
  <c r="C4662" i="23"/>
  <c r="D4661" i="23"/>
  <c r="C4661" i="23"/>
  <c r="D4660" i="23"/>
  <c r="C4660" i="23"/>
  <c r="D4659" i="23"/>
  <c r="C4659" i="23"/>
  <c r="D4658" i="23"/>
  <c r="C4658" i="23"/>
  <c r="D4657" i="23"/>
  <c r="C4657" i="23"/>
  <c r="D4656" i="23"/>
  <c r="C4656" i="23"/>
  <c r="D4655" i="23"/>
  <c r="C4655" i="23"/>
  <c r="D4654" i="23"/>
  <c r="C4654" i="23"/>
  <c r="D4653" i="23"/>
  <c r="C4653" i="23"/>
  <c r="D4652" i="23"/>
  <c r="C4652" i="23"/>
  <c r="D4651" i="23"/>
  <c r="C4651" i="23"/>
  <c r="D4650" i="23"/>
  <c r="C4650" i="23"/>
  <c r="D4649" i="23"/>
  <c r="C4649" i="23"/>
  <c r="D4648" i="23"/>
  <c r="C4648" i="23"/>
  <c r="D4647" i="23"/>
  <c r="C4647" i="23"/>
  <c r="D4646" i="23"/>
  <c r="C4646" i="23"/>
  <c r="D4645" i="23"/>
  <c r="C4645" i="23"/>
  <c r="D4644" i="23"/>
  <c r="C4644" i="23"/>
  <c r="D4643" i="23"/>
  <c r="C4643" i="23"/>
  <c r="D4642" i="23"/>
  <c r="C4642" i="23"/>
  <c r="D4641" i="23"/>
  <c r="C4641" i="23"/>
  <c r="D4640" i="23"/>
  <c r="C4640" i="23"/>
  <c r="D4639" i="23"/>
  <c r="C4639" i="23"/>
  <c r="D4638" i="23"/>
  <c r="C4638" i="23"/>
  <c r="D4637" i="23"/>
  <c r="C4637" i="23"/>
  <c r="D4636" i="23"/>
  <c r="C4636" i="23"/>
  <c r="D4635" i="23"/>
  <c r="C4635" i="23"/>
  <c r="D4634" i="23"/>
  <c r="C4634" i="23"/>
  <c r="D4633" i="23"/>
  <c r="C4633" i="23"/>
  <c r="D4632" i="23"/>
  <c r="C4632" i="23"/>
  <c r="D4631" i="23"/>
  <c r="C4631" i="23"/>
  <c r="D4630" i="23"/>
  <c r="C4630" i="23"/>
  <c r="D4629" i="23"/>
  <c r="C4629" i="23"/>
  <c r="D4628" i="23"/>
  <c r="C4628" i="23"/>
  <c r="D4627" i="23"/>
  <c r="C4627" i="23"/>
  <c r="D4626" i="23"/>
  <c r="C4626" i="23"/>
  <c r="D4625" i="23"/>
  <c r="C4625" i="23"/>
  <c r="D4624" i="23"/>
  <c r="C4624" i="23"/>
  <c r="D4623" i="23"/>
  <c r="C4623" i="23"/>
  <c r="D4622" i="23"/>
  <c r="C4622" i="23"/>
  <c r="D4621" i="23"/>
  <c r="C4621" i="23"/>
  <c r="D4620" i="23"/>
  <c r="C4620" i="23"/>
  <c r="D4619" i="23"/>
  <c r="C4619" i="23"/>
  <c r="D4618" i="23"/>
  <c r="C4618" i="23"/>
  <c r="D4617" i="23"/>
  <c r="C4617" i="23"/>
  <c r="D4616" i="23"/>
  <c r="C4616" i="23"/>
  <c r="D4615" i="23"/>
  <c r="C4615" i="23"/>
  <c r="D4614" i="23"/>
  <c r="C4614" i="23"/>
  <c r="D4613" i="23"/>
  <c r="C4613" i="23"/>
  <c r="D4612" i="23"/>
  <c r="C4612" i="23"/>
  <c r="D4611" i="23"/>
  <c r="C4611" i="23"/>
  <c r="D4610" i="23"/>
  <c r="C4610" i="23"/>
  <c r="D4609" i="23"/>
  <c r="C4609" i="23"/>
  <c r="D4608" i="23"/>
  <c r="C4608" i="23"/>
  <c r="D4607" i="23"/>
  <c r="C4607" i="23"/>
  <c r="D4606" i="23"/>
  <c r="C4606" i="23"/>
  <c r="D4605" i="23"/>
  <c r="C4605" i="23"/>
  <c r="D4604" i="23"/>
  <c r="C4604" i="23"/>
  <c r="D4603" i="23"/>
  <c r="C4603" i="23"/>
  <c r="D4602" i="23"/>
  <c r="C4602" i="23"/>
  <c r="D4601" i="23"/>
  <c r="C4601" i="23"/>
  <c r="D4600" i="23"/>
  <c r="C4600" i="23"/>
  <c r="D4599" i="23"/>
  <c r="C4599" i="23"/>
  <c r="D4598" i="23"/>
  <c r="C4598" i="23"/>
  <c r="D4597" i="23"/>
  <c r="C4597" i="23"/>
  <c r="D4596" i="23"/>
  <c r="C4596" i="23"/>
  <c r="D4595" i="23"/>
  <c r="C4595" i="23"/>
  <c r="D4594" i="23"/>
  <c r="C4594" i="23"/>
  <c r="D4593" i="23"/>
  <c r="C4593" i="23"/>
  <c r="D4592" i="23"/>
  <c r="C4592" i="23"/>
  <c r="D4591" i="23"/>
  <c r="C4591" i="23"/>
  <c r="D4590" i="23"/>
  <c r="C4590" i="23"/>
  <c r="D4589" i="23"/>
  <c r="C4589" i="23"/>
  <c r="D4588" i="23"/>
  <c r="C4588" i="23"/>
  <c r="D4587" i="23"/>
  <c r="C4587" i="23"/>
  <c r="D4586" i="23"/>
  <c r="C4586" i="23"/>
  <c r="D4585" i="23"/>
  <c r="C4585" i="23"/>
  <c r="D4584" i="23"/>
  <c r="C4584" i="23"/>
  <c r="D4583" i="23"/>
  <c r="C4583" i="23"/>
  <c r="D4582" i="23"/>
  <c r="C4582" i="23"/>
  <c r="D4581" i="23"/>
  <c r="C4581" i="23"/>
  <c r="D4580" i="23"/>
  <c r="C4580" i="23"/>
  <c r="D4579" i="23"/>
  <c r="C4579" i="23"/>
  <c r="D4578" i="23"/>
  <c r="C4578" i="23"/>
  <c r="D4577" i="23"/>
  <c r="C4577" i="23"/>
  <c r="D4576" i="23"/>
  <c r="C4576" i="23"/>
  <c r="D4575" i="23"/>
  <c r="C4575" i="23"/>
  <c r="D4574" i="23"/>
  <c r="C4574" i="23"/>
  <c r="D4573" i="23"/>
  <c r="C4573" i="23"/>
  <c r="D4572" i="23"/>
  <c r="C4572" i="23"/>
  <c r="D4571" i="23"/>
  <c r="C4571" i="23"/>
  <c r="D4570" i="23"/>
  <c r="C4570" i="23"/>
  <c r="D4569" i="23"/>
  <c r="C4569" i="23"/>
  <c r="D4568" i="23"/>
  <c r="C4568" i="23"/>
  <c r="D4567" i="23"/>
  <c r="C4567" i="23"/>
  <c r="D4566" i="23"/>
  <c r="C4566" i="23"/>
  <c r="D4565" i="23"/>
  <c r="C4565" i="23"/>
  <c r="D4564" i="23"/>
  <c r="C4564" i="23"/>
  <c r="D4563" i="23"/>
  <c r="C4563" i="23"/>
  <c r="D4562" i="23"/>
  <c r="C4562" i="23"/>
  <c r="D4561" i="23"/>
  <c r="C4561" i="23"/>
  <c r="D4560" i="23"/>
  <c r="C4560" i="23"/>
  <c r="D4559" i="23"/>
  <c r="C4559" i="23"/>
  <c r="D4558" i="23"/>
  <c r="C4558" i="23"/>
  <c r="D4557" i="23"/>
  <c r="C4557" i="23"/>
  <c r="D4556" i="23"/>
  <c r="C4556" i="23"/>
  <c r="D4555" i="23"/>
  <c r="C4555" i="23"/>
  <c r="D4554" i="23"/>
  <c r="C4554" i="23"/>
  <c r="D4553" i="23"/>
  <c r="C4553" i="23"/>
  <c r="D4552" i="23"/>
  <c r="C4552" i="23"/>
  <c r="D4551" i="23"/>
  <c r="C4551" i="23"/>
  <c r="D4550" i="23"/>
  <c r="C4550" i="23"/>
  <c r="D4549" i="23"/>
  <c r="C4549" i="23"/>
  <c r="D4548" i="23"/>
  <c r="C4548" i="23"/>
  <c r="D4547" i="23"/>
  <c r="C4547" i="23"/>
  <c r="D4546" i="23"/>
  <c r="C4546" i="23"/>
  <c r="D4545" i="23"/>
  <c r="C4545" i="23"/>
  <c r="D4544" i="23"/>
  <c r="C4544" i="23"/>
  <c r="D4543" i="23"/>
  <c r="C4543" i="23"/>
  <c r="D4542" i="23"/>
  <c r="C4542" i="23"/>
  <c r="D4541" i="23"/>
  <c r="C4541" i="23"/>
  <c r="D4540" i="23"/>
  <c r="C4540" i="23"/>
  <c r="D4539" i="23"/>
  <c r="C4539" i="23"/>
  <c r="D4538" i="23"/>
  <c r="C4538" i="23"/>
  <c r="D4537" i="23"/>
  <c r="C4537" i="23"/>
  <c r="D4536" i="23"/>
  <c r="C4536" i="23"/>
  <c r="D4535" i="23"/>
  <c r="C4535" i="23"/>
  <c r="D4534" i="23"/>
  <c r="C4534" i="23"/>
  <c r="D4533" i="23"/>
  <c r="C4533" i="23"/>
  <c r="D4532" i="23"/>
  <c r="C4532" i="23"/>
  <c r="D4531" i="23"/>
  <c r="C4531" i="23"/>
  <c r="D4530" i="23"/>
  <c r="C4530" i="23"/>
  <c r="D4529" i="23"/>
  <c r="C4529" i="23"/>
  <c r="D4528" i="23"/>
  <c r="C4528" i="23"/>
  <c r="D4527" i="23"/>
  <c r="C4527" i="23"/>
  <c r="D4526" i="23"/>
  <c r="C4526" i="23"/>
  <c r="D4525" i="23"/>
  <c r="C4525" i="23"/>
  <c r="D4524" i="23"/>
  <c r="C4524" i="23"/>
  <c r="D4523" i="23"/>
  <c r="C4523" i="23"/>
  <c r="D4522" i="23"/>
  <c r="C4522" i="23"/>
  <c r="D4521" i="23"/>
  <c r="C4521" i="23"/>
  <c r="D4520" i="23"/>
  <c r="C4520" i="23"/>
  <c r="D4519" i="23"/>
  <c r="C4519" i="23"/>
  <c r="D4518" i="23"/>
  <c r="C4518" i="23"/>
  <c r="D4517" i="23"/>
  <c r="C4517" i="23"/>
  <c r="D4516" i="23"/>
  <c r="C4516" i="23"/>
  <c r="D4515" i="23"/>
  <c r="C4515" i="23"/>
  <c r="D4514" i="23"/>
  <c r="C4514" i="23"/>
  <c r="D4513" i="23"/>
  <c r="C4513" i="23"/>
  <c r="D4512" i="23"/>
  <c r="C4512" i="23"/>
  <c r="D4511" i="23"/>
  <c r="C4511" i="23"/>
  <c r="D4510" i="23"/>
  <c r="C4510" i="23"/>
  <c r="D4509" i="23"/>
  <c r="C4509" i="23"/>
  <c r="D4508" i="23"/>
  <c r="C4508" i="23"/>
  <c r="D4507" i="23"/>
  <c r="C4507" i="23"/>
  <c r="D4506" i="23"/>
  <c r="C4506" i="23"/>
  <c r="D4505" i="23"/>
  <c r="C4505" i="23"/>
  <c r="D4504" i="23"/>
  <c r="C4504" i="23"/>
  <c r="D4503" i="23"/>
  <c r="C4503" i="23"/>
  <c r="D4502" i="23"/>
  <c r="C4502" i="23"/>
  <c r="D4501" i="23"/>
  <c r="C4501" i="23"/>
  <c r="D4500" i="23"/>
  <c r="C4500" i="23"/>
  <c r="D4499" i="23"/>
  <c r="C4499" i="23"/>
  <c r="D4498" i="23"/>
  <c r="C4498" i="23"/>
  <c r="D4497" i="23"/>
  <c r="C4497" i="23"/>
  <c r="D4496" i="23"/>
  <c r="C4496" i="23"/>
  <c r="D4495" i="23"/>
  <c r="C4495" i="23"/>
  <c r="D4494" i="23"/>
  <c r="C4494" i="23"/>
  <c r="D4493" i="23"/>
  <c r="C4493" i="23"/>
  <c r="D4492" i="23"/>
  <c r="C4492" i="23"/>
  <c r="D4491" i="23"/>
  <c r="C4491" i="23"/>
  <c r="D4490" i="23"/>
  <c r="C4490" i="23"/>
  <c r="D4489" i="23"/>
  <c r="C4489" i="23"/>
  <c r="D4488" i="23"/>
  <c r="C4488" i="23"/>
  <c r="D4487" i="23"/>
  <c r="C4487" i="23"/>
  <c r="D4486" i="23"/>
  <c r="C4486" i="23"/>
  <c r="D4485" i="23"/>
  <c r="C4485" i="23"/>
  <c r="D4484" i="23"/>
  <c r="C4484" i="23"/>
  <c r="D4483" i="23"/>
  <c r="C4483" i="23"/>
  <c r="D4482" i="23"/>
  <c r="C4482" i="23"/>
  <c r="D4481" i="23"/>
  <c r="C4481" i="23"/>
  <c r="D4480" i="23"/>
  <c r="C4480" i="23"/>
  <c r="D4479" i="23"/>
  <c r="C4479" i="23"/>
  <c r="D4478" i="23"/>
  <c r="C4478" i="23"/>
  <c r="D4477" i="23"/>
  <c r="C4477" i="23"/>
  <c r="D4476" i="23"/>
  <c r="C4476" i="23"/>
  <c r="D4475" i="23"/>
  <c r="C4475" i="23"/>
  <c r="D4474" i="23"/>
  <c r="C4474" i="23"/>
  <c r="D4473" i="23"/>
  <c r="C4473" i="23"/>
  <c r="D4472" i="23"/>
  <c r="C4472" i="23"/>
  <c r="D4471" i="23"/>
  <c r="C4471" i="23"/>
  <c r="D4470" i="23"/>
  <c r="C4470" i="23"/>
  <c r="D4469" i="23"/>
  <c r="C4469" i="23"/>
  <c r="D4468" i="23"/>
  <c r="C4468" i="23"/>
  <c r="D4467" i="23"/>
  <c r="C4467" i="23"/>
  <c r="D4466" i="23"/>
  <c r="C4466" i="23"/>
  <c r="D4465" i="23"/>
  <c r="C4465" i="23"/>
  <c r="D4464" i="23"/>
  <c r="C4464" i="23"/>
  <c r="D4463" i="23"/>
  <c r="C4463" i="23"/>
  <c r="D4462" i="23"/>
  <c r="C4462" i="23"/>
  <c r="D4461" i="23"/>
  <c r="C4461" i="23"/>
  <c r="D4460" i="23"/>
  <c r="C4460" i="23"/>
  <c r="D4459" i="23"/>
  <c r="C4459" i="23"/>
  <c r="D4458" i="23"/>
  <c r="C4458" i="23"/>
  <c r="D4457" i="23"/>
  <c r="C4457" i="23"/>
  <c r="D4456" i="23"/>
  <c r="C4456" i="23"/>
  <c r="D4455" i="23"/>
  <c r="C4455" i="23"/>
  <c r="D4454" i="23"/>
  <c r="C4454" i="23"/>
  <c r="D4453" i="23"/>
  <c r="C4453" i="23"/>
  <c r="D4452" i="23"/>
  <c r="C4452" i="23"/>
  <c r="D4451" i="23"/>
  <c r="C4451" i="23"/>
  <c r="D4450" i="23"/>
  <c r="C4450" i="23"/>
  <c r="D4449" i="23"/>
  <c r="C4449" i="23"/>
  <c r="D4448" i="23"/>
  <c r="C4448" i="23"/>
  <c r="D4447" i="23"/>
  <c r="C4447" i="23"/>
  <c r="D4446" i="23"/>
  <c r="C4446" i="23"/>
  <c r="D4445" i="23"/>
  <c r="C4445" i="23"/>
  <c r="D4444" i="23"/>
  <c r="C4444" i="23"/>
  <c r="D4443" i="23"/>
  <c r="C4443" i="23"/>
  <c r="D4442" i="23"/>
  <c r="C4442" i="23"/>
  <c r="D4441" i="23"/>
  <c r="C4441" i="23"/>
  <c r="D4440" i="23"/>
  <c r="C4440" i="23"/>
  <c r="D4439" i="23"/>
  <c r="C4439" i="23"/>
  <c r="D4438" i="23"/>
  <c r="C4438" i="23"/>
  <c r="D4437" i="23"/>
  <c r="C4437" i="23"/>
  <c r="D4436" i="23"/>
  <c r="C4436" i="23"/>
  <c r="D4435" i="23"/>
  <c r="C4435" i="23"/>
  <c r="D4434" i="23"/>
  <c r="C4434" i="23"/>
  <c r="D4433" i="23"/>
  <c r="C4433" i="23"/>
  <c r="D4432" i="23"/>
  <c r="C4432" i="23"/>
  <c r="D4431" i="23"/>
  <c r="C4431" i="23"/>
  <c r="D4430" i="23"/>
  <c r="C4430" i="23"/>
  <c r="D4429" i="23"/>
  <c r="C4429" i="23"/>
  <c r="D4428" i="23"/>
  <c r="C4428" i="23"/>
  <c r="D4427" i="23"/>
  <c r="C4427" i="23"/>
  <c r="D4426" i="23"/>
  <c r="C4426" i="23"/>
  <c r="D4425" i="23"/>
  <c r="C4425" i="23"/>
  <c r="D4424" i="23"/>
  <c r="C4424" i="23"/>
  <c r="D4423" i="23"/>
  <c r="C4423" i="23"/>
  <c r="D4422" i="23"/>
  <c r="C4422" i="23"/>
  <c r="D4421" i="23"/>
  <c r="C4421" i="23"/>
  <c r="D4420" i="23"/>
  <c r="C4420" i="23"/>
  <c r="D4419" i="23"/>
  <c r="C4419" i="23"/>
  <c r="D4418" i="23"/>
  <c r="C4418" i="23"/>
  <c r="D4417" i="23"/>
  <c r="C4417" i="23"/>
  <c r="D4416" i="23"/>
  <c r="C4416" i="23"/>
  <c r="D4415" i="23"/>
  <c r="C4415" i="23"/>
  <c r="D4414" i="23"/>
  <c r="C4414" i="23"/>
  <c r="D4413" i="23"/>
  <c r="C4413" i="23"/>
  <c r="D4412" i="23"/>
  <c r="C4412" i="23"/>
  <c r="D4411" i="23"/>
  <c r="C4411" i="23"/>
  <c r="D4410" i="23"/>
  <c r="C4410" i="23"/>
  <c r="D4409" i="23"/>
  <c r="C4409" i="23"/>
  <c r="D4408" i="23"/>
  <c r="C4408" i="23"/>
  <c r="D4407" i="23"/>
  <c r="C4407" i="23"/>
  <c r="D4406" i="23"/>
  <c r="C4406" i="23"/>
  <c r="D4405" i="23"/>
  <c r="C4405" i="23"/>
  <c r="D4404" i="23"/>
  <c r="C4404" i="23"/>
  <c r="D4403" i="23"/>
  <c r="C4403" i="23"/>
  <c r="D4402" i="23"/>
  <c r="C4402" i="23"/>
  <c r="D4401" i="23"/>
  <c r="C4401" i="23"/>
  <c r="D4400" i="23"/>
  <c r="C4400" i="23"/>
  <c r="D4399" i="23"/>
  <c r="C4399" i="23"/>
  <c r="D4398" i="23"/>
  <c r="C4398" i="23"/>
  <c r="D4397" i="23"/>
  <c r="C4397" i="23"/>
  <c r="D4396" i="23"/>
  <c r="C4396" i="23"/>
  <c r="D4395" i="23"/>
  <c r="C4395" i="23"/>
  <c r="D4394" i="23"/>
  <c r="C4394" i="23"/>
  <c r="D4393" i="23"/>
  <c r="C4393" i="23"/>
  <c r="D4392" i="23"/>
  <c r="C4392" i="23"/>
  <c r="D4391" i="23"/>
  <c r="C4391" i="23"/>
  <c r="D4390" i="23"/>
  <c r="C4390" i="23"/>
  <c r="D4389" i="23"/>
  <c r="C4389" i="23"/>
  <c r="D4388" i="23"/>
  <c r="C4388" i="23"/>
  <c r="D4387" i="23"/>
  <c r="C4387" i="23"/>
  <c r="D4386" i="23"/>
  <c r="C4386" i="23"/>
  <c r="D4385" i="23"/>
  <c r="C4385" i="23"/>
  <c r="D4384" i="23"/>
  <c r="C4384" i="23"/>
  <c r="D4383" i="23"/>
  <c r="C4383" i="23"/>
  <c r="D4382" i="23"/>
  <c r="C4382" i="23"/>
  <c r="D4381" i="23"/>
  <c r="C4381" i="23"/>
  <c r="D4380" i="23"/>
  <c r="C4380" i="23"/>
  <c r="D4379" i="23"/>
  <c r="C4379" i="23"/>
  <c r="D4378" i="23"/>
  <c r="C4378" i="23"/>
  <c r="D4377" i="23"/>
  <c r="C4377" i="23"/>
  <c r="D4376" i="23"/>
  <c r="C4376" i="23"/>
  <c r="D4375" i="23"/>
  <c r="C4375" i="23"/>
  <c r="D4374" i="23"/>
  <c r="C4374" i="23"/>
  <c r="D4373" i="23"/>
  <c r="C4373" i="23"/>
  <c r="D4372" i="23"/>
  <c r="C4372" i="23"/>
  <c r="D4371" i="23"/>
  <c r="C4371" i="23"/>
  <c r="D4370" i="23"/>
  <c r="C4370" i="23"/>
  <c r="D4369" i="23"/>
  <c r="C4369" i="23"/>
  <c r="D4368" i="23"/>
  <c r="C4368" i="23"/>
  <c r="D4367" i="23"/>
  <c r="C4367" i="23"/>
  <c r="D4366" i="23"/>
  <c r="C4366" i="23"/>
  <c r="D4365" i="23"/>
  <c r="C4365" i="23"/>
  <c r="D4364" i="23"/>
  <c r="C4364" i="23"/>
  <c r="D4363" i="23"/>
  <c r="C4363" i="23"/>
  <c r="D4362" i="23"/>
  <c r="C4362" i="23"/>
  <c r="D4361" i="23"/>
  <c r="C4361" i="23"/>
  <c r="D4360" i="23"/>
  <c r="C4360" i="23"/>
  <c r="D4359" i="23"/>
  <c r="C4359" i="23"/>
  <c r="D4358" i="23"/>
  <c r="C4358" i="23"/>
  <c r="D4357" i="23"/>
  <c r="C4357" i="23"/>
  <c r="D4356" i="23"/>
  <c r="C4356" i="23"/>
  <c r="D4355" i="23"/>
  <c r="C4355" i="23"/>
  <c r="D4354" i="23"/>
  <c r="C4354" i="23"/>
  <c r="D4353" i="23"/>
  <c r="C4353" i="23"/>
  <c r="D4352" i="23"/>
  <c r="C4352" i="23"/>
  <c r="D4351" i="23"/>
  <c r="C4351" i="23"/>
  <c r="D4350" i="23"/>
  <c r="C4350" i="23"/>
  <c r="D4349" i="23"/>
  <c r="C4349" i="23"/>
  <c r="D4348" i="23"/>
  <c r="C4348" i="23"/>
  <c r="D4347" i="23"/>
  <c r="C4347" i="23"/>
  <c r="D4346" i="23"/>
  <c r="C4346" i="23"/>
  <c r="D4345" i="23"/>
  <c r="C4345" i="23"/>
  <c r="D4344" i="23"/>
  <c r="C4344" i="23"/>
  <c r="D4343" i="23"/>
  <c r="C4343" i="23"/>
  <c r="D4342" i="23"/>
  <c r="C4342" i="23"/>
  <c r="D4341" i="23"/>
  <c r="C4341" i="23"/>
  <c r="D4340" i="23"/>
  <c r="C4340" i="23"/>
  <c r="D4339" i="23"/>
  <c r="C4339" i="23"/>
  <c r="D4338" i="23"/>
  <c r="C4338" i="23"/>
  <c r="D4337" i="23"/>
  <c r="C4337" i="23"/>
  <c r="D4336" i="23"/>
  <c r="C4336" i="23"/>
  <c r="D4335" i="23"/>
  <c r="C4335" i="23"/>
  <c r="D4334" i="23"/>
  <c r="C4334" i="23"/>
  <c r="D4333" i="23"/>
  <c r="C4333" i="23"/>
  <c r="D4332" i="23"/>
  <c r="C4332" i="23"/>
  <c r="D4331" i="23"/>
  <c r="C4331" i="23"/>
  <c r="D4330" i="23"/>
  <c r="C4330" i="23"/>
  <c r="D4329" i="23"/>
  <c r="C4329" i="23"/>
  <c r="D4328" i="23"/>
  <c r="C4328" i="23"/>
  <c r="D4327" i="23"/>
  <c r="C4327" i="23"/>
  <c r="D4326" i="23"/>
  <c r="C4326" i="23"/>
  <c r="D4325" i="23"/>
  <c r="C4325" i="23"/>
  <c r="D4324" i="23"/>
  <c r="C4324" i="23"/>
  <c r="D4323" i="23"/>
  <c r="C4323" i="23"/>
  <c r="D4322" i="23"/>
  <c r="C4322" i="23"/>
  <c r="D4321" i="23"/>
  <c r="C4321" i="23"/>
  <c r="D4320" i="23"/>
  <c r="C4320" i="23"/>
  <c r="D4319" i="23"/>
  <c r="C4319" i="23"/>
  <c r="D4318" i="23"/>
  <c r="C4318" i="23"/>
  <c r="D4317" i="23"/>
  <c r="C4317" i="23"/>
  <c r="D4316" i="23"/>
  <c r="C4316" i="23"/>
  <c r="D4315" i="23"/>
  <c r="C4315" i="23"/>
  <c r="D4314" i="23"/>
  <c r="C4314" i="23"/>
  <c r="D4313" i="23"/>
  <c r="C4313" i="23"/>
  <c r="D4312" i="23"/>
  <c r="C4312" i="23"/>
  <c r="D4311" i="23"/>
  <c r="C4311" i="23"/>
  <c r="D4310" i="23"/>
  <c r="C4310" i="23"/>
  <c r="D4309" i="23"/>
  <c r="C4309" i="23"/>
  <c r="D4308" i="23"/>
  <c r="C4308" i="23"/>
  <c r="D4307" i="23"/>
  <c r="C4307" i="23"/>
  <c r="D4306" i="23"/>
  <c r="C4306" i="23"/>
  <c r="D4305" i="23"/>
  <c r="C4305" i="23"/>
  <c r="D4304" i="23"/>
  <c r="C4304" i="23"/>
  <c r="D4303" i="23"/>
  <c r="C4303" i="23"/>
  <c r="D4302" i="23"/>
  <c r="C4302" i="23"/>
  <c r="D4301" i="23"/>
  <c r="C4301" i="23"/>
  <c r="D4300" i="23"/>
  <c r="C4300" i="23"/>
  <c r="D4299" i="23"/>
  <c r="C4299" i="23"/>
  <c r="D4298" i="23"/>
  <c r="C4298" i="23"/>
  <c r="D4297" i="23"/>
  <c r="C4297" i="23"/>
  <c r="D4296" i="23"/>
  <c r="C4296" i="23"/>
  <c r="D4295" i="23"/>
  <c r="C4295" i="23"/>
  <c r="D4294" i="23"/>
  <c r="C4294" i="23"/>
  <c r="D4293" i="23"/>
  <c r="C4293" i="23"/>
  <c r="D4292" i="23"/>
  <c r="C4292" i="23"/>
  <c r="D4291" i="23"/>
  <c r="C4291" i="23"/>
  <c r="D4290" i="23"/>
  <c r="C4290" i="23"/>
  <c r="D4289" i="23"/>
  <c r="C4289" i="23"/>
  <c r="D4288" i="23"/>
  <c r="C4288" i="23"/>
  <c r="D4287" i="23"/>
  <c r="C4287" i="23"/>
  <c r="D4286" i="23"/>
  <c r="C4286" i="23"/>
  <c r="D4285" i="23"/>
  <c r="C4285" i="23"/>
  <c r="D4284" i="23"/>
  <c r="C4284" i="23"/>
  <c r="D4283" i="23"/>
  <c r="C4283" i="23"/>
  <c r="D4282" i="23"/>
  <c r="C4282" i="23"/>
  <c r="D4281" i="23"/>
  <c r="C4281" i="23"/>
  <c r="D4280" i="23"/>
  <c r="C4280" i="23"/>
  <c r="D4279" i="23"/>
  <c r="C4279" i="23"/>
  <c r="D4278" i="23"/>
  <c r="C4278" i="23"/>
  <c r="D4277" i="23"/>
  <c r="C4277" i="23"/>
  <c r="D4276" i="23"/>
  <c r="C4276" i="23"/>
  <c r="D4275" i="23"/>
  <c r="C4275" i="23"/>
  <c r="D4274" i="23"/>
  <c r="C4274" i="23"/>
  <c r="D4273" i="23"/>
  <c r="C4273" i="23"/>
  <c r="D4272" i="23"/>
  <c r="C4272" i="23"/>
  <c r="D4271" i="23"/>
  <c r="C4271" i="23"/>
  <c r="D4270" i="23"/>
  <c r="C4270" i="23"/>
  <c r="D4269" i="23"/>
  <c r="C4269" i="23"/>
  <c r="D4268" i="23"/>
  <c r="C4268" i="23"/>
  <c r="D4267" i="23"/>
  <c r="C4267" i="23"/>
  <c r="D4266" i="23"/>
  <c r="C4266" i="23"/>
  <c r="D4265" i="23"/>
  <c r="C4265" i="23"/>
  <c r="D4264" i="23"/>
  <c r="C4264" i="23"/>
  <c r="D4263" i="23"/>
  <c r="C4263" i="23"/>
  <c r="D4262" i="23"/>
  <c r="C4262" i="23"/>
  <c r="D4261" i="23"/>
  <c r="C4261" i="23"/>
  <c r="D4260" i="23"/>
  <c r="C4260" i="23"/>
  <c r="D4259" i="23"/>
  <c r="C4259" i="23"/>
  <c r="D4258" i="23"/>
  <c r="C4258" i="23"/>
  <c r="D4257" i="23"/>
  <c r="C4257" i="23"/>
  <c r="D4256" i="23"/>
  <c r="C4256" i="23"/>
  <c r="D4255" i="23"/>
  <c r="C4255" i="23"/>
  <c r="D4254" i="23"/>
  <c r="C4254" i="23"/>
  <c r="D4253" i="23"/>
  <c r="C4253" i="23"/>
  <c r="D4252" i="23"/>
  <c r="C4252" i="23"/>
  <c r="D4251" i="23"/>
  <c r="C4251" i="23"/>
  <c r="D4250" i="23"/>
  <c r="C4250" i="23"/>
  <c r="D4249" i="23"/>
  <c r="C4249" i="23"/>
  <c r="D4248" i="23"/>
  <c r="C4248" i="23"/>
  <c r="D4247" i="23"/>
  <c r="C4247" i="23"/>
  <c r="D4246" i="23"/>
  <c r="C4246" i="23"/>
  <c r="D4245" i="23"/>
  <c r="C4245" i="23"/>
  <c r="D4244" i="23"/>
  <c r="C4244" i="23"/>
  <c r="D4243" i="23"/>
  <c r="C4243" i="23"/>
  <c r="D4242" i="23"/>
  <c r="C4242" i="23"/>
  <c r="D4241" i="23"/>
  <c r="C4241" i="23"/>
  <c r="D4240" i="23"/>
  <c r="C4240" i="23"/>
  <c r="D4239" i="23"/>
  <c r="C4239" i="23"/>
  <c r="D4238" i="23"/>
  <c r="C4238" i="23"/>
  <c r="D4237" i="23"/>
  <c r="C4237" i="23"/>
  <c r="D4236" i="23"/>
  <c r="C4236" i="23"/>
  <c r="D4235" i="23"/>
  <c r="C4235" i="23"/>
  <c r="D4234" i="23"/>
  <c r="C4234" i="23"/>
  <c r="D4233" i="23"/>
  <c r="C4233" i="23"/>
  <c r="D4232" i="23"/>
  <c r="C4232" i="23"/>
  <c r="D4231" i="23"/>
  <c r="C4231" i="23"/>
  <c r="D4230" i="23"/>
  <c r="C4230" i="23"/>
  <c r="D4229" i="23"/>
  <c r="C4229" i="23"/>
  <c r="D4228" i="23"/>
  <c r="C4228" i="23"/>
  <c r="D4227" i="23"/>
  <c r="C4227" i="23"/>
  <c r="D4226" i="23"/>
  <c r="C4226" i="23"/>
  <c r="D4225" i="23"/>
  <c r="C4225" i="23"/>
  <c r="D4224" i="23"/>
  <c r="C4224" i="23"/>
  <c r="D4223" i="23"/>
  <c r="C4223" i="23"/>
  <c r="D4222" i="23"/>
  <c r="C4222" i="23"/>
  <c r="D4221" i="23"/>
  <c r="C4221" i="23"/>
  <c r="D4220" i="23"/>
  <c r="C4220" i="23"/>
  <c r="D4219" i="23"/>
  <c r="C4219" i="23"/>
  <c r="D4218" i="23"/>
  <c r="C4218" i="23"/>
  <c r="D4217" i="23"/>
  <c r="C4217" i="23"/>
  <c r="D4216" i="23"/>
  <c r="C4216" i="23"/>
  <c r="D4215" i="23"/>
  <c r="C4215" i="23"/>
  <c r="D4214" i="23"/>
  <c r="C4214" i="23"/>
  <c r="D4213" i="23"/>
  <c r="C4213" i="23"/>
  <c r="D4212" i="23"/>
  <c r="C4212" i="23"/>
  <c r="D4211" i="23"/>
  <c r="C4211" i="23"/>
  <c r="D4210" i="23"/>
  <c r="C4210" i="23"/>
  <c r="D4209" i="23"/>
  <c r="C4209" i="23"/>
  <c r="D4208" i="23"/>
  <c r="C4208" i="23"/>
  <c r="D4207" i="23"/>
  <c r="C4207" i="23"/>
  <c r="D4206" i="23"/>
  <c r="C4206" i="23"/>
  <c r="D4205" i="23"/>
  <c r="C4205" i="23"/>
  <c r="D4204" i="23"/>
  <c r="C4204" i="23"/>
  <c r="D4203" i="23"/>
  <c r="C4203" i="23"/>
  <c r="D4202" i="23"/>
  <c r="C4202" i="23"/>
  <c r="D4201" i="23"/>
  <c r="C4201" i="23"/>
  <c r="D4200" i="23"/>
  <c r="C4200" i="23"/>
  <c r="D4199" i="23"/>
  <c r="C4199" i="23"/>
  <c r="D4198" i="23"/>
  <c r="C4198" i="23"/>
  <c r="D4197" i="23"/>
  <c r="C4197" i="23"/>
  <c r="D4196" i="23"/>
  <c r="C4196" i="23"/>
  <c r="D4195" i="23"/>
  <c r="C4195" i="23"/>
  <c r="D4194" i="23"/>
  <c r="C4194" i="23"/>
  <c r="D4193" i="23"/>
  <c r="C4193" i="23"/>
  <c r="D4192" i="23"/>
  <c r="C4192" i="23"/>
  <c r="D4191" i="23"/>
  <c r="C4191" i="23"/>
  <c r="D4190" i="23"/>
  <c r="C4190" i="23"/>
  <c r="D4189" i="23"/>
  <c r="C4189" i="23"/>
  <c r="D4188" i="23"/>
  <c r="C4188" i="23"/>
  <c r="D4187" i="23"/>
  <c r="C4187" i="23"/>
  <c r="D4186" i="23"/>
  <c r="C4186" i="23"/>
  <c r="D4185" i="23"/>
  <c r="C4185" i="23"/>
  <c r="D4184" i="23"/>
  <c r="C4184" i="23"/>
  <c r="D4183" i="23"/>
  <c r="C4183" i="23"/>
  <c r="D4182" i="23"/>
  <c r="C4182" i="23"/>
  <c r="D4181" i="23"/>
  <c r="C4181" i="23"/>
  <c r="D4180" i="23"/>
  <c r="C4180" i="23"/>
  <c r="D4179" i="23"/>
  <c r="C4179" i="23"/>
  <c r="D4178" i="23"/>
  <c r="C4178" i="23"/>
  <c r="D4177" i="23"/>
  <c r="C4177" i="23"/>
  <c r="D4176" i="23"/>
  <c r="C4176" i="23"/>
  <c r="D4175" i="23"/>
  <c r="C4175" i="23"/>
  <c r="D4174" i="23"/>
  <c r="C4174" i="23"/>
  <c r="D4173" i="23"/>
  <c r="C4173" i="23"/>
  <c r="D4172" i="23"/>
  <c r="C4172" i="23"/>
  <c r="D4171" i="23"/>
  <c r="C4171" i="23"/>
  <c r="D4170" i="23"/>
  <c r="C4170" i="23"/>
  <c r="D4169" i="23"/>
  <c r="C4169" i="23"/>
  <c r="D4168" i="23"/>
  <c r="C4168" i="23"/>
  <c r="D4167" i="23"/>
  <c r="C4167" i="23"/>
  <c r="D4166" i="23"/>
  <c r="C4166" i="23"/>
  <c r="D4165" i="23"/>
  <c r="C4165" i="23"/>
  <c r="D4164" i="23"/>
  <c r="C4164" i="23"/>
  <c r="D4163" i="23"/>
  <c r="C4163" i="23"/>
  <c r="D4162" i="23"/>
  <c r="C4162" i="23"/>
  <c r="D4161" i="23"/>
  <c r="C4161" i="23"/>
  <c r="D4160" i="23"/>
  <c r="C4160" i="23"/>
  <c r="D4159" i="23"/>
  <c r="C4159" i="23"/>
  <c r="D4158" i="23"/>
  <c r="C4158" i="23"/>
  <c r="D4157" i="23"/>
  <c r="C4157" i="23"/>
  <c r="D4156" i="23"/>
  <c r="C4156" i="23"/>
  <c r="D4155" i="23"/>
  <c r="C4155" i="23"/>
  <c r="D4154" i="23"/>
  <c r="C4154" i="23"/>
  <c r="D4153" i="23"/>
  <c r="C4153" i="23"/>
  <c r="D4152" i="23"/>
  <c r="C4152" i="23"/>
  <c r="D4151" i="23"/>
  <c r="C4151" i="23"/>
  <c r="D4150" i="23"/>
  <c r="C4150" i="23"/>
  <c r="D4149" i="23"/>
  <c r="C4149" i="23"/>
  <c r="D4148" i="23"/>
  <c r="C4148" i="23"/>
  <c r="D4147" i="23"/>
  <c r="C4147" i="23"/>
  <c r="D4146" i="23"/>
  <c r="C4146" i="23"/>
  <c r="D4145" i="23"/>
  <c r="C4145" i="23"/>
  <c r="D4144" i="23"/>
  <c r="C4144" i="23"/>
  <c r="D4143" i="23"/>
  <c r="C4143" i="23"/>
  <c r="D4142" i="23"/>
  <c r="C4142" i="23"/>
  <c r="D4141" i="23"/>
  <c r="C4141" i="23"/>
  <c r="D4140" i="23"/>
  <c r="C4140" i="23"/>
  <c r="D4139" i="23"/>
  <c r="C4139" i="23"/>
  <c r="D4138" i="23"/>
  <c r="C4138" i="23"/>
  <c r="D4137" i="23"/>
  <c r="C4137" i="23"/>
  <c r="D4136" i="23"/>
  <c r="C4136" i="23"/>
  <c r="D4135" i="23"/>
  <c r="C4135" i="23"/>
  <c r="D4134" i="23"/>
  <c r="C4134" i="23"/>
  <c r="D4133" i="23"/>
  <c r="C4133" i="23"/>
  <c r="D4132" i="23"/>
  <c r="C4132" i="23"/>
  <c r="D4131" i="23"/>
  <c r="C4131" i="23"/>
  <c r="D4130" i="23"/>
  <c r="C4130" i="23"/>
  <c r="D4129" i="23"/>
  <c r="C4129" i="23"/>
  <c r="D4128" i="23"/>
  <c r="C4128" i="23"/>
  <c r="D4127" i="23"/>
  <c r="C4127" i="23"/>
  <c r="D4126" i="23"/>
  <c r="C4126" i="23"/>
  <c r="D4125" i="23"/>
  <c r="C4125" i="23"/>
  <c r="D4124" i="23"/>
  <c r="C4124" i="23"/>
  <c r="D4123" i="23"/>
  <c r="C4123" i="23"/>
  <c r="D4122" i="23"/>
  <c r="C4122" i="23"/>
  <c r="D4121" i="23"/>
  <c r="C4121" i="23"/>
  <c r="D4120" i="23"/>
  <c r="C4120" i="23"/>
  <c r="D4119" i="23"/>
  <c r="C4119" i="23"/>
  <c r="D4118" i="23"/>
  <c r="C4118" i="23"/>
  <c r="D4117" i="23"/>
  <c r="C4117" i="23"/>
  <c r="D4116" i="23"/>
  <c r="C4116" i="23"/>
  <c r="D4115" i="23"/>
  <c r="C4115" i="23"/>
  <c r="D4114" i="23"/>
  <c r="C4114" i="23"/>
  <c r="D4113" i="23"/>
  <c r="C4113" i="23"/>
  <c r="D4112" i="23"/>
  <c r="C4112" i="23"/>
  <c r="D4111" i="23"/>
  <c r="C4111" i="23"/>
  <c r="D4110" i="23"/>
  <c r="C4110" i="23"/>
  <c r="D4109" i="23"/>
  <c r="C4109" i="23"/>
  <c r="D4108" i="23"/>
  <c r="C4108" i="23"/>
  <c r="D4107" i="23"/>
  <c r="C4107" i="23"/>
  <c r="D4106" i="23"/>
  <c r="C4106" i="23"/>
  <c r="D4105" i="23"/>
  <c r="C4105" i="23"/>
  <c r="D4104" i="23"/>
  <c r="C4104" i="23"/>
  <c r="D4103" i="23"/>
  <c r="C4103" i="23"/>
  <c r="D4102" i="23"/>
  <c r="C4102" i="23"/>
  <c r="D4101" i="23"/>
  <c r="C4101" i="23"/>
  <c r="D4100" i="23"/>
  <c r="C4100" i="23"/>
  <c r="D4099" i="23"/>
  <c r="C4099" i="23"/>
  <c r="D4098" i="23"/>
  <c r="C4098" i="23"/>
  <c r="D4097" i="23"/>
  <c r="C4097" i="23"/>
  <c r="D4096" i="23"/>
  <c r="C4096" i="23"/>
  <c r="D4095" i="23"/>
  <c r="C4095" i="23"/>
  <c r="D4094" i="23"/>
  <c r="C4094" i="23"/>
  <c r="D4093" i="23"/>
  <c r="C4093" i="23"/>
  <c r="D4092" i="23"/>
  <c r="C4092" i="23"/>
  <c r="D4091" i="23"/>
  <c r="C4091" i="23"/>
  <c r="D4090" i="23"/>
  <c r="C4090" i="23"/>
  <c r="D4089" i="23"/>
  <c r="C4089" i="23"/>
  <c r="D4088" i="23"/>
  <c r="C4088" i="23"/>
  <c r="D4087" i="23"/>
  <c r="C4087" i="23"/>
  <c r="D4086" i="23"/>
  <c r="C4086" i="23"/>
  <c r="D4085" i="23"/>
  <c r="C4085" i="23"/>
  <c r="D4084" i="23"/>
  <c r="C4084" i="23"/>
  <c r="D4083" i="23"/>
  <c r="C4083" i="23"/>
  <c r="D4082" i="23"/>
  <c r="C4082" i="23"/>
  <c r="D4081" i="23"/>
  <c r="C4081" i="23"/>
  <c r="D4080" i="23"/>
  <c r="C4080" i="23"/>
  <c r="D4079" i="23"/>
  <c r="C4079" i="23"/>
  <c r="D4078" i="23"/>
  <c r="C4078" i="23"/>
  <c r="D4077" i="23"/>
  <c r="C4077" i="23"/>
  <c r="D4076" i="23"/>
  <c r="C4076" i="23"/>
  <c r="D4075" i="23"/>
  <c r="C4075" i="23"/>
  <c r="D4074" i="23"/>
  <c r="C4074" i="23"/>
  <c r="D4073" i="23"/>
  <c r="C4073" i="23"/>
  <c r="D4072" i="23"/>
  <c r="C4072" i="23"/>
  <c r="D4071" i="23"/>
  <c r="C4071" i="23"/>
  <c r="D4070" i="23"/>
  <c r="C4070" i="23"/>
  <c r="D4069" i="23"/>
  <c r="C4069" i="23"/>
  <c r="D4068" i="23"/>
  <c r="C4068" i="23"/>
  <c r="D4067" i="23"/>
  <c r="C4067" i="23"/>
  <c r="D4066" i="23"/>
  <c r="C4066" i="23"/>
  <c r="D4065" i="23"/>
  <c r="C4065" i="23"/>
  <c r="D4064" i="23"/>
  <c r="C4064" i="23"/>
  <c r="D4063" i="23"/>
  <c r="C4063" i="23"/>
  <c r="D4062" i="23"/>
  <c r="C4062" i="23"/>
  <c r="D4061" i="23"/>
  <c r="C4061" i="23"/>
  <c r="D4060" i="23"/>
  <c r="C4060" i="23"/>
  <c r="D4059" i="23"/>
  <c r="C4059" i="23"/>
  <c r="D4058" i="23"/>
  <c r="C4058" i="23"/>
  <c r="D4057" i="23"/>
  <c r="C4057" i="23"/>
  <c r="D4056" i="23"/>
  <c r="C4056" i="23"/>
  <c r="D4055" i="23"/>
  <c r="C4055" i="23"/>
  <c r="D4054" i="23"/>
  <c r="C4054" i="23"/>
  <c r="D4053" i="23"/>
  <c r="C4053" i="23"/>
  <c r="D4052" i="23"/>
  <c r="C4052" i="23"/>
  <c r="D4051" i="23"/>
  <c r="C4051" i="23"/>
  <c r="D4050" i="23"/>
  <c r="C4050" i="23"/>
  <c r="D4049" i="23"/>
  <c r="C4049" i="23"/>
  <c r="D4048" i="23"/>
  <c r="C4048" i="23"/>
  <c r="D4047" i="23"/>
  <c r="C4047" i="23"/>
  <c r="D4046" i="23"/>
  <c r="C4046" i="23"/>
  <c r="D4045" i="23"/>
  <c r="C4045" i="23"/>
  <c r="D4044" i="23"/>
  <c r="C4044" i="23"/>
  <c r="D4043" i="23"/>
  <c r="C4043" i="23"/>
  <c r="D4042" i="23"/>
  <c r="C4042" i="23"/>
  <c r="D4041" i="23"/>
  <c r="C4041" i="23"/>
  <c r="D4040" i="23"/>
  <c r="C4040" i="23"/>
  <c r="D4039" i="23"/>
  <c r="C4039" i="23"/>
  <c r="D4038" i="23"/>
  <c r="C4038" i="23"/>
  <c r="D4037" i="23"/>
  <c r="C4037" i="23"/>
  <c r="D4036" i="23"/>
  <c r="C4036" i="23"/>
  <c r="D4035" i="23"/>
  <c r="C4035" i="23"/>
  <c r="D4034" i="23"/>
  <c r="C4034" i="23"/>
  <c r="D4033" i="23"/>
  <c r="C4033" i="23"/>
  <c r="D4032" i="23"/>
  <c r="C4032" i="23"/>
  <c r="D4031" i="23"/>
  <c r="C4031" i="23"/>
  <c r="D4030" i="23"/>
  <c r="C4030" i="23"/>
  <c r="D4029" i="23"/>
  <c r="C4029" i="23"/>
  <c r="D4028" i="23"/>
  <c r="C4028" i="23"/>
  <c r="D4027" i="23"/>
  <c r="C4027" i="23"/>
  <c r="D4026" i="23"/>
  <c r="C4026" i="23"/>
  <c r="D4025" i="23"/>
  <c r="C4025" i="23"/>
  <c r="D4024" i="23"/>
  <c r="C4024" i="23"/>
  <c r="D4023" i="23"/>
  <c r="C4023" i="23"/>
  <c r="D4022" i="23"/>
  <c r="C4022" i="23"/>
  <c r="D4021" i="23"/>
  <c r="C4021" i="23"/>
  <c r="D4020" i="23"/>
  <c r="C4020" i="23"/>
  <c r="D4019" i="23"/>
  <c r="C4019" i="23"/>
  <c r="D4018" i="23"/>
  <c r="C4018" i="23"/>
  <c r="D4017" i="23"/>
  <c r="C4017" i="23"/>
  <c r="D4016" i="23"/>
  <c r="C4016" i="23"/>
  <c r="D4015" i="23"/>
  <c r="C4015" i="23"/>
  <c r="D4014" i="23"/>
  <c r="C4014" i="23"/>
  <c r="D4013" i="23"/>
  <c r="C4013" i="23"/>
  <c r="D4012" i="23"/>
  <c r="C4012" i="23"/>
  <c r="D4011" i="23"/>
  <c r="C4011" i="23"/>
  <c r="D4010" i="23"/>
  <c r="C4010" i="23"/>
  <c r="D4009" i="23"/>
  <c r="C4009" i="23"/>
  <c r="D4008" i="23"/>
  <c r="C4008" i="23"/>
  <c r="D4007" i="23"/>
  <c r="C4007" i="23"/>
  <c r="D4006" i="23"/>
  <c r="C4006" i="23"/>
  <c r="D4005" i="23"/>
  <c r="C4005" i="23"/>
  <c r="D4004" i="23"/>
  <c r="C4004" i="23"/>
  <c r="D4003" i="23"/>
  <c r="C4003" i="23"/>
  <c r="D4002" i="23"/>
  <c r="C4002" i="23"/>
  <c r="D4001" i="23"/>
  <c r="C4001" i="23"/>
  <c r="D4000" i="23"/>
  <c r="C4000" i="23"/>
  <c r="D3999" i="23"/>
  <c r="C3999" i="23"/>
  <c r="D3998" i="23"/>
  <c r="C3998" i="23"/>
  <c r="D3997" i="23"/>
  <c r="C3997" i="23"/>
  <c r="D3996" i="23"/>
  <c r="C3996" i="23"/>
  <c r="D3995" i="23"/>
  <c r="C3995" i="23"/>
  <c r="D3994" i="23"/>
  <c r="C3994" i="23"/>
  <c r="D3993" i="23"/>
  <c r="C3993" i="23"/>
  <c r="D3992" i="23"/>
  <c r="C3992" i="23"/>
  <c r="D3991" i="23"/>
  <c r="C3991" i="23"/>
  <c r="D3990" i="23"/>
  <c r="C3990" i="23"/>
  <c r="D3989" i="23"/>
  <c r="C3989" i="23"/>
  <c r="D3988" i="23"/>
  <c r="C3988" i="23"/>
  <c r="D3987" i="23"/>
  <c r="C3987" i="23"/>
  <c r="D3986" i="23"/>
  <c r="C3986" i="23"/>
  <c r="D3985" i="23"/>
  <c r="C3985" i="23"/>
  <c r="D3984" i="23"/>
  <c r="C3984" i="23"/>
  <c r="D3983" i="23"/>
  <c r="C3983" i="23"/>
  <c r="D3982" i="23"/>
  <c r="C3982" i="23"/>
  <c r="D3981" i="23"/>
  <c r="C3981" i="23"/>
  <c r="D3980" i="23"/>
  <c r="C3980" i="23"/>
  <c r="D3979" i="23"/>
  <c r="C3979" i="23"/>
  <c r="D3978" i="23"/>
  <c r="C3978" i="23"/>
  <c r="D3977" i="23"/>
  <c r="C3977" i="23"/>
  <c r="D3976" i="23"/>
  <c r="C3976" i="23"/>
  <c r="D3975" i="23"/>
  <c r="C3975" i="23"/>
  <c r="D3974" i="23"/>
  <c r="C3974" i="23"/>
  <c r="D3973" i="23"/>
  <c r="C3973" i="23"/>
  <c r="D3972" i="23"/>
  <c r="C3972" i="23"/>
  <c r="D3971" i="23"/>
  <c r="C3971" i="23"/>
  <c r="D3970" i="23"/>
  <c r="C3970" i="23"/>
  <c r="D3969" i="23"/>
  <c r="C3969" i="23"/>
  <c r="D3968" i="23"/>
  <c r="C3968" i="23"/>
  <c r="D3967" i="23"/>
  <c r="C3967" i="23"/>
  <c r="D3966" i="23"/>
  <c r="C3966" i="23"/>
  <c r="D3965" i="23"/>
  <c r="C3965" i="23"/>
  <c r="D3964" i="23"/>
  <c r="C3964" i="23"/>
  <c r="D3963" i="23"/>
  <c r="C3963" i="23"/>
  <c r="D3962" i="23"/>
  <c r="C3962" i="23"/>
  <c r="D3961" i="23"/>
  <c r="C3961" i="23"/>
  <c r="D3960" i="23"/>
  <c r="C3960" i="23"/>
  <c r="D3959" i="23"/>
  <c r="C3959" i="23"/>
  <c r="D3958" i="23"/>
  <c r="C3958" i="23"/>
  <c r="D3957" i="23"/>
  <c r="C3957" i="23"/>
  <c r="D3956" i="23"/>
  <c r="C3956" i="23"/>
  <c r="D3955" i="23"/>
  <c r="C3955" i="23"/>
  <c r="D3954" i="23"/>
  <c r="C3954" i="23"/>
  <c r="D3953" i="23"/>
  <c r="C3953" i="23"/>
  <c r="D3952" i="23"/>
  <c r="C3952" i="23"/>
  <c r="D3951" i="23"/>
  <c r="C3951" i="23"/>
  <c r="D3950" i="23"/>
  <c r="C3950" i="23"/>
  <c r="D3949" i="23"/>
  <c r="C3949" i="23"/>
  <c r="D3948" i="23"/>
  <c r="C3948" i="23"/>
  <c r="D3947" i="23"/>
  <c r="C3947" i="23"/>
  <c r="D3946" i="23"/>
  <c r="C3946" i="23"/>
  <c r="D3945" i="23"/>
  <c r="C3945" i="23"/>
  <c r="D3944" i="23"/>
  <c r="C3944" i="23"/>
  <c r="D3943" i="23"/>
  <c r="C3943" i="23"/>
  <c r="D3942" i="23"/>
  <c r="C3942" i="23"/>
  <c r="D3941" i="23"/>
  <c r="C3941" i="23"/>
  <c r="D3940" i="23"/>
  <c r="C3940" i="23"/>
  <c r="D3939" i="23"/>
  <c r="C3939" i="23"/>
  <c r="D3938" i="23"/>
  <c r="C3938" i="23"/>
  <c r="D3937" i="23"/>
  <c r="C3937" i="23"/>
  <c r="D3936" i="23"/>
  <c r="C3936" i="23"/>
  <c r="D3935" i="23"/>
  <c r="C3935" i="23"/>
  <c r="D3934" i="23"/>
  <c r="C3934" i="23"/>
  <c r="D3933" i="23"/>
  <c r="C3933" i="23"/>
  <c r="D3932" i="23"/>
  <c r="C3932" i="23"/>
  <c r="D3931" i="23"/>
  <c r="C3931" i="23"/>
  <c r="D3930" i="23"/>
  <c r="C3930" i="23"/>
  <c r="D3929" i="23"/>
  <c r="C3929" i="23"/>
  <c r="D3928" i="23"/>
  <c r="C3928" i="23"/>
  <c r="D3927" i="23"/>
  <c r="C3927" i="23"/>
  <c r="D3926" i="23"/>
  <c r="C3926" i="23"/>
  <c r="D3925" i="23"/>
  <c r="C3925" i="23"/>
  <c r="D3924" i="23"/>
  <c r="C3924" i="23"/>
  <c r="D3923" i="23"/>
  <c r="C3923" i="23"/>
  <c r="D3922" i="23"/>
  <c r="C3922" i="23"/>
  <c r="D3921" i="23"/>
  <c r="C3921" i="23"/>
  <c r="D3920" i="23"/>
  <c r="C3920" i="23"/>
  <c r="D3919" i="23"/>
  <c r="C3919" i="23"/>
  <c r="D3918" i="23"/>
  <c r="C3918" i="23"/>
  <c r="D3917" i="23"/>
  <c r="C3917" i="23"/>
  <c r="D3916" i="23"/>
  <c r="C3916" i="23"/>
  <c r="D3915" i="23"/>
  <c r="C3915" i="23"/>
  <c r="D3914" i="23"/>
  <c r="C3914" i="23"/>
  <c r="D3913" i="23"/>
  <c r="C3913" i="23"/>
  <c r="D3912" i="23"/>
  <c r="C3912" i="23"/>
  <c r="D3911" i="23"/>
  <c r="C3911" i="23"/>
  <c r="D3910" i="23"/>
  <c r="C3910" i="23"/>
  <c r="D3909" i="23"/>
  <c r="C3909" i="23"/>
  <c r="D3908" i="23"/>
  <c r="C3908" i="23"/>
  <c r="D3907" i="23"/>
  <c r="C3907" i="23"/>
  <c r="D3906" i="23"/>
  <c r="C3906" i="23"/>
  <c r="D3905" i="23"/>
  <c r="C3905" i="23"/>
  <c r="D3904" i="23"/>
  <c r="C3904" i="23"/>
  <c r="D3903" i="23"/>
  <c r="C3903" i="23"/>
  <c r="D3902" i="23"/>
  <c r="C3902" i="23"/>
  <c r="D3901" i="23"/>
  <c r="C3901" i="23"/>
  <c r="D3900" i="23"/>
  <c r="C3900" i="23"/>
  <c r="D3899" i="23"/>
  <c r="C3899" i="23"/>
  <c r="D3898" i="23"/>
  <c r="C3898" i="23"/>
  <c r="D3897" i="23"/>
  <c r="C3897" i="23"/>
  <c r="D3896" i="23"/>
  <c r="C3896" i="23"/>
  <c r="D3895" i="23"/>
  <c r="C3895" i="23"/>
  <c r="D3894" i="23"/>
  <c r="C3894" i="23"/>
  <c r="D3893" i="23"/>
  <c r="C3893" i="23"/>
  <c r="D3892" i="23"/>
  <c r="C3892" i="23"/>
  <c r="D3891" i="23"/>
  <c r="C3891" i="23"/>
  <c r="D3890" i="23"/>
  <c r="C3890" i="23"/>
  <c r="D3889" i="23"/>
  <c r="C3889" i="23"/>
  <c r="D3888" i="23"/>
  <c r="C3888" i="23"/>
  <c r="D3887" i="23"/>
  <c r="C3887" i="23"/>
  <c r="D3886" i="23"/>
  <c r="C3886" i="23"/>
  <c r="D3885" i="23"/>
  <c r="C3885" i="23"/>
  <c r="D3884" i="23"/>
  <c r="C3884" i="23"/>
  <c r="D3883" i="23"/>
  <c r="C3883" i="23"/>
  <c r="D3882" i="23"/>
  <c r="C3882" i="23"/>
  <c r="D3881" i="23"/>
  <c r="C3881" i="23"/>
  <c r="D3880" i="23"/>
  <c r="C3880" i="23"/>
  <c r="D3879" i="23"/>
  <c r="C3879" i="23"/>
  <c r="D3878" i="23"/>
  <c r="C3878" i="23"/>
  <c r="D3877" i="23"/>
  <c r="C3877" i="23"/>
  <c r="D3876" i="23"/>
  <c r="C3876" i="23"/>
  <c r="D3875" i="23"/>
  <c r="C3875" i="23"/>
  <c r="D3874" i="23"/>
  <c r="C3874" i="23"/>
  <c r="D3873" i="23"/>
  <c r="C3873" i="23"/>
  <c r="D3872" i="23"/>
  <c r="C3872" i="23"/>
  <c r="D3871" i="23"/>
  <c r="C3871" i="23"/>
  <c r="D3870" i="23"/>
  <c r="C3870" i="23"/>
  <c r="D3869" i="23"/>
  <c r="C3869" i="23"/>
  <c r="D3868" i="23"/>
  <c r="C3868" i="23"/>
  <c r="D3867" i="23"/>
  <c r="C3867" i="23"/>
  <c r="D3866" i="23"/>
  <c r="C3866" i="23"/>
  <c r="D3865" i="23"/>
  <c r="C3865" i="23"/>
  <c r="D3864" i="23"/>
  <c r="C3864" i="23"/>
  <c r="D3863" i="23"/>
  <c r="C3863" i="23"/>
  <c r="D3862" i="23"/>
  <c r="C3862" i="23"/>
  <c r="D3861" i="23"/>
  <c r="C3861" i="23"/>
  <c r="D3860" i="23"/>
  <c r="C3860" i="23"/>
  <c r="D3859" i="23"/>
  <c r="C3859" i="23"/>
  <c r="D3858" i="23"/>
  <c r="C3858" i="23"/>
  <c r="D3857" i="23"/>
  <c r="C3857" i="23"/>
  <c r="D3856" i="23"/>
  <c r="C3856" i="23"/>
  <c r="D3855" i="23"/>
  <c r="C3855" i="23"/>
  <c r="D3854" i="23"/>
  <c r="C3854" i="23"/>
  <c r="D3853" i="23"/>
  <c r="C3853" i="23"/>
  <c r="D3852" i="23"/>
  <c r="C3852" i="23"/>
  <c r="D3851" i="23"/>
  <c r="C3851" i="23"/>
  <c r="D3850" i="23"/>
  <c r="C3850" i="23"/>
  <c r="D3849" i="23"/>
  <c r="C3849" i="23"/>
  <c r="D3848" i="23"/>
  <c r="C3848" i="23"/>
  <c r="D3847" i="23"/>
  <c r="C3847" i="23"/>
  <c r="D3846" i="23"/>
  <c r="C3846" i="23"/>
  <c r="D3845" i="23"/>
  <c r="C3845" i="23"/>
  <c r="D3844" i="23"/>
  <c r="C3844" i="23"/>
  <c r="D3843" i="23"/>
  <c r="C3843" i="23"/>
  <c r="D3842" i="23"/>
  <c r="C3842" i="23"/>
  <c r="D3841" i="23"/>
  <c r="C3841" i="23"/>
  <c r="D3840" i="23"/>
  <c r="C3840" i="23"/>
  <c r="D3839" i="23"/>
  <c r="C3839" i="23"/>
  <c r="D3838" i="23"/>
  <c r="C3838" i="23"/>
  <c r="D3837" i="23"/>
  <c r="C3837" i="23"/>
  <c r="D3836" i="23"/>
  <c r="C3836" i="23"/>
  <c r="D3835" i="23"/>
  <c r="C3835" i="23"/>
  <c r="D3834" i="23"/>
  <c r="C3834" i="23"/>
  <c r="D3833" i="23"/>
  <c r="C3833" i="23"/>
  <c r="D3832" i="23"/>
  <c r="C3832" i="23"/>
  <c r="D3831" i="23"/>
  <c r="C3831" i="23"/>
  <c r="D3830" i="23"/>
  <c r="C3830" i="23"/>
  <c r="D3829" i="23"/>
  <c r="C3829" i="23"/>
  <c r="D3828" i="23"/>
  <c r="C3828" i="23"/>
  <c r="D3827" i="23"/>
  <c r="C3827" i="23"/>
  <c r="D3826" i="23"/>
  <c r="C3826" i="23"/>
  <c r="D3825" i="23"/>
  <c r="C3825" i="23"/>
  <c r="D3824" i="23"/>
  <c r="C3824" i="23"/>
  <c r="D3823" i="23"/>
  <c r="C3823" i="23"/>
  <c r="D3822" i="23"/>
  <c r="C3822" i="23"/>
  <c r="D3821" i="23"/>
  <c r="C3821" i="23"/>
  <c r="D3820" i="23"/>
  <c r="C3820" i="23"/>
  <c r="D3819" i="23"/>
  <c r="C3819" i="23"/>
  <c r="D3818" i="23"/>
  <c r="C3818" i="23"/>
  <c r="D3817" i="23"/>
  <c r="C3817" i="23"/>
  <c r="D3816" i="23"/>
  <c r="C3816" i="23"/>
  <c r="D3815" i="23"/>
  <c r="C3815" i="23"/>
  <c r="D3814" i="23"/>
  <c r="C3814" i="23"/>
  <c r="D3813" i="23"/>
  <c r="C3813" i="23"/>
  <c r="D3812" i="23"/>
  <c r="C3812" i="23"/>
  <c r="D3811" i="23"/>
  <c r="C3811" i="23"/>
  <c r="D3810" i="23"/>
  <c r="C3810" i="23"/>
  <c r="D3809" i="23"/>
  <c r="C3809" i="23"/>
  <c r="D3808" i="23"/>
  <c r="C3808" i="23"/>
  <c r="D3807" i="23"/>
  <c r="C3807" i="23"/>
  <c r="D3806" i="23"/>
  <c r="C3806" i="23"/>
  <c r="D3805" i="23"/>
  <c r="C3805" i="23"/>
  <c r="D3804" i="23"/>
  <c r="C3804" i="23"/>
  <c r="D3803" i="23"/>
  <c r="C3803" i="23"/>
  <c r="D3802" i="23"/>
  <c r="C3802" i="23"/>
  <c r="D3801" i="23"/>
  <c r="C3801" i="23"/>
  <c r="D3800" i="23"/>
  <c r="C3800" i="23"/>
  <c r="D3799" i="23"/>
  <c r="C3799" i="23"/>
  <c r="D3798" i="23"/>
  <c r="C3798" i="23"/>
  <c r="D3797" i="23"/>
  <c r="C3797" i="23"/>
  <c r="D3796" i="23"/>
  <c r="C3796" i="23"/>
  <c r="D3795" i="23"/>
  <c r="C3795" i="23"/>
  <c r="D3794" i="23"/>
  <c r="C3794" i="23"/>
  <c r="D3793" i="23"/>
  <c r="C3793" i="23"/>
  <c r="D3792" i="23"/>
  <c r="C3792" i="23"/>
  <c r="D3791" i="23"/>
  <c r="C3791" i="23"/>
  <c r="D3790" i="23"/>
  <c r="C3790" i="23"/>
  <c r="D3789" i="23"/>
  <c r="C3789" i="23"/>
  <c r="D3788" i="23"/>
  <c r="C3788" i="23"/>
  <c r="D3787" i="23"/>
  <c r="C3787" i="23"/>
  <c r="D3786" i="23"/>
  <c r="C3786" i="23"/>
  <c r="D3785" i="23"/>
  <c r="C3785" i="23"/>
  <c r="D3784" i="23"/>
  <c r="C3784" i="23"/>
  <c r="D3783" i="23"/>
  <c r="C3783" i="23"/>
  <c r="D3782" i="23"/>
  <c r="C3782" i="23"/>
  <c r="D3781" i="23"/>
  <c r="C3781" i="23"/>
  <c r="D3780" i="23"/>
  <c r="C3780" i="23"/>
  <c r="D3779" i="23"/>
  <c r="C3779" i="23"/>
  <c r="D3778" i="23"/>
  <c r="C3778" i="23"/>
  <c r="D3777" i="23"/>
  <c r="C3777" i="23"/>
  <c r="D3776" i="23"/>
  <c r="C3776" i="23"/>
  <c r="D3775" i="23"/>
  <c r="C3775" i="23"/>
  <c r="D3774" i="23"/>
  <c r="C3774" i="23"/>
  <c r="D3773" i="23"/>
  <c r="C3773" i="23"/>
  <c r="D3772" i="23"/>
  <c r="C3772" i="23"/>
  <c r="D3771" i="23"/>
  <c r="C3771" i="23"/>
  <c r="D3770" i="23"/>
  <c r="C3770" i="23"/>
  <c r="D3769" i="23"/>
  <c r="C3769" i="23"/>
  <c r="D3768" i="23"/>
  <c r="C3768" i="23"/>
  <c r="D3767" i="23"/>
  <c r="C3767" i="23"/>
  <c r="D3766" i="23"/>
  <c r="C3766" i="23"/>
  <c r="D3765" i="23"/>
  <c r="C3765" i="23"/>
  <c r="D3764" i="23"/>
  <c r="C3764" i="23"/>
  <c r="D3763" i="23"/>
  <c r="C3763" i="23"/>
  <c r="D3762" i="23"/>
  <c r="C3762" i="23"/>
  <c r="D3761" i="23"/>
  <c r="C3761" i="23"/>
  <c r="D3760" i="23"/>
  <c r="C3760" i="23"/>
  <c r="D3759" i="23"/>
  <c r="C3759" i="23"/>
  <c r="D3758" i="23"/>
  <c r="C3758" i="23"/>
  <c r="D3757" i="23"/>
  <c r="C3757" i="23"/>
  <c r="D3756" i="23"/>
  <c r="C3756" i="23"/>
  <c r="D3755" i="23"/>
  <c r="C3755" i="23"/>
  <c r="D3754" i="23"/>
  <c r="C3754" i="23"/>
  <c r="D3753" i="23"/>
  <c r="C3753" i="23"/>
  <c r="D3752" i="23"/>
  <c r="C3752" i="23"/>
  <c r="D3751" i="23"/>
  <c r="C3751" i="23"/>
  <c r="D3750" i="23"/>
  <c r="C3750" i="23"/>
  <c r="D3749" i="23"/>
  <c r="C3749" i="23"/>
  <c r="D3748" i="23"/>
  <c r="C3748" i="23"/>
  <c r="D3747" i="23"/>
  <c r="C3747" i="23"/>
  <c r="D3746" i="23"/>
  <c r="C3746" i="23"/>
  <c r="D3745" i="23"/>
  <c r="C3745" i="23"/>
  <c r="D3744" i="23"/>
  <c r="C3744" i="23"/>
  <c r="D3743" i="23"/>
  <c r="C3743" i="23"/>
  <c r="D3742" i="23"/>
  <c r="C3742" i="23"/>
  <c r="D3741" i="23"/>
  <c r="C3741" i="23"/>
  <c r="D3740" i="23"/>
  <c r="C3740" i="23"/>
  <c r="D3739" i="23"/>
  <c r="C3739" i="23"/>
  <c r="D3738" i="23"/>
  <c r="C3738" i="23"/>
  <c r="D3737" i="23"/>
  <c r="C3737" i="23"/>
  <c r="D3736" i="23"/>
  <c r="C3736" i="23"/>
  <c r="D3735" i="23"/>
  <c r="C3735" i="23"/>
  <c r="D3734" i="23"/>
  <c r="C3734" i="23"/>
  <c r="D3733" i="23"/>
  <c r="C3733" i="23"/>
  <c r="D3732" i="23"/>
  <c r="C3732" i="23"/>
  <c r="D3731" i="23"/>
  <c r="C3731" i="23"/>
  <c r="D3730" i="23"/>
  <c r="C3730" i="23"/>
  <c r="D3729" i="23"/>
  <c r="C3729" i="23"/>
  <c r="D3728" i="23"/>
  <c r="C3728" i="23"/>
  <c r="D3727" i="23"/>
  <c r="C3727" i="23"/>
  <c r="D3726" i="23"/>
  <c r="C3726" i="23"/>
  <c r="D3725" i="23"/>
  <c r="C3725" i="23"/>
  <c r="D3724" i="23"/>
  <c r="C3724" i="23"/>
  <c r="D3723" i="23"/>
  <c r="C3723" i="23"/>
  <c r="D3722" i="23"/>
  <c r="C3722" i="23"/>
  <c r="D3721" i="23"/>
  <c r="C3721" i="23"/>
  <c r="D3720" i="23"/>
  <c r="C3720" i="23"/>
  <c r="D3719" i="23"/>
  <c r="C3719" i="23"/>
  <c r="D3718" i="23"/>
  <c r="C3718" i="23"/>
  <c r="D3717" i="23"/>
  <c r="C3717" i="23"/>
  <c r="D3716" i="23"/>
  <c r="C3716" i="23"/>
  <c r="D3715" i="23"/>
  <c r="C3715" i="23"/>
  <c r="D3714" i="23"/>
  <c r="C3714" i="23"/>
  <c r="D3713" i="23"/>
  <c r="C3713" i="23"/>
  <c r="D3712" i="23"/>
  <c r="C3712" i="23"/>
  <c r="D3711" i="23"/>
  <c r="C3711" i="23"/>
  <c r="D3710" i="23"/>
  <c r="C3710" i="23"/>
  <c r="D3709" i="23"/>
  <c r="C3709" i="23"/>
  <c r="D3708" i="23"/>
  <c r="C3708" i="23"/>
  <c r="D3707" i="23"/>
  <c r="C3707" i="23"/>
  <c r="D3706" i="23"/>
  <c r="C3706" i="23"/>
  <c r="D3705" i="23"/>
  <c r="C3705" i="23"/>
  <c r="D3704" i="23"/>
  <c r="C3704" i="23"/>
  <c r="D3703" i="23"/>
  <c r="C3703" i="23"/>
  <c r="D3702" i="23"/>
  <c r="C3702" i="23"/>
  <c r="D3701" i="23"/>
  <c r="C3701" i="23"/>
  <c r="D3700" i="23"/>
  <c r="C3700" i="23"/>
  <c r="D3699" i="23"/>
  <c r="C3699" i="23"/>
  <c r="D3698" i="23"/>
  <c r="C3698" i="23"/>
  <c r="D3697" i="23"/>
  <c r="C3697" i="23"/>
  <c r="D3696" i="23"/>
  <c r="C3696" i="23"/>
  <c r="D3695" i="23"/>
  <c r="C3695" i="23"/>
  <c r="D3694" i="23"/>
  <c r="C3694" i="23"/>
  <c r="D3693" i="23"/>
  <c r="C3693" i="23"/>
  <c r="D3692" i="23"/>
  <c r="C3692" i="23"/>
  <c r="D3691" i="23"/>
  <c r="C3691" i="23"/>
  <c r="D3690" i="23"/>
  <c r="C3690" i="23"/>
  <c r="D3689" i="23"/>
  <c r="C3689" i="23"/>
  <c r="D3688" i="23"/>
  <c r="C3688" i="23"/>
  <c r="D3687" i="23"/>
  <c r="C3687" i="23"/>
  <c r="D3686" i="23"/>
  <c r="C3686" i="23"/>
  <c r="D3685" i="23"/>
  <c r="C3685" i="23"/>
  <c r="D3684" i="23"/>
  <c r="C3684" i="23"/>
  <c r="D3683" i="23"/>
  <c r="C3683" i="23"/>
  <c r="D3682" i="23"/>
  <c r="C3682" i="23"/>
  <c r="D3681" i="23"/>
  <c r="C3681" i="23"/>
  <c r="D3680" i="23"/>
  <c r="C3680" i="23"/>
  <c r="D3679" i="23"/>
  <c r="C3679" i="23"/>
  <c r="D3678" i="23"/>
  <c r="C3678" i="23"/>
  <c r="D3677" i="23"/>
  <c r="C3677" i="23"/>
  <c r="D3676" i="23"/>
  <c r="C3676" i="23"/>
  <c r="D3675" i="23"/>
  <c r="C3675" i="23"/>
  <c r="D3674" i="23"/>
  <c r="C3674" i="23"/>
  <c r="D3673" i="23"/>
  <c r="C3673" i="23"/>
  <c r="D3672" i="23"/>
  <c r="C3672" i="23"/>
  <c r="D3671" i="23"/>
  <c r="C3671" i="23"/>
  <c r="D3670" i="23"/>
  <c r="C3670" i="23"/>
  <c r="D3669" i="23"/>
  <c r="C3669" i="23"/>
  <c r="D3668" i="23"/>
  <c r="C3668" i="23"/>
  <c r="D3667" i="23"/>
  <c r="C3667" i="23"/>
  <c r="D3666" i="23"/>
  <c r="C3666" i="23"/>
  <c r="D3665" i="23"/>
  <c r="C3665" i="23"/>
  <c r="D3664" i="23"/>
  <c r="C3664" i="23"/>
  <c r="D3663" i="23"/>
  <c r="C3663" i="23"/>
  <c r="D3662" i="23"/>
  <c r="C3662" i="23"/>
  <c r="D3661" i="23"/>
  <c r="C3661" i="23"/>
  <c r="D3660" i="23"/>
  <c r="C3660" i="23"/>
  <c r="D3659" i="23"/>
  <c r="C3659" i="23"/>
  <c r="D3658" i="23"/>
  <c r="C3658" i="23"/>
  <c r="D3657" i="23"/>
  <c r="C3657" i="23"/>
  <c r="D3656" i="23"/>
  <c r="C3656" i="23"/>
  <c r="D3655" i="23"/>
  <c r="C3655" i="23"/>
  <c r="D3654" i="23"/>
  <c r="C3654" i="23"/>
  <c r="D3653" i="23"/>
  <c r="C3653" i="23"/>
  <c r="D3652" i="23"/>
  <c r="C3652" i="23"/>
  <c r="D3651" i="23"/>
  <c r="C3651" i="23"/>
  <c r="D3650" i="23"/>
  <c r="C3650" i="23"/>
  <c r="D3649" i="23"/>
  <c r="C3649" i="23"/>
  <c r="D3648" i="23"/>
  <c r="C3648" i="23"/>
  <c r="D3647" i="23"/>
  <c r="C3647" i="23"/>
  <c r="D3646" i="23"/>
  <c r="C3646" i="23"/>
  <c r="D3645" i="23"/>
  <c r="C3645" i="23"/>
  <c r="D3644" i="23"/>
  <c r="C3644" i="23"/>
  <c r="D3643" i="23"/>
  <c r="C3643" i="23"/>
  <c r="D3642" i="23"/>
  <c r="C3642" i="23"/>
  <c r="D3641" i="23"/>
  <c r="C3641" i="23"/>
  <c r="D3640" i="23"/>
  <c r="C3640" i="23"/>
  <c r="D3639" i="23"/>
  <c r="C3639" i="23"/>
  <c r="D3638" i="23"/>
  <c r="C3638" i="23"/>
  <c r="D3637" i="23"/>
  <c r="C3637" i="23"/>
  <c r="D3636" i="23"/>
  <c r="C3636" i="23"/>
  <c r="D3635" i="23"/>
  <c r="C3635" i="23"/>
  <c r="D3634" i="23"/>
  <c r="C3634" i="23"/>
  <c r="D3633" i="23"/>
  <c r="C3633" i="23"/>
  <c r="D3632" i="23"/>
  <c r="C3632" i="23"/>
  <c r="D3631" i="23"/>
  <c r="C3631" i="23"/>
  <c r="D3630" i="23"/>
  <c r="C3630" i="23"/>
  <c r="D3629" i="23"/>
  <c r="C3629" i="23"/>
  <c r="D3628" i="23"/>
  <c r="C3628" i="23"/>
  <c r="D3627" i="23"/>
  <c r="C3627" i="23"/>
  <c r="D3626" i="23"/>
  <c r="C3626" i="23"/>
  <c r="D3625" i="23"/>
  <c r="C3625" i="23"/>
  <c r="D3624" i="23"/>
  <c r="C3624" i="23"/>
  <c r="D3623" i="23"/>
  <c r="C3623" i="23"/>
  <c r="D3622" i="23"/>
  <c r="C3622" i="23"/>
  <c r="D3621" i="23"/>
  <c r="C3621" i="23"/>
  <c r="D3620" i="23"/>
  <c r="C3620" i="23"/>
  <c r="D3619" i="23"/>
  <c r="C3619" i="23"/>
  <c r="D3618" i="23"/>
  <c r="C3618" i="23"/>
  <c r="D3617" i="23"/>
  <c r="C3617" i="23"/>
  <c r="D3616" i="23"/>
  <c r="C3616" i="23"/>
  <c r="D3615" i="23"/>
  <c r="C3615" i="23"/>
  <c r="D3614" i="23"/>
  <c r="C3614" i="23"/>
  <c r="D3613" i="23"/>
  <c r="C3613" i="23"/>
  <c r="D3612" i="23"/>
  <c r="C3612" i="23"/>
  <c r="D3611" i="23"/>
  <c r="C3611" i="23"/>
  <c r="D3610" i="23"/>
  <c r="C3610" i="23"/>
  <c r="D3609" i="23"/>
  <c r="C3609" i="23"/>
  <c r="D3608" i="23"/>
  <c r="C3608" i="23"/>
  <c r="D3607" i="23"/>
  <c r="C3607" i="23"/>
  <c r="D3606" i="23"/>
  <c r="C3606" i="23"/>
  <c r="D3605" i="23"/>
  <c r="C3605" i="23"/>
  <c r="D3604" i="23"/>
  <c r="C3604" i="23"/>
  <c r="D3603" i="23"/>
  <c r="C3603" i="23"/>
  <c r="D3602" i="23"/>
  <c r="C3602" i="23"/>
  <c r="D3601" i="23"/>
  <c r="C3601" i="23"/>
  <c r="D3600" i="23"/>
  <c r="C3600" i="23"/>
  <c r="D3599" i="23"/>
  <c r="C3599" i="23"/>
  <c r="D3598" i="23"/>
  <c r="C3598" i="23"/>
  <c r="D3597" i="23"/>
  <c r="C3597" i="23"/>
  <c r="D3596" i="23"/>
  <c r="C3596" i="23"/>
  <c r="D3595" i="23"/>
  <c r="C3595" i="23"/>
  <c r="D3594" i="23"/>
  <c r="C3594" i="23"/>
  <c r="D3593" i="23"/>
  <c r="C3593" i="23"/>
  <c r="D3592" i="23"/>
  <c r="C3592" i="23"/>
  <c r="D3591" i="23"/>
  <c r="C3591" i="23"/>
  <c r="D3590" i="23"/>
  <c r="C3590" i="23"/>
  <c r="D3589" i="23"/>
  <c r="C3589" i="23"/>
  <c r="D3588" i="23"/>
  <c r="C3588" i="23"/>
  <c r="D3587" i="23"/>
  <c r="C3587" i="23"/>
  <c r="D3586" i="23"/>
  <c r="C3586" i="23"/>
  <c r="D3585" i="23"/>
  <c r="C3585" i="23"/>
  <c r="D3584" i="23"/>
  <c r="C3584" i="23"/>
  <c r="D3583" i="23"/>
  <c r="C3583" i="23"/>
  <c r="D3582" i="23"/>
  <c r="C3582" i="23"/>
  <c r="D3581" i="23"/>
  <c r="C3581" i="23"/>
  <c r="D3580" i="23"/>
  <c r="C3580" i="23"/>
  <c r="D3579" i="23"/>
  <c r="C3579" i="23"/>
  <c r="D3578" i="23"/>
  <c r="C3578" i="23"/>
  <c r="D3577" i="23"/>
  <c r="C3577" i="23"/>
  <c r="D3576" i="23"/>
  <c r="C3576" i="23"/>
  <c r="D3575" i="23"/>
  <c r="C3575" i="23"/>
  <c r="D3574" i="23"/>
  <c r="C3574" i="23"/>
  <c r="D3573" i="23"/>
  <c r="C3573" i="23"/>
  <c r="D3572" i="23"/>
  <c r="C3572" i="23"/>
  <c r="D3571" i="23"/>
  <c r="C3571" i="23"/>
  <c r="D3570" i="23"/>
  <c r="C3570" i="23"/>
  <c r="D3569" i="23"/>
  <c r="C3569" i="23"/>
  <c r="D3568" i="23"/>
  <c r="C3568" i="23"/>
  <c r="D3567" i="23"/>
  <c r="C3567" i="23"/>
  <c r="D3566" i="23"/>
  <c r="C3566" i="23"/>
  <c r="D3565" i="23"/>
  <c r="C3565" i="23"/>
  <c r="D3564" i="23"/>
  <c r="C3564" i="23"/>
  <c r="D3563" i="23"/>
  <c r="C3563" i="23"/>
  <c r="D3562" i="23"/>
  <c r="C3562" i="23"/>
  <c r="D3561" i="23"/>
  <c r="C3561" i="23"/>
  <c r="D3560" i="23"/>
  <c r="C3560" i="23"/>
  <c r="D3559" i="23"/>
  <c r="C3559" i="23"/>
  <c r="D3558" i="23"/>
  <c r="C3558" i="23"/>
  <c r="D3557" i="23"/>
  <c r="C3557" i="23"/>
  <c r="D3556" i="23"/>
  <c r="C3556" i="23"/>
  <c r="D3555" i="23"/>
  <c r="C3555" i="23"/>
  <c r="D3554" i="23"/>
  <c r="C3554" i="23"/>
  <c r="D3553" i="23"/>
  <c r="C3553" i="23"/>
  <c r="D3552" i="23"/>
  <c r="C3552" i="23"/>
  <c r="D3551" i="23"/>
  <c r="C3551" i="23"/>
  <c r="D3550" i="23"/>
  <c r="C3550" i="23"/>
  <c r="D3549" i="23"/>
  <c r="C3549" i="23"/>
  <c r="D3548" i="23"/>
  <c r="C3548" i="23"/>
  <c r="D3547" i="23"/>
  <c r="C3547" i="23"/>
  <c r="D3546" i="23"/>
  <c r="C3546" i="23"/>
  <c r="D3545" i="23"/>
  <c r="C3545" i="23"/>
  <c r="D3544" i="23"/>
  <c r="C3544" i="23"/>
  <c r="D3543" i="23"/>
  <c r="C3543" i="23"/>
  <c r="D3542" i="23"/>
  <c r="C3542" i="23"/>
  <c r="D3541" i="23"/>
  <c r="C3541" i="23"/>
  <c r="D3540" i="23"/>
  <c r="C3540" i="23"/>
  <c r="D3539" i="23"/>
  <c r="C3539" i="23"/>
  <c r="D3538" i="23"/>
  <c r="C3538" i="23"/>
  <c r="D3537" i="23"/>
  <c r="C3537" i="23"/>
  <c r="D3536" i="23"/>
  <c r="C3536" i="23"/>
  <c r="D3535" i="23"/>
  <c r="C3535" i="23"/>
  <c r="D3534" i="23"/>
  <c r="C3534" i="23"/>
  <c r="D3533" i="23"/>
  <c r="C3533" i="23"/>
  <c r="D3532" i="23"/>
  <c r="C3532" i="23"/>
  <c r="D3531" i="23"/>
  <c r="C3531" i="23"/>
  <c r="D3530" i="23"/>
  <c r="C3530" i="23"/>
  <c r="D3529" i="23"/>
  <c r="C3529" i="23"/>
  <c r="D3528" i="23"/>
  <c r="C3528" i="23"/>
  <c r="D3527" i="23"/>
  <c r="C3527" i="23"/>
  <c r="D3526" i="23"/>
  <c r="C3526" i="23"/>
  <c r="D3525" i="23"/>
  <c r="C3525" i="23"/>
  <c r="D3524" i="23"/>
  <c r="C3524" i="23"/>
  <c r="D3523" i="23"/>
  <c r="C3523" i="23"/>
  <c r="D3522" i="23"/>
  <c r="C3522" i="23"/>
  <c r="D3521" i="23"/>
  <c r="C3521" i="23"/>
  <c r="D3520" i="23"/>
  <c r="C3520" i="23"/>
  <c r="D3519" i="23"/>
  <c r="C3519" i="23"/>
  <c r="D3518" i="23"/>
  <c r="C3518" i="23"/>
  <c r="D3517" i="23"/>
  <c r="C3517" i="23"/>
  <c r="D3516" i="23"/>
  <c r="C3516" i="23"/>
  <c r="D3515" i="23"/>
  <c r="C3515" i="23"/>
  <c r="D3514" i="23"/>
  <c r="C3514" i="23"/>
  <c r="D3513" i="23"/>
  <c r="C3513" i="23"/>
  <c r="D3512" i="23"/>
  <c r="C3512" i="23"/>
  <c r="D3511" i="23"/>
  <c r="C3511" i="23"/>
  <c r="D3510" i="23"/>
  <c r="C3510" i="23"/>
  <c r="D3509" i="23"/>
  <c r="C3509" i="23"/>
  <c r="D3508" i="23"/>
  <c r="C3508" i="23"/>
  <c r="D3507" i="23"/>
  <c r="C3507" i="23"/>
  <c r="D3506" i="23"/>
  <c r="C3506" i="23"/>
  <c r="D3505" i="23"/>
  <c r="C3505" i="23"/>
  <c r="D3504" i="23"/>
  <c r="C3504" i="23"/>
  <c r="D3503" i="23"/>
  <c r="C3503" i="23"/>
  <c r="D3502" i="23"/>
  <c r="C3502" i="23"/>
  <c r="D3501" i="23"/>
  <c r="C3501" i="23"/>
  <c r="D3500" i="23"/>
  <c r="C3500" i="23"/>
  <c r="D3499" i="23"/>
  <c r="C3499" i="23"/>
  <c r="D3498" i="23"/>
  <c r="C3498" i="23"/>
  <c r="D3497" i="23"/>
  <c r="C3497" i="23"/>
  <c r="D3496" i="23"/>
  <c r="C3496" i="23"/>
  <c r="D3495" i="23"/>
  <c r="C3495" i="23"/>
  <c r="D3494" i="23"/>
  <c r="C3494" i="23"/>
  <c r="D3493" i="23"/>
  <c r="C3493" i="23"/>
  <c r="D3492" i="23"/>
  <c r="C3492" i="23"/>
  <c r="D3491" i="23"/>
  <c r="C3491" i="23"/>
  <c r="D3490" i="23"/>
  <c r="C3490" i="23"/>
  <c r="D3489" i="23"/>
  <c r="C3489" i="23"/>
  <c r="D3488" i="23"/>
  <c r="C3488" i="23"/>
  <c r="D3487" i="23"/>
  <c r="C3487" i="23"/>
  <c r="D3486" i="23"/>
  <c r="C3486" i="23"/>
  <c r="D3485" i="23"/>
  <c r="C3485" i="23"/>
  <c r="D3484" i="23"/>
  <c r="C3484" i="23"/>
  <c r="D3483" i="23"/>
  <c r="C3483" i="23"/>
  <c r="D3482" i="23"/>
  <c r="C3482" i="23"/>
  <c r="D3481" i="23"/>
  <c r="C3481" i="23"/>
  <c r="D3480" i="23"/>
  <c r="C3480" i="23"/>
  <c r="D3479" i="23"/>
  <c r="C3479" i="23"/>
  <c r="D3478" i="23"/>
  <c r="C3478" i="23"/>
  <c r="D3477" i="23"/>
  <c r="C3477" i="23"/>
  <c r="D3476" i="23"/>
  <c r="C3476" i="23"/>
  <c r="D3475" i="23"/>
  <c r="C3475" i="23"/>
  <c r="D3474" i="23"/>
  <c r="C3474" i="23"/>
  <c r="D3473" i="23"/>
  <c r="C3473" i="23"/>
  <c r="D3472" i="23"/>
  <c r="C3472" i="23"/>
  <c r="D3471" i="23"/>
  <c r="C3471" i="23"/>
  <c r="D3470" i="23"/>
  <c r="C3470" i="23"/>
  <c r="D3469" i="23"/>
  <c r="C3469" i="23"/>
  <c r="D3468" i="23"/>
  <c r="C3468" i="23"/>
  <c r="D3467" i="23"/>
  <c r="C3467" i="23"/>
  <c r="D3466" i="23"/>
  <c r="C3466" i="23"/>
  <c r="D3465" i="23"/>
  <c r="C3465" i="23"/>
  <c r="D3464" i="23"/>
  <c r="C3464" i="23"/>
  <c r="D3463" i="23"/>
  <c r="C3463" i="23"/>
  <c r="D3462" i="23"/>
  <c r="C3462" i="23"/>
  <c r="D3461" i="23"/>
  <c r="C3461" i="23"/>
  <c r="D3460" i="23"/>
  <c r="C3460" i="23"/>
  <c r="D3459" i="23"/>
  <c r="C3459" i="23"/>
  <c r="D3458" i="23"/>
  <c r="C3458" i="23"/>
  <c r="D3457" i="23"/>
  <c r="C3457" i="23"/>
  <c r="D3456" i="23"/>
  <c r="C3456" i="23"/>
  <c r="D3455" i="23"/>
  <c r="C3455" i="23"/>
  <c r="D3454" i="23"/>
  <c r="C3454" i="23"/>
  <c r="D3453" i="23"/>
  <c r="C3453" i="23"/>
  <c r="D3452" i="23"/>
  <c r="C3452" i="23"/>
  <c r="D3451" i="23"/>
  <c r="C3451" i="23"/>
  <c r="D3450" i="23"/>
  <c r="C3450" i="23"/>
  <c r="D3449" i="23"/>
  <c r="C3449" i="23"/>
  <c r="D3448" i="23"/>
  <c r="C3448" i="23"/>
  <c r="D3447" i="23"/>
  <c r="C3447" i="23"/>
  <c r="D3446" i="23"/>
  <c r="C3446" i="23"/>
  <c r="D3445" i="23"/>
  <c r="C3445" i="23"/>
  <c r="D3444" i="23"/>
  <c r="C3444" i="23"/>
  <c r="D3443" i="23"/>
  <c r="C3443" i="23"/>
  <c r="D3442" i="23"/>
  <c r="C3442" i="23"/>
  <c r="D3441" i="23"/>
  <c r="C3441" i="23"/>
  <c r="D3440" i="23"/>
  <c r="C3440" i="23"/>
  <c r="D3439" i="23"/>
  <c r="C3439" i="23"/>
  <c r="D3438" i="23"/>
  <c r="C3438" i="23"/>
  <c r="D3437" i="23"/>
  <c r="C3437" i="23"/>
  <c r="D3436" i="23"/>
  <c r="C3436" i="23"/>
  <c r="D3435" i="23"/>
  <c r="C3435" i="23"/>
  <c r="D3434" i="23"/>
  <c r="C3434" i="23"/>
  <c r="D3433" i="23"/>
  <c r="C3433" i="23"/>
  <c r="D3432" i="23"/>
  <c r="C3432" i="23"/>
  <c r="D3431" i="23"/>
  <c r="C3431" i="23"/>
  <c r="D3430" i="23"/>
  <c r="C3430" i="23"/>
  <c r="D3429" i="23"/>
  <c r="C3429" i="23"/>
  <c r="D3428" i="23"/>
  <c r="C3428" i="23"/>
  <c r="D3427" i="23"/>
  <c r="C3427" i="23"/>
  <c r="D3426" i="23"/>
  <c r="C3426" i="23"/>
  <c r="D3425" i="23"/>
  <c r="C3425" i="23"/>
  <c r="D3424" i="23"/>
  <c r="C3424" i="23"/>
  <c r="D3423" i="23"/>
  <c r="C3423" i="23"/>
  <c r="D3422" i="23"/>
  <c r="C3422" i="23"/>
  <c r="D3421" i="23"/>
  <c r="C3421" i="23"/>
  <c r="D3420" i="23"/>
  <c r="C3420" i="23"/>
  <c r="D3419" i="23"/>
  <c r="C3419" i="23"/>
  <c r="D3418" i="23"/>
  <c r="C3418" i="23"/>
  <c r="D3417" i="23"/>
  <c r="C3417" i="23"/>
  <c r="D3416" i="23"/>
  <c r="C3416" i="23"/>
  <c r="D3415" i="23"/>
  <c r="C3415" i="23"/>
  <c r="D3414" i="23"/>
  <c r="C3414" i="23"/>
  <c r="D3413" i="23"/>
  <c r="C3413" i="23"/>
  <c r="D3412" i="23"/>
  <c r="C3412" i="23"/>
  <c r="D3411" i="23"/>
  <c r="C3411" i="23"/>
  <c r="D3410" i="23"/>
  <c r="C3410" i="23"/>
  <c r="D3409" i="23"/>
  <c r="C3409" i="23"/>
  <c r="D3408" i="23"/>
  <c r="C3408" i="23"/>
  <c r="D3407" i="23"/>
  <c r="C3407" i="23"/>
  <c r="D3406" i="23"/>
  <c r="C3406" i="23"/>
  <c r="D3405" i="23"/>
  <c r="C3405" i="23"/>
  <c r="D3404" i="23"/>
  <c r="C3404" i="23"/>
  <c r="D3403" i="23"/>
  <c r="C3403" i="23"/>
  <c r="D3402" i="23"/>
  <c r="C3402" i="23"/>
  <c r="D3401" i="23"/>
  <c r="C3401" i="23"/>
  <c r="D3400" i="23"/>
  <c r="C3400" i="23"/>
  <c r="D3399" i="23"/>
  <c r="C3399" i="23"/>
  <c r="D3398" i="23"/>
  <c r="C3398" i="23"/>
  <c r="D3397" i="23"/>
  <c r="C3397" i="23"/>
  <c r="D3396" i="23"/>
  <c r="C3396" i="23"/>
  <c r="D3395" i="23"/>
  <c r="C3395" i="23"/>
  <c r="D3394" i="23"/>
  <c r="C3394" i="23"/>
  <c r="D3393" i="23"/>
  <c r="C3393" i="23"/>
  <c r="D3392" i="23"/>
  <c r="C3392" i="23"/>
  <c r="D3391" i="23"/>
  <c r="C3391" i="23"/>
  <c r="D3390" i="23"/>
  <c r="C3390" i="23"/>
  <c r="D3389" i="23"/>
  <c r="C3389" i="23"/>
  <c r="D3388" i="23"/>
  <c r="C3388" i="23"/>
  <c r="D3387" i="23"/>
  <c r="C3387" i="23"/>
  <c r="D3386" i="23"/>
  <c r="C3386" i="23"/>
  <c r="D3385" i="23"/>
  <c r="C3385" i="23"/>
  <c r="D3384" i="23"/>
  <c r="C3384" i="23"/>
  <c r="D3383" i="23"/>
  <c r="C3383" i="23"/>
  <c r="D3382" i="23"/>
  <c r="C3382" i="23"/>
  <c r="D3381" i="23"/>
  <c r="C3381" i="23"/>
  <c r="D3380" i="23"/>
  <c r="C3380" i="23"/>
  <c r="D3379" i="23"/>
  <c r="C3379" i="23"/>
  <c r="D3378" i="23"/>
  <c r="C3378" i="23"/>
  <c r="D3377" i="23"/>
  <c r="C3377" i="23"/>
  <c r="D3376" i="23"/>
  <c r="C3376" i="23"/>
  <c r="D3375" i="23"/>
  <c r="C3375" i="23"/>
  <c r="D3374" i="23"/>
  <c r="C3374" i="23"/>
  <c r="D3373" i="23"/>
  <c r="C3373" i="23"/>
  <c r="D3372" i="23"/>
  <c r="C3372" i="23"/>
  <c r="D3371" i="23"/>
  <c r="C3371" i="23"/>
  <c r="D3370" i="23"/>
  <c r="C3370" i="23"/>
  <c r="D3369" i="23"/>
  <c r="C3369" i="23"/>
  <c r="D3368" i="23"/>
  <c r="C3368" i="23"/>
  <c r="D3367" i="23"/>
  <c r="C3367" i="23"/>
  <c r="D3366" i="23"/>
  <c r="C3366" i="23"/>
  <c r="D3365" i="23"/>
  <c r="C3365" i="23"/>
  <c r="D3364" i="23"/>
  <c r="C3364" i="23"/>
  <c r="D3363" i="23"/>
  <c r="C3363" i="23"/>
  <c r="D3362" i="23"/>
  <c r="C3362" i="23"/>
  <c r="D3361" i="23"/>
  <c r="C3361" i="23"/>
  <c r="D3360" i="23"/>
  <c r="C3360" i="23"/>
  <c r="D3359" i="23"/>
  <c r="C3359" i="23"/>
  <c r="D3358" i="23"/>
  <c r="C3358" i="23"/>
  <c r="D3357" i="23"/>
  <c r="C3357" i="23"/>
  <c r="D3356" i="23"/>
  <c r="C3356" i="23"/>
  <c r="D3355" i="23"/>
  <c r="C3355" i="23"/>
  <c r="D3354" i="23"/>
  <c r="C3354" i="23"/>
  <c r="D3353" i="23"/>
  <c r="C3353" i="23"/>
  <c r="D3352" i="23"/>
  <c r="C3352" i="23"/>
  <c r="D3351" i="23"/>
  <c r="C3351" i="23"/>
  <c r="D3350" i="23"/>
  <c r="C3350" i="23"/>
  <c r="D3349" i="23"/>
  <c r="C3349" i="23"/>
  <c r="D3348" i="23"/>
  <c r="C3348" i="23"/>
  <c r="D3347" i="23"/>
  <c r="C3347" i="23"/>
  <c r="D3346" i="23"/>
  <c r="C3346" i="23"/>
  <c r="D3345" i="23"/>
  <c r="C3345" i="23"/>
  <c r="D3344" i="23"/>
  <c r="C3344" i="23"/>
  <c r="D3343" i="23"/>
  <c r="C3343" i="23"/>
  <c r="D3342" i="23"/>
  <c r="C3342" i="23"/>
  <c r="D3341" i="23"/>
  <c r="C3341" i="23"/>
  <c r="D3340" i="23"/>
  <c r="C3340" i="23"/>
  <c r="D3339" i="23"/>
  <c r="C3339" i="23"/>
  <c r="D3338" i="23"/>
  <c r="C3338" i="23"/>
  <c r="D3337" i="23"/>
  <c r="C3337" i="23"/>
  <c r="D3336" i="23"/>
  <c r="C3336" i="23"/>
  <c r="D3335" i="23"/>
  <c r="C3335" i="23"/>
  <c r="D3334" i="23"/>
  <c r="C3334" i="23"/>
  <c r="D3333" i="23"/>
  <c r="C3333" i="23"/>
  <c r="D3332" i="23"/>
  <c r="C3332" i="23"/>
  <c r="D3331" i="23"/>
  <c r="C3331" i="23"/>
  <c r="D3330" i="23"/>
  <c r="C3330" i="23"/>
  <c r="D3329" i="23"/>
  <c r="C3329" i="23"/>
  <c r="D3328" i="23"/>
  <c r="C3328" i="23"/>
  <c r="D3327" i="23"/>
  <c r="C3327" i="23"/>
  <c r="D3326" i="23"/>
  <c r="C3326" i="23"/>
  <c r="D3325" i="23"/>
  <c r="C3325" i="23"/>
  <c r="D3324" i="23"/>
  <c r="C3324" i="23"/>
  <c r="D3323" i="23"/>
  <c r="C3323" i="23"/>
  <c r="D3322" i="23"/>
  <c r="C3322" i="23"/>
  <c r="D3321" i="23"/>
  <c r="C3321" i="23"/>
  <c r="D3320" i="23"/>
  <c r="C3320" i="23"/>
  <c r="D3319" i="23"/>
  <c r="C3319" i="23"/>
  <c r="D3318" i="23"/>
  <c r="C3318" i="23"/>
  <c r="D3317" i="23"/>
  <c r="C3317" i="23"/>
  <c r="D3316" i="23"/>
  <c r="C3316" i="23"/>
  <c r="D3315" i="23"/>
  <c r="C3315" i="23"/>
  <c r="D3314" i="23"/>
  <c r="C3314" i="23"/>
  <c r="D3313" i="23"/>
  <c r="C3313" i="23"/>
  <c r="D3312" i="23"/>
  <c r="C3312" i="23"/>
  <c r="D3311" i="23"/>
  <c r="C3311" i="23"/>
  <c r="D3310" i="23"/>
  <c r="C3310" i="23"/>
  <c r="D3309" i="23"/>
  <c r="C3309" i="23"/>
  <c r="D3308" i="23"/>
  <c r="C3308" i="23"/>
  <c r="D3307" i="23"/>
  <c r="C3307" i="23"/>
  <c r="D3306" i="23"/>
  <c r="C3306" i="23"/>
  <c r="D3305" i="23"/>
  <c r="C3305" i="23"/>
  <c r="D3304" i="23"/>
  <c r="C3304" i="23"/>
  <c r="D3303" i="23"/>
  <c r="C3303" i="23"/>
  <c r="D3302" i="23"/>
  <c r="C3302" i="23"/>
  <c r="D3301" i="23"/>
  <c r="C3301" i="23"/>
  <c r="D3300" i="23"/>
  <c r="C3300" i="23"/>
  <c r="D3299" i="23"/>
  <c r="C3299" i="23"/>
  <c r="D3298" i="23"/>
  <c r="C3298" i="23"/>
  <c r="D3297" i="23"/>
  <c r="C3297" i="23"/>
  <c r="D3296" i="23"/>
  <c r="C3296" i="23"/>
  <c r="D3295" i="23"/>
  <c r="C3295" i="23"/>
  <c r="D3294" i="23"/>
  <c r="C3294" i="23"/>
  <c r="D3293" i="23"/>
  <c r="C3293" i="23"/>
  <c r="D3292" i="23"/>
  <c r="C3292" i="23"/>
  <c r="D3291" i="23"/>
  <c r="C3291" i="23"/>
  <c r="D3290" i="23"/>
  <c r="C3290" i="23"/>
  <c r="D3289" i="23"/>
  <c r="C3289" i="23"/>
  <c r="D3288" i="23"/>
  <c r="C3288" i="23"/>
  <c r="D3287" i="23"/>
  <c r="C3287" i="23"/>
  <c r="D3286" i="23"/>
  <c r="C3286" i="23"/>
  <c r="D3285" i="23"/>
  <c r="C3285" i="23"/>
  <c r="D3284" i="23"/>
  <c r="C3284" i="23"/>
  <c r="D3283" i="23"/>
  <c r="C3283" i="23"/>
  <c r="D3282" i="23"/>
  <c r="C3282" i="23"/>
  <c r="D3281" i="23"/>
  <c r="C3281" i="23"/>
  <c r="D3280" i="23"/>
  <c r="C3280" i="23"/>
  <c r="D3279" i="23"/>
  <c r="C3279" i="23"/>
  <c r="D3278" i="23"/>
  <c r="C3278" i="23"/>
  <c r="D3277" i="23"/>
  <c r="C3277" i="23"/>
  <c r="D3276" i="23"/>
  <c r="C3276" i="23"/>
  <c r="D3275" i="23"/>
  <c r="C3275" i="23"/>
  <c r="D3274" i="23"/>
  <c r="C3274" i="23"/>
  <c r="D3273" i="23"/>
  <c r="C3273" i="23"/>
  <c r="D3272" i="23"/>
  <c r="C3272" i="23"/>
  <c r="D3271" i="23"/>
  <c r="C3271" i="23"/>
  <c r="D3270" i="23"/>
  <c r="C3270" i="23"/>
  <c r="D3269" i="23"/>
  <c r="C3269" i="23"/>
  <c r="D3268" i="23"/>
  <c r="C3268" i="23"/>
  <c r="D3267" i="23"/>
  <c r="C3267" i="23"/>
  <c r="D3266" i="23"/>
  <c r="C3266" i="23"/>
  <c r="D3265" i="23"/>
  <c r="C3265" i="23"/>
  <c r="D3264" i="23"/>
  <c r="C3264" i="23"/>
  <c r="D3263" i="23"/>
  <c r="C3263" i="23"/>
  <c r="D3262" i="23"/>
  <c r="C3262" i="23"/>
  <c r="D3261" i="23"/>
  <c r="C3261" i="23"/>
  <c r="D3260" i="23"/>
  <c r="C3260" i="23"/>
  <c r="D3259" i="23"/>
  <c r="C3259" i="23"/>
  <c r="D3258" i="23"/>
  <c r="C3258" i="23"/>
  <c r="D3257" i="23"/>
  <c r="C3257" i="23"/>
  <c r="D3256" i="23"/>
  <c r="C3256" i="23"/>
  <c r="D3255" i="23"/>
  <c r="C3255" i="23"/>
  <c r="D3254" i="23"/>
  <c r="C3254" i="23"/>
  <c r="D3253" i="23"/>
  <c r="C3253" i="23"/>
  <c r="D3252" i="23"/>
  <c r="C3252" i="23"/>
  <c r="D3251" i="23"/>
  <c r="C3251" i="23"/>
  <c r="D3250" i="23"/>
  <c r="C3250" i="23"/>
  <c r="D3249" i="23"/>
  <c r="C3249" i="23"/>
  <c r="D3248" i="23"/>
  <c r="C3248" i="23"/>
  <c r="D3247" i="23"/>
  <c r="C3247" i="23"/>
  <c r="D3246" i="23"/>
  <c r="C3246" i="23"/>
  <c r="D3245" i="23"/>
  <c r="C3245" i="23"/>
  <c r="D3244" i="23"/>
  <c r="C3244" i="23"/>
  <c r="D3243" i="23"/>
  <c r="C3243" i="23"/>
  <c r="D3242" i="23"/>
  <c r="C3242" i="23"/>
  <c r="D3241" i="23"/>
  <c r="C3241" i="23"/>
  <c r="D3240" i="23"/>
  <c r="C3240" i="23"/>
  <c r="D3239" i="23"/>
  <c r="C3239" i="23"/>
  <c r="D3238" i="23"/>
  <c r="C3238" i="23"/>
  <c r="D3237" i="23"/>
  <c r="C3237" i="23"/>
  <c r="D3236" i="23"/>
  <c r="C3236" i="23"/>
  <c r="D3235" i="23"/>
  <c r="C3235" i="23"/>
  <c r="D3234" i="23"/>
  <c r="C3234" i="23"/>
  <c r="D3233" i="23"/>
  <c r="C3233" i="23"/>
  <c r="D3232" i="23"/>
  <c r="C3232" i="23"/>
  <c r="D3231" i="23"/>
  <c r="C3231" i="23"/>
  <c r="D3230" i="23"/>
  <c r="C3230" i="23"/>
  <c r="D3229" i="23"/>
  <c r="C3229" i="23"/>
  <c r="D3228" i="23"/>
  <c r="C3228" i="23"/>
  <c r="D3227" i="23"/>
  <c r="C3227" i="23"/>
  <c r="D3226" i="23"/>
  <c r="C3226" i="23"/>
  <c r="D3225" i="23"/>
  <c r="C3225" i="23"/>
  <c r="D3224" i="23"/>
  <c r="C3224" i="23"/>
  <c r="D3223" i="23"/>
  <c r="C3223" i="23"/>
  <c r="D3222" i="23"/>
  <c r="C3222" i="23"/>
  <c r="D3221" i="23"/>
  <c r="C3221" i="23"/>
  <c r="D3220" i="23"/>
  <c r="C3220" i="23"/>
  <c r="D3219" i="23"/>
  <c r="C3219" i="23"/>
  <c r="D3218" i="23"/>
  <c r="C3218" i="23"/>
  <c r="D3217" i="23"/>
  <c r="C3217" i="23"/>
  <c r="D3216" i="23"/>
  <c r="C3216" i="23"/>
  <c r="D3215" i="23"/>
  <c r="C3215" i="23"/>
  <c r="D3214" i="23"/>
  <c r="C3214" i="23"/>
  <c r="D3213" i="23"/>
  <c r="C3213" i="23"/>
  <c r="D3212" i="23"/>
  <c r="C3212" i="23"/>
  <c r="D3211" i="23"/>
  <c r="C3211" i="23"/>
  <c r="D3210" i="23"/>
  <c r="C3210" i="23"/>
  <c r="D3209" i="23"/>
  <c r="C3209" i="23"/>
  <c r="D3208" i="23"/>
  <c r="C3208" i="23"/>
  <c r="D3207" i="23"/>
  <c r="C3207" i="23"/>
  <c r="D3206" i="23"/>
  <c r="C3206" i="23"/>
  <c r="D3205" i="23"/>
  <c r="C3205" i="23"/>
  <c r="D3204" i="23"/>
  <c r="C3204" i="23"/>
  <c r="D3203" i="23"/>
  <c r="C3203" i="23"/>
  <c r="D3202" i="23"/>
  <c r="C3202" i="23"/>
  <c r="D3201" i="23"/>
  <c r="C3201" i="23"/>
  <c r="D3200" i="23"/>
  <c r="C3200" i="23"/>
  <c r="D3199" i="23"/>
  <c r="C3199" i="23"/>
  <c r="D3198" i="23"/>
  <c r="C3198" i="23"/>
  <c r="D3197" i="23"/>
  <c r="C3197" i="23"/>
  <c r="D3196" i="23"/>
  <c r="C3196" i="23"/>
  <c r="D3195" i="23"/>
  <c r="C3195" i="23"/>
  <c r="D3194" i="23"/>
  <c r="C3194" i="23"/>
  <c r="D3193" i="23"/>
  <c r="C3193" i="23"/>
  <c r="D3192" i="23"/>
  <c r="C3192" i="23"/>
  <c r="D3191" i="23"/>
  <c r="C3191" i="23"/>
  <c r="D3190" i="23"/>
  <c r="C3190" i="23"/>
  <c r="D3189" i="23"/>
  <c r="C3189" i="23"/>
  <c r="D3188" i="23"/>
  <c r="C3188" i="23"/>
  <c r="D3187" i="23"/>
  <c r="C3187" i="23"/>
  <c r="D3186" i="23"/>
  <c r="C3186" i="23"/>
  <c r="D3185" i="23"/>
  <c r="C3185" i="23"/>
  <c r="D3184" i="23"/>
  <c r="C3184" i="23"/>
  <c r="D3183" i="23"/>
  <c r="C3183" i="23"/>
  <c r="D3182" i="23"/>
  <c r="C3182" i="23"/>
  <c r="D3181" i="23"/>
  <c r="C3181" i="23"/>
  <c r="D3180" i="23"/>
  <c r="C3180" i="23"/>
  <c r="D3179" i="23"/>
  <c r="C3179" i="23"/>
  <c r="D3178" i="23"/>
  <c r="C3178" i="23"/>
  <c r="D3177" i="23"/>
  <c r="C3177" i="23"/>
  <c r="D3176" i="23"/>
  <c r="C3176" i="23"/>
  <c r="D3175" i="23"/>
  <c r="C3175" i="23"/>
  <c r="D3174" i="23"/>
  <c r="C3174" i="23"/>
  <c r="D3173" i="23"/>
  <c r="C3173" i="23"/>
  <c r="D3172" i="23"/>
  <c r="C3172" i="23"/>
  <c r="D3171" i="23"/>
  <c r="C3171" i="23"/>
  <c r="D3170" i="23"/>
  <c r="C3170" i="23"/>
  <c r="D3169" i="23"/>
  <c r="C3169" i="23"/>
  <c r="D3168" i="23"/>
  <c r="C3168" i="23"/>
  <c r="D3167" i="23"/>
  <c r="C3167" i="23"/>
  <c r="D3166" i="23"/>
  <c r="C3166" i="23"/>
  <c r="D3165" i="23"/>
  <c r="C3165" i="23"/>
  <c r="D3164" i="23"/>
  <c r="C3164" i="23"/>
  <c r="D3163" i="23"/>
  <c r="C3163" i="23"/>
  <c r="D3162" i="23"/>
  <c r="C3162" i="23"/>
  <c r="D3161" i="23"/>
  <c r="C3161" i="23"/>
  <c r="D3160" i="23"/>
  <c r="C3160" i="23"/>
  <c r="D3159" i="23"/>
  <c r="C3159" i="23"/>
  <c r="D3158" i="23"/>
  <c r="C3158" i="23"/>
  <c r="D3157" i="23"/>
  <c r="C3157" i="23"/>
  <c r="D3156" i="23"/>
  <c r="C3156" i="23"/>
  <c r="D3155" i="23"/>
  <c r="C3155" i="23"/>
  <c r="D3154" i="23"/>
  <c r="C3154" i="23"/>
  <c r="D3153" i="23"/>
  <c r="C3153" i="23"/>
  <c r="D3152" i="23"/>
  <c r="C3152" i="23"/>
  <c r="D3151" i="23"/>
  <c r="C3151" i="23"/>
  <c r="D3150" i="23"/>
  <c r="C3150" i="23"/>
  <c r="D3149" i="23"/>
  <c r="C3149" i="23"/>
  <c r="D3148" i="23"/>
  <c r="C3148" i="23"/>
  <c r="D3147" i="23"/>
  <c r="C3147" i="23"/>
  <c r="D3146" i="23"/>
  <c r="C3146" i="23"/>
  <c r="D3145" i="23"/>
  <c r="C3145" i="23"/>
  <c r="D3144" i="23"/>
  <c r="C3144" i="23"/>
  <c r="D3143" i="23"/>
  <c r="C3143" i="23"/>
  <c r="D3142" i="23"/>
  <c r="C3142" i="23"/>
  <c r="D3141" i="23"/>
  <c r="C3141" i="23"/>
  <c r="D3140" i="23"/>
  <c r="C3140" i="23"/>
  <c r="D3139" i="23"/>
  <c r="C3139" i="23"/>
  <c r="D3138" i="23"/>
  <c r="C3138" i="23"/>
  <c r="D3137" i="23"/>
  <c r="C3137" i="23"/>
  <c r="D3136" i="23"/>
  <c r="C3136" i="23"/>
  <c r="D3135" i="23"/>
  <c r="C3135" i="23"/>
  <c r="D3134" i="23"/>
  <c r="C3134" i="23"/>
  <c r="D3133" i="23"/>
  <c r="C3133" i="23"/>
  <c r="D3132" i="23"/>
  <c r="C3132" i="23"/>
  <c r="D3131" i="23"/>
  <c r="C3131" i="23"/>
  <c r="D3130" i="23"/>
  <c r="C3130" i="23"/>
  <c r="D3129" i="23"/>
  <c r="C3129" i="23"/>
  <c r="D3128" i="23"/>
  <c r="C3128" i="23"/>
  <c r="D3127" i="23"/>
  <c r="C3127" i="23"/>
  <c r="D3126" i="23"/>
  <c r="C3126" i="23"/>
  <c r="D3125" i="23"/>
  <c r="C3125" i="23"/>
  <c r="D3124" i="23"/>
  <c r="C3124" i="23"/>
  <c r="D3123" i="23"/>
  <c r="C3123" i="23"/>
  <c r="D3122" i="23"/>
  <c r="C3122" i="23"/>
  <c r="D3121" i="23"/>
  <c r="C3121" i="23"/>
  <c r="D3120" i="23"/>
  <c r="C3120" i="23"/>
  <c r="D3119" i="23"/>
  <c r="C3119" i="23"/>
  <c r="D3118" i="23"/>
  <c r="C3118" i="23"/>
  <c r="D3117" i="23"/>
  <c r="C3117" i="23"/>
  <c r="D3116" i="23"/>
  <c r="C3116" i="23"/>
  <c r="D3115" i="23"/>
  <c r="C3115" i="23"/>
  <c r="D3114" i="23"/>
  <c r="C3114" i="23"/>
  <c r="D3113" i="23"/>
  <c r="C3113" i="23"/>
  <c r="D3112" i="23"/>
  <c r="C3112" i="23"/>
  <c r="D3111" i="23"/>
  <c r="C3111" i="23"/>
  <c r="D3110" i="23"/>
  <c r="C3110" i="23"/>
  <c r="D3109" i="23"/>
  <c r="C3109" i="23"/>
  <c r="D3108" i="23"/>
  <c r="C3108" i="23"/>
  <c r="D3107" i="23"/>
  <c r="C3107" i="23"/>
  <c r="D3106" i="23"/>
  <c r="C3106" i="23"/>
  <c r="D3105" i="23"/>
  <c r="C3105" i="23"/>
  <c r="D3104" i="23"/>
  <c r="C3104" i="23"/>
  <c r="D3103" i="23"/>
  <c r="C3103" i="23"/>
  <c r="D3102" i="23"/>
  <c r="C3102" i="23"/>
  <c r="D3101" i="23"/>
  <c r="C3101" i="23"/>
  <c r="D3100" i="23"/>
  <c r="C3100" i="23"/>
  <c r="D3099" i="23"/>
  <c r="C3099" i="23"/>
  <c r="D3098" i="23"/>
  <c r="C3098" i="23"/>
  <c r="D3097" i="23"/>
  <c r="C3097" i="23"/>
  <c r="D3096" i="23"/>
  <c r="C3096" i="23"/>
  <c r="D3095" i="23"/>
  <c r="C3095" i="23"/>
  <c r="D3094" i="23"/>
  <c r="C3094" i="23"/>
  <c r="D3093" i="23"/>
  <c r="C3093" i="23"/>
  <c r="D3092" i="23"/>
  <c r="C3092" i="23"/>
  <c r="D3091" i="23"/>
  <c r="C3091" i="23"/>
  <c r="D3090" i="23"/>
  <c r="C3090" i="23"/>
  <c r="D3089" i="23"/>
  <c r="C3089" i="23"/>
  <c r="D3088" i="23"/>
  <c r="C3088" i="23"/>
  <c r="D3087" i="23"/>
  <c r="C3087" i="23"/>
  <c r="D3086" i="23"/>
  <c r="C3086" i="23"/>
  <c r="D3085" i="23"/>
  <c r="C3085" i="23"/>
  <c r="D3084" i="23"/>
  <c r="C3084" i="23"/>
  <c r="D3083" i="23"/>
  <c r="C3083" i="23"/>
  <c r="D3082" i="23"/>
  <c r="C3082" i="23"/>
  <c r="D3081" i="23"/>
  <c r="C3081" i="23"/>
  <c r="D3080" i="23"/>
  <c r="C3080" i="23"/>
  <c r="D3079" i="23"/>
  <c r="C3079" i="23"/>
  <c r="D3078" i="23"/>
  <c r="C3078" i="23"/>
  <c r="D3077" i="23"/>
  <c r="C3077" i="23"/>
  <c r="D3076" i="23"/>
  <c r="C3076" i="23"/>
  <c r="D3075" i="23"/>
  <c r="C3075" i="23"/>
  <c r="D3074" i="23"/>
  <c r="C3074" i="23"/>
  <c r="D3073" i="23"/>
  <c r="C3073" i="23"/>
  <c r="D3072" i="23"/>
  <c r="C3072" i="23"/>
  <c r="D3071" i="23"/>
  <c r="C3071" i="23"/>
  <c r="D3070" i="23"/>
  <c r="C3070" i="23"/>
  <c r="D3069" i="23"/>
  <c r="C3069" i="23"/>
  <c r="D3068" i="23"/>
  <c r="C3068" i="23"/>
  <c r="D3067" i="23"/>
  <c r="C3067" i="23"/>
  <c r="D3066" i="23"/>
  <c r="C3066" i="23"/>
  <c r="D3065" i="23"/>
  <c r="C3065" i="23"/>
  <c r="D3064" i="23"/>
  <c r="C3064" i="23"/>
  <c r="D3063" i="23"/>
  <c r="C3063" i="23"/>
  <c r="D3062" i="23"/>
  <c r="C3062" i="23"/>
  <c r="D3061" i="23"/>
  <c r="C3061" i="23"/>
  <c r="D3060" i="23"/>
  <c r="C3060" i="23"/>
  <c r="D3059" i="23"/>
  <c r="C3059" i="23"/>
  <c r="D3058" i="23"/>
  <c r="C3058" i="23"/>
  <c r="D3057" i="23"/>
  <c r="C3057" i="23"/>
  <c r="D3056" i="23"/>
  <c r="C3056" i="23"/>
  <c r="D3055" i="23"/>
  <c r="C3055" i="23"/>
  <c r="D3054" i="23"/>
  <c r="C3054" i="23"/>
  <c r="D3053" i="23"/>
  <c r="C3053" i="23"/>
  <c r="D3052" i="23"/>
  <c r="C3052" i="23"/>
  <c r="D3051" i="23"/>
  <c r="C3051" i="23"/>
  <c r="D3050" i="23"/>
  <c r="C3050" i="23"/>
  <c r="D3049" i="23"/>
  <c r="C3049" i="23"/>
  <c r="D3048" i="23"/>
  <c r="C3048" i="23"/>
  <c r="D3047" i="23"/>
  <c r="C3047" i="23"/>
  <c r="D3046" i="23"/>
  <c r="C3046" i="23"/>
  <c r="D3045" i="23"/>
  <c r="C3045" i="23"/>
  <c r="D3044" i="23"/>
  <c r="C3044" i="23"/>
  <c r="D3043" i="23"/>
  <c r="C3043" i="23"/>
  <c r="D3042" i="23"/>
  <c r="C3042" i="23"/>
  <c r="D3041" i="23"/>
  <c r="C3041" i="23"/>
  <c r="D3040" i="23"/>
  <c r="C3040" i="23"/>
  <c r="D3039" i="23"/>
  <c r="C3039" i="23"/>
  <c r="D3038" i="23"/>
  <c r="C3038" i="23"/>
  <c r="D3037" i="23"/>
  <c r="C3037" i="23"/>
  <c r="D3036" i="23"/>
  <c r="C3036" i="23"/>
  <c r="D3035" i="23"/>
  <c r="C3035" i="23"/>
  <c r="D3034" i="23"/>
  <c r="C3034" i="23"/>
  <c r="D3033" i="23"/>
  <c r="C3033" i="23"/>
  <c r="D3032" i="23"/>
  <c r="C3032" i="23"/>
  <c r="D3031" i="23"/>
  <c r="C3031" i="23"/>
  <c r="D3030" i="23"/>
  <c r="C3030" i="23"/>
  <c r="D3029" i="23"/>
  <c r="C3029" i="23"/>
  <c r="D3028" i="23"/>
  <c r="C3028" i="23"/>
  <c r="D3027" i="23"/>
  <c r="C3027" i="23"/>
  <c r="D3026" i="23"/>
  <c r="C3026" i="23"/>
  <c r="D3025" i="23"/>
  <c r="C3025" i="23"/>
  <c r="D3024" i="23"/>
  <c r="C3024" i="23"/>
  <c r="D3023" i="23"/>
  <c r="C3023" i="23"/>
  <c r="D3022" i="23"/>
  <c r="C3022" i="23"/>
  <c r="D3021" i="23"/>
  <c r="C3021" i="23"/>
  <c r="D3020" i="23"/>
  <c r="C3020" i="23"/>
  <c r="D3019" i="23"/>
  <c r="C3019" i="23"/>
  <c r="D3018" i="23"/>
  <c r="C3018" i="23"/>
  <c r="D3017" i="23"/>
  <c r="C3017" i="23"/>
  <c r="D3016" i="23"/>
  <c r="C3016" i="23"/>
  <c r="D3015" i="23"/>
  <c r="C3015" i="23"/>
  <c r="D3014" i="23"/>
  <c r="C3014" i="23"/>
  <c r="D3013" i="23"/>
  <c r="C3013" i="23"/>
  <c r="D3012" i="23"/>
  <c r="C3012" i="23"/>
  <c r="D3011" i="23"/>
  <c r="C3011" i="23"/>
  <c r="D3010" i="23"/>
  <c r="C3010" i="23"/>
  <c r="D3009" i="23"/>
  <c r="C3009" i="23"/>
  <c r="D3008" i="23"/>
  <c r="C3008" i="23"/>
  <c r="D3007" i="23"/>
  <c r="C3007" i="23"/>
  <c r="D3006" i="23"/>
  <c r="C3006" i="23"/>
  <c r="D3005" i="23"/>
  <c r="C3005" i="23"/>
  <c r="D3004" i="23"/>
  <c r="C3004" i="23"/>
  <c r="D3003" i="23"/>
  <c r="C3003" i="23"/>
  <c r="D3002" i="23"/>
  <c r="C3002" i="23"/>
  <c r="D3001" i="23"/>
  <c r="C3001" i="23"/>
  <c r="D3000" i="23"/>
  <c r="C3000" i="23"/>
  <c r="D2999" i="23"/>
  <c r="C2999" i="23"/>
  <c r="D2998" i="23"/>
  <c r="C2998" i="23"/>
  <c r="D2997" i="23"/>
  <c r="C2997" i="23"/>
  <c r="D2996" i="23"/>
  <c r="C2996" i="23"/>
  <c r="D2995" i="23"/>
  <c r="C2995" i="23"/>
  <c r="D2994" i="23"/>
  <c r="C2994" i="23"/>
  <c r="D2993" i="23"/>
  <c r="C2993" i="23"/>
  <c r="D2992" i="23"/>
  <c r="C2992" i="23"/>
  <c r="D2991" i="23"/>
  <c r="C2991" i="23"/>
  <c r="D2990" i="23"/>
  <c r="C2990" i="23"/>
  <c r="D2989" i="23"/>
  <c r="C2989" i="23"/>
  <c r="D2988" i="23"/>
  <c r="C2988" i="23"/>
  <c r="D2987" i="23"/>
  <c r="C2987" i="23"/>
  <c r="D2986" i="23"/>
  <c r="C2986" i="23"/>
  <c r="D2985" i="23"/>
  <c r="C2985" i="23"/>
  <c r="D2984" i="23"/>
  <c r="C2984" i="23"/>
  <c r="D2983" i="23"/>
  <c r="C2983" i="23"/>
  <c r="D2982" i="23"/>
  <c r="C2982" i="23"/>
  <c r="D2981" i="23"/>
  <c r="C2981" i="23"/>
  <c r="D2980" i="23"/>
  <c r="C2980" i="23"/>
  <c r="D2979" i="23"/>
  <c r="C2979" i="23"/>
  <c r="D2978" i="23"/>
  <c r="C2978" i="23"/>
  <c r="D2977" i="23"/>
  <c r="C2977" i="23"/>
  <c r="D2976" i="23"/>
  <c r="C2976" i="23"/>
  <c r="D2975" i="23"/>
  <c r="C2975" i="23"/>
  <c r="D2974" i="23"/>
  <c r="C2974" i="23"/>
  <c r="D2973" i="23"/>
  <c r="C2973" i="23"/>
  <c r="D2972" i="23"/>
  <c r="C2972" i="23"/>
  <c r="D2971" i="23"/>
  <c r="C2971" i="23"/>
  <c r="D2970" i="23"/>
  <c r="C2970" i="23"/>
  <c r="D2969" i="23"/>
  <c r="C2969" i="23"/>
  <c r="D2968" i="23"/>
  <c r="C2968" i="23"/>
  <c r="D2967" i="23"/>
  <c r="C2967" i="23"/>
  <c r="D2966" i="23"/>
  <c r="C2966" i="23"/>
  <c r="D2965" i="23"/>
  <c r="C2965" i="23"/>
  <c r="D2964" i="23"/>
  <c r="C2964" i="23"/>
  <c r="D2963" i="23"/>
  <c r="C2963" i="23"/>
  <c r="D2962" i="23"/>
  <c r="C2962" i="23"/>
  <c r="D2961" i="23"/>
  <c r="C2961" i="23"/>
  <c r="D2960" i="23"/>
  <c r="C2960" i="23"/>
  <c r="D2959" i="23"/>
  <c r="C2959" i="23"/>
  <c r="D2958" i="23"/>
  <c r="C2958" i="23"/>
  <c r="D2957" i="23"/>
  <c r="C2957" i="23"/>
  <c r="D2956" i="23"/>
  <c r="C2956" i="23"/>
  <c r="D2955" i="23"/>
  <c r="C2955" i="23"/>
  <c r="D2954" i="23"/>
  <c r="C2954" i="23"/>
  <c r="D2953" i="23"/>
  <c r="C2953" i="23"/>
  <c r="D2952" i="23"/>
  <c r="C2952" i="23"/>
  <c r="D2951" i="23"/>
  <c r="C2951" i="23"/>
  <c r="D2950" i="23"/>
  <c r="C2950" i="23"/>
  <c r="D2949" i="23"/>
  <c r="C2949" i="23"/>
  <c r="D2948" i="23"/>
  <c r="C2948" i="23"/>
  <c r="D2947" i="23"/>
  <c r="C2947" i="23"/>
  <c r="D2946" i="23"/>
  <c r="C2946" i="23"/>
  <c r="D2945" i="23"/>
  <c r="C2945" i="23"/>
  <c r="D2944" i="23"/>
  <c r="C2944" i="23"/>
  <c r="D2943" i="23"/>
  <c r="C2943" i="23"/>
  <c r="D2942" i="23"/>
  <c r="C2942" i="23"/>
  <c r="D2941" i="23"/>
  <c r="C2941" i="23"/>
  <c r="D2940" i="23"/>
  <c r="C2940" i="23"/>
  <c r="D2939" i="23"/>
  <c r="C2939" i="23"/>
  <c r="D2938" i="23"/>
  <c r="C2938" i="23"/>
  <c r="D2937" i="23"/>
  <c r="C2937" i="23"/>
  <c r="D2936" i="23"/>
  <c r="C2936" i="23"/>
  <c r="D2935" i="23"/>
  <c r="C2935" i="23"/>
  <c r="D2934" i="23"/>
  <c r="C2934" i="23"/>
  <c r="D2933" i="23"/>
  <c r="C2933" i="23"/>
  <c r="D2932" i="23"/>
  <c r="C2932" i="23"/>
  <c r="D2931" i="23"/>
  <c r="C2931" i="23"/>
  <c r="D2930" i="23"/>
  <c r="C2930" i="23"/>
  <c r="D2929" i="23"/>
  <c r="C2929" i="23"/>
  <c r="D2928" i="23"/>
  <c r="C2928" i="23"/>
  <c r="D2927" i="23"/>
  <c r="C2927" i="23"/>
  <c r="D2926" i="23"/>
  <c r="C2926" i="23"/>
  <c r="D2925" i="23"/>
  <c r="C2925" i="23"/>
  <c r="D2924" i="23"/>
  <c r="C2924" i="23"/>
  <c r="D2923" i="23"/>
  <c r="C2923" i="23"/>
  <c r="D2922" i="23"/>
  <c r="C2922" i="23"/>
  <c r="D2921" i="23"/>
  <c r="C2921" i="23"/>
  <c r="D2920" i="23"/>
  <c r="C2920" i="23"/>
  <c r="D2919" i="23"/>
  <c r="C2919" i="23"/>
  <c r="D2918" i="23"/>
  <c r="C2918" i="23"/>
  <c r="D2917" i="23"/>
  <c r="C2917" i="23"/>
  <c r="D2916" i="23"/>
  <c r="C2916" i="23"/>
  <c r="D2915" i="23"/>
  <c r="C2915" i="23"/>
  <c r="D2914" i="23"/>
  <c r="C2914" i="23"/>
  <c r="D2913" i="23"/>
  <c r="C2913" i="23"/>
  <c r="D2912" i="23"/>
  <c r="C2912" i="23"/>
  <c r="D2911" i="23"/>
  <c r="C2911" i="23"/>
  <c r="D2910" i="23"/>
  <c r="C2910" i="23"/>
  <c r="D2909" i="23"/>
  <c r="C2909" i="23"/>
  <c r="D2908" i="23"/>
  <c r="C2908" i="23"/>
  <c r="D2907" i="23"/>
  <c r="C2907" i="23"/>
  <c r="D2906" i="23"/>
  <c r="C2906" i="23"/>
  <c r="D2905" i="23"/>
  <c r="C2905" i="23"/>
  <c r="D2904" i="23"/>
  <c r="C2904" i="23"/>
  <c r="D2903" i="23"/>
  <c r="C2903" i="23"/>
  <c r="D2902" i="23"/>
  <c r="C2902" i="23"/>
  <c r="D2901" i="23"/>
  <c r="C2901" i="23"/>
  <c r="D2900" i="23"/>
  <c r="C2900" i="23"/>
  <c r="D2899" i="23"/>
  <c r="C2899" i="23"/>
  <c r="D2898" i="23"/>
  <c r="C2898" i="23"/>
  <c r="D2897" i="23"/>
  <c r="C2897" i="23"/>
  <c r="D2896" i="23"/>
  <c r="C2896" i="23"/>
  <c r="D2895" i="23"/>
  <c r="C2895" i="23"/>
  <c r="D2894" i="23"/>
  <c r="C2894" i="23"/>
  <c r="D2893" i="23"/>
  <c r="C2893" i="23"/>
  <c r="D2892" i="23"/>
  <c r="C2892" i="23"/>
  <c r="D2891" i="23"/>
  <c r="C2891" i="23"/>
  <c r="D2890" i="23"/>
  <c r="C2890" i="23"/>
  <c r="D2889" i="23"/>
  <c r="C2889" i="23"/>
  <c r="D2888" i="23"/>
  <c r="C2888" i="23"/>
  <c r="D2887" i="23"/>
  <c r="C2887" i="23"/>
  <c r="D2886" i="23"/>
  <c r="C2886" i="23"/>
  <c r="D2885" i="23"/>
  <c r="C2885" i="23"/>
  <c r="D2884" i="23"/>
  <c r="C2884" i="23"/>
  <c r="D2883" i="23"/>
  <c r="C2883" i="23"/>
  <c r="D2882" i="23"/>
  <c r="C2882" i="23"/>
  <c r="D2881" i="23"/>
  <c r="C2881" i="23"/>
  <c r="D2880" i="23"/>
  <c r="C2880" i="23"/>
  <c r="D2879" i="23"/>
  <c r="C2879" i="23"/>
  <c r="D2878" i="23"/>
  <c r="C2878" i="23"/>
  <c r="D2877" i="23"/>
  <c r="C2877" i="23"/>
  <c r="D2876" i="23"/>
  <c r="C2876" i="23"/>
  <c r="D2875" i="23"/>
  <c r="C2875" i="23"/>
  <c r="D2874" i="23"/>
  <c r="C2874" i="23"/>
  <c r="D2873" i="23"/>
  <c r="C2873" i="23"/>
  <c r="D2872" i="23"/>
  <c r="C2872" i="23"/>
  <c r="D2871" i="23"/>
  <c r="C2871" i="23"/>
  <c r="D2870" i="23"/>
  <c r="C2870" i="23"/>
  <c r="D2869" i="23"/>
  <c r="C2869" i="23"/>
  <c r="D2868" i="23"/>
  <c r="C2868" i="23"/>
  <c r="D2867" i="23"/>
  <c r="C2867" i="23"/>
  <c r="D2866" i="23"/>
  <c r="C2866" i="23"/>
  <c r="D2865" i="23"/>
  <c r="C2865" i="23"/>
  <c r="D2864" i="23"/>
  <c r="C2864" i="23"/>
  <c r="D2863" i="23"/>
  <c r="C2863" i="23"/>
  <c r="D2862" i="23"/>
  <c r="C2862" i="23"/>
  <c r="D2861" i="23"/>
  <c r="C2861" i="23"/>
  <c r="D2860" i="23"/>
  <c r="C2860" i="23"/>
  <c r="D2859" i="23"/>
  <c r="C2859" i="23"/>
  <c r="D2858" i="23"/>
  <c r="C2858" i="23"/>
  <c r="D2857" i="23"/>
  <c r="C2857" i="23"/>
  <c r="D2856" i="23"/>
  <c r="C2856" i="23"/>
  <c r="D2855" i="23"/>
  <c r="C2855" i="23"/>
  <c r="D2854" i="23"/>
  <c r="C2854" i="23"/>
  <c r="D2853" i="23"/>
  <c r="C2853" i="23"/>
  <c r="D2852" i="23"/>
  <c r="C2852" i="23"/>
  <c r="D2851" i="23"/>
  <c r="C2851" i="23"/>
  <c r="D2850" i="23"/>
  <c r="C2850" i="23"/>
  <c r="D2849" i="23"/>
  <c r="C2849" i="23"/>
  <c r="D2848" i="23"/>
  <c r="C2848" i="23"/>
  <c r="D2847" i="23"/>
  <c r="C2847" i="23"/>
  <c r="D2846" i="23"/>
  <c r="C2846" i="23"/>
  <c r="D2845" i="23"/>
  <c r="C2845" i="23"/>
  <c r="D2844" i="23"/>
  <c r="C2844" i="23"/>
  <c r="D2843" i="23"/>
  <c r="C2843" i="23"/>
  <c r="D2842" i="23"/>
  <c r="C2842" i="23"/>
  <c r="D2841" i="23"/>
  <c r="C2841" i="23"/>
  <c r="D2840" i="23"/>
  <c r="C2840" i="23"/>
  <c r="D2839" i="23"/>
  <c r="C2839" i="23"/>
  <c r="D2838" i="23"/>
  <c r="C2838" i="23"/>
  <c r="D2837" i="23"/>
  <c r="C2837" i="23"/>
  <c r="D2836" i="23"/>
  <c r="C2836" i="23"/>
  <c r="D2835" i="23"/>
  <c r="C2835" i="23"/>
  <c r="D2834" i="23"/>
  <c r="C2834" i="23"/>
  <c r="D2833" i="23"/>
  <c r="C2833" i="23"/>
  <c r="D2832" i="23"/>
  <c r="C2832" i="23"/>
  <c r="D2831" i="23"/>
  <c r="C2831" i="23"/>
  <c r="D2830" i="23"/>
  <c r="C2830" i="23"/>
  <c r="D2829" i="23"/>
  <c r="C2829" i="23"/>
  <c r="D2828" i="23"/>
  <c r="C2828" i="23"/>
  <c r="D2827" i="23"/>
  <c r="C2827" i="23"/>
  <c r="D2826" i="23"/>
  <c r="C2826" i="23"/>
  <c r="D2825" i="23"/>
  <c r="C2825" i="23"/>
  <c r="D2824" i="23"/>
  <c r="C2824" i="23"/>
  <c r="D2823" i="23"/>
  <c r="C2823" i="23"/>
  <c r="D2822" i="23"/>
  <c r="C2822" i="23"/>
  <c r="D2821" i="23"/>
  <c r="C2821" i="23"/>
  <c r="D2820" i="23"/>
  <c r="C2820" i="23"/>
  <c r="D2819" i="23"/>
  <c r="C2819" i="23"/>
  <c r="D2818" i="23"/>
  <c r="C2818" i="23"/>
  <c r="D2817" i="23"/>
  <c r="C2817" i="23"/>
  <c r="D2816" i="23"/>
  <c r="C2816" i="23"/>
  <c r="D2815" i="23"/>
  <c r="C2815" i="23"/>
  <c r="D2814" i="23"/>
  <c r="C2814" i="23"/>
  <c r="D2813" i="23"/>
  <c r="C2813" i="23"/>
  <c r="D2812" i="23"/>
  <c r="C2812" i="23"/>
  <c r="D2811" i="23"/>
  <c r="C2811" i="23"/>
  <c r="D2810" i="23"/>
  <c r="C2810" i="23"/>
  <c r="D2809" i="23"/>
  <c r="C2809" i="23"/>
  <c r="D2808" i="23"/>
  <c r="C2808" i="23"/>
  <c r="D2807" i="23"/>
  <c r="C2807" i="23"/>
  <c r="D2806" i="23"/>
  <c r="C2806" i="23"/>
  <c r="D2805" i="23"/>
  <c r="C2805" i="23"/>
  <c r="D2804" i="23"/>
  <c r="C2804" i="23"/>
  <c r="D2803" i="23"/>
  <c r="C2803" i="23"/>
  <c r="D2802" i="23"/>
  <c r="C2802" i="23"/>
  <c r="D2801" i="23"/>
  <c r="C2801" i="23"/>
  <c r="D2800" i="23"/>
  <c r="C2800" i="23"/>
  <c r="D2799" i="23"/>
  <c r="C2799" i="23"/>
  <c r="D2798" i="23"/>
  <c r="C2798" i="23"/>
  <c r="D2797" i="23"/>
  <c r="C2797" i="23"/>
  <c r="D2796" i="23"/>
  <c r="C2796" i="23"/>
  <c r="D2795" i="23"/>
  <c r="C2795" i="23"/>
  <c r="D2794" i="23"/>
  <c r="C2794" i="23"/>
  <c r="D2793" i="23"/>
  <c r="C2793" i="23"/>
  <c r="D2792" i="23"/>
  <c r="C2792" i="23"/>
  <c r="D2791" i="23"/>
  <c r="C2791" i="23"/>
  <c r="D2790" i="23"/>
  <c r="C2790" i="23"/>
  <c r="D2789" i="23"/>
  <c r="C2789" i="23"/>
  <c r="D2788" i="23"/>
  <c r="C2788" i="23"/>
  <c r="D2787" i="23"/>
  <c r="C2787" i="23"/>
  <c r="D2786" i="23"/>
  <c r="C2786" i="23"/>
  <c r="D2785" i="23"/>
  <c r="C2785" i="23"/>
  <c r="D2784" i="23"/>
  <c r="C2784" i="23"/>
  <c r="D2783" i="23"/>
  <c r="C2783" i="23"/>
  <c r="D2782" i="23"/>
  <c r="C2782" i="23"/>
  <c r="D2781" i="23"/>
  <c r="C2781" i="23"/>
  <c r="D2780" i="23"/>
  <c r="C2780" i="23"/>
  <c r="D2779" i="23"/>
  <c r="C2779" i="23"/>
  <c r="D2778" i="23"/>
  <c r="C2778" i="23"/>
  <c r="D2777" i="23"/>
  <c r="C2777" i="23"/>
  <c r="D2776" i="23"/>
  <c r="C2776" i="23"/>
  <c r="D2775" i="23"/>
  <c r="C2775" i="23"/>
  <c r="D2774" i="23"/>
  <c r="C2774" i="23"/>
  <c r="D2773" i="23"/>
  <c r="C2773" i="23"/>
  <c r="D2772" i="23"/>
  <c r="C2772" i="23"/>
  <c r="D2771" i="23"/>
  <c r="C2771" i="23"/>
  <c r="D2770" i="23"/>
  <c r="C2770" i="23"/>
  <c r="D2769" i="23"/>
  <c r="C2769" i="23"/>
  <c r="D2768" i="23"/>
  <c r="C2768" i="23"/>
  <c r="D2767" i="23"/>
  <c r="C2767" i="23"/>
  <c r="D2766" i="23"/>
  <c r="C2766" i="23"/>
  <c r="D2765" i="23"/>
  <c r="C2765" i="23"/>
  <c r="D2764" i="23"/>
  <c r="C2764" i="23"/>
  <c r="D2763" i="23"/>
  <c r="C2763" i="23"/>
  <c r="D2762" i="23"/>
  <c r="C2762" i="23"/>
  <c r="D2761" i="23"/>
  <c r="C2761" i="23"/>
  <c r="D2760" i="23"/>
  <c r="C2760" i="23"/>
  <c r="D2759" i="23"/>
  <c r="C2759" i="23"/>
  <c r="D2758" i="23"/>
  <c r="C2758" i="23"/>
  <c r="D2757" i="23"/>
  <c r="C2757" i="23"/>
  <c r="D2756" i="23"/>
  <c r="C2756" i="23"/>
  <c r="D2755" i="23"/>
  <c r="C2755" i="23"/>
  <c r="D2754" i="23"/>
  <c r="C2754" i="23"/>
  <c r="D2753" i="23"/>
  <c r="C2753" i="23"/>
  <c r="D2752" i="23"/>
  <c r="C2752" i="23"/>
  <c r="D2751" i="23"/>
  <c r="C2751" i="23"/>
  <c r="D2750" i="23"/>
  <c r="C2750" i="23"/>
  <c r="D2749" i="23"/>
  <c r="C2749" i="23"/>
  <c r="D2748" i="23"/>
  <c r="C2748" i="23"/>
  <c r="D2747" i="23"/>
  <c r="C2747" i="23"/>
  <c r="D2746" i="23"/>
  <c r="C2746" i="23"/>
  <c r="D2745" i="23"/>
  <c r="C2745" i="23"/>
  <c r="D2744" i="23"/>
  <c r="C2744" i="23"/>
  <c r="D2743" i="23"/>
  <c r="C2743" i="23"/>
  <c r="D2742" i="23"/>
  <c r="C2742" i="23"/>
  <c r="D2741" i="23"/>
  <c r="C2741" i="23"/>
  <c r="D2740" i="23"/>
  <c r="C2740" i="23"/>
  <c r="D2739" i="23"/>
  <c r="C2739" i="23"/>
  <c r="D2738" i="23"/>
  <c r="C2738" i="23"/>
  <c r="D2737" i="23"/>
  <c r="C2737" i="23"/>
  <c r="D2736" i="23"/>
  <c r="C2736" i="23"/>
  <c r="D2735" i="23"/>
  <c r="C2735" i="23"/>
  <c r="D2734" i="23"/>
  <c r="C2734" i="23"/>
  <c r="D2733" i="23"/>
  <c r="C2733" i="23"/>
  <c r="D2732" i="23"/>
  <c r="C2732" i="23"/>
  <c r="D2731" i="23"/>
  <c r="C2731" i="23"/>
  <c r="D2730" i="23"/>
  <c r="C2730" i="23"/>
  <c r="D2729" i="23"/>
  <c r="C2729" i="23"/>
  <c r="D2728" i="23"/>
  <c r="C2728" i="23"/>
  <c r="D2727" i="23"/>
  <c r="C2727" i="23"/>
  <c r="D2726" i="23"/>
  <c r="C2726" i="23"/>
  <c r="D2725" i="23"/>
  <c r="C2725" i="23"/>
  <c r="D2724" i="23"/>
  <c r="C2724" i="23"/>
  <c r="D2723" i="23"/>
  <c r="C2723" i="23"/>
  <c r="D2722" i="23"/>
  <c r="C2722" i="23"/>
  <c r="D2721" i="23"/>
  <c r="C2721" i="23"/>
  <c r="D2720" i="23"/>
  <c r="C2720" i="23"/>
  <c r="D2719" i="23"/>
  <c r="C2719" i="23"/>
  <c r="D2718" i="23"/>
  <c r="C2718" i="23"/>
  <c r="D2717" i="23"/>
  <c r="C2717" i="23"/>
  <c r="D2716" i="23"/>
  <c r="C2716" i="23"/>
  <c r="D2715" i="23"/>
  <c r="C2715" i="23"/>
  <c r="D2714" i="23"/>
  <c r="C2714" i="23"/>
  <c r="D2713" i="23"/>
  <c r="C2713" i="23"/>
  <c r="D2712" i="23"/>
  <c r="C2712" i="23"/>
  <c r="D2711" i="23"/>
  <c r="C2711" i="23"/>
  <c r="D2710" i="23"/>
  <c r="C2710" i="23"/>
  <c r="D2709" i="23"/>
  <c r="C2709" i="23"/>
  <c r="D2708" i="23"/>
  <c r="C2708" i="23"/>
  <c r="D2707" i="23"/>
  <c r="C2707" i="23"/>
  <c r="D2706" i="23"/>
  <c r="C2706" i="23"/>
  <c r="D2705" i="23"/>
  <c r="C2705" i="23"/>
  <c r="D2704" i="23"/>
  <c r="C2704" i="23"/>
  <c r="D2703" i="23"/>
  <c r="C2703" i="23"/>
  <c r="D2702" i="23"/>
  <c r="C2702" i="23"/>
  <c r="D2701" i="23"/>
  <c r="C2701" i="23"/>
  <c r="D2700" i="23"/>
  <c r="C2700" i="23"/>
  <c r="D2699" i="23"/>
  <c r="C2699" i="23"/>
  <c r="D2698" i="23"/>
  <c r="C2698" i="23"/>
  <c r="D2697" i="23"/>
  <c r="C2697" i="23"/>
  <c r="D2696" i="23"/>
  <c r="C2696" i="23"/>
  <c r="D2695" i="23"/>
  <c r="C2695" i="23"/>
  <c r="D2694" i="23"/>
  <c r="C2694" i="23"/>
  <c r="D2693" i="23"/>
  <c r="C2693" i="23"/>
  <c r="D2692" i="23"/>
  <c r="C2692" i="23"/>
  <c r="D2691" i="23"/>
  <c r="C2691" i="23"/>
  <c r="D2690" i="23"/>
  <c r="C2690" i="23"/>
  <c r="D2689" i="23"/>
  <c r="C2689" i="23"/>
  <c r="D2688" i="23"/>
  <c r="C2688" i="23"/>
  <c r="D2687" i="23"/>
  <c r="C2687" i="23"/>
  <c r="D2686" i="23"/>
  <c r="C2686" i="23"/>
  <c r="D2685" i="23"/>
  <c r="C2685" i="23"/>
  <c r="D2684" i="23"/>
  <c r="C2684" i="23"/>
  <c r="D2683" i="23"/>
  <c r="C2683" i="23"/>
  <c r="D2682" i="23"/>
  <c r="C2682" i="23"/>
  <c r="D2681" i="23"/>
  <c r="C2681" i="23"/>
  <c r="D2680" i="23"/>
  <c r="C2680" i="23"/>
  <c r="D2679" i="23"/>
  <c r="C2679" i="23"/>
  <c r="D2678" i="23"/>
  <c r="C2678" i="23"/>
  <c r="D2677" i="23"/>
  <c r="C2677" i="23"/>
  <c r="D2676" i="23"/>
  <c r="C2676" i="23"/>
  <c r="D2675" i="23"/>
  <c r="C2675" i="23"/>
  <c r="D2674" i="23"/>
  <c r="C2674" i="23"/>
  <c r="D2673" i="23"/>
  <c r="C2673" i="23"/>
  <c r="D2672" i="23"/>
  <c r="C2672" i="23"/>
  <c r="D2671" i="23"/>
  <c r="C2671" i="23"/>
  <c r="D2670" i="23"/>
  <c r="C2670" i="23"/>
  <c r="D2669" i="23"/>
  <c r="C2669" i="23"/>
  <c r="D2668" i="23"/>
  <c r="C2668" i="23"/>
  <c r="D2667" i="23"/>
  <c r="C2667" i="23"/>
  <c r="D2666" i="23"/>
  <c r="C2666" i="23"/>
  <c r="D2665" i="23"/>
  <c r="C2665" i="23"/>
  <c r="D2664" i="23"/>
  <c r="C2664" i="23"/>
  <c r="D2663" i="23"/>
  <c r="C2663" i="23"/>
  <c r="D2662" i="23"/>
  <c r="C2662" i="23"/>
  <c r="D2661" i="23"/>
  <c r="C2661" i="23"/>
  <c r="D2660" i="23"/>
  <c r="C2660" i="23"/>
  <c r="D2659" i="23"/>
  <c r="C2659" i="23"/>
  <c r="D2658" i="23"/>
  <c r="C2658" i="23"/>
  <c r="D2657" i="23"/>
  <c r="C2657" i="23"/>
  <c r="D2656" i="23"/>
  <c r="C2656" i="23"/>
  <c r="D2655" i="23"/>
  <c r="C2655" i="23"/>
  <c r="D2654" i="23"/>
  <c r="C2654" i="23"/>
  <c r="D2653" i="23"/>
  <c r="C2653" i="23"/>
  <c r="D2652" i="23"/>
  <c r="C2652" i="23"/>
  <c r="D2651" i="23"/>
  <c r="C2651" i="23"/>
  <c r="D2650" i="23"/>
  <c r="C2650" i="23"/>
  <c r="D2649" i="23"/>
  <c r="C2649" i="23"/>
  <c r="D2648" i="23"/>
  <c r="C2648" i="23"/>
  <c r="D2647" i="23"/>
  <c r="C2647" i="23"/>
  <c r="D2646" i="23"/>
  <c r="C2646" i="23"/>
  <c r="D2645" i="23"/>
  <c r="C2645" i="23"/>
  <c r="D2644" i="23"/>
  <c r="C2644" i="23"/>
  <c r="D2643" i="23"/>
  <c r="C2643" i="23"/>
  <c r="D2642" i="23"/>
  <c r="C2642" i="23"/>
  <c r="D2641" i="23"/>
  <c r="C2641" i="23"/>
  <c r="D2640" i="23"/>
  <c r="C2640" i="23"/>
  <c r="D2639" i="23"/>
  <c r="C2639" i="23"/>
  <c r="D2638" i="23"/>
  <c r="C2638" i="23"/>
  <c r="D2637" i="23"/>
  <c r="C2637" i="23"/>
  <c r="D2636" i="23"/>
  <c r="C2636" i="23"/>
  <c r="D2635" i="23"/>
  <c r="C2635" i="23"/>
  <c r="D2634" i="23"/>
  <c r="C2634" i="23"/>
  <c r="D2633" i="23"/>
  <c r="C2633" i="23"/>
  <c r="D2632" i="23"/>
  <c r="C2632" i="23"/>
  <c r="D2631" i="23"/>
  <c r="C2631" i="23"/>
  <c r="D2630" i="23"/>
  <c r="C2630" i="23"/>
  <c r="D2629" i="23"/>
  <c r="C2629" i="23"/>
  <c r="D2628" i="23"/>
  <c r="C2628" i="23"/>
  <c r="D2627" i="23"/>
  <c r="C2627" i="23"/>
  <c r="D2626" i="23"/>
  <c r="C2626" i="23"/>
  <c r="D2625" i="23"/>
  <c r="C2625" i="23"/>
  <c r="D2624" i="23"/>
  <c r="C2624" i="23"/>
  <c r="D2623" i="23"/>
  <c r="C2623" i="23"/>
  <c r="D2622" i="23"/>
  <c r="C2622" i="23"/>
  <c r="D2621" i="23"/>
  <c r="C2621" i="23"/>
  <c r="D2620" i="23"/>
  <c r="C2620" i="23"/>
  <c r="D2619" i="23"/>
  <c r="C2619" i="23"/>
  <c r="D2618" i="23"/>
  <c r="C2618" i="23"/>
  <c r="D2617" i="23"/>
  <c r="C2617" i="23"/>
  <c r="D2616" i="23"/>
  <c r="C2616" i="23"/>
  <c r="D2615" i="23"/>
  <c r="C2615" i="23"/>
  <c r="D2614" i="23"/>
  <c r="C2614" i="23"/>
  <c r="D2613" i="23"/>
  <c r="C2613" i="23"/>
  <c r="D2612" i="23"/>
  <c r="C2612" i="23"/>
  <c r="D2611" i="23"/>
  <c r="C2611" i="23"/>
  <c r="D2610" i="23"/>
  <c r="C2610" i="23"/>
  <c r="D2609" i="23"/>
  <c r="C2609" i="23"/>
  <c r="D2608" i="23"/>
  <c r="C2608" i="23"/>
  <c r="D2607" i="23"/>
  <c r="C2607" i="23"/>
  <c r="D2606" i="23"/>
  <c r="C2606" i="23"/>
  <c r="D2605" i="23"/>
  <c r="C2605" i="23"/>
  <c r="D2604" i="23"/>
  <c r="C2604" i="23"/>
  <c r="D2603" i="23"/>
  <c r="C2603" i="23"/>
  <c r="D2602" i="23"/>
  <c r="C2602" i="23"/>
  <c r="D2601" i="23"/>
  <c r="C2601" i="23"/>
  <c r="D2600" i="23"/>
  <c r="C2600" i="23"/>
  <c r="D2599" i="23"/>
  <c r="C2599" i="23"/>
  <c r="D2598" i="23"/>
  <c r="C2598" i="23"/>
  <c r="D2597" i="23"/>
  <c r="C2597" i="23"/>
  <c r="D2596" i="23"/>
  <c r="C2596" i="23"/>
  <c r="D2595" i="23"/>
  <c r="C2595" i="23"/>
  <c r="D2594" i="23"/>
  <c r="C2594" i="23"/>
  <c r="D2593" i="23"/>
  <c r="C2593" i="23"/>
  <c r="D2592" i="23"/>
  <c r="C2592" i="23"/>
  <c r="D2591" i="23"/>
  <c r="C2591" i="23"/>
  <c r="D2590" i="23"/>
  <c r="C2590" i="23"/>
  <c r="D2589" i="23"/>
  <c r="C2589" i="23"/>
  <c r="D2588" i="23"/>
  <c r="C2588" i="23"/>
  <c r="D2587" i="23"/>
  <c r="C2587" i="23"/>
  <c r="D2586" i="23"/>
  <c r="C2586" i="23"/>
  <c r="D2585" i="23"/>
  <c r="C2585" i="23"/>
  <c r="D2584" i="23"/>
  <c r="C2584" i="23"/>
  <c r="D2583" i="23"/>
  <c r="C2583" i="23"/>
  <c r="D2582" i="23"/>
  <c r="C2582" i="23"/>
  <c r="D2581" i="23"/>
  <c r="C2581" i="23"/>
  <c r="D2580" i="23"/>
  <c r="C2580" i="23"/>
  <c r="D2579" i="23"/>
  <c r="C2579" i="23"/>
  <c r="D2578" i="23"/>
  <c r="C2578" i="23"/>
  <c r="D2577" i="23"/>
  <c r="C2577" i="23"/>
  <c r="D2576" i="23"/>
  <c r="C2576" i="23"/>
  <c r="D2575" i="23"/>
  <c r="C2575" i="23"/>
  <c r="D2574" i="23"/>
  <c r="C2574" i="23"/>
  <c r="D2573" i="23"/>
  <c r="C2573" i="23"/>
  <c r="D2572" i="23"/>
  <c r="C2572" i="23"/>
  <c r="D2571" i="23"/>
  <c r="C2571" i="23"/>
  <c r="D2570" i="23"/>
  <c r="C2570" i="23"/>
  <c r="D2569" i="23"/>
  <c r="C2569" i="23"/>
  <c r="D2568" i="23"/>
  <c r="C2568" i="23"/>
  <c r="D2567" i="23"/>
  <c r="C2567" i="23"/>
  <c r="D2566" i="23"/>
  <c r="C2566" i="23"/>
  <c r="D2565" i="23"/>
  <c r="C2565" i="23"/>
  <c r="D2564" i="23"/>
  <c r="C2564" i="23"/>
  <c r="D2563" i="23"/>
  <c r="C2563" i="23"/>
  <c r="D2562" i="23"/>
  <c r="C2562" i="23"/>
  <c r="D2561" i="23"/>
  <c r="C2561" i="23"/>
  <c r="D2560" i="23"/>
  <c r="C2560" i="23"/>
  <c r="D2559" i="23"/>
  <c r="C2559" i="23"/>
  <c r="D2558" i="23"/>
  <c r="C2558" i="23"/>
  <c r="D2557" i="23"/>
  <c r="C2557" i="23"/>
  <c r="D2556" i="23"/>
  <c r="C2556" i="23"/>
  <c r="D2555" i="23"/>
  <c r="C2555" i="23"/>
  <c r="D2554" i="23"/>
  <c r="C2554" i="23"/>
  <c r="D2553" i="23"/>
  <c r="C2553" i="23"/>
  <c r="D2552" i="23"/>
  <c r="C2552" i="23"/>
  <c r="D2551" i="23"/>
  <c r="C2551" i="23"/>
  <c r="D2550" i="23"/>
  <c r="C2550" i="23"/>
  <c r="D2549" i="23"/>
  <c r="C2549" i="23"/>
  <c r="D2548" i="23"/>
  <c r="C2548" i="23"/>
  <c r="D2547" i="23"/>
  <c r="C2547" i="23"/>
  <c r="D2546" i="23"/>
  <c r="C2546" i="23"/>
  <c r="D2545" i="23"/>
  <c r="C2545" i="23"/>
  <c r="D2544" i="23"/>
  <c r="C2544" i="23"/>
  <c r="D2543" i="23"/>
  <c r="C2543" i="23"/>
  <c r="D2542" i="23"/>
  <c r="C2542" i="23"/>
  <c r="D2541" i="23"/>
  <c r="C2541" i="23"/>
  <c r="D2540" i="23"/>
  <c r="C2540" i="23"/>
  <c r="D2539" i="23"/>
  <c r="C2539" i="23"/>
  <c r="D2538" i="23"/>
  <c r="C2538" i="23"/>
  <c r="D2537" i="23"/>
  <c r="C2537" i="23"/>
  <c r="D2536" i="23"/>
  <c r="C2536" i="23"/>
  <c r="D2535" i="23"/>
  <c r="C2535" i="23"/>
  <c r="D2534" i="23"/>
  <c r="C2534" i="23"/>
  <c r="D2533" i="23"/>
  <c r="C2533" i="23"/>
  <c r="D2532" i="23"/>
  <c r="C2532" i="23"/>
  <c r="D2531" i="23"/>
  <c r="C2531" i="23"/>
  <c r="D2530" i="23"/>
  <c r="C2530" i="23"/>
  <c r="D2529" i="23"/>
  <c r="C2529" i="23"/>
  <c r="D2528" i="23"/>
  <c r="C2528" i="23"/>
  <c r="D2527" i="23"/>
  <c r="C2527" i="23"/>
  <c r="D2526" i="23"/>
  <c r="C2526" i="23"/>
  <c r="D2525" i="23"/>
  <c r="C2525" i="23"/>
  <c r="D2524" i="23"/>
  <c r="C2524" i="23"/>
  <c r="D2523" i="23"/>
  <c r="C2523" i="23"/>
  <c r="D2522" i="23"/>
  <c r="C2522" i="23"/>
  <c r="D2521" i="23"/>
  <c r="C2521" i="23"/>
  <c r="D2520" i="23"/>
  <c r="C2520" i="23"/>
  <c r="D2519" i="23"/>
  <c r="C2519" i="23"/>
  <c r="D2518" i="23"/>
  <c r="C2518" i="23"/>
  <c r="D2517" i="23"/>
  <c r="C2517" i="23"/>
  <c r="D2516" i="23"/>
  <c r="C2516" i="23"/>
  <c r="D2515" i="23"/>
  <c r="C2515" i="23"/>
  <c r="D2514" i="23"/>
  <c r="C2514" i="23"/>
  <c r="D2513" i="23"/>
  <c r="C2513" i="23"/>
  <c r="D2512" i="23"/>
  <c r="C2512" i="23"/>
  <c r="D2511" i="23"/>
  <c r="C2511" i="23"/>
  <c r="D2510" i="23"/>
  <c r="C2510" i="23"/>
  <c r="D2509" i="23"/>
  <c r="C2509" i="23"/>
  <c r="D2508" i="23"/>
  <c r="C2508" i="23"/>
  <c r="D2507" i="23"/>
  <c r="C2507" i="23"/>
  <c r="D2506" i="23"/>
  <c r="C2506" i="23"/>
  <c r="D2505" i="23"/>
  <c r="C2505" i="23"/>
  <c r="D2504" i="23"/>
  <c r="C2504" i="23"/>
  <c r="D2503" i="23"/>
  <c r="C2503" i="23"/>
  <c r="D2502" i="23"/>
  <c r="C2502" i="23"/>
  <c r="D2501" i="23"/>
  <c r="C2501" i="23"/>
  <c r="D2500" i="23"/>
  <c r="C2500" i="23"/>
  <c r="D2499" i="23"/>
  <c r="C2499" i="23"/>
  <c r="D2498" i="23"/>
  <c r="C2498" i="23"/>
  <c r="D2497" i="23"/>
  <c r="C2497" i="23"/>
  <c r="D2496" i="23"/>
  <c r="C2496" i="23"/>
  <c r="D2495" i="23"/>
  <c r="C2495" i="23"/>
  <c r="D2494" i="23"/>
  <c r="C2494" i="23"/>
  <c r="D2493" i="23"/>
  <c r="C2493" i="23"/>
  <c r="D2492" i="23"/>
  <c r="C2492" i="23"/>
  <c r="D2491" i="23"/>
  <c r="C2491" i="23"/>
  <c r="D2490" i="23"/>
  <c r="C2490" i="23"/>
  <c r="D2489" i="23"/>
  <c r="C2489" i="23"/>
  <c r="D2488" i="23"/>
  <c r="C2488" i="23"/>
  <c r="D2487" i="23"/>
  <c r="C2487" i="23"/>
  <c r="D2486" i="23"/>
  <c r="C2486" i="23"/>
  <c r="D2485" i="23"/>
  <c r="C2485" i="23"/>
  <c r="D2484" i="23"/>
  <c r="C2484" i="23"/>
  <c r="D2483" i="23"/>
  <c r="C2483" i="23"/>
  <c r="D2482" i="23"/>
  <c r="C2482" i="23"/>
  <c r="D2481" i="23"/>
  <c r="C2481" i="23"/>
  <c r="D2480" i="23"/>
  <c r="C2480" i="23"/>
  <c r="D2479" i="23"/>
  <c r="C2479" i="23"/>
  <c r="D2478" i="23"/>
  <c r="C2478" i="23"/>
  <c r="D2477" i="23"/>
  <c r="C2477" i="23"/>
  <c r="D2476" i="23"/>
  <c r="C2476" i="23"/>
  <c r="D2475" i="23"/>
  <c r="C2475" i="23"/>
  <c r="D2474" i="23"/>
  <c r="C2474" i="23"/>
  <c r="D2473" i="23"/>
  <c r="C2473" i="23"/>
  <c r="D2472" i="23"/>
  <c r="C2472" i="23"/>
  <c r="D2471" i="23"/>
  <c r="C2471" i="23"/>
  <c r="D2470" i="23"/>
  <c r="C2470" i="23"/>
  <c r="D2469" i="23"/>
  <c r="C2469" i="23"/>
  <c r="D2468" i="23"/>
  <c r="C2468" i="23"/>
  <c r="D2467" i="23"/>
  <c r="C2467" i="23"/>
  <c r="D2466" i="23"/>
  <c r="C2466" i="23"/>
  <c r="D2465" i="23"/>
  <c r="C2465" i="23"/>
  <c r="D2464" i="23"/>
  <c r="C2464" i="23"/>
  <c r="D2463" i="23"/>
  <c r="C2463" i="23"/>
  <c r="D2462" i="23"/>
  <c r="C2462" i="23"/>
  <c r="D2461" i="23"/>
  <c r="C2461" i="23"/>
  <c r="D2460" i="23"/>
  <c r="C2460" i="23"/>
  <c r="D2459" i="23"/>
  <c r="C2459" i="23"/>
  <c r="D2458" i="23"/>
  <c r="C2458" i="23"/>
  <c r="D2457" i="23"/>
  <c r="C2457" i="23"/>
  <c r="D2456" i="23"/>
  <c r="C2456" i="23"/>
  <c r="D2455" i="23"/>
  <c r="C2455" i="23"/>
  <c r="D2454" i="23"/>
  <c r="C2454" i="23"/>
  <c r="D2453" i="23"/>
  <c r="C2453" i="23"/>
  <c r="D2452" i="23"/>
  <c r="C2452" i="23"/>
  <c r="D2451" i="23"/>
  <c r="C2451" i="23"/>
  <c r="D2450" i="23"/>
  <c r="C2450" i="23"/>
  <c r="D2449" i="23"/>
  <c r="C2449" i="23"/>
  <c r="D2448" i="23"/>
  <c r="C2448" i="23"/>
  <c r="D2447" i="23"/>
  <c r="C2447" i="23"/>
  <c r="D2446" i="23"/>
  <c r="C2446" i="23"/>
  <c r="D2445" i="23"/>
  <c r="C2445" i="23"/>
  <c r="D2444" i="23"/>
  <c r="C2444" i="23"/>
  <c r="D2443" i="23"/>
  <c r="C2443" i="23"/>
  <c r="D2442" i="23"/>
  <c r="C2442" i="23"/>
  <c r="D2441" i="23"/>
  <c r="C2441" i="23"/>
  <c r="D2440" i="23"/>
  <c r="C2440" i="23"/>
  <c r="D2439" i="23"/>
  <c r="C2439" i="23"/>
  <c r="D2438" i="23"/>
  <c r="C2438" i="23"/>
  <c r="D2437" i="23"/>
  <c r="C2437" i="23"/>
  <c r="D2436" i="23"/>
  <c r="C2436" i="23"/>
  <c r="D2435" i="23"/>
  <c r="C2435" i="23"/>
  <c r="D2434" i="23"/>
  <c r="C2434" i="23"/>
  <c r="D2433" i="23"/>
  <c r="C2433" i="23"/>
  <c r="D2432" i="23"/>
  <c r="C2432" i="23"/>
  <c r="D2431" i="23"/>
  <c r="C2431" i="23"/>
  <c r="D2430" i="23"/>
  <c r="C2430" i="23"/>
  <c r="D2429" i="23"/>
  <c r="C2429" i="23"/>
  <c r="D2428" i="23"/>
  <c r="C2428" i="23"/>
  <c r="D2427" i="23"/>
  <c r="C2427" i="23"/>
  <c r="D2426" i="23"/>
  <c r="C2426" i="23"/>
  <c r="D2425" i="23"/>
  <c r="C2425" i="23"/>
  <c r="D2424" i="23"/>
  <c r="C2424" i="23"/>
  <c r="D2423" i="23"/>
  <c r="C2423" i="23"/>
  <c r="D2422" i="23"/>
  <c r="C2422" i="23"/>
  <c r="D2421" i="23"/>
  <c r="C2421" i="23"/>
  <c r="D2420" i="23"/>
  <c r="C2420" i="23"/>
  <c r="D2419" i="23"/>
  <c r="C2419" i="23"/>
  <c r="D2418" i="23"/>
  <c r="C2418" i="23"/>
  <c r="D2417" i="23"/>
  <c r="C2417" i="23"/>
  <c r="D2416" i="23"/>
  <c r="C2416" i="23"/>
  <c r="D2415" i="23"/>
  <c r="C2415" i="23"/>
  <c r="D2414" i="23"/>
  <c r="C2414" i="23"/>
  <c r="D2413" i="23"/>
  <c r="C2413" i="23"/>
  <c r="D2412" i="23"/>
  <c r="C2412" i="23"/>
  <c r="D2411" i="23"/>
  <c r="C2411" i="23"/>
  <c r="D2410" i="23"/>
  <c r="C2410" i="23"/>
  <c r="D2409" i="23"/>
  <c r="C2409" i="23"/>
  <c r="D2408" i="23"/>
  <c r="C2408" i="23"/>
  <c r="D2407" i="23"/>
  <c r="C2407" i="23"/>
  <c r="D2406" i="23"/>
  <c r="C2406" i="23"/>
  <c r="D2405" i="23"/>
  <c r="C2405" i="23"/>
  <c r="D2404" i="23"/>
  <c r="C2404" i="23"/>
  <c r="D2403" i="23"/>
  <c r="C2403" i="23"/>
  <c r="D2402" i="23"/>
  <c r="C2402" i="23"/>
  <c r="D2401" i="23"/>
  <c r="C2401" i="23"/>
  <c r="D2400" i="23"/>
  <c r="C2400" i="23"/>
  <c r="D2399" i="23"/>
  <c r="C2399" i="23"/>
  <c r="D2398" i="23"/>
  <c r="C2398" i="23"/>
  <c r="D2397" i="23"/>
  <c r="C2397" i="23"/>
  <c r="D2396" i="23"/>
  <c r="C2396" i="23"/>
  <c r="D2395" i="23"/>
  <c r="C2395" i="23"/>
  <c r="D2394" i="23"/>
  <c r="C2394" i="23"/>
  <c r="D2393" i="23"/>
  <c r="C2393" i="23"/>
  <c r="D2392" i="23"/>
  <c r="C2392" i="23"/>
  <c r="D2391" i="23"/>
  <c r="C2391" i="23"/>
  <c r="D2390" i="23"/>
  <c r="C2390" i="23"/>
  <c r="D2389" i="23"/>
  <c r="C2389" i="23"/>
  <c r="D2388" i="23"/>
  <c r="C2388" i="23"/>
  <c r="D2387" i="23"/>
  <c r="C2387" i="23"/>
  <c r="D2386" i="23"/>
  <c r="C2386" i="23"/>
  <c r="D2385" i="23"/>
  <c r="C2385" i="23"/>
  <c r="D2384" i="23"/>
  <c r="C2384" i="23"/>
  <c r="D2383" i="23"/>
  <c r="C2383" i="23"/>
  <c r="D2382" i="23"/>
  <c r="C2382" i="23"/>
  <c r="D2381" i="23"/>
  <c r="C2381" i="23"/>
  <c r="D2380" i="23"/>
  <c r="C2380" i="23"/>
  <c r="D2379" i="23"/>
  <c r="C2379" i="23"/>
  <c r="D2378" i="23"/>
  <c r="C2378" i="23"/>
  <c r="D2377" i="23"/>
  <c r="C2377" i="23"/>
  <c r="D2376" i="23"/>
  <c r="C2376" i="23"/>
  <c r="D2375" i="23"/>
  <c r="C2375" i="23"/>
  <c r="D2374" i="23"/>
  <c r="C2374" i="23"/>
  <c r="D2373" i="23"/>
  <c r="C2373" i="23"/>
  <c r="D2372" i="23"/>
  <c r="C2372" i="23"/>
  <c r="D2371" i="23"/>
  <c r="C2371" i="23"/>
  <c r="D2370" i="23"/>
  <c r="C2370" i="23"/>
  <c r="D2369" i="23"/>
  <c r="C2369" i="23"/>
  <c r="D2368" i="23"/>
  <c r="C2368" i="23"/>
  <c r="D2367" i="23"/>
  <c r="C2367" i="23"/>
  <c r="D2366" i="23"/>
  <c r="C2366" i="23"/>
  <c r="D2365" i="23"/>
  <c r="C2365" i="23"/>
  <c r="D2364" i="23"/>
  <c r="C2364" i="23"/>
  <c r="D2363" i="23"/>
  <c r="C2363" i="23"/>
  <c r="D2362" i="23"/>
  <c r="C2362" i="23"/>
  <c r="D2361" i="23"/>
  <c r="C2361" i="23"/>
  <c r="D2360" i="23"/>
  <c r="C2360" i="23"/>
  <c r="D2359" i="23"/>
  <c r="C2359" i="23"/>
  <c r="D2358" i="23"/>
  <c r="C2358" i="23"/>
  <c r="D2357" i="23"/>
  <c r="C2357" i="23"/>
  <c r="D2356" i="23"/>
  <c r="C2356" i="23"/>
  <c r="D2355" i="23"/>
  <c r="C2355" i="23"/>
  <c r="D2354" i="23"/>
  <c r="C2354" i="23"/>
  <c r="D2353" i="23"/>
  <c r="C2353" i="23"/>
  <c r="D2352" i="23"/>
  <c r="C2352" i="23"/>
  <c r="D2351" i="23"/>
  <c r="C2351" i="23"/>
  <c r="D2350" i="23"/>
  <c r="C2350" i="23"/>
  <c r="D2349" i="23"/>
  <c r="C2349" i="23"/>
  <c r="D2348" i="23"/>
  <c r="C2348" i="23"/>
  <c r="D2347" i="23"/>
  <c r="C2347" i="23"/>
  <c r="D2346" i="23"/>
  <c r="C2346" i="23"/>
  <c r="D2345" i="23"/>
  <c r="C2345" i="23"/>
  <c r="D2344" i="23"/>
  <c r="C2344" i="23"/>
  <c r="D2343" i="23"/>
  <c r="C2343" i="23"/>
  <c r="D2342" i="23"/>
  <c r="C2342" i="23"/>
  <c r="D2341" i="23"/>
  <c r="C2341" i="23"/>
  <c r="D2340" i="23"/>
  <c r="C2340" i="23"/>
  <c r="D2339" i="23"/>
  <c r="C2339" i="23"/>
  <c r="D2338" i="23"/>
  <c r="C2338" i="23"/>
  <c r="D2337" i="23"/>
  <c r="C2337" i="23"/>
  <c r="D2336" i="23"/>
  <c r="C2336" i="23"/>
  <c r="D2335" i="23"/>
  <c r="C2335" i="23"/>
  <c r="D2334" i="23"/>
  <c r="C2334" i="23"/>
  <c r="D2333" i="23"/>
  <c r="C2333" i="23"/>
  <c r="D2332" i="23"/>
  <c r="C2332" i="23"/>
  <c r="D2331" i="23"/>
  <c r="C2331" i="23"/>
  <c r="D2330" i="23"/>
  <c r="C2330" i="23"/>
  <c r="D2329" i="23"/>
  <c r="C2329" i="23"/>
  <c r="D2328" i="23"/>
  <c r="C2328" i="23"/>
  <c r="D2327" i="23"/>
  <c r="C2327" i="23"/>
  <c r="D2326" i="23"/>
  <c r="C2326" i="23"/>
  <c r="D2325" i="23"/>
  <c r="C2325" i="23"/>
  <c r="D2324" i="23"/>
  <c r="C2324" i="23"/>
  <c r="D2323" i="23"/>
  <c r="C2323" i="23"/>
  <c r="D2322" i="23"/>
  <c r="C2322" i="23"/>
  <c r="D2321" i="23"/>
  <c r="C2321" i="23"/>
  <c r="D2320" i="23"/>
  <c r="C2320" i="23"/>
  <c r="D2319" i="23"/>
  <c r="C2319" i="23"/>
  <c r="D2318" i="23"/>
  <c r="C2318" i="23"/>
  <c r="D2317" i="23"/>
  <c r="C2317" i="23"/>
  <c r="D2316" i="23"/>
  <c r="C2316" i="23"/>
  <c r="D2315" i="23"/>
  <c r="C2315" i="23"/>
  <c r="D2314" i="23"/>
  <c r="C2314" i="23"/>
  <c r="D2313" i="23"/>
  <c r="C2313" i="23"/>
  <c r="D2312" i="23"/>
  <c r="C2312" i="23"/>
  <c r="D2311" i="23"/>
  <c r="C2311" i="23"/>
  <c r="D2310" i="23"/>
  <c r="C2310" i="23"/>
  <c r="D2309" i="23"/>
  <c r="C2309" i="23"/>
  <c r="D2308" i="23"/>
  <c r="C2308" i="23"/>
  <c r="D2307" i="23"/>
  <c r="C2307" i="23"/>
  <c r="D2306" i="23"/>
  <c r="C2306" i="23"/>
  <c r="D2305" i="23"/>
  <c r="C2305" i="23"/>
  <c r="D2304" i="23"/>
  <c r="C2304" i="23"/>
  <c r="D2303" i="23"/>
  <c r="C2303" i="23"/>
  <c r="D2302" i="23"/>
  <c r="C2302" i="23"/>
  <c r="D2301" i="23"/>
  <c r="C2301" i="23"/>
  <c r="D2300" i="23"/>
  <c r="C2300" i="23"/>
  <c r="D2299" i="23"/>
  <c r="C2299" i="23"/>
  <c r="D2298" i="23"/>
  <c r="C2298" i="23"/>
  <c r="D2297" i="23"/>
  <c r="C2297" i="23"/>
  <c r="D2296" i="23"/>
  <c r="C2296" i="23"/>
  <c r="D2295" i="23"/>
  <c r="C2295" i="23"/>
  <c r="D2294" i="23"/>
  <c r="C2294" i="23"/>
  <c r="D2293" i="23"/>
  <c r="C2293" i="23"/>
  <c r="D2292" i="23"/>
  <c r="C2292" i="23"/>
  <c r="D2291" i="23"/>
  <c r="C2291" i="23"/>
  <c r="D2290" i="23"/>
  <c r="C2290" i="23"/>
  <c r="D2289" i="23"/>
  <c r="C2289" i="23"/>
  <c r="D2288" i="23"/>
  <c r="C2288" i="23"/>
  <c r="D2287" i="23"/>
  <c r="C2287" i="23"/>
  <c r="D2286" i="23"/>
  <c r="C2286" i="23"/>
  <c r="D2285" i="23"/>
  <c r="C2285" i="23"/>
  <c r="D2284" i="23"/>
  <c r="C2284" i="23"/>
  <c r="D2283" i="23"/>
  <c r="C2283" i="23"/>
  <c r="D2282" i="23"/>
  <c r="C2282" i="23"/>
  <c r="D2281" i="23"/>
  <c r="C2281" i="23"/>
  <c r="D2280" i="23"/>
  <c r="C2280" i="23"/>
  <c r="D2279" i="23"/>
  <c r="C2279" i="23"/>
  <c r="D2278" i="23"/>
  <c r="C2278" i="23"/>
  <c r="D2277" i="23"/>
  <c r="C2277" i="23"/>
  <c r="D2276" i="23"/>
  <c r="C2276" i="23"/>
  <c r="D2275" i="23"/>
  <c r="C2275" i="23"/>
  <c r="D2274" i="23"/>
  <c r="C2274" i="23"/>
  <c r="D2273" i="23"/>
  <c r="C2273" i="23"/>
  <c r="D2272" i="23"/>
  <c r="C2272" i="23"/>
  <c r="D2271" i="23"/>
  <c r="C2271" i="23"/>
  <c r="D2270" i="23"/>
  <c r="C2270" i="23"/>
  <c r="D2269" i="23"/>
  <c r="C2269" i="23"/>
  <c r="D2268" i="23"/>
  <c r="C2268" i="23"/>
  <c r="D2267" i="23"/>
  <c r="C2267" i="23"/>
  <c r="D2266" i="23"/>
  <c r="C2266" i="23"/>
  <c r="D2265" i="23"/>
  <c r="C2265" i="23"/>
  <c r="D2264" i="23"/>
  <c r="C2264" i="23"/>
  <c r="D2263" i="23"/>
  <c r="C2263" i="23"/>
  <c r="D2262" i="23"/>
  <c r="C2262" i="23"/>
  <c r="D2261" i="23"/>
  <c r="C2261" i="23"/>
  <c r="D2260" i="23"/>
  <c r="C2260" i="23"/>
  <c r="D2259" i="23"/>
  <c r="C2259" i="23"/>
  <c r="D2258" i="23"/>
  <c r="C2258" i="23"/>
  <c r="D2257" i="23"/>
  <c r="C2257" i="23"/>
  <c r="D2256" i="23"/>
  <c r="C2256" i="23"/>
  <c r="D2255" i="23"/>
  <c r="C2255" i="23"/>
  <c r="D2254" i="23"/>
  <c r="C2254" i="23"/>
  <c r="D2253" i="23"/>
  <c r="C2253" i="23"/>
  <c r="D2252" i="23"/>
  <c r="C2252" i="23"/>
  <c r="D2251" i="23"/>
  <c r="C2251" i="23"/>
  <c r="D2250" i="23"/>
  <c r="C2250" i="23"/>
  <c r="D2249" i="23"/>
  <c r="C2249" i="23"/>
  <c r="D2248" i="23"/>
  <c r="C2248" i="23"/>
  <c r="D2247" i="23"/>
  <c r="C2247" i="23"/>
  <c r="D2246" i="23"/>
  <c r="C2246" i="23"/>
  <c r="D2245" i="23"/>
  <c r="C2245" i="23"/>
  <c r="D2244" i="23"/>
  <c r="C2244" i="23"/>
  <c r="D2243" i="23"/>
  <c r="C2243" i="23"/>
  <c r="D2242" i="23"/>
  <c r="C2242" i="23"/>
  <c r="D2241" i="23"/>
  <c r="C2241" i="23"/>
  <c r="D2240" i="23"/>
  <c r="C2240" i="23"/>
  <c r="D2239" i="23"/>
  <c r="C2239" i="23"/>
  <c r="D2238" i="23"/>
  <c r="C2238" i="23"/>
  <c r="D2237" i="23"/>
  <c r="C2237" i="23"/>
  <c r="D2236" i="23"/>
  <c r="C2236" i="23"/>
  <c r="D2235" i="23"/>
  <c r="C2235" i="23"/>
  <c r="D2234" i="23"/>
  <c r="C2234" i="23"/>
  <c r="D2233" i="23"/>
  <c r="C2233" i="23"/>
  <c r="D2232" i="23"/>
  <c r="C2232" i="23"/>
  <c r="D2231" i="23"/>
  <c r="C2231" i="23"/>
  <c r="D2230" i="23"/>
  <c r="C2230" i="23"/>
  <c r="D2229" i="23"/>
  <c r="C2229" i="23"/>
  <c r="D2228" i="23"/>
  <c r="C2228" i="23"/>
  <c r="D2227" i="23"/>
  <c r="C2227" i="23"/>
  <c r="D2226" i="23"/>
  <c r="C2226" i="23"/>
  <c r="D2225" i="23"/>
  <c r="C2225" i="23"/>
  <c r="D2224" i="23"/>
  <c r="C2224" i="23"/>
  <c r="D2223" i="23"/>
  <c r="C2223" i="23"/>
  <c r="D2222" i="23"/>
  <c r="C2222" i="23"/>
  <c r="D2221" i="23"/>
  <c r="C2221" i="23"/>
  <c r="D2220" i="23"/>
  <c r="C2220" i="23"/>
  <c r="D2219" i="23"/>
  <c r="C2219" i="23"/>
  <c r="D2218" i="23"/>
  <c r="C2218" i="23"/>
  <c r="D2217" i="23"/>
  <c r="C2217" i="23"/>
  <c r="D2216" i="23"/>
  <c r="C2216" i="23"/>
  <c r="D2215" i="23"/>
  <c r="C2215" i="23"/>
  <c r="D2214" i="23"/>
  <c r="C2214" i="23"/>
  <c r="D2213" i="23"/>
  <c r="C2213" i="23"/>
  <c r="D2212" i="23"/>
  <c r="C2212" i="23"/>
  <c r="D2211" i="23"/>
  <c r="C2211" i="23"/>
  <c r="D2210" i="23"/>
  <c r="C2210" i="23"/>
  <c r="D2209" i="23"/>
  <c r="C2209" i="23"/>
  <c r="D2208" i="23"/>
  <c r="C2208" i="23"/>
  <c r="D2207" i="23"/>
  <c r="C2207" i="23"/>
  <c r="D2206" i="23"/>
  <c r="C2206" i="23"/>
  <c r="D2205" i="23"/>
  <c r="C2205" i="23"/>
  <c r="D2204" i="23"/>
  <c r="C2204" i="23"/>
  <c r="D2203" i="23"/>
  <c r="C2203" i="23"/>
  <c r="D2202" i="23"/>
  <c r="C2202" i="23"/>
  <c r="D2201" i="23"/>
  <c r="C2201" i="23"/>
  <c r="D2200" i="23"/>
  <c r="C2200" i="23"/>
  <c r="D2199" i="23"/>
  <c r="C2199" i="23"/>
  <c r="D2198" i="23"/>
  <c r="C2198" i="23"/>
  <c r="D2197" i="23"/>
  <c r="C2197" i="23"/>
  <c r="D2196" i="23"/>
  <c r="C2196" i="23"/>
  <c r="D2195" i="23"/>
  <c r="C2195" i="23"/>
  <c r="D2194" i="23"/>
  <c r="C2194" i="23"/>
  <c r="D2193" i="23"/>
  <c r="C2193" i="23"/>
  <c r="D2192" i="23"/>
  <c r="C2192" i="23"/>
  <c r="D2191" i="23"/>
  <c r="C2191" i="23"/>
  <c r="D2190" i="23"/>
  <c r="C2190" i="23"/>
  <c r="D2189" i="23"/>
  <c r="C2189" i="23"/>
  <c r="D2188" i="23"/>
  <c r="C2188" i="23"/>
  <c r="D2187" i="23"/>
  <c r="C2187" i="23"/>
  <c r="D2186" i="23"/>
  <c r="C2186" i="23"/>
  <c r="D2185" i="23"/>
  <c r="C2185" i="23"/>
  <c r="D2184" i="23"/>
  <c r="C2184" i="23"/>
  <c r="D2183" i="23"/>
  <c r="C2183" i="23"/>
  <c r="D2182" i="23"/>
  <c r="C2182" i="23"/>
  <c r="D2181" i="23"/>
  <c r="C2181" i="23"/>
  <c r="D2180" i="23"/>
  <c r="C2180" i="23"/>
  <c r="D2179" i="23"/>
  <c r="C2179" i="23"/>
  <c r="D2178" i="23"/>
  <c r="C2178" i="23"/>
  <c r="D2177" i="23"/>
  <c r="C2177" i="23"/>
  <c r="D2176" i="23"/>
  <c r="C2176" i="23"/>
  <c r="D2175" i="23"/>
  <c r="C2175" i="23"/>
  <c r="D2174" i="23"/>
  <c r="C2174" i="23"/>
  <c r="D2173" i="23"/>
  <c r="C2173" i="23"/>
  <c r="D2172" i="23"/>
  <c r="C2172" i="23"/>
  <c r="D2171" i="23"/>
  <c r="C2171" i="23"/>
  <c r="D2170" i="23"/>
  <c r="C2170" i="23"/>
  <c r="D2169" i="23"/>
  <c r="C2169" i="23"/>
  <c r="D2168" i="23"/>
  <c r="C2168" i="23"/>
  <c r="D2167" i="23"/>
  <c r="C2167" i="23"/>
  <c r="D2166" i="23"/>
  <c r="C2166" i="23"/>
  <c r="D2165" i="23"/>
  <c r="C2165" i="23"/>
  <c r="D2164" i="23"/>
  <c r="C2164" i="23"/>
  <c r="D2163" i="23"/>
  <c r="C2163" i="23"/>
  <c r="D2162" i="23"/>
  <c r="C2162" i="23"/>
  <c r="D2161" i="23"/>
  <c r="C2161" i="23"/>
  <c r="D2160" i="23"/>
  <c r="C2160" i="23"/>
  <c r="D2159" i="23"/>
  <c r="C2159" i="23"/>
  <c r="D2158" i="23"/>
  <c r="C2158" i="23"/>
  <c r="D2157" i="23"/>
  <c r="C2157" i="23"/>
  <c r="D2156" i="23"/>
  <c r="C2156" i="23"/>
  <c r="D2155" i="23"/>
  <c r="C2155" i="23"/>
  <c r="D2154" i="23"/>
  <c r="C2154" i="23"/>
  <c r="D2153" i="23"/>
  <c r="C2153" i="23"/>
  <c r="D2152" i="23"/>
  <c r="C2152" i="23"/>
  <c r="D2151" i="23"/>
  <c r="C2151" i="23"/>
  <c r="D2150" i="23"/>
  <c r="C2150" i="23"/>
  <c r="D2149" i="23"/>
  <c r="C2149" i="23"/>
  <c r="D2148" i="23"/>
  <c r="C2148" i="23"/>
  <c r="D2147" i="23"/>
  <c r="C2147" i="23"/>
  <c r="D2146" i="23"/>
  <c r="C2146" i="23"/>
  <c r="D2145" i="23"/>
  <c r="C2145" i="23"/>
  <c r="D2144" i="23"/>
  <c r="C2144" i="23"/>
  <c r="D2143" i="23"/>
  <c r="C2143" i="23"/>
  <c r="D2142" i="23"/>
  <c r="C2142" i="23"/>
  <c r="D2141" i="23"/>
  <c r="C2141" i="23"/>
  <c r="D2140" i="23"/>
  <c r="C2140" i="23"/>
  <c r="D2139" i="23"/>
  <c r="C2139" i="23"/>
  <c r="D2138" i="23"/>
  <c r="C2138" i="23"/>
  <c r="D2137" i="23"/>
  <c r="C2137" i="23"/>
  <c r="D2136" i="23"/>
  <c r="C2136" i="23"/>
  <c r="D2135" i="23"/>
  <c r="C2135" i="23"/>
  <c r="D2134" i="23"/>
  <c r="C2134" i="23"/>
  <c r="D2133" i="23"/>
  <c r="C2133" i="23"/>
  <c r="D2132" i="23"/>
  <c r="C2132" i="23"/>
  <c r="D2131" i="23"/>
  <c r="C2131" i="23"/>
  <c r="D2130" i="23"/>
  <c r="C2130" i="23"/>
  <c r="D2129" i="23"/>
  <c r="C2129" i="23"/>
  <c r="D2128" i="23"/>
  <c r="C2128" i="23"/>
  <c r="D2127" i="23"/>
  <c r="C2127" i="23"/>
  <c r="D2126" i="23"/>
  <c r="C2126" i="23"/>
  <c r="D2125" i="23"/>
  <c r="C2125" i="23"/>
  <c r="D2124" i="23"/>
  <c r="C2124" i="23"/>
  <c r="D2123" i="23"/>
  <c r="C2123" i="23"/>
  <c r="D2122" i="23"/>
  <c r="C2122" i="23"/>
  <c r="D2121" i="23"/>
  <c r="C2121" i="23"/>
  <c r="D2120" i="23"/>
  <c r="C2120" i="23"/>
  <c r="D2119" i="23"/>
  <c r="C2119" i="23"/>
  <c r="D2118" i="23"/>
  <c r="C2118" i="23"/>
  <c r="D2117" i="23"/>
  <c r="C2117" i="23"/>
  <c r="D2116" i="23"/>
  <c r="C2116" i="23"/>
  <c r="D2115" i="23"/>
  <c r="C2115" i="23"/>
  <c r="D2114" i="23"/>
  <c r="C2114" i="23"/>
  <c r="D2113" i="23"/>
  <c r="C2113" i="23"/>
  <c r="D2112" i="23"/>
  <c r="C2112" i="23"/>
  <c r="D2111" i="23"/>
  <c r="C2111" i="23"/>
  <c r="D2110" i="23"/>
  <c r="C2110" i="23"/>
  <c r="D2109" i="23"/>
  <c r="C2109" i="23"/>
  <c r="D2108" i="23"/>
  <c r="C2108" i="23"/>
  <c r="D2107" i="23"/>
  <c r="C2107" i="23"/>
  <c r="D2106" i="23"/>
  <c r="C2106" i="23"/>
  <c r="D2105" i="23"/>
  <c r="C2105" i="23"/>
  <c r="D2104" i="23"/>
  <c r="C2104" i="23"/>
  <c r="D2103" i="23"/>
  <c r="C2103" i="23"/>
  <c r="D2102" i="23"/>
  <c r="C2102" i="23"/>
  <c r="D2101" i="23"/>
  <c r="C2101" i="23"/>
  <c r="D2100" i="23"/>
  <c r="C2100" i="23"/>
  <c r="D2099" i="23"/>
  <c r="C2099" i="23"/>
  <c r="D2098" i="23"/>
  <c r="C2098" i="23"/>
  <c r="D2097" i="23"/>
  <c r="C2097" i="23"/>
  <c r="D2096" i="23"/>
  <c r="C2096" i="23"/>
  <c r="D2095" i="23"/>
  <c r="C2095" i="23"/>
  <c r="D2094" i="23"/>
  <c r="C2094" i="23"/>
  <c r="D2093" i="23"/>
  <c r="C2093" i="23"/>
  <c r="D2092" i="23"/>
  <c r="C2092" i="23"/>
  <c r="D2091" i="23"/>
  <c r="C2091" i="23"/>
  <c r="D2090" i="23"/>
  <c r="C2090" i="23"/>
  <c r="D2089" i="23"/>
  <c r="C2089" i="23"/>
  <c r="D2088" i="23"/>
  <c r="C2088" i="23"/>
  <c r="D2087" i="23"/>
  <c r="C2087" i="23"/>
  <c r="D2086" i="23"/>
  <c r="C2086" i="23"/>
  <c r="D2085" i="23"/>
  <c r="C2085" i="23"/>
  <c r="D2084" i="23"/>
  <c r="C2084" i="23"/>
  <c r="D2083" i="23"/>
  <c r="C2083" i="23"/>
  <c r="D2082" i="23"/>
  <c r="C2082" i="23"/>
  <c r="D2081" i="23"/>
  <c r="C2081" i="23"/>
  <c r="D2080" i="23"/>
  <c r="C2080" i="23"/>
  <c r="D2079" i="23"/>
  <c r="C2079" i="23"/>
  <c r="D2078" i="23"/>
  <c r="C2078" i="23"/>
  <c r="D2077" i="23"/>
  <c r="C2077" i="23"/>
  <c r="D2076" i="23"/>
  <c r="C2076" i="23"/>
  <c r="D2075" i="23"/>
  <c r="C2075" i="23"/>
  <c r="D2074" i="23"/>
  <c r="C2074" i="23"/>
  <c r="D2073" i="23"/>
  <c r="C2073" i="23"/>
  <c r="D2072" i="23"/>
  <c r="C2072" i="23"/>
  <c r="D2071" i="23"/>
  <c r="C2071" i="23"/>
  <c r="D2070" i="23"/>
  <c r="C2070" i="23"/>
  <c r="D2069" i="23"/>
  <c r="C2069" i="23"/>
  <c r="D2068" i="23"/>
  <c r="C2068" i="23"/>
  <c r="D2067" i="23"/>
  <c r="C2067" i="23"/>
  <c r="D2066" i="23"/>
  <c r="C2066" i="23"/>
  <c r="D2065" i="23"/>
  <c r="C2065" i="23"/>
  <c r="D2064" i="23"/>
  <c r="C2064" i="23"/>
  <c r="D2063" i="23"/>
  <c r="C2063" i="23"/>
  <c r="D2062" i="23"/>
  <c r="C2062" i="23"/>
  <c r="D2061" i="23"/>
  <c r="C2061" i="23"/>
  <c r="D2060" i="23"/>
  <c r="C2060" i="23"/>
  <c r="D2059" i="23"/>
  <c r="C2059" i="23"/>
  <c r="D2058" i="23"/>
  <c r="C2058" i="23"/>
  <c r="D2057" i="23"/>
  <c r="C2057" i="23"/>
  <c r="D2056" i="23"/>
  <c r="C2056" i="23"/>
  <c r="D2055" i="23"/>
  <c r="C2055" i="23"/>
  <c r="D2054" i="23"/>
  <c r="C2054" i="23"/>
  <c r="D2053" i="23"/>
  <c r="C2053" i="23"/>
  <c r="D2052" i="23"/>
  <c r="C2052" i="23"/>
  <c r="D2051" i="23"/>
  <c r="C2051" i="23"/>
  <c r="D2050" i="23"/>
  <c r="C2050" i="23"/>
  <c r="D2049" i="23"/>
  <c r="C2049" i="23"/>
  <c r="D2048" i="23"/>
  <c r="C2048" i="23"/>
  <c r="D2047" i="23"/>
  <c r="C2047" i="23"/>
  <c r="D2046" i="23"/>
  <c r="C2046" i="23"/>
  <c r="D2045" i="23"/>
  <c r="C2045" i="23"/>
  <c r="D2044" i="23"/>
  <c r="C2044" i="23"/>
  <c r="D2043" i="23"/>
  <c r="C2043" i="23"/>
  <c r="D2042" i="23"/>
  <c r="C2042" i="23"/>
  <c r="D2041" i="23"/>
  <c r="C2041" i="23"/>
  <c r="D2040" i="23"/>
  <c r="C2040" i="23"/>
  <c r="D2039" i="23"/>
  <c r="C2039" i="23"/>
  <c r="D2038" i="23"/>
  <c r="C2038" i="23"/>
  <c r="D2037" i="23"/>
  <c r="C2037" i="23"/>
  <c r="D2036" i="23"/>
  <c r="C2036" i="23"/>
  <c r="D2035" i="23"/>
  <c r="C2035" i="23"/>
  <c r="D2034" i="23"/>
  <c r="C2034" i="23"/>
  <c r="D2033" i="23"/>
  <c r="C2033" i="23"/>
  <c r="D2032" i="23"/>
  <c r="C2032" i="23"/>
  <c r="D2031" i="23"/>
  <c r="C2031" i="23"/>
  <c r="D2030" i="23"/>
  <c r="C2030" i="23"/>
  <c r="D2029" i="23"/>
  <c r="C2029" i="23"/>
  <c r="D2028" i="23"/>
  <c r="C2028" i="23"/>
  <c r="D2027" i="23"/>
  <c r="C2027" i="23"/>
  <c r="D2026" i="23"/>
  <c r="C2026" i="23"/>
  <c r="D2025" i="23"/>
  <c r="C2025" i="23"/>
  <c r="D2024" i="23"/>
  <c r="C2024" i="23"/>
  <c r="D2023" i="23"/>
  <c r="C2023" i="23"/>
  <c r="D2022" i="23"/>
  <c r="C2022" i="23"/>
  <c r="D2021" i="23"/>
  <c r="C2021" i="23"/>
  <c r="D2020" i="23"/>
  <c r="C2020" i="23"/>
  <c r="D2019" i="23"/>
  <c r="C2019" i="23"/>
  <c r="D2018" i="23"/>
  <c r="C2018" i="23"/>
  <c r="D2017" i="23"/>
  <c r="C2017" i="23"/>
  <c r="D2016" i="23"/>
  <c r="C2016" i="23"/>
  <c r="D2015" i="23"/>
  <c r="C2015" i="23"/>
  <c r="D2014" i="23"/>
  <c r="C2014" i="23"/>
  <c r="D2013" i="23"/>
  <c r="C2013" i="23"/>
  <c r="D2012" i="23"/>
  <c r="C2012" i="23"/>
  <c r="D2011" i="23"/>
  <c r="C2011" i="23"/>
  <c r="D2010" i="23"/>
  <c r="C2010" i="23"/>
  <c r="D2009" i="23"/>
  <c r="C2009" i="23"/>
  <c r="D2008" i="23"/>
  <c r="C2008" i="23"/>
  <c r="D2007" i="23"/>
  <c r="C2007" i="23"/>
  <c r="D2006" i="23"/>
  <c r="C2006" i="23"/>
  <c r="D2005" i="23"/>
  <c r="C2005" i="23"/>
  <c r="D2004" i="23"/>
  <c r="C2004" i="23"/>
  <c r="D2003" i="23"/>
  <c r="C2003" i="23"/>
  <c r="D2002" i="23"/>
  <c r="C2002" i="23"/>
  <c r="D2001" i="23"/>
  <c r="C2001" i="23"/>
  <c r="D2000" i="23"/>
  <c r="C2000" i="23"/>
  <c r="D1999" i="23"/>
  <c r="C1999" i="23"/>
  <c r="D1998" i="23"/>
  <c r="C1998" i="23"/>
  <c r="D1997" i="23"/>
  <c r="C1997" i="23"/>
  <c r="D1996" i="23"/>
  <c r="C1996" i="23"/>
  <c r="D1995" i="23"/>
  <c r="C1995" i="23"/>
  <c r="D1994" i="23"/>
  <c r="C1994" i="23"/>
  <c r="D1993" i="23"/>
  <c r="C1993" i="23"/>
  <c r="D1992" i="23"/>
  <c r="C1992" i="23"/>
  <c r="D1991" i="23"/>
  <c r="C1991" i="23"/>
  <c r="D1990" i="23"/>
  <c r="C1990" i="23"/>
  <c r="D1989" i="23"/>
  <c r="C1989" i="23"/>
  <c r="D1988" i="23"/>
  <c r="C1988" i="23"/>
  <c r="D1987" i="23"/>
  <c r="C1987" i="23"/>
  <c r="D1986" i="23"/>
  <c r="C1986" i="23"/>
  <c r="D1985" i="23"/>
  <c r="C1985" i="23"/>
  <c r="D1984" i="23"/>
  <c r="C1984" i="23"/>
  <c r="D1983" i="23"/>
  <c r="C1983" i="23"/>
  <c r="D1982" i="23"/>
  <c r="C1982" i="23"/>
  <c r="D1981" i="23"/>
  <c r="C1981" i="23"/>
  <c r="D1980" i="23"/>
  <c r="C1980" i="23"/>
  <c r="D1979" i="23"/>
  <c r="C1979" i="23"/>
  <c r="D1978" i="23"/>
  <c r="C1978" i="23"/>
  <c r="D1977" i="23"/>
  <c r="C1977" i="23"/>
  <c r="D1976" i="23"/>
  <c r="C1976" i="23"/>
  <c r="D1975" i="23"/>
  <c r="C1975" i="23"/>
  <c r="D1974" i="23"/>
  <c r="C1974" i="23"/>
  <c r="D1973" i="23"/>
  <c r="C1973" i="23"/>
  <c r="D1972" i="23"/>
  <c r="C1972" i="23"/>
  <c r="D1971" i="23"/>
  <c r="C1971" i="23"/>
  <c r="D1970" i="23"/>
  <c r="C1970" i="23"/>
  <c r="D1969" i="23"/>
  <c r="C1969" i="23"/>
  <c r="D1968" i="23"/>
  <c r="C1968" i="23"/>
  <c r="D1967" i="23"/>
  <c r="C1967" i="23"/>
  <c r="D1966" i="23"/>
  <c r="C1966" i="23"/>
  <c r="D1965" i="23"/>
  <c r="C1965" i="23"/>
  <c r="D1964" i="23"/>
  <c r="C1964" i="23"/>
  <c r="D1963" i="23"/>
  <c r="C1963" i="23"/>
  <c r="D1962" i="23"/>
  <c r="C1962" i="23"/>
  <c r="D1961" i="23"/>
  <c r="C1961" i="23"/>
  <c r="D1960" i="23"/>
  <c r="C1960" i="23"/>
  <c r="D1959" i="23"/>
  <c r="C1959" i="23"/>
  <c r="D1958" i="23"/>
  <c r="C1958" i="23"/>
  <c r="D1957" i="23"/>
  <c r="C1957" i="23"/>
  <c r="D1956" i="23"/>
  <c r="C1956" i="23"/>
  <c r="D1955" i="23"/>
  <c r="C1955" i="23"/>
  <c r="D1954" i="23"/>
  <c r="C1954" i="23"/>
  <c r="D1953" i="23"/>
  <c r="C1953" i="23"/>
  <c r="D1952" i="23"/>
  <c r="C1952" i="23"/>
  <c r="D1951" i="23"/>
  <c r="C1951" i="23"/>
  <c r="D1950" i="23"/>
  <c r="C1950" i="23"/>
  <c r="D1949" i="23"/>
  <c r="C1949" i="23"/>
  <c r="D1948" i="23"/>
  <c r="C1948" i="23"/>
  <c r="D1947" i="23"/>
  <c r="C1947" i="23"/>
  <c r="D1946" i="23"/>
  <c r="C1946" i="23"/>
  <c r="D1945" i="23"/>
  <c r="C1945" i="23"/>
  <c r="D1944" i="23"/>
  <c r="C1944" i="23"/>
  <c r="D1943" i="23"/>
  <c r="C1943" i="23"/>
  <c r="D1942" i="23"/>
  <c r="C1942" i="23"/>
  <c r="D1941" i="23"/>
  <c r="C1941" i="23"/>
  <c r="D1940" i="23"/>
  <c r="C1940" i="23"/>
  <c r="D1939" i="23"/>
  <c r="C1939" i="23"/>
  <c r="D1938" i="23"/>
  <c r="C1938" i="23"/>
  <c r="D1937" i="23"/>
  <c r="C1937" i="23"/>
  <c r="D1936" i="23"/>
  <c r="C1936" i="23"/>
  <c r="D1935" i="23"/>
  <c r="C1935" i="23"/>
  <c r="D1934" i="23"/>
  <c r="C1934" i="23"/>
  <c r="D1933" i="23"/>
  <c r="C1933" i="23"/>
  <c r="D1932" i="23"/>
  <c r="C1932" i="23"/>
  <c r="D1931" i="23"/>
  <c r="C1931" i="23"/>
  <c r="D1930" i="23"/>
  <c r="C1930" i="23"/>
  <c r="D1929" i="23"/>
  <c r="C1929" i="23"/>
  <c r="D1928" i="23"/>
  <c r="C1928" i="23"/>
  <c r="D1927" i="23"/>
  <c r="C1927" i="23"/>
  <c r="D1926" i="23"/>
  <c r="C1926" i="23"/>
  <c r="D1925" i="23"/>
  <c r="C1925" i="23"/>
  <c r="D1924" i="23"/>
  <c r="C1924" i="23"/>
  <c r="D1923" i="23"/>
  <c r="C1923" i="23"/>
  <c r="D1922" i="23"/>
  <c r="C1922" i="23"/>
  <c r="D1921" i="23"/>
  <c r="C1921" i="23"/>
  <c r="D1920" i="23"/>
  <c r="C1920" i="23"/>
  <c r="D1919" i="23"/>
  <c r="C1919" i="23"/>
  <c r="D1918" i="23"/>
  <c r="C1918" i="23"/>
  <c r="D1917" i="23"/>
  <c r="C1917" i="23"/>
  <c r="D1916" i="23"/>
  <c r="C1916" i="23"/>
  <c r="D1915" i="23"/>
  <c r="C1915" i="23"/>
  <c r="D1914" i="23"/>
  <c r="C1914" i="23"/>
  <c r="D1913" i="23"/>
  <c r="C1913" i="23"/>
  <c r="D1912" i="23"/>
  <c r="C1912" i="23"/>
  <c r="D1911" i="23"/>
  <c r="C1911" i="23"/>
  <c r="D1910" i="23"/>
  <c r="C1910" i="23"/>
  <c r="D1909" i="23"/>
  <c r="C1909" i="23"/>
  <c r="D1908" i="23"/>
  <c r="C1908" i="23"/>
  <c r="D1907" i="23"/>
  <c r="C1907" i="23"/>
  <c r="D1906" i="23"/>
  <c r="C1906" i="23"/>
  <c r="D1905" i="23"/>
  <c r="C1905" i="23"/>
  <c r="D1904" i="23"/>
  <c r="C1904" i="23"/>
  <c r="D1903" i="23"/>
  <c r="C1903" i="23"/>
  <c r="D1902" i="23"/>
  <c r="C1902" i="23"/>
  <c r="D1901" i="23"/>
  <c r="C1901" i="23"/>
  <c r="D1900" i="23"/>
  <c r="C1900" i="23"/>
  <c r="D1899" i="23"/>
  <c r="C1899" i="23"/>
  <c r="D1898" i="23"/>
  <c r="C1898" i="23"/>
  <c r="D1897" i="23"/>
  <c r="C1897" i="23"/>
  <c r="D1896" i="23"/>
  <c r="C1896" i="23"/>
  <c r="D1895" i="23"/>
  <c r="C1895" i="23"/>
  <c r="D1894" i="23"/>
  <c r="C1894" i="23"/>
  <c r="D1893" i="23"/>
  <c r="C1893" i="23"/>
  <c r="D1892" i="23"/>
  <c r="C1892" i="23"/>
  <c r="D1891" i="23"/>
  <c r="C1891" i="23"/>
  <c r="D1890" i="23"/>
  <c r="C1890" i="23"/>
  <c r="D1889" i="23"/>
  <c r="C1889" i="23"/>
  <c r="D1888" i="23"/>
  <c r="C1888" i="23"/>
  <c r="D1887" i="23"/>
  <c r="C1887" i="23"/>
  <c r="D1886" i="23"/>
  <c r="C1886" i="23"/>
  <c r="D1885" i="23"/>
  <c r="C1885" i="23"/>
  <c r="D1884" i="23"/>
  <c r="C1884" i="23"/>
  <c r="D1883" i="23"/>
  <c r="C1883" i="23"/>
  <c r="D1882" i="23"/>
  <c r="C1882" i="23"/>
  <c r="D1881" i="23"/>
  <c r="C1881" i="23"/>
  <c r="D1880" i="23"/>
  <c r="C1880" i="23"/>
  <c r="D1879" i="23"/>
  <c r="C1879" i="23"/>
  <c r="D1878" i="23"/>
  <c r="C1878" i="23"/>
  <c r="D1877" i="23"/>
  <c r="C1877" i="23"/>
  <c r="D1876" i="23"/>
  <c r="C1876" i="23"/>
  <c r="D1875" i="23"/>
  <c r="C1875" i="23"/>
  <c r="D1874" i="23"/>
  <c r="C1874" i="23"/>
  <c r="D1873" i="23"/>
  <c r="C1873" i="23"/>
  <c r="D1872" i="23"/>
  <c r="C1872" i="23"/>
  <c r="D1871" i="23"/>
  <c r="C1871" i="23"/>
  <c r="D1870" i="23"/>
  <c r="C1870" i="23"/>
  <c r="D1869" i="23"/>
  <c r="C1869" i="23"/>
  <c r="D1868" i="23"/>
  <c r="C1868" i="23"/>
  <c r="D1867" i="23"/>
  <c r="C1867" i="23"/>
  <c r="D1866" i="23"/>
  <c r="C1866" i="23"/>
  <c r="D1865" i="23"/>
  <c r="C1865" i="23"/>
  <c r="D1864" i="23"/>
  <c r="C1864" i="23"/>
  <c r="D1863" i="23"/>
  <c r="C1863" i="23"/>
  <c r="D1862" i="23"/>
  <c r="C1862" i="23"/>
  <c r="D1861" i="23"/>
  <c r="C1861" i="23"/>
  <c r="D1860" i="23"/>
  <c r="C1860" i="23"/>
  <c r="D1859" i="23"/>
  <c r="C1859" i="23"/>
  <c r="D1858" i="23"/>
  <c r="C1858" i="23"/>
  <c r="D1857" i="23"/>
  <c r="C1857" i="23"/>
  <c r="D1856" i="23"/>
  <c r="C1856" i="23"/>
  <c r="D1855" i="23"/>
  <c r="C1855" i="23"/>
  <c r="D1854" i="23"/>
  <c r="C1854" i="23"/>
  <c r="D1853" i="23"/>
  <c r="C1853" i="23"/>
  <c r="D1852" i="23"/>
  <c r="C1852" i="23"/>
  <c r="D1851" i="23"/>
  <c r="C1851" i="23"/>
  <c r="D1850" i="23"/>
  <c r="C1850" i="23"/>
  <c r="D1849" i="23"/>
  <c r="C1849" i="23"/>
  <c r="D1848" i="23"/>
  <c r="C1848" i="23"/>
  <c r="D1847" i="23"/>
  <c r="C1847" i="23"/>
  <c r="D1846" i="23"/>
  <c r="C1846" i="23"/>
  <c r="D1845" i="23"/>
  <c r="C1845" i="23"/>
  <c r="D1844" i="23"/>
  <c r="C1844" i="23"/>
  <c r="D1843" i="23"/>
  <c r="C1843" i="23"/>
  <c r="D1842" i="23"/>
  <c r="C1842" i="23"/>
  <c r="D1841" i="23"/>
  <c r="C1841" i="23"/>
  <c r="D1840" i="23"/>
  <c r="C1840" i="23"/>
  <c r="D1839" i="23"/>
  <c r="C1839" i="23"/>
  <c r="D1838" i="23"/>
  <c r="C1838" i="23"/>
  <c r="D1837" i="23"/>
  <c r="C1837" i="23"/>
  <c r="D1836" i="23"/>
  <c r="C1836" i="23"/>
  <c r="D1835" i="23"/>
  <c r="C1835" i="23"/>
  <c r="D1834" i="23"/>
  <c r="C1834" i="23"/>
  <c r="D1833" i="23"/>
  <c r="C1833" i="23"/>
  <c r="D1832" i="23"/>
  <c r="C1832" i="23"/>
  <c r="D1831" i="23"/>
  <c r="C1831" i="23"/>
  <c r="D1830" i="23"/>
  <c r="C1830" i="23"/>
  <c r="D1829" i="23"/>
  <c r="C1829" i="23"/>
  <c r="D1828" i="23"/>
  <c r="C1828" i="23"/>
  <c r="D1827" i="23"/>
  <c r="C1827" i="23"/>
  <c r="D1826" i="23"/>
  <c r="C1826" i="23"/>
  <c r="D1825" i="23"/>
  <c r="C1825" i="23"/>
  <c r="D1824" i="23"/>
  <c r="C1824" i="23"/>
  <c r="D1823" i="23"/>
  <c r="C1823" i="23"/>
  <c r="D1822" i="23"/>
  <c r="C1822" i="23"/>
  <c r="D1821" i="23"/>
  <c r="C1821" i="23"/>
  <c r="D1820" i="23"/>
  <c r="C1820" i="23"/>
  <c r="D1819" i="23"/>
  <c r="C1819" i="23"/>
  <c r="D1818" i="23"/>
  <c r="C1818" i="23"/>
  <c r="D1817" i="23"/>
  <c r="C1817" i="23"/>
  <c r="D1816" i="23"/>
  <c r="C1816" i="23"/>
  <c r="D1815" i="23"/>
  <c r="C1815" i="23"/>
  <c r="D1814" i="23"/>
  <c r="C1814" i="23"/>
  <c r="D1813" i="23"/>
  <c r="C1813" i="23"/>
  <c r="D1812" i="23"/>
  <c r="C1812" i="23"/>
  <c r="D1811" i="23"/>
  <c r="C1811" i="23"/>
  <c r="D1810" i="23"/>
  <c r="C1810" i="23"/>
  <c r="D1809" i="23"/>
  <c r="C1809" i="23"/>
  <c r="D1808" i="23"/>
  <c r="C1808" i="23"/>
  <c r="D1807" i="23"/>
  <c r="C1807" i="23"/>
  <c r="D1806" i="23"/>
  <c r="C1806" i="23"/>
  <c r="D1805" i="23"/>
  <c r="C1805" i="23"/>
  <c r="D1804" i="23"/>
  <c r="C1804" i="23"/>
  <c r="D1803" i="23"/>
  <c r="C1803" i="23"/>
  <c r="D1802" i="23"/>
  <c r="C1802" i="23"/>
  <c r="D1801" i="23"/>
  <c r="C1801" i="23"/>
  <c r="D1800" i="23"/>
  <c r="C1800" i="23"/>
  <c r="D1799" i="23"/>
  <c r="C1799" i="23"/>
  <c r="D1798" i="23"/>
  <c r="C1798" i="23"/>
  <c r="D1797" i="23"/>
  <c r="C1797" i="23"/>
  <c r="D1796" i="23"/>
  <c r="C1796" i="23"/>
  <c r="D1795" i="23"/>
  <c r="C1795" i="23"/>
  <c r="D1794" i="23"/>
  <c r="C1794" i="23"/>
  <c r="D1793" i="23"/>
  <c r="C1793" i="23"/>
  <c r="D1792" i="23"/>
  <c r="C1792" i="23"/>
  <c r="D1791" i="23"/>
  <c r="C1791" i="23"/>
  <c r="D1790" i="23"/>
  <c r="C1790" i="23"/>
  <c r="D1789" i="23"/>
  <c r="C1789" i="23"/>
  <c r="D1788" i="23"/>
  <c r="C1788" i="23"/>
  <c r="D1787" i="23"/>
  <c r="C1787" i="23"/>
  <c r="D1786" i="23"/>
  <c r="C1786" i="23"/>
  <c r="D1785" i="23"/>
  <c r="C1785" i="23"/>
  <c r="D1784" i="23"/>
  <c r="C1784" i="23"/>
  <c r="D1783" i="23"/>
  <c r="C1783" i="23"/>
  <c r="D1782" i="23"/>
  <c r="C1782" i="23"/>
  <c r="D1781" i="23"/>
  <c r="C1781" i="23"/>
  <c r="D1780" i="23"/>
  <c r="C1780" i="23"/>
  <c r="D1779" i="23"/>
  <c r="C1779" i="23"/>
  <c r="D1778" i="23"/>
  <c r="C1778" i="23"/>
  <c r="D1777" i="23"/>
  <c r="C1777" i="23"/>
  <c r="D1776" i="23"/>
  <c r="C1776" i="23"/>
  <c r="D1775" i="23"/>
  <c r="C1775" i="23"/>
  <c r="D1774" i="23"/>
  <c r="C1774" i="23"/>
  <c r="D1773" i="23"/>
  <c r="C1773" i="23"/>
  <c r="D1772" i="23"/>
  <c r="C1772" i="23"/>
  <c r="D1771" i="23"/>
  <c r="C1771" i="23"/>
  <c r="D1770" i="23"/>
  <c r="C1770" i="23"/>
  <c r="D1769" i="23"/>
  <c r="C1769" i="23"/>
  <c r="D1768" i="23"/>
  <c r="C1768" i="23"/>
  <c r="D1767" i="23"/>
  <c r="C1767" i="23"/>
  <c r="D1766" i="23"/>
  <c r="C1766" i="23"/>
  <c r="D1765" i="23"/>
  <c r="C1765" i="23"/>
  <c r="D1764" i="23"/>
  <c r="C1764" i="23"/>
  <c r="D1763" i="23"/>
  <c r="C1763" i="23"/>
  <c r="D1762" i="23"/>
  <c r="C1762" i="23"/>
  <c r="D1761" i="23"/>
  <c r="C1761" i="23"/>
  <c r="D1760" i="23"/>
  <c r="C1760" i="23"/>
  <c r="D1759" i="23"/>
  <c r="C1759" i="23"/>
  <c r="D1758" i="23"/>
  <c r="C1758" i="23"/>
  <c r="D1757" i="23"/>
  <c r="C1757" i="23"/>
  <c r="D1756" i="23"/>
  <c r="C1756" i="23"/>
  <c r="D1755" i="23"/>
  <c r="C1755" i="23"/>
  <c r="D1754" i="23"/>
  <c r="C1754" i="23"/>
  <c r="D1753" i="23"/>
  <c r="C1753" i="23"/>
  <c r="D1752" i="23"/>
  <c r="C1752" i="23"/>
  <c r="D1751" i="23"/>
  <c r="C1751" i="23"/>
  <c r="D1750" i="23"/>
  <c r="C1750" i="23"/>
  <c r="D1749" i="23"/>
  <c r="C1749" i="23"/>
  <c r="D1748" i="23"/>
  <c r="C1748" i="23"/>
  <c r="D1747" i="23"/>
  <c r="C1747" i="23"/>
  <c r="D1746" i="23"/>
  <c r="C1746" i="23"/>
  <c r="D1745" i="23"/>
  <c r="C1745" i="23"/>
  <c r="D1744" i="23"/>
  <c r="C1744" i="23"/>
  <c r="D1743" i="23"/>
  <c r="C1743" i="23"/>
  <c r="D1742" i="23"/>
  <c r="C1742" i="23"/>
  <c r="D1741" i="23"/>
  <c r="C1741" i="23"/>
  <c r="D1740" i="23"/>
  <c r="C1740" i="23"/>
  <c r="D1739" i="23"/>
  <c r="C1739" i="23"/>
  <c r="D1738" i="23"/>
  <c r="C1738" i="23"/>
  <c r="D1737" i="23"/>
  <c r="C1737" i="23"/>
  <c r="D1736" i="23"/>
  <c r="C1736" i="23"/>
  <c r="D1735" i="23"/>
  <c r="C1735" i="23"/>
  <c r="D1734" i="23"/>
  <c r="C1734" i="23"/>
  <c r="D1733" i="23"/>
  <c r="C1733" i="23"/>
  <c r="D1732" i="23"/>
  <c r="C1732" i="23"/>
  <c r="D1731" i="23"/>
  <c r="C1731" i="23"/>
  <c r="D1730" i="23"/>
  <c r="C1730" i="23"/>
  <c r="D1729" i="23"/>
  <c r="C1729" i="23"/>
  <c r="D1728" i="23"/>
  <c r="C1728" i="23"/>
  <c r="D1727" i="23"/>
  <c r="C1727" i="23"/>
  <c r="D1726" i="23"/>
  <c r="C1726" i="23"/>
  <c r="D1725" i="23"/>
  <c r="C1725" i="23"/>
  <c r="D1724" i="23"/>
  <c r="C1724" i="23"/>
  <c r="D1723" i="23"/>
  <c r="C1723" i="23"/>
  <c r="D1722" i="23"/>
  <c r="C1722" i="23"/>
  <c r="D1721" i="23"/>
  <c r="C1721" i="23"/>
  <c r="D1720" i="23"/>
  <c r="C1720" i="23"/>
  <c r="D1719" i="23"/>
  <c r="C1719" i="23"/>
  <c r="D1718" i="23"/>
  <c r="C1718" i="23"/>
  <c r="D1717" i="23"/>
  <c r="C1717" i="23"/>
  <c r="D1716" i="23"/>
  <c r="C1716" i="23"/>
  <c r="D1715" i="23"/>
  <c r="C1715" i="23"/>
  <c r="D1714" i="23"/>
  <c r="C1714" i="23"/>
  <c r="D1713" i="23"/>
  <c r="C1713" i="23"/>
  <c r="D1712" i="23"/>
  <c r="C1712" i="23"/>
  <c r="D1711" i="23"/>
  <c r="C1711" i="23"/>
  <c r="D1710" i="23"/>
  <c r="C1710" i="23"/>
  <c r="D1709" i="23"/>
  <c r="C1709" i="23"/>
  <c r="D1708" i="23"/>
  <c r="C1708" i="23"/>
  <c r="D1707" i="23"/>
  <c r="C1707" i="23"/>
  <c r="D1706" i="23"/>
  <c r="C1706" i="23"/>
  <c r="D1705" i="23"/>
  <c r="C1705" i="23"/>
  <c r="D1704" i="23"/>
  <c r="C1704" i="23"/>
  <c r="D1703" i="23"/>
  <c r="C1703" i="23"/>
  <c r="D1702" i="23"/>
  <c r="C1702" i="23"/>
  <c r="D1701" i="23"/>
  <c r="C1701" i="23"/>
  <c r="D1700" i="23"/>
  <c r="C1700" i="23"/>
  <c r="D1699" i="23"/>
  <c r="C1699" i="23"/>
  <c r="D1698" i="23"/>
  <c r="C1698" i="23"/>
  <c r="D1697" i="23"/>
  <c r="C1697" i="23"/>
  <c r="D1696" i="23"/>
  <c r="C1696" i="23"/>
  <c r="D1695" i="23"/>
  <c r="C1695" i="23"/>
  <c r="D1694" i="23"/>
  <c r="C1694" i="23"/>
  <c r="D1693" i="23"/>
  <c r="C1693" i="23"/>
  <c r="D1692" i="23"/>
  <c r="C1692" i="23"/>
  <c r="D1691" i="23"/>
  <c r="C1691" i="23"/>
  <c r="D1690" i="23"/>
  <c r="C1690" i="23"/>
  <c r="D1689" i="23"/>
  <c r="C1689" i="23"/>
  <c r="D1688" i="23"/>
  <c r="C1688" i="23"/>
  <c r="D1687" i="23"/>
  <c r="C1687" i="23"/>
  <c r="D1686" i="23"/>
  <c r="C1686" i="23"/>
  <c r="D1685" i="23"/>
  <c r="C1685" i="23"/>
  <c r="D1684" i="23"/>
  <c r="C1684" i="23"/>
  <c r="D1683" i="23"/>
  <c r="C1683" i="23"/>
  <c r="D1682" i="23"/>
  <c r="C1682" i="23"/>
  <c r="D1681" i="23"/>
  <c r="C1681" i="23"/>
  <c r="D1680" i="23"/>
  <c r="C1680" i="23"/>
  <c r="D1679" i="23"/>
  <c r="C1679" i="23"/>
  <c r="D1678" i="23"/>
  <c r="C1678" i="23"/>
  <c r="D1677" i="23"/>
  <c r="C1677" i="23"/>
  <c r="D1676" i="23"/>
  <c r="C1676" i="23"/>
  <c r="D1675" i="23"/>
  <c r="C1675" i="23"/>
  <c r="D1674" i="23"/>
  <c r="C1674" i="23"/>
  <c r="D1673" i="23"/>
  <c r="C1673" i="23"/>
  <c r="D1672" i="23"/>
  <c r="C1672" i="23"/>
  <c r="D1671" i="23"/>
  <c r="C1671" i="23"/>
  <c r="D1670" i="23"/>
  <c r="C1670" i="23"/>
  <c r="D1669" i="23"/>
  <c r="C1669" i="23"/>
  <c r="D1668" i="23"/>
  <c r="C1668" i="23"/>
  <c r="D1667" i="23"/>
  <c r="C1667" i="23"/>
  <c r="D1666" i="23"/>
  <c r="C1666" i="23"/>
  <c r="D1665" i="23"/>
  <c r="C1665" i="23"/>
  <c r="D1664" i="23"/>
  <c r="C1664" i="23"/>
  <c r="D1663" i="23"/>
  <c r="C1663" i="23"/>
  <c r="D1662" i="23"/>
  <c r="C1662" i="23"/>
  <c r="D1661" i="23"/>
  <c r="C1661" i="23"/>
  <c r="D1660" i="23"/>
  <c r="C1660" i="23"/>
  <c r="D1659" i="23"/>
  <c r="C1659" i="23"/>
  <c r="D1658" i="23"/>
  <c r="C1658" i="23"/>
  <c r="D1657" i="23"/>
  <c r="C1657" i="23"/>
  <c r="D1656" i="23"/>
  <c r="C1656" i="23"/>
  <c r="D1655" i="23"/>
  <c r="C1655" i="23"/>
  <c r="D1654" i="23"/>
  <c r="C1654" i="23"/>
  <c r="D1653" i="23"/>
  <c r="C1653" i="23"/>
  <c r="D1652" i="23"/>
  <c r="C1652" i="23"/>
  <c r="D1651" i="23"/>
  <c r="C1651" i="23"/>
  <c r="D1650" i="23"/>
  <c r="C1650" i="23"/>
  <c r="D1649" i="23"/>
  <c r="C1649" i="23"/>
  <c r="D1648" i="23"/>
  <c r="C1648" i="23"/>
  <c r="D1647" i="23"/>
  <c r="C1647" i="23"/>
  <c r="D1646" i="23"/>
  <c r="C1646" i="23"/>
  <c r="D1645" i="23"/>
  <c r="C1645" i="23"/>
  <c r="D1644" i="23"/>
  <c r="C1644" i="23"/>
  <c r="D1643" i="23"/>
  <c r="C1643" i="23"/>
  <c r="D1642" i="23"/>
  <c r="C1642" i="23"/>
  <c r="D1641" i="23"/>
  <c r="C1641" i="23"/>
  <c r="D1640" i="23"/>
  <c r="C1640" i="23"/>
  <c r="D1639" i="23"/>
  <c r="C1639" i="23"/>
  <c r="D1638" i="23"/>
  <c r="C1638" i="23"/>
  <c r="D1637" i="23"/>
  <c r="C1637" i="23"/>
  <c r="D1636" i="23"/>
  <c r="C1636" i="23"/>
  <c r="D1635" i="23"/>
  <c r="C1635" i="23"/>
  <c r="D1634" i="23"/>
  <c r="C1634" i="23"/>
  <c r="D1633" i="23"/>
  <c r="C1633" i="23"/>
  <c r="D1632" i="23"/>
  <c r="C1632" i="23"/>
  <c r="D1631" i="23"/>
  <c r="C1631" i="23"/>
  <c r="D1630" i="23"/>
  <c r="C1630" i="23"/>
  <c r="D1629" i="23"/>
  <c r="C1629" i="23"/>
  <c r="D1628" i="23"/>
  <c r="C1628" i="23"/>
  <c r="D1627" i="23"/>
  <c r="C1627" i="23"/>
  <c r="D1626" i="23"/>
  <c r="C1626" i="23"/>
  <c r="D1625" i="23"/>
  <c r="C1625" i="23"/>
  <c r="D1624" i="23"/>
  <c r="C1624" i="23"/>
  <c r="D1623" i="23"/>
  <c r="C1623" i="23"/>
  <c r="D1622" i="23"/>
  <c r="C1622" i="23"/>
  <c r="D1621" i="23"/>
  <c r="C1621" i="23"/>
  <c r="D1620" i="23"/>
  <c r="C1620" i="23"/>
  <c r="D1619" i="23"/>
  <c r="C1619" i="23"/>
  <c r="D1618" i="23"/>
  <c r="C1618" i="23"/>
  <c r="D1617" i="23"/>
  <c r="C1617" i="23"/>
  <c r="D1616" i="23"/>
  <c r="C1616" i="23"/>
  <c r="D1615" i="23"/>
  <c r="C1615" i="23"/>
  <c r="D1614" i="23"/>
  <c r="C1614" i="23"/>
  <c r="D1613" i="23"/>
  <c r="C1613" i="23"/>
  <c r="D1612" i="23"/>
  <c r="C1612" i="23"/>
  <c r="D1611" i="23"/>
  <c r="C1611" i="23"/>
  <c r="D1610" i="23"/>
  <c r="C1610" i="23"/>
  <c r="D1609" i="23"/>
  <c r="C1609" i="23"/>
  <c r="D1608" i="23"/>
  <c r="C1608" i="23"/>
  <c r="D1607" i="23"/>
  <c r="C1607" i="23"/>
  <c r="D1606" i="23"/>
  <c r="C1606" i="23"/>
  <c r="D1605" i="23"/>
  <c r="C1605" i="23"/>
  <c r="D1604" i="23"/>
  <c r="C1604" i="23"/>
  <c r="D1603" i="23"/>
  <c r="C1603" i="23"/>
  <c r="D1602" i="23"/>
  <c r="C1602" i="23"/>
  <c r="D1601" i="23"/>
  <c r="C1601" i="23"/>
  <c r="D1600" i="23"/>
  <c r="C1600" i="23"/>
  <c r="D1599" i="23"/>
  <c r="C1599" i="23"/>
  <c r="D1598" i="23"/>
  <c r="C1598" i="23"/>
  <c r="D1597" i="23"/>
  <c r="C1597" i="23"/>
  <c r="D1596" i="23"/>
  <c r="C1596" i="23"/>
  <c r="D1595" i="23"/>
  <c r="C1595" i="23"/>
  <c r="D1594" i="23"/>
  <c r="C1594" i="23"/>
  <c r="D1593" i="23"/>
  <c r="C1593" i="23"/>
  <c r="D1592" i="23"/>
  <c r="C1592" i="23"/>
  <c r="D1591" i="23"/>
  <c r="C1591" i="23"/>
  <c r="D1590" i="23"/>
  <c r="C1590" i="23"/>
  <c r="D1589" i="23"/>
  <c r="C1589" i="23"/>
  <c r="D1588" i="23"/>
  <c r="C1588" i="23"/>
  <c r="D1587" i="23"/>
  <c r="C1587" i="23"/>
  <c r="D1586" i="23"/>
  <c r="C1586" i="23"/>
  <c r="D1585" i="23"/>
  <c r="C1585" i="23"/>
  <c r="D1584" i="23"/>
  <c r="C1584" i="23"/>
  <c r="D1583" i="23"/>
  <c r="C1583" i="23"/>
  <c r="D1582" i="23"/>
  <c r="C1582" i="23"/>
  <c r="D1581" i="23"/>
  <c r="C1581" i="23"/>
  <c r="D1580" i="23"/>
  <c r="C1580" i="23"/>
  <c r="D1579" i="23"/>
  <c r="C1579" i="23"/>
  <c r="D1578" i="23"/>
  <c r="C1578" i="23"/>
  <c r="D1577" i="23"/>
  <c r="C1577" i="23"/>
  <c r="D1576" i="23"/>
  <c r="C1576" i="23"/>
  <c r="D1575" i="23"/>
  <c r="C1575" i="23"/>
  <c r="D1574" i="23"/>
  <c r="C1574" i="23"/>
  <c r="D1573" i="23"/>
  <c r="C1573" i="23"/>
  <c r="D1572" i="23"/>
  <c r="C1572" i="23"/>
  <c r="D1571" i="23"/>
  <c r="C1571" i="23"/>
  <c r="D1570" i="23"/>
  <c r="C1570" i="23"/>
  <c r="D1569" i="23"/>
  <c r="C1569" i="23"/>
  <c r="D1568" i="23"/>
  <c r="C1568" i="23"/>
  <c r="D1567" i="23"/>
  <c r="C1567" i="23"/>
  <c r="D1566" i="23"/>
  <c r="C1566" i="23"/>
  <c r="D1565" i="23"/>
  <c r="C1565" i="23"/>
  <c r="D1564" i="23"/>
  <c r="C1564" i="23"/>
  <c r="D1563" i="23"/>
  <c r="C1563" i="23"/>
  <c r="D1562" i="23"/>
  <c r="C1562" i="23"/>
  <c r="D1561" i="23"/>
  <c r="C1561" i="23"/>
  <c r="D1560" i="23"/>
  <c r="C1560" i="23"/>
  <c r="D1559" i="23"/>
  <c r="C1559" i="23"/>
  <c r="D1558" i="23"/>
  <c r="C1558" i="23"/>
  <c r="D1557" i="23"/>
  <c r="C1557" i="23"/>
  <c r="D1556" i="23"/>
  <c r="C1556" i="23"/>
  <c r="D1555" i="23"/>
  <c r="C1555" i="23"/>
  <c r="D1554" i="23"/>
  <c r="C1554" i="23"/>
  <c r="D1553" i="23"/>
  <c r="C1553" i="23"/>
  <c r="D1552" i="23"/>
  <c r="C1552" i="23"/>
  <c r="D1551" i="23"/>
  <c r="C1551" i="23"/>
  <c r="D1550" i="23"/>
  <c r="C1550" i="23"/>
  <c r="D1549" i="23"/>
  <c r="C1549" i="23"/>
  <c r="D1548" i="23"/>
  <c r="C1548" i="23"/>
  <c r="D1547" i="23"/>
  <c r="C1547" i="23"/>
  <c r="D1546" i="23"/>
  <c r="C1546" i="23"/>
  <c r="D1545" i="23"/>
  <c r="C1545" i="23"/>
  <c r="D1544" i="23"/>
  <c r="C1544" i="23"/>
  <c r="D1543" i="23"/>
  <c r="C1543" i="23"/>
  <c r="D1542" i="23"/>
  <c r="C1542" i="23"/>
  <c r="D1541" i="23"/>
  <c r="C1541" i="23"/>
  <c r="D1540" i="23"/>
  <c r="C1540" i="23"/>
  <c r="D1539" i="23"/>
  <c r="C1539" i="23"/>
  <c r="D1538" i="23"/>
  <c r="C1538" i="23"/>
  <c r="D1537" i="23"/>
  <c r="C1537" i="23"/>
  <c r="D1536" i="23"/>
  <c r="C1536" i="23"/>
  <c r="D1535" i="23"/>
  <c r="C1535" i="23"/>
  <c r="D1534" i="23"/>
  <c r="C1534" i="23"/>
  <c r="D1533" i="23"/>
  <c r="C1533" i="23"/>
  <c r="D1532" i="23"/>
  <c r="C1532" i="23"/>
  <c r="D1531" i="23"/>
  <c r="C1531" i="23"/>
  <c r="D1530" i="23"/>
  <c r="C1530" i="23"/>
  <c r="D1529" i="23"/>
  <c r="C1529" i="23"/>
  <c r="D1528" i="23"/>
  <c r="C1528" i="23"/>
  <c r="D1527" i="23"/>
  <c r="C1527" i="23"/>
  <c r="D1526" i="23"/>
  <c r="C1526" i="23"/>
  <c r="D1525" i="23"/>
  <c r="C1525" i="23"/>
  <c r="D1524" i="23"/>
  <c r="C1524" i="23"/>
  <c r="D1523" i="23"/>
  <c r="C1523" i="23"/>
  <c r="D1522" i="23"/>
  <c r="C1522" i="23"/>
  <c r="D1521" i="23"/>
  <c r="C1521" i="23"/>
  <c r="D1520" i="23"/>
  <c r="C1520" i="23"/>
  <c r="D1519" i="23"/>
  <c r="C1519" i="23"/>
  <c r="D1518" i="23"/>
  <c r="C1518" i="23"/>
  <c r="D1517" i="23"/>
  <c r="C1517" i="23"/>
  <c r="D1516" i="23"/>
  <c r="C1516" i="23"/>
  <c r="D1515" i="23"/>
  <c r="C1515" i="23"/>
  <c r="D1514" i="23"/>
  <c r="C1514" i="23"/>
  <c r="D1513" i="23"/>
  <c r="C1513" i="23"/>
  <c r="D1512" i="23"/>
  <c r="C1512" i="23"/>
  <c r="D1511" i="23"/>
  <c r="C1511" i="23"/>
  <c r="D1510" i="23"/>
  <c r="C1510" i="23"/>
  <c r="D1509" i="23"/>
  <c r="C1509" i="23"/>
  <c r="D1508" i="23"/>
  <c r="C1508" i="23"/>
  <c r="D1507" i="23"/>
  <c r="C1507" i="23"/>
  <c r="D1506" i="23"/>
  <c r="C1506" i="23"/>
  <c r="D1505" i="23"/>
  <c r="C1505" i="23"/>
  <c r="D1504" i="23"/>
  <c r="C1504" i="23"/>
  <c r="D1503" i="23"/>
  <c r="C1503" i="23"/>
  <c r="D1502" i="23"/>
  <c r="C1502" i="23"/>
  <c r="D1501" i="23"/>
  <c r="C1501" i="23"/>
  <c r="D1500" i="23"/>
  <c r="C1500" i="23"/>
  <c r="D1499" i="23"/>
  <c r="C1499" i="23"/>
  <c r="D1498" i="23"/>
  <c r="C1498" i="23"/>
  <c r="D1497" i="23"/>
  <c r="C1497" i="23"/>
  <c r="D1496" i="23"/>
  <c r="C1496" i="23"/>
  <c r="D1495" i="23"/>
  <c r="C1495" i="23"/>
  <c r="D1494" i="23"/>
  <c r="C1494" i="23"/>
  <c r="D1493" i="23"/>
  <c r="C1493" i="23"/>
  <c r="D1492" i="23"/>
  <c r="C1492" i="23"/>
  <c r="D1491" i="23"/>
  <c r="C1491" i="23"/>
  <c r="D1490" i="23"/>
  <c r="C1490" i="23"/>
  <c r="D1489" i="23"/>
  <c r="C1489" i="23"/>
  <c r="D1488" i="23"/>
  <c r="C1488" i="23"/>
  <c r="D1487" i="23"/>
  <c r="C1487" i="23"/>
  <c r="D1486" i="23"/>
  <c r="C1486" i="23"/>
  <c r="D1485" i="23"/>
  <c r="C1485" i="23"/>
  <c r="D1484" i="23"/>
  <c r="C1484" i="23"/>
  <c r="D1483" i="23"/>
  <c r="C1483" i="23"/>
  <c r="D1482" i="23"/>
  <c r="C1482" i="23"/>
  <c r="D1481" i="23"/>
  <c r="C1481" i="23"/>
  <c r="D1480" i="23"/>
  <c r="C1480" i="23"/>
  <c r="D1479" i="23"/>
  <c r="C1479" i="23"/>
  <c r="D1478" i="23"/>
  <c r="C1478" i="23"/>
  <c r="D1477" i="23"/>
  <c r="C1477" i="23"/>
  <c r="D1476" i="23"/>
  <c r="C1476" i="23"/>
  <c r="D1475" i="23"/>
  <c r="C1475" i="23"/>
  <c r="D1474" i="23"/>
  <c r="C1474" i="23"/>
  <c r="D1473" i="23"/>
  <c r="C1473" i="23"/>
  <c r="D1472" i="23"/>
  <c r="C1472" i="23"/>
  <c r="D1471" i="23"/>
  <c r="C1471" i="23"/>
  <c r="D1470" i="23"/>
  <c r="C1470" i="23"/>
  <c r="D1469" i="23"/>
  <c r="C1469" i="23"/>
  <c r="D1468" i="23"/>
  <c r="C1468" i="23"/>
  <c r="D1467" i="23"/>
  <c r="C1467" i="23"/>
  <c r="D1466" i="23"/>
  <c r="C1466" i="23"/>
  <c r="D1465" i="23"/>
  <c r="C1465" i="23"/>
  <c r="D1464" i="23"/>
  <c r="C1464" i="23"/>
  <c r="D1463" i="23"/>
  <c r="C1463" i="23"/>
  <c r="D1462" i="23"/>
  <c r="C1462" i="23"/>
  <c r="D1461" i="23"/>
  <c r="C1461" i="23"/>
  <c r="D1460" i="23"/>
  <c r="C1460" i="23"/>
  <c r="D1459" i="23"/>
  <c r="C1459" i="23"/>
  <c r="D1458" i="23"/>
  <c r="C1458" i="23"/>
  <c r="D1457" i="23"/>
  <c r="C1457" i="23"/>
  <c r="D1456" i="23"/>
  <c r="C1456" i="23"/>
  <c r="D1455" i="23"/>
  <c r="C1455" i="23"/>
  <c r="D1454" i="23"/>
  <c r="C1454" i="23"/>
  <c r="D1453" i="23"/>
  <c r="C1453" i="23"/>
  <c r="D1452" i="23"/>
  <c r="C1452" i="23"/>
  <c r="D1451" i="23"/>
  <c r="C1451" i="23"/>
  <c r="D1450" i="23"/>
  <c r="C1450" i="23"/>
  <c r="D1449" i="23"/>
  <c r="C1449" i="23"/>
  <c r="D1448" i="23"/>
  <c r="C1448" i="23"/>
  <c r="D1447" i="23"/>
  <c r="C1447" i="23"/>
  <c r="D1446" i="23"/>
  <c r="C1446" i="23"/>
  <c r="D1445" i="23"/>
  <c r="C1445" i="23"/>
  <c r="D1444" i="23"/>
  <c r="C1444" i="23"/>
  <c r="D1443" i="23"/>
  <c r="C1443" i="23"/>
  <c r="D1442" i="23"/>
  <c r="C1442" i="23"/>
  <c r="D1441" i="23"/>
  <c r="C1441" i="23"/>
  <c r="D1440" i="23"/>
  <c r="C1440" i="23"/>
  <c r="D1439" i="23"/>
  <c r="C1439" i="23"/>
  <c r="D1438" i="23"/>
  <c r="C1438" i="23"/>
  <c r="D1437" i="23"/>
  <c r="C1437" i="23"/>
  <c r="D1436" i="23"/>
  <c r="C1436" i="23"/>
  <c r="D1435" i="23"/>
  <c r="C1435" i="23"/>
  <c r="D1434" i="23"/>
  <c r="C1434" i="23"/>
  <c r="D1433" i="23"/>
  <c r="C1433" i="23"/>
  <c r="D1432" i="23"/>
  <c r="C1432" i="23"/>
  <c r="D1431" i="23"/>
  <c r="C1431" i="23"/>
  <c r="D1430" i="23"/>
  <c r="C1430" i="23"/>
  <c r="D1429" i="23"/>
  <c r="C1429" i="23"/>
  <c r="D1428" i="23"/>
  <c r="C1428" i="23"/>
  <c r="D1427" i="23"/>
  <c r="C1427" i="23"/>
  <c r="D1426" i="23"/>
  <c r="C1426" i="23"/>
  <c r="D1425" i="23"/>
  <c r="C1425" i="23"/>
  <c r="D1424" i="23"/>
  <c r="C1424" i="23"/>
  <c r="D1423" i="23"/>
  <c r="C1423" i="23"/>
  <c r="D1422" i="23"/>
  <c r="C1422" i="23"/>
  <c r="D1421" i="23"/>
  <c r="C1421" i="23"/>
  <c r="D1420" i="23"/>
  <c r="C1420" i="23"/>
  <c r="D1419" i="23"/>
  <c r="C1419" i="23"/>
  <c r="D1418" i="23"/>
  <c r="C1418" i="23"/>
  <c r="D1417" i="23"/>
  <c r="C1417" i="23"/>
  <c r="D1416" i="23"/>
  <c r="C1416" i="23"/>
  <c r="D1415" i="23"/>
  <c r="C1415" i="23"/>
  <c r="D1414" i="23"/>
  <c r="C1414" i="23"/>
  <c r="D1413" i="23"/>
  <c r="C1413" i="23"/>
  <c r="D1412" i="23"/>
  <c r="C1412" i="23"/>
  <c r="D1411" i="23"/>
  <c r="C1411" i="23"/>
  <c r="D1410" i="23"/>
  <c r="C1410" i="23"/>
  <c r="D1409" i="23"/>
  <c r="C1409" i="23"/>
  <c r="D1408" i="23"/>
  <c r="C1408" i="23"/>
  <c r="D1407" i="23"/>
  <c r="C1407" i="23"/>
  <c r="D1406" i="23"/>
  <c r="C1406" i="23"/>
  <c r="D1405" i="23"/>
  <c r="C1405" i="23"/>
  <c r="D1404" i="23"/>
  <c r="C1404" i="23"/>
  <c r="D1403" i="23"/>
  <c r="C1403" i="23"/>
  <c r="D1402" i="23"/>
  <c r="C1402" i="23"/>
  <c r="D1401" i="23"/>
  <c r="C1401" i="23"/>
  <c r="D1400" i="23"/>
  <c r="C1400" i="23"/>
  <c r="D1399" i="23"/>
  <c r="C1399" i="23"/>
  <c r="D1398" i="23"/>
  <c r="C1398" i="23"/>
  <c r="D1397" i="23"/>
  <c r="C1397" i="23"/>
  <c r="D1396" i="23"/>
  <c r="C1396" i="23"/>
  <c r="D1395" i="23"/>
  <c r="C1395" i="23"/>
  <c r="D1394" i="23"/>
  <c r="C1394" i="23"/>
  <c r="D1393" i="23"/>
  <c r="C1393" i="23"/>
  <c r="D1392" i="23"/>
  <c r="C1392" i="23"/>
  <c r="D1391" i="23"/>
  <c r="C1391" i="23"/>
  <c r="D1390" i="23"/>
  <c r="C1390" i="23"/>
  <c r="D1389" i="23"/>
  <c r="C1389" i="23"/>
  <c r="D1388" i="23"/>
  <c r="C1388" i="23"/>
  <c r="D1387" i="23"/>
  <c r="C1387" i="23"/>
  <c r="D1386" i="23"/>
  <c r="C1386" i="23"/>
  <c r="D1385" i="23"/>
  <c r="C1385" i="23"/>
  <c r="D1384" i="23"/>
  <c r="C1384" i="23"/>
  <c r="D1383" i="23"/>
  <c r="C1383" i="23"/>
  <c r="D1382" i="23"/>
  <c r="C1382" i="23"/>
  <c r="D1381" i="23"/>
  <c r="C1381" i="23"/>
  <c r="D1380" i="23"/>
  <c r="C1380" i="23"/>
  <c r="D1379" i="23"/>
  <c r="C1379" i="23"/>
  <c r="D1378" i="23"/>
  <c r="C1378" i="23"/>
  <c r="D1377" i="23"/>
  <c r="C1377" i="23"/>
  <c r="D1376" i="23"/>
  <c r="C1376" i="23"/>
  <c r="D1375" i="23"/>
  <c r="C1375" i="23"/>
  <c r="D1374" i="23"/>
  <c r="C1374" i="23"/>
  <c r="D1373" i="23"/>
  <c r="C1373" i="23"/>
  <c r="D1372" i="23"/>
  <c r="C1372" i="23"/>
  <c r="D1371" i="23"/>
  <c r="C1371" i="23"/>
  <c r="D1370" i="23"/>
  <c r="C1370" i="23"/>
  <c r="D1369" i="23"/>
  <c r="C1369" i="23"/>
  <c r="D1368" i="23"/>
  <c r="C1368" i="23"/>
  <c r="D1367" i="23"/>
  <c r="C1367" i="23"/>
  <c r="D1366" i="23"/>
  <c r="C1366" i="23"/>
  <c r="D1365" i="23"/>
  <c r="C1365" i="23"/>
  <c r="D1364" i="23"/>
  <c r="C1364" i="23"/>
  <c r="D1363" i="23"/>
  <c r="C1363" i="23"/>
  <c r="D1362" i="23"/>
  <c r="C1362" i="23"/>
  <c r="D1361" i="23"/>
  <c r="C1361" i="23"/>
  <c r="D1360" i="23"/>
  <c r="C1360" i="23"/>
  <c r="D1359" i="23"/>
  <c r="C1359" i="23"/>
  <c r="D1358" i="23"/>
  <c r="C1358" i="23"/>
  <c r="D1357" i="23"/>
  <c r="C1357" i="23"/>
  <c r="D1356" i="23"/>
  <c r="C1356" i="23"/>
  <c r="D1355" i="23"/>
  <c r="C1355" i="23"/>
  <c r="D1354" i="23"/>
  <c r="C1354" i="23"/>
  <c r="D1353" i="23"/>
  <c r="C1353" i="23"/>
  <c r="D1352" i="23"/>
  <c r="C1352" i="23"/>
  <c r="D1351" i="23"/>
  <c r="C1351" i="23"/>
  <c r="D1350" i="23"/>
  <c r="C1350" i="23"/>
  <c r="D1349" i="23"/>
  <c r="C1349" i="23"/>
  <c r="D1348" i="23"/>
  <c r="C1348" i="23"/>
  <c r="D1347" i="23"/>
  <c r="C1347" i="23"/>
  <c r="D1346" i="23"/>
  <c r="C1346" i="23"/>
  <c r="D1345" i="23"/>
  <c r="C1345" i="23"/>
  <c r="D1344" i="23"/>
  <c r="C1344" i="23"/>
  <c r="D1343" i="23"/>
  <c r="C1343" i="23"/>
  <c r="D1342" i="23"/>
  <c r="C1342" i="23"/>
  <c r="D1341" i="23"/>
  <c r="C1341" i="23"/>
  <c r="D1340" i="23"/>
  <c r="C1340" i="23"/>
  <c r="D1339" i="23"/>
  <c r="C1339" i="23"/>
  <c r="D1338" i="23"/>
  <c r="C1338" i="23"/>
  <c r="D1337" i="23"/>
  <c r="C1337" i="23"/>
  <c r="D1336" i="23"/>
  <c r="C1336" i="23"/>
  <c r="D1335" i="23"/>
  <c r="C1335" i="23"/>
  <c r="D1334" i="23"/>
  <c r="C1334" i="23"/>
  <c r="D1333" i="23"/>
  <c r="C1333" i="23"/>
  <c r="D1332" i="23"/>
  <c r="C1332" i="23"/>
  <c r="D1331" i="23"/>
  <c r="C1331" i="23"/>
  <c r="D1330" i="23"/>
  <c r="C1330" i="23"/>
  <c r="D1329" i="23"/>
  <c r="C1329" i="23"/>
  <c r="D1328" i="23"/>
  <c r="C1328" i="23"/>
  <c r="D1327" i="23"/>
  <c r="C1327" i="23"/>
  <c r="D1326" i="23"/>
  <c r="C1326" i="23"/>
  <c r="D1325" i="23"/>
  <c r="C1325" i="23"/>
  <c r="D1324" i="23"/>
  <c r="C1324" i="23"/>
  <c r="D1323" i="23"/>
  <c r="C1323" i="23"/>
  <c r="D1322" i="23"/>
  <c r="C1322" i="23"/>
  <c r="D1321" i="23"/>
  <c r="C1321" i="23"/>
  <c r="D1320" i="23"/>
  <c r="C1320" i="23"/>
  <c r="D1319" i="23"/>
  <c r="C1319" i="23"/>
  <c r="D1318" i="23"/>
  <c r="C1318" i="23"/>
  <c r="D1317" i="23"/>
  <c r="C1317" i="23"/>
  <c r="D1316" i="23"/>
  <c r="C1316" i="23"/>
  <c r="D1315" i="23"/>
  <c r="C1315" i="23"/>
  <c r="D1314" i="23"/>
  <c r="C1314" i="23"/>
  <c r="D1313" i="23"/>
  <c r="C1313" i="23"/>
  <c r="D1312" i="23"/>
  <c r="C1312" i="23"/>
  <c r="D1311" i="23"/>
  <c r="C1311" i="23"/>
  <c r="D1310" i="23"/>
  <c r="C1310" i="23"/>
  <c r="D1309" i="23"/>
  <c r="C1309" i="23"/>
  <c r="D1308" i="23"/>
  <c r="C1308" i="23"/>
  <c r="D1307" i="23"/>
  <c r="C1307" i="23"/>
  <c r="D1306" i="23"/>
  <c r="C1306" i="23"/>
  <c r="D1305" i="23"/>
  <c r="C1305" i="23"/>
  <c r="D1304" i="23"/>
  <c r="C1304" i="23"/>
  <c r="D1303" i="23"/>
  <c r="C1303" i="23"/>
  <c r="D1302" i="23"/>
  <c r="C1302" i="23"/>
  <c r="D1301" i="23"/>
  <c r="C1301" i="23"/>
  <c r="D1300" i="23"/>
  <c r="C1300" i="23"/>
  <c r="D1299" i="23"/>
  <c r="C1299" i="23"/>
  <c r="D1298" i="23"/>
  <c r="C1298" i="23"/>
  <c r="D1297" i="23"/>
  <c r="C1297" i="23"/>
  <c r="D1296" i="23"/>
  <c r="C1296" i="23"/>
  <c r="D1295" i="23"/>
  <c r="C1295" i="23"/>
  <c r="D1294" i="23"/>
  <c r="C1294" i="23"/>
  <c r="D1293" i="23"/>
  <c r="C1293" i="23"/>
  <c r="D1292" i="23"/>
  <c r="C1292" i="23"/>
  <c r="D1291" i="23"/>
  <c r="C1291" i="23"/>
  <c r="D1290" i="23"/>
  <c r="C1290" i="23"/>
  <c r="D1289" i="23"/>
  <c r="C1289" i="23"/>
  <c r="D1288" i="23"/>
  <c r="C1288" i="23"/>
  <c r="D1287" i="23"/>
  <c r="C1287" i="23"/>
  <c r="D1286" i="23"/>
  <c r="C1286" i="23"/>
  <c r="D1285" i="23"/>
  <c r="C1285" i="23"/>
  <c r="D1284" i="23"/>
  <c r="C1284" i="23"/>
  <c r="D1283" i="23"/>
  <c r="C1283" i="23"/>
  <c r="D1282" i="23"/>
  <c r="C1282" i="23"/>
  <c r="D1281" i="23"/>
  <c r="C1281" i="23"/>
  <c r="D1280" i="23"/>
  <c r="C1280" i="23"/>
  <c r="D1279" i="23"/>
  <c r="C1279" i="23"/>
  <c r="D1278" i="23"/>
  <c r="C1278" i="23"/>
  <c r="D1277" i="23"/>
  <c r="C1277" i="23"/>
  <c r="D1276" i="23"/>
  <c r="C1276" i="23"/>
  <c r="D1275" i="23"/>
  <c r="C1275" i="23"/>
  <c r="D1274" i="23"/>
  <c r="C1274" i="23"/>
  <c r="D1273" i="23"/>
  <c r="C1273" i="23"/>
  <c r="D1272" i="23"/>
  <c r="C1272" i="23"/>
  <c r="D1271" i="23"/>
  <c r="C1271" i="23"/>
  <c r="D1270" i="23"/>
  <c r="C1270" i="23"/>
  <c r="D1269" i="23"/>
  <c r="C1269" i="23"/>
  <c r="D1268" i="23"/>
  <c r="C1268" i="23"/>
  <c r="D1267" i="23"/>
  <c r="C1267" i="23"/>
  <c r="D1266" i="23"/>
  <c r="C1266" i="23"/>
  <c r="D1265" i="23"/>
  <c r="C1265" i="23"/>
  <c r="D1264" i="23"/>
  <c r="C1264" i="23"/>
  <c r="D1263" i="23"/>
  <c r="C1263" i="23"/>
  <c r="D1262" i="23"/>
  <c r="C1262" i="23"/>
  <c r="D1261" i="23"/>
  <c r="C1261" i="23"/>
  <c r="D1260" i="23"/>
  <c r="C1260" i="23"/>
  <c r="D1259" i="23"/>
  <c r="C1259" i="23"/>
  <c r="D1258" i="23"/>
  <c r="C1258" i="23"/>
  <c r="D1257" i="23"/>
  <c r="C1257" i="23"/>
  <c r="D1256" i="23"/>
  <c r="C1256" i="23"/>
  <c r="D1255" i="23"/>
  <c r="C1255" i="23"/>
  <c r="D1254" i="23"/>
  <c r="C1254" i="23"/>
  <c r="D1253" i="23"/>
  <c r="C1253" i="23"/>
  <c r="D1252" i="23"/>
  <c r="C1252" i="23"/>
  <c r="D1251" i="23"/>
  <c r="C1251" i="23"/>
  <c r="D1250" i="23"/>
  <c r="C1250" i="23"/>
  <c r="D1249" i="23"/>
  <c r="C1249" i="23"/>
  <c r="D1248" i="23"/>
  <c r="C1248" i="23"/>
  <c r="D1247" i="23"/>
  <c r="C1247" i="23"/>
  <c r="D1246" i="23"/>
  <c r="C1246" i="23"/>
  <c r="D1245" i="23"/>
  <c r="C1245" i="23"/>
  <c r="D1244" i="23"/>
  <c r="C1244" i="23"/>
  <c r="D1243" i="23"/>
  <c r="C1243" i="23"/>
  <c r="D1242" i="23"/>
  <c r="C1242" i="23"/>
  <c r="D1241" i="23"/>
  <c r="C1241" i="23"/>
  <c r="D1240" i="23"/>
  <c r="C1240" i="23"/>
  <c r="D1239" i="23"/>
  <c r="C1239" i="23"/>
  <c r="D1238" i="23"/>
  <c r="C1238" i="23"/>
  <c r="D1237" i="23"/>
  <c r="C1237" i="23"/>
  <c r="D1236" i="23"/>
  <c r="C1236" i="23"/>
  <c r="D1235" i="23"/>
  <c r="C1235" i="23"/>
  <c r="D1234" i="23"/>
  <c r="C1234" i="23"/>
  <c r="D1233" i="23"/>
  <c r="C1233" i="23"/>
  <c r="D1232" i="23"/>
  <c r="C1232" i="23"/>
  <c r="D1231" i="23"/>
  <c r="C1231" i="23"/>
  <c r="D1230" i="23"/>
  <c r="C1230" i="23"/>
  <c r="D1229" i="23"/>
  <c r="C1229" i="23"/>
  <c r="D1228" i="23"/>
  <c r="C1228" i="23"/>
  <c r="D1227" i="23"/>
  <c r="C1227" i="23"/>
  <c r="D1226" i="23"/>
  <c r="C1226" i="23"/>
  <c r="D1225" i="23"/>
  <c r="C1225" i="23"/>
  <c r="D1224" i="23"/>
  <c r="C1224" i="23"/>
  <c r="D1223" i="23"/>
  <c r="C1223" i="23"/>
  <c r="D1222" i="23"/>
  <c r="C1222" i="23"/>
  <c r="D1221" i="23"/>
  <c r="C1221" i="23"/>
  <c r="D1220" i="23"/>
  <c r="C1220" i="23"/>
  <c r="D1219" i="23"/>
  <c r="C1219" i="23"/>
  <c r="D1218" i="23"/>
  <c r="C1218" i="23"/>
  <c r="D1217" i="23"/>
  <c r="C1217" i="23"/>
  <c r="D1216" i="23"/>
  <c r="C1216" i="23"/>
  <c r="D1215" i="23"/>
  <c r="C1215" i="23"/>
  <c r="D1214" i="23"/>
  <c r="C1214" i="23"/>
  <c r="D1213" i="23"/>
  <c r="C1213" i="23"/>
  <c r="D1212" i="23"/>
  <c r="C1212" i="23"/>
  <c r="D1211" i="23"/>
  <c r="C1211" i="23"/>
  <c r="D1210" i="23"/>
  <c r="C1210" i="23"/>
  <c r="D1209" i="23"/>
  <c r="C1209" i="23"/>
  <c r="D1208" i="23"/>
  <c r="C1208" i="23"/>
  <c r="D1207" i="23"/>
  <c r="C1207" i="23"/>
  <c r="D1206" i="23"/>
  <c r="C1206" i="23"/>
  <c r="D1205" i="23"/>
  <c r="C1205" i="23"/>
  <c r="D1204" i="23"/>
  <c r="C1204" i="23"/>
  <c r="D1203" i="23"/>
  <c r="C1203" i="23"/>
  <c r="D1202" i="23"/>
  <c r="C1202" i="23"/>
  <c r="D1201" i="23"/>
  <c r="C1201" i="23"/>
  <c r="D1200" i="23"/>
  <c r="C1200" i="23"/>
  <c r="D1199" i="23"/>
  <c r="C1199" i="23"/>
  <c r="D1198" i="23"/>
  <c r="C1198" i="23"/>
  <c r="D1197" i="23"/>
  <c r="C1197" i="23"/>
  <c r="D1196" i="23"/>
  <c r="C1196" i="23"/>
  <c r="D1195" i="23"/>
  <c r="C1195" i="23"/>
  <c r="D1194" i="23"/>
  <c r="C1194" i="23"/>
  <c r="D1193" i="23"/>
  <c r="C1193" i="23"/>
  <c r="D1192" i="23"/>
  <c r="C1192" i="23"/>
  <c r="D1191" i="23"/>
  <c r="C1191" i="23"/>
  <c r="D1190" i="23"/>
  <c r="C1190" i="23"/>
  <c r="D1189" i="23"/>
  <c r="C1189" i="23"/>
  <c r="D1188" i="23"/>
  <c r="C1188" i="23"/>
  <c r="D1187" i="23"/>
  <c r="C1187" i="23"/>
  <c r="D1186" i="23"/>
  <c r="C1186" i="23"/>
  <c r="D1185" i="23"/>
  <c r="C1185" i="23"/>
  <c r="D1184" i="23"/>
  <c r="C1184" i="23"/>
  <c r="D1183" i="23"/>
  <c r="C1183" i="23"/>
  <c r="D1182" i="23"/>
  <c r="C1182" i="23"/>
  <c r="D1181" i="23"/>
  <c r="C1181" i="23"/>
  <c r="D1180" i="23"/>
  <c r="C1180" i="23"/>
  <c r="D1179" i="23"/>
  <c r="C1179" i="23"/>
  <c r="D1178" i="23"/>
  <c r="C1178" i="23"/>
  <c r="D1177" i="23"/>
  <c r="C1177" i="23"/>
  <c r="D1176" i="23"/>
  <c r="C1176" i="23"/>
  <c r="D1175" i="23"/>
  <c r="C1175" i="23"/>
  <c r="D1174" i="23"/>
  <c r="C1174" i="23"/>
  <c r="D1173" i="23"/>
  <c r="C1173" i="23"/>
  <c r="D1172" i="23"/>
  <c r="C1172" i="23"/>
  <c r="D1171" i="23"/>
  <c r="C1171" i="23"/>
  <c r="D1170" i="23"/>
  <c r="C1170" i="23"/>
  <c r="D1169" i="23"/>
  <c r="C1169" i="23"/>
  <c r="D1168" i="23"/>
  <c r="C1168" i="23"/>
  <c r="D1167" i="23"/>
  <c r="C1167" i="23"/>
  <c r="D1166" i="23"/>
  <c r="C1166" i="23"/>
  <c r="D1165" i="23"/>
  <c r="C1165" i="23"/>
  <c r="D1164" i="23"/>
  <c r="C1164" i="23"/>
  <c r="D1163" i="23"/>
  <c r="C1163" i="23"/>
  <c r="D1162" i="23"/>
  <c r="C1162" i="23"/>
  <c r="D1161" i="23"/>
  <c r="C1161" i="23"/>
  <c r="D1160" i="23"/>
  <c r="C1160" i="23"/>
  <c r="D1159" i="23"/>
  <c r="C1159" i="23"/>
  <c r="D1158" i="23"/>
  <c r="C1158" i="23"/>
  <c r="D1157" i="23"/>
  <c r="C1157" i="23"/>
  <c r="D1156" i="23"/>
  <c r="C1156" i="23"/>
  <c r="D1155" i="23"/>
  <c r="C1155" i="23"/>
  <c r="D1154" i="23"/>
  <c r="C1154" i="23"/>
  <c r="D1153" i="23"/>
  <c r="C1153" i="23"/>
  <c r="D1152" i="23"/>
  <c r="C1152" i="23"/>
  <c r="D1151" i="23"/>
  <c r="C1151" i="23"/>
  <c r="D1150" i="23"/>
  <c r="C1150" i="23"/>
  <c r="D1149" i="23"/>
  <c r="C1149" i="23"/>
  <c r="D1148" i="23"/>
  <c r="C1148" i="23"/>
  <c r="D1147" i="23"/>
  <c r="C1147" i="23"/>
  <c r="D1146" i="23"/>
  <c r="C1146" i="23"/>
  <c r="D1145" i="23"/>
  <c r="C1145" i="23"/>
  <c r="D1144" i="23"/>
  <c r="C1144" i="23"/>
  <c r="D1143" i="23"/>
  <c r="C1143" i="23"/>
  <c r="D1142" i="23"/>
  <c r="C1142" i="23"/>
  <c r="D1141" i="23"/>
  <c r="C1141" i="23"/>
  <c r="D1140" i="23"/>
  <c r="C1140" i="23"/>
  <c r="D1139" i="23"/>
  <c r="C1139" i="23"/>
  <c r="D1138" i="23"/>
  <c r="C1138" i="23"/>
  <c r="D1137" i="23"/>
  <c r="C1137" i="23"/>
  <c r="D1136" i="23"/>
  <c r="C1136" i="23"/>
  <c r="D1135" i="23"/>
  <c r="C1135" i="23"/>
  <c r="D1134" i="23"/>
  <c r="C1134" i="23"/>
  <c r="D1133" i="23"/>
  <c r="C1133" i="23"/>
  <c r="D1132" i="23"/>
  <c r="C1132" i="23"/>
  <c r="D1131" i="23"/>
  <c r="C1131" i="23"/>
  <c r="D1130" i="23"/>
  <c r="C1130" i="23"/>
  <c r="D1129" i="23"/>
  <c r="C1129" i="23"/>
  <c r="D1128" i="23"/>
  <c r="C1128" i="23"/>
  <c r="D1127" i="23"/>
  <c r="C1127" i="23"/>
  <c r="D1126" i="23"/>
  <c r="C1126" i="23"/>
  <c r="D1125" i="23"/>
  <c r="C1125" i="23"/>
  <c r="D1124" i="23"/>
  <c r="C1124" i="23"/>
  <c r="D1123" i="23"/>
  <c r="C1123" i="23"/>
  <c r="D1122" i="23"/>
  <c r="C1122" i="23"/>
  <c r="D1121" i="23"/>
  <c r="C1121" i="23"/>
  <c r="D1120" i="23"/>
  <c r="C1120" i="23"/>
  <c r="D1119" i="23"/>
  <c r="C1119" i="23"/>
  <c r="D1118" i="23"/>
  <c r="C1118" i="23"/>
  <c r="D1117" i="23"/>
  <c r="C1117" i="23"/>
  <c r="D1116" i="23"/>
  <c r="C1116" i="23"/>
  <c r="D1115" i="23"/>
  <c r="C1115" i="23"/>
  <c r="D1114" i="23"/>
  <c r="C1114" i="23"/>
  <c r="D1113" i="23"/>
  <c r="C1113" i="23"/>
  <c r="D1112" i="23"/>
  <c r="C1112" i="23"/>
  <c r="D1111" i="23"/>
  <c r="C1111" i="23"/>
  <c r="D1110" i="23"/>
  <c r="C1110" i="23"/>
  <c r="D1109" i="23"/>
  <c r="C1109" i="23"/>
  <c r="D1108" i="23"/>
  <c r="C1108" i="23"/>
  <c r="D1107" i="23"/>
  <c r="C1107" i="23"/>
  <c r="D1106" i="23"/>
  <c r="C1106" i="23"/>
  <c r="D1105" i="23"/>
  <c r="C1105" i="23"/>
  <c r="D1104" i="23"/>
  <c r="C1104" i="23"/>
  <c r="D1103" i="23"/>
  <c r="C1103" i="23"/>
  <c r="D1102" i="23"/>
  <c r="C1102" i="23"/>
  <c r="D1101" i="23"/>
  <c r="C1101" i="23"/>
  <c r="D1100" i="23"/>
  <c r="C1100" i="23"/>
  <c r="D1099" i="23"/>
  <c r="C1099" i="23"/>
  <c r="D1098" i="23"/>
  <c r="C1098" i="23"/>
  <c r="D1097" i="23"/>
  <c r="C1097" i="23"/>
  <c r="D1096" i="23"/>
  <c r="C1096" i="23"/>
  <c r="D1095" i="23"/>
  <c r="C1095" i="23"/>
  <c r="D1094" i="23"/>
  <c r="C1094" i="23"/>
  <c r="D1093" i="23"/>
  <c r="C1093" i="23"/>
  <c r="D1092" i="23"/>
  <c r="C1092" i="23"/>
  <c r="D1091" i="23"/>
  <c r="C1091" i="23"/>
  <c r="D1090" i="23"/>
  <c r="C1090" i="23"/>
  <c r="D1089" i="23"/>
  <c r="C1089" i="23"/>
  <c r="D1088" i="23"/>
  <c r="C1088" i="23"/>
  <c r="D1087" i="23"/>
  <c r="C1087" i="23"/>
  <c r="D1086" i="23"/>
  <c r="C1086" i="23"/>
  <c r="D1085" i="23"/>
  <c r="C1085" i="23"/>
  <c r="D1084" i="23"/>
  <c r="C1084" i="23"/>
  <c r="D1083" i="23"/>
  <c r="C1083" i="23"/>
  <c r="D1082" i="23"/>
  <c r="C1082" i="23"/>
  <c r="D1081" i="23"/>
  <c r="C1081" i="23"/>
  <c r="D1080" i="23"/>
  <c r="C1080" i="23"/>
  <c r="D1079" i="23"/>
  <c r="C1079" i="23"/>
  <c r="D1078" i="23"/>
  <c r="C1078" i="23"/>
  <c r="D1077" i="23"/>
  <c r="C1077" i="23"/>
  <c r="D1076" i="23"/>
  <c r="C1076" i="23"/>
  <c r="D1075" i="23"/>
  <c r="C1075" i="23"/>
  <c r="D1074" i="23"/>
  <c r="C1074" i="23"/>
  <c r="D1073" i="23"/>
  <c r="C1073" i="23"/>
  <c r="D1072" i="23"/>
  <c r="C1072" i="23"/>
  <c r="D1071" i="23"/>
  <c r="C1071" i="23"/>
  <c r="D1070" i="23"/>
  <c r="C1070" i="23"/>
  <c r="D1069" i="23"/>
  <c r="C1069" i="23"/>
  <c r="D1068" i="23"/>
  <c r="C1068" i="23"/>
  <c r="D1067" i="23"/>
  <c r="C1067" i="23"/>
  <c r="D1066" i="23"/>
  <c r="C1066" i="23"/>
  <c r="D1065" i="23"/>
  <c r="C1065" i="23"/>
  <c r="D1064" i="23"/>
  <c r="C1064" i="23"/>
  <c r="D1063" i="23"/>
  <c r="C1063" i="23"/>
  <c r="D1062" i="23"/>
  <c r="C1062" i="23"/>
  <c r="D1061" i="23"/>
  <c r="C1061" i="23"/>
  <c r="D1060" i="23"/>
  <c r="C1060" i="23"/>
  <c r="D1059" i="23"/>
  <c r="C1059" i="23"/>
  <c r="D1058" i="23"/>
  <c r="C1058" i="23"/>
  <c r="D1057" i="23"/>
  <c r="C1057" i="23"/>
  <c r="D1056" i="23"/>
  <c r="C1056" i="23"/>
  <c r="D1055" i="23"/>
  <c r="C1055" i="23"/>
  <c r="D1054" i="23"/>
  <c r="C1054" i="23"/>
  <c r="D1053" i="23"/>
  <c r="C1053" i="23"/>
  <c r="D1052" i="23"/>
  <c r="C1052" i="23"/>
  <c r="D1051" i="23"/>
  <c r="C1051" i="23"/>
  <c r="D1050" i="23"/>
  <c r="C1050" i="23"/>
  <c r="D1049" i="23"/>
  <c r="C1049" i="23"/>
  <c r="D1048" i="23"/>
  <c r="C1048" i="23"/>
  <c r="D1047" i="23"/>
  <c r="C1047" i="23"/>
  <c r="D1046" i="23"/>
  <c r="C1046" i="23"/>
  <c r="D1045" i="23"/>
  <c r="C1045" i="23"/>
  <c r="D1044" i="23"/>
  <c r="C1044" i="23"/>
  <c r="D1043" i="23"/>
  <c r="C1043" i="23"/>
  <c r="D1042" i="23"/>
  <c r="C1042" i="23"/>
  <c r="D1041" i="23"/>
  <c r="C1041" i="23"/>
  <c r="D1040" i="23"/>
  <c r="C1040" i="23"/>
  <c r="D1039" i="23"/>
  <c r="C1039" i="23"/>
  <c r="D1038" i="23"/>
  <c r="C1038" i="23"/>
  <c r="D1037" i="23"/>
  <c r="C1037" i="23"/>
  <c r="D1036" i="23"/>
  <c r="C1036" i="23"/>
  <c r="D1035" i="23"/>
  <c r="C1035" i="23"/>
  <c r="D1034" i="23"/>
  <c r="C1034" i="23"/>
  <c r="D1033" i="23"/>
  <c r="C1033" i="23"/>
  <c r="D1032" i="23"/>
  <c r="C1032" i="23"/>
  <c r="D1031" i="23"/>
  <c r="C1031" i="23"/>
  <c r="D1030" i="23"/>
  <c r="C1030" i="23"/>
  <c r="D1029" i="23"/>
  <c r="C1029" i="23"/>
  <c r="D1028" i="23"/>
  <c r="C1028" i="23"/>
  <c r="D1027" i="23"/>
  <c r="C1027" i="23"/>
  <c r="D1026" i="23"/>
  <c r="C1026" i="23"/>
  <c r="D1025" i="23"/>
  <c r="C1025" i="23"/>
  <c r="D1024" i="23"/>
  <c r="C1024" i="23"/>
  <c r="D1023" i="23"/>
  <c r="C1023" i="23"/>
  <c r="D1022" i="23"/>
  <c r="C1022" i="23"/>
  <c r="D1021" i="23"/>
  <c r="C1021" i="23"/>
  <c r="D1020" i="23"/>
  <c r="C1020" i="23"/>
  <c r="D1019" i="23"/>
  <c r="C1019" i="23"/>
  <c r="D1018" i="23"/>
  <c r="C1018" i="23"/>
  <c r="D1017" i="23"/>
  <c r="C1017" i="23"/>
  <c r="D1016" i="23"/>
  <c r="C1016" i="23"/>
  <c r="D1015" i="23"/>
  <c r="C1015" i="23"/>
  <c r="D1014" i="23"/>
  <c r="C1014" i="23"/>
  <c r="D1013" i="23"/>
  <c r="C1013" i="23"/>
  <c r="D1012" i="23"/>
  <c r="C1012" i="23"/>
  <c r="D1011" i="23"/>
  <c r="C1011" i="23"/>
  <c r="D1010" i="23"/>
  <c r="C1010" i="23"/>
  <c r="D1009" i="23"/>
  <c r="C1009" i="23"/>
  <c r="D1008" i="23"/>
  <c r="C1008" i="23"/>
  <c r="D1007" i="23"/>
  <c r="C1007" i="23"/>
  <c r="D1006" i="23"/>
  <c r="C1006" i="23"/>
  <c r="D1005" i="23"/>
  <c r="C1005" i="23"/>
  <c r="D1004" i="23"/>
  <c r="C1004" i="23"/>
  <c r="D1003" i="23"/>
  <c r="C1003" i="23"/>
  <c r="D1002" i="23"/>
  <c r="C1002" i="23"/>
  <c r="D1001" i="23"/>
  <c r="C1001" i="23"/>
  <c r="D1000" i="23"/>
  <c r="C1000" i="23"/>
  <c r="D999" i="23"/>
  <c r="C999" i="23"/>
  <c r="D998" i="23"/>
  <c r="C998" i="23"/>
  <c r="D997" i="23"/>
  <c r="C997" i="23"/>
  <c r="D996" i="23"/>
  <c r="C996" i="23"/>
  <c r="D995" i="23"/>
  <c r="C995" i="23"/>
  <c r="D994" i="23"/>
  <c r="C994" i="23"/>
  <c r="D993" i="23"/>
  <c r="C993" i="23"/>
  <c r="D992" i="23"/>
  <c r="C992" i="23"/>
  <c r="D991" i="23"/>
  <c r="C991" i="23"/>
  <c r="D990" i="23"/>
  <c r="C990" i="23"/>
  <c r="D989" i="23"/>
  <c r="C989" i="23"/>
  <c r="D988" i="23"/>
  <c r="C988" i="23"/>
  <c r="D987" i="23"/>
  <c r="C987" i="23"/>
  <c r="D986" i="23"/>
  <c r="C986" i="23"/>
  <c r="D985" i="23"/>
  <c r="C985" i="23"/>
  <c r="D984" i="23"/>
  <c r="C984" i="23"/>
  <c r="D983" i="23"/>
  <c r="C983" i="23"/>
  <c r="D982" i="23"/>
  <c r="C982" i="23"/>
  <c r="D981" i="23"/>
  <c r="C981" i="23"/>
  <c r="D980" i="23"/>
  <c r="C980" i="23"/>
  <c r="D979" i="23"/>
  <c r="C979" i="23"/>
  <c r="D978" i="23"/>
  <c r="C978" i="23"/>
  <c r="D977" i="23"/>
  <c r="C977" i="23"/>
  <c r="D976" i="23"/>
  <c r="C976" i="23"/>
  <c r="D975" i="23"/>
  <c r="C975" i="23"/>
  <c r="D974" i="23"/>
  <c r="C974" i="23"/>
  <c r="D973" i="23"/>
  <c r="C973" i="23"/>
  <c r="D972" i="23"/>
  <c r="C972" i="23"/>
  <c r="D971" i="23"/>
  <c r="C971" i="23"/>
  <c r="D970" i="23"/>
  <c r="C970" i="23"/>
  <c r="D969" i="23"/>
  <c r="C969" i="23"/>
  <c r="D968" i="23"/>
  <c r="C968" i="23"/>
  <c r="D967" i="23"/>
  <c r="C967" i="23"/>
  <c r="D966" i="23"/>
  <c r="C966" i="23"/>
  <c r="D965" i="23"/>
  <c r="C965" i="23"/>
  <c r="D964" i="23"/>
  <c r="C964" i="23"/>
  <c r="D963" i="23"/>
  <c r="C963" i="23"/>
  <c r="D962" i="23"/>
  <c r="C962" i="23"/>
  <c r="D961" i="23"/>
  <c r="C961" i="23"/>
  <c r="D960" i="23"/>
  <c r="C960" i="23"/>
  <c r="D959" i="23"/>
  <c r="C959" i="23"/>
  <c r="D958" i="23"/>
  <c r="C958" i="23"/>
  <c r="D957" i="23"/>
  <c r="C957" i="23"/>
  <c r="D956" i="23"/>
  <c r="C956" i="23"/>
  <c r="D955" i="23"/>
  <c r="C955" i="23"/>
  <c r="D954" i="23"/>
  <c r="C954" i="23"/>
  <c r="D953" i="23"/>
  <c r="C953" i="23"/>
  <c r="D952" i="23"/>
  <c r="C952" i="23"/>
  <c r="D951" i="23"/>
  <c r="C951" i="23"/>
  <c r="D950" i="23"/>
  <c r="C950" i="23"/>
  <c r="D949" i="23"/>
  <c r="C949" i="23"/>
  <c r="D948" i="23"/>
  <c r="C948" i="23"/>
  <c r="D947" i="23"/>
  <c r="C947" i="23"/>
  <c r="D946" i="23"/>
  <c r="C946" i="23"/>
  <c r="D945" i="23"/>
  <c r="C945" i="23"/>
  <c r="D944" i="23"/>
  <c r="C944" i="23"/>
  <c r="D943" i="23"/>
  <c r="C943" i="23"/>
  <c r="D942" i="23"/>
  <c r="C942" i="23"/>
  <c r="D941" i="23"/>
  <c r="C941" i="23"/>
  <c r="D940" i="23"/>
  <c r="C940" i="23"/>
  <c r="D939" i="23"/>
  <c r="C939" i="23"/>
  <c r="D938" i="23"/>
  <c r="C938" i="23"/>
  <c r="D937" i="23"/>
  <c r="C937" i="23"/>
  <c r="D936" i="23"/>
  <c r="C936" i="23"/>
  <c r="D935" i="23"/>
  <c r="C935" i="23"/>
  <c r="D934" i="23"/>
  <c r="C934" i="23"/>
  <c r="D933" i="23"/>
  <c r="C933" i="23"/>
  <c r="D932" i="23"/>
  <c r="C932" i="23"/>
  <c r="D931" i="23"/>
  <c r="C931" i="23"/>
  <c r="D930" i="23"/>
  <c r="C930" i="23"/>
  <c r="D929" i="23"/>
  <c r="C929" i="23"/>
  <c r="D928" i="23"/>
  <c r="C928" i="23"/>
  <c r="D927" i="23"/>
  <c r="C927" i="23"/>
  <c r="D926" i="23"/>
  <c r="C926" i="23"/>
  <c r="D925" i="23"/>
  <c r="C925" i="23"/>
  <c r="D924" i="23"/>
  <c r="C924" i="23"/>
  <c r="D923" i="23"/>
  <c r="C923" i="23"/>
  <c r="D922" i="23"/>
  <c r="C922" i="23"/>
  <c r="D921" i="23"/>
  <c r="C921" i="23"/>
  <c r="D920" i="23"/>
  <c r="C920" i="23"/>
  <c r="D919" i="23"/>
  <c r="C919" i="23"/>
  <c r="D918" i="23"/>
  <c r="C918" i="23"/>
  <c r="D917" i="23"/>
  <c r="C917" i="23"/>
  <c r="D916" i="23"/>
  <c r="C916" i="23"/>
  <c r="D915" i="23"/>
  <c r="C915" i="23"/>
  <c r="D914" i="23"/>
  <c r="C914" i="23"/>
  <c r="D913" i="23"/>
  <c r="C913" i="23"/>
  <c r="D912" i="23"/>
  <c r="C912" i="23"/>
  <c r="D911" i="23"/>
  <c r="C911" i="23"/>
  <c r="D910" i="23"/>
  <c r="C910" i="23"/>
  <c r="D909" i="23"/>
  <c r="C909" i="23"/>
  <c r="D908" i="23"/>
  <c r="C908" i="23"/>
  <c r="D907" i="23"/>
  <c r="C907" i="23"/>
  <c r="D906" i="23"/>
  <c r="C906" i="23"/>
  <c r="D905" i="23"/>
  <c r="C905" i="23"/>
  <c r="D904" i="23"/>
  <c r="C904" i="23"/>
  <c r="D903" i="23"/>
  <c r="C903" i="23"/>
  <c r="D902" i="23"/>
  <c r="C902" i="23"/>
  <c r="D901" i="23"/>
  <c r="C901" i="23"/>
  <c r="D900" i="23"/>
  <c r="C900" i="23"/>
  <c r="D899" i="23"/>
  <c r="C899" i="23"/>
  <c r="D898" i="23"/>
  <c r="C898" i="23"/>
  <c r="D897" i="23"/>
  <c r="C897" i="23"/>
  <c r="D896" i="23"/>
  <c r="C896" i="23"/>
  <c r="D895" i="23"/>
  <c r="C895" i="23"/>
  <c r="D894" i="23"/>
  <c r="C894" i="23"/>
  <c r="D893" i="23"/>
  <c r="C893" i="23"/>
  <c r="D892" i="23"/>
  <c r="C892" i="23"/>
  <c r="D891" i="23"/>
  <c r="C891" i="23"/>
  <c r="D890" i="23"/>
  <c r="C890" i="23"/>
  <c r="D889" i="23"/>
  <c r="C889" i="23"/>
  <c r="D888" i="23"/>
  <c r="C888" i="23"/>
  <c r="D887" i="23"/>
  <c r="C887" i="23"/>
  <c r="D886" i="23"/>
  <c r="C886" i="23"/>
  <c r="D885" i="23"/>
  <c r="C885" i="23"/>
  <c r="D884" i="23"/>
  <c r="C884" i="23"/>
  <c r="D883" i="23"/>
  <c r="C883" i="23"/>
  <c r="D882" i="23"/>
  <c r="C882" i="23"/>
  <c r="D881" i="23"/>
  <c r="C881" i="23"/>
  <c r="D880" i="23"/>
  <c r="C880" i="23"/>
  <c r="D879" i="23"/>
  <c r="C879" i="23"/>
  <c r="D878" i="23"/>
  <c r="C878" i="23"/>
  <c r="D877" i="23"/>
  <c r="C877" i="23"/>
  <c r="D876" i="23"/>
  <c r="C876" i="23"/>
  <c r="D875" i="23"/>
  <c r="C875" i="23"/>
  <c r="D874" i="23"/>
  <c r="C874" i="23"/>
  <c r="D873" i="23"/>
  <c r="C873" i="23"/>
  <c r="D872" i="23"/>
  <c r="C872" i="23"/>
  <c r="D871" i="23"/>
  <c r="C871" i="23"/>
  <c r="D870" i="23"/>
  <c r="C870" i="23"/>
  <c r="D869" i="23"/>
  <c r="C869" i="23"/>
  <c r="D868" i="23"/>
  <c r="C868" i="23"/>
  <c r="D867" i="23"/>
  <c r="C867" i="23"/>
  <c r="D866" i="23"/>
  <c r="C866" i="23"/>
  <c r="D865" i="23"/>
  <c r="C865" i="23"/>
  <c r="D864" i="23"/>
  <c r="C864" i="23"/>
  <c r="D863" i="23"/>
  <c r="C863" i="23"/>
  <c r="D862" i="23"/>
  <c r="C862" i="23"/>
  <c r="D861" i="23"/>
  <c r="C861" i="23"/>
  <c r="D860" i="23"/>
  <c r="C860" i="23"/>
  <c r="D859" i="23"/>
  <c r="C859" i="23"/>
  <c r="D858" i="23"/>
  <c r="C858" i="23"/>
  <c r="D857" i="23"/>
  <c r="C857" i="23"/>
  <c r="D856" i="23"/>
  <c r="C856" i="23"/>
  <c r="D855" i="23"/>
  <c r="C855" i="23"/>
  <c r="D854" i="23"/>
  <c r="C854" i="23"/>
  <c r="D853" i="23"/>
  <c r="C853" i="23"/>
  <c r="D852" i="23"/>
  <c r="C852" i="23"/>
  <c r="D851" i="23"/>
  <c r="C851" i="23"/>
  <c r="D850" i="23"/>
  <c r="C850" i="23"/>
  <c r="D849" i="23"/>
  <c r="C849" i="23"/>
  <c r="D848" i="23"/>
  <c r="C848" i="23"/>
  <c r="D847" i="23"/>
  <c r="C847" i="23"/>
  <c r="D846" i="23"/>
  <c r="C846" i="23"/>
  <c r="D845" i="23"/>
  <c r="C845" i="23"/>
  <c r="D844" i="23"/>
  <c r="C844" i="23"/>
  <c r="D843" i="23"/>
  <c r="C843" i="23"/>
  <c r="D842" i="23"/>
  <c r="C842" i="23"/>
  <c r="D841" i="23"/>
  <c r="C841" i="23"/>
  <c r="D840" i="23"/>
  <c r="C840" i="23"/>
  <c r="D839" i="23"/>
  <c r="C839" i="23"/>
  <c r="D838" i="23"/>
  <c r="C838" i="23"/>
  <c r="D837" i="23"/>
  <c r="C837" i="23"/>
  <c r="D836" i="23"/>
  <c r="C836" i="23"/>
  <c r="D835" i="23"/>
  <c r="C835" i="23"/>
  <c r="D834" i="23"/>
  <c r="C834" i="23"/>
  <c r="D833" i="23"/>
  <c r="C833" i="23"/>
  <c r="D832" i="23"/>
  <c r="C832" i="23"/>
  <c r="D831" i="23"/>
  <c r="C831" i="23"/>
  <c r="D830" i="23"/>
  <c r="C830" i="23"/>
  <c r="D829" i="23"/>
  <c r="C829" i="23"/>
  <c r="D828" i="23"/>
  <c r="C828" i="23"/>
  <c r="D827" i="23"/>
  <c r="C827" i="23"/>
  <c r="D826" i="23"/>
  <c r="C826" i="23"/>
  <c r="D825" i="23"/>
  <c r="C825" i="23"/>
  <c r="D824" i="23"/>
  <c r="C824" i="23"/>
  <c r="D823" i="23"/>
  <c r="C823" i="23"/>
  <c r="D822" i="23"/>
  <c r="C822" i="23"/>
  <c r="D821" i="23"/>
  <c r="C821" i="23"/>
  <c r="D820" i="23"/>
  <c r="C820" i="23"/>
  <c r="D819" i="23"/>
  <c r="C819" i="23"/>
  <c r="D818" i="23"/>
  <c r="C818" i="23"/>
  <c r="D817" i="23"/>
  <c r="C817" i="23"/>
  <c r="D816" i="23"/>
  <c r="C816" i="23"/>
  <c r="D815" i="23"/>
  <c r="C815" i="23"/>
  <c r="D814" i="23"/>
  <c r="C814" i="23"/>
  <c r="D813" i="23"/>
  <c r="C813" i="23"/>
  <c r="D812" i="23"/>
  <c r="C812" i="23"/>
  <c r="D811" i="23"/>
  <c r="C811" i="23"/>
  <c r="D810" i="23"/>
  <c r="C810" i="23"/>
  <c r="D809" i="23"/>
  <c r="C809" i="23"/>
  <c r="D808" i="23"/>
  <c r="C808" i="23"/>
  <c r="D807" i="23"/>
  <c r="C807" i="23"/>
  <c r="D806" i="23"/>
  <c r="C806" i="23"/>
  <c r="D805" i="23"/>
  <c r="C805" i="23"/>
  <c r="D804" i="23"/>
  <c r="C804" i="23"/>
  <c r="D803" i="23"/>
  <c r="C803" i="23"/>
  <c r="D802" i="23"/>
  <c r="C802" i="23"/>
  <c r="D801" i="23"/>
  <c r="C801" i="23"/>
  <c r="D800" i="23"/>
  <c r="C800" i="23"/>
  <c r="D799" i="23"/>
  <c r="C799" i="23"/>
  <c r="D798" i="23"/>
  <c r="C798" i="23"/>
  <c r="D797" i="23"/>
  <c r="C797" i="23"/>
  <c r="D796" i="23"/>
  <c r="C796" i="23"/>
  <c r="D795" i="23"/>
  <c r="C795" i="23"/>
  <c r="D794" i="23"/>
  <c r="C794" i="23"/>
  <c r="D793" i="23"/>
  <c r="C793" i="23"/>
  <c r="D792" i="23"/>
  <c r="C792" i="23"/>
  <c r="D791" i="23"/>
  <c r="C791" i="23"/>
  <c r="D790" i="23"/>
  <c r="C790" i="23"/>
  <c r="D789" i="23"/>
  <c r="C789" i="23"/>
  <c r="D788" i="23"/>
  <c r="C788" i="23"/>
  <c r="D787" i="23"/>
  <c r="C787" i="23"/>
  <c r="D786" i="23"/>
  <c r="C786" i="23"/>
  <c r="D785" i="23"/>
  <c r="C785" i="23"/>
  <c r="D784" i="23"/>
  <c r="C784" i="23"/>
  <c r="D783" i="23"/>
  <c r="C783" i="23"/>
  <c r="D782" i="23"/>
  <c r="C782" i="23"/>
  <c r="D781" i="23"/>
  <c r="C781" i="23"/>
  <c r="D780" i="23"/>
  <c r="C780" i="23"/>
  <c r="D779" i="23"/>
  <c r="C779" i="23"/>
  <c r="D778" i="23"/>
  <c r="C778" i="23"/>
  <c r="D777" i="23"/>
  <c r="C777" i="23"/>
  <c r="D776" i="23"/>
  <c r="C776" i="23"/>
  <c r="D775" i="23"/>
  <c r="C775" i="23"/>
  <c r="D774" i="23"/>
  <c r="C774" i="23"/>
  <c r="D773" i="23"/>
  <c r="C773" i="23"/>
  <c r="D772" i="23"/>
  <c r="C772" i="23"/>
  <c r="D771" i="23"/>
  <c r="C771" i="23"/>
  <c r="D770" i="23"/>
  <c r="C770" i="23"/>
  <c r="D769" i="23"/>
  <c r="C769" i="23"/>
  <c r="D768" i="23"/>
  <c r="C768" i="23"/>
  <c r="D767" i="23"/>
  <c r="C767" i="23"/>
  <c r="D766" i="23"/>
  <c r="C766" i="23"/>
  <c r="D765" i="23"/>
  <c r="C765" i="23"/>
  <c r="D764" i="23"/>
  <c r="C764" i="23"/>
  <c r="D763" i="23"/>
  <c r="C763" i="23"/>
  <c r="D762" i="23"/>
  <c r="C762" i="23"/>
  <c r="D761" i="23"/>
  <c r="C761" i="23"/>
  <c r="D760" i="23"/>
  <c r="C760" i="23"/>
  <c r="D759" i="23"/>
  <c r="C759" i="23"/>
  <c r="D758" i="23"/>
  <c r="C758" i="23"/>
  <c r="D757" i="23"/>
  <c r="C757" i="23"/>
  <c r="D756" i="23"/>
  <c r="C756" i="23"/>
  <c r="D755" i="23"/>
  <c r="C755" i="23"/>
  <c r="D754" i="23"/>
  <c r="C754" i="23"/>
  <c r="D753" i="23"/>
  <c r="C753" i="23"/>
  <c r="D752" i="23"/>
  <c r="C752" i="23"/>
  <c r="D751" i="23"/>
  <c r="C751" i="23"/>
  <c r="D750" i="23"/>
  <c r="C750" i="23"/>
  <c r="D749" i="23"/>
  <c r="C749" i="23"/>
  <c r="D748" i="23"/>
  <c r="C748" i="23"/>
  <c r="D747" i="23"/>
  <c r="C747" i="23"/>
  <c r="D746" i="23"/>
  <c r="C746" i="23"/>
  <c r="D745" i="23"/>
  <c r="C745" i="23"/>
  <c r="D744" i="23"/>
  <c r="C744" i="23"/>
  <c r="D743" i="23"/>
  <c r="C743" i="23"/>
  <c r="D742" i="23"/>
  <c r="C742" i="23"/>
  <c r="D741" i="23"/>
  <c r="C741" i="23"/>
  <c r="D740" i="23"/>
  <c r="C740" i="23"/>
  <c r="D739" i="23"/>
  <c r="C739" i="23"/>
  <c r="D738" i="23"/>
  <c r="C738" i="23"/>
  <c r="D737" i="23"/>
  <c r="C737" i="23"/>
  <c r="D736" i="23"/>
  <c r="C736" i="23"/>
  <c r="D735" i="23"/>
  <c r="C735" i="23"/>
  <c r="D734" i="23"/>
  <c r="C734" i="23"/>
  <c r="D733" i="23"/>
  <c r="C733" i="23"/>
  <c r="D732" i="23"/>
  <c r="C732" i="23"/>
  <c r="D731" i="23"/>
  <c r="C731" i="23"/>
  <c r="D730" i="23"/>
  <c r="C730" i="23"/>
  <c r="D729" i="23"/>
  <c r="C729" i="23"/>
  <c r="D728" i="23"/>
  <c r="C728" i="23"/>
  <c r="D727" i="23"/>
  <c r="C727" i="23"/>
  <c r="D726" i="23"/>
  <c r="C726" i="23"/>
  <c r="D725" i="23"/>
  <c r="C725" i="23"/>
  <c r="D724" i="23"/>
  <c r="C724" i="23"/>
  <c r="D723" i="23"/>
  <c r="C723" i="23"/>
  <c r="D722" i="23"/>
  <c r="C722" i="23"/>
  <c r="D721" i="23"/>
  <c r="C721" i="23"/>
  <c r="D720" i="23"/>
  <c r="C720" i="23"/>
  <c r="D719" i="23"/>
  <c r="C719" i="23"/>
  <c r="D718" i="23"/>
  <c r="C718" i="23"/>
  <c r="D717" i="23"/>
  <c r="C717" i="23"/>
  <c r="D716" i="23"/>
  <c r="C716" i="23"/>
  <c r="D715" i="23"/>
  <c r="C715" i="23"/>
  <c r="D714" i="23"/>
  <c r="C714" i="23"/>
  <c r="D713" i="23"/>
  <c r="C713" i="23"/>
  <c r="D712" i="23"/>
  <c r="C712" i="23"/>
  <c r="D711" i="23"/>
  <c r="C711" i="23"/>
  <c r="D710" i="23"/>
  <c r="C710" i="23"/>
  <c r="D709" i="23"/>
  <c r="C709" i="23"/>
  <c r="D708" i="23"/>
  <c r="C708" i="23"/>
  <c r="D707" i="23"/>
  <c r="C707" i="23"/>
  <c r="D706" i="23"/>
  <c r="C706" i="23"/>
  <c r="D705" i="23"/>
  <c r="C705" i="23"/>
  <c r="D704" i="23"/>
  <c r="C704" i="23"/>
  <c r="D703" i="23"/>
  <c r="C703" i="23"/>
  <c r="D702" i="23"/>
  <c r="C702" i="23"/>
  <c r="D701" i="23"/>
  <c r="C701" i="23"/>
  <c r="D700" i="23"/>
  <c r="C700" i="23"/>
  <c r="D699" i="23"/>
  <c r="C699" i="23"/>
  <c r="D698" i="23"/>
  <c r="C698" i="23"/>
  <c r="D697" i="23"/>
  <c r="C697" i="23"/>
  <c r="D696" i="23"/>
  <c r="C696" i="23"/>
  <c r="D695" i="23"/>
  <c r="C695" i="23"/>
  <c r="D694" i="23"/>
  <c r="C694" i="23"/>
  <c r="D693" i="23"/>
  <c r="C693" i="23"/>
  <c r="D692" i="23"/>
  <c r="C692" i="23"/>
  <c r="D691" i="23"/>
  <c r="C691" i="23"/>
  <c r="D690" i="23"/>
  <c r="C690" i="23"/>
  <c r="D689" i="23"/>
  <c r="C689" i="23"/>
  <c r="D688" i="23"/>
  <c r="C688" i="23"/>
  <c r="D687" i="23"/>
  <c r="C687" i="23"/>
  <c r="D686" i="23"/>
  <c r="C686" i="23"/>
  <c r="D685" i="23"/>
  <c r="C685" i="23"/>
  <c r="D684" i="23"/>
  <c r="C684" i="23"/>
  <c r="D683" i="23"/>
  <c r="C683" i="23"/>
  <c r="D682" i="23"/>
  <c r="C682" i="23"/>
  <c r="D681" i="23"/>
  <c r="C681" i="23"/>
  <c r="D680" i="23"/>
  <c r="C680" i="23"/>
  <c r="D679" i="23"/>
  <c r="C679" i="23"/>
  <c r="D678" i="23"/>
  <c r="C678" i="23"/>
  <c r="D677" i="23"/>
  <c r="C677" i="23"/>
  <c r="D676" i="23"/>
  <c r="C676" i="23"/>
  <c r="D675" i="23"/>
  <c r="C675" i="23"/>
  <c r="D674" i="23"/>
  <c r="C674" i="23"/>
  <c r="D673" i="23"/>
  <c r="C673" i="23"/>
  <c r="D672" i="23"/>
  <c r="C672" i="23"/>
  <c r="D671" i="23"/>
  <c r="C671" i="23"/>
  <c r="D670" i="23"/>
  <c r="C670" i="23"/>
  <c r="D669" i="23"/>
  <c r="C669" i="23"/>
  <c r="D668" i="23"/>
  <c r="C668" i="23"/>
  <c r="D667" i="23"/>
  <c r="C667" i="23"/>
  <c r="D666" i="23"/>
  <c r="C666" i="23"/>
  <c r="D665" i="23"/>
  <c r="C665" i="23"/>
  <c r="D664" i="23"/>
  <c r="C664" i="23"/>
  <c r="D663" i="23"/>
  <c r="C663" i="23"/>
  <c r="D662" i="23"/>
  <c r="C662" i="23"/>
  <c r="D661" i="23"/>
  <c r="C661" i="23"/>
  <c r="D660" i="23"/>
  <c r="C660" i="23"/>
  <c r="D659" i="23"/>
  <c r="C659" i="23"/>
  <c r="D658" i="23"/>
  <c r="C658" i="23"/>
  <c r="D657" i="23"/>
  <c r="C657" i="23"/>
  <c r="D656" i="23"/>
  <c r="C656" i="23"/>
  <c r="D655" i="23"/>
  <c r="C655" i="23"/>
  <c r="D654" i="23"/>
  <c r="C654" i="23"/>
  <c r="D653" i="23"/>
  <c r="C653" i="23"/>
  <c r="D652" i="23"/>
  <c r="C652" i="23"/>
  <c r="D651" i="23"/>
  <c r="C651" i="23"/>
  <c r="D650" i="23"/>
  <c r="C650" i="23"/>
  <c r="D649" i="23"/>
  <c r="C649" i="23"/>
  <c r="D648" i="23"/>
  <c r="C648" i="23"/>
  <c r="D647" i="23"/>
  <c r="C647" i="23"/>
  <c r="D646" i="23"/>
  <c r="C646" i="23"/>
  <c r="D645" i="23"/>
  <c r="C645" i="23"/>
  <c r="D644" i="23"/>
  <c r="C644" i="23"/>
  <c r="D643" i="23"/>
  <c r="C643" i="23"/>
  <c r="D642" i="23"/>
  <c r="C642" i="23"/>
  <c r="D641" i="23"/>
  <c r="C641" i="23"/>
  <c r="D640" i="23"/>
  <c r="C640" i="23"/>
  <c r="D639" i="23"/>
  <c r="C639" i="23"/>
  <c r="D638" i="23"/>
  <c r="C638" i="23"/>
  <c r="D637" i="23"/>
  <c r="C637" i="23"/>
  <c r="D636" i="23"/>
  <c r="C636" i="23"/>
  <c r="D635" i="23"/>
  <c r="C635" i="23"/>
  <c r="D634" i="23"/>
  <c r="C634" i="23"/>
  <c r="D633" i="23"/>
  <c r="C633" i="23"/>
  <c r="D632" i="23"/>
  <c r="C632" i="23"/>
  <c r="D631" i="23"/>
  <c r="C631" i="23"/>
  <c r="D630" i="23"/>
  <c r="C630" i="23"/>
  <c r="D629" i="23"/>
  <c r="C629" i="23"/>
  <c r="D628" i="23"/>
  <c r="C628" i="23"/>
  <c r="D627" i="23"/>
  <c r="C627" i="23"/>
  <c r="D626" i="23"/>
  <c r="C626" i="23"/>
  <c r="D625" i="23"/>
  <c r="C625" i="23"/>
  <c r="D624" i="23"/>
  <c r="C624" i="23"/>
  <c r="D623" i="23"/>
  <c r="C623" i="23"/>
  <c r="D622" i="23"/>
  <c r="C622" i="23"/>
  <c r="D621" i="23"/>
  <c r="C621" i="23"/>
  <c r="D620" i="23"/>
  <c r="C620" i="23"/>
  <c r="D619" i="23"/>
  <c r="C619" i="23"/>
  <c r="D618" i="23"/>
  <c r="C618" i="23"/>
  <c r="D617" i="23"/>
  <c r="C617" i="23"/>
  <c r="D616" i="23"/>
  <c r="C616" i="23"/>
  <c r="D615" i="23"/>
  <c r="C615" i="23"/>
  <c r="D614" i="23"/>
  <c r="C614" i="23"/>
  <c r="D613" i="23"/>
  <c r="C613" i="23"/>
  <c r="D612" i="23"/>
  <c r="C612" i="23"/>
  <c r="D611" i="23"/>
  <c r="C611" i="23"/>
  <c r="D610" i="23"/>
  <c r="C610" i="23"/>
  <c r="D609" i="23"/>
  <c r="C609" i="23"/>
  <c r="D608" i="23"/>
  <c r="C608" i="23"/>
  <c r="D607" i="23"/>
  <c r="C607" i="23"/>
  <c r="D606" i="23"/>
  <c r="C606" i="23"/>
  <c r="D605" i="23"/>
  <c r="C605" i="23"/>
  <c r="D604" i="23"/>
  <c r="C604" i="23"/>
  <c r="D603" i="23"/>
  <c r="C603" i="23"/>
  <c r="D602" i="23"/>
  <c r="C602" i="23"/>
  <c r="D601" i="23"/>
  <c r="C601" i="23"/>
  <c r="D600" i="23"/>
  <c r="C600" i="23"/>
  <c r="D599" i="23"/>
  <c r="C599" i="23"/>
  <c r="D598" i="23"/>
  <c r="C598" i="23"/>
  <c r="D597" i="23"/>
  <c r="C597" i="23"/>
  <c r="D596" i="23"/>
  <c r="C596" i="23"/>
  <c r="D595" i="23"/>
  <c r="C595" i="23"/>
  <c r="D594" i="23"/>
  <c r="C594" i="23"/>
  <c r="D593" i="23"/>
  <c r="C593" i="23"/>
  <c r="D592" i="23"/>
  <c r="C592" i="23"/>
  <c r="D591" i="23"/>
  <c r="C591" i="23"/>
  <c r="D590" i="23"/>
  <c r="C590" i="23"/>
  <c r="D589" i="23"/>
  <c r="C589" i="23"/>
  <c r="D588" i="23"/>
  <c r="C588" i="23"/>
  <c r="D587" i="23"/>
  <c r="C587" i="23"/>
  <c r="D586" i="23"/>
  <c r="C586" i="23"/>
  <c r="D585" i="23"/>
  <c r="C585" i="23"/>
  <c r="D584" i="23"/>
  <c r="C584" i="23"/>
  <c r="D583" i="23"/>
  <c r="C583" i="23"/>
  <c r="D582" i="23"/>
  <c r="C582" i="23"/>
  <c r="D581" i="23"/>
  <c r="C581" i="23"/>
  <c r="D580" i="23"/>
  <c r="C580" i="23"/>
  <c r="D579" i="23"/>
  <c r="C579" i="23"/>
  <c r="D578" i="23"/>
  <c r="C578" i="23"/>
  <c r="D577" i="23"/>
  <c r="C577" i="23"/>
  <c r="D576" i="23"/>
  <c r="C576" i="23"/>
  <c r="D575" i="23"/>
  <c r="C575" i="23"/>
  <c r="D574" i="23"/>
  <c r="C574" i="23"/>
  <c r="D573" i="23"/>
  <c r="C573" i="23"/>
  <c r="D572" i="23"/>
  <c r="C572" i="23"/>
  <c r="D571" i="23"/>
  <c r="C571" i="23"/>
  <c r="D570" i="23"/>
  <c r="C570" i="23"/>
  <c r="D569" i="23"/>
  <c r="C569" i="23"/>
  <c r="D568" i="23"/>
  <c r="C568" i="23"/>
  <c r="D567" i="23"/>
  <c r="C567" i="23"/>
  <c r="D566" i="23"/>
  <c r="C566" i="23"/>
  <c r="D565" i="23"/>
  <c r="C565" i="23"/>
  <c r="D564" i="23"/>
  <c r="C564" i="23"/>
  <c r="D563" i="23"/>
  <c r="C563" i="23"/>
  <c r="D562" i="23"/>
  <c r="C562" i="23"/>
  <c r="D561" i="23"/>
  <c r="C561" i="23"/>
  <c r="D560" i="23"/>
  <c r="C560" i="23"/>
  <c r="D559" i="23"/>
  <c r="C559" i="23"/>
  <c r="D558" i="23"/>
  <c r="C558" i="23"/>
  <c r="D557" i="23"/>
  <c r="C557" i="23"/>
  <c r="D556" i="23"/>
  <c r="C556" i="23"/>
  <c r="D555" i="23"/>
  <c r="C555" i="23"/>
  <c r="D554" i="23"/>
  <c r="C554" i="23"/>
  <c r="D553" i="23"/>
  <c r="C553" i="23"/>
  <c r="D552" i="23"/>
  <c r="C552" i="23"/>
  <c r="D551" i="23"/>
  <c r="C551" i="23"/>
  <c r="D550" i="23"/>
  <c r="C550" i="23"/>
  <c r="D549" i="23"/>
  <c r="C549" i="23"/>
  <c r="D548" i="23"/>
  <c r="C548" i="23"/>
  <c r="D547" i="23"/>
  <c r="C547" i="23"/>
  <c r="D546" i="23"/>
  <c r="C546" i="23"/>
  <c r="D545" i="23"/>
  <c r="C545" i="23"/>
  <c r="D544" i="23"/>
  <c r="C544" i="23"/>
  <c r="D543" i="23"/>
  <c r="C543" i="23"/>
  <c r="D542" i="23"/>
  <c r="C542" i="23"/>
  <c r="D541" i="23"/>
  <c r="C541" i="23"/>
  <c r="D540" i="23"/>
  <c r="C540" i="23"/>
  <c r="D539" i="23"/>
  <c r="C539" i="23"/>
  <c r="D538" i="23"/>
  <c r="C538" i="23"/>
  <c r="D537" i="23"/>
  <c r="C537" i="23"/>
  <c r="D536" i="23"/>
  <c r="C536" i="23"/>
  <c r="D535" i="23"/>
  <c r="C535" i="23"/>
  <c r="D534" i="23"/>
  <c r="C534" i="23"/>
  <c r="D533" i="23"/>
  <c r="C533" i="23"/>
  <c r="D532" i="23"/>
  <c r="C532" i="23"/>
  <c r="D531" i="23"/>
  <c r="C531" i="23"/>
  <c r="D530" i="23"/>
  <c r="C530" i="23"/>
  <c r="D529" i="23"/>
  <c r="C529" i="23"/>
  <c r="D528" i="23"/>
  <c r="C528" i="23"/>
  <c r="D527" i="23"/>
  <c r="C527" i="23"/>
  <c r="D526" i="23"/>
  <c r="C526" i="23"/>
  <c r="D525" i="23"/>
  <c r="C525" i="23"/>
  <c r="D524" i="23"/>
  <c r="C524" i="23"/>
  <c r="D523" i="23"/>
  <c r="C523" i="23"/>
  <c r="D522" i="23"/>
  <c r="C522" i="23"/>
  <c r="D521" i="23"/>
  <c r="C521" i="23"/>
  <c r="D520" i="23"/>
  <c r="C520" i="23"/>
  <c r="D519" i="23"/>
  <c r="C519" i="23"/>
  <c r="D518" i="23"/>
  <c r="C518" i="23"/>
  <c r="D517" i="23"/>
  <c r="C517" i="23"/>
  <c r="D516" i="23"/>
  <c r="C516" i="23"/>
  <c r="D515" i="23"/>
  <c r="C515" i="23"/>
  <c r="D514" i="23"/>
  <c r="C514" i="23"/>
  <c r="D513" i="23"/>
  <c r="C513" i="23"/>
  <c r="D512" i="23"/>
  <c r="C512" i="23"/>
  <c r="D511" i="23"/>
  <c r="C511" i="23"/>
  <c r="D510" i="23"/>
  <c r="C510" i="23"/>
  <c r="D509" i="23"/>
  <c r="C509" i="23"/>
  <c r="D508" i="23"/>
  <c r="C508" i="23"/>
  <c r="D507" i="23"/>
  <c r="C507" i="23"/>
  <c r="D506" i="23"/>
  <c r="C506" i="23"/>
  <c r="D505" i="23"/>
  <c r="C505" i="23"/>
  <c r="D504" i="23"/>
  <c r="C504" i="23"/>
  <c r="D503" i="23"/>
  <c r="C503" i="23"/>
  <c r="D502" i="23"/>
  <c r="C502" i="23"/>
  <c r="D501" i="23"/>
  <c r="C501" i="23"/>
  <c r="D500" i="23"/>
  <c r="C500" i="23"/>
  <c r="D499" i="23"/>
  <c r="C499" i="23"/>
  <c r="D498" i="23"/>
  <c r="C498" i="23"/>
  <c r="D497" i="23"/>
  <c r="C497" i="23"/>
  <c r="D496" i="23"/>
  <c r="C496" i="23"/>
  <c r="D495" i="23"/>
  <c r="C495" i="23"/>
  <c r="D494" i="23"/>
  <c r="C494" i="23"/>
  <c r="D493" i="23"/>
  <c r="C493" i="23"/>
  <c r="D492" i="23"/>
  <c r="C492" i="23"/>
  <c r="D491" i="23"/>
  <c r="C491" i="23"/>
  <c r="D490" i="23"/>
  <c r="C490" i="23"/>
  <c r="D489" i="23"/>
  <c r="C489" i="23"/>
  <c r="D488" i="23"/>
  <c r="C488" i="23"/>
  <c r="D487" i="23"/>
  <c r="C487" i="23"/>
  <c r="D486" i="23"/>
  <c r="C486" i="23"/>
  <c r="D485" i="23"/>
  <c r="C485" i="23"/>
  <c r="D484" i="23"/>
  <c r="C484" i="23"/>
  <c r="D483" i="23"/>
  <c r="C483" i="23"/>
  <c r="D482" i="23"/>
  <c r="C482" i="23"/>
  <c r="D481" i="23"/>
  <c r="C481" i="23"/>
  <c r="D480" i="23"/>
  <c r="C480" i="23"/>
  <c r="D479" i="23"/>
  <c r="C479" i="23"/>
  <c r="D478" i="23"/>
  <c r="C478" i="23"/>
  <c r="D477" i="23"/>
  <c r="C477" i="23"/>
  <c r="D476" i="23"/>
  <c r="C476" i="23"/>
  <c r="D475" i="23"/>
  <c r="C475" i="23"/>
  <c r="D474" i="23"/>
  <c r="C474" i="23"/>
  <c r="D473" i="23"/>
  <c r="C473" i="23"/>
  <c r="D472" i="23"/>
  <c r="C472" i="23"/>
  <c r="D471" i="23"/>
  <c r="C471" i="23"/>
  <c r="D470" i="23"/>
  <c r="C470" i="23"/>
  <c r="D469" i="23"/>
  <c r="C469" i="23"/>
  <c r="D468" i="23"/>
  <c r="C468" i="23"/>
  <c r="D467" i="23"/>
  <c r="C467" i="23"/>
  <c r="D466" i="23"/>
  <c r="C466" i="23"/>
  <c r="D465" i="23"/>
  <c r="C465" i="23"/>
  <c r="D464" i="23"/>
  <c r="C464" i="23"/>
  <c r="D463" i="23"/>
  <c r="C463" i="23"/>
  <c r="D462" i="23"/>
  <c r="C462" i="23"/>
  <c r="D461" i="23"/>
  <c r="C461" i="23"/>
  <c r="D460" i="23"/>
  <c r="C460" i="23"/>
  <c r="D459" i="23"/>
  <c r="C459" i="23"/>
  <c r="D458" i="23"/>
  <c r="C458" i="23"/>
  <c r="D457" i="23"/>
  <c r="C457" i="23"/>
  <c r="D456" i="23"/>
  <c r="C456" i="23"/>
  <c r="D455" i="23"/>
  <c r="C455" i="23"/>
  <c r="D454" i="23"/>
  <c r="C454" i="23"/>
  <c r="D453" i="23"/>
  <c r="C453" i="23"/>
  <c r="D452" i="23"/>
  <c r="C452" i="23"/>
  <c r="D451" i="23"/>
  <c r="C451" i="23"/>
  <c r="D450" i="23"/>
  <c r="C450" i="23"/>
  <c r="D449" i="23"/>
  <c r="C449" i="23"/>
  <c r="D448" i="23"/>
  <c r="C448" i="23"/>
  <c r="D447" i="23"/>
  <c r="C447" i="23"/>
  <c r="D446" i="23"/>
  <c r="C446" i="23"/>
  <c r="D445" i="23"/>
  <c r="C445" i="23"/>
  <c r="D444" i="23"/>
  <c r="C444" i="23"/>
  <c r="D443" i="23"/>
  <c r="C443" i="23"/>
  <c r="D442" i="23"/>
  <c r="C442" i="23"/>
  <c r="D441" i="23"/>
  <c r="C441" i="23"/>
  <c r="D440" i="23"/>
  <c r="C440" i="23"/>
  <c r="D439" i="23"/>
  <c r="C439" i="23"/>
  <c r="D438" i="23"/>
  <c r="C438" i="23"/>
  <c r="D437" i="23"/>
  <c r="C437" i="23"/>
  <c r="D436" i="23"/>
  <c r="C436" i="23"/>
  <c r="D435" i="23"/>
  <c r="C435" i="23"/>
  <c r="D434" i="23"/>
  <c r="C434" i="23"/>
  <c r="D433" i="23"/>
  <c r="C433" i="23"/>
  <c r="D432" i="23"/>
  <c r="C432" i="23"/>
  <c r="D431" i="23"/>
  <c r="C431" i="23"/>
  <c r="D430" i="23"/>
  <c r="C430" i="23"/>
  <c r="D429" i="23"/>
  <c r="C429" i="23"/>
  <c r="D428" i="23"/>
  <c r="C428" i="23"/>
  <c r="D427" i="23"/>
  <c r="C427" i="23"/>
  <c r="D426" i="23"/>
  <c r="C426" i="23"/>
  <c r="D425" i="23"/>
  <c r="C425" i="23"/>
  <c r="D424" i="23"/>
  <c r="C424" i="23"/>
  <c r="D423" i="23"/>
  <c r="C423" i="23"/>
  <c r="D422" i="23"/>
  <c r="C422" i="23"/>
  <c r="D421" i="23"/>
  <c r="C421" i="23"/>
  <c r="D420" i="23"/>
  <c r="C420" i="23"/>
  <c r="D419" i="23"/>
  <c r="C419" i="23"/>
  <c r="D418" i="23"/>
  <c r="C418" i="23"/>
  <c r="D417" i="23"/>
  <c r="C417" i="23"/>
  <c r="D416" i="23"/>
  <c r="C416" i="23"/>
  <c r="D415" i="23"/>
  <c r="C415" i="23"/>
  <c r="D414" i="23"/>
  <c r="C414" i="23"/>
  <c r="D413" i="23"/>
  <c r="C413" i="23"/>
  <c r="D412" i="23"/>
  <c r="C412" i="23"/>
  <c r="D411" i="23"/>
  <c r="C411" i="23"/>
  <c r="D410" i="23"/>
  <c r="C410" i="23"/>
  <c r="D409" i="23"/>
  <c r="C409" i="23"/>
  <c r="D408" i="23"/>
  <c r="C408" i="23"/>
  <c r="D407" i="23"/>
  <c r="C407" i="23"/>
  <c r="D406" i="23"/>
  <c r="C406" i="23"/>
  <c r="D405" i="23"/>
  <c r="C405" i="23"/>
  <c r="D404" i="23"/>
  <c r="C404" i="23"/>
  <c r="D403" i="23"/>
  <c r="C403" i="23"/>
  <c r="D402" i="23"/>
  <c r="C402" i="23"/>
  <c r="D401" i="23"/>
  <c r="C401" i="23"/>
  <c r="D400" i="23"/>
  <c r="C400" i="23"/>
  <c r="D399" i="23"/>
  <c r="C399" i="23"/>
  <c r="D398" i="23"/>
  <c r="C398" i="23"/>
  <c r="D397" i="23"/>
  <c r="C397" i="23"/>
  <c r="D396" i="23"/>
  <c r="C396" i="23"/>
  <c r="D395" i="23"/>
  <c r="C395" i="23"/>
  <c r="D394" i="23"/>
  <c r="C394" i="23"/>
  <c r="D393" i="23"/>
  <c r="C393" i="23"/>
  <c r="D392" i="23"/>
  <c r="C392" i="23"/>
  <c r="D391" i="23"/>
  <c r="C391" i="23"/>
  <c r="D390" i="23"/>
  <c r="C390" i="23"/>
  <c r="D389" i="23"/>
  <c r="C389" i="23"/>
  <c r="D388" i="23"/>
  <c r="C388" i="23"/>
  <c r="D387" i="23"/>
  <c r="C387" i="23"/>
  <c r="D386" i="23"/>
  <c r="C386" i="23"/>
  <c r="D385" i="23"/>
  <c r="C385" i="23"/>
  <c r="D384" i="23"/>
  <c r="C384" i="23"/>
  <c r="D383" i="23"/>
  <c r="C383" i="23"/>
  <c r="D382" i="23"/>
  <c r="C382" i="23"/>
  <c r="D381" i="23"/>
  <c r="C381" i="23"/>
  <c r="D380" i="23"/>
  <c r="C380" i="23"/>
  <c r="D379" i="23"/>
  <c r="C379" i="23"/>
  <c r="D378" i="23"/>
  <c r="C378" i="23"/>
  <c r="D377" i="23"/>
  <c r="C377" i="23"/>
  <c r="D376" i="23"/>
  <c r="C376" i="23"/>
  <c r="D375" i="23"/>
  <c r="C375" i="23"/>
  <c r="D374" i="23"/>
  <c r="C374" i="23"/>
  <c r="D373" i="23"/>
  <c r="C373" i="23"/>
  <c r="D372" i="23"/>
  <c r="C372" i="23"/>
  <c r="D371" i="23"/>
  <c r="C371" i="23"/>
  <c r="D370" i="23"/>
  <c r="C370" i="23"/>
  <c r="D369" i="23"/>
  <c r="C369" i="23"/>
  <c r="D368" i="23"/>
  <c r="C368" i="23"/>
  <c r="D367" i="23"/>
  <c r="C367" i="23"/>
  <c r="D366" i="23"/>
  <c r="C366" i="23"/>
  <c r="D365" i="23"/>
  <c r="C365" i="23"/>
  <c r="D364" i="23"/>
  <c r="C364" i="23"/>
  <c r="D363" i="23"/>
  <c r="C363" i="23"/>
  <c r="D362" i="23"/>
  <c r="C362" i="23"/>
  <c r="D361" i="23"/>
  <c r="C361" i="23"/>
  <c r="D360" i="23"/>
  <c r="C360" i="23"/>
  <c r="D359" i="23"/>
  <c r="C359" i="23"/>
  <c r="D358" i="23"/>
  <c r="C358" i="23"/>
  <c r="D357" i="23"/>
  <c r="C357" i="23"/>
  <c r="D356" i="23"/>
  <c r="C356" i="23"/>
  <c r="D355" i="23"/>
  <c r="C355" i="23"/>
  <c r="D354" i="23"/>
  <c r="C354" i="23"/>
  <c r="D353" i="23"/>
  <c r="C353" i="23"/>
  <c r="D352" i="23"/>
  <c r="C352" i="23"/>
  <c r="D351" i="23"/>
  <c r="C351" i="23"/>
  <c r="D350" i="23"/>
  <c r="C350" i="23"/>
  <c r="D349" i="23"/>
  <c r="C349" i="23"/>
  <c r="D348" i="23"/>
  <c r="C348" i="23"/>
  <c r="D347" i="23"/>
  <c r="C347" i="23"/>
  <c r="D346" i="23"/>
  <c r="C346" i="23"/>
  <c r="D345" i="23"/>
  <c r="C345" i="23"/>
  <c r="D344" i="23"/>
  <c r="C344" i="23"/>
  <c r="D343" i="23"/>
  <c r="C343" i="23"/>
  <c r="D342" i="23"/>
  <c r="C342" i="23"/>
  <c r="D341" i="23"/>
  <c r="C341" i="23"/>
  <c r="D340" i="23"/>
  <c r="C340" i="23"/>
  <c r="D339" i="23"/>
  <c r="C339" i="23"/>
  <c r="D338" i="23"/>
  <c r="C338" i="23"/>
  <c r="D337" i="23"/>
  <c r="C337" i="23"/>
  <c r="D336" i="23"/>
  <c r="C336" i="23"/>
  <c r="D335" i="23"/>
  <c r="C335" i="23"/>
  <c r="D334" i="23"/>
  <c r="C334" i="23"/>
  <c r="D333" i="23"/>
  <c r="C333" i="23"/>
  <c r="D332" i="23"/>
  <c r="C332" i="23"/>
  <c r="D331" i="23"/>
  <c r="C331" i="23"/>
  <c r="D330" i="23"/>
  <c r="C330" i="23"/>
  <c r="D329" i="23"/>
  <c r="C329" i="23"/>
  <c r="D328" i="23"/>
  <c r="C328" i="23"/>
  <c r="D327" i="23"/>
  <c r="C327" i="23"/>
  <c r="D326" i="23"/>
  <c r="C326" i="23"/>
  <c r="D325" i="23"/>
  <c r="C325" i="23"/>
  <c r="D324" i="23"/>
  <c r="C324" i="23"/>
  <c r="D323" i="23"/>
  <c r="C323" i="23"/>
  <c r="D322" i="23"/>
  <c r="C322" i="23"/>
  <c r="D321" i="23"/>
  <c r="C321" i="23"/>
  <c r="D320" i="23"/>
  <c r="C320" i="23"/>
  <c r="D319" i="23"/>
  <c r="C319" i="23"/>
  <c r="D318" i="23"/>
  <c r="C318" i="23"/>
  <c r="D317" i="23"/>
  <c r="C317" i="23"/>
  <c r="D316" i="23"/>
  <c r="C316" i="23"/>
  <c r="D315" i="23"/>
  <c r="C315" i="23"/>
  <c r="D314" i="23"/>
  <c r="C314" i="23"/>
  <c r="D313" i="23"/>
  <c r="C313" i="23"/>
  <c r="D312" i="23"/>
  <c r="C312" i="23"/>
  <c r="D311" i="23"/>
  <c r="C311" i="23"/>
  <c r="D310" i="23"/>
  <c r="C310" i="23"/>
  <c r="D309" i="23"/>
  <c r="C309" i="23"/>
  <c r="D308" i="23"/>
  <c r="C308" i="23"/>
  <c r="D307" i="23"/>
  <c r="C307" i="23"/>
  <c r="D306" i="23"/>
  <c r="C306" i="23"/>
  <c r="D305" i="23"/>
  <c r="C305" i="23"/>
  <c r="D304" i="23"/>
  <c r="C304" i="23"/>
  <c r="D303" i="23"/>
  <c r="C303" i="23"/>
  <c r="D302" i="23"/>
  <c r="C302" i="23"/>
  <c r="D301" i="23"/>
  <c r="C301" i="23"/>
  <c r="D300" i="23"/>
  <c r="C300" i="23"/>
  <c r="D299" i="23"/>
  <c r="C299" i="23"/>
  <c r="D298" i="23"/>
  <c r="C298" i="23"/>
  <c r="D297" i="23"/>
  <c r="C297" i="23"/>
  <c r="D296" i="23"/>
  <c r="C296" i="23"/>
  <c r="D295" i="23"/>
  <c r="C295" i="23"/>
  <c r="D294" i="23"/>
  <c r="C294" i="23"/>
  <c r="D293" i="23"/>
  <c r="C293" i="23"/>
  <c r="D292" i="23"/>
  <c r="C292" i="23"/>
  <c r="D291" i="23"/>
  <c r="C291" i="23"/>
  <c r="D290" i="23"/>
  <c r="C290" i="23"/>
  <c r="D289" i="23"/>
  <c r="C289" i="23"/>
  <c r="D288" i="23"/>
  <c r="C288" i="23"/>
  <c r="D287" i="23"/>
  <c r="C287" i="23"/>
  <c r="D286" i="23"/>
  <c r="C286" i="23"/>
  <c r="D285" i="23"/>
  <c r="C285" i="23"/>
  <c r="D284" i="23"/>
  <c r="C284" i="23"/>
  <c r="D283" i="23"/>
  <c r="C283" i="23"/>
  <c r="D282" i="23"/>
  <c r="C282" i="23"/>
  <c r="D281" i="23"/>
  <c r="C281" i="23"/>
  <c r="D280" i="23"/>
  <c r="C280" i="23"/>
  <c r="D279" i="23"/>
  <c r="C279" i="23"/>
  <c r="D278" i="23"/>
  <c r="C278" i="23"/>
  <c r="D277" i="23"/>
  <c r="C277" i="23"/>
  <c r="D276" i="23"/>
  <c r="C276" i="23"/>
  <c r="D275" i="23"/>
  <c r="C275" i="23"/>
  <c r="D274" i="23"/>
  <c r="C274" i="23"/>
  <c r="D273" i="23"/>
  <c r="C273" i="23"/>
  <c r="D272" i="23"/>
  <c r="C272" i="23"/>
  <c r="D271" i="23"/>
  <c r="C271" i="23"/>
  <c r="D270" i="23"/>
  <c r="C270" i="23"/>
  <c r="D269" i="23"/>
  <c r="C269" i="23"/>
  <c r="D268" i="23"/>
  <c r="C268" i="23"/>
  <c r="D267" i="23"/>
  <c r="C267" i="23"/>
  <c r="D266" i="23"/>
  <c r="C266" i="23"/>
  <c r="D265" i="23"/>
  <c r="C265" i="23"/>
  <c r="D264" i="23"/>
  <c r="C264" i="23"/>
  <c r="D263" i="23"/>
  <c r="C263" i="23"/>
  <c r="D262" i="23"/>
  <c r="C262" i="23"/>
  <c r="D261" i="23"/>
  <c r="C261" i="23"/>
  <c r="D260" i="23"/>
  <c r="C260" i="23"/>
  <c r="D259" i="23"/>
  <c r="C259" i="23"/>
  <c r="D258" i="23"/>
  <c r="C258" i="23"/>
  <c r="D257" i="23"/>
  <c r="C257" i="23"/>
  <c r="D256" i="23"/>
  <c r="C256" i="23"/>
  <c r="D255" i="23"/>
  <c r="C255" i="23"/>
  <c r="D254" i="23"/>
  <c r="C254" i="23"/>
  <c r="D253" i="23"/>
  <c r="C253" i="23"/>
  <c r="D252" i="23"/>
  <c r="C252" i="23"/>
  <c r="D251" i="23"/>
  <c r="C251" i="23"/>
  <c r="D250" i="23"/>
  <c r="C250" i="23"/>
  <c r="D249" i="23"/>
  <c r="C249" i="23"/>
  <c r="D248" i="23"/>
  <c r="C248" i="23"/>
  <c r="D247" i="23"/>
  <c r="C247" i="23"/>
  <c r="D246" i="23"/>
  <c r="C246" i="23"/>
  <c r="D245" i="23"/>
  <c r="C245" i="23"/>
  <c r="D244" i="23"/>
  <c r="C244" i="23"/>
  <c r="D243" i="23"/>
  <c r="C243" i="23"/>
  <c r="D242" i="23"/>
  <c r="C242" i="23"/>
  <c r="D241" i="23"/>
  <c r="C241" i="23"/>
  <c r="D240" i="23"/>
  <c r="C240" i="23"/>
  <c r="D239" i="23"/>
  <c r="C239" i="23"/>
  <c r="D238" i="23"/>
  <c r="C238" i="23"/>
  <c r="D237" i="23"/>
  <c r="C237" i="23"/>
  <c r="D236" i="23"/>
  <c r="C236" i="23"/>
  <c r="D235" i="23"/>
  <c r="C235" i="23"/>
  <c r="D234" i="23"/>
  <c r="C234" i="23"/>
  <c r="D233" i="23"/>
  <c r="C233" i="23"/>
  <c r="D232" i="23"/>
  <c r="C232" i="23"/>
  <c r="D231" i="23"/>
  <c r="C231" i="23"/>
  <c r="D230" i="23"/>
  <c r="C230" i="23"/>
  <c r="D229" i="23"/>
  <c r="C229" i="23"/>
  <c r="D228" i="23"/>
  <c r="C228" i="23"/>
  <c r="D227" i="23"/>
  <c r="C227" i="23"/>
  <c r="D226" i="23"/>
  <c r="C226" i="23"/>
  <c r="D225" i="23"/>
  <c r="C225" i="23"/>
  <c r="D224" i="23"/>
  <c r="C224" i="23"/>
  <c r="D223" i="23"/>
  <c r="C223" i="23"/>
  <c r="D222" i="23"/>
  <c r="C222" i="23"/>
  <c r="D221" i="23"/>
  <c r="C221" i="23"/>
  <c r="D220" i="23"/>
  <c r="C220" i="23"/>
  <c r="D219" i="23"/>
  <c r="C219" i="23"/>
  <c r="D218" i="23"/>
  <c r="C218" i="23"/>
  <c r="D217" i="23"/>
  <c r="C217" i="23"/>
  <c r="D216" i="23"/>
  <c r="C216" i="23"/>
  <c r="D215" i="23"/>
  <c r="C215" i="23"/>
  <c r="D214" i="23"/>
  <c r="C214" i="23"/>
  <c r="D213" i="23"/>
  <c r="C213" i="23"/>
  <c r="D212" i="23"/>
  <c r="C212" i="23"/>
  <c r="D211" i="23"/>
  <c r="C211" i="23"/>
  <c r="D210" i="23"/>
  <c r="C210" i="23"/>
  <c r="D209" i="23"/>
  <c r="C209" i="23"/>
  <c r="D208" i="23"/>
  <c r="C208" i="23"/>
  <c r="D207" i="23"/>
  <c r="C207" i="23"/>
  <c r="D206" i="23"/>
  <c r="C206" i="23"/>
  <c r="D205" i="23"/>
  <c r="C205" i="23"/>
  <c r="D204" i="23"/>
  <c r="C204" i="23"/>
  <c r="D203" i="23"/>
  <c r="C203" i="23"/>
  <c r="D202" i="23"/>
  <c r="C202" i="23"/>
  <c r="D201" i="23"/>
  <c r="C201" i="23"/>
  <c r="D200" i="23"/>
  <c r="C200" i="23"/>
  <c r="D199" i="23"/>
  <c r="C199" i="23"/>
  <c r="D198" i="23"/>
  <c r="C198" i="23"/>
  <c r="D197" i="23"/>
  <c r="C197" i="23"/>
  <c r="D196" i="23"/>
  <c r="C196" i="23"/>
  <c r="D195" i="23"/>
  <c r="C195" i="23"/>
  <c r="D194" i="23"/>
  <c r="C194" i="23"/>
  <c r="D193" i="23"/>
  <c r="C193" i="23"/>
  <c r="D192" i="23"/>
  <c r="C192" i="23"/>
  <c r="D191" i="23"/>
  <c r="C191" i="23"/>
  <c r="D190" i="23"/>
  <c r="C190" i="23"/>
  <c r="D189" i="23"/>
  <c r="C189" i="23"/>
  <c r="D188" i="23"/>
  <c r="C188" i="23"/>
  <c r="D187" i="23"/>
  <c r="C187" i="23"/>
  <c r="D186" i="23"/>
  <c r="C186" i="23"/>
  <c r="D185" i="23"/>
  <c r="C185" i="23"/>
  <c r="D184" i="23"/>
  <c r="C184" i="23"/>
  <c r="D183" i="23"/>
  <c r="C183" i="23"/>
  <c r="D182" i="23"/>
  <c r="C182" i="23"/>
  <c r="D181" i="23"/>
  <c r="C181" i="23"/>
  <c r="D180" i="23"/>
  <c r="C180" i="23"/>
  <c r="D179" i="23"/>
  <c r="C179" i="23"/>
  <c r="D178" i="23"/>
  <c r="C178" i="23"/>
  <c r="D177" i="23"/>
  <c r="C177" i="23"/>
  <c r="D176" i="23"/>
  <c r="C176" i="23"/>
  <c r="D175" i="23"/>
  <c r="C175" i="23"/>
  <c r="D174" i="23"/>
  <c r="C174" i="23"/>
  <c r="D173" i="23"/>
  <c r="C173" i="23"/>
  <c r="D172" i="23"/>
  <c r="C172" i="23"/>
  <c r="D171" i="23"/>
  <c r="C171" i="23"/>
  <c r="D170" i="23"/>
  <c r="C170" i="23"/>
  <c r="D169" i="23"/>
  <c r="C169" i="23"/>
  <c r="D168" i="23"/>
  <c r="C168" i="23"/>
  <c r="D167" i="23"/>
  <c r="C167" i="23"/>
  <c r="D166" i="23"/>
  <c r="C166" i="23"/>
  <c r="D165" i="23"/>
  <c r="C165" i="23"/>
  <c r="D164" i="23"/>
  <c r="C164" i="23"/>
  <c r="D163" i="23"/>
  <c r="C163" i="23"/>
  <c r="D162" i="23"/>
  <c r="C162" i="23"/>
  <c r="D161" i="23"/>
  <c r="C161" i="23"/>
  <c r="D160" i="23"/>
  <c r="C160" i="23"/>
  <c r="D159" i="23"/>
  <c r="C159" i="23"/>
  <c r="D158" i="23"/>
  <c r="C158" i="23"/>
  <c r="D157" i="23"/>
  <c r="C157" i="23"/>
  <c r="D156" i="23"/>
  <c r="C156" i="23"/>
  <c r="D155" i="23"/>
  <c r="C155" i="23"/>
  <c r="D154" i="23"/>
  <c r="C154" i="23"/>
  <c r="D153" i="23"/>
  <c r="C153" i="23"/>
  <c r="D152" i="23"/>
  <c r="C152" i="23"/>
  <c r="D151" i="23"/>
  <c r="C151" i="23"/>
  <c r="D150" i="23"/>
  <c r="C150" i="23"/>
  <c r="D149" i="23"/>
  <c r="C149" i="23"/>
  <c r="D148" i="23"/>
  <c r="C148" i="23"/>
  <c r="D147" i="23"/>
  <c r="C147" i="23"/>
  <c r="D146" i="23"/>
  <c r="C146" i="23"/>
  <c r="D145" i="23"/>
  <c r="C145" i="23"/>
  <c r="D144" i="23"/>
  <c r="C144" i="23"/>
  <c r="D143" i="23"/>
  <c r="C143" i="23"/>
  <c r="D142" i="23"/>
  <c r="C142" i="23"/>
  <c r="D141" i="23"/>
  <c r="C141" i="23"/>
  <c r="D140" i="23"/>
  <c r="C140" i="23"/>
  <c r="D139" i="23"/>
  <c r="C139" i="23"/>
  <c r="D138" i="23"/>
  <c r="C138" i="23"/>
  <c r="D137" i="23"/>
  <c r="C137" i="23"/>
  <c r="D136" i="23"/>
  <c r="C136" i="23"/>
  <c r="D135" i="23"/>
  <c r="C135" i="23"/>
  <c r="D134" i="23"/>
  <c r="C134" i="23"/>
  <c r="D133" i="23"/>
  <c r="C133" i="23"/>
  <c r="D132" i="23"/>
  <c r="C132" i="23"/>
  <c r="D131" i="23"/>
  <c r="C131" i="23"/>
  <c r="D130" i="23"/>
  <c r="C130" i="23"/>
  <c r="D129" i="23"/>
  <c r="C129" i="23"/>
  <c r="D128" i="23"/>
  <c r="C128" i="23"/>
  <c r="D127" i="23"/>
  <c r="C127" i="23"/>
  <c r="D126" i="23"/>
  <c r="C126" i="23"/>
  <c r="D125" i="23"/>
  <c r="C125" i="23"/>
  <c r="D124" i="23"/>
  <c r="C124" i="23"/>
  <c r="D123" i="23"/>
  <c r="C123" i="23"/>
  <c r="D122" i="23"/>
  <c r="C122" i="23"/>
  <c r="D121" i="23"/>
  <c r="C121" i="23"/>
  <c r="D120" i="23"/>
  <c r="C120" i="23"/>
  <c r="D119" i="23"/>
  <c r="C119" i="23"/>
  <c r="D118" i="23"/>
  <c r="C118" i="23"/>
  <c r="D117" i="23"/>
  <c r="C117" i="23"/>
  <c r="D116" i="23"/>
  <c r="C116" i="23"/>
  <c r="D115" i="23"/>
  <c r="C115" i="23"/>
  <c r="D114" i="23"/>
  <c r="C114" i="23"/>
  <c r="D113" i="23"/>
  <c r="C113" i="23"/>
  <c r="D112" i="23"/>
  <c r="C112" i="23"/>
  <c r="D111" i="23"/>
  <c r="C111" i="23"/>
  <c r="D110" i="23"/>
  <c r="C110" i="23"/>
  <c r="D109" i="23"/>
  <c r="C109" i="23"/>
  <c r="D108" i="23"/>
  <c r="C108" i="23"/>
  <c r="D107" i="23"/>
  <c r="C107" i="23"/>
  <c r="D106" i="23"/>
  <c r="C106" i="23"/>
  <c r="D105" i="23"/>
  <c r="C105" i="23"/>
  <c r="D104" i="23"/>
  <c r="C104" i="23"/>
  <c r="D103" i="23"/>
  <c r="C103" i="23"/>
  <c r="D102" i="23"/>
  <c r="C102" i="23"/>
  <c r="D101" i="23"/>
  <c r="C101" i="23"/>
  <c r="D100" i="23"/>
  <c r="C100" i="23"/>
  <c r="D99" i="23"/>
  <c r="C99" i="23"/>
  <c r="D98" i="23"/>
  <c r="C98" i="23"/>
  <c r="D97" i="23"/>
  <c r="C97" i="23"/>
  <c r="D96" i="23"/>
  <c r="C96" i="23"/>
  <c r="D95" i="23"/>
  <c r="C95" i="23"/>
  <c r="D94" i="23"/>
  <c r="C94" i="23"/>
  <c r="D93" i="23"/>
  <c r="C93" i="23"/>
  <c r="D92" i="23"/>
  <c r="C92" i="23"/>
  <c r="D91" i="23"/>
  <c r="C91" i="23"/>
  <c r="D90" i="23"/>
  <c r="C90" i="23"/>
  <c r="D89" i="23"/>
  <c r="C89" i="23"/>
  <c r="D88" i="23"/>
  <c r="C88" i="23"/>
  <c r="D87" i="23"/>
  <c r="C87" i="23"/>
  <c r="D86" i="23"/>
  <c r="C86" i="23"/>
  <c r="D85" i="23"/>
  <c r="C85" i="23"/>
  <c r="D84" i="23"/>
  <c r="C84" i="23"/>
  <c r="D83" i="23"/>
  <c r="C83" i="23"/>
  <c r="D82" i="23"/>
  <c r="C82" i="23"/>
  <c r="D81" i="23"/>
  <c r="C81" i="23"/>
  <c r="D80" i="23"/>
  <c r="C80" i="23"/>
  <c r="D79" i="23"/>
  <c r="C79" i="23"/>
  <c r="D78" i="23"/>
  <c r="C78" i="23"/>
  <c r="D77" i="23"/>
  <c r="C77" i="23"/>
  <c r="D76" i="23"/>
  <c r="C76" i="23"/>
  <c r="D75" i="23"/>
  <c r="C75" i="23"/>
  <c r="D74" i="23"/>
  <c r="C74" i="23"/>
  <c r="D73" i="23"/>
  <c r="C73" i="23"/>
  <c r="D72" i="23"/>
  <c r="C72" i="23"/>
  <c r="D71" i="23"/>
  <c r="C71" i="23"/>
  <c r="D70" i="23"/>
  <c r="C70" i="23"/>
  <c r="D69" i="23"/>
  <c r="C69" i="23"/>
  <c r="D68" i="23"/>
  <c r="C68" i="23"/>
  <c r="D67" i="23"/>
  <c r="C67" i="23"/>
  <c r="D66" i="23"/>
  <c r="C66" i="23"/>
  <c r="D65" i="23"/>
  <c r="C65" i="23"/>
  <c r="D64" i="23"/>
  <c r="C64" i="23"/>
  <c r="D63" i="23"/>
  <c r="C63" i="23"/>
  <c r="D62" i="23"/>
  <c r="C62" i="23"/>
  <c r="D61" i="23"/>
  <c r="C61" i="23"/>
  <c r="D60" i="23"/>
  <c r="C60" i="23"/>
  <c r="D59" i="23"/>
  <c r="C59" i="23"/>
  <c r="D58" i="23"/>
  <c r="C58" i="23"/>
  <c r="D57" i="23"/>
  <c r="C57" i="23"/>
  <c r="D56" i="23"/>
  <c r="C56" i="23"/>
  <c r="D55" i="23"/>
  <c r="C55" i="23"/>
  <c r="D54" i="23"/>
  <c r="C54" i="23"/>
  <c r="D53" i="23"/>
  <c r="C53" i="23"/>
  <c r="D52" i="23"/>
  <c r="C52" i="23"/>
  <c r="D51" i="23"/>
  <c r="C51" i="23"/>
  <c r="D50" i="23"/>
  <c r="C50" i="23"/>
  <c r="D49" i="23"/>
  <c r="C49" i="23"/>
  <c r="D48" i="23"/>
  <c r="C48" i="23"/>
  <c r="D47" i="23"/>
  <c r="C47" i="23"/>
  <c r="D46" i="23"/>
  <c r="C46" i="23"/>
  <c r="D45" i="23"/>
  <c r="C45" i="23"/>
  <c r="D44" i="23"/>
  <c r="C44" i="23"/>
  <c r="D43" i="23"/>
  <c r="C43" i="23"/>
  <c r="D42" i="23"/>
  <c r="C42" i="23"/>
  <c r="D41" i="23"/>
  <c r="C41" i="23"/>
  <c r="D40" i="23"/>
  <c r="C40" i="23"/>
  <c r="D39" i="23"/>
  <c r="C39" i="23"/>
  <c r="D38" i="23"/>
  <c r="C38" i="23"/>
  <c r="D37" i="23"/>
  <c r="C37" i="23"/>
  <c r="D36" i="23"/>
  <c r="C36" i="23"/>
  <c r="D35" i="23"/>
  <c r="C35" i="23"/>
  <c r="D34" i="23"/>
  <c r="C34" i="23"/>
  <c r="D33" i="23"/>
  <c r="C33" i="23"/>
  <c r="D32" i="23"/>
  <c r="C32" i="23"/>
  <c r="D31" i="23"/>
  <c r="C31" i="23"/>
  <c r="D30" i="23"/>
  <c r="C30" i="23"/>
  <c r="D29" i="23"/>
  <c r="C29" i="23"/>
  <c r="D28" i="23"/>
  <c r="C28" i="23"/>
  <c r="D27" i="23"/>
  <c r="C27" i="23"/>
  <c r="D26" i="23"/>
  <c r="C26" i="23"/>
  <c r="D25" i="23"/>
  <c r="C25" i="23"/>
  <c r="D24" i="23"/>
  <c r="C24" i="23"/>
  <c r="D23" i="23"/>
  <c r="C23" i="23"/>
  <c r="D22" i="23"/>
  <c r="C22" i="23"/>
  <c r="D21" i="23"/>
  <c r="C21" i="23"/>
  <c r="D20" i="23"/>
  <c r="C20" i="23"/>
  <c r="D19" i="23"/>
  <c r="C19" i="23"/>
  <c r="D18" i="23"/>
  <c r="C18" i="23"/>
  <c r="D17" i="23"/>
  <c r="C17" i="23"/>
  <c r="D16" i="23"/>
  <c r="C16" i="23"/>
  <c r="D15" i="23"/>
  <c r="C15" i="23"/>
  <c r="D14" i="23"/>
  <c r="C14" i="23"/>
  <c r="D13" i="23"/>
  <c r="C13" i="23"/>
  <c r="D12" i="23"/>
  <c r="C12" i="23"/>
  <c r="D11" i="23"/>
  <c r="C11" i="23"/>
  <c r="D10" i="23"/>
  <c r="C10" i="23"/>
  <c r="D9" i="23"/>
  <c r="C9" i="23"/>
  <c r="F35" i="37" l="1"/>
  <c r="G37" i="37"/>
  <c r="F30" i="39"/>
  <c r="F138" i="39" s="1"/>
  <c r="F144" i="39"/>
  <c r="F124" i="39"/>
  <c r="F127" i="39"/>
  <c r="L127" i="39" s="1"/>
  <c r="F162" i="39"/>
  <c r="G62" i="36"/>
  <c r="G63" i="36" s="1"/>
  <c r="O61" i="36"/>
  <c r="F50" i="32"/>
  <c r="F51" i="32"/>
  <c r="F17" i="32"/>
  <c r="F52" i="32"/>
  <c r="F53" i="32" s="1"/>
  <c r="F21" i="32"/>
  <c r="F54" i="32"/>
  <c r="F16" i="32"/>
  <c r="F48" i="32"/>
  <c r="F49" i="32" s="1"/>
  <c r="F91" i="32"/>
  <c r="F98" i="32"/>
  <c r="E141" i="32"/>
  <c r="E77" i="32"/>
  <c r="E78" i="32" s="1"/>
  <c r="E81" i="32" s="1"/>
  <c r="E142" i="32"/>
  <c r="E42" i="32"/>
  <c r="E43" i="32" s="1"/>
  <c r="E41" i="32"/>
  <c r="F59" i="32"/>
  <c r="E136" i="31"/>
  <c r="F28" i="31"/>
  <c r="E26" i="31"/>
  <c r="E148" i="31"/>
  <c r="E160" i="31"/>
  <c r="E159" i="31" s="1"/>
  <c r="F47" i="31" s="1"/>
  <c r="E128" i="31"/>
  <c r="E137" i="31"/>
  <c r="D29" i="29"/>
  <c r="D26" i="29" s="1"/>
  <c r="D143" i="29"/>
  <c r="D126" i="29"/>
  <c r="D161" i="29"/>
  <c r="D123" i="29"/>
  <c r="E54" i="26"/>
  <c r="D108" i="26"/>
  <c r="D109" i="26" s="1"/>
  <c r="D103" i="26"/>
  <c r="C126" i="19"/>
  <c r="H126" i="19" s="1"/>
  <c r="D126" i="19"/>
  <c r="E126" i="19"/>
  <c r="F126" i="19"/>
  <c r="G126" i="19"/>
  <c r="C127" i="19"/>
  <c r="H127" i="19" s="1"/>
  <c r="D127" i="19"/>
  <c r="E127" i="19"/>
  <c r="F127" i="19"/>
  <c r="G127" i="19"/>
  <c r="E32" i="1"/>
  <c r="E20" i="27" s="1"/>
  <c r="E33" i="1"/>
  <c r="E34" i="1"/>
  <c r="E19" i="27" s="1"/>
  <c r="E35" i="1"/>
  <c r="E48" i="1"/>
  <c r="E84" i="24" s="1"/>
  <c r="E85" i="24" s="1"/>
  <c r="F32" i="1"/>
  <c r="F20" i="27" s="1"/>
  <c r="F33" i="1"/>
  <c r="F34" i="1"/>
  <c r="F19" i="27" s="1"/>
  <c r="F35" i="1"/>
  <c r="F326" i="1" s="1"/>
  <c r="F48" i="1"/>
  <c r="F84" i="24" s="1"/>
  <c r="F85" i="24" s="1"/>
  <c r="G32" i="1"/>
  <c r="G20" i="27" s="1"/>
  <c r="G33" i="1"/>
  <c r="G34" i="1"/>
  <c r="G19" i="27" s="1"/>
  <c r="G35" i="1"/>
  <c r="G326" i="1" s="1"/>
  <c r="G48" i="1"/>
  <c r="G84" i="24" s="1"/>
  <c r="G85" i="24" s="1"/>
  <c r="H32" i="1"/>
  <c r="H20" i="27" s="1"/>
  <c r="H33" i="1"/>
  <c r="H34" i="1"/>
  <c r="H19" i="27" s="1"/>
  <c r="H35" i="1"/>
  <c r="H48" i="1"/>
  <c r="H84" i="24" s="1"/>
  <c r="H85" i="24" s="1"/>
  <c r="D32" i="1"/>
  <c r="D20" i="27" s="1"/>
  <c r="D33" i="1"/>
  <c r="D34" i="1"/>
  <c r="D19" i="27" s="1"/>
  <c r="D35" i="1"/>
  <c r="D48" i="1"/>
  <c r="D84" i="24" s="1"/>
  <c r="D85" i="24" s="1"/>
  <c r="D22" i="1"/>
  <c r="D23" i="1"/>
  <c r="D24" i="1"/>
  <c r="D13" i="27" s="1"/>
  <c r="D25" i="1"/>
  <c r="D320" i="1" s="1"/>
  <c r="D42" i="1"/>
  <c r="D14" i="24" s="1"/>
  <c r="D15" i="24" s="1"/>
  <c r="E22" i="1"/>
  <c r="E23" i="1"/>
  <c r="E24" i="1"/>
  <c r="E13" i="27" s="1"/>
  <c r="E25" i="1"/>
  <c r="E42" i="1"/>
  <c r="E14" i="24" s="1"/>
  <c r="E15" i="24" s="1"/>
  <c r="F22" i="1"/>
  <c r="F23" i="1"/>
  <c r="F24" i="1"/>
  <c r="F13" i="27" s="1"/>
  <c r="F25" i="1"/>
  <c r="F320" i="1" s="1"/>
  <c r="F42" i="1"/>
  <c r="F14" i="24" s="1"/>
  <c r="F15" i="24" s="1"/>
  <c r="G22" i="1"/>
  <c r="G23" i="1"/>
  <c r="G24" i="1"/>
  <c r="G13" i="27" s="1"/>
  <c r="G25" i="1"/>
  <c r="G42" i="1"/>
  <c r="G14" i="24" s="1"/>
  <c r="G15" i="24" s="1"/>
  <c r="H22" i="1"/>
  <c r="H23" i="1"/>
  <c r="H24" i="1"/>
  <c r="H25" i="1"/>
  <c r="H42" i="1"/>
  <c r="E27" i="1"/>
  <c r="E17" i="27" s="1"/>
  <c r="E28" i="1"/>
  <c r="E29" i="1"/>
  <c r="E16" i="27" s="1"/>
  <c r="E30" i="1"/>
  <c r="E323" i="1" s="1"/>
  <c r="E45" i="1"/>
  <c r="E49" i="24" s="1"/>
  <c r="E50" i="24" s="1"/>
  <c r="F27" i="1"/>
  <c r="F17" i="27" s="1"/>
  <c r="F28" i="1"/>
  <c r="F29" i="1"/>
  <c r="F16" i="27" s="1"/>
  <c r="F30" i="1"/>
  <c r="F45" i="1"/>
  <c r="F49" i="24" s="1"/>
  <c r="F50" i="24" s="1"/>
  <c r="G27" i="1"/>
  <c r="G17" i="27" s="1"/>
  <c r="G28" i="1"/>
  <c r="G29" i="1"/>
  <c r="G16" i="27" s="1"/>
  <c r="G6" i="27" s="1"/>
  <c r="G30" i="1"/>
  <c r="G323" i="1" s="1"/>
  <c r="G45" i="1"/>
  <c r="G49" i="24" s="1"/>
  <c r="G50" i="24" s="1"/>
  <c r="H27" i="1"/>
  <c r="H17" i="27" s="1"/>
  <c r="H28" i="1"/>
  <c r="H29" i="1"/>
  <c r="H16" i="27" s="1"/>
  <c r="H30" i="1"/>
  <c r="H45" i="1"/>
  <c r="H49" i="24" s="1"/>
  <c r="H50" i="24" s="1"/>
  <c r="D27" i="1"/>
  <c r="D17" i="27" s="1"/>
  <c r="D28" i="1"/>
  <c r="D29" i="1"/>
  <c r="D16" i="27" s="1"/>
  <c r="D30" i="1"/>
  <c r="D45" i="1"/>
  <c r="D49" i="24" s="1"/>
  <c r="D50" i="24" s="1"/>
  <c r="D81" i="1"/>
  <c r="D80" i="1"/>
  <c r="D77" i="1"/>
  <c r="D76" i="1"/>
  <c r="D73" i="1"/>
  <c r="D66" i="27" s="1"/>
  <c r="D72" i="1"/>
  <c r="C20" i="16"/>
  <c r="E73" i="1"/>
  <c r="E66" i="27" s="1"/>
  <c r="E72" i="1"/>
  <c r="D88" i="1"/>
  <c r="E77" i="1"/>
  <c r="E76" i="1"/>
  <c r="D92" i="1"/>
  <c r="E81" i="1"/>
  <c r="E80" i="1"/>
  <c r="D96" i="1"/>
  <c r="E88" i="1"/>
  <c r="E92" i="1"/>
  <c r="E96" i="1"/>
  <c r="F73" i="1"/>
  <c r="F66" i="27" s="1"/>
  <c r="F72" i="1"/>
  <c r="F88" i="1"/>
  <c r="F77" i="1"/>
  <c r="F76" i="1"/>
  <c r="F92" i="1"/>
  <c r="F81" i="1"/>
  <c r="F80" i="1"/>
  <c r="F96" i="1"/>
  <c r="G73" i="1"/>
  <c r="G66" i="27" s="1"/>
  <c r="G72" i="1"/>
  <c r="G88" i="1"/>
  <c r="G77" i="1"/>
  <c r="G76" i="1"/>
  <c r="G92" i="1"/>
  <c r="G81" i="1"/>
  <c r="G80" i="1"/>
  <c r="G96" i="1"/>
  <c r="H73" i="1"/>
  <c r="H66" i="27" s="1"/>
  <c r="H72" i="1"/>
  <c r="H88" i="1"/>
  <c r="H77" i="1"/>
  <c r="H76" i="1"/>
  <c r="H92" i="1"/>
  <c r="H81" i="1"/>
  <c r="H80" i="1"/>
  <c r="H96" i="1"/>
  <c r="D57" i="1"/>
  <c r="D106" i="1" s="1"/>
  <c r="D61" i="1"/>
  <c r="D107" i="1" s="1"/>
  <c r="D130" i="27" s="1"/>
  <c r="D65" i="1"/>
  <c r="E57" i="1"/>
  <c r="E61" i="1"/>
  <c r="E65" i="1"/>
  <c r="F57" i="1"/>
  <c r="F106" i="1" s="1"/>
  <c r="F61" i="1"/>
  <c r="F65" i="1"/>
  <c r="F108" i="1" s="1"/>
  <c r="F131" i="27" s="1"/>
  <c r="G57" i="1"/>
  <c r="G106" i="1" s="1"/>
  <c r="G61" i="1"/>
  <c r="G65" i="1"/>
  <c r="H57" i="1"/>
  <c r="H106" i="1" s="1"/>
  <c r="H61" i="1"/>
  <c r="H65" i="1"/>
  <c r="H108" i="1" s="1"/>
  <c r="H131" i="27" s="1"/>
  <c r="D65" i="27"/>
  <c r="E65" i="27"/>
  <c r="F65" i="27"/>
  <c r="G65" i="27"/>
  <c r="H65" i="27"/>
  <c r="B6" i="19"/>
  <c r="B5" i="19"/>
  <c r="B4" i="19"/>
  <c r="B3" i="19"/>
  <c r="D52" i="12"/>
  <c r="D54" i="12" s="1"/>
  <c r="D56" i="12" s="1"/>
  <c r="C52" i="12"/>
  <c r="D51" i="12"/>
  <c r="D5" i="12"/>
  <c r="D53" i="12"/>
  <c r="D4" i="12"/>
  <c r="D23" i="12" s="1"/>
  <c r="C25" i="19" s="1"/>
  <c r="E52" i="12"/>
  <c r="E5" i="12"/>
  <c r="E53" i="12" s="1"/>
  <c r="E4" i="12"/>
  <c r="F52" i="12"/>
  <c r="F51" i="12"/>
  <c r="F54" i="12" s="1"/>
  <c r="F5" i="12"/>
  <c r="F23" i="12" s="1"/>
  <c r="E25" i="19" s="1"/>
  <c r="F53" i="12"/>
  <c r="F4" i="12"/>
  <c r="G39" i="12" s="1"/>
  <c r="G52" i="12"/>
  <c r="G51" i="12"/>
  <c r="G5" i="12"/>
  <c r="G53" i="12" s="1"/>
  <c r="G54" i="12" s="1"/>
  <c r="G4" i="12"/>
  <c r="E23" i="12"/>
  <c r="D25" i="19" s="1"/>
  <c r="G23" i="12"/>
  <c r="F25" i="19" s="1"/>
  <c r="C19" i="12"/>
  <c r="C30" i="12" s="1"/>
  <c r="C4" i="12"/>
  <c r="D19" i="12"/>
  <c r="D30" i="12" s="1"/>
  <c r="E19" i="12"/>
  <c r="E30" i="12" s="1"/>
  <c r="F19" i="12"/>
  <c r="F47" i="12" s="1"/>
  <c r="G19" i="12"/>
  <c r="G30" i="12" s="1"/>
  <c r="C9" i="12"/>
  <c r="C25" i="12" s="1"/>
  <c r="D9" i="12"/>
  <c r="D25" i="12" s="1"/>
  <c r="E9" i="12"/>
  <c r="E25" i="12" s="1"/>
  <c r="F9" i="12"/>
  <c r="F25" i="12" s="1"/>
  <c r="G9" i="12"/>
  <c r="G42" i="12" s="1"/>
  <c r="C8" i="12"/>
  <c r="C24" i="12" s="1"/>
  <c r="D8" i="12"/>
  <c r="D24" i="12" s="1"/>
  <c r="E8" i="12"/>
  <c r="E24" i="12" s="1"/>
  <c r="F8" i="12"/>
  <c r="F24" i="12" s="1"/>
  <c r="G8" i="12"/>
  <c r="G24" i="12" s="1"/>
  <c r="C5" i="12"/>
  <c r="C53" i="12" s="1"/>
  <c r="D23" i="16"/>
  <c r="C37" i="16"/>
  <c r="C29" i="16"/>
  <c r="C28" i="16"/>
  <c r="E33" i="16" s="1"/>
  <c r="C10" i="16"/>
  <c r="C104" i="16"/>
  <c r="C114" i="16" s="1"/>
  <c r="C120" i="16" s="1"/>
  <c r="C14" i="16"/>
  <c r="E29" i="16"/>
  <c r="C31" i="16"/>
  <c r="D31" i="16"/>
  <c r="C32" i="16"/>
  <c r="D32" i="16"/>
  <c r="C33" i="16"/>
  <c r="D33" i="16"/>
  <c r="C34" i="16"/>
  <c r="D34" i="16"/>
  <c r="C36" i="16"/>
  <c r="D36" i="16" s="1"/>
  <c r="C39" i="16"/>
  <c r="E39" i="16" s="1"/>
  <c r="C38" i="16"/>
  <c r="C19" i="16"/>
  <c r="C18" i="16"/>
  <c r="C97" i="16"/>
  <c r="C93" i="16"/>
  <c r="C73" i="16"/>
  <c r="D73" i="16"/>
  <c r="C49" i="16"/>
  <c r="C41" i="16"/>
  <c r="C30" i="16"/>
  <c r="C35" i="16"/>
  <c r="C65" i="16" s="1"/>
  <c r="E31" i="16"/>
  <c r="E32" i="16"/>
  <c r="E34" i="16"/>
  <c r="D8" i="16"/>
  <c r="D11" i="16" s="1"/>
  <c r="D15" i="16"/>
  <c r="D14" i="16" s="1"/>
  <c r="D28" i="16" s="1"/>
  <c r="C90" i="16"/>
  <c r="D90" i="16" s="1"/>
  <c r="C77" i="16"/>
  <c r="D77" i="16" s="1"/>
  <c r="D53" i="16" s="1"/>
  <c r="C94" i="16"/>
  <c r="C95" i="16"/>
  <c r="D95" i="16"/>
  <c r="C96" i="16"/>
  <c r="C113" i="16" s="1"/>
  <c r="D96" i="16"/>
  <c r="C76" i="16"/>
  <c r="C75" i="16" s="1"/>
  <c r="C74" i="16" s="1"/>
  <c r="D72" i="16"/>
  <c r="D71" i="16" s="1"/>
  <c r="D70" i="16" s="1"/>
  <c r="C72" i="16"/>
  <c r="C71" i="16" s="1"/>
  <c r="C70" i="16" s="1"/>
  <c r="C81" i="16"/>
  <c r="D81" i="16" s="1"/>
  <c r="C80" i="16"/>
  <c r="C64" i="16"/>
  <c r="C50" i="16"/>
  <c r="D50" i="16"/>
  <c r="D54" i="16" s="1"/>
  <c r="C54" i="16"/>
  <c r="C52" i="16"/>
  <c r="C48" i="16"/>
  <c r="E41" i="16"/>
  <c r="C40" i="16"/>
  <c r="E40" i="16"/>
  <c r="E38" i="16"/>
  <c r="E36" i="16"/>
  <c r="E30" i="16"/>
  <c r="C53" i="14"/>
  <c r="D53" i="14"/>
  <c r="D52" i="14" s="1"/>
  <c r="C54" i="14"/>
  <c r="D54" i="14"/>
  <c r="D51" i="14"/>
  <c r="C10" i="14"/>
  <c r="D10" i="14" s="1"/>
  <c r="D11" i="14"/>
  <c r="C58" i="14"/>
  <c r="C61" i="14" s="1"/>
  <c r="C57" i="14"/>
  <c r="C62" i="14"/>
  <c r="D62" i="14" s="1"/>
  <c r="C52" i="14"/>
  <c r="C51" i="14" s="1"/>
  <c r="C65" i="14"/>
  <c r="B69" i="14"/>
  <c r="C9" i="14"/>
  <c r="D9" i="14"/>
  <c r="C78" i="14"/>
  <c r="C79" i="14"/>
  <c r="D79" i="14"/>
  <c r="C80" i="14"/>
  <c r="D80" i="14"/>
  <c r="C81" i="14"/>
  <c r="D81" i="14"/>
  <c r="D176" i="1"/>
  <c r="D177" i="1"/>
  <c r="E205" i="1"/>
  <c r="E217" i="27" s="1"/>
  <c r="E279" i="1"/>
  <c r="E206" i="1" s="1"/>
  <c r="E208" i="1"/>
  <c r="E282" i="1"/>
  <c r="E209" i="1" s="1"/>
  <c r="E261" i="1" s="1"/>
  <c r="E211" i="1"/>
  <c r="E285" i="1"/>
  <c r="E212" i="1" s="1"/>
  <c r="E270" i="1" s="1"/>
  <c r="F205" i="1"/>
  <c r="F217" i="27" s="1"/>
  <c r="F279" i="1"/>
  <c r="F206" i="1" s="1"/>
  <c r="F208" i="1"/>
  <c r="F282" i="1"/>
  <c r="F209" i="1" s="1"/>
  <c r="F261" i="1" s="1"/>
  <c r="F211" i="1"/>
  <c r="F285" i="1"/>
  <c r="F212" i="1" s="1"/>
  <c r="F270" i="1" s="1"/>
  <c r="G205" i="1"/>
  <c r="G217" i="27" s="1"/>
  <c r="G279" i="1"/>
  <c r="G206" i="1" s="1"/>
  <c r="G208" i="1"/>
  <c r="G282" i="1"/>
  <c r="G209" i="1" s="1"/>
  <c r="G261" i="1" s="1"/>
  <c r="G211" i="1"/>
  <c r="G285" i="1"/>
  <c r="G212" i="1" s="1"/>
  <c r="G270" i="1" s="1"/>
  <c r="H205" i="1"/>
  <c r="H217" i="27" s="1"/>
  <c r="H279" i="1"/>
  <c r="H206" i="1" s="1"/>
  <c r="H208" i="1"/>
  <c r="H282" i="1"/>
  <c r="H209" i="1" s="1"/>
  <c r="H261" i="1" s="1"/>
  <c r="H211" i="1"/>
  <c r="H285" i="1"/>
  <c r="H212" i="1" s="1"/>
  <c r="H270" i="1" s="1"/>
  <c r="D205" i="1"/>
  <c r="D217" i="27" s="1"/>
  <c r="D279" i="1"/>
  <c r="D206" i="1" s="1"/>
  <c r="D208" i="1"/>
  <c r="D282" i="1"/>
  <c r="D209" i="1" s="1"/>
  <c r="D261" i="1" s="1"/>
  <c r="D211" i="1"/>
  <c r="D285" i="1"/>
  <c r="D212" i="1" s="1"/>
  <c r="D270" i="1" s="1"/>
  <c r="E176" i="1"/>
  <c r="E177" i="1"/>
  <c r="E181" i="1"/>
  <c r="E182" i="1"/>
  <c r="E186" i="1"/>
  <c r="E185" i="1" s="1"/>
  <c r="F176" i="1"/>
  <c r="F177" i="1"/>
  <c r="F181" i="1"/>
  <c r="F182" i="1"/>
  <c r="F186" i="1"/>
  <c r="F185" i="1" s="1"/>
  <c r="G176" i="1"/>
  <c r="G177" i="1"/>
  <c r="G181" i="1"/>
  <c r="G182" i="1"/>
  <c r="G186" i="1"/>
  <c r="G185" i="1" s="1"/>
  <c r="H176" i="1"/>
  <c r="H177" i="1"/>
  <c r="H181" i="1"/>
  <c r="H180" i="1" s="1"/>
  <c r="H186" i="1"/>
  <c r="H187" i="1"/>
  <c r="D181" i="1"/>
  <c r="D180" i="1" s="1"/>
  <c r="D186" i="1"/>
  <c r="D185" i="1" s="1"/>
  <c r="E169" i="1"/>
  <c r="E224" i="1" s="1"/>
  <c r="E248" i="27" s="1"/>
  <c r="F169" i="1"/>
  <c r="F224" i="1" s="1"/>
  <c r="F248" i="27" s="1"/>
  <c r="G169" i="1"/>
  <c r="G224" i="1" s="1"/>
  <c r="G248" i="27" s="1"/>
  <c r="H169" i="1"/>
  <c r="H224" i="1" s="1"/>
  <c r="H248" i="27" s="1"/>
  <c r="D169" i="1"/>
  <c r="D224" i="1" s="1"/>
  <c r="D248" i="27" s="1"/>
  <c r="E168" i="1"/>
  <c r="F168" i="1"/>
  <c r="F220" i="1" s="1"/>
  <c r="F244" i="27" s="1"/>
  <c r="G168" i="1"/>
  <c r="H168" i="1"/>
  <c r="H220" i="1" s="1"/>
  <c r="H244" i="27" s="1"/>
  <c r="D168" i="1"/>
  <c r="E167" i="1"/>
  <c r="E216" i="1" s="1"/>
  <c r="E240" i="27" s="1"/>
  <c r="F167" i="1"/>
  <c r="G167" i="1"/>
  <c r="G216" i="1" s="1"/>
  <c r="G240" i="27" s="1"/>
  <c r="H167" i="1"/>
  <c r="D167" i="1"/>
  <c r="D216" i="1" s="1"/>
  <c r="D240" i="27" s="1"/>
  <c r="H161" i="1"/>
  <c r="E163" i="1"/>
  <c r="F163" i="1"/>
  <c r="G163" i="1"/>
  <c r="H163" i="1"/>
  <c r="D163" i="1"/>
  <c r="E162" i="1"/>
  <c r="F162" i="1"/>
  <c r="G162" i="1"/>
  <c r="H162" i="1"/>
  <c r="D162" i="1"/>
  <c r="E161" i="1"/>
  <c r="F161" i="1"/>
  <c r="G161" i="1"/>
  <c r="D161" i="1"/>
  <c r="E157" i="1"/>
  <c r="F157" i="1"/>
  <c r="G157" i="1"/>
  <c r="H157" i="1"/>
  <c r="D157" i="1"/>
  <c r="E156" i="1"/>
  <c r="F156" i="1"/>
  <c r="G156" i="1"/>
  <c r="H156" i="1"/>
  <c r="D156" i="1"/>
  <c r="H155" i="1"/>
  <c r="E155" i="1"/>
  <c r="F155" i="1"/>
  <c r="G155" i="1"/>
  <c r="D155" i="1"/>
  <c r="D45" i="9"/>
  <c r="D46" i="9" s="1"/>
  <c r="E45" i="9"/>
  <c r="E46" i="9" s="1"/>
  <c r="F45" i="9"/>
  <c r="F46" i="9" s="1"/>
  <c r="C45" i="9"/>
  <c r="C46" i="9" s="1"/>
  <c r="B37" i="9"/>
  <c r="C37" i="9"/>
  <c r="D37" i="9"/>
  <c r="E37" i="9"/>
  <c r="F37" i="9"/>
  <c r="G30" i="8"/>
  <c r="B20" i="8"/>
  <c r="C20" i="8"/>
  <c r="C89" i="14"/>
  <c r="D89" i="14"/>
  <c r="C82" i="14"/>
  <c r="D82" i="14"/>
  <c r="C31" i="14"/>
  <c r="C35" i="14"/>
  <c r="C30" i="14"/>
  <c r="C33" i="14"/>
  <c r="C23" i="14"/>
  <c r="C22" i="14"/>
  <c r="C21" i="14"/>
  <c r="C20" i="14"/>
  <c r="C19" i="14"/>
  <c r="D19" i="14"/>
  <c r="C18" i="14"/>
  <c r="D18" i="14"/>
  <c r="C17" i="14"/>
  <c r="C16" i="14"/>
  <c r="D16" i="14" s="1"/>
  <c r="C15" i="14"/>
  <c r="D15" i="14" s="1"/>
  <c r="C14" i="14"/>
  <c r="D14" i="14" s="1"/>
  <c r="C13" i="14"/>
  <c r="D13" i="14" s="1"/>
  <c r="C12" i="14"/>
  <c r="C45" i="14" s="1"/>
  <c r="D30" i="14"/>
  <c r="C47" i="14"/>
  <c r="C74" i="14"/>
  <c r="C77" i="14"/>
  <c r="C41" i="14" s="1"/>
  <c r="C38" i="14"/>
  <c r="C88" i="14"/>
  <c r="C91" i="14" s="1"/>
  <c r="D31" i="14"/>
  <c r="D35" i="14" s="1"/>
  <c r="C29" i="14"/>
  <c r="C46" i="14"/>
  <c r="C75" i="14"/>
  <c r="D75" i="14" s="1"/>
  <c r="C76" i="14"/>
  <c r="C85" i="14" s="1"/>
  <c r="C92" i="14" s="1"/>
  <c r="C87" i="14"/>
  <c r="C73" i="14"/>
  <c r="C72" i="14" s="1"/>
  <c r="D38" i="14"/>
  <c r="G20" i="12"/>
  <c r="G18" i="12"/>
  <c r="G17" i="12"/>
  <c r="G29" i="12" s="1"/>
  <c r="G16" i="12"/>
  <c r="G11" i="12"/>
  <c r="G10" i="12"/>
  <c r="G7" i="12"/>
  <c r="G6" i="12"/>
  <c r="D6" i="12"/>
  <c r="E6" i="12"/>
  <c r="F6" i="12"/>
  <c r="D11" i="12"/>
  <c r="E11" i="12"/>
  <c r="F11" i="12"/>
  <c r="D12" i="12"/>
  <c r="E12" i="12"/>
  <c r="F12" i="12"/>
  <c r="D13" i="12"/>
  <c r="D14" i="12"/>
  <c r="E14" i="12"/>
  <c r="F14" i="12"/>
  <c r="D15" i="12"/>
  <c r="E15" i="12"/>
  <c r="E13" i="12" s="1"/>
  <c r="F15" i="12"/>
  <c r="D18" i="12"/>
  <c r="E18" i="12"/>
  <c r="F18" i="12"/>
  <c r="D20" i="12"/>
  <c r="E20" i="12"/>
  <c r="F20" i="12"/>
  <c r="C6" i="12"/>
  <c r="C11" i="12"/>
  <c r="C12" i="12"/>
  <c r="C26" i="12" s="1"/>
  <c r="C13" i="12"/>
  <c r="C14" i="12"/>
  <c r="C15" i="12"/>
  <c r="C18" i="12"/>
  <c r="C20" i="12"/>
  <c r="C109" i="10"/>
  <c r="D109" i="10"/>
  <c r="E109" i="10"/>
  <c r="C110" i="10"/>
  <c r="D110" i="10"/>
  <c r="E110" i="10"/>
  <c r="B110" i="10"/>
  <c r="B109" i="10"/>
  <c r="D33" i="14"/>
  <c r="D29" i="14"/>
  <c r="F13" i="12"/>
  <c r="F27" i="12" s="1"/>
  <c r="E27" i="12"/>
  <c r="E43" i="12"/>
  <c r="E44" i="12"/>
  <c r="D26" i="12"/>
  <c r="C27" i="12"/>
  <c r="D44" i="12"/>
  <c r="E26" i="12"/>
  <c r="G28" i="12"/>
  <c r="G47" i="12"/>
  <c r="D27" i="12"/>
  <c r="E39" i="12"/>
  <c r="D39" i="12"/>
  <c r="F42" i="12"/>
  <c r="F39" i="12"/>
  <c r="E40" i="12"/>
  <c r="D42" i="12"/>
  <c r="F41" i="12"/>
  <c r="E42" i="12"/>
  <c r="F44" i="12"/>
  <c r="H9" i="1"/>
  <c r="H10" i="1"/>
  <c r="H11" i="1"/>
  <c r="E9" i="1"/>
  <c r="F9" i="1"/>
  <c r="G9" i="1"/>
  <c r="D9" i="1"/>
  <c r="E11" i="1"/>
  <c r="F11" i="1"/>
  <c r="G11" i="1"/>
  <c r="D11" i="1"/>
  <c r="E10" i="1"/>
  <c r="F10" i="1"/>
  <c r="G10" i="1"/>
  <c r="D10" i="1"/>
  <c r="F127" i="37" l="1"/>
  <c r="F162" i="37"/>
  <c r="F30" i="37"/>
  <c r="F144" i="37"/>
  <c r="F124" i="37"/>
  <c r="F161" i="39"/>
  <c r="F160" i="39" s="1"/>
  <c r="F131" i="40" s="1"/>
  <c r="F129" i="39"/>
  <c r="F66" i="40" s="1"/>
  <c r="G29" i="39"/>
  <c r="G60" i="39" s="1"/>
  <c r="F27" i="39"/>
  <c r="F149" i="39"/>
  <c r="F137" i="39"/>
  <c r="E108" i="1"/>
  <c r="E131" i="27" s="1"/>
  <c r="G157" i="36"/>
  <c r="G156" i="36" s="1"/>
  <c r="G110" i="40" s="1"/>
  <c r="G118" i="36"/>
  <c r="G125" i="36" s="1"/>
  <c r="O63" i="36"/>
  <c r="G65" i="36"/>
  <c r="G80" i="36" s="1"/>
  <c r="N49" i="32"/>
  <c r="N50" i="32" s="1"/>
  <c r="F115" i="32"/>
  <c r="F55" i="32"/>
  <c r="F71" i="32"/>
  <c r="F23" i="32"/>
  <c r="F22" i="32" s="1"/>
  <c r="F73" i="32"/>
  <c r="F15" i="32"/>
  <c r="F110" i="32"/>
  <c r="F18" i="32"/>
  <c r="F92" i="32" s="1"/>
  <c r="F106" i="32" s="1"/>
  <c r="F96" i="32"/>
  <c r="F99" i="32"/>
  <c r="F76" i="32"/>
  <c r="F57" i="32"/>
  <c r="F60" i="32" s="1"/>
  <c r="F147" i="32"/>
  <c r="E141" i="31"/>
  <c r="E77" i="31"/>
  <c r="E78" i="31" s="1"/>
  <c r="E81" i="31" s="1"/>
  <c r="E42" i="31"/>
  <c r="E43" i="31" s="1"/>
  <c r="E142" i="31"/>
  <c r="E41" i="31"/>
  <c r="F59" i="31"/>
  <c r="F21" i="31"/>
  <c r="F99" i="31" s="1"/>
  <c r="F48" i="31"/>
  <c r="F16" i="31"/>
  <c r="F98" i="31" s="1"/>
  <c r="F17" i="31"/>
  <c r="F91" i="31" s="1"/>
  <c r="F51" i="31"/>
  <c r="F50" i="31"/>
  <c r="F52" i="31"/>
  <c r="F53" i="31" s="1"/>
  <c r="F54" i="31"/>
  <c r="D42" i="29"/>
  <c r="D77" i="29"/>
  <c r="D78" i="29" s="1"/>
  <c r="D81" i="29" s="1"/>
  <c r="D141" i="29"/>
  <c r="D142" i="29"/>
  <c r="D41" i="29"/>
  <c r="D136" i="29"/>
  <c r="D137" i="29"/>
  <c r="E28" i="29"/>
  <c r="E59" i="29" s="1"/>
  <c r="D148" i="29"/>
  <c r="D160" i="29"/>
  <c r="D159" i="29" s="1"/>
  <c r="E47" i="29" s="1"/>
  <c r="D128" i="29"/>
  <c r="F284" i="1"/>
  <c r="F283" i="1" s="1"/>
  <c r="F310" i="27" s="1"/>
  <c r="G107" i="1"/>
  <c r="G130" i="27" s="1"/>
  <c r="D108" i="1"/>
  <c r="D131" i="27" s="1"/>
  <c r="H107" i="1"/>
  <c r="H130" i="27" s="1"/>
  <c r="F107" i="1"/>
  <c r="F130" i="27" s="1"/>
  <c r="E107" i="1"/>
  <c r="E130" i="27" s="1"/>
  <c r="G108" i="1"/>
  <c r="G131" i="27" s="1"/>
  <c r="E106" i="1"/>
  <c r="E129" i="27" s="1"/>
  <c r="G129" i="27"/>
  <c r="H252" i="1"/>
  <c r="H218" i="27"/>
  <c r="F252" i="1"/>
  <c r="F218" i="27"/>
  <c r="H129" i="27"/>
  <c r="D105" i="1"/>
  <c r="D128" i="27" s="1"/>
  <c r="D129" i="27"/>
  <c r="D252" i="1"/>
  <c r="D218" i="27"/>
  <c r="G252" i="1"/>
  <c r="G218" i="27"/>
  <c r="E252" i="1"/>
  <c r="E218" i="27"/>
  <c r="F105" i="1"/>
  <c r="F128" i="27" s="1"/>
  <c r="F129" i="27"/>
  <c r="H7" i="27"/>
  <c r="F6" i="27"/>
  <c r="I17" i="27"/>
  <c r="H6" i="27"/>
  <c r="F7" i="27"/>
  <c r="E7" i="27"/>
  <c r="D20" i="26"/>
  <c r="E20" i="26" s="1"/>
  <c r="D24" i="26"/>
  <c r="E24" i="26" s="1"/>
  <c r="E64" i="27"/>
  <c r="E62" i="27" s="1"/>
  <c r="E14" i="27"/>
  <c r="E11" i="27" s="1"/>
  <c r="I19" i="27"/>
  <c r="D7" i="27"/>
  <c r="H14" i="24"/>
  <c r="H15" i="24" s="1"/>
  <c r="H27" i="24" s="1"/>
  <c r="D28" i="26"/>
  <c r="H64" i="27"/>
  <c r="H61" i="27" s="1"/>
  <c r="H14" i="27"/>
  <c r="H11" i="27" s="1"/>
  <c r="D23" i="26"/>
  <c r="F10" i="27"/>
  <c r="D14" i="27"/>
  <c r="D5" i="27" s="1"/>
  <c r="D64" i="27"/>
  <c r="D62" i="27" s="1"/>
  <c r="I16" i="27"/>
  <c r="D6" i="27"/>
  <c r="E6" i="27"/>
  <c r="H320" i="1"/>
  <c r="D26" i="26"/>
  <c r="G64" i="27"/>
  <c r="G61" i="27" s="1"/>
  <c r="G14" i="27"/>
  <c r="G11" i="27" s="1"/>
  <c r="E10" i="27"/>
  <c r="I20" i="27"/>
  <c r="G7" i="27"/>
  <c r="G10" i="27"/>
  <c r="H13" i="27"/>
  <c r="I13" i="27" s="1"/>
  <c r="D25" i="26"/>
  <c r="E25" i="26" s="1"/>
  <c r="F64" i="27"/>
  <c r="F61" i="27" s="1"/>
  <c r="F14" i="27"/>
  <c r="F11" i="27" s="1"/>
  <c r="D10" i="27"/>
  <c r="E108" i="26"/>
  <c r="E109" i="26" s="1"/>
  <c r="E103" i="26"/>
  <c r="D278" i="1"/>
  <c r="D321" i="1" s="1"/>
  <c r="D307" i="1" s="1"/>
  <c r="D304" i="1" s="1"/>
  <c r="H278" i="1"/>
  <c r="H321" i="1" s="1"/>
  <c r="E281" i="1"/>
  <c r="E324" i="1" s="1"/>
  <c r="E239" i="1" s="1"/>
  <c r="H90" i="24"/>
  <c r="H268" i="1"/>
  <c r="G20" i="24"/>
  <c r="G250" i="1"/>
  <c r="E55" i="24"/>
  <c r="E259" i="1"/>
  <c r="F20" i="24"/>
  <c r="F250" i="1"/>
  <c r="G55" i="24"/>
  <c r="G259" i="1"/>
  <c r="E20" i="24"/>
  <c r="E250" i="1"/>
  <c r="D20" i="24"/>
  <c r="D250" i="1"/>
  <c r="H20" i="24"/>
  <c r="H250" i="1"/>
  <c r="F55" i="24"/>
  <c r="F259" i="1"/>
  <c r="F27" i="24"/>
  <c r="F266" i="27" s="1"/>
  <c r="F74" i="1"/>
  <c r="E27" i="24"/>
  <c r="E266" i="27" s="1"/>
  <c r="G62" i="24"/>
  <c r="G281" i="27" s="1"/>
  <c r="G27" i="24"/>
  <c r="G266" i="27" s="1"/>
  <c r="D254" i="1"/>
  <c r="D40" i="24"/>
  <c r="D58" i="24" s="1"/>
  <c r="F62" i="24"/>
  <c r="F281" i="27" s="1"/>
  <c r="E62" i="24"/>
  <c r="E281" i="27" s="1"/>
  <c r="H254" i="1"/>
  <c r="H40" i="24"/>
  <c r="H58" i="24" s="1"/>
  <c r="H62" i="24"/>
  <c r="H281" i="27" s="1"/>
  <c r="F263" i="1"/>
  <c r="F75" i="24"/>
  <c r="F93" i="24" s="1"/>
  <c r="E263" i="1"/>
  <c r="E75" i="24"/>
  <c r="E93" i="24" s="1"/>
  <c r="D263" i="1"/>
  <c r="D75" i="24"/>
  <c r="D93" i="24" s="1"/>
  <c r="G263" i="1"/>
  <c r="G75" i="24"/>
  <c r="G93" i="24" s="1"/>
  <c r="E97" i="24"/>
  <c r="E296" i="27" s="1"/>
  <c r="F97" i="24"/>
  <c r="F296" i="27" s="1"/>
  <c r="H97" i="24"/>
  <c r="H296" i="27" s="1"/>
  <c r="G284" i="1"/>
  <c r="G327" i="1" s="1"/>
  <c r="G97" i="24"/>
  <c r="G296" i="27" s="1"/>
  <c r="D57" i="14"/>
  <c r="D12" i="14"/>
  <c r="C84" i="16"/>
  <c r="C83" i="16" s="1"/>
  <c r="C57" i="16"/>
  <c r="D84" i="16"/>
  <c r="D57" i="16"/>
  <c r="D61" i="14"/>
  <c r="D60" i="14" s="1"/>
  <c r="D59" i="14" s="1"/>
  <c r="C60" i="14"/>
  <c r="C59" i="14" s="1"/>
  <c r="C85" i="16"/>
  <c r="C58" i="16"/>
  <c r="C84" i="14"/>
  <c r="C48" i="14" s="1"/>
  <c r="D43" i="12"/>
  <c r="D19" i="16"/>
  <c r="G55" i="12"/>
  <c r="G56" i="12"/>
  <c r="C26" i="19"/>
  <c r="C79" i="16"/>
  <c r="C78" i="16" s="1"/>
  <c r="C59" i="16" s="1"/>
  <c r="D80" i="16"/>
  <c r="D79" i="16" s="1"/>
  <c r="D78" i="16" s="1"/>
  <c r="D59" i="16" s="1"/>
  <c r="C116" i="16"/>
  <c r="C112" i="16"/>
  <c r="D20" i="16"/>
  <c r="D113" i="16" s="1"/>
  <c r="D116" i="16" s="1"/>
  <c r="D12" i="16"/>
  <c r="C89" i="16"/>
  <c r="C88" i="16" s="1"/>
  <c r="E35" i="16"/>
  <c r="D93" i="16"/>
  <c r="C92" i="16"/>
  <c r="C4" i="19"/>
  <c r="C93" i="14"/>
  <c r="C42" i="14"/>
  <c r="F26" i="12"/>
  <c r="F43" i="12"/>
  <c r="C53" i="16"/>
  <c r="C51" i="16" s="1"/>
  <c r="D37" i="16"/>
  <c r="F56" i="12"/>
  <c r="C95" i="14"/>
  <c r="D58" i="14"/>
  <c r="C56" i="14"/>
  <c r="C55" i="14" s="1"/>
  <c r="C50" i="14" s="1"/>
  <c r="C34" i="14"/>
  <c r="C32" i="14" s="1"/>
  <c r="D65" i="14"/>
  <c r="D29" i="16"/>
  <c r="D76" i="16" s="1"/>
  <c r="D75" i="16" s="1"/>
  <c r="D74" i="16" s="1"/>
  <c r="C103" i="16"/>
  <c r="C66" i="16"/>
  <c r="D18" i="16"/>
  <c r="D97" i="16" s="1"/>
  <c r="G25" i="19"/>
  <c r="H27" i="19" s="1"/>
  <c r="E78" i="1"/>
  <c r="G41" i="12"/>
  <c r="D41" i="12"/>
  <c r="F40" i="12"/>
  <c r="G40" i="12"/>
  <c r="D47" i="12"/>
  <c r="C23" i="12"/>
  <c r="C3" i="19" s="1"/>
  <c r="G25" i="12"/>
  <c r="C5" i="19" s="1"/>
  <c r="F30" i="12"/>
  <c r="C6" i="19" s="1"/>
  <c r="E51" i="12"/>
  <c r="E54" i="12" s="1"/>
  <c r="G63" i="1"/>
  <c r="F59" i="1"/>
  <c r="E55" i="1"/>
  <c r="D70" i="1"/>
  <c r="D95" i="1"/>
  <c r="D93" i="1" s="1"/>
  <c r="D103" i="27" s="1"/>
  <c r="E41" i="12"/>
  <c r="D40" i="12"/>
  <c r="E47" i="12"/>
  <c r="E37" i="16"/>
  <c r="G8" i="1"/>
  <c r="D160" i="1"/>
  <c r="H59" i="1"/>
  <c r="H60" i="1" s="1"/>
  <c r="E59" i="1"/>
  <c r="H70" i="1"/>
  <c r="F278" i="1"/>
  <c r="F321" i="1" s="1"/>
  <c r="F307" i="1" s="1"/>
  <c r="F304" i="1" s="1"/>
  <c r="G180" i="1"/>
  <c r="G195" i="1" s="1"/>
  <c r="G208" i="27" s="1"/>
  <c r="E175" i="1"/>
  <c r="E70" i="1"/>
  <c r="E26" i="1"/>
  <c r="E135" i="1" s="1"/>
  <c r="E169" i="27" s="1"/>
  <c r="H21" i="1"/>
  <c r="H142" i="1" s="1"/>
  <c r="G31" i="1"/>
  <c r="F31" i="1"/>
  <c r="E31" i="1"/>
  <c r="E326" i="1"/>
  <c r="D8" i="1"/>
  <c r="H14" i="1"/>
  <c r="H207" i="1"/>
  <c r="H243" i="27" s="1"/>
  <c r="F281" i="1"/>
  <c r="F324" i="1" s="1"/>
  <c r="F323" i="1"/>
  <c r="H284" i="1"/>
  <c r="H327" i="1" s="1"/>
  <c r="H326" i="1"/>
  <c r="D154" i="1"/>
  <c r="H154" i="1"/>
  <c r="F154" i="1"/>
  <c r="G160" i="1"/>
  <c r="E160" i="1"/>
  <c r="D281" i="1"/>
  <c r="D324" i="1" s="1"/>
  <c r="D323" i="1"/>
  <c r="E322" i="1"/>
  <c r="E330" i="27" s="1"/>
  <c r="E278" i="1"/>
  <c r="E321" i="1" s="1"/>
  <c r="E320" i="1"/>
  <c r="G21" i="1"/>
  <c r="G142" i="1" s="1"/>
  <c r="G320" i="1"/>
  <c r="D284" i="1"/>
  <c r="D327" i="1" s="1"/>
  <c r="D326" i="1"/>
  <c r="H204" i="1"/>
  <c r="H216" i="27" s="1"/>
  <c r="H239" i="27" s="1"/>
  <c r="G207" i="1"/>
  <c r="G243" i="27" s="1"/>
  <c r="H281" i="1"/>
  <c r="H324" i="1" s="1"/>
  <c r="H323" i="1"/>
  <c r="E154" i="1"/>
  <c r="F160" i="1"/>
  <c r="F175" i="1"/>
  <c r="F207" i="1"/>
  <c r="F243" i="27" s="1"/>
  <c r="E210" i="1"/>
  <c r="E247" i="27" s="1"/>
  <c r="H63" i="1"/>
  <c r="H89" i="27" s="1"/>
  <c r="F55" i="1"/>
  <c r="D63" i="1"/>
  <c r="D89" i="27" s="1"/>
  <c r="G91" i="1"/>
  <c r="G89" i="1" s="1"/>
  <c r="G102" i="27" s="1"/>
  <c r="D74" i="1"/>
  <c r="H175" i="1"/>
  <c r="D210" i="1"/>
  <c r="D247" i="27" s="1"/>
  <c r="D204" i="1"/>
  <c r="D216" i="27" s="1"/>
  <c r="D239" i="27" s="1"/>
  <c r="F95" i="1"/>
  <c r="F93" i="1" s="1"/>
  <c r="E280" i="1"/>
  <c r="E309" i="27" s="1"/>
  <c r="H160" i="1"/>
  <c r="E180" i="1"/>
  <c r="E40" i="24" s="1"/>
  <c r="E58" i="24" s="1"/>
  <c r="D55" i="1"/>
  <c r="H87" i="1"/>
  <c r="H85" i="1" s="1"/>
  <c r="H210" i="1"/>
  <c r="H247" i="27" s="1"/>
  <c r="G74" i="1"/>
  <c r="G95" i="27" s="1"/>
  <c r="G70" i="1"/>
  <c r="F78" i="1"/>
  <c r="F26" i="1"/>
  <c r="H31" i="1"/>
  <c r="D14" i="1"/>
  <c r="D59" i="1"/>
  <c r="D78" i="1"/>
  <c r="F21" i="1"/>
  <c r="E49" i="19" s="1"/>
  <c r="G154" i="1"/>
  <c r="H185" i="1"/>
  <c r="H75" i="24" s="1"/>
  <c r="H93" i="24" s="1"/>
  <c r="D175" i="1"/>
  <c r="G55" i="1"/>
  <c r="G87" i="27" s="1"/>
  <c r="F180" i="1"/>
  <c r="F40" i="24" s="1"/>
  <c r="F58" i="24" s="1"/>
  <c r="D207" i="1"/>
  <c r="D243" i="27" s="1"/>
  <c r="F210" i="1"/>
  <c r="F247" i="27" s="1"/>
  <c r="H55" i="1"/>
  <c r="F63" i="1"/>
  <c r="F89" i="27" s="1"/>
  <c r="E63" i="1"/>
  <c r="E89" i="27" s="1"/>
  <c r="G87" i="1"/>
  <c r="G85" i="1" s="1"/>
  <c r="G101" i="27" s="1"/>
  <c r="E95" i="1"/>
  <c r="E93" i="1" s="1"/>
  <c r="E103" i="27" s="1"/>
  <c r="D91" i="1"/>
  <c r="D89" i="1" s="1"/>
  <c r="D102" i="27" s="1"/>
  <c r="D26" i="1"/>
  <c r="H26" i="1"/>
  <c r="E21" i="1"/>
  <c r="D21" i="1"/>
  <c r="D31" i="1"/>
  <c r="E8" i="1"/>
  <c r="G278" i="1"/>
  <c r="F8" i="1"/>
  <c r="H8" i="1"/>
  <c r="G175" i="1"/>
  <c r="G210" i="1"/>
  <c r="G247" i="27" s="1"/>
  <c r="G204" i="1"/>
  <c r="G216" i="27" s="1"/>
  <c r="G239" i="27" s="1"/>
  <c r="E204" i="1"/>
  <c r="E216" i="27" s="1"/>
  <c r="E239" i="27" s="1"/>
  <c r="G59" i="1"/>
  <c r="E284" i="1"/>
  <c r="E327" i="1" s="1"/>
  <c r="F216" i="1"/>
  <c r="F240" i="27" s="1"/>
  <c r="F166" i="1"/>
  <c r="G220" i="1"/>
  <c r="G244" i="27" s="1"/>
  <c r="G166" i="1"/>
  <c r="H95" i="1"/>
  <c r="H93" i="1" s="1"/>
  <c r="H103" i="27" s="1"/>
  <c r="H78" i="1"/>
  <c r="H96" i="27" s="1"/>
  <c r="D198" i="1"/>
  <c r="D211" i="27" s="1"/>
  <c r="H195" i="1"/>
  <c r="H208" i="27" s="1"/>
  <c r="H216" i="1"/>
  <c r="H240" i="27" s="1"/>
  <c r="H166" i="1"/>
  <c r="D220" i="1"/>
  <c r="D244" i="27" s="1"/>
  <c r="D166" i="1"/>
  <c r="E220" i="1"/>
  <c r="E244" i="27" s="1"/>
  <c r="E166" i="1"/>
  <c r="D195" i="1"/>
  <c r="D208" i="27" s="1"/>
  <c r="G198" i="1"/>
  <c r="G211" i="27" s="1"/>
  <c r="F198" i="1"/>
  <c r="F211" i="27" s="1"/>
  <c r="E198" i="1"/>
  <c r="E211" i="27" s="1"/>
  <c r="E91" i="1"/>
  <c r="E89" i="1" s="1"/>
  <c r="E102" i="27" s="1"/>
  <c r="E74" i="1"/>
  <c r="E95" i="27" s="1"/>
  <c r="G26" i="1"/>
  <c r="G281" i="1"/>
  <c r="G324" i="1" s="1"/>
  <c r="F204" i="1"/>
  <c r="F216" i="27" s="1"/>
  <c r="F239" i="27" s="1"/>
  <c r="E207" i="1"/>
  <c r="E243" i="27" s="1"/>
  <c r="H91" i="1"/>
  <c r="H89" i="1" s="1"/>
  <c r="H102" i="27" s="1"/>
  <c r="H74" i="1"/>
  <c r="H95" i="27" s="1"/>
  <c r="G95" i="1"/>
  <c r="G93" i="1" s="1"/>
  <c r="G103" i="27" s="1"/>
  <c r="G78" i="1"/>
  <c r="G96" i="27" s="1"/>
  <c r="F91" i="1"/>
  <c r="F89" i="1" s="1"/>
  <c r="F102" i="27" s="1"/>
  <c r="F87" i="1"/>
  <c r="F85" i="1" s="1"/>
  <c r="F101" i="27" s="1"/>
  <c r="F70" i="1"/>
  <c r="F94" i="27" s="1"/>
  <c r="E87" i="1"/>
  <c r="E85" i="1" s="1"/>
  <c r="E101" i="27" s="1"/>
  <c r="D87" i="1"/>
  <c r="D85" i="1" s="1"/>
  <c r="D101" i="27" s="1"/>
  <c r="I131" i="27" l="1"/>
  <c r="F149" i="37"/>
  <c r="G29" i="37"/>
  <c r="G60" i="37" s="1"/>
  <c r="F27" i="37"/>
  <c r="F137" i="37"/>
  <c r="F138" i="37"/>
  <c r="F161" i="37"/>
  <c r="F160" i="37" s="1"/>
  <c r="F133" i="40" s="1"/>
  <c r="F129" i="37"/>
  <c r="F68" i="40" s="1"/>
  <c r="F142" i="39"/>
  <c r="F42" i="39"/>
  <c r="F78" i="39"/>
  <c r="F79" i="39" s="1"/>
  <c r="F82" i="39" s="1"/>
  <c r="F143" i="39"/>
  <c r="F43" i="39"/>
  <c r="F44" i="39" s="1"/>
  <c r="G148" i="39"/>
  <c r="G58" i="39"/>
  <c r="G61" i="39" s="1"/>
  <c r="G77" i="39"/>
  <c r="F327" i="1"/>
  <c r="F269" i="1" s="1"/>
  <c r="G66" i="36"/>
  <c r="F132" i="32"/>
  <c r="F101" i="32"/>
  <c r="M15" i="32"/>
  <c r="M16" i="32" s="1"/>
  <c r="F116" i="32"/>
  <c r="F111" i="32"/>
  <c r="N55" i="32"/>
  <c r="N56" i="32" s="1"/>
  <c r="F70" i="32"/>
  <c r="F74" i="32"/>
  <c r="F100" i="32"/>
  <c r="F97" i="32"/>
  <c r="N60" i="32"/>
  <c r="F61" i="32"/>
  <c r="F62" i="32" s="1"/>
  <c r="F96" i="31"/>
  <c r="F18" i="31"/>
  <c r="F97" i="31" s="1"/>
  <c r="F71" i="31"/>
  <c r="F23" i="31"/>
  <c r="F22" i="31" s="1"/>
  <c r="F110" i="31"/>
  <c r="F73" i="31"/>
  <c r="F15" i="31"/>
  <c r="F49" i="31"/>
  <c r="F76" i="31"/>
  <c r="F57" i="31"/>
  <c r="D43" i="29"/>
  <c r="E57" i="29"/>
  <c r="E21" i="29"/>
  <c r="E17" i="29"/>
  <c r="E54" i="29"/>
  <c r="E16" i="29"/>
  <c r="E48" i="29"/>
  <c r="E49" i="29" s="1"/>
  <c r="E51" i="29"/>
  <c r="E52" i="29"/>
  <c r="E53" i="29" s="1"/>
  <c r="E50" i="29"/>
  <c r="E105" i="1"/>
  <c r="E128" i="27" s="1"/>
  <c r="H105" i="1"/>
  <c r="H128" i="27" s="1"/>
  <c r="G105" i="1"/>
  <c r="G128" i="27" s="1"/>
  <c r="I130" i="27"/>
  <c r="D238" i="1"/>
  <c r="F49" i="19"/>
  <c r="E52" i="24"/>
  <c r="E44" i="24" s="1"/>
  <c r="E64" i="24" s="1"/>
  <c r="E283" i="27" s="1"/>
  <c r="D5" i="24"/>
  <c r="D23" i="24" s="1"/>
  <c r="D182" i="27"/>
  <c r="E60" i="24"/>
  <c r="E277" i="27"/>
  <c r="E5" i="24"/>
  <c r="E23" i="24" s="1"/>
  <c r="E182" i="27"/>
  <c r="D60" i="24"/>
  <c r="D277" i="27"/>
  <c r="H95" i="24"/>
  <c r="H292" i="27"/>
  <c r="G95" i="24"/>
  <c r="G292" i="27"/>
  <c r="E95" i="24"/>
  <c r="E292" i="27"/>
  <c r="D111" i="26"/>
  <c r="E111" i="26" s="1"/>
  <c r="H266" i="27"/>
  <c r="I129" i="27"/>
  <c r="F60" i="24"/>
  <c r="F277" i="27"/>
  <c r="H5" i="24"/>
  <c r="H23" i="24" s="1"/>
  <c r="H182" i="27"/>
  <c r="F5" i="24"/>
  <c r="F23" i="24" s="1"/>
  <c r="F182" i="27"/>
  <c r="H60" i="24"/>
  <c r="H277" i="27"/>
  <c r="G5" i="24"/>
  <c r="G23" i="24" s="1"/>
  <c r="G182" i="27"/>
  <c r="D95" i="24"/>
  <c r="D292" i="27"/>
  <c r="F95" i="24"/>
  <c r="F292" i="27"/>
  <c r="E61" i="27"/>
  <c r="G62" i="27"/>
  <c r="E101" i="1"/>
  <c r="D116" i="19" s="1"/>
  <c r="D251" i="1"/>
  <c r="H134" i="1"/>
  <c r="H168" i="27" s="1"/>
  <c r="D277" i="1"/>
  <c r="D308" i="27" s="1"/>
  <c r="D319" i="1"/>
  <c r="D329" i="27" s="1"/>
  <c r="D17" i="24"/>
  <c r="D9" i="24" s="1"/>
  <c r="D29" i="24" s="1"/>
  <c r="D268" i="27" s="1"/>
  <c r="E277" i="1"/>
  <c r="E308" i="27" s="1"/>
  <c r="H277" i="1"/>
  <c r="H308" i="27" s="1"/>
  <c r="G5" i="27"/>
  <c r="E4" i="27"/>
  <c r="F62" i="27"/>
  <c r="H319" i="1"/>
  <c r="H329" i="27" s="1"/>
  <c r="D30" i="26"/>
  <c r="D31" i="26" s="1"/>
  <c r="E26" i="26"/>
  <c r="E23" i="26"/>
  <c r="D22" i="26"/>
  <c r="D50" i="19"/>
  <c r="D79" i="1"/>
  <c r="D96" i="27"/>
  <c r="G71" i="1"/>
  <c r="G41" i="27" s="1"/>
  <c r="G94" i="27"/>
  <c r="H86" i="1"/>
  <c r="H101" i="27"/>
  <c r="J101" i="27" s="1"/>
  <c r="F56" i="1"/>
  <c r="F40" i="27" s="1"/>
  <c r="F87" i="27"/>
  <c r="D269" i="1"/>
  <c r="D105" i="19"/>
  <c r="E94" i="27"/>
  <c r="G105" i="19"/>
  <c r="H94" i="27"/>
  <c r="F60" i="1"/>
  <c r="F88" i="27"/>
  <c r="G4" i="27"/>
  <c r="E5" i="27"/>
  <c r="H62" i="27"/>
  <c r="I14" i="27"/>
  <c r="D11" i="27"/>
  <c r="I11" i="27" s="1"/>
  <c r="E56" i="1"/>
  <c r="E40" i="27" s="1"/>
  <c r="E87" i="27"/>
  <c r="E106" i="19"/>
  <c r="F95" i="27"/>
  <c r="I101" i="27"/>
  <c r="E269" i="1"/>
  <c r="C101" i="19"/>
  <c r="D88" i="27"/>
  <c r="D56" i="1"/>
  <c r="D40" i="27" s="1"/>
  <c r="D87" i="27"/>
  <c r="E112" i="19"/>
  <c r="F103" i="27"/>
  <c r="I103" i="27" s="1"/>
  <c r="C106" i="19"/>
  <c r="D95" i="27"/>
  <c r="D101" i="19"/>
  <c r="E88" i="27"/>
  <c r="G64" i="1"/>
  <c r="G89" i="27"/>
  <c r="I89" i="27" s="1"/>
  <c r="H10" i="27"/>
  <c r="H4" i="27" s="1"/>
  <c r="H5" i="27"/>
  <c r="D61" i="27"/>
  <c r="F4" i="27"/>
  <c r="I7" i="27"/>
  <c r="F79" i="1"/>
  <c r="F96" i="27"/>
  <c r="D107" i="19"/>
  <c r="E96" i="27"/>
  <c r="G269" i="1"/>
  <c r="I102" i="27"/>
  <c r="J102" i="27"/>
  <c r="F101" i="19"/>
  <c r="G88" i="27"/>
  <c r="H56" i="1"/>
  <c r="H40" i="27" s="1"/>
  <c r="H87" i="27"/>
  <c r="F277" i="1"/>
  <c r="F308" i="27" s="1"/>
  <c r="H269" i="1"/>
  <c r="G101" i="19"/>
  <c r="H88" i="27"/>
  <c r="D71" i="1"/>
  <c r="D41" i="27" s="1"/>
  <c r="D94" i="27"/>
  <c r="I6" i="27"/>
  <c r="F5" i="27"/>
  <c r="D27" i="26"/>
  <c r="E28" i="26"/>
  <c r="E27" i="26" s="1"/>
  <c r="H260" i="1"/>
  <c r="H311" i="1"/>
  <c r="H308" i="1" s="1"/>
  <c r="G49" i="19"/>
  <c r="C105" i="19"/>
  <c r="G41" i="1"/>
  <c r="G13" i="24" s="1"/>
  <c r="D260" i="1"/>
  <c r="D311" i="1"/>
  <c r="D308" i="1" s="1"/>
  <c r="G260" i="1"/>
  <c r="G311" i="1"/>
  <c r="G308" i="1" s="1"/>
  <c r="H41" i="1"/>
  <c r="H13" i="24" s="1"/>
  <c r="G134" i="1"/>
  <c r="G168" i="27" s="1"/>
  <c r="H100" i="1"/>
  <c r="G100" i="1"/>
  <c r="F260" i="1"/>
  <c r="F311" i="1"/>
  <c r="F308" i="1" s="1"/>
  <c r="E260" i="1"/>
  <c r="E311" i="1"/>
  <c r="E308" i="1" s="1"/>
  <c r="D100" i="19"/>
  <c r="E251" i="1"/>
  <c r="E307" i="1"/>
  <c r="E304" i="1" s="1"/>
  <c r="F75" i="1"/>
  <c r="H251" i="1"/>
  <c r="H307" i="1"/>
  <c r="H304" i="1" s="1"/>
  <c r="G101" i="1"/>
  <c r="G145" i="1"/>
  <c r="H135" i="1"/>
  <c r="H169" i="27" s="1"/>
  <c r="H145" i="1"/>
  <c r="D145" i="1"/>
  <c r="D135" i="1"/>
  <c r="D169" i="27" s="1"/>
  <c r="G51" i="19"/>
  <c r="H148" i="1"/>
  <c r="E44" i="1"/>
  <c r="E145" i="1"/>
  <c r="F319" i="1"/>
  <c r="F329" i="27" s="1"/>
  <c r="F251" i="1"/>
  <c r="C51" i="19"/>
  <c r="D148" i="1"/>
  <c r="D100" i="1"/>
  <c r="D134" i="1"/>
  <c r="D168" i="27" s="1"/>
  <c r="D142" i="1"/>
  <c r="F105" i="19"/>
  <c r="F136" i="1"/>
  <c r="F170" i="27" s="1"/>
  <c r="F148" i="1"/>
  <c r="E134" i="1"/>
  <c r="E168" i="27" s="1"/>
  <c r="E142" i="1"/>
  <c r="F100" i="1"/>
  <c r="F142" i="1"/>
  <c r="E50" i="19"/>
  <c r="F145" i="1"/>
  <c r="D51" i="19"/>
  <c r="E148" i="1"/>
  <c r="G47" i="1"/>
  <c r="G46" i="1" s="1"/>
  <c r="G148" i="1"/>
  <c r="C49" i="19"/>
  <c r="F41" i="1"/>
  <c r="F13" i="24" s="1"/>
  <c r="F134" i="1"/>
  <c r="F168" i="27" s="1"/>
  <c r="F94" i="1"/>
  <c r="E101" i="19"/>
  <c r="F280" i="1"/>
  <c r="F309" i="27" s="1"/>
  <c r="F47" i="1"/>
  <c r="F83" i="24" s="1"/>
  <c r="H280" i="1"/>
  <c r="H309" i="27" s="1"/>
  <c r="H322" i="1"/>
  <c r="H330" i="27" s="1"/>
  <c r="G239" i="1"/>
  <c r="G52" i="24"/>
  <c r="G44" i="24" s="1"/>
  <c r="G64" i="24" s="1"/>
  <c r="G283" i="27" s="1"/>
  <c r="E319" i="1"/>
  <c r="E329" i="27" s="1"/>
  <c r="D239" i="1"/>
  <c r="D52" i="24"/>
  <c r="G254" i="1"/>
  <c r="G40" i="24"/>
  <c r="G58" i="24" s="1"/>
  <c r="H239" i="1"/>
  <c r="H52" i="24"/>
  <c r="H44" i="24" s="1"/>
  <c r="H64" i="24" s="1"/>
  <c r="H283" i="27" s="1"/>
  <c r="F239" i="1"/>
  <c r="F52" i="24"/>
  <c r="D240" i="1"/>
  <c r="D266" i="1" s="1"/>
  <c r="D315" i="1" s="1"/>
  <c r="D312" i="1" s="1"/>
  <c r="D87" i="24"/>
  <c r="F102" i="19"/>
  <c r="H102" i="1"/>
  <c r="H20" i="1"/>
  <c r="G240" i="1"/>
  <c r="G266" i="1" s="1"/>
  <c r="G315" i="1" s="1"/>
  <c r="G312" i="1" s="1"/>
  <c r="G87" i="24"/>
  <c r="E79" i="1"/>
  <c r="G325" i="1"/>
  <c r="G331" i="27" s="1"/>
  <c r="H240" i="1"/>
  <c r="H266" i="1" s="1"/>
  <c r="H315" i="1" s="1"/>
  <c r="H312" i="1" s="1"/>
  <c r="H87" i="24"/>
  <c r="G283" i="1"/>
  <c r="G310" i="27" s="1"/>
  <c r="E240" i="1"/>
  <c r="E266" i="1" s="1"/>
  <c r="E315" i="1" s="1"/>
  <c r="E312" i="1" s="1"/>
  <c r="E87" i="24"/>
  <c r="D85" i="16"/>
  <c r="D58" i="16"/>
  <c r="C60" i="16"/>
  <c r="C91" i="16"/>
  <c r="D69" i="16"/>
  <c r="C69" i="16"/>
  <c r="E195" i="1"/>
  <c r="E208" i="27" s="1"/>
  <c r="E254" i="1"/>
  <c r="C102" i="16"/>
  <c r="C106" i="16"/>
  <c r="C66" i="14"/>
  <c r="C64" i="14" s="1"/>
  <c r="C69" i="14" s="1"/>
  <c r="C68" i="14" s="1"/>
  <c r="C39" i="14"/>
  <c r="D94" i="16"/>
  <c r="D92" i="16" s="1"/>
  <c r="D49" i="16"/>
  <c r="C40" i="14"/>
  <c r="C70" i="14"/>
  <c r="H198" i="1"/>
  <c r="H211" i="27" s="1"/>
  <c r="H263" i="1"/>
  <c r="E238" i="1"/>
  <c r="E17" i="24"/>
  <c r="H238" i="1"/>
  <c r="H17" i="24"/>
  <c r="E56" i="12"/>
  <c r="E57" i="12" s="1"/>
  <c r="E55" i="12"/>
  <c r="D30" i="16"/>
  <c r="D34" i="14"/>
  <c r="D32" i="14" s="1"/>
  <c r="D78" i="14"/>
  <c r="D77" i="14" s="1"/>
  <c r="F55" i="12"/>
  <c r="F26" i="19"/>
  <c r="F57" i="12"/>
  <c r="D40" i="14"/>
  <c r="D70" i="14"/>
  <c r="D83" i="16"/>
  <c r="D17" i="14"/>
  <c r="D45" i="14"/>
  <c r="F195" i="1"/>
  <c r="F208" i="27" s="1"/>
  <c r="F254" i="1"/>
  <c r="F238" i="1"/>
  <c r="F17" i="24"/>
  <c r="F9" i="24" s="1"/>
  <c r="F29" i="24" s="1"/>
  <c r="F268" i="27" s="1"/>
  <c r="E26" i="19"/>
  <c r="C87" i="16"/>
  <c r="C99" i="16"/>
  <c r="C67" i="16" s="1"/>
  <c r="D56" i="14"/>
  <c r="D55" i="14" s="1"/>
  <c r="E192" i="1"/>
  <c r="E205" i="27" s="1"/>
  <c r="E245" i="1"/>
  <c r="H192" i="1"/>
  <c r="H205" i="27" s="1"/>
  <c r="H245" i="1"/>
  <c r="D192" i="1"/>
  <c r="D205" i="27" s="1"/>
  <c r="D245" i="1"/>
  <c r="G192" i="1"/>
  <c r="G205" i="27" s="1"/>
  <c r="G245" i="1"/>
  <c r="F192" i="1"/>
  <c r="F205" i="27" s="1"/>
  <c r="F245" i="1"/>
  <c r="G136" i="1"/>
  <c r="G170" i="27" s="1"/>
  <c r="C107" i="19"/>
  <c r="E136" i="1"/>
  <c r="E170" i="27" s="1"/>
  <c r="E60" i="1"/>
  <c r="E102" i="1"/>
  <c r="E54" i="1"/>
  <c r="E51" i="19"/>
  <c r="H101" i="1"/>
  <c r="F135" i="1"/>
  <c r="F169" i="27" s="1"/>
  <c r="E71" i="1"/>
  <c r="F102" i="1"/>
  <c r="F101" i="1"/>
  <c r="E100" i="19"/>
  <c r="H44" i="1"/>
  <c r="H48" i="24" s="1"/>
  <c r="G50" i="19"/>
  <c r="F54" i="1"/>
  <c r="H71" i="1"/>
  <c r="G102" i="1"/>
  <c r="E107" i="19"/>
  <c r="E203" i="1"/>
  <c r="E238" i="27" s="1"/>
  <c r="F322" i="1"/>
  <c r="F330" i="27" s="1"/>
  <c r="E47" i="1"/>
  <c r="E83" i="24" s="1"/>
  <c r="D47" i="1"/>
  <c r="D75" i="1"/>
  <c r="F51" i="19"/>
  <c r="G20" i="1"/>
  <c r="H203" i="1"/>
  <c r="E325" i="1"/>
  <c r="E331" i="27" s="1"/>
  <c r="D136" i="1"/>
  <c r="D170" i="27" s="1"/>
  <c r="G277" i="1"/>
  <c r="G308" i="27" s="1"/>
  <c r="G321" i="1"/>
  <c r="G319" i="1" s="1"/>
  <c r="G329" i="27" s="1"/>
  <c r="D280" i="1"/>
  <c r="D309" i="27" s="1"/>
  <c r="D54" i="1"/>
  <c r="C50" i="19"/>
  <c r="D101" i="1"/>
  <c r="D102" i="1"/>
  <c r="D283" i="1"/>
  <c r="D310" i="27" s="1"/>
  <c r="D203" i="1"/>
  <c r="D238" i="27" s="1"/>
  <c r="G322" i="1"/>
  <c r="G330" i="27" s="1"/>
  <c r="F20" i="1"/>
  <c r="F44" i="1"/>
  <c r="H283" i="1"/>
  <c r="H310" i="27" s="1"/>
  <c r="D325" i="1"/>
  <c r="D331" i="27" s="1"/>
  <c r="D322" i="1"/>
  <c r="D330" i="27" s="1"/>
  <c r="H325" i="1"/>
  <c r="H331" i="27" s="1"/>
  <c r="H69" i="1"/>
  <c r="G102" i="19"/>
  <c r="H64" i="1"/>
  <c r="C102" i="19"/>
  <c r="D64" i="1"/>
  <c r="D69" i="1"/>
  <c r="G110" i="19"/>
  <c r="H47" i="1"/>
  <c r="H84" i="1"/>
  <c r="C100" i="19"/>
  <c r="D60" i="1"/>
  <c r="H136" i="1"/>
  <c r="H170" i="27" s="1"/>
  <c r="G203" i="1"/>
  <c r="G238" i="27" s="1"/>
  <c r="F106" i="19"/>
  <c r="G75" i="1"/>
  <c r="D90" i="1"/>
  <c r="C111" i="19"/>
  <c r="E41" i="1"/>
  <c r="D49" i="19"/>
  <c r="H54" i="1"/>
  <c r="G60" i="1"/>
  <c r="F111" i="19"/>
  <c r="G90" i="1"/>
  <c r="D102" i="19"/>
  <c r="E64" i="1"/>
  <c r="D41" i="1"/>
  <c r="D112" i="19"/>
  <c r="E94" i="1"/>
  <c r="F100" i="19"/>
  <c r="G56" i="1"/>
  <c r="E20" i="1"/>
  <c r="G54" i="1"/>
  <c r="G100" i="19"/>
  <c r="D20" i="1"/>
  <c r="D44" i="1"/>
  <c r="E100" i="1"/>
  <c r="E102" i="19"/>
  <c r="F64" i="1"/>
  <c r="F130" i="1" s="1"/>
  <c r="F110" i="27" s="1"/>
  <c r="F110" i="19"/>
  <c r="G86" i="1"/>
  <c r="G84" i="1"/>
  <c r="F69" i="1"/>
  <c r="E105" i="19"/>
  <c r="F71" i="1"/>
  <c r="F41" i="27" s="1"/>
  <c r="F107" i="19"/>
  <c r="G79" i="1"/>
  <c r="G69" i="1"/>
  <c r="D106" i="19"/>
  <c r="E69" i="1"/>
  <c r="E75" i="1"/>
  <c r="G112" i="19"/>
  <c r="H94" i="1"/>
  <c r="G111" i="19"/>
  <c r="H90" i="1"/>
  <c r="G107" i="19"/>
  <c r="H79" i="1"/>
  <c r="H43" i="1"/>
  <c r="H255" i="1" s="1"/>
  <c r="E110" i="19"/>
  <c r="F84" i="1"/>
  <c r="F86" i="1"/>
  <c r="G94" i="1"/>
  <c r="F112" i="19"/>
  <c r="G280" i="1"/>
  <c r="G309" i="27" s="1"/>
  <c r="D111" i="19"/>
  <c r="E90" i="1"/>
  <c r="E84" i="1"/>
  <c r="E86" i="1"/>
  <c r="D110" i="19"/>
  <c r="C112" i="19"/>
  <c r="D94" i="1"/>
  <c r="D84" i="1"/>
  <c r="C110" i="19"/>
  <c r="D86" i="1"/>
  <c r="E111" i="19"/>
  <c r="F90" i="1"/>
  <c r="G106" i="19"/>
  <c r="H75" i="1"/>
  <c r="H129" i="1" s="1"/>
  <c r="H109" i="27" s="1"/>
  <c r="F203" i="1"/>
  <c r="F238" i="27" s="1"/>
  <c r="G135" i="1"/>
  <c r="G169" i="27" s="1"/>
  <c r="F50" i="19"/>
  <c r="G44" i="1"/>
  <c r="G48" i="24" s="1"/>
  <c r="E283" i="1"/>
  <c r="F87" i="24" l="1"/>
  <c r="F142" i="37"/>
  <c r="F42" i="37"/>
  <c r="F43" i="37"/>
  <c r="F44" i="37" s="1"/>
  <c r="F78" i="37"/>
  <c r="F79" i="37" s="1"/>
  <c r="F82" i="37" s="1"/>
  <c r="F143" i="37"/>
  <c r="F240" i="1"/>
  <c r="F266" i="1" s="1"/>
  <c r="F315" i="1" s="1"/>
  <c r="F312" i="1" s="1"/>
  <c r="G77" i="37"/>
  <c r="G58" i="37"/>
  <c r="G61" i="37" s="1"/>
  <c r="G148" i="37"/>
  <c r="F325" i="1"/>
  <c r="F331" i="27" s="1"/>
  <c r="G136" i="39"/>
  <c r="C136" i="39"/>
  <c r="C134" i="39" s="1"/>
  <c r="C131" i="39" s="1"/>
  <c r="C44" i="40" s="1"/>
  <c r="H136" i="39"/>
  <c r="F136" i="39"/>
  <c r="F134" i="39" s="1"/>
  <c r="F131" i="39" s="1"/>
  <c r="F44" i="40" s="1"/>
  <c r="D136" i="39"/>
  <c r="D134" i="39" s="1"/>
  <c r="D131" i="39" s="1"/>
  <c r="D44" i="40" s="1"/>
  <c r="E136" i="39"/>
  <c r="E134" i="39" s="1"/>
  <c r="E131" i="39" s="1"/>
  <c r="E44" i="40" s="1"/>
  <c r="G62" i="39"/>
  <c r="G63" i="39" s="1"/>
  <c r="O61" i="39"/>
  <c r="H136" i="37"/>
  <c r="D136" i="37"/>
  <c r="D134" i="37" s="1"/>
  <c r="D131" i="37" s="1"/>
  <c r="D46" i="40" s="1"/>
  <c r="H136" i="36"/>
  <c r="D136" i="36"/>
  <c r="D134" i="36" s="1"/>
  <c r="D131" i="36" s="1"/>
  <c r="D45" i="40" s="1"/>
  <c r="G136" i="37"/>
  <c r="C136" i="37"/>
  <c r="C134" i="37" s="1"/>
  <c r="C131" i="37" s="1"/>
  <c r="C46" i="40" s="1"/>
  <c r="G136" i="36"/>
  <c r="C136" i="36"/>
  <c r="C134" i="36" s="1"/>
  <c r="C131" i="36" s="1"/>
  <c r="C45" i="40" s="1"/>
  <c r="F136" i="37"/>
  <c r="F134" i="37" s="1"/>
  <c r="F131" i="37" s="1"/>
  <c r="F46" i="40" s="1"/>
  <c r="F136" i="36"/>
  <c r="F134" i="36" s="1"/>
  <c r="F131" i="36" s="1"/>
  <c r="F45" i="40" s="1"/>
  <c r="E136" i="37"/>
  <c r="E134" i="37" s="1"/>
  <c r="E131" i="37" s="1"/>
  <c r="E46" i="40" s="1"/>
  <c r="E136" i="36"/>
  <c r="E134" i="36" s="1"/>
  <c r="E131" i="36" s="1"/>
  <c r="E45" i="40" s="1"/>
  <c r="O66" i="36"/>
  <c r="G38" i="36"/>
  <c r="F135" i="32"/>
  <c r="E135" i="32"/>
  <c r="E133" i="32" s="1"/>
  <c r="E130" i="32" s="1"/>
  <c r="F135" i="31"/>
  <c r="C135" i="32"/>
  <c r="C133" i="32" s="1"/>
  <c r="C130" i="32" s="1"/>
  <c r="G135" i="31"/>
  <c r="H135" i="32"/>
  <c r="D135" i="32"/>
  <c r="D133" i="32" s="1"/>
  <c r="D130" i="32" s="1"/>
  <c r="E135" i="31"/>
  <c r="E133" i="31" s="1"/>
  <c r="E130" i="31" s="1"/>
  <c r="G135" i="32"/>
  <c r="H135" i="31"/>
  <c r="D135" i="31"/>
  <c r="D133" i="31" s="1"/>
  <c r="D130" i="31" s="1"/>
  <c r="C135" i="31"/>
  <c r="C133" i="31" s="1"/>
  <c r="C130" i="31" s="1"/>
  <c r="G135" i="29"/>
  <c r="C135" i="29"/>
  <c r="C133" i="29" s="1"/>
  <c r="C130" i="29" s="1"/>
  <c r="H135" i="29"/>
  <c r="F135" i="29"/>
  <c r="E135" i="29"/>
  <c r="D135" i="29"/>
  <c r="D133" i="29" s="1"/>
  <c r="D130" i="29" s="1"/>
  <c r="F119" i="32"/>
  <c r="F157" i="32" s="1"/>
  <c r="F72" i="32"/>
  <c r="F75" i="32" s="1"/>
  <c r="F120" i="32"/>
  <c r="F131" i="32"/>
  <c r="G94" i="32"/>
  <c r="F95" i="32"/>
  <c r="F125" i="32"/>
  <c r="F121" i="32"/>
  <c r="F156" i="32"/>
  <c r="F155" i="32" s="1"/>
  <c r="F117" i="32"/>
  <c r="F124" i="32" s="1"/>
  <c r="F64" i="32"/>
  <c r="F79" i="32" s="1"/>
  <c r="N62" i="32"/>
  <c r="F74" i="31"/>
  <c r="F100" i="31"/>
  <c r="F132" i="31"/>
  <c r="F101" i="31"/>
  <c r="M15" i="31"/>
  <c r="M16" i="31" s="1"/>
  <c r="F95" i="31"/>
  <c r="G94" i="31"/>
  <c r="F92" i="31"/>
  <c r="F115" i="31"/>
  <c r="F55" i="31"/>
  <c r="N49" i="31"/>
  <c r="N50" i="31" s="1"/>
  <c r="E76" i="29"/>
  <c r="E99" i="29"/>
  <c r="E71" i="29"/>
  <c r="E23" i="29"/>
  <c r="E22" i="29" s="1"/>
  <c r="E91" i="29"/>
  <c r="E90" i="29" s="1"/>
  <c r="E115" i="29"/>
  <c r="M49" i="29"/>
  <c r="M50" i="29" s="1"/>
  <c r="E55" i="29"/>
  <c r="E111" i="29" s="1"/>
  <c r="E73" i="29"/>
  <c r="E110" i="29"/>
  <c r="E15" i="29"/>
  <c r="E98" i="29"/>
  <c r="E96" i="29"/>
  <c r="E18" i="29"/>
  <c r="E97" i="29" s="1"/>
  <c r="I128" i="27"/>
  <c r="E123" i="27"/>
  <c r="I168" i="27"/>
  <c r="I331" i="27"/>
  <c r="I170" i="27"/>
  <c r="H40" i="1"/>
  <c r="H289" i="1" s="1"/>
  <c r="H315" i="27" s="1"/>
  <c r="I309" i="27"/>
  <c r="H143" i="1"/>
  <c r="H176" i="27" s="1"/>
  <c r="H279" i="27"/>
  <c r="H25" i="24"/>
  <c r="H262" i="27"/>
  <c r="D8" i="26"/>
  <c r="E8" i="26" s="1"/>
  <c r="H238" i="27"/>
  <c r="G60" i="24"/>
  <c r="G277" i="27"/>
  <c r="I169" i="27"/>
  <c r="I329" i="27"/>
  <c r="F146" i="1"/>
  <c r="F177" i="27" s="1"/>
  <c r="F294" i="27"/>
  <c r="G25" i="24"/>
  <c r="G262" i="27"/>
  <c r="G146" i="1"/>
  <c r="G177" i="27" s="1"/>
  <c r="G294" i="27"/>
  <c r="D143" i="1"/>
  <c r="D176" i="27" s="1"/>
  <c r="D279" i="27"/>
  <c r="E143" i="1"/>
  <c r="E176" i="27" s="1"/>
  <c r="E279" i="27"/>
  <c r="E276" i="1"/>
  <c r="E307" i="27" s="1"/>
  <c r="E310" i="27"/>
  <c r="I310" i="27" s="1"/>
  <c r="I330" i="27"/>
  <c r="I308" i="27"/>
  <c r="F25" i="24"/>
  <c r="F262" i="27"/>
  <c r="F143" i="1"/>
  <c r="F176" i="27" s="1"/>
  <c r="F279" i="27"/>
  <c r="D146" i="1"/>
  <c r="D177" i="27" s="1"/>
  <c r="D294" i="27"/>
  <c r="E146" i="1"/>
  <c r="E177" i="27" s="1"/>
  <c r="E294" i="27"/>
  <c r="H146" i="1"/>
  <c r="H177" i="27" s="1"/>
  <c r="H294" i="27"/>
  <c r="E25" i="24"/>
  <c r="E262" i="27"/>
  <c r="D25" i="24"/>
  <c r="D262" i="27"/>
  <c r="G130" i="1"/>
  <c r="G110" i="27" s="1"/>
  <c r="I5" i="27"/>
  <c r="E133" i="1"/>
  <c r="E167" i="27" s="1"/>
  <c r="F133" i="1"/>
  <c r="F167" i="27" s="1"/>
  <c r="F276" i="1"/>
  <c r="F307" i="27" s="1"/>
  <c r="D303" i="1"/>
  <c r="D128" i="1"/>
  <c r="D108" i="27" s="1"/>
  <c r="J89" i="27"/>
  <c r="D120" i="1"/>
  <c r="D115" i="27" s="1"/>
  <c r="G40" i="1"/>
  <c r="G246" i="1" s="1"/>
  <c r="D48" i="19"/>
  <c r="H133" i="1"/>
  <c r="H167" i="27" s="1"/>
  <c r="E48" i="19"/>
  <c r="D237" i="1"/>
  <c r="J103" i="27"/>
  <c r="I10" i="27"/>
  <c r="E22" i="26"/>
  <c r="E99" i="26" s="1"/>
  <c r="E116" i="19"/>
  <c r="F123" i="27"/>
  <c r="G115" i="19"/>
  <c r="H122" i="27"/>
  <c r="I94" i="27"/>
  <c r="J94" i="27"/>
  <c r="C109" i="19"/>
  <c r="D100" i="27"/>
  <c r="D104" i="19"/>
  <c r="E93" i="27"/>
  <c r="F109" i="19"/>
  <c r="G100" i="27"/>
  <c r="C117" i="19"/>
  <c r="D124" i="27"/>
  <c r="F117" i="19"/>
  <c r="G124" i="27"/>
  <c r="E117" i="19"/>
  <c r="F124" i="27"/>
  <c r="G117" i="19"/>
  <c r="H124" i="27"/>
  <c r="E115" i="19"/>
  <c r="F122" i="27"/>
  <c r="D133" i="1"/>
  <c r="D167" i="27" s="1"/>
  <c r="F129" i="1"/>
  <c r="F109" i="27" s="1"/>
  <c r="D4" i="27"/>
  <c r="I4" i="27" s="1"/>
  <c r="E30" i="26"/>
  <c r="D66" i="26"/>
  <c r="D10" i="26"/>
  <c r="D29" i="26"/>
  <c r="D49" i="26"/>
  <c r="D11" i="26"/>
  <c r="E104" i="19"/>
  <c r="F93" i="27"/>
  <c r="G128" i="1"/>
  <c r="G108" i="27" s="1"/>
  <c r="G40" i="27"/>
  <c r="C115" i="19"/>
  <c r="D122" i="27"/>
  <c r="I87" i="27"/>
  <c r="J87" i="27"/>
  <c r="F99" i="19"/>
  <c r="G86" i="27"/>
  <c r="C104" i="19"/>
  <c r="D93" i="27"/>
  <c r="C116" i="19"/>
  <c r="D123" i="27"/>
  <c r="C99" i="19"/>
  <c r="D86" i="27"/>
  <c r="H120" i="1"/>
  <c r="H115" i="27" s="1"/>
  <c r="H41" i="27"/>
  <c r="E128" i="1"/>
  <c r="E108" i="27" s="1"/>
  <c r="E41" i="27"/>
  <c r="D99" i="19"/>
  <c r="E86" i="27"/>
  <c r="F116" i="19"/>
  <c r="G123" i="27"/>
  <c r="E303" i="1"/>
  <c r="J88" i="27"/>
  <c r="I88" i="27"/>
  <c r="D99" i="26"/>
  <c r="D21" i="26"/>
  <c r="D67" i="26" s="1"/>
  <c r="D72" i="26"/>
  <c r="E31" i="26"/>
  <c r="G116" i="19"/>
  <c r="H123" i="27"/>
  <c r="F303" i="1"/>
  <c r="J95" i="27"/>
  <c r="I95" i="27"/>
  <c r="D109" i="19"/>
  <c r="E100" i="27"/>
  <c r="E109" i="19"/>
  <c r="F100" i="27"/>
  <c r="D115" i="19"/>
  <c r="E122" i="27"/>
  <c r="F104" i="19"/>
  <c r="G93" i="27"/>
  <c r="G99" i="19"/>
  <c r="H86" i="27"/>
  <c r="G109" i="19"/>
  <c r="H100" i="27"/>
  <c r="D130" i="1"/>
  <c r="D110" i="27" s="1"/>
  <c r="G104" i="19"/>
  <c r="H93" i="27"/>
  <c r="E99" i="19"/>
  <c r="F86" i="27"/>
  <c r="D117" i="19"/>
  <c r="E124" i="27"/>
  <c r="F115" i="19"/>
  <c r="G122" i="27"/>
  <c r="I96" i="27"/>
  <c r="J96" i="27"/>
  <c r="G26" i="24"/>
  <c r="H26" i="24"/>
  <c r="H9" i="24"/>
  <c r="H29" i="24" s="1"/>
  <c r="H268" i="27" s="1"/>
  <c r="F121" i="1"/>
  <c r="F116" i="27" s="1"/>
  <c r="H237" i="1"/>
  <c r="F46" i="1"/>
  <c r="E75" i="19" s="1"/>
  <c r="F145" i="27" s="1"/>
  <c r="E237" i="1"/>
  <c r="H303" i="1"/>
  <c r="G251" i="1"/>
  <c r="G307" i="1"/>
  <c r="G304" i="1" s="1"/>
  <c r="G303" i="1" s="1"/>
  <c r="G48" i="19"/>
  <c r="F40" i="1"/>
  <c r="F295" i="1" s="1"/>
  <c r="F322" i="27" s="1"/>
  <c r="H49" i="19"/>
  <c r="C48" i="19"/>
  <c r="G83" i="24"/>
  <c r="G96" i="24" s="1"/>
  <c r="G264" i="1"/>
  <c r="G297" i="1"/>
  <c r="F258" i="1"/>
  <c r="F256" i="1" s="1"/>
  <c r="F267" i="1"/>
  <c r="F265" i="1" s="1"/>
  <c r="F249" i="1"/>
  <c r="F247" i="1" s="1"/>
  <c r="G249" i="1"/>
  <c r="G247" i="1" s="1"/>
  <c r="G267" i="1"/>
  <c r="G258" i="1"/>
  <c r="G256" i="1" s="1"/>
  <c r="H51" i="19"/>
  <c r="H100" i="24"/>
  <c r="H299" i="27" s="1"/>
  <c r="D267" i="1"/>
  <c r="D265" i="1" s="1"/>
  <c r="D258" i="1"/>
  <c r="D256" i="1" s="1"/>
  <c r="D249" i="1"/>
  <c r="D247" i="1" s="1"/>
  <c r="E30" i="24"/>
  <c r="E269" i="27" s="1"/>
  <c r="E9" i="24"/>
  <c r="E29" i="24" s="1"/>
  <c r="E268" i="27" s="1"/>
  <c r="E100" i="24"/>
  <c r="E299" i="27" s="1"/>
  <c r="H80" i="24"/>
  <c r="H79" i="24" s="1"/>
  <c r="H99" i="24" s="1"/>
  <c r="H298" i="27" s="1"/>
  <c r="G80" i="24"/>
  <c r="G79" i="24" s="1"/>
  <c r="G99" i="24" s="1"/>
  <c r="G298" i="27" s="1"/>
  <c r="G265" i="1"/>
  <c r="E65" i="24"/>
  <c r="E284" i="27" s="1"/>
  <c r="D44" i="24"/>
  <c r="D64" i="24" s="1"/>
  <c r="D283" i="27" s="1"/>
  <c r="H267" i="1"/>
  <c r="H265" i="1" s="1"/>
  <c r="H258" i="1"/>
  <c r="H256" i="1" s="1"/>
  <c r="H253" i="1" s="1"/>
  <c r="H249" i="1"/>
  <c r="H247" i="1" s="1"/>
  <c r="E80" i="24"/>
  <c r="E79" i="24" s="1"/>
  <c r="E99" i="24" s="1"/>
  <c r="E298" i="27" s="1"/>
  <c r="D80" i="24"/>
  <c r="D79" i="24" s="1"/>
  <c r="D99" i="24" s="1"/>
  <c r="D298" i="27" s="1"/>
  <c r="E258" i="1"/>
  <c r="E256" i="1" s="1"/>
  <c r="E249" i="1"/>
  <c r="E247" i="1" s="1"/>
  <c r="E267" i="1"/>
  <c r="E265" i="1" s="1"/>
  <c r="F80" i="24"/>
  <c r="F79" i="24" s="1"/>
  <c r="F99" i="24" s="1"/>
  <c r="F298" i="27" s="1"/>
  <c r="F65" i="24"/>
  <c r="F284" i="27" s="1"/>
  <c r="F44" i="24"/>
  <c r="F64" i="24" s="1"/>
  <c r="F283" i="27" s="1"/>
  <c r="E48" i="24"/>
  <c r="E43" i="1"/>
  <c r="H276" i="1"/>
  <c r="H307" i="27" s="1"/>
  <c r="D129" i="1"/>
  <c r="H65" i="24"/>
  <c r="H284" i="27" s="1"/>
  <c r="E318" i="1"/>
  <c r="E328" i="27" s="1"/>
  <c r="H318" i="1"/>
  <c r="H328" i="27" s="1"/>
  <c r="G133" i="1"/>
  <c r="G167" i="27" s="1"/>
  <c r="F237" i="1"/>
  <c r="D43" i="1"/>
  <c r="D296" i="1" s="1"/>
  <c r="D48" i="24"/>
  <c r="F43" i="1"/>
  <c r="F183" i="1" s="1"/>
  <c r="F179" i="1" s="1"/>
  <c r="F48" i="24"/>
  <c r="H61" i="24"/>
  <c r="G65" i="24"/>
  <c r="G284" i="27" s="1"/>
  <c r="I239" i="1"/>
  <c r="E122" i="1"/>
  <c r="E117" i="27" s="1"/>
  <c r="E130" i="1"/>
  <c r="E110" i="27" s="1"/>
  <c r="E46" i="1"/>
  <c r="E264" i="1" s="1"/>
  <c r="D46" i="1"/>
  <c r="D264" i="1" s="1"/>
  <c r="D83" i="24"/>
  <c r="E96" i="24" s="1"/>
  <c r="I240" i="1"/>
  <c r="G291" i="1"/>
  <c r="G317" i="27" s="1"/>
  <c r="F75" i="19"/>
  <c r="G145" i="27" s="1"/>
  <c r="G188" i="1"/>
  <c r="G184" i="1" s="1"/>
  <c r="F100" i="24"/>
  <c r="F299" i="27" s="1"/>
  <c r="G114" i="1"/>
  <c r="F96" i="24"/>
  <c r="H46" i="1"/>
  <c r="H264" i="1" s="1"/>
  <c r="H83" i="24"/>
  <c r="G99" i="1"/>
  <c r="G100" i="24"/>
  <c r="G299" i="27" s="1"/>
  <c r="F30" i="24"/>
  <c r="F269" i="27" s="1"/>
  <c r="D91" i="16"/>
  <c r="D60" i="16"/>
  <c r="F318" i="1"/>
  <c r="F328" i="27" s="1"/>
  <c r="D39" i="14"/>
  <c r="D66" i="14"/>
  <c r="D64" i="14" s="1"/>
  <c r="D69" i="14" s="1"/>
  <c r="D68" i="14" s="1"/>
  <c r="D50" i="14"/>
  <c r="D20" i="14"/>
  <c r="D46" i="14"/>
  <c r="D74" i="14"/>
  <c r="D73" i="14" s="1"/>
  <c r="D40" i="1"/>
  <c r="D246" i="1" s="1"/>
  <c r="D13" i="24"/>
  <c r="D35" i="16"/>
  <c r="D64" i="16"/>
  <c r="C110" i="16"/>
  <c r="F255" i="1"/>
  <c r="D52" i="16"/>
  <c r="D51" i="16" s="1"/>
  <c r="D48" i="16"/>
  <c r="E40" i="1"/>
  <c r="D73" i="19" s="1"/>
  <c r="E143" i="27" s="1"/>
  <c r="E13" i="24"/>
  <c r="F26" i="24" s="1"/>
  <c r="G238" i="1"/>
  <c r="G237" i="1" s="1"/>
  <c r="G17" i="24"/>
  <c r="D76" i="14"/>
  <c r="D41" i="14"/>
  <c r="D57" i="12"/>
  <c r="D26" i="19"/>
  <c r="H56" i="12"/>
  <c r="I56" i="12"/>
  <c r="C117" i="16"/>
  <c r="C108" i="16"/>
  <c r="C61" i="16"/>
  <c r="C100" i="16"/>
  <c r="C107" i="16" s="1"/>
  <c r="E120" i="1"/>
  <c r="E115" i="27" s="1"/>
  <c r="H246" i="1"/>
  <c r="H50" i="19"/>
  <c r="H99" i="1"/>
  <c r="F99" i="1"/>
  <c r="D99" i="1"/>
  <c r="D122" i="1"/>
  <c r="D117" i="27" s="1"/>
  <c r="G276" i="1"/>
  <c r="G307" i="27" s="1"/>
  <c r="H128" i="1"/>
  <c r="H108" i="27" s="1"/>
  <c r="D276" i="1"/>
  <c r="D307" i="27" s="1"/>
  <c r="D318" i="1"/>
  <c r="D328" i="27" s="1"/>
  <c r="G318" i="1"/>
  <c r="G328" i="27" s="1"/>
  <c r="G121" i="1"/>
  <c r="G116" i="27" s="1"/>
  <c r="G120" i="1"/>
  <c r="G115" i="27" s="1"/>
  <c r="E99" i="1"/>
  <c r="F48" i="19"/>
  <c r="G122" i="1"/>
  <c r="G117" i="27" s="1"/>
  <c r="G129" i="1"/>
  <c r="G109" i="27" s="1"/>
  <c r="D121" i="1"/>
  <c r="D116" i="27" s="1"/>
  <c r="L20" i="1"/>
  <c r="F122" i="1"/>
  <c r="F117" i="27" s="1"/>
  <c r="E129" i="1"/>
  <c r="E109" i="27" s="1"/>
  <c r="E121" i="1"/>
  <c r="E116" i="27" s="1"/>
  <c r="F112" i="1"/>
  <c r="F136" i="27" s="1"/>
  <c r="H178" i="1"/>
  <c r="H121" i="1"/>
  <c r="H116" i="27" s="1"/>
  <c r="H183" i="1"/>
  <c r="H179" i="1" s="1"/>
  <c r="H296" i="1"/>
  <c r="H113" i="1"/>
  <c r="H137" i="27" s="1"/>
  <c r="H290" i="1"/>
  <c r="H316" i="27" s="1"/>
  <c r="F120" i="1"/>
  <c r="F115" i="27" s="1"/>
  <c r="F128" i="1"/>
  <c r="G43" i="1"/>
  <c r="G74" i="19"/>
  <c r="H144" i="27" s="1"/>
  <c r="H130" i="1"/>
  <c r="H110" i="27" s="1"/>
  <c r="H122" i="1"/>
  <c r="H117" i="27" s="1"/>
  <c r="O61" i="37" l="1"/>
  <c r="G62" i="37"/>
  <c r="G63" i="37" s="1"/>
  <c r="G65" i="39"/>
  <c r="G157" i="39"/>
  <c r="G156" i="39" s="1"/>
  <c r="G109" i="40" s="1"/>
  <c r="O63" i="39"/>
  <c r="G118" i="39"/>
  <c r="G125" i="39" s="1"/>
  <c r="M125" i="39" s="1"/>
  <c r="F114" i="1"/>
  <c r="F138" i="27" s="1"/>
  <c r="H37" i="36"/>
  <c r="G35" i="36"/>
  <c r="F19" i="32"/>
  <c r="F20" i="32" s="1"/>
  <c r="F65" i="32"/>
  <c r="F29" i="32" s="1"/>
  <c r="F116" i="31"/>
  <c r="F111" i="31"/>
  <c r="F147" i="31"/>
  <c r="N55" i="31"/>
  <c r="N56" i="31" s="1"/>
  <c r="F70" i="31"/>
  <c r="F60" i="31"/>
  <c r="F121" i="31"/>
  <c r="F125" i="31"/>
  <c r="F19" i="31"/>
  <c r="F20" i="31" s="1"/>
  <c r="F106" i="31"/>
  <c r="E74" i="29"/>
  <c r="E100" i="29"/>
  <c r="E92" i="29"/>
  <c r="E106" i="29" s="1"/>
  <c r="E132" i="29"/>
  <c r="E101" i="29"/>
  <c r="L15" i="29"/>
  <c r="L16" i="29" s="1"/>
  <c r="E116" i="29"/>
  <c r="E147" i="29"/>
  <c r="E70" i="29"/>
  <c r="E60" i="29"/>
  <c r="M55" i="29"/>
  <c r="M56" i="29" s="1"/>
  <c r="E95" i="29"/>
  <c r="F94" i="29"/>
  <c r="I307" i="27"/>
  <c r="F178" i="1"/>
  <c r="F174" i="1" s="1"/>
  <c r="F246" i="1"/>
  <c r="H112" i="1"/>
  <c r="H136" i="27" s="1"/>
  <c r="G289" i="1"/>
  <c r="G315" i="27" s="1"/>
  <c r="H295" i="1"/>
  <c r="H322" i="27" s="1"/>
  <c r="G178" i="1"/>
  <c r="G183" i="27" s="1"/>
  <c r="G244" i="1"/>
  <c r="G73" i="19"/>
  <c r="H143" i="27" s="1"/>
  <c r="I328" i="27"/>
  <c r="H63" i="24"/>
  <c r="H282" i="27" s="1"/>
  <c r="H280" i="27"/>
  <c r="D222" i="1"/>
  <c r="D246" i="27" s="1"/>
  <c r="D323" i="27"/>
  <c r="D110" i="26"/>
  <c r="E110" i="26" s="1"/>
  <c r="E112" i="26" s="1"/>
  <c r="H265" i="27"/>
  <c r="D140" i="1"/>
  <c r="D264" i="27"/>
  <c r="H222" i="1"/>
  <c r="H246" i="27" s="1"/>
  <c r="H323" i="27"/>
  <c r="G233" i="1"/>
  <c r="G257" i="27" s="1"/>
  <c r="G210" i="27"/>
  <c r="E98" i="24"/>
  <c r="E297" i="27" s="1"/>
  <c r="E295" i="27"/>
  <c r="G98" i="24"/>
  <c r="G297" i="27" s="1"/>
  <c r="G295" i="27"/>
  <c r="G28" i="24"/>
  <c r="G267" i="27" s="1"/>
  <c r="G265" i="27"/>
  <c r="I167" i="27"/>
  <c r="F140" i="1"/>
  <c r="F264" i="27"/>
  <c r="I177" i="27"/>
  <c r="F183" i="27"/>
  <c r="H232" i="1"/>
  <c r="H256" i="27" s="1"/>
  <c r="H207" i="27"/>
  <c r="H174" i="1"/>
  <c r="H231" i="1" s="1"/>
  <c r="H183" i="27"/>
  <c r="F28" i="24"/>
  <c r="F267" i="27" s="1"/>
  <c r="F265" i="27"/>
  <c r="F98" i="24"/>
  <c r="F297" i="27" s="1"/>
  <c r="F295" i="27"/>
  <c r="F232" i="1"/>
  <c r="F256" i="27" s="1"/>
  <c r="F207" i="27"/>
  <c r="E140" i="1"/>
  <c r="E264" i="27"/>
  <c r="G143" i="1"/>
  <c r="G279" i="27"/>
  <c r="G199" i="1"/>
  <c r="G138" i="27"/>
  <c r="G226" i="1"/>
  <c r="G250" i="27" s="1"/>
  <c r="G324" i="27"/>
  <c r="G140" i="1"/>
  <c r="G175" i="27" s="1"/>
  <c r="G264" i="27"/>
  <c r="H140" i="1"/>
  <c r="H264" i="27"/>
  <c r="E21" i="26"/>
  <c r="E89" i="26" s="1"/>
  <c r="G127" i="1"/>
  <c r="G107" i="27" s="1"/>
  <c r="H28" i="24"/>
  <c r="H267" i="27" s="1"/>
  <c r="I110" i="27"/>
  <c r="F73" i="19"/>
  <c r="G143" i="27" s="1"/>
  <c r="G112" i="1"/>
  <c r="F296" i="1"/>
  <c r="D297" i="1"/>
  <c r="F188" i="1"/>
  <c r="F184" i="1" s="1"/>
  <c r="G295" i="1"/>
  <c r="I122" i="27"/>
  <c r="I115" i="27"/>
  <c r="I123" i="27"/>
  <c r="C114" i="19"/>
  <c r="D121" i="27"/>
  <c r="I124" i="27"/>
  <c r="E80" i="26"/>
  <c r="E88" i="26" s="1"/>
  <c r="F127" i="1"/>
  <c r="F107" i="27" s="1"/>
  <c r="F108" i="27"/>
  <c r="I108" i="27" s="1"/>
  <c r="E114" i="19"/>
  <c r="F121" i="27"/>
  <c r="D127" i="1"/>
  <c r="D107" i="27" s="1"/>
  <c r="D109" i="27"/>
  <c r="I109" i="27" s="1"/>
  <c r="I86" i="27"/>
  <c r="J86" i="27"/>
  <c r="I93" i="27"/>
  <c r="J93" i="27"/>
  <c r="D9" i="26"/>
  <c r="D96" i="26" s="1"/>
  <c r="E104" i="26"/>
  <c r="E102" i="26" s="1"/>
  <c r="E98" i="26"/>
  <c r="D104" i="26"/>
  <c r="D102" i="26" s="1"/>
  <c r="D98" i="26"/>
  <c r="G114" i="19"/>
  <c r="H121" i="27"/>
  <c r="F114" i="19"/>
  <c r="G121" i="27"/>
  <c r="I100" i="27"/>
  <c r="J100" i="27"/>
  <c r="H48" i="19"/>
  <c r="I48" i="19" s="1"/>
  <c r="I116" i="27"/>
  <c r="D114" i="19"/>
  <c r="E121" i="27"/>
  <c r="I117" i="27"/>
  <c r="D80" i="26"/>
  <c r="D88" i="26" s="1"/>
  <c r="D89" i="26"/>
  <c r="D76" i="26"/>
  <c r="D68" i="26"/>
  <c r="D113" i="26"/>
  <c r="D71" i="26"/>
  <c r="E11" i="26"/>
  <c r="E72" i="26"/>
  <c r="E29" i="26"/>
  <c r="E66" i="26"/>
  <c r="E49" i="26"/>
  <c r="E10" i="26"/>
  <c r="E297" i="1"/>
  <c r="F297" i="1"/>
  <c r="F289" i="1"/>
  <c r="F315" i="27" s="1"/>
  <c r="E73" i="19"/>
  <c r="F143" i="27" s="1"/>
  <c r="F264" i="1"/>
  <c r="F262" i="1" s="1"/>
  <c r="F291" i="1"/>
  <c r="F317" i="27" s="1"/>
  <c r="H244" i="1"/>
  <c r="G262" i="1"/>
  <c r="F113" i="1"/>
  <c r="F39" i="1"/>
  <c r="E74" i="19"/>
  <c r="F144" i="27" s="1"/>
  <c r="E61" i="24"/>
  <c r="H96" i="24"/>
  <c r="F290" i="1"/>
  <c r="F316" i="27" s="1"/>
  <c r="F61" i="24"/>
  <c r="E114" i="1"/>
  <c r="D122" i="19" s="1"/>
  <c r="H39" i="1"/>
  <c r="H291" i="1"/>
  <c r="E255" i="1"/>
  <c r="E253" i="1" s="1"/>
  <c r="E296" i="1"/>
  <c r="E290" i="1"/>
  <c r="E316" i="27" s="1"/>
  <c r="E113" i="1"/>
  <c r="E137" i="27" s="1"/>
  <c r="D74" i="19"/>
  <c r="E144" i="27" s="1"/>
  <c r="E183" i="1"/>
  <c r="E179" i="1" s="1"/>
  <c r="F122" i="19"/>
  <c r="G30" i="24"/>
  <c r="G269" i="27" s="1"/>
  <c r="G9" i="24"/>
  <c r="G29" i="24" s="1"/>
  <c r="G268" i="27" s="1"/>
  <c r="D295" i="1"/>
  <c r="E295" i="1"/>
  <c r="D39" i="1"/>
  <c r="D113" i="1"/>
  <c r="C73" i="19"/>
  <c r="D143" i="27" s="1"/>
  <c r="D289" i="1"/>
  <c r="D315" i="27" s="1"/>
  <c r="E289" i="1"/>
  <c r="E315" i="27" s="1"/>
  <c r="E246" i="1"/>
  <c r="E244" i="1" s="1"/>
  <c r="D112" i="1"/>
  <c r="D178" i="1"/>
  <c r="E127" i="1"/>
  <c r="E107" i="27" s="1"/>
  <c r="E39" i="1"/>
  <c r="D188" i="1"/>
  <c r="D184" i="1" s="1"/>
  <c r="G61" i="24"/>
  <c r="C75" i="19"/>
  <c r="D145" i="27" s="1"/>
  <c r="D262" i="1"/>
  <c r="I238" i="1"/>
  <c r="D114" i="1"/>
  <c r="C122" i="19" s="1"/>
  <c r="D291" i="1"/>
  <c r="D317" i="27" s="1"/>
  <c r="D244" i="1"/>
  <c r="G75" i="19"/>
  <c r="H188" i="1"/>
  <c r="H184" i="1" s="1"/>
  <c r="C74" i="19"/>
  <c r="D144" i="27" s="1"/>
  <c r="D255" i="1"/>
  <c r="D253" i="1" s="1"/>
  <c r="E119" i="1"/>
  <c r="E114" i="27" s="1"/>
  <c r="H297" i="1"/>
  <c r="D290" i="1"/>
  <c r="H114" i="1"/>
  <c r="D183" i="1"/>
  <c r="D179" i="1" s="1"/>
  <c r="H262" i="1"/>
  <c r="D75" i="19"/>
  <c r="E145" i="27" s="1"/>
  <c r="E291" i="1"/>
  <c r="E317" i="27" s="1"/>
  <c r="E262" i="1"/>
  <c r="E188" i="1"/>
  <c r="E184" i="1" s="1"/>
  <c r="F253" i="1"/>
  <c r="F244" i="1"/>
  <c r="H30" i="24"/>
  <c r="H269" i="27" s="1"/>
  <c r="E26" i="24"/>
  <c r="G39" i="1"/>
  <c r="G255" i="1"/>
  <c r="G253" i="1" s="1"/>
  <c r="D119" i="1"/>
  <c r="D114" i="27" s="1"/>
  <c r="E112" i="1"/>
  <c r="E178" i="1"/>
  <c r="D84" i="14"/>
  <c r="D48" i="14" s="1"/>
  <c r="D72" i="14"/>
  <c r="D38" i="16"/>
  <c r="D39" i="16" s="1"/>
  <c r="D40" i="16" s="1"/>
  <c r="D41" i="16" s="1"/>
  <c r="D65" i="16"/>
  <c r="D89" i="16"/>
  <c r="D88" i="16" s="1"/>
  <c r="D93" i="14"/>
  <c r="D85" i="14"/>
  <c r="D92" i="14" s="1"/>
  <c r="D42" i="14"/>
  <c r="D22" i="14"/>
  <c r="D23" i="14" s="1"/>
  <c r="D21" i="14"/>
  <c r="D117" i="16"/>
  <c r="D61" i="16"/>
  <c r="D100" i="16"/>
  <c r="D107" i="16" s="1"/>
  <c r="C119" i="16"/>
  <c r="C118" i="16" s="1"/>
  <c r="C115" i="16"/>
  <c r="G26" i="19"/>
  <c r="H28" i="19"/>
  <c r="H127" i="1"/>
  <c r="H107" i="27" s="1"/>
  <c r="G119" i="1"/>
  <c r="G114" i="27" s="1"/>
  <c r="F119" i="1"/>
  <c r="F114" i="27" s="1"/>
  <c r="E122" i="19"/>
  <c r="F199" i="1"/>
  <c r="E120" i="19"/>
  <c r="F193" i="1"/>
  <c r="F74" i="19"/>
  <c r="G144" i="27" s="1"/>
  <c r="F218" i="1"/>
  <c r="F242" i="27" s="1"/>
  <c r="G183" i="1"/>
  <c r="G179" i="1" s="1"/>
  <c r="G296" i="1"/>
  <c r="G113" i="1"/>
  <c r="G137" i="27" s="1"/>
  <c r="G290" i="1"/>
  <c r="G121" i="19"/>
  <c r="H196" i="1"/>
  <c r="H119" i="1"/>
  <c r="H114" i="27" s="1"/>
  <c r="G118" i="37" l="1"/>
  <c r="G125" i="37" s="1"/>
  <c r="O63" i="37"/>
  <c r="G157" i="37"/>
  <c r="G156" i="37" s="1"/>
  <c r="G111" i="40" s="1"/>
  <c r="G65" i="37"/>
  <c r="G80" i="39"/>
  <c r="G66" i="39"/>
  <c r="G144" i="36"/>
  <c r="G127" i="36"/>
  <c r="G162" i="36"/>
  <c r="G30" i="36"/>
  <c r="G124" i="36"/>
  <c r="F93" i="32"/>
  <c r="F105" i="32" s="1"/>
  <c r="F87" i="32"/>
  <c r="F86" i="32"/>
  <c r="N65" i="32"/>
  <c r="F37" i="32"/>
  <c r="F93" i="31"/>
  <c r="F105" i="31" s="1"/>
  <c r="F87" i="31"/>
  <c r="F86" i="31"/>
  <c r="F61" i="31"/>
  <c r="F62" i="31" s="1"/>
  <c r="N60" i="31"/>
  <c r="F119" i="31"/>
  <c r="F157" i="31" s="1"/>
  <c r="F131" i="31"/>
  <c r="F120" i="31"/>
  <c r="F72" i="31"/>
  <c r="F75" i="31" s="1"/>
  <c r="E119" i="29"/>
  <c r="E157" i="29" s="1"/>
  <c r="E131" i="29"/>
  <c r="E120" i="29"/>
  <c r="E72" i="29"/>
  <c r="E19" i="29"/>
  <c r="E20" i="29" s="1"/>
  <c r="E121" i="29"/>
  <c r="E125" i="29"/>
  <c r="M60" i="29"/>
  <c r="E61" i="29"/>
  <c r="E62" i="29" s="1"/>
  <c r="G120" i="19"/>
  <c r="F101" i="24"/>
  <c r="F104" i="24" s="1"/>
  <c r="F303" i="27" s="1"/>
  <c r="G243" i="1"/>
  <c r="H193" i="1"/>
  <c r="H217" i="1" s="1"/>
  <c r="H241" i="27" s="1"/>
  <c r="H66" i="24"/>
  <c r="H69" i="24" s="1"/>
  <c r="H288" i="27" s="1"/>
  <c r="D112" i="26"/>
  <c r="H218" i="1"/>
  <c r="H242" i="27" s="1"/>
  <c r="F31" i="24"/>
  <c r="F34" i="24" s="1"/>
  <c r="F273" i="27" s="1"/>
  <c r="E101" i="24"/>
  <c r="E104" i="24" s="1"/>
  <c r="E303" i="27" s="1"/>
  <c r="G174" i="1"/>
  <c r="G231" i="1" s="1"/>
  <c r="G255" i="27" s="1"/>
  <c r="H173" i="1"/>
  <c r="H203" i="27" s="1"/>
  <c r="F173" i="1"/>
  <c r="F203" i="27" s="1"/>
  <c r="F231" i="1"/>
  <c r="F255" i="27" s="1"/>
  <c r="G101" i="24"/>
  <c r="G300" i="27" s="1"/>
  <c r="I315" i="27"/>
  <c r="E76" i="26"/>
  <c r="E95" i="26" s="1"/>
  <c r="F217" i="1"/>
  <c r="F241" i="27" s="1"/>
  <c r="F206" i="27"/>
  <c r="H199" i="1"/>
  <c r="H138" i="27"/>
  <c r="G288" i="1"/>
  <c r="G314" i="27" s="1"/>
  <c r="G316" i="27"/>
  <c r="E233" i="1"/>
  <c r="E257" i="27" s="1"/>
  <c r="E210" i="27"/>
  <c r="D288" i="1"/>
  <c r="D314" i="27" s="1"/>
  <c r="D316" i="27"/>
  <c r="I144" i="27"/>
  <c r="E232" i="1"/>
  <c r="E256" i="27" s="1"/>
  <c r="E207" i="27"/>
  <c r="E222" i="1"/>
  <c r="E246" i="27" s="1"/>
  <c r="E323" i="27"/>
  <c r="H98" i="24"/>
  <c r="H295" i="27"/>
  <c r="F196" i="1"/>
  <c r="F137" i="27"/>
  <c r="E226" i="1"/>
  <c r="E250" i="27" s="1"/>
  <c r="E324" i="27"/>
  <c r="E67" i="26"/>
  <c r="E68" i="26"/>
  <c r="G218" i="1"/>
  <c r="G242" i="27" s="1"/>
  <c r="G322" i="27"/>
  <c r="F120" i="19"/>
  <c r="G136" i="27"/>
  <c r="H175" i="27"/>
  <c r="H139" i="1"/>
  <c r="H174" i="27" s="1"/>
  <c r="H221" i="1"/>
  <c r="H245" i="27" s="1"/>
  <c r="H209" i="27"/>
  <c r="F225" i="1"/>
  <c r="F249" i="27" s="1"/>
  <c r="F212" i="27"/>
  <c r="E174" i="1"/>
  <c r="E183" i="27"/>
  <c r="H233" i="1"/>
  <c r="H257" i="27" s="1"/>
  <c r="H210" i="27"/>
  <c r="D199" i="1"/>
  <c r="D138" i="27"/>
  <c r="G63" i="24"/>
  <c r="G280" i="27"/>
  <c r="D174" i="1"/>
  <c r="D183" i="27"/>
  <c r="E218" i="1"/>
  <c r="E242" i="27" s="1"/>
  <c r="E322" i="27"/>
  <c r="E199" i="1"/>
  <c r="E138" i="27"/>
  <c r="E63" i="24"/>
  <c r="E280" i="27"/>
  <c r="F233" i="1"/>
  <c r="F257" i="27" s="1"/>
  <c r="F210" i="27"/>
  <c r="G139" i="1"/>
  <c r="G174" i="27" s="1"/>
  <c r="G176" i="27"/>
  <c r="I176" i="27" s="1"/>
  <c r="H226" i="1"/>
  <c r="H250" i="27" s="1"/>
  <c r="H324" i="27"/>
  <c r="H230" i="1"/>
  <c r="H254" i="27" s="1"/>
  <c r="H255" i="27"/>
  <c r="G222" i="1"/>
  <c r="G246" i="27" s="1"/>
  <c r="G323" i="27"/>
  <c r="E193" i="1"/>
  <c r="E136" i="27"/>
  <c r="E28" i="24"/>
  <c r="E265" i="27"/>
  <c r="D232" i="1"/>
  <c r="D256" i="27" s="1"/>
  <c r="D207" i="27"/>
  <c r="G72" i="19"/>
  <c r="H142" i="27" s="1"/>
  <c r="H145" i="27"/>
  <c r="I145" i="27" s="1"/>
  <c r="D233" i="1"/>
  <c r="D257" i="27" s="1"/>
  <c r="D210" i="27"/>
  <c r="C120" i="19"/>
  <c r="D136" i="27"/>
  <c r="I143" i="27"/>
  <c r="D218" i="1"/>
  <c r="D242" i="27" s="1"/>
  <c r="D322" i="27"/>
  <c r="F63" i="24"/>
  <c r="F280" i="27"/>
  <c r="D226" i="1"/>
  <c r="D250" i="27" s="1"/>
  <c r="D324" i="27"/>
  <c r="F175" i="27"/>
  <c r="F139" i="1"/>
  <c r="F174" i="27" s="1"/>
  <c r="G232" i="1"/>
  <c r="G256" i="27" s="1"/>
  <c r="G207" i="27"/>
  <c r="C121" i="19"/>
  <c r="D137" i="27"/>
  <c r="H288" i="1"/>
  <c r="H314" i="27" s="1"/>
  <c r="H317" i="27"/>
  <c r="I317" i="27" s="1"/>
  <c r="F226" i="1"/>
  <c r="F250" i="27" s="1"/>
  <c r="F324" i="27"/>
  <c r="F222" i="1"/>
  <c r="F246" i="27" s="1"/>
  <c r="F323" i="27"/>
  <c r="G225" i="1"/>
  <c r="G249" i="27" s="1"/>
  <c r="G212" i="27"/>
  <c r="E175" i="27"/>
  <c r="E139" i="1"/>
  <c r="E174" i="27" s="1"/>
  <c r="H204" i="27"/>
  <c r="H181" i="27"/>
  <c r="F204" i="27"/>
  <c r="F181" i="27"/>
  <c r="D175" i="27"/>
  <c r="D139" i="1"/>
  <c r="D174" i="27" s="1"/>
  <c r="G204" i="27"/>
  <c r="H285" i="27"/>
  <c r="F288" i="1"/>
  <c r="F314" i="27" s="1"/>
  <c r="H243" i="1"/>
  <c r="G193" i="1"/>
  <c r="H73" i="19"/>
  <c r="E121" i="19"/>
  <c r="D72" i="19"/>
  <c r="E142" i="27" s="1"/>
  <c r="E294" i="1"/>
  <c r="E321" i="27" s="1"/>
  <c r="F111" i="1"/>
  <c r="H294" i="1"/>
  <c r="H321" i="27" s="1"/>
  <c r="E9" i="26"/>
  <c r="E96" i="26" s="1"/>
  <c r="I121" i="27"/>
  <c r="E113" i="26"/>
  <c r="E71" i="26"/>
  <c r="F294" i="1"/>
  <c r="F321" i="27" s="1"/>
  <c r="I114" i="27"/>
  <c r="E48" i="26"/>
  <c r="E50" i="26" s="1"/>
  <c r="E51" i="26" s="1"/>
  <c r="E52" i="26" s="1"/>
  <c r="D95" i="26"/>
  <c r="D93" i="26" s="1"/>
  <c r="D74" i="26"/>
  <c r="D91" i="26" s="1"/>
  <c r="I107" i="27"/>
  <c r="H31" i="24"/>
  <c r="D114" i="26"/>
  <c r="E114" i="26" s="1"/>
  <c r="E72" i="19"/>
  <c r="F142" i="27" s="1"/>
  <c r="D294" i="1"/>
  <c r="D321" i="27" s="1"/>
  <c r="G122" i="19"/>
  <c r="E288" i="1"/>
  <c r="E314" i="27" s="1"/>
  <c r="G31" i="24"/>
  <c r="E196" i="1"/>
  <c r="D121" i="19"/>
  <c r="D243" i="1"/>
  <c r="D196" i="1"/>
  <c r="H74" i="19"/>
  <c r="D111" i="1"/>
  <c r="C72" i="19"/>
  <c r="D142" i="27" s="1"/>
  <c r="E173" i="1"/>
  <c r="E203" i="27" s="1"/>
  <c r="H75" i="19"/>
  <c r="H111" i="1"/>
  <c r="D193" i="1"/>
  <c r="D173" i="1"/>
  <c r="D203" i="27" s="1"/>
  <c r="D120" i="19"/>
  <c r="E243" i="1"/>
  <c r="F243" i="1"/>
  <c r="D119" i="16"/>
  <c r="D115" i="16"/>
  <c r="D104" i="16"/>
  <c r="D103" i="16"/>
  <c r="D42" i="16"/>
  <c r="D44" i="16" s="1"/>
  <c r="D66" i="16"/>
  <c r="E111" i="1"/>
  <c r="D88" i="14"/>
  <c r="D24" i="14"/>
  <c r="D47" i="14"/>
  <c r="D87" i="16"/>
  <c r="D99" i="16"/>
  <c r="D67" i="16" s="1"/>
  <c r="G294" i="1"/>
  <c r="G321" i="27" s="1"/>
  <c r="F121" i="19"/>
  <c r="G196" i="1"/>
  <c r="G173" i="1"/>
  <c r="G203" i="27" s="1"/>
  <c r="F72" i="19"/>
  <c r="G142" i="27" s="1"/>
  <c r="G111" i="1"/>
  <c r="F300" i="27" l="1"/>
  <c r="G104" i="24"/>
  <c r="G303" i="27" s="1"/>
  <c r="G80" i="37"/>
  <c r="G66" i="37"/>
  <c r="O66" i="39"/>
  <c r="G38" i="39"/>
  <c r="G161" i="36"/>
  <c r="G160" i="36" s="1"/>
  <c r="G132" i="40" s="1"/>
  <c r="G129" i="36"/>
  <c r="G67" i="40" s="1"/>
  <c r="H29" i="36"/>
  <c r="G149" i="36"/>
  <c r="G137" i="36"/>
  <c r="G27" i="36"/>
  <c r="G138" i="36"/>
  <c r="E86" i="29"/>
  <c r="G36" i="32"/>
  <c r="F34" i="32"/>
  <c r="F156" i="31"/>
  <c r="F155" i="31" s="1"/>
  <c r="G4" i="31" s="1"/>
  <c r="F117" i="31"/>
  <c r="F124" i="31" s="1"/>
  <c r="N62" i="31"/>
  <c r="F64" i="31"/>
  <c r="F79" i="31" s="1"/>
  <c r="E87" i="29"/>
  <c r="E156" i="29"/>
  <c r="E155" i="29" s="1"/>
  <c r="E64" i="29"/>
  <c r="E79" i="29" s="1"/>
  <c r="E117" i="29"/>
  <c r="E124" i="29" s="1"/>
  <c r="M62" i="29"/>
  <c r="E93" i="29"/>
  <c r="E105" i="29" s="1"/>
  <c r="E75" i="29"/>
  <c r="H206" i="27"/>
  <c r="E300" i="27"/>
  <c r="G181" i="27"/>
  <c r="I316" i="27"/>
  <c r="E74" i="26"/>
  <c r="F270" i="27"/>
  <c r="I174" i="27"/>
  <c r="I323" i="27"/>
  <c r="F230" i="1"/>
  <c r="F254" i="27" s="1"/>
  <c r="I136" i="27"/>
  <c r="I137" i="27"/>
  <c r="G230" i="1"/>
  <c r="G254" i="27" s="1"/>
  <c r="I321" i="27"/>
  <c r="G34" i="24"/>
  <c r="G273" i="27" s="1"/>
  <c r="G270" i="27"/>
  <c r="F119" i="19"/>
  <c r="G135" i="27"/>
  <c r="D119" i="19"/>
  <c r="E135" i="27"/>
  <c r="G119" i="19"/>
  <c r="H135" i="27"/>
  <c r="I142" i="27"/>
  <c r="E119" i="19"/>
  <c r="F135" i="27"/>
  <c r="I175" i="27"/>
  <c r="I322" i="27"/>
  <c r="E217" i="1"/>
  <c r="E241" i="27" s="1"/>
  <c r="E206" i="27"/>
  <c r="E66" i="24"/>
  <c r="E282" i="27"/>
  <c r="G66" i="24"/>
  <c r="G282" i="27"/>
  <c r="H101" i="24"/>
  <c r="H297" i="27"/>
  <c r="G221" i="1"/>
  <c r="G245" i="27" s="1"/>
  <c r="G209" i="27"/>
  <c r="C119" i="19"/>
  <c r="D135" i="27"/>
  <c r="F66" i="24"/>
  <c r="F282" i="27"/>
  <c r="I138" i="27"/>
  <c r="H225" i="1"/>
  <c r="H249" i="27" s="1"/>
  <c r="H212" i="27"/>
  <c r="D221" i="1"/>
  <c r="D245" i="27" s="1"/>
  <c r="D209" i="27"/>
  <c r="E221" i="1"/>
  <c r="E245" i="27" s="1"/>
  <c r="E209" i="27"/>
  <c r="H34" i="24"/>
  <c r="H273" i="27" s="1"/>
  <c r="H270" i="27"/>
  <c r="G217" i="1"/>
  <c r="G241" i="27" s="1"/>
  <c r="G206" i="27"/>
  <c r="I324" i="27"/>
  <c r="E31" i="24"/>
  <c r="E267" i="27"/>
  <c r="E225" i="1"/>
  <c r="E249" i="27" s="1"/>
  <c r="E212" i="27"/>
  <c r="D231" i="1"/>
  <c r="D204" i="27"/>
  <c r="D181" i="27"/>
  <c r="D225" i="1"/>
  <c r="D249" i="27" s="1"/>
  <c r="D212" i="27"/>
  <c r="E231" i="1"/>
  <c r="E204" i="27"/>
  <c r="E181" i="27"/>
  <c r="F221" i="1"/>
  <c r="F245" i="27" s="1"/>
  <c r="F209" i="27"/>
  <c r="D217" i="1"/>
  <c r="D241" i="27" s="1"/>
  <c r="D206" i="27"/>
  <c r="I314" i="27"/>
  <c r="E93" i="26"/>
  <c r="Q6" i="26" s="1"/>
  <c r="E63" i="26"/>
  <c r="E87" i="26" s="1"/>
  <c r="E83" i="26"/>
  <c r="E82" i="26" s="1"/>
  <c r="E115" i="26"/>
  <c r="T6" i="26" s="1"/>
  <c r="D115" i="26"/>
  <c r="H72" i="19"/>
  <c r="I72" i="19" s="1"/>
  <c r="D91" i="14"/>
  <c r="D87" i="14"/>
  <c r="D95" i="14" s="1"/>
  <c r="D106" i="16"/>
  <c r="D102" i="16"/>
  <c r="D110" i="16" s="1"/>
  <c r="D114" i="16"/>
  <c r="D108" i="16"/>
  <c r="G38" i="37" l="1"/>
  <c r="O66" i="37"/>
  <c r="H37" i="39"/>
  <c r="G35" i="39"/>
  <c r="H60" i="36"/>
  <c r="G143" i="36"/>
  <c r="G142" i="36"/>
  <c r="G78" i="36"/>
  <c r="G79" i="36" s="1"/>
  <c r="G82" i="36" s="1"/>
  <c r="G43" i="36"/>
  <c r="G44" i="36" s="1"/>
  <c r="G42" i="36"/>
  <c r="G134" i="36"/>
  <c r="G131" i="36" s="1"/>
  <c r="G45" i="40" s="1"/>
  <c r="F126" i="32"/>
  <c r="F143" i="32"/>
  <c r="F161" i="32"/>
  <c r="F123" i="32"/>
  <c r="F65" i="31"/>
  <c r="E65" i="29"/>
  <c r="M65" i="29" s="1"/>
  <c r="I135" i="27"/>
  <c r="D255" i="27"/>
  <c r="D230" i="1"/>
  <c r="D254" i="27" s="1"/>
  <c r="E34" i="24"/>
  <c r="E273" i="27" s="1"/>
  <c r="E270" i="27"/>
  <c r="H104" i="24"/>
  <c r="H303" i="27" s="1"/>
  <c r="H300" i="27"/>
  <c r="E285" i="27"/>
  <c r="E69" i="24"/>
  <c r="E288" i="27" s="1"/>
  <c r="F69" i="24"/>
  <c r="F288" i="27" s="1"/>
  <c r="F285" i="27"/>
  <c r="G69" i="24"/>
  <c r="G288" i="27" s="1"/>
  <c r="G285" i="27"/>
  <c r="E255" i="27"/>
  <c r="E230" i="1"/>
  <c r="E254" i="27" s="1"/>
  <c r="K6" i="26"/>
  <c r="E91" i="26"/>
  <c r="N6" i="26" s="1"/>
  <c r="D120" i="16"/>
  <c r="D118" i="16" s="1"/>
  <c r="D112" i="16"/>
  <c r="G35" i="37" l="1"/>
  <c r="H37" i="37"/>
  <c r="G162" i="39"/>
  <c r="G30" i="39"/>
  <c r="G138" i="39" s="1"/>
  <c r="G127" i="39"/>
  <c r="M127" i="39" s="1"/>
  <c r="G124" i="39"/>
  <c r="G144" i="39"/>
  <c r="H77" i="36"/>
  <c r="H58" i="36"/>
  <c r="H61" i="36" s="1"/>
  <c r="H148" i="36"/>
  <c r="F160" i="32"/>
  <c r="F159" i="32" s="1"/>
  <c r="G4" i="32" s="1"/>
  <c r="G47" i="32" s="1"/>
  <c r="F128" i="32"/>
  <c r="F26" i="32"/>
  <c r="G28" i="32"/>
  <c r="F148" i="32"/>
  <c r="F136" i="32"/>
  <c r="F137" i="32"/>
  <c r="F37" i="31"/>
  <c r="N65" i="31"/>
  <c r="E37" i="29"/>
  <c r="F36" i="29" s="1"/>
  <c r="G127" i="37" l="1"/>
  <c r="G124" i="37"/>
  <c r="G144" i="37"/>
  <c r="G162" i="37"/>
  <c r="G30" i="37"/>
  <c r="G138" i="37" s="1"/>
  <c r="G129" i="39"/>
  <c r="G66" i="40" s="1"/>
  <c r="G161" i="39"/>
  <c r="G160" i="39" s="1"/>
  <c r="G131" i="40" s="1"/>
  <c r="H29" i="39"/>
  <c r="H60" i="39" s="1"/>
  <c r="H148" i="39" s="1"/>
  <c r="G137" i="39"/>
  <c r="G134" i="39" s="1"/>
  <c r="G131" i="39" s="1"/>
  <c r="G44" i="40" s="1"/>
  <c r="G27" i="39"/>
  <c r="G149" i="39"/>
  <c r="P61" i="36"/>
  <c r="H62" i="36"/>
  <c r="H63" i="36" s="1"/>
  <c r="G16" i="32"/>
  <c r="G48" i="32"/>
  <c r="G51" i="32"/>
  <c r="G52" i="32"/>
  <c r="G53" i="32" s="1"/>
  <c r="G17" i="32"/>
  <c r="G54" i="32"/>
  <c r="G21" i="32"/>
  <c r="G50" i="32"/>
  <c r="G91" i="32"/>
  <c r="F133" i="32"/>
  <c r="F130" i="32" s="1"/>
  <c r="G59" i="32"/>
  <c r="F141" i="32"/>
  <c r="F142" i="32"/>
  <c r="F77" i="32"/>
  <c r="F78" i="32" s="1"/>
  <c r="F81" i="32" s="1"/>
  <c r="F42" i="32"/>
  <c r="F43" i="32" s="1"/>
  <c r="F41" i="32"/>
  <c r="G36" i="31"/>
  <c r="F34" i="31"/>
  <c r="E34" i="29"/>
  <c r="G129" i="37" l="1"/>
  <c r="G68" i="40" s="1"/>
  <c r="G161" i="37"/>
  <c r="G160" i="37" s="1"/>
  <c r="G133" i="40" s="1"/>
  <c r="G27" i="37"/>
  <c r="G149" i="37"/>
  <c r="H29" i="37"/>
  <c r="H60" i="37" s="1"/>
  <c r="G137" i="37"/>
  <c r="G134" i="37" s="1"/>
  <c r="G131" i="37" s="1"/>
  <c r="G46" i="40" s="1"/>
  <c r="H58" i="39"/>
  <c r="H61" i="39" s="1"/>
  <c r="H62" i="39" s="1"/>
  <c r="H63" i="39" s="1"/>
  <c r="H77" i="39"/>
  <c r="G43" i="39"/>
  <c r="G44" i="39" s="1"/>
  <c r="G78" i="39"/>
  <c r="G79" i="39" s="1"/>
  <c r="G82" i="39" s="1"/>
  <c r="G143" i="39"/>
  <c r="G42" i="39"/>
  <c r="G142" i="39"/>
  <c r="H157" i="36"/>
  <c r="H156" i="36" s="1"/>
  <c r="H110" i="40" s="1"/>
  <c r="H65" i="36"/>
  <c r="H80" i="36" s="1"/>
  <c r="H118" i="36"/>
  <c r="H125" i="36" s="1"/>
  <c r="P63" i="36"/>
  <c r="G71" i="32"/>
  <c r="G23" i="32"/>
  <c r="G22" i="32" s="1"/>
  <c r="G99" i="32"/>
  <c r="G49" i="32"/>
  <c r="G96" i="32"/>
  <c r="G18" i="32"/>
  <c r="G97" i="32" s="1"/>
  <c r="G98" i="32"/>
  <c r="G73" i="32"/>
  <c r="G15" i="32"/>
  <c r="G110" i="32"/>
  <c r="G76" i="32"/>
  <c r="G57" i="32"/>
  <c r="F126" i="31"/>
  <c r="F143" i="31"/>
  <c r="F29" i="31"/>
  <c r="F137" i="31" s="1"/>
  <c r="F161" i="31"/>
  <c r="F123" i="31"/>
  <c r="E29" i="29"/>
  <c r="E26" i="29" s="1"/>
  <c r="E143" i="29"/>
  <c r="E161" i="29"/>
  <c r="E126" i="29"/>
  <c r="E123" i="29"/>
  <c r="E160" i="29" s="1"/>
  <c r="G78" i="37" l="1"/>
  <c r="G79" i="37" s="1"/>
  <c r="G82" i="37" s="1"/>
  <c r="G143" i="37"/>
  <c r="G43" i="37"/>
  <c r="G44" i="37" s="1"/>
  <c r="G42" i="37"/>
  <c r="G142" i="37"/>
  <c r="P61" i="39"/>
  <c r="H77" i="37"/>
  <c r="H58" i="37"/>
  <c r="H61" i="37" s="1"/>
  <c r="H148" i="37"/>
  <c r="H157" i="39"/>
  <c r="H156" i="39" s="1"/>
  <c r="H109" i="40" s="1"/>
  <c r="H118" i="39"/>
  <c r="H125" i="39" s="1"/>
  <c r="N125" i="39" s="1"/>
  <c r="P63" i="39"/>
  <c r="H65" i="39"/>
  <c r="H80" i="39" s="1"/>
  <c r="H66" i="36"/>
  <c r="P66" i="36" s="1"/>
  <c r="H94" i="32"/>
  <c r="G95" i="32"/>
  <c r="G74" i="32"/>
  <c r="G100" i="32"/>
  <c r="G92" i="32"/>
  <c r="G106" i="32" s="1"/>
  <c r="G132" i="32"/>
  <c r="N15" i="32"/>
  <c r="N16" i="32" s="1"/>
  <c r="G101" i="32"/>
  <c r="O49" i="32"/>
  <c r="O50" i="32" s="1"/>
  <c r="G115" i="32"/>
  <c r="G55" i="32"/>
  <c r="G60" i="32" s="1"/>
  <c r="F160" i="31"/>
  <c r="F159" i="31" s="1"/>
  <c r="G47" i="31" s="1"/>
  <c r="F128" i="31"/>
  <c r="G28" i="31"/>
  <c r="F148" i="31"/>
  <c r="F136" i="31"/>
  <c r="F133" i="31" s="1"/>
  <c r="F130" i="31" s="1"/>
  <c r="F26" i="31"/>
  <c r="E42" i="29"/>
  <c r="E77" i="29"/>
  <c r="E78" i="29" s="1"/>
  <c r="E81" i="29" s="1"/>
  <c r="E142" i="29"/>
  <c r="E141" i="29"/>
  <c r="E41" i="29"/>
  <c r="E136" i="29"/>
  <c r="F28" i="29"/>
  <c r="F59" i="29" s="1"/>
  <c r="E148" i="29"/>
  <c r="E159" i="29"/>
  <c r="F47" i="29" s="1"/>
  <c r="E137" i="29"/>
  <c r="E128" i="29"/>
  <c r="H62" i="37" l="1"/>
  <c r="H63" i="37" s="1"/>
  <c r="P61" i="37"/>
  <c r="H66" i="39"/>
  <c r="P66" i="39" s="1"/>
  <c r="H38" i="36"/>
  <c r="H35" i="36" s="1"/>
  <c r="H144" i="36" s="1"/>
  <c r="O60" i="32"/>
  <c r="G61" i="32"/>
  <c r="G62" i="32" s="1"/>
  <c r="O62" i="32" s="1"/>
  <c r="G19" i="32"/>
  <c r="G20" i="32" s="1"/>
  <c r="G111" i="32"/>
  <c r="G116" i="32"/>
  <c r="O55" i="32"/>
  <c r="O56" i="32" s="1"/>
  <c r="G70" i="32"/>
  <c r="G147" i="32"/>
  <c r="G125" i="32"/>
  <c r="G121" i="32"/>
  <c r="G117" i="32"/>
  <c r="G124" i="32" s="1"/>
  <c r="G64" i="32"/>
  <c r="G79" i="32" s="1"/>
  <c r="G59" i="31"/>
  <c r="F141" i="31"/>
  <c r="F142" i="31"/>
  <c r="F77" i="31"/>
  <c r="F78" i="31" s="1"/>
  <c r="F81" i="31" s="1"/>
  <c r="F42" i="31"/>
  <c r="F43" i="31" s="1"/>
  <c r="F41" i="31"/>
  <c r="G16" i="31"/>
  <c r="G98" i="31" s="1"/>
  <c r="G17" i="31"/>
  <c r="G21" i="31"/>
  <c r="G54" i="31"/>
  <c r="G51" i="31"/>
  <c r="G52" i="31"/>
  <c r="G53" i="31" s="1"/>
  <c r="G50" i="31"/>
  <c r="G48" i="31"/>
  <c r="F16" i="29"/>
  <c r="F110" i="29" s="1"/>
  <c r="E43" i="29"/>
  <c r="F57" i="29"/>
  <c r="E133" i="29"/>
  <c r="E130" i="29" s="1"/>
  <c r="F17" i="29"/>
  <c r="F51" i="29"/>
  <c r="F52" i="29"/>
  <c r="F53" i="29" s="1"/>
  <c r="F54" i="29"/>
  <c r="F48" i="29"/>
  <c r="F49" i="29" s="1"/>
  <c r="F115" i="29" s="1"/>
  <c r="F21" i="29"/>
  <c r="F50" i="29"/>
  <c r="H65" i="37" l="1"/>
  <c r="H157" i="37"/>
  <c r="H156" i="37" s="1"/>
  <c r="H111" i="40" s="1"/>
  <c r="P63" i="37"/>
  <c r="H118" i="37"/>
  <c r="H125" i="37" s="1"/>
  <c r="H127" i="36"/>
  <c r="H124" i="36"/>
  <c r="H161" i="36" s="1"/>
  <c r="H38" i="39"/>
  <c r="H35" i="39" s="1"/>
  <c r="H144" i="39" s="1"/>
  <c r="H30" i="36"/>
  <c r="H138" i="36" s="1"/>
  <c r="H162" i="36"/>
  <c r="G156" i="32"/>
  <c r="G93" i="32"/>
  <c r="G105" i="32" s="1"/>
  <c r="G120" i="32"/>
  <c r="G119" i="32"/>
  <c r="G157" i="32" s="1"/>
  <c r="G155" i="32" s="1"/>
  <c r="G72" i="32"/>
  <c r="G75" i="32" s="1"/>
  <c r="G131" i="32"/>
  <c r="G87" i="32"/>
  <c r="G86" i="32"/>
  <c r="G65" i="32"/>
  <c r="G29" i="32" s="1"/>
  <c r="G71" i="31"/>
  <c r="G23" i="31"/>
  <c r="G22" i="31" s="1"/>
  <c r="G91" i="31"/>
  <c r="G96" i="31"/>
  <c r="G18" i="31"/>
  <c r="G97" i="31" s="1"/>
  <c r="G49" i="31"/>
  <c r="G110" i="31"/>
  <c r="G73" i="31"/>
  <c r="G15" i="31"/>
  <c r="G99" i="31"/>
  <c r="G76" i="31"/>
  <c r="G57" i="31"/>
  <c r="F73" i="29"/>
  <c r="F98" i="29"/>
  <c r="F76" i="29"/>
  <c r="F99" i="29"/>
  <c r="F71" i="29"/>
  <c r="F23" i="29"/>
  <c r="F22" i="29" s="1"/>
  <c r="F96" i="29"/>
  <c r="F55" i="29"/>
  <c r="F91" i="29"/>
  <c r="F90" i="29" s="1"/>
  <c r="F18" i="29"/>
  <c r="F97" i="29" s="1"/>
  <c r="G94" i="29" s="1"/>
  <c r="F15" i="29"/>
  <c r="N49" i="29"/>
  <c r="N50" i="29" s="1"/>
  <c r="H129" i="36" l="1"/>
  <c r="H67" i="40" s="1"/>
  <c r="H80" i="37"/>
  <c r="H66" i="37"/>
  <c r="H149" i="36"/>
  <c r="H160" i="36"/>
  <c r="H132" i="40" s="1"/>
  <c r="H30" i="39"/>
  <c r="H138" i="39" s="1"/>
  <c r="H162" i="39"/>
  <c r="H127" i="39"/>
  <c r="N127" i="39" s="1"/>
  <c r="H124" i="39"/>
  <c r="H129" i="39" s="1"/>
  <c r="H66" i="40" s="1"/>
  <c r="H27" i="36"/>
  <c r="H43" i="36" s="1"/>
  <c r="H44" i="36" s="1"/>
  <c r="H137" i="36"/>
  <c r="H134" i="36" s="1"/>
  <c r="H131" i="36" s="1"/>
  <c r="H45" i="40" s="1"/>
  <c r="G37" i="32"/>
  <c r="G34" i="32" s="1"/>
  <c r="O65" i="32"/>
  <c r="H36" i="32"/>
  <c r="G92" i="31"/>
  <c r="G74" i="31"/>
  <c r="G100" i="31"/>
  <c r="G132" i="31"/>
  <c r="N15" i="31"/>
  <c r="N16" i="31" s="1"/>
  <c r="G101" i="31"/>
  <c r="G115" i="31"/>
  <c r="G55" i="31"/>
  <c r="O49" i="31"/>
  <c r="O50" i="31" s="1"/>
  <c r="G106" i="31"/>
  <c r="H94" i="31"/>
  <c r="G95" i="31"/>
  <c r="F147" i="29"/>
  <c r="F111" i="29"/>
  <c r="F132" i="29"/>
  <c r="F74" i="29"/>
  <c r="F100" i="29"/>
  <c r="F95" i="29"/>
  <c r="F19" i="29" s="1"/>
  <c r="F20" i="29" s="1"/>
  <c r="F116" i="29"/>
  <c r="F60" i="29"/>
  <c r="N60" i="29" s="1"/>
  <c r="F70" i="29"/>
  <c r="F72" i="29" s="1"/>
  <c r="N55" i="29"/>
  <c r="N56" i="29" s="1"/>
  <c r="F92" i="29"/>
  <c r="F106" i="29" s="1"/>
  <c r="F101" i="29"/>
  <c r="F121" i="29" s="1"/>
  <c r="M15" i="29"/>
  <c r="M16" i="29" s="1"/>
  <c r="P66" i="37" l="1"/>
  <c r="H38" i="37"/>
  <c r="H35" i="37" s="1"/>
  <c r="H143" i="36"/>
  <c r="H161" i="39"/>
  <c r="H160" i="39" s="1"/>
  <c r="H131" i="40" s="1"/>
  <c r="H27" i="39"/>
  <c r="H78" i="39" s="1"/>
  <c r="H79" i="39" s="1"/>
  <c r="H82" i="39" s="1"/>
  <c r="H137" i="39"/>
  <c r="H134" i="39" s="1"/>
  <c r="H131" i="39" s="1"/>
  <c r="H44" i="40" s="1"/>
  <c r="H149" i="39"/>
  <c r="H78" i="36"/>
  <c r="H79" i="36" s="1"/>
  <c r="H82" i="36" s="1"/>
  <c r="H42" i="36"/>
  <c r="H142" i="36"/>
  <c r="F87" i="29"/>
  <c r="G126" i="32"/>
  <c r="G143" i="32"/>
  <c r="G161" i="32"/>
  <c r="G123" i="32"/>
  <c r="G147" i="31"/>
  <c r="G116" i="31"/>
  <c r="G70" i="31"/>
  <c r="G60" i="31"/>
  <c r="G111" i="31"/>
  <c r="O55" i="31"/>
  <c r="O56" i="31" s="1"/>
  <c r="G19" i="31"/>
  <c r="G20" i="31" s="1"/>
  <c r="G125" i="31"/>
  <c r="G121" i="31"/>
  <c r="F86" i="29"/>
  <c r="F125" i="29"/>
  <c r="F61" i="29"/>
  <c r="F62" i="29" s="1"/>
  <c r="F156" i="29" s="1"/>
  <c r="F119" i="29"/>
  <c r="F157" i="29" s="1"/>
  <c r="F120" i="29"/>
  <c r="F131" i="29"/>
  <c r="F75" i="29"/>
  <c r="F93" i="29"/>
  <c r="F105" i="29" s="1"/>
  <c r="H127" i="37" l="1"/>
  <c r="H162" i="37"/>
  <c r="H144" i="37"/>
  <c r="H124" i="37"/>
  <c r="H30" i="37"/>
  <c r="H43" i="39"/>
  <c r="H44" i="39" s="1"/>
  <c r="H142" i="39"/>
  <c r="H42" i="39"/>
  <c r="H143" i="39"/>
  <c r="G128" i="32"/>
  <c r="G160" i="32"/>
  <c r="G159" i="32" s="1"/>
  <c r="H4" i="32" s="1"/>
  <c r="H47" i="32" s="1"/>
  <c r="H28" i="32"/>
  <c r="G148" i="32"/>
  <c r="G26" i="32"/>
  <c r="G136" i="32"/>
  <c r="G137" i="32"/>
  <c r="G61" i="31"/>
  <c r="G62" i="31" s="1"/>
  <c r="O60" i="31"/>
  <c r="G93" i="31"/>
  <c r="G105" i="31" s="1"/>
  <c r="G87" i="31"/>
  <c r="G86" i="31"/>
  <c r="G131" i="31"/>
  <c r="G120" i="31"/>
  <c r="G72" i="31"/>
  <c r="G75" i="31" s="1"/>
  <c r="G119" i="31"/>
  <c r="G157" i="31" s="1"/>
  <c r="F64" i="29"/>
  <c r="F79" i="29" s="1"/>
  <c r="F117" i="29"/>
  <c r="F124" i="29" s="1"/>
  <c r="F155" i="29"/>
  <c r="N62" i="29"/>
  <c r="H137" i="37" l="1"/>
  <c r="H27" i="37"/>
  <c r="H149" i="37"/>
  <c r="H129" i="37"/>
  <c r="H68" i="40" s="1"/>
  <c r="H161" i="37"/>
  <c r="H160" i="37" s="1"/>
  <c r="H133" i="40" s="1"/>
  <c r="H138" i="37"/>
  <c r="F65" i="29"/>
  <c r="F37" i="29" s="1"/>
  <c r="F34" i="29" s="1"/>
  <c r="H16" i="32"/>
  <c r="H51" i="32"/>
  <c r="H50" i="32"/>
  <c r="H48" i="32"/>
  <c r="H49" i="32" s="1"/>
  <c r="H21" i="32"/>
  <c r="H99" i="32" s="1"/>
  <c r="H17" i="32"/>
  <c r="H54" i="32"/>
  <c r="H52" i="32"/>
  <c r="H53" i="32" s="1"/>
  <c r="G133" i="32"/>
  <c r="G130" i="32" s="1"/>
  <c r="H59" i="32"/>
  <c r="G142" i="32"/>
  <c r="G77" i="32"/>
  <c r="G78" i="32" s="1"/>
  <c r="G81" i="32" s="1"/>
  <c r="G141" i="32"/>
  <c r="G42" i="32"/>
  <c r="G43" i="32" s="1"/>
  <c r="G41" i="32"/>
  <c r="G156" i="31"/>
  <c r="G155" i="31" s="1"/>
  <c r="H4" i="31" s="1"/>
  <c r="G117" i="31"/>
  <c r="G124" i="31" s="1"/>
  <c r="O62" i="31"/>
  <c r="G64" i="31"/>
  <c r="G79" i="31" s="1"/>
  <c r="N65" i="29"/>
  <c r="G36" i="29"/>
  <c r="H134" i="37" l="1"/>
  <c r="H131" i="37" s="1"/>
  <c r="H46" i="40" s="1"/>
  <c r="H43" i="37"/>
  <c r="H44" i="37" s="1"/>
  <c r="H42" i="37"/>
  <c r="H78" i="37"/>
  <c r="H79" i="37" s="1"/>
  <c r="H82" i="37" s="1"/>
  <c r="H143" i="37"/>
  <c r="H142" i="37"/>
  <c r="H71" i="32"/>
  <c r="H23" i="32"/>
  <c r="H22" i="32" s="1"/>
  <c r="H96" i="32"/>
  <c r="H18" i="32"/>
  <c r="H97" i="32" s="1"/>
  <c r="H91" i="32"/>
  <c r="H115" i="32"/>
  <c r="H55" i="32"/>
  <c r="H147" i="32" s="1"/>
  <c r="P49" i="32"/>
  <c r="P50" i="32" s="1"/>
  <c r="H98" i="32"/>
  <c r="H110" i="32"/>
  <c r="H73" i="32"/>
  <c r="H15" i="32"/>
  <c r="H76" i="32"/>
  <c r="H57" i="32"/>
  <c r="G65" i="31"/>
  <c r="G37" i="31" s="1"/>
  <c r="O65" i="31"/>
  <c r="F29" i="29"/>
  <c r="F26" i="29" s="1"/>
  <c r="F126" i="29"/>
  <c r="F143" i="29"/>
  <c r="F161" i="29"/>
  <c r="F123" i="29"/>
  <c r="H92" i="32" l="1"/>
  <c r="H60" i="32"/>
  <c r="H95" i="32"/>
  <c r="H132" i="32"/>
  <c r="H101" i="32"/>
  <c r="O15" i="32"/>
  <c r="O16" i="32" s="1"/>
  <c r="H106" i="32"/>
  <c r="H74" i="32"/>
  <c r="H100" i="32"/>
  <c r="H111" i="32"/>
  <c r="H70" i="32"/>
  <c r="P55" i="32"/>
  <c r="P56" i="32" s="1"/>
  <c r="H116" i="32"/>
  <c r="H61" i="32"/>
  <c r="P60" i="32"/>
  <c r="G34" i="31"/>
  <c r="H36" i="31"/>
  <c r="F42" i="29"/>
  <c r="F77" i="29"/>
  <c r="F78" i="29" s="1"/>
  <c r="F81" i="29" s="1"/>
  <c r="F142" i="29"/>
  <c r="F141" i="29"/>
  <c r="F41" i="29"/>
  <c r="F148" i="29"/>
  <c r="G28" i="29"/>
  <c r="G59" i="29" s="1"/>
  <c r="F136" i="29"/>
  <c r="F137" i="29"/>
  <c r="F128" i="29"/>
  <c r="F160" i="29"/>
  <c r="F159" i="29" s="1"/>
  <c r="G47" i="29" s="1"/>
  <c r="H62" i="32" l="1"/>
  <c r="H117" i="32" s="1"/>
  <c r="H124" i="32" s="1"/>
  <c r="H125" i="32"/>
  <c r="H121" i="32"/>
  <c r="H131" i="32"/>
  <c r="H120" i="32"/>
  <c r="H119" i="32"/>
  <c r="H157" i="32" s="1"/>
  <c r="H72" i="32"/>
  <c r="H75" i="32" s="1"/>
  <c r="H19" i="32"/>
  <c r="H20" i="32" s="1"/>
  <c r="H156" i="32"/>
  <c r="H155" i="32" s="1"/>
  <c r="G126" i="31"/>
  <c r="G29" i="31"/>
  <c r="G143" i="31"/>
  <c r="G161" i="31"/>
  <c r="G123" i="31"/>
  <c r="F133" i="29"/>
  <c r="F130" i="29" s="1"/>
  <c r="G57" i="29"/>
  <c r="F43" i="29"/>
  <c r="G21" i="29"/>
  <c r="G16" i="29"/>
  <c r="G98" i="29" s="1"/>
  <c r="G52" i="29"/>
  <c r="G53" i="29" s="1"/>
  <c r="G54" i="29"/>
  <c r="G17" i="29"/>
  <c r="G48" i="29"/>
  <c r="G50" i="29"/>
  <c r="G51" i="29"/>
  <c r="P62" i="32" l="1"/>
  <c r="H64" i="32"/>
  <c r="H79" i="32" s="1"/>
  <c r="H93" i="32"/>
  <c r="H105" i="32" s="1"/>
  <c r="H86" i="32"/>
  <c r="H87" i="32"/>
  <c r="H65" i="32"/>
  <c r="H29" i="32" s="1"/>
  <c r="G128" i="31"/>
  <c r="G160" i="31"/>
  <c r="G159" i="31" s="1"/>
  <c r="H47" i="31" s="1"/>
  <c r="H28" i="31"/>
  <c r="G26" i="31"/>
  <c r="G136" i="31"/>
  <c r="G148" i="31"/>
  <c r="G137" i="31"/>
  <c r="G76" i="29"/>
  <c r="G99" i="29"/>
  <c r="G71" i="29"/>
  <c r="G23" i="29"/>
  <c r="G22" i="29" s="1"/>
  <c r="G74" i="29" s="1"/>
  <c r="G96" i="29"/>
  <c r="G18" i="29"/>
  <c r="G97" i="29" s="1"/>
  <c r="G91" i="29"/>
  <c r="G90" i="29" s="1"/>
  <c r="G110" i="29"/>
  <c r="G73" i="29"/>
  <c r="G15" i="29"/>
  <c r="G49" i="29"/>
  <c r="H37" i="32" l="1"/>
  <c r="H34" i="32" s="1"/>
  <c r="P65" i="32"/>
  <c r="G133" i="31"/>
  <c r="G130" i="31" s="1"/>
  <c r="G142" i="31"/>
  <c r="G141" i="31"/>
  <c r="G77" i="31"/>
  <c r="G78" i="31" s="1"/>
  <c r="G81" i="31" s="1"/>
  <c r="G42" i="31"/>
  <c r="G43" i="31" s="1"/>
  <c r="G41" i="31"/>
  <c r="H59" i="31"/>
  <c r="H16" i="31"/>
  <c r="H17" i="31"/>
  <c r="H91" i="31" s="1"/>
  <c r="H50" i="31"/>
  <c r="H21" i="31"/>
  <c r="H52" i="31"/>
  <c r="H53" i="31" s="1"/>
  <c r="H54" i="31"/>
  <c r="H48" i="31"/>
  <c r="H51" i="31"/>
  <c r="G100" i="29"/>
  <c r="H94" i="29"/>
  <c r="G95" i="29"/>
  <c r="G115" i="29"/>
  <c r="O49" i="29"/>
  <c r="O50" i="29" s="1"/>
  <c r="G55" i="29"/>
  <c r="G111" i="29" s="1"/>
  <c r="G92" i="29"/>
  <c r="G132" i="29"/>
  <c r="N15" i="29"/>
  <c r="N16" i="29" s="1"/>
  <c r="G101" i="29"/>
  <c r="H143" i="32" l="1"/>
  <c r="H126" i="32"/>
  <c r="H161" i="32"/>
  <c r="H123" i="32"/>
  <c r="H96" i="31"/>
  <c r="H18" i="31"/>
  <c r="H97" i="31" s="1"/>
  <c r="H95" i="31" s="1"/>
  <c r="H110" i="31"/>
  <c r="H15" i="31"/>
  <c r="H73" i="31"/>
  <c r="H98" i="31"/>
  <c r="H76" i="31"/>
  <c r="H57" i="31"/>
  <c r="H49" i="31"/>
  <c r="H71" i="31"/>
  <c r="H23" i="31"/>
  <c r="H22" i="31" s="1"/>
  <c r="H99" i="31"/>
  <c r="G125" i="29"/>
  <c r="G121" i="29"/>
  <c r="G106" i="29"/>
  <c r="G19" i="29"/>
  <c r="G147" i="29"/>
  <c r="G70" i="29"/>
  <c r="G60" i="29"/>
  <c r="G116" i="29"/>
  <c r="O55" i="29"/>
  <c r="O56" i="29" s="1"/>
  <c r="H128" i="32" l="1"/>
  <c r="H160" i="32"/>
  <c r="H159" i="32" s="1"/>
  <c r="H136" i="32"/>
  <c r="H26" i="32"/>
  <c r="H148" i="32"/>
  <c r="H137" i="32"/>
  <c r="H92" i="31"/>
  <c r="H74" i="31"/>
  <c r="H100" i="31"/>
  <c r="H132" i="31"/>
  <c r="H101" i="31"/>
  <c r="O15" i="31"/>
  <c r="O16" i="31" s="1"/>
  <c r="H106" i="31"/>
  <c r="H115" i="31"/>
  <c r="H55" i="31"/>
  <c r="P49" i="31"/>
  <c r="P50" i="31" s="1"/>
  <c r="H19" i="31"/>
  <c r="H20" i="31" s="1"/>
  <c r="G93" i="29"/>
  <c r="G105" i="29" s="1"/>
  <c r="G20" i="29"/>
  <c r="G61" i="29"/>
  <c r="G62" i="29" s="1"/>
  <c r="O60" i="29"/>
  <c r="G131" i="29"/>
  <c r="G120" i="29"/>
  <c r="G72" i="29"/>
  <c r="G119" i="29"/>
  <c r="G157" i="29" s="1"/>
  <c r="G86" i="29" l="1"/>
  <c r="H142" i="32"/>
  <c r="H77" i="32"/>
  <c r="H78" i="32" s="1"/>
  <c r="H81" i="32" s="1"/>
  <c r="H141" i="32"/>
  <c r="H42" i="32"/>
  <c r="H43" i="32" s="1"/>
  <c r="H41" i="32"/>
  <c r="H133" i="32"/>
  <c r="H130" i="32" s="1"/>
  <c r="H87" i="31"/>
  <c r="H86" i="31"/>
  <c r="H93" i="31"/>
  <c r="H105" i="31" s="1"/>
  <c r="H147" i="31"/>
  <c r="H116" i="31"/>
  <c r="H111" i="31"/>
  <c r="P55" i="31"/>
  <c r="P56" i="31" s="1"/>
  <c r="H70" i="31"/>
  <c r="H60" i="31"/>
  <c r="H125" i="31"/>
  <c r="H121" i="31"/>
  <c r="G87" i="29"/>
  <c r="G156" i="29"/>
  <c r="G155" i="29" s="1"/>
  <c r="G117" i="29"/>
  <c r="G124" i="29" s="1"/>
  <c r="O62" i="29"/>
  <c r="G64" i="29"/>
  <c r="G79" i="29" s="1"/>
  <c r="G75" i="29"/>
  <c r="H131" i="31" l="1"/>
  <c r="H120" i="31"/>
  <c r="H119" i="31"/>
  <c r="H157" i="31" s="1"/>
  <c r="H72" i="31"/>
  <c r="H75" i="31" s="1"/>
  <c r="P60" i="31"/>
  <c r="H61" i="31"/>
  <c r="H62" i="31" s="1"/>
  <c r="G65" i="29"/>
  <c r="G37" i="29" s="1"/>
  <c r="H156" i="31" l="1"/>
  <c r="H155" i="31" s="1"/>
  <c r="H117" i="31"/>
  <c r="H124" i="31" s="1"/>
  <c r="H64" i="31"/>
  <c r="H79" i="31" s="1"/>
  <c r="P62" i="31"/>
  <c r="O65" i="29"/>
  <c r="H36" i="29"/>
  <c r="G34" i="29"/>
  <c r="H65" i="31" l="1"/>
  <c r="G29" i="29"/>
  <c r="G26" i="29" s="1"/>
  <c r="G126" i="29"/>
  <c r="G143" i="29"/>
  <c r="G161" i="29"/>
  <c r="G123" i="29"/>
  <c r="P65" i="31" l="1"/>
  <c r="H37" i="31"/>
  <c r="H34" i="31" s="1"/>
  <c r="G42" i="29"/>
  <c r="G77" i="29"/>
  <c r="G78" i="29" s="1"/>
  <c r="G81" i="29" s="1"/>
  <c r="G142" i="29"/>
  <c r="G141" i="29"/>
  <c r="G41" i="29"/>
  <c r="G148" i="29"/>
  <c r="H28" i="29"/>
  <c r="H59" i="29" s="1"/>
  <c r="G136" i="29"/>
  <c r="G137" i="29"/>
  <c r="G128" i="29"/>
  <c r="G160" i="29"/>
  <c r="G159" i="29" s="1"/>
  <c r="H47" i="29" s="1"/>
  <c r="H126" i="31" l="1"/>
  <c r="H143" i="31"/>
  <c r="H29" i="31"/>
  <c r="H161" i="31"/>
  <c r="H123" i="31"/>
  <c r="H57" i="29"/>
  <c r="G133" i="29"/>
  <c r="G130" i="29" s="1"/>
  <c r="G43" i="29"/>
  <c r="H21" i="29"/>
  <c r="H17" i="29"/>
  <c r="H16" i="29"/>
  <c r="H98" i="29" s="1"/>
  <c r="H52" i="29"/>
  <c r="H53" i="29" s="1"/>
  <c r="H48" i="29"/>
  <c r="H50" i="29"/>
  <c r="H51" i="29"/>
  <c r="H54" i="29"/>
  <c r="H128" i="31" l="1"/>
  <c r="H160" i="31"/>
  <c r="H159" i="31" s="1"/>
  <c r="H26" i="31"/>
  <c r="H148" i="31"/>
  <c r="H136" i="31"/>
  <c r="H137" i="31"/>
  <c r="H76" i="29"/>
  <c r="H99" i="29"/>
  <c r="H71" i="29"/>
  <c r="H23" i="29"/>
  <c r="H22" i="29" s="1"/>
  <c r="H91" i="29"/>
  <c r="H90" i="29" s="1"/>
  <c r="H73" i="29"/>
  <c r="H110" i="29"/>
  <c r="H15" i="29"/>
  <c r="H96" i="29"/>
  <c r="H18" i="29"/>
  <c r="H49" i="29"/>
  <c r="H97" i="29" l="1"/>
  <c r="H95" i="29" s="1"/>
  <c r="H19" i="29" s="1"/>
  <c r="H142" i="31"/>
  <c r="H77" i="31"/>
  <c r="H78" i="31" s="1"/>
  <c r="H81" i="31" s="1"/>
  <c r="H141" i="31"/>
  <c r="H42" i="31"/>
  <c r="H43" i="31" s="1"/>
  <c r="H41" i="31"/>
  <c r="H133" i="31"/>
  <c r="H130" i="31" s="1"/>
  <c r="H74" i="29"/>
  <c r="H100" i="29"/>
  <c r="H92" i="29"/>
  <c r="H106" i="29" s="1"/>
  <c r="H115" i="29"/>
  <c r="H55" i="29"/>
  <c r="H111" i="29" s="1"/>
  <c r="P49" i="29"/>
  <c r="P50" i="29" s="1"/>
  <c r="H132" i="29"/>
  <c r="H101" i="29"/>
  <c r="O15" i="29"/>
  <c r="O16" i="29" s="1"/>
  <c r="H20" i="29" l="1"/>
  <c r="H93" i="29"/>
  <c r="H105" i="29" s="1"/>
  <c r="H116" i="29"/>
  <c r="P55" i="29"/>
  <c r="P56" i="29" s="1"/>
  <c r="H60" i="29"/>
  <c r="H147" i="29"/>
  <c r="H70" i="29"/>
  <c r="H121" i="29"/>
  <c r="H125" i="29"/>
  <c r="H86" i="29" l="1"/>
  <c r="H87" i="29"/>
  <c r="P60" i="29"/>
  <c r="H61" i="29"/>
  <c r="H62" i="29" s="1"/>
  <c r="H119" i="29"/>
  <c r="H157" i="29" s="1"/>
  <c r="H131" i="29"/>
  <c r="H120" i="29"/>
  <c r="H72" i="29"/>
  <c r="H64" i="29" l="1"/>
  <c r="H79" i="29" s="1"/>
  <c r="P62" i="29"/>
  <c r="H156" i="29"/>
  <c r="H155" i="29" s="1"/>
  <c r="H117" i="29"/>
  <c r="H124" i="29" s="1"/>
  <c r="H75" i="29"/>
  <c r="H65" i="29" l="1"/>
  <c r="P65" i="29" s="1"/>
  <c r="H37" i="29" l="1"/>
  <c r="H34" i="29" s="1"/>
  <c r="H29" i="29" l="1"/>
  <c r="H26" i="29" s="1"/>
  <c r="H161" i="29"/>
  <c r="H126" i="29"/>
  <c r="H123" i="29"/>
  <c r="H128" i="29" s="1"/>
  <c r="H143" i="29"/>
  <c r="H42" i="29" l="1"/>
  <c r="H77" i="29"/>
  <c r="H78" i="29" s="1"/>
  <c r="H81" i="29" s="1"/>
  <c r="H141" i="29"/>
  <c r="H142" i="29"/>
  <c r="H41" i="29"/>
  <c r="H136" i="29"/>
  <c r="H148" i="29"/>
  <c r="H137" i="29"/>
  <c r="H160" i="29"/>
  <c r="H159" i="29" s="1"/>
  <c r="H43" i="29" l="1"/>
  <c r="H133" i="29"/>
  <c r="H130" i="29" s="1"/>
</calcChain>
</file>

<file path=xl/sharedStrings.xml><?xml version="1.0" encoding="utf-8"?>
<sst xmlns="http://schemas.openxmlformats.org/spreadsheetml/2006/main" count="54814" uniqueCount="5563">
  <si>
    <t>EMIS</t>
  </si>
  <si>
    <t>6-8 Bouverie Street</t>
  </si>
  <si>
    <t>London EC4Y 8DD, United Kingdom</t>
  </si>
  <si>
    <t>www.emis.com</t>
  </si>
  <si>
    <t>Fuente: Superintendencia de Sociedades - Financial Statements: Real Sector  - Colombia - Superintendencia de Sociedades (Supersociedades) - Estándar para Empresas Comerciales e Industriales</t>
  </si>
  <si>
    <t>DETALLES DEL REPORTE</t>
  </si>
  <si>
    <t>Nombre</t>
  </si>
  <si>
    <t>Y-2011 - Indiv.</t>
  </si>
  <si>
    <t>Y-2012 - Indiv.</t>
  </si>
  <si>
    <t>Y-2013 - Indiv.</t>
  </si>
  <si>
    <t>Y-2014 - Indiv.</t>
  </si>
  <si>
    <t>Y-2015 - Indiv.</t>
  </si>
  <si>
    <t>Fecha inicial del periodo de reporte</t>
  </si>
  <si>
    <t>2011-01-01</t>
  </si>
  <si>
    <t>2012-01-01</t>
  </si>
  <si>
    <t>2013-01-01</t>
  </si>
  <si>
    <t>2014-01-01</t>
  </si>
  <si>
    <t>2015-01-01</t>
  </si>
  <si>
    <t>Fecha final del periodo de reporte</t>
  </si>
  <si>
    <t>2011-12-31</t>
  </si>
  <si>
    <t>2012-12-31</t>
  </si>
  <si>
    <t>2013-12-31</t>
  </si>
  <si>
    <t>2014-12-31</t>
  </si>
  <si>
    <t>2015-12-31</t>
  </si>
  <si>
    <t>Unidades originales como se reportó</t>
  </si>
  <si>
    <t>COP Miles</t>
  </si>
  <si>
    <t>Mostrar Unidades</t>
  </si>
  <si>
    <t>Comentarios</t>
  </si>
  <si>
    <t>Como se reportó</t>
  </si>
  <si>
    <t>Auditado</t>
  </si>
  <si>
    <t>Proveedor</t>
  </si>
  <si>
    <t>Superintendencia de Sociedades</t>
  </si>
  <si>
    <t>Ratios</t>
  </si>
  <si>
    <t>Tipo de Moneda utilizado para la conversión de la moneda (*)</t>
  </si>
  <si>
    <t>Rendimiento sobre los Activos</t>
  </si>
  <si>
    <t>Rendimiento Sobre Activos Anualizado (ROA)</t>
  </si>
  <si>
    <t>Rendimiento sobre el Capital</t>
  </si>
  <si>
    <t>Rendimiento Sobre Patrimonio Neto Anualizado (ROE)</t>
  </si>
  <si>
    <t>Rendimiento a Capital Empleado</t>
  </si>
  <si>
    <t>Rendimiento sobre ventas</t>
  </si>
  <si>
    <t>Margen de ganancia bruta</t>
  </si>
  <si>
    <t>Margen de ganancias operativas</t>
  </si>
  <si>
    <t>EBITDA Márgen</t>
  </si>
  <si>
    <t>ROA operativo</t>
  </si>
  <si>
    <t>Rotación de inventario</t>
  </si>
  <si>
    <t>Rotación de cuentas por cobrar</t>
  </si>
  <si>
    <t>Rotación de activo corriente</t>
  </si>
  <si>
    <t>Rotación de activo fijo</t>
  </si>
  <si>
    <t>Rotación de activos</t>
  </si>
  <si>
    <t>Índice de rotación del capital de trabajo</t>
  </si>
  <si>
    <t>Valor Contable</t>
  </si>
  <si>
    <t>Efectivo Neto</t>
  </si>
  <si>
    <t>Deuda Neta</t>
  </si>
  <si>
    <t>Capital de Trabajo</t>
  </si>
  <si>
    <t>Ganancia Antes de Intereses e Impuestos (EBIT)</t>
  </si>
  <si>
    <t>EBITDA</t>
  </si>
  <si>
    <t>Razón de Liquidez</t>
  </si>
  <si>
    <t>Prueba del Ácido</t>
  </si>
  <si>
    <t>Razón de Efectivo</t>
  </si>
  <si>
    <t>Coeficiente de efectivo</t>
  </si>
  <si>
    <t>Coeficiente de flujo de efectivo de operaciones</t>
  </si>
  <si>
    <t> </t>
  </si>
  <si>
    <t>Deuda sobre activos totales</t>
  </si>
  <si>
    <t>Deuda sobre capital</t>
  </si>
  <si>
    <t>Deuda largo plazo a Capital</t>
  </si>
  <si>
    <t>0</t>
  </si>
  <si>
    <t>Flujo de Caja a Deuda</t>
  </si>
  <si>
    <t>Apalancamiento</t>
  </si>
  <si>
    <t>Tendencia de Ingresos</t>
  </si>
  <si>
    <t>Tendencia Ingresos Operativos Totales</t>
  </si>
  <si>
    <t>Tendencia Utilidad bruta</t>
  </si>
  <si>
    <t>Tendencia EBITDA</t>
  </si>
  <si>
    <t>Tendencia de ganancia operativa</t>
  </si>
  <si>
    <t>Tendencia de ganancia neta</t>
  </si>
  <si>
    <t>Tendencia Cuenta por Cobrar</t>
  </si>
  <si>
    <t>Tendencia Inventario</t>
  </si>
  <si>
    <t>Tendencia Propiedad, planta y equipo netos (PP&amp;E)</t>
  </si>
  <si>
    <t>Tendencia Activos Totales</t>
  </si>
  <si>
    <t>Tendencia Valor contable</t>
  </si>
  <si>
    <t>Tendencia Patrimonio Neto</t>
  </si>
  <si>
    <t>Tendencia Efectivo de Operaciones</t>
  </si>
  <si>
    <t>Tendencia Gastos de capital</t>
  </si>
  <si>
    <t>Cobertura de la deuda</t>
  </si>
  <si>
    <t>Flujo de efectivo/Ingresos</t>
  </si>
  <si>
    <t>Rendimiento efectivo de Activos</t>
  </si>
  <si>
    <t>Rendimiento efectivo de Patrimonio</t>
  </si>
  <si>
    <t>Efectivo/Ingresos</t>
  </si>
  <si>
    <t>Efectivo/Total de activos</t>
  </si>
  <si>
    <t>Cuentas por Cobrar/ Activos Totales</t>
  </si>
  <si>
    <t>Inventario/Total de activos</t>
  </si>
  <si>
    <t>Activo fijo/Total de activo</t>
  </si>
  <si>
    <t>Pasivo corriente/Pasivo total</t>
  </si>
  <si>
    <t>Gastos administrativos/Ventas netas</t>
  </si>
  <si>
    <t>Depreciación y Amortización/Ventas netas</t>
  </si>
  <si>
    <t>Impuesto a la ganancia/Ventas netas</t>
  </si>
  <si>
    <t>Relación Flujo de caja operativo/Flujo de caja Total</t>
  </si>
  <si>
    <t>Flujo de efectivo de inversión/Flujo de efectivo total</t>
  </si>
  <si>
    <t>Flujo de efectivo de financiación/Flujo de efectivo total</t>
  </si>
  <si>
    <t>Más Inforciones</t>
  </si>
  <si>
    <t>Tipo de Estado Financiero</t>
  </si>
  <si>
    <t>Indiv.</t>
  </si>
  <si>
    <t>Fin del Año Fiscal</t>
  </si>
  <si>
    <t>diciembre</t>
  </si>
  <si>
    <t>La redistribución de esta información está estrictamente prohibida.</t>
  </si>
  <si>
    <t>Derechos de Autor 2016 EMIS, todos los derechos reservados.</t>
  </si>
  <si>
    <t>Una Compañía de Euromoney Institutional Investor</t>
  </si>
  <si>
    <t>Rumatex de Colombia Ltda (Colombia) - Ratios</t>
  </si>
  <si>
    <t>Rumatex de Colombia Ltda (Colombia) - Other</t>
  </si>
  <si>
    <t>Balance General</t>
  </si>
  <si>
    <t>Otras Cuentas</t>
  </si>
  <si>
    <t>TOTAL ACTIVO</t>
  </si>
  <si>
    <t>  ACTIVO CORRIENTE</t>
  </si>
  <si>
    <t>    DISPONIBLE</t>
  </si>
  <si>
    <t>      Caja</t>
  </si>
  <si>
    <t>      Bancos</t>
  </si>
  <si>
    <t>      Cuentas de Ahorro</t>
  </si>
  <si>
    <t>    INVERSIONES</t>
  </si>
  <si>
    <t>    DEUDORES CORTO PLAZO</t>
  </si>
  <si>
    <t>      Clientes</t>
  </si>
  <si>
    <t>      Cuentas Corrientes Comerciales</t>
  </si>
  <si>
    <t>      Anticipos y Avances</t>
  </si>
  <si>
    <t>      Anticipos Impuestos y Contribuciones o Saldos a Favor</t>
  </si>
  <si>
    <t>      Cuentas x Cobrar a Trabajadores (CP)</t>
  </si>
  <si>
    <t>      Deudores Varios (CP)</t>
  </si>
  <si>
    <t>      Deudas de Difícil Cobro (CP)</t>
  </si>
  <si>
    <t>      Provisiones (CP)</t>
  </si>
  <si>
    <t>    INVENTARIOS</t>
  </si>
  <si>
    <t>      Mercancías no Fabricadas x la Empresa</t>
  </si>
  <si>
    <t>      Inventarios en Transito</t>
  </si>
  <si>
    <t>    DIFERIDOS</t>
  </si>
  <si>
    <t>      Gastos Pagados x Anticipado</t>
  </si>
  <si>
    <t>      Cargos Diferidos</t>
  </si>
  <si>
    <t>  ACTIVO NO CORRIENTE</t>
  </si>
  <si>
    <t>    PROPIEDADES PLANTA Y EQUIPO NETO</t>
  </si>
  <si>
    <t>    INTANGIBLES</t>
  </si>
  <si>
    <t>      Marcas</t>
  </si>
  <si>
    <t>      Derechos</t>
  </si>
  <si>
    <t>      Licencias</t>
  </si>
  <si>
    <t>      Amortización Acumulada</t>
  </si>
  <si>
    <t>    VALORIZACIONES</t>
  </si>
  <si>
    <t>      De Propiedades Planta y Equipo</t>
  </si>
  <si>
    <t>TOTAL PASIVO</t>
  </si>
  <si>
    <t>  PASIVO CORRIENTE</t>
  </si>
  <si>
    <t>    OBLIGACIONES FINANCIERAS</t>
  </si>
  <si>
    <t>    PROVEEDORES</t>
  </si>
  <si>
    <t>    CUENTAS POR PAGAR</t>
  </si>
  <si>
    <t>      Costos y Gastos x Pagar</t>
  </si>
  <si>
    <t>      Deudas con Accionistas o Socios (CP)</t>
  </si>
  <si>
    <t>      Dividendos o Participación. x Pagar</t>
  </si>
  <si>
    <t>      Retención en la Fuente</t>
  </si>
  <si>
    <t>      Impuesto a las Ventas Retenido</t>
  </si>
  <si>
    <t>      Impuesto de Industria y Comercio Retenido</t>
  </si>
  <si>
    <t>      Retenciones y Aportes de Nomina</t>
  </si>
  <si>
    <t>      Acreedores</t>
  </si>
  <si>
    <t>    IMPUESTOS GRAVÁMENES Y TASAS</t>
  </si>
  <si>
    <t>    OBLIGACIONES LABORALES CORTO PLAZO</t>
  </si>
  <si>
    <t>    PASIVOS ESTIMADOS Y PROVISIONES</t>
  </si>
  <si>
    <t>      Para Costos y Gastos</t>
  </si>
  <si>
    <t>      Para Obligaciones Fiscales</t>
  </si>
  <si>
    <t>      Provisiones Diversas</t>
  </si>
  <si>
    <t>    OTROS PASIVOS A CORTO PLAZO</t>
  </si>
  <si>
    <t>      Ingresos Recibidos para Terceros (CP)</t>
  </si>
  <si>
    <t>  PASIVO NO CORRIENTE</t>
  </si>
  <si>
    <t>TOTAL PATRIMONIO</t>
  </si>
  <si>
    <t>  CAPITAL SOCIAL</t>
  </si>
  <si>
    <t>    Capital Suscrito y Pagado</t>
  </si>
  <si>
    <t>  SUPERÁVIT DE CAPITAL</t>
  </si>
  <si>
    <t>    Prima en colocaciones. acciones cuotas o partes de int. social</t>
  </si>
  <si>
    <t>  RESERVAS</t>
  </si>
  <si>
    <t>  REVALORIZACIÓN DEL PATRIMONIO</t>
  </si>
  <si>
    <t>  RESULTADOS DEL EJERCICIO</t>
  </si>
  <si>
    <t>  RESULTADOS DE EJERCICIOS ANTERIORES</t>
  </si>
  <si>
    <t>    Utilidades Acumuladas</t>
  </si>
  <si>
    <t>  SUPERÁVIT POR VALORIZACIONES</t>
  </si>
  <si>
    <t>Estado de Resultados</t>
  </si>
  <si>
    <t>INGRESOS OPERACIONALES</t>
  </si>
  <si>
    <t>MENOS: COSTO VENTAS Y PRESTACIÓN SERVICIOS</t>
  </si>
  <si>
    <t>UTILIDAD BRUTA</t>
  </si>
  <si>
    <t>MENOS: GASTOS OPERACIONALES ADMINISTRACIÓN.</t>
  </si>
  <si>
    <t>MENOS: GASTOS OPERACIONALES DE VENTAS</t>
  </si>
  <si>
    <t>UTILIDAD OPERACIONAL</t>
  </si>
  <si>
    <t>MAS: INGRESOS NO OPERACIONALES</t>
  </si>
  <si>
    <t>MENOS: GASTOS NO OPERACIONALES</t>
  </si>
  <si>
    <t>  Gastos de Intereses</t>
  </si>
  <si>
    <t>  Otros Gastos No Operacionales</t>
  </si>
  <si>
    <t>UTILIDAD ANTES DE IMPUESTOS</t>
  </si>
  <si>
    <t>MENOS: IMPUESTOS DE RENTA Y COMPLEMENTARIOS</t>
  </si>
  <si>
    <t>GANANCIAS Y PERDIDAS</t>
  </si>
  <si>
    <t>Estado de Flujo de Efectivo</t>
  </si>
  <si>
    <t>SUBTOTAL</t>
  </si>
  <si>
    <t>  UTILIDAD DEL PERIODO (ESTADO DE RESULTADOS)</t>
  </si>
  <si>
    <t>  (+) DEPRECIACIONES (ANEXO 3)</t>
  </si>
  <si>
    <t>  (+) AMORTIZACIONES (ANEXO 3)</t>
  </si>
  <si>
    <t>  (+) PROVISIONES (ANEXO 3)</t>
  </si>
  <si>
    <t>  (-) UTILIDAD EN VTA PROPIEDADES Y EQUIPO Y/O OTROS BIENES (ANEXO 5)</t>
  </si>
  <si>
    <t>  (-) RECUPERACIONES</t>
  </si>
  <si>
    <t>  (+) PÉRDIDA EN VENTA O RETIRO DE BIENES (ANEXO 5)</t>
  </si>
  <si>
    <t>  (+) PROVISION IMPUESTO DE RENTA Y COMPLEMENTARIOS (EST. RESULTADOS)</t>
  </si>
  <si>
    <t>FLUJO DE EFECTIVO NETO EN ACTIVIDADES DE OPERACIÓN</t>
  </si>
  <si>
    <t>  (+ O -) DIFERENCIA EN CAMBIO</t>
  </si>
  <si>
    <t>  EFECTIVO GENERADO EN OPERACIÓN</t>
  </si>
  <si>
    <t>  (+) DISMINUCION INVENTARIOS</t>
  </si>
  <si>
    <t>  (+) DISMINUCION ACTIVOS DIFERIDOS</t>
  </si>
  <si>
    <t>  (+) AUMENTO PROVEEDORES</t>
  </si>
  <si>
    <t>  (+) AUMENTO CUENTAS POR PAGAR</t>
  </si>
  <si>
    <t>  (+) AUMENTO IMPUESTOS GRAVAMENES Y TASAS</t>
  </si>
  <si>
    <t>  (+) AUMENTO OBLIGACIONES LABORALES</t>
  </si>
  <si>
    <t>  (+) AUMENTO PASIVOS ESTIMADOS Y PROVISIONES</t>
  </si>
  <si>
    <t>  (+) AUMENTO OTROS PASIVOS</t>
  </si>
  <si>
    <t>  (-) AUMENTO DEUDORES</t>
  </si>
  <si>
    <t>  (-) AUMENTO INVENTARIOS</t>
  </si>
  <si>
    <t>  (-) AUMENTO ACTIVOS DIFERIDOS</t>
  </si>
  <si>
    <t>  (-) DISMINUCION PROVEEDORES</t>
  </si>
  <si>
    <t>  (-) DISMINUCION CUENTAS POR PAGAR</t>
  </si>
  <si>
    <t>  (-) DISMINUCION IMPUESTOS GRAVAMENES Y TASAS</t>
  </si>
  <si>
    <t>  (-) DISMINUCION OBLIGACIONES LABORALES</t>
  </si>
  <si>
    <t>  (-) DISMINUCION OTROS PASIVOS</t>
  </si>
  <si>
    <t>FLUJO DE EFECTIVO NETO EN ACTIVIDADES DE INVERSION</t>
  </si>
  <si>
    <t>  ACTIVIDADES DE INVERSION</t>
  </si>
  <si>
    <t>  (-) COMPRA INVERSIONES TEMPORALES</t>
  </si>
  <si>
    <t>  (-) COMPRA INVERSIONES PERMANENTES</t>
  </si>
  <si>
    <t>  (-) COMPRA PROPIEDAD PLANTA Y EQUIPO</t>
  </si>
  <si>
    <t>  (-) AUMENTO INTANGIBLES</t>
  </si>
  <si>
    <t>  (+) VENTA INVERSIONES TEMPORALES</t>
  </si>
  <si>
    <t>  (+) VENTA PROPIEDADES PLANTA Y EQUIPO</t>
  </si>
  <si>
    <t>  (+) DISMINUCION INTANGIBLES</t>
  </si>
  <si>
    <t>  (+) DISMINUCION OTROS ACTIVOS</t>
  </si>
  <si>
    <t>FLUJO DE EFECTIVO NETO EN ACTIVIDADES FINANCIERAS</t>
  </si>
  <si>
    <t>  (+) NUEVAS OBLIGACIONES FINANCIERA</t>
  </si>
  <si>
    <t>  (+) NUEVAS OBLIGACIONES FINANCIERAS A LARGO PLAZO</t>
  </si>
  <si>
    <t>  (+) AUMENTO CAPITAL SOCIAL</t>
  </si>
  <si>
    <t>  (-) PAGO DE OBLIGACIONES FINANCIERAS</t>
  </si>
  <si>
    <t>  (-) DISMINUCION SUPERAVIT DE CAPITAL</t>
  </si>
  <si>
    <t>  (-) PAGO DE UTILIDADES</t>
  </si>
  <si>
    <t>EFECTIVO PRESENTE AÑO</t>
  </si>
  <si>
    <t>  TOTAL - AUMENTO (DISMINUCION) DEL EFECTIVO</t>
  </si>
  <si>
    <t>  EFECTIVO AÑO ANTERIOR</t>
  </si>
  <si>
    <t>Bombatex Publicidad S.A.S. (Colombia) - Other</t>
  </si>
  <si>
    <t>      Materias Primas</t>
  </si>
  <si>
    <t>      Productos en Proceso</t>
  </si>
  <si>
    <t>      Productos Terminados</t>
  </si>
  <si>
    <t>      Para Obligaciones Laborales</t>
  </si>
  <si>
    <t>      Anticipos y Avances Recibidos (CP)</t>
  </si>
  <si>
    <t>    CUENTAS POR PAGAR LARGO PLAZO</t>
  </si>
  <si>
    <t>      Deudas con Accionistas o Socios (LP)</t>
  </si>
  <si>
    <t>    Aportes Sociales</t>
  </si>
  <si>
    <t>  (+) DISMINUCION DEUDORES</t>
  </si>
  <si>
    <t>  (-) DISMINUCION PASIVOS ESTIMADOS Y PROVISIONES</t>
  </si>
  <si>
    <t>  (-) PAGO DE OBLIGACIONES FINANCIERAS A LARGO PLAZO</t>
  </si>
  <si>
    <t>Latex de Colombia S.A.S. (Colombia) - Ratios</t>
  </si>
  <si>
    <t>Latex de Colombia S.A.S. (Colombia) - Other</t>
  </si>
  <si>
    <t>      Cuentas por Cobrar a Socios y Accionistas</t>
  </si>
  <si>
    <t>      Depósitos</t>
  </si>
  <si>
    <t>      Reclamaciones (CP)</t>
  </si>
  <si>
    <t>      Materiales Repuestos y Accesorios</t>
  </si>
  <si>
    <t>      Envases y Empaques</t>
  </si>
  <si>
    <t>      Depósitos Recibidos (CP)</t>
  </si>
  <si>
    <t>    Perdidas Acumuladas</t>
  </si>
  <si>
    <t>Bombatex Publicidad S.A.S. (Colombia) - Ratios</t>
  </si>
  <si>
    <t>Construcción del sector con los dos competidores locales más importantes</t>
  </si>
  <si>
    <t>Sempertex de Colombia S.A. (Barranquilla) (Colombia) - Other</t>
  </si>
  <si>
    <t>Cuentas de Orden Deudoras por Contra</t>
  </si>
  <si>
    <t>  Derechos Contingentes</t>
  </si>
  <si>
    <t>  Deudoras Fiscales</t>
  </si>
  <si>
    <t>  Deudoras de Control</t>
  </si>
  <si>
    <t>Cuentas de Orden Acreedores por Contra</t>
  </si>
  <si>
    <t>  Responsabilidades Contingentes</t>
  </si>
  <si>
    <t>  (+) AUMENTO PASIVOS DIFERIDOS</t>
  </si>
  <si>
    <t>  (-) DISMINUCION PASIVOS DIFERIDOS</t>
  </si>
  <si>
    <t>  (-) AUMENTO OTROS ACTIVOS</t>
  </si>
  <si>
    <t>Fuente: Superintendencia de Sociedades - IFRS Financial Statements: Real Sector  - Colombia - NIIF Sector Real - Individuales</t>
  </si>
  <si>
    <t>Total de activos</t>
  </si>
  <si>
    <t>  Activos corrientes totales</t>
  </si>
  <si>
    <t>    Total activos corrientes distintos de los activos no corrientes o grupo de activos para su disposición clasificados como mantenidos para la venta o como mantenidos para distribuir a los propietarios</t>
  </si>
  <si>
    <t>      Efectivo y equivalentes al efectivo</t>
  </si>
  <si>
    <t>      Cuentas comerciales por cobrar y otras cuentas por cobrar corrientes</t>
  </si>
  <si>
    <t>      Inventarios corrientes</t>
  </si>
  <si>
    <t>  Total de activos no corrientes</t>
  </si>
  <si>
    <t>    Propiedades, planta y equipo</t>
  </si>
  <si>
    <t>    Activos por impuestos diferidos</t>
  </si>
  <si>
    <t>Total pasivos</t>
  </si>
  <si>
    <t>  Pasivos corrientes totales</t>
  </si>
  <si>
    <t>    Total de pasivos corrientes distintos de los pasivos incluidos en grupos de activos para su disposición clasificados como mantenidos para la venta</t>
  </si>
  <si>
    <t>      Total provisiones corrientes</t>
  </si>
  <si>
    <t>        Provisiones corrientes por beneficios a los empleados</t>
  </si>
  <si>
    <t>      Cuentas por pagar comerciales y otras cuentas por pagar</t>
  </si>
  <si>
    <t>      Pasivos por impuestos corrientes, corriente</t>
  </si>
  <si>
    <t>      Otros pasivos financieros corrientes</t>
  </si>
  <si>
    <t>      Otros pasivos no financieros corrientes</t>
  </si>
  <si>
    <t>  Total de pasivos no corrientes</t>
  </si>
  <si>
    <t>    Pasivo por impuestos diferidos</t>
  </si>
  <si>
    <t>    Otros pasivos financieros no corrientes</t>
  </si>
  <si>
    <t>Patrimonio total</t>
  </si>
  <si>
    <t>  Patrimonio atribuible a propietarios de la controladora</t>
  </si>
  <si>
    <t>    Capital emitido</t>
  </si>
  <si>
    <t>    Ganancias (pérdidas) acumuladas</t>
  </si>
  <si>
    <t>    Otras participaciones en el patrimonio</t>
  </si>
  <si>
    <t>    Otras reservas</t>
  </si>
  <si>
    <t>Total de patrimonio y pasivos</t>
  </si>
  <si>
    <t>Ingresos de actividades ordinarias</t>
  </si>
  <si>
    <t>Costo de ventas</t>
  </si>
  <si>
    <t>GANANCIA BRUTA</t>
  </si>
  <si>
    <t>Otros ingresos</t>
  </si>
  <si>
    <t>Gastos de ventas</t>
  </si>
  <si>
    <t>Gastos de administración</t>
  </si>
  <si>
    <t>Otros gastos</t>
  </si>
  <si>
    <t>GANANCIA (PÉRDIDA) POR ACTIVIDADES DE OPERACIÓN</t>
  </si>
  <si>
    <t>Ingresos financieros</t>
  </si>
  <si>
    <t>Costos financieros</t>
  </si>
  <si>
    <t>GANANCIA (PÉRDIDA), ANTES DE IMPUESTOS</t>
  </si>
  <si>
    <t>Ingreso (gasto) por impuestos</t>
  </si>
  <si>
    <t>GANANCIA (PÉRDIDA) PROCEDENTE DE OPERACIONES CONTINUADAS</t>
  </si>
  <si>
    <t>GANANCIA (PÉRDIDA)</t>
  </si>
  <si>
    <t>Flujos de efectivo netos procedentes de (utilizados en) actividades de operación</t>
  </si>
  <si>
    <t>  Ganancia (pérdida)</t>
  </si>
  <si>
    <t>  Total ajustes para conciliar la ganancia (pérdida)</t>
  </si>
  <si>
    <t>    Ajustes por disminuciones (incrementos) en los inventarios</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</si>
  <si>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</si>
  <si>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</si>
  <si>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</si>
  <si>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    Ajustes por incrementos (disminuciones) en otras cuentas por pagar derivadas de las actividades de operación</t>
  </si>
  <si>
    <t>    Ajustes por gastos de depreciación y amortización</t>
  </si>
  <si>
    <t>Flujos de efectivo netos procedentes de (utilizados en) actividades de inversión</t>
  </si>
  <si>
    <t>  Compras de propiedades, planta y equipo</t>
  </si>
  <si>
    <t>  Otras entradas (salidas) de efectivo</t>
  </si>
  <si>
    <t>Flujos de efectivo netos procedentes de (utilizados en) actividades de financiación</t>
  </si>
  <si>
    <t>  Reembolsos de préstamos</t>
  </si>
  <si>
    <t>  Dividendos pagados</t>
  </si>
  <si>
    <t>Efectivo y equivalentes al efectivo al final del periodo</t>
  </si>
  <si>
    <t>  Efectivo y equivalentes al efectivo al principio del periodo</t>
  </si>
  <si>
    <t>  Incremento (disminución) neto de efectivo y equivalentes al efectivo</t>
  </si>
  <si>
    <t>    Incremento (disminución) neto de efectivo y equivalentes al efectivo, antes del efecto de los cambios en la tasa de cambio</t>
  </si>
  <si>
    <t>Sempertex NIT 890101272</t>
  </si>
  <si>
    <t>Latex de Colombia</t>
  </si>
  <si>
    <t>Bombatex</t>
  </si>
  <si>
    <t>Indicadores de Liquidez</t>
  </si>
  <si>
    <t>Razón Corriente</t>
  </si>
  <si>
    <t>Prueba Ácida</t>
  </si>
  <si>
    <t>KTNO</t>
  </si>
  <si>
    <t>Activo Corriente</t>
  </si>
  <si>
    <t>Disponible</t>
  </si>
  <si>
    <t>Pasivo Corriente</t>
  </si>
  <si>
    <t>Deuda Corriente</t>
  </si>
  <si>
    <t>KTNO *miles</t>
  </si>
  <si>
    <t>Activo Operacional Neto *miles</t>
  </si>
  <si>
    <t>Activos no Corrientes</t>
  </si>
  <si>
    <t>Ingresos Operacionales</t>
  </si>
  <si>
    <t>Otros Ingresos</t>
  </si>
  <si>
    <t>Otros Gastos</t>
  </si>
  <si>
    <t>Costo Ventas Y Prestación Servicios</t>
  </si>
  <si>
    <t>Utilidad Bruta</t>
  </si>
  <si>
    <t>Gastos Operacionales Administración.</t>
  </si>
  <si>
    <t>Gastos Operacionales De Ventas</t>
  </si>
  <si>
    <t>Utilidad Operacional</t>
  </si>
  <si>
    <t>Ingresos No Operacionales</t>
  </si>
  <si>
    <t>Gastos No Operacionales</t>
  </si>
  <si>
    <t>Gastos de Intereses</t>
  </si>
  <si>
    <t>Otros Gastos No Operacionales</t>
  </si>
  <si>
    <t>Utilidad Antes De Impuestos</t>
  </si>
  <si>
    <t>Impuestos De Renta Y Complementarios</t>
  </si>
  <si>
    <t>Ganancias Y Perdidas</t>
  </si>
  <si>
    <t>% Var Anual Gastos Operacionales Administración.</t>
  </si>
  <si>
    <t>% Var Anual Gastos Operacionales De Ventas</t>
  </si>
  <si>
    <t>% Var Anual Ingresos Operacionales</t>
  </si>
  <si>
    <t>% Var Anual Costo Ventas Y Prestación Servicios</t>
  </si>
  <si>
    <t>% Var Anual Ingresos No Operacionales</t>
  </si>
  <si>
    <t>% Var Anual Gastos No Operacionales</t>
  </si>
  <si>
    <t>% Var Anual Ingresos financieros</t>
  </si>
  <si>
    <t>% Var Anual Costos financieros</t>
  </si>
  <si>
    <t>% Var Anual Impuestos De Renta Y Complementarios</t>
  </si>
  <si>
    <t>Participación Sobre Ingresos</t>
  </si>
  <si>
    <t>Variación Anual</t>
  </si>
  <si>
    <t>Inventario Final</t>
  </si>
  <si>
    <t>Inventario Inicial</t>
  </si>
  <si>
    <t>Costo de Ventas</t>
  </si>
  <si>
    <t>Compras</t>
  </si>
  <si>
    <t>% Var Anual Compras</t>
  </si>
  <si>
    <t>Proyectado</t>
  </si>
  <si>
    <t>Incremento Esperado en Ingresos</t>
  </si>
  <si>
    <t>AON</t>
  </si>
  <si>
    <t>Estado de Resultados *miles</t>
  </si>
  <si>
    <t>Variación Utilidad Neta</t>
  </si>
  <si>
    <t>Inventario</t>
  </si>
  <si>
    <t>Activo no Corriente</t>
  </si>
  <si>
    <t>Ciclo de Efectivo</t>
  </si>
  <si>
    <t>Rotación Cuentas x Cobrar (Días)</t>
  </si>
  <si>
    <t>Rotación Inventarios (Días)</t>
  </si>
  <si>
    <t>Rotación Proveedores (Días)</t>
  </si>
  <si>
    <t>Rotación Cuentas x Cobrar (Veces)</t>
  </si>
  <si>
    <t>Cuentas por Cobrar</t>
  </si>
  <si>
    <t>Inventarios</t>
  </si>
  <si>
    <t>Proveedores</t>
  </si>
  <si>
    <t>Ciclo de Negocio</t>
  </si>
  <si>
    <t>ROA</t>
  </si>
  <si>
    <t>NOPAT</t>
  </si>
  <si>
    <t>Utilidad Operativa</t>
  </si>
  <si>
    <t>Tasa de Impuestos</t>
  </si>
  <si>
    <t>Desagregación DUPONT ROA</t>
  </si>
  <si>
    <t>Margen NOPAT</t>
  </si>
  <si>
    <t>Rotación AON</t>
  </si>
  <si>
    <t>ROE</t>
  </si>
  <si>
    <t>Utilidad Neta Final</t>
  </si>
  <si>
    <t>Patrimonio</t>
  </si>
  <si>
    <t>Desagregación DUPONT ROE</t>
  </si>
  <si>
    <t>Margen Neto</t>
  </si>
  <si>
    <t>Apalancamiento Financiero</t>
  </si>
  <si>
    <t>Contribución Financiera</t>
  </si>
  <si>
    <t>Indicadore de Eficiencia</t>
  </si>
  <si>
    <t>Rotación Inventarios (Veces)</t>
  </si>
  <si>
    <t>Rotación KTNO (Días)</t>
  </si>
  <si>
    <t>Rotación AON (Días)</t>
  </si>
  <si>
    <t>Indicadores de Rentabilidad</t>
  </si>
  <si>
    <t>Margen Bruto</t>
  </si>
  <si>
    <t>Margen Operativo</t>
  </si>
  <si>
    <t>Disminución costo por cambio de materia prima</t>
  </si>
  <si>
    <t>Disminución de Costo por cambio de Latex Natural a Elastómeros Termoplásticos</t>
  </si>
  <si>
    <t>Indicadores de Eficiencia</t>
  </si>
  <si>
    <t>Clientes</t>
  </si>
  <si>
    <t>Sector</t>
  </si>
  <si>
    <t>Sector Rot CXC (Veces)</t>
  </si>
  <si>
    <t>Sempertex Rot CXC (Veces)</t>
  </si>
  <si>
    <t>Sempertex Rot CXC (Días)</t>
  </si>
  <si>
    <t>Latex de Colombia Rot CXC (Veces)</t>
  </si>
  <si>
    <t>Latex de Colombia Rot CXC (Días)</t>
  </si>
  <si>
    <t>Bombatex Rot CXC (Veces)</t>
  </si>
  <si>
    <t>Bombatex Rot CXC (Días)</t>
  </si>
  <si>
    <t>Sector Rot Inv (Veces)</t>
  </si>
  <si>
    <t>Sempertex Rot Inv (Días)</t>
  </si>
  <si>
    <t>Sempertex Rot Inv (Veces)</t>
  </si>
  <si>
    <t>Latex de Colombia Rot Inv (Veces)</t>
  </si>
  <si>
    <t>Latex de Colombia Rot Inv (Días)</t>
  </si>
  <si>
    <t>Bombatex Rot Inv (Veces)</t>
  </si>
  <si>
    <t>Bombatex Rot Inv (Días)</t>
  </si>
  <si>
    <t>Rotación de Proveedores (Veces)</t>
  </si>
  <si>
    <t>Sector Rot Pro (Veces)</t>
  </si>
  <si>
    <t>Sempertex Rot Pro (Veces)</t>
  </si>
  <si>
    <t>Sempertex Rot Pro (Días)</t>
  </si>
  <si>
    <t>Latex de Colombia Rot Pro (Veces)</t>
  </si>
  <si>
    <t>Latex de Colombia Rot Pro (Días)</t>
  </si>
  <si>
    <t>Bombatex Rot Pro (Veces)</t>
  </si>
  <si>
    <t>Bombatex Rot Pro (Días)</t>
  </si>
  <si>
    <t>Rotación de KTNO</t>
  </si>
  <si>
    <t>Sector Rot KTNO (Veces)</t>
  </si>
  <si>
    <t>Sempertex Rot KTNO (Veces)</t>
  </si>
  <si>
    <t>Latex de Colombia Rot KTNO (Veces)</t>
  </si>
  <si>
    <t>Bombatex Rot KTNO (Veces)</t>
  </si>
  <si>
    <t>Rotación de AON</t>
  </si>
  <si>
    <t>Sector Rot AON (Veces)</t>
  </si>
  <si>
    <t>Sempertex Rot AON (Veces)</t>
  </si>
  <si>
    <t>Latex de Colombia Rot AON (Veces)</t>
  </si>
  <si>
    <t>Bombatex Rot AON (Veces)</t>
  </si>
  <si>
    <t>Sempertex</t>
  </si>
  <si>
    <t>Margen Operacional</t>
  </si>
  <si>
    <t>Indicadores de Deuda</t>
  </si>
  <si>
    <t>Deuda</t>
  </si>
  <si>
    <t>Razón de Endeudamiento</t>
  </si>
  <si>
    <t>Estructura Financiera</t>
  </si>
  <si>
    <t>En el cálculo de los años 2011 y 2015 da una tasa negativa, por tal razón se toman las teóricas de cada año</t>
  </si>
  <si>
    <t>De los años 2011 a 2014 no registra valores asociados a impuestos por tal razón se toma la teórica</t>
  </si>
  <si>
    <t>Desagregación ROA</t>
  </si>
  <si>
    <t>Utilidad Neta</t>
  </si>
  <si>
    <t>Desagregación ROE</t>
  </si>
  <si>
    <t>CONTRIBUCIÓN FINANCIERA</t>
  </si>
  <si>
    <t>% Ing Anual Compras</t>
  </si>
  <si>
    <t>KTNO - % Ventas</t>
  </si>
  <si>
    <t>KTNO - % AON</t>
  </si>
  <si>
    <t>Promedio</t>
  </si>
  <si>
    <t>Desviación Estandar</t>
  </si>
  <si>
    <t>Composición Activo Corriente</t>
  </si>
  <si>
    <t>Cuentas por cobrar</t>
  </si>
  <si>
    <t>Materia prima</t>
  </si>
  <si>
    <t>Precio</t>
  </si>
  <si>
    <t>Caucho natural</t>
  </si>
  <si>
    <t>Poliuretano termoplástico de fusión caliente - TPU</t>
  </si>
  <si>
    <t>Capacidad Intalada en Unidades</t>
  </si>
  <si>
    <t>Capacidad Deseada en Unidades</t>
  </si>
  <si>
    <t>Diferencia de Capacidad</t>
  </si>
  <si>
    <t>Precio de Venta Unitario</t>
  </si>
  <si>
    <t>Costo de Ventas / Ingresos</t>
  </si>
  <si>
    <t>Inversión en PPE</t>
  </si>
  <si>
    <t>Desviación</t>
  </si>
  <si>
    <t>Efectivo y equivalentes al efectivo</t>
  </si>
  <si>
    <t>Propiedades, planta y equipo</t>
  </si>
  <si>
    <t>Otros pasivos financieros no corrientes</t>
  </si>
  <si>
    <t>Cuentas de Balance Afectadas *miles</t>
  </si>
  <si>
    <t>Igual</t>
  </si>
  <si>
    <t>Tiempo Recuperación Inversión PPE (Años)</t>
  </si>
  <si>
    <t>Costo de la Deuda</t>
  </si>
  <si>
    <t>Aumento de ingresos vía inversión en PPE</t>
  </si>
  <si>
    <t>https://www.superfinanciera.gov.co/jsp/index.jsf</t>
  </si>
  <si>
    <t>Interés Bancario Corriente</t>
  </si>
  <si>
    <t>Tomado de:</t>
  </si>
  <si>
    <t>Disminución por inversión de PPE la cual fue hecha (30% Disponible y 70% Deduda de Largo Plazo)</t>
  </si>
  <si>
    <t>Efecto del 30% de la inversión en PPE</t>
  </si>
  <si>
    <t>Efecto del 70% de la inversión en PPE</t>
  </si>
  <si>
    <t>En uso de sus facultades legales y en especial de las conferidas en el numeral 8 del artículo 11.2.1.4.3 del Decreto 2555 de 2010, en concordancia con la Resolución 0416 de 2006, el artículo 11.2.5.1.1 del Decreto 2555 de 2010, el artículo 98 del Decreto 2150 de 1995 y el artículo 884 del Código de Comercio.</t>
  </si>
  <si>
    <t>CERTIFICA</t>
  </si>
  <si>
    <t>RESOLUCION</t>
  </si>
  <si>
    <t>FECHA</t>
  </si>
  <si>
    <t>VIGENCIA</t>
  </si>
  <si>
    <t>INTERES ANUAL EFECTIVO</t>
  </si>
  <si>
    <t>DESDE</t>
  </si>
  <si>
    <t>HASTA</t>
  </si>
  <si>
    <t>CORRIENTE</t>
  </si>
  <si>
    <t>BANCARIO CORRIENTE</t>
  </si>
  <si>
    <t>CREDITOS ORDINARIOS LIBRE ASIGNACION</t>
  </si>
  <si>
    <t>2865</t>
  </si>
  <si>
    <t>29-Oct-71</t>
  </si>
  <si>
    <t>09-Feb-72</t>
  </si>
  <si>
    <t>18.00%</t>
  </si>
  <si>
    <t>14.00%</t>
  </si>
  <si>
    <t>----</t>
  </si>
  <si>
    <t>290</t>
  </si>
  <si>
    <t>10-Feb-72</t>
  </si>
  <si>
    <t>30-Jul-73</t>
  </si>
  <si>
    <t>2190</t>
  </si>
  <si>
    <t>31-Jul-73</t>
  </si>
  <si>
    <t>11-Mar-74</t>
  </si>
  <si>
    <t>699</t>
  </si>
  <si>
    <t>12-Mar-74</t>
  </si>
  <si>
    <t>22-Jun-75</t>
  </si>
  <si>
    <t>16.00%</t>
  </si>
  <si>
    <t>1472</t>
  </si>
  <si>
    <t>23-Jun-75</t>
  </si>
  <si>
    <t>22-Jun-76</t>
  </si>
  <si>
    <t>1487</t>
  </si>
  <si>
    <t>23-Jun-76</t>
  </si>
  <si>
    <t>27-Jun-77</t>
  </si>
  <si>
    <t>2087</t>
  </si>
  <si>
    <t>28-Jun-77</t>
  </si>
  <si>
    <t>12-Jul-78</t>
  </si>
  <si>
    <t>1800</t>
  </si>
  <si>
    <t>13-Jul-78</t>
  </si>
  <si>
    <t>05-Mar-79</t>
  </si>
  <si>
    <t>1068</t>
  </si>
  <si>
    <t>06-Mar-79</t>
  </si>
  <si>
    <t>27-Ags-80</t>
  </si>
  <si>
    <t>4422</t>
  </si>
  <si>
    <t>28-Ags-80</t>
  </si>
  <si>
    <t>23-Jul-81</t>
  </si>
  <si>
    <t>4037</t>
  </si>
  <si>
    <t>24-Jul-81</t>
  </si>
  <si>
    <t>15-Oct-84</t>
  </si>
  <si>
    <t>1768</t>
  </si>
  <si>
    <t>06-Abr-81</t>
  </si>
  <si>
    <t>01-Feb-81</t>
  </si>
  <si>
    <t>32.00%</t>
  </si>
  <si>
    <t>4815</t>
  </si>
  <si>
    <t>03-Oct-84</t>
  </si>
  <si>
    <t>16-Oct-84</t>
  </si>
  <si>
    <t>25-Mar-86</t>
  </si>
  <si>
    <t>33.60%</t>
  </si>
  <si>
    <t>4816</t>
  </si>
  <si>
    <t>42.66%</t>
  </si>
  <si>
    <t>1374</t>
  </si>
  <si>
    <t>27-Feb-86</t>
  </si>
  <si>
    <t>26-Mar-86</t>
  </si>
  <si>
    <t>25-May-87</t>
  </si>
  <si>
    <t>33.81%</t>
  </si>
  <si>
    <t>1375</t>
  </si>
  <si>
    <t>41.12%</t>
  </si>
  <si>
    <t>1900</t>
  </si>
  <si>
    <t>22-May-87</t>
  </si>
  <si>
    <t>26-May-87</t>
  </si>
  <si>
    <t>19-May-88</t>
  </si>
  <si>
    <t>32.52%</t>
  </si>
  <si>
    <t>1901</t>
  </si>
  <si>
    <t>39.03%</t>
  </si>
  <si>
    <t>1700</t>
  </si>
  <si>
    <t>20-May-88</t>
  </si>
  <si>
    <t>02-May-89</t>
  </si>
  <si>
    <t>34.04%</t>
  </si>
  <si>
    <t>1701</t>
  </si>
  <si>
    <t>39.86%</t>
  </si>
  <si>
    <t>1360</t>
  </si>
  <si>
    <t>03-May-89</t>
  </si>
  <si>
    <t>24-May-90</t>
  </si>
  <si>
    <t>40.46%</t>
  </si>
  <si>
    <t>1361</t>
  </si>
  <si>
    <t>36.15%</t>
  </si>
  <si>
    <t>1850</t>
  </si>
  <si>
    <t>25-May-90</t>
  </si>
  <si>
    <t>28-Feb-91</t>
  </si>
  <si>
    <t>41.98%</t>
  </si>
  <si>
    <t>1851</t>
  </si>
  <si>
    <t>34.27%</t>
  </si>
  <si>
    <t>714</t>
  </si>
  <si>
    <t>01-Mar-91</t>
  </si>
  <si>
    <t>27-Feb-92</t>
  </si>
  <si>
    <t>43.90%</t>
  </si>
  <si>
    <t>715</t>
  </si>
  <si>
    <t>36.41%</t>
  </si>
  <si>
    <t>734</t>
  </si>
  <si>
    <t>28-Feb-92</t>
  </si>
  <si>
    <t>29-Abr-92</t>
  </si>
  <si>
    <t>42.41%</t>
  </si>
  <si>
    <t>735</t>
  </si>
  <si>
    <t>45.24%</t>
  </si>
  <si>
    <t>1541</t>
  </si>
  <si>
    <t>30-Abr-92</t>
  </si>
  <si>
    <t>30-Jun-92</t>
  </si>
  <si>
    <t>38.47%</t>
  </si>
  <si>
    <t>1542</t>
  </si>
  <si>
    <t>42.60%</t>
  </si>
  <si>
    <t>2567</t>
  </si>
  <si>
    <t>01-Jul-92</t>
  </si>
  <si>
    <t>30-Ags-92</t>
  </si>
  <si>
    <t>38.18%</t>
  </si>
  <si>
    <t>2568</t>
  </si>
  <si>
    <t>41.23%</t>
  </si>
  <si>
    <t>3423</t>
  </si>
  <si>
    <t>31-Ags-92</t>
  </si>
  <si>
    <t>31-Oct-92</t>
  </si>
  <si>
    <t>3424</t>
  </si>
  <si>
    <t>34.33%</t>
  </si>
  <si>
    <t>4487</t>
  </si>
  <si>
    <t>29-Oct-92</t>
  </si>
  <si>
    <t>01-Nov-92</t>
  </si>
  <si>
    <t>31-Dic-92</t>
  </si>
  <si>
    <t>32.15%</t>
  </si>
  <si>
    <t>4488</t>
  </si>
  <si>
    <t>35.27%</t>
  </si>
  <si>
    <t>5393</t>
  </si>
  <si>
    <t>29-Dic-92</t>
  </si>
  <si>
    <t>01-Ene-93</t>
  </si>
  <si>
    <t>28-Feb-93</t>
  </si>
  <si>
    <t>34.39%</t>
  </si>
  <si>
    <t>5394</t>
  </si>
  <si>
    <t>36.23%</t>
  </si>
  <si>
    <t>0626</t>
  </si>
  <si>
    <t>26-Feb-93</t>
  </si>
  <si>
    <t>01-Mar-93</t>
  </si>
  <si>
    <t>30-Abr-93</t>
  </si>
  <si>
    <t>34.74%</t>
  </si>
  <si>
    <t>0627</t>
  </si>
  <si>
    <t>36.36%</t>
  </si>
  <si>
    <t>1299</t>
  </si>
  <si>
    <t>27-Abr-93</t>
  </si>
  <si>
    <t>01-May-93</t>
  </si>
  <si>
    <t>30-Jun-93</t>
  </si>
  <si>
    <t>35.10%</t>
  </si>
  <si>
    <t>1300</t>
  </si>
  <si>
    <t>37.25%</t>
  </si>
  <si>
    <t>2150</t>
  </si>
  <si>
    <t>01-Jul-93</t>
  </si>
  <si>
    <t>31-Ago-93</t>
  </si>
  <si>
    <t>35.43%</t>
  </si>
  <si>
    <t>2151</t>
  </si>
  <si>
    <t>37.51%</t>
  </si>
  <si>
    <t>2880</t>
  </si>
  <si>
    <t>01-Sep-93</t>
  </si>
  <si>
    <t>31-Oct-93</t>
  </si>
  <si>
    <t>35.66%</t>
  </si>
  <si>
    <t>2881</t>
  </si>
  <si>
    <t>37.60%</t>
  </si>
  <si>
    <t>3542</t>
  </si>
  <si>
    <t>28-Oct-93</t>
  </si>
  <si>
    <t>01-Nov-93</t>
  </si>
  <si>
    <t>31-Dic-93</t>
  </si>
  <si>
    <t>35.87%</t>
  </si>
  <si>
    <t>3543</t>
  </si>
  <si>
    <t>37.89%</t>
  </si>
  <si>
    <t>4457</t>
  </si>
  <si>
    <t>29-Dic-93</t>
  </si>
  <si>
    <t>01-Ene-94</t>
  </si>
  <si>
    <t>28-Feb-94</t>
  </si>
  <si>
    <t>35.02%</t>
  </si>
  <si>
    <t>4458</t>
  </si>
  <si>
    <t>37.37%</t>
  </si>
  <si>
    <t>0191</t>
  </si>
  <si>
    <t>25-Feb-94</t>
  </si>
  <si>
    <t>01-Mar-94</t>
  </si>
  <si>
    <t>30-Abr-94</t>
  </si>
  <si>
    <t>35.42%</t>
  </si>
  <si>
    <t>0192</t>
  </si>
  <si>
    <t>37.33%</t>
  </si>
  <si>
    <t>0779</t>
  </si>
  <si>
    <t>29-Abr-94</t>
  </si>
  <si>
    <t>01-May-94</t>
  </si>
  <si>
    <t>30-Jun-94</t>
  </si>
  <si>
    <t>36.13%</t>
  </si>
  <si>
    <t>0780</t>
  </si>
  <si>
    <t>38.12%</t>
  </si>
  <si>
    <t>1301</t>
  </si>
  <si>
    <t>24-Jun-94</t>
  </si>
  <si>
    <t>01-Jul-94</t>
  </si>
  <si>
    <t>31-Ago-94</t>
  </si>
  <si>
    <t>36.25%</t>
  </si>
  <si>
    <t>38.46%</t>
  </si>
  <si>
    <t>1835</t>
  </si>
  <si>
    <t>29-Ago-94</t>
  </si>
  <si>
    <t>01-Sep-94</t>
  </si>
  <si>
    <t>31-Oct-94</t>
  </si>
  <si>
    <t>36.89%</t>
  </si>
  <si>
    <t>1836</t>
  </si>
  <si>
    <t>2350</t>
  </si>
  <si>
    <t>01-Nov-94</t>
  </si>
  <si>
    <t>31-Dic-94</t>
  </si>
  <si>
    <t>38.76%</t>
  </si>
  <si>
    <t>2351</t>
  </si>
  <si>
    <t>2931</t>
  </si>
  <si>
    <t>27-Dic-94</t>
  </si>
  <si>
    <t>01-Ene-95</t>
  </si>
  <si>
    <t>28-Feb-95</t>
  </si>
  <si>
    <t>40.12%</t>
  </si>
  <si>
    <t>2932</t>
  </si>
  <si>
    <t>41.70%</t>
  </si>
  <si>
    <t>0338</t>
  </si>
  <si>
    <t>01-Mar-95</t>
  </si>
  <si>
    <t>30-Abr-95</t>
  </si>
  <si>
    <t>42.74%</t>
  </si>
  <si>
    <t>0337</t>
  </si>
  <si>
    <t>43.71%</t>
  </si>
  <si>
    <t>0879</t>
  </si>
  <si>
    <t>28-Abr-95</t>
  </si>
  <si>
    <t>01-May-95</t>
  </si>
  <si>
    <t>30-Jun-95</t>
  </si>
  <si>
    <t>42.45%</t>
  </si>
  <si>
    <t>0878</t>
  </si>
  <si>
    <t>43.86%</t>
  </si>
  <si>
    <t>1418</t>
  </si>
  <si>
    <t>27-Jun-95</t>
  </si>
  <si>
    <t>01-Jul-95</t>
  </si>
  <si>
    <t>1419</t>
  </si>
  <si>
    <t>2024</t>
  </si>
  <si>
    <t>30-Ago-95</t>
  </si>
  <si>
    <t>01-Sep-95</t>
  </si>
  <si>
    <t>2025</t>
  </si>
  <si>
    <t>2572</t>
  </si>
  <si>
    <t>30-Oct-95</t>
  </si>
  <si>
    <t>01-Nov-95</t>
  </si>
  <si>
    <t>2573</t>
  </si>
  <si>
    <t>3170</t>
  </si>
  <si>
    <t>28-Dic-95</t>
  </si>
  <si>
    <t>01-Ene-96</t>
  </si>
  <si>
    <t>3171</t>
  </si>
  <si>
    <t>0313</t>
  </si>
  <si>
    <t>29-Feb-96</t>
  </si>
  <si>
    <t>01-Mar-96</t>
  </si>
  <si>
    <t>0314</t>
  </si>
  <si>
    <t>0843</t>
  </si>
  <si>
    <t>30-Abr-96</t>
  </si>
  <si>
    <t>01-May-96</t>
  </si>
  <si>
    <t>0844</t>
  </si>
  <si>
    <t>1127</t>
  </si>
  <si>
    <t>28-Jun-96</t>
  </si>
  <si>
    <t>01-Jul-96</t>
  </si>
  <si>
    <t>1128</t>
  </si>
  <si>
    <t>1390</t>
  </si>
  <si>
    <t>29-Ago-96</t>
  </si>
  <si>
    <t>01-Sep-96</t>
  </si>
  <si>
    <t>1389</t>
  </si>
  <si>
    <t>1621</t>
  </si>
  <si>
    <t>31-Oct-96</t>
  </si>
  <si>
    <t>01-Nov-96</t>
  </si>
  <si>
    <t>1622</t>
  </si>
  <si>
    <t>1825</t>
  </si>
  <si>
    <t>27-Dic-96</t>
  </si>
  <si>
    <t>01-Ene-97</t>
  </si>
  <si>
    <t>1824</t>
  </si>
  <si>
    <t>0214</t>
  </si>
  <si>
    <t>26-Feb-97</t>
  </si>
  <si>
    <t>01-Mar-97</t>
  </si>
  <si>
    <t>0215</t>
  </si>
  <si>
    <t>0420</t>
  </si>
  <si>
    <t>29-Abr-97</t>
  </si>
  <si>
    <t>01-May-97</t>
  </si>
  <si>
    <t>0419</t>
  </si>
  <si>
    <t>0633</t>
  </si>
  <si>
    <t>25-Jun-97</t>
  </si>
  <si>
    <t>01-Jul-97</t>
  </si>
  <si>
    <t>0634</t>
  </si>
  <si>
    <t>0851</t>
  </si>
  <si>
    <t>29-Ago-97</t>
  </si>
  <si>
    <t>01-Sep-97</t>
  </si>
  <si>
    <t>0852</t>
  </si>
  <si>
    <t>0967</t>
  </si>
  <si>
    <t>29-Sep-97</t>
  </si>
  <si>
    <t>01-Oct-97</t>
  </si>
  <si>
    <t>0968</t>
  </si>
  <si>
    <t>1120</t>
  </si>
  <si>
    <t>31-Oct-97</t>
  </si>
  <si>
    <t>01-Nov-97</t>
  </si>
  <si>
    <t>1121</t>
  </si>
  <si>
    <t>1251</t>
  </si>
  <si>
    <t>28-Nov-97</t>
  </si>
  <si>
    <t>01-Dic-97</t>
  </si>
  <si>
    <t>1252</t>
  </si>
  <si>
    <t>1402</t>
  </si>
  <si>
    <t>31-Dic-97</t>
  </si>
  <si>
    <t>01-Ene-98</t>
  </si>
  <si>
    <t>1403</t>
  </si>
  <si>
    <t>0095</t>
  </si>
  <si>
    <t>30-Ene-98</t>
  </si>
  <si>
    <t>01-Feb-98</t>
  </si>
  <si>
    <t>0096</t>
  </si>
  <si>
    <t>0218</t>
  </si>
  <si>
    <t>27-Feb-98</t>
  </si>
  <si>
    <t>01-Mar-98</t>
  </si>
  <si>
    <t>0219</t>
  </si>
  <si>
    <t>0403</t>
  </si>
  <si>
    <t>31-Mar-98</t>
  </si>
  <si>
    <t>01-Abr-98</t>
  </si>
  <si>
    <t>0404</t>
  </si>
  <si>
    <t>0543</t>
  </si>
  <si>
    <t>30-Abr-98</t>
  </si>
  <si>
    <t>01-May-98</t>
  </si>
  <si>
    <t>0544</t>
  </si>
  <si>
    <t>0656</t>
  </si>
  <si>
    <t>29-May-98</t>
  </si>
  <si>
    <t>01-Jun-98</t>
  </si>
  <si>
    <t>0657</t>
  </si>
  <si>
    <t>0821</t>
  </si>
  <si>
    <t>30-Jun-98</t>
  </si>
  <si>
    <t>01-Jul-98</t>
  </si>
  <si>
    <t>0822</t>
  </si>
  <si>
    <t>0994</t>
  </si>
  <si>
    <t>31-Jul-98</t>
  </si>
  <si>
    <t>01-Ago-98</t>
  </si>
  <si>
    <t>0995</t>
  </si>
  <si>
    <t>1146</t>
  </si>
  <si>
    <t>31-Ago-98</t>
  </si>
  <si>
    <t>01-Sep-98</t>
  </si>
  <si>
    <t>1147</t>
  </si>
  <si>
    <t>2118</t>
  </si>
  <si>
    <t>30-Sep-98</t>
  </si>
  <si>
    <t>2119</t>
  </si>
  <si>
    <t>2259</t>
  </si>
  <si>
    <t>30-Oct-98</t>
  </si>
  <si>
    <t>2260</t>
  </si>
  <si>
    <t>2384</t>
  </si>
  <si>
    <t>30-Nov-98</t>
  </si>
  <si>
    <t>2385</t>
  </si>
  <si>
    <t>2514</t>
  </si>
  <si>
    <t>30-Dic-98</t>
  </si>
  <si>
    <t>2515</t>
  </si>
  <si>
    <t>0093</t>
  </si>
  <si>
    <t>0094</t>
  </si>
  <si>
    <t>0237</t>
  </si>
  <si>
    <t>0238</t>
  </si>
  <si>
    <t>0275</t>
  </si>
  <si>
    <t>0276</t>
  </si>
  <si>
    <t>0387</t>
  </si>
  <si>
    <t>0388</t>
  </si>
  <si>
    <t>0592</t>
  </si>
  <si>
    <t>0593</t>
  </si>
  <si>
    <t>0820</t>
  </si>
  <si>
    <t>1000</t>
  </si>
  <si>
    <t>1001</t>
  </si>
  <si>
    <t>0165</t>
  </si>
  <si>
    <t>0166</t>
  </si>
  <si>
    <t>0343</t>
  </si>
  <si>
    <t>0344</t>
  </si>
  <si>
    <t>0512</t>
  </si>
  <si>
    <t>0513</t>
  </si>
  <si>
    <t>0664</t>
  </si>
  <si>
    <t>0665</t>
  </si>
  <si>
    <t>-----</t>
  </si>
  <si>
    <t>0848</t>
  </si>
  <si>
    <t>0849</t>
  </si>
  <si>
    <t>0090</t>
  </si>
  <si>
    <t>0091</t>
  </si>
  <si>
    <t>0202</t>
  </si>
  <si>
    <t>0203</t>
  </si>
  <si>
    <t>0319</t>
  </si>
  <si>
    <t>0320</t>
  </si>
  <si>
    <t>0426</t>
  </si>
  <si>
    <t>0427</t>
  </si>
  <si>
    <t>0536</t>
  </si>
  <si>
    <t>0537</t>
  </si>
  <si>
    <t>0669</t>
  </si>
  <si>
    <t>0670</t>
  </si>
  <si>
    <t>------</t>
  </si>
  <si>
    <t>0818</t>
  </si>
  <si>
    <t xml:space="preserve">    ------</t>
  </si>
  <si>
    <t>0954</t>
  </si>
  <si>
    <t>0239</t>
  </si>
  <si>
    <t>0366</t>
  </si>
  <si>
    <t>0476</t>
  </si>
  <si>
    <t>0585</t>
  </si>
  <si>
    <t>0726</t>
  </si>
  <si>
    <t>0847</t>
  </si>
  <si>
    <t>0966</t>
  </si>
  <si>
    <t>0069</t>
  </si>
  <si>
    <t>0195</t>
  </si>
  <si>
    <t>0290</t>
  </si>
  <si>
    <t>0386</t>
  </si>
  <si>
    <t>0521</t>
  </si>
  <si>
    <t>0636</t>
  </si>
  <si>
    <t>0772</t>
  </si>
  <si>
    <t>0881</t>
  </si>
  <si>
    <t>0068</t>
  </si>
  <si>
    <t>0155</t>
  </si>
  <si>
    <t>0257</t>
  </si>
  <si>
    <t>0244 modif por 0266</t>
  </si>
  <si>
    <t xml:space="preserve"> ----</t>
  </si>
  <si>
    <t>0567</t>
  </si>
  <si>
    <t>0663</t>
  </si>
  <si>
    <t>0803</t>
  </si>
  <si>
    <t>0948</t>
  </si>
  <si>
    <t xml:space="preserve"> 29-Jul-05</t>
  </si>
  <si>
    <t xml:space="preserve"> 31-Ago-05</t>
  </si>
  <si>
    <t xml:space="preserve"> 30-Sep-05</t>
  </si>
  <si>
    <t xml:space="preserve"> 31-Oct-05</t>
  </si>
  <si>
    <t>0008</t>
  </si>
  <si>
    <t xml:space="preserve"> 30-Nov-05</t>
  </si>
  <si>
    <t xml:space="preserve"> 30-Dic-05</t>
  </si>
  <si>
    <t>0206</t>
  </si>
  <si>
    <t xml:space="preserve"> 31-Ene-06</t>
  </si>
  <si>
    <t>0349</t>
  </si>
  <si>
    <t xml:space="preserve"> 28-Feb-06</t>
  </si>
  <si>
    <t xml:space="preserve"> 31-Mar-06</t>
  </si>
  <si>
    <t>0748</t>
  </si>
  <si>
    <t>0887</t>
  </si>
  <si>
    <t>1305</t>
  </si>
  <si>
    <t>COMERCIAL</t>
  </si>
  <si>
    <t>CONSUMO</t>
  </si>
  <si>
    <t>MICROCREDITO</t>
  </si>
  <si>
    <t>CRÉDITO COMERCIAL Y DE CONSUMO</t>
  </si>
  <si>
    <t>CRÉDITO DE CONSUMO Y ORDINARIO</t>
  </si>
  <si>
    <t>MICROCRÉDITO</t>
  </si>
  <si>
    <t>CONSUMO DE BAJO MONTO</t>
  </si>
  <si>
    <t>0428</t>
  </si>
  <si>
    <t>1086</t>
  </si>
  <si>
    <t>1742</t>
  </si>
  <si>
    <t>2366</t>
  </si>
  <si>
    <t>0474</t>
  </si>
  <si>
    <t>1011</t>
  </si>
  <si>
    <t>1555</t>
  </si>
  <si>
    <t>2163</t>
  </si>
  <si>
    <t>0937</t>
  </si>
  <si>
    <t>0699</t>
  </si>
  <si>
    <t>0487</t>
  </si>
  <si>
    <t>2336</t>
  </si>
  <si>
    <t>0465</t>
  </si>
  <si>
    <t>0984</t>
  </si>
  <si>
    <t>2200</t>
  </si>
  <si>
    <t>0605</t>
  </si>
  <si>
    <t>1192</t>
  </si>
  <si>
    <t>1779</t>
  </si>
  <si>
    <t>2372</t>
  </si>
  <si>
    <t>0503</t>
  </si>
  <si>
    <t>1707</t>
  </si>
  <si>
    <t>0369</t>
  </si>
  <si>
    <t>0913</t>
  </si>
  <si>
    <t>0334</t>
  </si>
  <si>
    <t>0811</t>
  </si>
  <si>
    <t>NOTA: Para efectos probatorios, de conformidad con el artículo 029 del Decreto 19  de 2012, "las entidades legalmente obligadas para el efecto, surtirán el trámite de certificación del interés bancario corriente, la tasa de cambio representativa del mercado, el precio del oro, y demás indicadores macroeconómicos requeridos en procesos administrativos o judiciales, mediante su publicación en su respectiva página web, una vez hayan sido expedidas las respectivas certificaciones. Esta información, así como los datos históricos, mínimo de los últimos diez (10) años, debe mantenerse a disposición del público en la web para consulta permanente. Ninguna autoridad podrá exigir la presentación de estas certificaciones para adelantar procesos o actuaciones ante sus despachos, para lo cual bastará la consulta que se haga a la web de la entidad que certifica."</t>
  </si>
  <si>
    <t>Expedida en Bogotá D.C.</t>
  </si>
  <si>
    <t>JULIANA LAGOS CAMARGO</t>
  </si>
  <si>
    <t>DIRECTORA DE INVESTIGACION Y DESARROLLO (E)</t>
  </si>
  <si>
    <t>Desviación Costo de Ventas</t>
  </si>
  <si>
    <t>Desviación Compras</t>
  </si>
  <si>
    <t>Promedio Sector</t>
  </si>
  <si>
    <t>No reporta información financiera suficiente para el análisis</t>
  </si>
  <si>
    <t>Destino Exportaciones Sempertex</t>
  </si>
  <si>
    <t>Basaso en Información tomada de LEGISCOMEX</t>
  </si>
  <si>
    <t>Etiquetas de fila</t>
  </si>
  <si>
    <t xml:space="preserve"> Valor FOB (COP)</t>
  </si>
  <si>
    <t>RUSIA</t>
  </si>
  <si>
    <t>CHINA</t>
  </si>
  <si>
    <t>CHILE</t>
  </si>
  <si>
    <t>ESTADOS UNIDOS</t>
  </si>
  <si>
    <t>JAPÓN</t>
  </si>
  <si>
    <t>AUSTRALIA</t>
  </si>
  <si>
    <t>FINLANDIA</t>
  </si>
  <si>
    <t>COREA DEL SUR</t>
  </si>
  <si>
    <t>ECUADOR</t>
  </si>
  <si>
    <t>Total general</t>
  </si>
  <si>
    <t>Se descarga un máximo de 80.000 registros.</t>
  </si>
  <si>
    <t>fila</t>
  </si>
  <si>
    <t>Año</t>
  </si>
  <si>
    <t>Mes</t>
  </si>
  <si>
    <t>Dia</t>
  </si>
  <si>
    <t>Fecha de Presentación</t>
  </si>
  <si>
    <t>Número de declaración (llave)</t>
  </si>
  <si>
    <t>Número del preimpreso</t>
  </si>
  <si>
    <t>Banco</t>
  </si>
  <si>
    <t>Tipo de declaración</t>
  </si>
  <si>
    <t>Aduana</t>
  </si>
  <si>
    <t>Regimen Importación</t>
  </si>
  <si>
    <t>Tipo de importación</t>
  </si>
  <si>
    <t>Fecha de Declaración Anterior</t>
  </si>
  <si>
    <t>Número de declaración anterior</t>
  </si>
  <si>
    <t>Aduana de la Declaración anterior</t>
  </si>
  <si>
    <t>Declaracion Exportación</t>
  </si>
  <si>
    <t>Fecha de Declaración de Exportación Anterior</t>
  </si>
  <si>
    <t>Aduana de Exportación anterior</t>
  </si>
  <si>
    <t>Código Agente aduanero</t>
  </si>
  <si>
    <t>Agente aduanero(s)</t>
  </si>
  <si>
    <t>Agente Aduanero (10 Dig)</t>
  </si>
  <si>
    <t>Tipo de usuario (agente aduanero)</t>
  </si>
  <si>
    <t>Usuario</t>
  </si>
  <si>
    <t>NIT del importador</t>
  </si>
  <si>
    <t>Razón social del importador</t>
  </si>
  <si>
    <t>Código Importador (10 Dig)</t>
  </si>
  <si>
    <t>Actividad Económica del Importador</t>
  </si>
  <si>
    <t>Departamento del Importador</t>
  </si>
  <si>
    <t>Dirección del importador</t>
  </si>
  <si>
    <t>Teléfono del Importador</t>
  </si>
  <si>
    <t>Código Partida</t>
  </si>
  <si>
    <t>Descripción de la partida arancelaria</t>
  </si>
  <si>
    <t>Descripcion Mínima de la Mercancía</t>
  </si>
  <si>
    <t>Cantidad(es)</t>
  </si>
  <si>
    <t>Unidad comercial</t>
  </si>
  <si>
    <t>Cantidad Bultos</t>
  </si>
  <si>
    <t>Subpartidas</t>
  </si>
  <si>
    <t>Embalaje</t>
  </si>
  <si>
    <t>Peso en kilos netos</t>
  </si>
  <si>
    <t>Peso en kilos brutos</t>
  </si>
  <si>
    <t>Acuerdo de Tratamiento Arancelario</t>
  </si>
  <si>
    <t>Registro/licencia</t>
  </si>
  <si>
    <t>Año Licencia</t>
  </si>
  <si>
    <t>Oficina MinComercio</t>
  </si>
  <si>
    <t>Contrato Plan Valllejo</t>
  </si>
  <si>
    <t>Lugar de ingreso</t>
  </si>
  <si>
    <t>Código Depósito</t>
  </si>
  <si>
    <t>Depósito</t>
  </si>
  <si>
    <t>País de origen</t>
  </si>
  <si>
    <t>País de procedencia</t>
  </si>
  <si>
    <t>País de compra</t>
  </si>
  <si>
    <t>Departamento Destino</t>
  </si>
  <si>
    <t>País del exportador</t>
  </si>
  <si>
    <t>Ciudad del proveedor</t>
  </si>
  <si>
    <t>Dirección del Exportador</t>
  </si>
  <si>
    <t>Datos de contacto</t>
  </si>
  <si>
    <t>Número de manifiesto</t>
  </si>
  <si>
    <t>Fecha de Manifiesto</t>
  </si>
  <si>
    <t>Documento de Transporte</t>
  </si>
  <si>
    <t>Vía de transporte</t>
  </si>
  <si>
    <t>Agencia transportadora</t>
  </si>
  <si>
    <t>Número de aceptación</t>
  </si>
  <si>
    <t>Fecha de aceptación</t>
  </si>
  <si>
    <t>Número de factura</t>
  </si>
  <si>
    <t>Fecha de Factura</t>
  </si>
  <si>
    <t>Valor pagos anteriores</t>
  </si>
  <si>
    <t>Recibo</t>
  </si>
  <si>
    <t>Fecha de Recibo</t>
  </si>
  <si>
    <t>Número de cuotas</t>
  </si>
  <si>
    <t>Valor cuota</t>
  </si>
  <si>
    <t>Periodicidad de la cuota</t>
  </si>
  <si>
    <t>Fecha de la Cuota</t>
  </si>
  <si>
    <t>Declaración de Cambio</t>
  </si>
  <si>
    <t>Fecha de Declaración de Cambio</t>
  </si>
  <si>
    <t>Tasa de Cambio</t>
  </si>
  <si>
    <t>Forma de pago</t>
  </si>
  <si>
    <t>Valor FOB (USD)</t>
  </si>
  <si>
    <t>Valor FOB (COP)</t>
  </si>
  <si>
    <t>Valor seguro</t>
  </si>
  <si>
    <t>Valor otros gastos</t>
  </si>
  <si>
    <t>Fletes (USD)</t>
  </si>
  <si>
    <t>Sumatoria de fletes seguros y otros gastos (USD)</t>
  </si>
  <si>
    <t>Valor Ajustes</t>
  </si>
  <si>
    <t>Valor en aduana</t>
  </si>
  <si>
    <t>Total pagado</t>
  </si>
  <si>
    <t>Valor CIF (USD)</t>
  </si>
  <si>
    <t>Valor CIF (COP)</t>
  </si>
  <si>
    <t>Porcentaje de arancel</t>
  </si>
  <si>
    <t>Base de Arancel</t>
  </si>
  <si>
    <t>Subtotal arancel</t>
  </si>
  <si>
    <t>Total arancel</t>
  </si>
  <si>
    <t>Arancel Pagado</t>
  </si>
  <si>
    <t>Arancel en USD</t>
  </si>
  <si>
    <t>Porcentaje de IVA</t>
  </si>
  <si>
    <t>Base de IVA</t>
  </si>
  <si>
    <t>Subtotal de IVA</t>
  </si>
  <si>
    <t>Total IVA</t>
  </si>
  <si>
    <t>IVA pagado</t>
  </si>
  <si>
    <t>IVA (USD)</t>
  </si>
  <si>
    <t>Porcentaje de salvaguardia</t>
  </si>
  <si>
    <t>Base de Salvaguardia</t>
  </si>
  <si>
    <t>Valor de salvaguardia</t>
  </si>
  <si>
    <t>Salvaguardia pagada</t>
  </si>
  <si>
    <t>Salvaguardia USD</t>
  </si>
  <si>
    <t>Porcentaje de derechos compensatorios</t>
  </si>
  <si>
    <t>Base de Derechos Compensatorios</t>
  </si>
  <si>
    <t>Valor de derechos compensatorios</t>
  </si>
  <si>
    <t>Derechos Compensatorios Pagados</t>
  </si>
  <si>
    <t>Derechos compensatorios en USD</t>
  </si>
  <si>
    <t>Porcentaje de dumping</t>
  </si>
  <si>
    <t>Base de Dumping</t>
  </si>
  <si>
    <t>Valor de dumping</t>
  </si>
  <si>
    <t>Dumping Pagado</t>
  </si>
  <si>
    <t>Dumping (USD)</t>
  </si>
  <si>
    <t>Porcentaje sanción</t>
  </si>
  <si>
    <t>Base de Sanción</t>
  </si>
  <si>
    <t>Valor de sanciones</t>
  </si>
  <si>
    <t>Sanciones pagadas</t>
  </si>
  <si>
    <t>Porcentaje de rescate</t>
  </si>
  <si>
    <t>Base de Rescate</t>
  </si>
  <si>
    <t>Rescate pagado</t>
  </si>
  <si>
    <t>Valor de rescate</t>
  </si>
  <si>
    <t>Porcentaje de otros</t>
  </si>
  <si>
    <t>Base Otros</t>
  </si>
  <si>
    <t>Subtotal otros</t>
  </si>
  <si>
    <t>Total otros</t>
  </si>
  <si>
    <t>Otros pagados</t>
  </si>
  <si>
    <t>Valor a pagar</t>
  </si>
  <si>
    <t>Total</t>
  </si>
  <si>
    <t>Total USD</t>
  </si>
  <si>
    <t>Total Pagado 2</t>
  </si>
  <si>
    <t>Clase Importador</t>
  </si>
  <si>
    <t>Continente Compra</t>
  </si>
  <si>
    <t>Continente Origen</t>
  </si>
  <si>
    <t>13303090334371</t>
  </si>
  <si>
    <t>872015000002068</t>
  </si>
  <si>
    <t>BBVA COLOMBIA</t>
  </si>
  <si>
    <t>INICIAL</t>
  </si>
  <si>
    <t>BARRANQUILLA</t>
  </si>
  <si>
    <t>IMPORTACIÓN ORDINARIA.</t>
  </si>
  <si>
    <t>REEMBOLSABLE</t>
  </si>
  <si>
    <t>ADUANA NO REGISTRADA</t>
  </si>
  <si>
    <t>830003079</t>
  </si>
  <si>
    <t>AGENCIA DE ADUANAS PROFESIONAL S.A.S NIVEL 1 - SIAP</t>
  </si>
  <si>
    <t>8300030796</t>
  </si>
  <si>
    <t>IMPORTADOR</t>
  </si>
  <si>
    <t>23</t>
  </si>
  <si>
    <t>890101272</t>
  </si>
  <si>
    <t>SEMPERTEX DE COLOMBIA S A</t>
  </si>
  <si>
    <t>8901012721</t>
  </si>
  <si>
    <t>NO REGISTRADO</t>
  </si>
  <si>
    <t>ATLÁNTICO</t>
  </si>
  <si>
    <t>VIA 40 64 198 ZN INDUSTRIAL LOMA 3</t>
  </si>
  <si>
    <t>3610700</t>
  </si>
  <si>
    <t>2512000000</t>
  </si>
  <si>
    <t>Harinas silíceas fósiles (por ejemplo: kieselgur, tripolita o diatomita) y demás tierras silíceas análogas, de densidad aparente inferior o igual a 1, incluso calcinadas.</t>
  </si>
  <si>
    <t>TS: 1. DO: 388976; IMPORTACIÓN: 388976; DECLARACIÓN: 1; PEDIDO: IMERY 2014-04. (BAQKAREN).</t>
  </si>
  <si>
    <t>KILOGRAMO</t>
  </si>
  <si>
    <t>BOLSA</t>
  </si>
  <si>
    <t>NO APLICA</t>
  </si>
  <si>
    <t>NO DILIGENCIADO</t>
  </si>
  <si>
    <t>Barranquilla</t>
  </si>
  <si>
    <t>20870</t>
  </si>
  <si>
    <t>SOC. PORTUARIA REG. DE B/QUILLA S.A</t>
  </si>
  <si>
    <t>MÉXICO</t>
  </si>
  <si>
    <t>IMERYS DIATOMITA MEXICO SA DE CV</t>
  </si>
  <si>
    <t>JALISCO</t>
  </si>
  <si>
    <t>JOSE A TORRES 400, ZACOALCO DE TORR</t>
  </si>
  <si>
    <t>3264340009</t>
  </si>
  <si>
    <t>575005799073</t>
  </si>
  <si>
    <t>20150101</t>
  </si>
  <si>
    <t>SMLU3890849A</t>
  </si>
  <si>
    <t>TRANSPORTE MARÍTIMO</t>
  </si>
  <si>
    <t>SEABOARD DE COLOMBIA S.A.</t>
  </si>
  <si>
    <t>20150106</t>
  </si>
  <si>
    <t>I 000013162</t>
  </si>
  <si>
    <t>20141216</t>
  </si>
  <si>
    <t>GIRO DIRECTO</t>
  </si>
  <si>
    <t>Empresa privada</t>
  </si>
  <si>
    <t>AMÉRICA</t>
  </si>
  <si>
    <t>06203010656203</t>
  </si>
  <si>
    <t>872015000002375</t>
  </si>
  <si>
    <t>BANCO CORPBANCA</t>
  </si>
  <si>
    <t>2823001000</t>
  </si>
  <si>
    <t>Dióxido de titanio (oxido titánico o anhidrido titánico).</t>
  </si>
  <si>
    <t>TS: 1. DO: 388950; IMPORTACIÓN: 388950; DECLARACIÓN: 1; PEDIDO: DIOXIDO TITANIO. (BAQVANES</t>
  </si>
  <si>
    <t>SICHUAN LOMON TITANIUM INDUSTRY CO., LTD</t>
  </si>
  <si>
    <t>SICHUAN</t>
  </si>
  <si>
    <t>23 GAO PENG RD, HI-TECH ZONE, CHENG</t>
  </si>
  <si>
    <t>HARRY_ZOU@163.COM</t>
  </si>
  <si>
    <t>575005792653</t>
  </si>
  <si>
    <t>20141230</t>
  </si>
  <si>
    <t>4351-0456-411.01</t>
  </si>
  <si>
    <t>EDUARDO L GERLEIN S A</t>
  </si>
  <si>
    <t>LT 15041 /14</t>
  </si>
  <si>
    <t>20141203</t>
  </si>
  <si>
    <t>PAGOS ANTICIPADOS</t>
  </si>
  <si>
    <t>ASIA</t>
  </si>
  <si>
    <t>13303090334554</t>
  </si>
  <si>
    <t>872015000002443</t>
  </si>
  <si>
    <t>3406000000</t>
  </si>
  <si>
    <t>Velas, cirios y artículos similares.</t>
  </si>
  <si>
    <t>TS: 1. DO: 388891; IMPORTACIÓN: 388891; DECLARACIÓN: 1; PEDIDO: VELAS. (BAQKAREN). CODIGO</t>
  </si>
  <si>
    <t>CARTÓN</t>
  </si>
  <si>
    <t>GUANGZHOU INDUSTRIAL ECONOMIC DEVELOPMENT CORP.</t>
  </si>
  <si>
    <t>GUANGZHOU</t>
  </si>
  <si>
    <t>6/F.FUQIAN BUILDING, 2 FUQIAN RD.</t>
  </si>
  <si>
    <t>FLORAMAK98@GMAIL.COM</t>
  </si>
  <si>
    <t>575005793461</t>
  </si>
  <si>
    <t>SZYZ114111856</t>
  </si>
  <si>
    <t>FRONTIER AGENCIA MARITIMA</t>
  </si>
  <si>
    <t>I140659</t>
  </si>
  <si>
    <t>20141115</t>
  </si>
  <si>
    <t>COMBINACIÓN DE ALGUNAS DE LAS ANTERIORES FORMAS DE PAGO</t>
  </si>
  <si>
    <t>06203010657297</t>
  </si>
  <si>
    <t>872015000002853</t>
  </si>
  <si>
    <t>3926400000</t>
  </si>
  <si>
    <t>Estatuillas y demás objetos de adorno, de plástico y de las demás materias de las partidas 39.01 a 39.14.</t>
  </si>
  <si>
    <t>TS: 1. DO: 391139; IMPORTACIÓN: 391139; DECLARACIÓN: 1; PEDIDO: XIAJING ZHIWEI. (BAQVANESS</t>
  </si>
  <si>
    <t>UNIDADES O ARTÍCULOS</t>
  </si>
  <si>
    <t>99900</t>
  </si>
  <si>
    <t>ENTREGA DIRECTA</t>
  </si>
  <si>
    <t>XIAJIN ZHIWEI PACKAGING CO.,LTD</t>
  </si>
  <si>
    <t>SHANDONG</t>
  </si>
  <si>
    <t>GUAN DAO LI VILLAGE,XIANG ZHAO ZHUA</t>
  </si>
  <si>
    <t>57985290572</t>
  </si>
  <si>
    <t>NBRQ1411017201</t>
  </si>
  <si>
    <t>20150107</t>
  </si>
  <si>
    <t>20140925</t>
  </si>
  <si>
    <t>20141111</t>
  </si>
  <si>
    <t>06203010657305</t>
  </si>
  <si>
    <t>872015000003013</t>
  </si>
  <si>
    <t>IMPORTACIÓN ORDINARIA DE MERCANCÍAS EXCLUIDAS DEL IMPUESTO SOBRE LAS VENTAS CLASIFICABLES EN UNA SUBPARTIDA ARANCELARIA PARCIALMENTE SUJETA A ESTE.</t>
  </si>
  <si>
    <t>4001100000</t>
  </si>
  <si>
    <t>Látex de caucho natural, incluso prevulcanizado.</t>
  </si>
  <si>
    <t>TS: 1. DO: 388977; IMPORTACIÓN: 388977; DECLARACIÓN: 1; PEDIDO: LATEX 2014-73. (BAQKAREN).</t>
  </si>
  <si>
    <t>FARDO</t>
  </si>
  <si>
    <t>GUATEMALA</t>
  </si>
  <si>
    <t>BELICE</t>
  </si>
  <si>
    <t>RUBBER SYSTEMS INC.</t>
  </si>
  <si>
    <t>BELIZE</t>
  </si>
  <si>
    <t>WITHFIELD TOWER 3RD FLOOR 4792 CONE</t>
  </si>
  <si>
    <t>5012235597</t>
  </si>
  <si>
    <t>575005780471</t>
  </si>
  <si>
    <t>20141223</t>
  </si>
  <si>
    <t>APLU906152118</t>
  </si>
  <si>
    <t>FACE-63-EXP-00</t>
  </si>
  <si>
    <t>06203010663701</t>
  </si>
  <si>
    <t>872015000005460</t>
  </si>
  <si>
    <t>3206190000</t>
  </si>
  <si>
    <t>Los demás pigmentos y preparaciones a base de dióxido de titanio</t>
  </si>
  <si>
    <t>TS: 1. DO: BAQMMA000356; IMPORTACIÓN: BAQMMA000356; DECLARACIÓN: 1; PEDIDO: PIGMENTO PERLA</t>
  </si>
  <si>
    <t>FUJIAN KUNCAI MATERIAL TECHNOLOGY CO.,LTD.</t>
  </si>
  <si>
    <t>FUZHOU</t>
  </si>
  <si>
    <t>YUANHONG INVEST DISCT.,CHENGTOU,FUQ</t>
  </si>
  <si>
    <t>59185572333</t>
  </si>
  <si>
    <t>575005804296</t>
  </si>
  <si>
    <t>APLU025323315</t>
  </si>
  <si>
    <t>20150109</t>
  </si>
  <si>
    <t>14FP1085</t>
  </si>
  <si>
    <t>20141204</t>
  </si>
  <si>
    <t>13303090335751</t>
  </si>
  <si>
    <t>872015000007357</t>
  </si>
  <si>
    <t>3924109000</t>
  </si>
  <si>
    <t>Las demás vajillas y demás artículos para el servicio de mesa o de cocina, de plástico.</t>
  </si>
  <si>
    <t>TS: 1. DO: 388913; IMPORTACIÓN: 388913; DECLARACIÓN: 1; PEDIDO: XIAJIN 2014-01. (BAQKAREN)</t>
  </si>
  <si>
    <t>SHANTOU JINYUAN INDUSTRIAL AND TRADING CO.,LTD.</t>
  </si>
  <si>
    <t>SHANTOU</t>
  </si>
  <si>
    <t>NO.47, HONGLINGJIN ROAD</t>
  </si>
  <si>
    <t>75482123383</t>
  </si>
  <si>
    <t>575005817604</t>
  </si>
  <si>
    <t>20150112</t>
  </si>
  <si>
    <t>HLTDG613428</t>
  </si>
  <si>
    <t>GLOBAL SHIPPING AGENCIES S.A.</t>
  </si>
  <si>
    <t>20150114</t>
  </si>
  <si>
    <t>DY1140710</t>
  </si>
  <si>
    <t>20141007</t>
  </si>
  <si>
    <t>06203020700856</t>
  </si>
  <si>
    <t>872015000010957</t>
  </si>
  <si>
    <t>3924900000</t>
  </si>
  <si>
    <t>Los demás artículos de uso doméstico y artículos de higiene o de tocador, de plástico.</t>
  </si>
  <si>
    <t>TS: 1. DO: BAQMMA000359; IMPORTACIÓN: BAQMMA000359; DECLARACIÓN: 1; PEDIDO: HONGKONG HOUSE</t>
  </si>
  <si>
    <t>HONGKONG HOUSEWARES MANUFACTURING CO.,LIMITED</t>
  </si>
  <si>
    <t>NINGBO</t>
  </si>
  <si>
    <t>NO.89, WEIYI ROAD, XIAOGANG, BEILUN</t>
  </si>
  <si>
    <t>0086-57486188555</t>
  </si>
  <si>
    <t>575005819618</t>
  </si>
  <si>
    <t>NBYZ214121392</t>
  </si>
  <si>
    <t>20150119</t>
  </si>
  <si>
    <t>GS00700</t>
  </si>
  <si>
    <t>20141208</t>
  </si>
  <si>
    <t>06203020703148</t>
  </si>
  <si>
    <t>872015000012757</t>
  </si>
  <si>
    <t>53669800</t>
  </si>
  <si>
    <t>3204170000</t>
  </si>
  <si>
    <t>Colorantes pigmentarios y preparciones a base de estos colorantes.</t>
  </si>
  <si>
    <t>TS: 1. DO: BAQMMA000464; IMPORTACIÓN: BAQMMA000464; DECLARACIÓN: 1; PEDIDO: IMPO COLORTREN</t>
  </si>
  <si>
    <t>TAMBOR</t>
  </si>
  <si>
    <t>CHROMAFLO TECHNOLOGIES AUSTRALIA PTY LTD</t>
  </si>
  <si>
    <t>DANDENONG</t>
  </si>
  <si>
    <t>P.O BOX 996 DANDENONG VIC 3175 AUST</t>
  </si>
  <si>
    <t>61397038890</t>
  </si>
  <si>
    <t>575005829683</t>
  </si>
  <si>
    <t>20150117</t>
  </si>
  <si>
    <t>DMCQBNE0021328</t>
  </si>
  <si>
    <t>MAERSK COLOMBIA S.A</t>
  </si>
  <si>
    <t>20150121</t>
  </si>
  <si>
    <t>985186011</t>
  </si>
  <si>
    <t>OCEANÍA</t>
  </si>
  <si>
    <t>0620302070893</t>
  </si>
  <si>
    <t>872015000016340</t>
  </si>
  <si>
    <t>ANTICIPADA</t>
  </si>
  <si>
    <t>TS: 1. DO: BAQMMA000677; IMPORTACIÓN: BAQMMA000677; DECLARACIÓN: 1; PEDIDO: LATEX 2014-75.</t>
  </si>
  <si>
    <t>LÍQUIDO A GRANEL</t>
  </si>
  <si>
    <t>575005850218</t>
  </si>
  <si>
    <t>20150127</t>
  </si>
  <si>
    <t>EGLV761500000529</t>
  </si>
  <si>
    <t>20150126</t>
  </si>
  <si>
    <t>J 4668</t>
  </si>
  <si>
    <t>06203020712121</t>
  </si>
  <si>
    <t>872015000017614</t>
  </si>
  <si>
    <t>TS: 1. DO: BAQMMA000678; IMPORTACIÓN: BAQMMA000678; DECLARACIÓN: 1; PEDIDO: LATEX 2014-74.</t>
  </si>
  <si>
    <t>575005844255</t>
  </si>
  <si>
    <t>20150124</t>
  </si>
  <si>
    <t>TLGUAEXP1500023</t>
  </si>
  <si>
    <t>20150128</t>
  </si>
  <si>
    <t>J 4665</t>
  </si>
  <si>
    <t>20150113</t>
  </si>
  <si>
    <t>13303090337701</t>
  </si>
  <si>
    <t>872015000021102</t>
  </si>
  <si>
    <t>4911100000</t>
  </si>
  <si>
    <t>Impresos publicitarios, catalogos comerciales y similares.</t>
  </si>
  <si>
    <t>TS: 1. DO: BAQMMA000362; IMPORTACIÓN: BAQMMA000362; DECLARACIÓN: 1; PEDIDO: GUANDONG SLIQU</t>
  </si>
  <si>
    <t>13901</t>
  </si>
  <si>
    <t>ZONA FRANCA DE BARRANQUILLA S.A.</t>
  </si>
  <si>
    <t>GUANGDONG SILIQUE INTERNATIONAL GROUP MAUFAR CO., LTD</t>
  </si>
  <si>
    <t>5/F, 198 DONGFENG ROAD WEST, GUANGZ</t>
  </si>
  <si>
    <t>862084499158</t>
  </si>
  <si>
    <t>575005833173</t>
  </si>
  <si>
    <t>HLTDG617753</t>
  </si>
  <si>
    <t>20150203</t>
  </si>
  <si>
    <t>14HFI-09242</t>
  </si>
  <si>
    <t>20141218</t>
  </si>
  <si>
    <t>06203020717002</t>
  </si>
  <si>
    <t>872015000020937</t>
  </si>
  <si>
    <t>2930209000</t>
  </si>
  <si>
    <t>Los demás tiocarbamatos y ditiocarbamatos.</t>
  </si>
  <si>
    <t>TS: 1. DO: BAQMMA000364; IMPORTACIÓN: BAQMMA000364; DECLARACIÓN: 1; PEDIDO: ARBESTAB 2015-</t>
  </si>
  <si>
    <t>CAJA (BOX)</t>
  </si>
  <si>
    <t>25374</t>
  </si>
  <si>
    <t>BARRANQUILLA INTERNATIONAL TERMINAL COMPANY S.A.</t>
  </si>
  <si>
    <t>REINO UNIDO</t>
  </si>
  <si>
    <t>ROBINSON BROTHER LIMITED</t>
  </si>
  <si>
    <t>WEST BROMWICH</t>
  </si>
  <si>
    <t>PHOENIX STREET, WEST BROMWICH B70 0</t>
  </si>
  <si>
    <t>01215532451</t>
  </si>
  <si>
    <t>575005852221</t>
  </si>
  <si>
    <t>1420-0456-501.01</t>
  </si>
  <si>
    <t>20150202</t>
  </si>
  <si>
    <t>55141</t>
  </si>
  <si>
    <t>20141229</t>
  </si>
  <si>
    <t>EUROPA</t>
  </si>
  <si>
    <t>13303090338747</t>
  </si>
  <si>
    <t>872015000025214</t>
  </si>
  <si>
    <t>TS: 1. DO: BAQMAE000648; IMPORTACIÓN: BAQMAE000648; DECLARACIÓN: 1; PEDIDO: HOUSEWARE AERE</t>
  </si>
  <si>
    <t>PAQUETE</t>
  </si>
  <si>
    <t>25248</t>
  </si>
  <si>
    <t>ALMACENADORA DE CARGA " ALMACARGA" SAS</t>
  </si>
  <si>
    <t>575005857706</t>
  </si>
  <si>
    <t>20150129</t>
  </si>
  <si>
    <t>40383211590</t>
  </si>
  <si>
    <t>TRANSPORTE AÉREO</t>
  </si>
  <si>
    <t>TAMPA - TRANSPORTES AEREOS MERCANTILES PANAMERICANOS S.A</t>
  </si>
  <si>
    <t>20150206</t>
  </si>
  <si>
    <t>GS00748</t>
  </si>
  <si>
    <t>20150120</t>
  </si>
  <si>
    <t>13303090338731</t>
  </si>
  <si>
    <t>872015000025075</t>
  </si>
  <si>
    <t>TS: 1. DO: BAQMMA001005; IMPORTACIÓN: BAQMMA001005; DECLARACIÓN: 1; PEDIDO: LATEX 2014-78.</t>
  </si>
  <si>
    <t>575005866694</t>
  </si>
  <si>
    <t>EGLV761500001053</t>
  </si>
  <si>
    <t>J 4689</t>
  </si>
  <si>
    <t>20150122</t>
  </si>
  <si>
    <t>0620302072618</t>
  </si>
  <si>
    <t>872015000025291</t>
  </si>
  <si>
    <t>TS: 1. DO: BAQMMA001002; IMPORTACIÓN: BAQMMA001002; DECLARACIÓN: 1; PEDIDO: LATEX 2014-76.</t>
  </si>
  <si>
    <t>575005861733</t>
  </si>
  <si>
    <t>20150130</t>
  </si>
  <si>
    <t>TLGUAEXP1500037</t>
  </si>
  <si>
    <t>J 4680</t>
  </si>
  <si>
    <t>07477320130182</t>
  </si>
  <si>
    <t>872015000026981</t>
  </si>
  <si>
    <t>BANCOLOMBIA</t>
  </si>
  <si>
    <t>TS: 1. DO: BAQMMA000792; IMPORTACIÓN: BAQMMA000792; DECLARACIÓN: 1; PEDIDO: FLINT GROUP. (</t>
  </si>
  <si>
    <t>FLINT GROUP PIGMENTS</t>
  </si>
  <si>
    <t>CINCINNATI, OH</t>
  </si>
  <si>
    <t>CINCINNATI, OH 513 771-1900</t>
  </si>
  <si>
    <t>invoices.pigments@flintgrp.com</t>
  </si>
  <si>
    <t>ITWF41669</t>
  </si>
  <si>
    <t>20150209</t>
  </si>
  <si>
    <t>15275508</t>
  </si>
  <si>
    <t>06203020729408</t>
  </si>
  <si>
    <t>872015000027296</t>
  </si>
  <si>
    <t>7326909000</t>
  </si>
  <si>
    <t>Las demás manufacturas de hierro o de acero.</t>
  </si>
  <si>
    <t>TS: 5. DO: BAQMMA000533; IMPORTACIÓN: BAQMMA000533; DECLARACIÓN: 4; PEDIDO: BORO. (BAQVANE</t>
  </si>
  <si>
    <t>BORO INDUSTRIAL DEVELOPMENT LIMITED</t>
  </si>
  <si>
    <t>DONGGUAN</t>
  </si>
  <si>
    <t>CHUANGSHENG ROAD 21 SHANGSHA NO 2 I</t>
  </si>
  <si>
    <t>INFO@BOROSINO.COM</t>
  </si>
  <si>
    <t>575005867090</t>
  </si>
  <si>
    <t>HLTDG618338</t>
  </si>
  <si>
    <t>20150210</t>
  </si>
  <si>
    <t>BPI1401146</t>
  </si>
  <si>
    <t>20141225</t>
  </si>
  <si>
    <t>06203020729382</t>
  </si>
  <si>
    <t>872015000027292</t>
  </si>
  <si>
    <t>8414200000</t>
  </si>
  <si>
    <t>Bombas de aire, de mano o pedal.</t>
  </si>
  <si>
    <t>TS: 5. DO: BAQMMA000533; IMPORTACIÓN: BAQMMA000533; DECLARACIÓN: 2; PEDIDO: BORO. (BAQVANE</t>
  </si>
  <si>
    <t>06203020729391</t>
  </si>
  <si>
    <t>872015000027294</t>
  </si>
  <si>
    <t>8414802100</t>
  </si>
  <si>
    <t>Los demás compresores  de potencia inferior a 30 kw (40 hp), para vehículos automóviles.</t>
  </si>
  <si>
    <t>TS: 5. DO: BAQMMA000533; IMPORTACIÓN: BAQMMA000533; DECLARACIÓN: 3; PEDIDO: BORO. (BAQVANE</t>
  </si>
  <si>
    <t>06203020729415</t>
  </si>
  <si>
    <t>872015000027298</t>
  </si>
  <si>
    <t>8477800000</t>
  </si>
  <si>
    <t>Las demás máquinas y aparatos para trabajar caucho o plásticos o para fabricar productos de estas materias, no expresados ni comprendidos en otra parte de este capítulo.</t>
  </si>
  <si>
    <t>TS: 5. DO: BAQMMA000533; IMPORTACIÓN: BAQMMA000533; DECLARACIÓN: 5; PEDIDO: BORO. (BAQVANE</t>
  </si>
  <si>
    <t>06203020729375</t>
  </si>
  <si>
    <t>872015000027277</t>
  </si>
  <si>
    <t>3926909090</t>
  </si>
  <si>
    <t>Las demás manufacturas de plástico y manufacturas de las demás materias de las partidas 39.01 a 39.14.</t>
  </si>
  <si>
    <t>TS: 5. DO: BAQMMA000533; IMPORTACIÓN: BAQMMA000533; DECLARACIÓN: 1; PEDIDO: BORO. (BAQVANE</t>
  </si>
  <si>
    <t>06203020729422</t>
  </si>
  <si>
    <t>872015000027164</t>
  </si>
  <si>
    <t>3812301000</t>
  </si>
  <si>
    <t>Preparaciones antioxidantes .</t>
  </si>
  <si>
    <t>TS: 1. DO: BAQMMA001108; IMPORTACIÓN: BAQMMA001108; DECLARACIÓN: 1; PEDIDO: TEXTILE RUBBER</t>
  </si>
  <si>
    <t>TEXTILE RUBBER &amp; CHEMICAL CO.,INC</t>
  </si>
  <si>
    <t>DALTON</t>
  </si>
  <si>
    <t>1300 TIARCO DRIVE DALTON, GA 30721</t>
  </si>
  <si>
    <t>7062773738</t>
  </si>
  <si>
    <t>575005873157</t>
  </si>
  <si>
    <t>20150205</t>
  </si>
  <si>
    <t>047SBPEBQ015</t>
  </si>
  <si>
    <t>CIA TRANSPORTADORA S.A</t>
  </si>
  <si>
    <t>90034512</t>
  </si>
  <si>
    <t>06203020730423</t>
  </si>
  <si>
    <t>872015000027558</t>
  </si>
  <si>
    <t>TS: 2. DO: BAQMMA000676; IMPORTACIÓN: BAQMMA000676; DECLARACIÓN: 1; PEDIDO: COLORES 2015-0</t>
  </si>
  <si>
    <t>ITWF41562</t>
  </si>
  <si>
    <t>15275419</t>
  </si>
  <si>
    <t>0620302073043</t>
  </si>
  <si>
    <t>872015000027559</t>
  </si>
  <si>
    <t>TS: 2. DO: BAQMMA000676; IMPORTACIÓN: BAQMMA000676; DECLARACIÓN: 2; PEDIDO: COLORES 2015-0</t>
  </si>
  <si>
    <t>TLC. CON EEUU - CÓD ACUERDO 096- GENERAL</t>
  </si>
  <si>
    <t>13303090339247</t>
  </si>
  <si>
    <t>872015000028361</t>
  </si>
  <si>
    <t>TS: 1. DO: BAQMAE001370; IMPORTACIÓN: BAQMAE001370; DECLARACIÓN: 1; PEDIDO: MAOMING. (BAQK</t>
  </si>
  <si>
    <t>MAOMING CITY MAOMING CRAFTWORK CANDLE CO, LTD</t>
  </si>
  <si>
    <t>MAOMING CITY</t>
  </si>
  <si>
    <t>WENCHONG ROAD1, MOAMING CITY GUANGD</t>
  </si>
  <si>
    <t>mmcandles@163.com</t>
  </si>
  <si>
    <t>575005888295</t>
  </si>
  <si>
    <t>SZX00727484</t>
  </si>
  <si>
    <t>20150211</t>
  </si>
  <si>
    <t>1S1501-1</t>
  </si>
  <si>
    <t>06203020731421</t>
  </si>
  <si>
    <t>872015000028481</t>
  </si>
  <si>
    <t>TS: 1. DO: BAQMMA001305; IMPORTACIÓN: BAQMMA001305; DECLARACIÓN: 1; PEDIDO: LATEX 2014-79.</t>
  </si>
  <si>
    <t>J 4707</t>
  </si>
  <si>
    <t>13303090339381</t>
  </si>
  <si>
    <t>872015000028849</t>
  </si>
  <si>
    <t>TS: 1. DO: BAQMMA001003; IMPORTACIÓN: BAQMMA001003; DECLARACIÓN: 1; PEDIDO: LATEX 2014-77.</t>
  </si>
  <si>
    <t>575005887272</t>
  </si>
  <si>
    <t>7910-0456-501.01</t>
  </si>
  <si>
    <t>20150212</t>
  </si>
  <si>
    <t>J 4690</t>
  </si>
  <si>
    <t>13303090340287</t>
  </si>
  <si>
    <t>872015000031714</t>
  </si>
  <si>
    <t>3905300000</t>
  </si>
  <si>
    <t>Alcohol polivinílico, incluso con grupos acetato sin hidrolizar.</t>
  </si>
  <si>
    <t>TS: 1. DO: BAQMAE001377; IMPORTACIÓN: BAQMAE001377; DECLARACIÓN: 1; PEDIDO: HI FLOAT. (BAQ</t>
  </si>
  <si>
    <t>HI FLOAT COMPANY, INC.</t>
  </si>
  <si>
    <t>LOUISVILLE</t>
  </si>
  <si>
    <t>13025 MIDDLETOWN INDUSTRIAL BOULEVA</t>
  </si>
  <si>
    <t>5022459711</t>
  </si>
  <si>
    <t>575005905115</t>
  </si>
  <si>
    <t>20150217</t>
  </si>
  <si>
    <t>45328</t>
  </si>
  <si>
    <t>20150218</t>
  </si>
  <si>
    <t>16487</t>
  </si>
  <si>
    <t>06203020737936</t>
  </si>
  <si>
    <t>872015000032797</t>
  </si>
  <si>
    <t>TS: 1. DO: BAQMMA001774; IMPORTACIÓN: BAQMMA001774; DECLARACIÓN: 1; PEDIDO: LATEX 2015-01.</t>
  </si>
  <si>
    <t>20150220</t>
  </si>
  <si>
    <t>J 4714</t>
  </si>
  <si>
    <t>13303090340681</t>
  </si>
  <si>
    <t>872015000032987</t>
  </si>
  <si>
    <t>9505900000</t>
  </si>
  <si>
    <t>Los demás artículos para fiestas, carnaval u otras diversiones, incluidos los de magia y artículos sorpresa.</t>
  </si>
  <si>
    <t>TS: 1. DO: BAQMMA000363; IMPORTACIÓN: BAQMMA000363; DECLARACIÓN: 1; PEDIDO: GUANDONG SLIQU</t>
  </si>
  <si>
    <t>21511400</t>
  </si>
  <si>
    <t>2015</t>
  </si>
  <si>
    <t>BOGOTÁ</t>
  </si>
  <si>
    <t>13303090342101</t>
  </si>
  <si>
    <t>872015000039346</t>
  </si>
  <si>
    <t>3669800</t>
  </si>
  <si>
    <t>9503009990</t>
  </si>
  <si>
    <t>Los demás juguetes.</t>
  </si>
  <si>
    <t>TS: 1. DO: BAQMAE001184; IMPORTACIÓN: BAQMAE001184; DECLARACIÓN: 1; PEDIDO: BETALLIC -2015</t>
  </si>
  <si>
    <t>21516737</t>
  </si>
  <si>
    <t>BETALLIC, L.L.C</t>
  </si>
  <si>
    <t>ST. LOUIS</t>
  </si>
  <si>
    <t>2326 GRISSOM DR. ST.LOUIS, MO 63146</t>
  </si>
  <si>
    <t>3149918800</t>
  </si>
  <si>
    <t>575005863786</t>
  </si>
  <si>
    <t>20150131</t>
  </si>
  <si>
    <t>MIA39200427</t>
  </si>
  <si>
    <t>20150302</t>
  </si>
  <si>
    <t>451000</t>
  </si>
  <si>
    <t>13303090342212</t>
  </si>
  <si>
    <t>872015000037637</t>
  </si>
  <si>
    <t>TS: 3. DO: BAQMMA001801; IMPORTACIÓN: BAQMMA001801; DECLARACIÓN: 2; PEDIDO: GUANDONG SLIQU</t>
  </si>
  <si>
    <t>HLTDG618336</t>
  </si>
  <si>
    <t>20150227</t>
  </si>
  <si>
    <t>14HFI-10116</t>
  </si>
  <si>
    <t>13303090342172</t>
  </si>
  <si>
    <t>872015000039571</t>
  </si>
  <si>
    <t>TS: 1. DO: BAQMMA001775; IMPORTACIÓN: BAQMMA001775; DECLARACIÓN: 1; PEDIDO: VELAS DE LLAMA</t>
  </si>
  <si>
    <t>FUJIAN BRIGHTEN COLOR FLAME CO., LTD</t>
  </si>
  <si>
    <t>FUZHOU FUJIAN,</t>
  </si>
  <si>
    <t>BRIGHTEN PRODUCTION BASE N.616 GUOB</t>
  </si>
  <si>
    <t>059188011055</t>
  </si>
  <si>
    <t>575005918690</t>
  </si>
  <si>
    <t>20150223</t>
  </si>
  <si>
    <t>FBRQ150100615</t>
  </si>
  <si>
    <t>05F88491</t>
  </si>
  <si>
    <t>13303090342221</t>
  </si>
  <si>
    <t>872015000037640</t>
  </si>
  <si>
    <t>3923299000</t>
  </si>
  <si>
    <t>Sacos (bolsas), bolsitas y cucuruchos.</t>
  </si>
  <si>
    <t>TS: 3. DO: BAQMMA001801; IMPORTACIÓN: BAQMMA001801; DECLARACIÓN: 3; PEDIDO: GUANDONG SLIQU</t>
  </si>
  <si>
    <t>13303090342119</t>
  </si>
  <si>
    <t>872015000039303</t>
  </si>
  <si>
    <t>3209100000</t>
  </si>
  <si>
    <t>Pinturas y barnices a base de polímeros acrilicos y vinílicos.</t>
  </si>
  <si>
    <t>TS: 1. DO: BAQMMA001186; IMPORTACIÓN: BAQMMA001186; DECLARACIÓN: 1; PEDIDO: COLORES NEON.</t>
  </si>
  <si>
    <t>ZHEJIANG J COLOR TECHNOLOGIES CO.,LTD</t>
  </si>
  <si>
    <t>HANGZHOU</t>
  </si>
  <si>
    <t>ROOM 812, BLDG #5, 998 WENYI WEST R</t>
  </si>
  <si>
    <t>8657189905587</t>
  </si>
  <si>
    <t>JPI1411201</t>
  </si>
  <si>
    <t>20150108</t>
  </si>
  <si>
    <t>13303090342624</t>
  </si>
  <si>
    <t>872015000040701</t>
  </si>
  <si>
    <t>TS: 1. DO: BAQMMA002071; IMPORTACIÓN: BAQMMA002071; DECLARACIÓN: 1; PEDIDO: LATEX 2015-02.</t>
  </si>
  <si>
    <t>20150304</t>
  </si>
  <si>
    <t>J 4735</t>
  </si>
  <si>
    <t>20150216</t>
  </si>
  <si>
    <t>06203020755566</t>
  </si>
  <si>
    <t>872015000042060</t>
  </si>
  <si>
    <t>TS: 1. DO: BAQMMA002529; IMPORTACIÓN: BAQMMA002529; DECLARACIÓN: 1; PEDIDO: LATEX 2015-03.</t>
  </si>
  <si>
    <t>CARIBBEAN AMERICAN SHIPPING AGENCY LTDA</t>
  </si>
  <si>
    <t>20150306</t>
  </si>
  <si>
    <t>J4759</t>
  </si>
  <si>
    <t>20150226</t>
  </si>
  <si>
    <t>01426010733421</t>
  </si>
  <si>
    <t>482015000090015</t>
  </si>
  <si>
    <t>BANCO DE BOGOTA</t>
  </si>
  <si>
    <t>CARTAGENA</t>
  </si>
  <si>
    <t>3215190000</t>
  </si>
  <si>
    <t>Las demás tintas de imprenta.</t>
  </si>
  <si>
    <t>TS: 2. DO: BAQMMA002216; IMPORTACIÓN: BAQMMA002216; DECLARACIÓN: 1; PEDIDO: BODO 2015-01.</t>
  </si>
  <si>
    <t>Cartagena</t>
  </si>
  <si>
    <t>ALEMANIA</t>
  </si>
  <si>
    <t>EVERTS AG</t>
  </si>
  <si>
    <t>WALTROP</t>
  </si>
  <si>
    <t>ZUR PANNHUTT 49 45731 WALTROP</t>
  </si>
  <si>
    <t>info@bodo-everts.com</t>
  </si>
  <si>
    <t>575005935545</t>
  </si>
  <si>
    <t>HAMCTGJ02862</t>
  </si>
  <si>
    <t>19000</t>
  </si>
  <si>
    <t>01426010733437</t>
  </si>
  <si>
    <t>482015000090042</t>
  </si>
  <si>
    <t>3215110000</t>
  </si>
  <si>
    <t>Tintas de imprenta negras.</t>
  </si>
  <si>
    <t>TS: 2. DO: BAQMMA002216; IMPORTACIÓN: BAQMMA002216; DECLARACIÓN: 2; PEDIDO: BODO 2015-01.</t>
  </si>
  <si>
    <t>13303090343765</t>
  </si>
  <si>
    <t>872015000043258</t>
  </si>
  <si>
    <t>TS: 1. DO: BAQMMA001746; IMPORTACIÓN: BAQMMA001746; DECLARACIÓN: 1; PEDIDO: GUANDONG SLIQU</t>
  </si>
  <si>
    <t>21521904</t>
  </si>
  <si>
    <t>20150309</t>
  </si>
  <si>
    <t>13303090343797</t>
  </si>
  <si>
    <t>872015000043564</t>
  </si>
  <si>
    <t>2804290000</t>
  </si>
  <si>
    <t>Los demás gases nobles.</t>
  </si>
  <si>
    <t>TS: 2. DO: BAQMAE002481; IMPORTACIÓN: BAQMAE002481; DECLARACIÓN: 2; PEDIDO: AIRGAS 2015-01</t>
  </si>
  <si>
    <t>AIRGAS SOUTH, INC</t>
  </si>
  <si>
    <t>DORAL</t>
  </si>
  <si>
    <t>9030 NW 58TH ST DORAL FL 33178-1608</t>
  </si>
  <si>
    <t>3054708933</t>
  </si>
  <si>
    <t>575005942900</t>
  </si>
  <si>
    <t>SMLU4001181A</t>
  </si>
  <si>
    <t>9036480163</t>
  </si>
  <si>
    <t>06203020763399</t>
  </si>
  <si>
    <t>872015000046385</t>
  </si>
  <si>
    <t>TS: 1. DO: BAQMMA002416; IMPORTACIÓN: BAQMMA002416; DECLARACIÓN: 1; PEDIDO: IMERY DIATOMIT</t>
  </si>
  <si>
    <t>575005957945</t>
  </si>
  <si>
    <t>20150311</t>
  </si>
  <si>
    <t>SMLU3986604A</t>
  </si>
  <si>
    <t>20150313</t>
  </si>
  <si>
    <t>I0000013745</t>
  </si>
  <si>
    <t>06203020763374</t>
  </si>
  <si>
    <t>872015000046280</t>
  </si>
  <si>
    <t>TS: 1. DO: BAQMMA000465; IMPORTACIÓN: BAQMMA000465; DECLARACIÓN: 1; PEDIDO: JC CHEMICALS 2</t>
  </si>
  <si>
    <t>DALI PHENIX DEVELOPMENT CO. LIMITED</t>
  </si>
  <si>
    <t>ROOM 1308, BLOCK 2, GUANGKEN COMMER</t>
  </si>
  <si>
    <t>info@daliphenix.com</t>
  </si>
  <si>
    <t>575005949037</t>
  </si>
  <si>
    <t>20150310</t>
  </si>
  <si>
    <t>SZYZ115010140</t>
  </si>
  <si>
    <t>DPH14-090</t>
  </si>
  <si>
    <t>06203020764381</t>
  </si>
  <si>
    <t>872015000047312</t>
  </si>
  <si>
    <t>TS: 1. DO: BAQMMA002993; IMPORTACIÓN: BAQMMA002993; DECLARACIÓN: 1; PEDIDO: LATEX 2015-05.</t>
  </si>
  <si>
    <t>20150316</t>
  </si>
  <si>
    <t>J 4770</t>
  </si>
  <si>
    <t>13303090345034</t>
  </si>
  <si>
    <t>872015000048680</t>
  </si>
  <si>
    <t>TS: 1. DO: BAQMTE002341; IMPORTACIÓN: BAQMTE002341; DECLARACIÓN: 1; PEDIDO: YONGKANG 2015-</t>
  </si>
  <si>
    <t>21526237</t>
  </si>
  <si>
    <t>YONGKANG CHAOSHUAI ARTS &amp; CRAFTS CO., LTD</t>
  </si>
  <si>
    <t>ZHEJIANG</t>
  </si>
  <si>
    <t>QINGXI XIANGZHU YONGKANG, ZHEJIANG</t>
  </si>
  <si>
    <t>YKCS@VIP.163.COM</t>
  </si>
  <si>
    <t>ATLNGB014984</t>
  </si>
  <si>
    <t>20150317</t>
  </si>
  <si>
    <t>CSHG150119</t>
  </si>
  <si>
    <t>06203020766576</t>
  </si>
  <si>
    <t>872015000049347</t>
  </si>
  <si>
    <t>TS: 1. DO: BAQMMA002774; IMPORTACIÓN: BAQMMA002774; DECLARACIÓN: 1; PEDIDO: LATEX 2015-04.</t>
  </si>
  <si>
    <t>575005968693</t>
  </si>
  <si>
    <t>7910-0456-502.01</t>
  </si>
  <si>
    <t>20150318</t>
  </si>
  <si>
    <t>J 4761</t>
  </si>
  <si>
    <t>06203020766798</t>
  </si>
  <si>
    <t>872015000049528</t>
  </si>
  <si>
    <t>4818300000</t>
  </si>
  <si>
    <t>Manteles y servilletas, de pasta de papel, papel y guata de celulosa.</t>
  </si>
  <si>
    <t>TS: 2. DO: BAQMMA002991; IMPORTACIÓN: BAQMMA002991; DECLARACIÓN: 1; PEDIDO: PUTIAN 2015-01</t>
  </si>
  <si>
    <t>PUTIAN SOUTHEASTERN PAPER INDUSTRY AND TRADE CO., LTD</t>
  </si>
  <si>
    <t>PUTIAN</t>
  </si>
  <si>
    <t>HUALIN ECONOMIC DEVELOPMENT ZONE PU</t>
  </si>
  <si>
    <t>861370605139</t>
  </si>
  <si>
    <t>575005968719</t>
  </si>
  <si>
    <t>GSZBAR1502041</t>
  </si>
  <si>
    <t>DNSEMPERTEX-15</t>
  </si>
  <si>
    <t>0620302076678</t>
  </si>
  <si>
    <t>872015000049537</t>
  </si>
  <si>
    <t>4823690000</t>
  </si>
  <si>
    <t>Las demás bandejas, fuentes, platos, tazas, vasos y artículos similares, de papel o cartón.</t>
  </si>
  <si>
    <t>TS: 2. DO: BAQMMA002991; IMPORTACIÓN: BAQMMA002991; DECLARACIÓN: 2; PEDIDO: PUTIAN 2015-01</t>
  </si>
  <si>
    <t>06203020767621</t>
  </si>
  <si>
    <t>872015000050576</t>
  </si>
  <si>
    <t>TS: 1. DO: BAQMMA003250; IMPORTACIÓN: BAQMMA003250; DECLARACIÓN: 1; PEDIDO: LATEX 2015-06.</t>
  </si>
  <si>
    <t>575005971382</t>
  </si>
  <si>
    <t>EGLV761500002424</t>
  </si>
  <si>
    <t>20150319</t>
  </si>
  <si>
    <t>J 4772</t>
  </si>
  <si>
    <t>06203020767639</t>
  </si>
  <si>
    <t>872015000050466</t>
  </si>
  <si>
    <t>TS: 1. DO: BAQMMA002990; IMPORTACIÓN: BAQMMA002990; DECLARACIÓN: 1; PEDIDO: HOUSEWARE 2015</t>
  </si>
  <si>
    <t>575005970211</t>
  </si>
  <si>
    <t>NGX60100690</t>
  </si>
  <si>
    <t>GS00772</t>
  </si>
  <si>
    <t>MECANISMO DE COMPENSACIÓN O CUENTA DE COMPENSACIÓN EN EL EXTERIOR</t>
  </si>
  <si>
    <t>13303090345589</t>
  </si>
  <si>
    <t>872015000050749</t>
  </si>
  <si>
    <t>TS: 2. DO: BAQMMA002987; IMPORTACIÓN: BAQMMA002987; DECLARACIÓN: 1; PEDIDO: STERMANY2015-0</t>
  </si>
  <si>
    <t>STERMAY INDUSTRIAL LIMITED</t>
  </si>
  <si>
    <t>NO.2 YANHE EAST ROAD, XIABIAN AVENU</t>
  </si>
  <si>
    <t>SDF@STERMAY.COM</t>
  </si>
  <si>
    <t>SZX150203223</t>
  </si>
  <si>
    <t>20150320</t>
  </si>
  <si>
    <t>HTPI13761R</t>
  </si>
  <si>
    <t>13303090345571</t>
  </si>
  <si>
    <t>872015000050751</t>
  </si>
  <si>
    <t>TS: 2. DO: BAQMMA002987; IMPORTACIÓN: BAQMMA002987; DECLARACIÓN: 2; PEDIDO: STERMANY2015-0</t>
  </si>
  <si>
    <t>13303090345819</t>
  </si>
  <si>
    <t>872015000052828</t>
  </si>
  <si>
    <t>TS: 2. DO: BAQMAE003253; IMPORTACIÓN: BAQMAE003253; DECLARACIÓN: 1; PEDIDO: PREMIUN BALLON</t>
  </si>
  <si>
    <t>PREMIUM BALLOON ACCESORIES</t>
  </si>
  <si>
    <t>SHARON CENTER</t>
  </si>
  <si>
    <t>6935 RIDGE ROAD P.O. BOX 352, OH 44</t>
  </si>
  <si>
    <t>3302394403</t>
  </si>
  <si>
    <t>575005983122</t>
  </si>
  <si>
    <t>20150321</t>
  </si>
  <si>
    <t>45628</t>
  </si>
  <si>
    <t>20150324</t>
  </si>
  <si>
    <t>41257</t>
  </si>
  <si>
    <t>13303090345826</t>
  </si>
  <si>
    <t>872015000052834</t>
  </si>
  <si>
    <t>8414909000</t>
  </si>
  <si>
    <t>Las demás partes de los demás aparatos de la partida 84.14.</t>
  </si>
  <si>
    <t>TS: 2. DO: BAQMAE003253; IMPORTACIÓN: BAQMAE003253; DECLARACIÓN: 2; PEDIDO: PREMIUN BALLON</t>
  </si>
  <si>
    <t>13303090345976</t>
  </si>
  <si>
    <t>872015000053689</t>
  </si>
  <si>
    <t>TS: 1. DO: BAQMMA002992; IMPORTACIÓN: BAQMMA002992; DECLARACIÓN: 1; PEDIDO: TEXTILE RUBBER</t>
  </si>
  <si>
    <t>575005973278</t>
  </si>
  <si>
    <t>1511SJXBQ010</t>
  </si>
  <si>
    <t>20150325</t>
  </si>
  <si>
    <t>90037920</t>
  </si>
  <si>
    <t>06203020772657</t>
  </si>
  <si>
    <t>872015000054768</t>
  </si>
  <si>
    <t>TS: 1. DO: BAQMMA003561; IMPORTACIÓN: BAQMMA003561; DECLARACIÓN: 1; PEDIDO: LATEX 2015-07.</t>
  </si>
  <si>
    <t>575005985301</t>
  </si>
  <si>
    <t>EGLV761500002459</t>
  </si>
  <si>
    <t>20150326</t>
  </si>
  <si>
    <t>J 4787</t>
  </si>
  <si>
    <t>20150312</t>
  </si>
  <si>
    <t>13303090346761</t>
  </si>
  <si>
    <t>872015000056443</t>
  </si>
  <si>
    <t>TS: 2. DO: BAQMMA002996; IMPORTACIÓN: BAQMMA002996; DECLARACIÓN: 1; PEDIDO: COLORES 2015-0</t>
  </si>
  <si>
    <t>info.pigments@flintgrp.com</t>
  </si>
  <si>
    <t>ECCI-MIA-COBAQ-0</t>
  </si>
  <si>
    <t>20150328</t>
  </si>
  <si>
    <t>15276364</t>
  </si>
  <si>
    <t>20150228</t>
  </si>
  <si>
    <t>13303090346777</t>
  </si>
  <si>
    <t>872015000056448</t>
  </si>
  <si>
    <t>TS: 2. DO: BAQMMA002996; IMPORTACIÓN: BAQMMA002996; DECLARACIÓN: 2; PEDIDO: COLORES 2015-0</t>
  </si>
  <si>
    <t>13303090347546</t>
  </si>
  <si>
    <t>872015000059784</t>
  </si>
  <si>
    <t>3812309000</t>
  </si>
  <si>
    <t>Los  demás preparaciones y demás  estabilizantes compuestos para caucho o para materias plásticas.</t>
  </si>
  <si>
    <t>TS: 1. DO: BAQMMA003413; IMPORTACIÓN: BAQMMA003413; DECLARACIÓN: 1; PEDIDO: STRUKTOL LS-10</t>
  </si>
  <si>
    <t>SCHILL SEILACHER STRUKTOL GMBH</t>
  </si>
  <si>
    <t>HAMBURG</t>
  </si>
  <si>
    <t>MOORFLEETER STRABE 28 22113</t>
  </si>
  <si>
    <t>info@struktol.de</t>
  </si>
  <si>
    <t>575006006891</t>
  </si>
  <si>
    <t>20150401</t>
  </si>
  <si>
    <t>SEAEXPJ11523</t>
  </si>
  <si>
    <t>NAVENAL LTDA</t>
  </si>
  <si>
    <t>20150406</t>
  </si>
  <si>
    <t>2214024/10.03.</t>
  </si>
  <si>
    <t>06203020780901</t>
  </si>
  <si>
    <t>872015000059878</t>
  </si>
  <si>
    <t>2834299000</t>
  </si>
  <si>
    <t>Los demás nitratos.</t>
  </si>
  <si>
    <t>TS: 1. DO: BAQMMA002535; IMPORTACIÓN: BAQMMA002535; DECLARACIÓN: 1; PEDIDO: NITRATO 2015-0</t>
  </si>
  <si>
    <t>21524535</t>
  </si>
  <si>
    <t>THE ANDERSONS, INC.</t>
  </si>
  <si>
    <t>SANDUSKY OHIO</t>
  </si>
  <si>
    <t>9841 CO. HWY 49 UPPER SANDUSKY, OH</t>
  </si>
  <si>
    <t>4192944289</t>
  </si>
  <si>
    <t>575006006931</t>
  </si>
  <si>
    <t>20150331</t>
  </si>
  <si>
    <t>GXL12516</t>
  </si>
  <si>
    <t>SI1/28203901</t>
  </si>
  <si>
    <t>13303090348046</t>
  </si>
  <si>
    <t>872015000061884</t>
  </si>
  <si>
    <t>TS: 1. DO: BAQMMA003735; IMPORTACIÓN: BAQMMA003735; DECLARACIÓN: 1; PEDIDO: LATEX 2015-08.</t>
  </si>
  <si>
    <t>20150408</t>
  </si>
  <si>
    <t>J 4793</t>
  </si>
  <si>
    <t>06203020782913</t>
  </si>
  <si>
    <t>872015000061462</t>
  </si>
  <si>
    <t>TS: 1. DO: BAQMMA003984; IMPORTACIÓN: BAQMMA003984; DECLARACIÓN: 1; PEDIDO: RUBBER SSYTEM</t>
  </si>
  <si>
    <t>575006000799</t>
  </si>
  <si>
    <t>APLU906153849</t>
  </si>
  <si>
    <t>13303090349424</t>
  </si>
  <si>
    <t>872015000067659</t>
  </si>
  <si>
    <t>TS: 1. DO: BAQMMA004190; IMPORTACIÓN: BAQMMA004190; DECLARACIÓN: 1; PEDIDO: DIOXIDO DE TIT</t>
  </si>
  <si>
    <t>8615902839158</t>
  </si>
  <si>
    <t>20150416</t>
  </si>
  <si>
    <t>LT 15995/15</t>
  </si>
  <si>
    <t>13303090349401</t>
  </si>
  <si>
    <t>872015000067690</t>
  </si>
  <si>
    <t>TS: 1. DO: BAQMMA003911; IMPORTACIÓN: BAQMMA003911; DECLARACIÓN: 1; PEDIDO: VELAS. (BAQVAN</t>
  </si>
  <si>
    <t>MAOMING</t>
  </si>
  <si>
    <t>575006036018</t>
  </si>
  <si>
    <t>20150414</t>
  </si>
  <si>
    <t>EGLV149500620384</t>
  </si>
  <si>
    <t>5S1412-1</t>
  </si>
  <si>
    <t>06203020805369</t>
  </si>
  <si>
    <t>872015000072097</t>
  </si>
  <si>
    <t>TS: 1. DO: BAQMMA004848; IMPORTACIÓN: BAQMMA004848; DECLARACIÓN: 1; PEDIDO: LATEX 2015-11.</t>
  </si>
  <si>
    <t>20150422</t>
  </si>
  <si>
    <t>J 4825</t>
  </si>
  <si>
    <t>13303090350353</t>
  </si>
  <si>
    <t>872015000071704</t>
  </si>
  <si>
    <t>TS: 1. DO: BAQMMA004749; IMPORTACIÓN: BAQMMA004749; DECLARACIÓN: 1; PEDIDO: LATEX 2015-10.</t>
  </si>
  <si>
    <t>575006048714</t>
  </si>
  <si>
    <t>20150418</t>
  </si>
  <si>
    <t>GUAEXP15-038</t>
  </si>
  <si>
    <t>J 4827</t>
  </si>
  <si>
    <t>20150409</t>
  </si>
  <si>
    <t>06203020816472</t>
  </si>
  <si>
    <t>872015000077891</t>
  </si>
  <si>
    <t>FABRICACIÓN DE OTROS PRODUCTOS DE CAUCHO NCP.</t>
  </si>
  <si>
    <t>TS: 2. DO: BAQMMA004747; IMPORTACIÓN: BAQMMA004747; DECLARACIÓN: 1; PEDIDO: BORO 2015-02.</t>
  </si>
  <si>
    <t>575006070672</t>
  </si>
  <si>
    <t>20150427</t>
  </si>
  <si>
    <t>HLTDG625754</t>
  </si>
  <si>
    <t>20150502</t>
  </si>
  <si>
    <t>BPI1501010</t>
  </si>
  <si>
    <t>13303090353129</t>
  </si>
  <si>
    <t>872015000081258</t>
  </si>
  <si>
    <t>TS: 1. DO: BAQMMA005685; IMPORTACIÓN: BAQMMA005685; DECLARACIÓN: 1; PEDIDO: LATEX 2015-12.</t>
  </si>
  <si>
    <t>575006087524</t>
  </si>
  <si>
    <t>20150504</t>
  </si>
  <si>
    <t>EGLV761500006594</t>
  </si>
  <si>
    <t>20150507</t>
  </si>
  <si>
    <t>J 4857</t>
  </si>
  <si>
    <t>20150424</t>
  </si>
  <si>
    <t>1330309035315</t>
  </si>
  <si>
    <t>872015000081586</t>
  </si>
  <si>
    <t>TS: 1. DO: BAQMMA005797; IMPORTACIÓN: BAQMMA005797; DECLARACIÓN: 1; PEDIDO: LATEX 2014-14.</t>
  </si>
  <si>
    <t>J 4858</t>
  </si>
  <si>
    <t>13303090353191</t>
  </si>
  <si>
    <t>872015000081926</t>
  </si>
  <si>
    <t>TS: 1. DO: BAQMMA005538; IMPORTACIÓN: BAQMMA005538; DECLARACIÓN: 1; PEDIDO: DESECHABLES PL</t>
  </si>
  <si>
    <t>HLTDG625768</t>
  </si>
  <si>
    <t>DY1540715</t>
  </si>
  <si>
    <t>20150411</t>
  </si>
  <si>
    <t>13303090353231</t>
  </si>
  <si>
    <t>872015000082281</t>
  </si>
  <si>
    <t>TS: 1. DO: BAQMMA005682; IMPORTACIÓN: BAQMMA005682; DECLARACIÓN: 1; PEDIDO: LATEX 2015-13.</t>
  </si>
  <si>
    <t>575006087904</t>
  </si>
  <si>
    <t>20150505</t>
  </si>
  <si>
    <t>APLU906154468</t>
  </si>
  <si>
    <t>20150508</t>
  </si>
  <si>
    <t>20150421</t>
  </si>
  <si>
    <t>07515260206519</t>
  </si>
  <si>
    <t>482015000178431</t>
  </si>
  <si>
    <t>TS: 1. DO: BAQMMA005046; IMPORTACIÓN: BAQMMA005046; DECLARACIÓN: 1; PEDIDO: ARBESTAB 2015-</t>
  </si>
  <si>
    <t>7201</t>
  </si>
  <si>
    <t>TERMINAL DE CONTENEDORES DE CARTAGENA S A</t>
  </si>
  <si>
    <t>ROBINSON BROTHERS LIMITED</t>
  </si>
  <si>
    <t>WEST MIDLANDS</t>
  </si>
  <si>
    <t>PHOENIX STREET,WEST BROMWICH WEST M</t>
  </si>
  <si>
    <t>01215005183</t>
  </si>
  <si>
    <t>575006088973</t>
  </si>
  <si>
    <t>USA052979</t>
  </si>
  <si>
    <t>E55371</t>
  </si>
  <si>
    <t>06203010684486</t>
  </si>
  <si>
    <t>872015000084890</t>
  </si>
  <si>
    <t>TS: 1. DO: BAQMMA004634; IMPORTACIÓN: BAQMMA004634; DECLARACIÓN: 1; PEDIDO: ZHENJIANG JCOL</t>
  </si>
  <si>
    <t>AVIANCA S.A. AEROVIAS NACIONALES DE COLOMBIA S.A.</t>
  </si>
  <si>
    <t>20150512</t>
  </si>
  <si>
    <t>JPI1502029</t>
  </si>
  <si>
    <t>13303090353981</t>
  </si>
  <si>
    <t>872015000085651</t>
  </si>
  <si>
    <t>TS: 2. DO: BAQMMA006080; IMPORTACIÓN: BAQMMA006080; DECLARACIÓN: 2; PEDIDO: BODO 2015-02.</t>
  </si>
  <si>
    <t>BODO EVERTS DATTELN GMBH</t>
  </si>
  <si>
    <t>ZUR PANNHUTT 49, 45731 WALTROP</t>
  </si>
  <si>
    <t>bodo.everts@web.de</t>
  </si>
  <si>
    <t>20150513</t>
  </si>
  <si>
    <t>19028</t>
  </si>
  <si>
    <t>20150224</t>
  </si>
  <si>
    <t>13303090353974</t>
  </si>
  <si>
    <t>872015000085650</t>
  </si>
  <si>
    <t>TS: 2. DO: BAQMMA006080; IMPORTACIÓN: BAQMMA006080; DECLARACIÓN: 1; PEDIDO: BODO 2015-02.</t>
  </si>
  <si>
    <t>06203010687728</t>
  </si>
  <si>
    <t>872015000087029</t>
  </si>
  <si>
    <t>TS: 2. DO: BAQMMA006206; IMPORTACIÓN: BAQMMA006206; DECLARACIÓN: 1; PEDIDO: PUTIAN. (BAQKA</t>
  </si>
  <si>
    <t>20150515</t>
  </si>
  <si>
    <t>20150404</t>
  </si>
  <si>
    <t>06203010687735</t>
  </si>
  <si>
    <t>872015000087034</t>
  </si>
  <si>
    <t>TS: 2. DO: BAQMMA006206; IMPORTACIÓN: BAQMMA006206; DECLARACIÓN: 2; PEDIDO: PUTIAN. (BAQKA</t>
  </si>
  <si>
    <t>07515260208515</t>
  </si>
  <si>
    <t>482015000186654</t>
  </si>
  <si>
    <t>TS: 1. DO: BAQMMA006197; IMPORTACIÓN: BAQMMA006197; DECLARACIÓN: 1; PEDIDO: ARBESTAB 2015-</t>
  </si>
  <si>
    <t>575006120848</t>
  </si>
  <si>
    <t>20150519</t>
  </si>
  <si>
    <t>USA053183</t>
  </si>
  <si>
    <t>20150514</t>
  </si>
  <si>
    <t>E55499</t>
  </si>
  <si>
    <t>20150428</t>
  </si>
  <si>
    <t>13303090354965</t>
  </si>
  <si>
    <t>872015000089797</t>
  </si>
  <si>
    <t>TS: 1. DO: BAQMMA006413; IMPORTACIÓN: BAQMMA006413; DECLARACIÓN: 1; PEDIDO: LATEX 2015 -16</t>
  </si>
  <si>
    <t>20150520</t>
  </si>
  <si>
    <t>J 4885</t>
  </si>
  <si>
    <t>13303090354981</t>
  </si>
  <si>
    <t>872015000090268</t>
  </si>
  <si>
    <t>TS: 1. DO: BAQMMA006417; IMPORTACIÓN: BAQMMA006417; DECLARACIÓN: 1; PEDIDO: LATEX 2015-17.</t>
  </si>
  <si>
    <t>20150521</t>
  </si>
  <si>
    <t>J 4889</t>
  </si>
  <si>
    <t>13303090355141</t>
  </si>
  <si>
    <t>872015000091298</t>
  </si>
  <si>
    <t>4823909000</t>
  </si>
  <si>
    <t>Los demás papeles, cartónes, guata de celulosa y napa de fibras de celulosa, cortados en formato; los demás artículos de pasta de papel, papel, cartón, guata de celulosa o napa de fibras de celulosa.</t>
  </si>
  <si>
    <t>TS: 1. DO: BAQMMA006079; IMPORTACIÓN: BAQMMA006079; DECLARACIÓN: 1; PEDIDO: HUFEI 2015-01.</t>
  </si>
  <si>
    <t>HEFEI SUBLIME INTERNATIONAL CO., LTDA</t>
  </si>
  <si>
    <t>HEFEI</t>
  </si>
  <si>
    <t>2207.22/F., INTERNATIONAL APARTMENT</t>
  </si>
  <si>
    <t>008655162992206</t>
  </si>
  <si>
    <t>575006119926</t>
  </si>
  <si>
    <t>WHSE15040011</t>
  </si>
  <si>
    <t>20150522</t>
  </si>
  <si>
    <t>HF1503</t>
  </si>
  <si>
    <t>20150423</t>
  </si>
  <si>
    <t>06203010698089</t>
  </si>
  <si>
    <t>872015000092177</t>
  </si>
  <si>
    <t>4351-0956-503.01</t>
  </si>
  <si>
    <t>13303090355662</t>
  </si>
  <si>
    <t>872015000094007</t>
  </si>
  <si>
    <t>3917329900</t>
  </si>
  <si>
    <t>Los demás tubos sin reforzar ni combinar con otras materias, sin  accesorios.</t>
  </si>
  <si>
    <t>TS: 3. DO: BAQMMA006221; IMPORTACIÓN: BAQMMA006221; DECLARACIÓN: 3; PEDIDO: ART DE FIESTA</t>
  </si>
  <si>
    <t>FAX. 86238911989</t>
  </si>
  <si>
    <t>575006104185</t>
  </si>
  <si>
    <t>20150511</t>
  </si>
  <si>
    <t>EGLV149500805198</t>
  </si>
  <si>
    <t>20150526</t>
  </si>
  <si>
    <t>14HFI-12308</t>
  </si>
  <si>
    <t>13303090355655</t>
  </si>
  <si>
    <t>872015000094004</t>
  </si>
  <si>
    <t>TS: 3. DO: BAQMMA006221; IMPORTACIÓN: BAQMMA006221; DECLARACIÓN: 2; PEDIDO: ART DE FIESTA</t>
  </si>
  <si>
    <t>13303090355648</t>
  </si>
  <si>
    <t>872015000094003</t>
  </si>
  <si>
    <t>4909000000</t>
  </si>
  <si>
    <t>Tarjetas postales impresas o ilustradas; tarjetas impresas con felicitaciones o comunicaciones personales, incluso con ilustraciones, adornos o aplicaciones, o con sobre.</t>
  </si>
  <si>
    <t>TS: 3. DO: BAQMMA006221; IMPORTACIÓN: BAQMMA006221; DECLARACIÓN: 1; PEDIDO: ART DE FIESTA</t>
  </si>
  <si>
    <t>13303090355694</t>
  </si>
  <si>
    <t>20122090674705</t>
  </si>
  <si>
    <t>CORRECCIÓN</t>
  </si>
  <si>
    <t>87201500007925</t>
  </si>
  <si>
    <t>72155781</t>
  </si>
  <si>
    <t>CABARCA BECHARA GUILLERMO JOSE</t>
  </si>
  <si>
    <t>721557816</t>
  </si>
  <si>
    <t>AGENCIAS DE ADUANAS 1</t>
  </si>
  <si>
    <t>53</t>
  </si>
  <si>
    <t>SEMPERTEX DE COLOMBIA S.A</t>
  </si>
  <si>
    <t>VIA 40 64 198</t>
  </si>
  <si>
    <t>TS: 2. DO: BAOMMA004747; IMPORTACION: BAOMMA004747-1; DECLARACION: 2, PEDIDO: BORD 2015-02. (BAQKAREN). CODIGO UAP 977.</t>
  </si>
  <si>
    <t>4</t>
  </si>
  <si>
    <t>DE CASTRO GONZALEZ FERNANDO COD 4</t>
  </si>
  <si>
    <t>BORD INDUSTRIAL DEVELOPMENT LIMITED</t>
  </si>
  <si>
    <t>CHUANGSHENG ROAD 21 SHANGSHA NO 2 1</t>
  </si>
  <si>
    <t>116575006070</t>
  </si>
  <si>
    <t>87201500000823</t>
  </si>
  <si>
    <t>BP11501010</t>
  </si>
  <si>
    <t>07679260083479</t>
  </si>
  <si>
    <t>32015000756432</t>
  </si>
  <si>
    <t>BOGOTA</t>
  </si>
  <si>
    <t>830076778</t>
  </si>
  <si>
    <t>AGENCIA DE ADUANAS DHL EXPRESS COLOMBIA LTDA NIVEL 1</t>
  </si>
  <si>
    <t>8300767789</t>
  </si>
  <si>
    <t>8474595200</t>
  </si>
  <si>
    <t>8443910000</t>
  </si>
  <si>
    <t>Partes y accesorios de máquinas y aparatos para imprimir por medio de planchas, cilindros y demás elementos impresores de la partida 84.42.</t>
  </si>
  <si>
    <t>31505631 FACTURA 048/15 2015/5/21 DECRETO 4406/04, REEMBOLSABLE (1 UNIDAD) POSICIONADOR DE</t>
  </si>
  <si>
    <t>ROLLO (TELA)</t>
  </si>
  <si>
    <t>Bogotá</t>
  </si>
  <si>
    <t>13907</t>
  </si>
  <si>
    <t>ZONA FRANCA DE BOGOTA S.A.</t>
  </si>
  <si>
    <t>DE-STA-CO</t>
  </si>
  <si>
    <t>BRASIL</t>
  </si>
  <si>
    <t>JUNDIAI</t>
  </si>
  <si>
    <t>AV PREFEITO LUIZ LATORRE 9401 GALPA</t>
  </si>
  <si>
    <t>551129236640</t>
  </si>
  <si>
    <t>575006134551</t>
  </si>
  <si>
    <t>20150523</t>
  </si>
  <si>
    <t>4661440280</t>
  </si>
  <si>
    <t>DHL EXPRESS COLOMBIA LTDA</t>
  </si>
  <si>
    <t>20150527</t>
  </si>
  <si>
    <t>048/15</t>
  </si>
  <si>
    <t>13303090356424</t>
  </si>
  <si>
    <t>872015000095675</t>
  </si>
  <si>
    <t>3824909900</t>
  </si>
  <si>
    <t>Los demás productos químicos y preparaciones de la industria química o de las industrias conexas (incluidas las mezclas de productos naturales), no expresados ni comprendidos en otra parte.</t>
  </si>
  <si>
    <t>TS: 1. DO: BAQMMA006623; IMPORTACIÓN: BAQMMA006623; DECLARACIÓN: 1; PEDIDO: AIR PRODUCTS 2</t>
  </si>
  <si>
    <t>AIR PRODUCTS AND CHEMICALS, INC</t>
  </si>
  <si>
    <t>ALLENTOWN</t>
  </si>
  <si>
    <t>7201 HAMILTON BLVD. ALLENTOWN, PA 1</t>
  </si>
  <si>
    <t>6107065487</t>
  </si>
  <si>
    <t>575006135811</t>
  </si>
  <si>
    <t>20150525</t>
  </si>
  <si>
    <t>NYC/BRQ/D02870</t>
  </si>
  <si>
    <t>20150528</t>
  </si>
  <si>
    <t>0045014836</t>
  </si>
  <si>
    <t>20150510</t>
  </si>
  <si>
    <t>06203010709523</t>
  </si>
  <si>
    <t>872015000095948</t>
  </si>
  <si>
    <t>TS: 1. DO: BAQMMA006420; IMPORTACIÓN: BAQMMA006420; DECLARACIÓN: 1; PEDIDO: LATEX 2015-15.</t>
  </si>
  <si>
    <t>575006137674</t>
  </si>
  <si>
    <t>GUAEXP15-043</t>
  </si>
  <si>
    <t>20150529</t>
  </si>
  <si>
    <t>J 4877</t>
  </si>
  <si>
    <t>20150506</t>
  </si>
  <si>
    <t>06203010713909</t>
  </si>
  <si>
    <t>872015000097767</t>
  </si>
  <si>
    <t>TS: 1. DO: BAQMMA007237; IMPORTACIÓN: BAQMMA007237; DECLARACIÓN: 1; PEDIDO: LATEX 2015-19.</t>
  </si>
  <si>
    <t>575006155091</t>
  </si>
  <si>
    <t>20150602</t>
  </si>
  <si>
    <t>EGLV761500009747</t>
  </si>
  <si>
    <t>20150530</t>
  </si>
  <si>
    <t>J 4916</t>
  </si>
  <si>
    <t>06203010715421</t>
  </si>
  <si>
    <t>872015000102480</t>
  </si>
  <si>
    <t>TS: 1. DO: BAQMMA007153; IMPORTACIÓN: BAQMMA007153; DECLARACIÓN: 1; PEDIDO: LATEX 2015-18.</t>
  </si>
  <si>
    <t>575006159379</t>
  </si>
  <si>
    <t>20150603</t>
  </si>
  <si>
    <t>TLGUAEXP1500180</t>
  </si>
  <si>
    <t>J 4909</t>
  </si>
  <si>
    <t>20150518</t>
  </si>
  <si>
    <t>13303090357834</t>
  </si>
  <si>
    <t>872015000103627</t>
  </si>
  <si>
    <t>TS: 1. DO: BAQMMA007245; IMPORTACIÓN: BAQMMA007245; DECLARACIÓN: 1; PEDIDO: 1ER PARCIAL MA</t>
  </si>
  <si>
    <t>575006137501</t>
  </si>
  <si>
    <t>EGLV149500909694</t>
  </si>
  <si>
    <t>20150604</t>
  </si>
  <si>
    <t>2S1502-1</t>
  </si>
  <si>
    <t>20150420</t>
  </si>
  <si>
    <t>1330309035792</t>
  </si>
  <si>
    <t>872015000103719</t>
  </si>
  <si>
    <t>TS: 1. DO: BAQMMA007239; IMPORTACIÓN: BAQMMA007239; DECLARACIÓN: 1; PEDIDO: LATEX 2015-20.</t>
  </si>
  <si>
    <t>EGLV761500009755</t>
  </si>
  <si>
    <t>J 4918</t>
  </si>
  <si>
    <t>1330309035823</t>
  </si>
  <si>
    <t>872015000106761</t>
  </si>
  <si>
    <t>TS: 1. DO: BAQMMA007317; IMPORTACIÓN: BAQMMA007317; DECLARACIÓN: 1; PEDIDO: 2DO PARCIAL MA</t>
  </si>
  <si>
    <t>20150609</t>
  </si>
  <si>
    <t>13303090358255</t>
  </si>
  <si>
    <t>872015000106978</t>
  </si>
  <si>
    <t>TS: 1. DO: BAQMMA007155; IMPORTACIÓN: BAQMMA007155; DECLARACIÓN: 1; PEDIDO: HOUSEWARE 2015</t>
  </si>
  <si>
    <t>008657486188555</t>
  </si>
  <si>
    <t>GS00833</t>
  </si>
  <si>
    <t>06203010722897</t>
  </si>
  <si>
    <t>872015000107716</t>
  </si>
  <si>
    <t>TS: 2. DO: BAQMMA006216; IMPORTACIÓN: BAQMMA006216; DECLARACIÓN: 2; PEDIDO: STICKS E INFLA</t>
  </si>
  <si>
    <t>575006165775</t>
  </si>
  <si>
    <t>20150605</t>
  </si>
  <si>
    <t>HLTDG627408</t>
  </si>
  <si>
    <t>20150610</t>
  </si>
  <si>
    <t>BPI1501027R</t>
  </si>
  <si>
    <t>06203010722905</t>
  </si>
  <si>
    <t>872015000107696</t>
  </si>
  <si>
    <t>TS: 2. DO: BAQMMA006216; IMPORTACIÓN: BAQMMA006216; DECLARACIÓN: 1; PEDIDO: STICKS E INFLA</t>
  </si>
  <si>
    <t>13303090358896</t>
  </si>
  <si>
    <t>872015000109095</t>
  </si>
  <si>
    <t>TS: 1. DO: BAQMMA007795; IMPORTACIÓN: BAQMMA007795; DECLARACIÓN: 1; PEDIDO: LATEX 2015-21.</t>
  </si>
  <si>
    <t>575006172301</t>
  </si>
  <si>
    <t>20150608</t>
  </si>
  <si>
    <t>EGLV761500010095</t>
  </si>
  <si>
    <t>20150611</t>
  </si>
  <si>
    <t>J 4930</t>
  </si>
  <si>
    <t>13303090358904</t>
  </si>
  <si>
    <t>872015000109123</t>
  </si>
  <si>
    <t>TS: 1. DO: BAQMMA007800; IMPORTACIÓN: BAQMMA007800; DECLARACIÓN: 1; PEDIDO: LATEX 2015-22.</t>
  </si>
  <si>
    <t>EGLV761500010087</t>
  </si>
  <si>
    <t>J 4932</t>
  </si>
  <si>
    <t>06203020819943</t>
  </si>
  <si>
    <t>872015000111998</t>
  </si>
  <si>
    <t>TS: 1. DO: BAQMMA006224; IMPORTACIÓN: BAQMMA006224; DECLARACIÓN: 1; PEDIDO: ART DE FIESTA</t>
  </si>
  <si>
    <t>21565470</t>
  </si>
  <si>
    <t>20150616</t>
  </si>
  <si>
    <t>13303090359522</t>
  </si>
  <si>
    <t>872015000112951</t>
  </si>
  <si>
    <t>TS: 5. DO: BAQMMA007246; IMPORTACIÓN: BAQMMA007246; DECLARACIÓN: 1; PEDIDO: CORSON 2015-01</t>
  </si>
  <si>
    <t>21572968</t>
  </si>
  <si>
    <t>PANAMÁ</t>
  </si>
  <si>
    <t>CORSON CAPITAL CORPORATION</t>
  </si>
  <si>
    <t>PANAMA</t>
  </si>
  <si>
    <t>CALLE 53E URBANIZACION MARBELLA TOR</t>
  </si>
  <si>
    <t>5072657691</t>
  </si>
  <si>
    <t>575006137524</t>
  </si>
  <si>
    <t>EURFFZ1540717BAQ</t>
  </si>
  <si>
    <t>20150617</t>
  </si>
  <si>
    <t>0051</t>
  </si>
  <si>
    <t>13303090359593</t>
  </si>
  <si>
    <t>872015000113129</t>
  </si>
  <si>
    <t>87201500011273</t>
  </si>
  <si>
    <t>TS: 1. DO: BAQMMA006426; IMPORTACIÓN: BAQMMA006426; DECLARACIÓN: 1; PEDIDO: VELAS GUANGZHO</t>
  </si>
  <si>
    <t>575006156113</t>
  </si>
  <si>
    <t>TMS15040111</t>
  </si>
  <si>
    <t>I15-0517</t>
  </si>
  <si>
    <t>13303090359579</t>
  </si>
  <si>
    <t>872015000112999</t>
  </si>
  <si>
    <t>9503004000</t>
  </si>
  <si>
    <t>Rompecabezas de cualquier clase.</t>
  </si>
  <si>
    <t>TS: 5. DO: BAQMMA007246; IMPORTACIÓN: BAQMMA007246; DECLARACIÓN: 5; PEDIDO: CORSON 2015-01</t>
  </si>
  <si>
    <t>13303090359561</t>
  </si>
  <si>
    <t>872015000112998</t>
  </si>
  <si>
    <t>9503009300</t>
  </si>
  <si>
    <t>Los demás juguetes que representen animales o seres no humanos.</t>
  </si>
  <si>
    <t>TS: 5. DO: BAQMMA007246; IMPORTACIÓN: BAQMMA007246; DECLARACIÓN: 4; PEDIDO: CORSON 2015-01</t>
  </si>
  <si>
    <t>13303090359547</t>
  </si>
  <si>
    <t>872015000112995</t>
  </si>
  <si>
    <t>9503009400</t>
  </si>
  <si>
    <t>Los demás juguetes, instrumentos y aparatos, de música</t>
  </si>
  <si>
    <t>TS: 5. DO: BAQMMA007246; IMPORTACIÓN: BAQMMA007246; DECLARACIÓN: 2; PEDIDO: CORSON 2015-01</t>
  </si>
  <si>
    <t>13303090359554</t>
  </si>
  <si>
    <t>872015000112997</t>
  </si>
  <si>
    <t>9503009500</t>
  </si>
  <si>
    <t>Los demás juguetes presentados en juegos o surtidos o en panoplias.</t>
  </si>
  <si>
    <t>TS: 5. DO: BAQMMA007246; IMPORTACIÓN: BAQMMA007246; DECLARACIÓN: 3; PEDIDO: CORSON 2015-01</t>
  </si>
  <si>
    <t>13303090359531</t>
  </si>
  <si>
    <t>872015000112991</t>
  </si>
  <si>
    <t>06203020825873</t>
  </si>
  <si>
    <t>872015000115483</t>
  </si>
  <si>
    <t>TS: 1. DO: BAQMMA008108; IMPORTACIÓN: BAQMMA008108; DECLARACIÓN: 1; PEDIDO: LATEX 2015-23.</t>
  </si>
  <si>
    <t>575006193955</t>
  </si>
  <si>
    <t>EGLV761500010079</t>
  </si>
  <si>
    <t>20150619</t>
  </si>
  <si>
    <t>J 4942</t>
  </si>
  <si>
    <t>06203020824741</t>
  </si>
  <si>
    <t>872015000114917</t>
  </si>
  <si>
    <t>TS: 1. DO: BAQMMA008196; IMPORTACIÓN: BAQMMA008196; DECLARACIÓN: 1; PEDIDO: IMERY DIATOMIT</t>
  </si>
  <si>
    <t>SACO</t>
  </si>
  <si>
    <t>575006191980</t>
  </si>
  <si>
    <t>SMLU4083765A</t>
  </si>
  <si>
    <t>I 0000014735</t>
  </si>
  <si>
    <t>06203020826549</t>
  </si>
  <si>
    <t>872015000115558</t>
  </si>
  <si>
    <t>TS: 1. DO: BAQMMA008222; IMPORTACIÓN: BAQMMA008222; DECLARACIÓN: 1; PEDIDO: DALI PHENIX 20</t>
  </si>
  <si>
    <t>575006191371</t>
  </si>
  <si>
    <t>20150618</t>
  </si>
  <si>
    <t>GUX150506685</t>
  </si>
  <si>
    <t>DPH15-016</t>
  </si>
  <si>
    <t>06203020826975</t>
  </si>
  <si>
    <t>872015000116195</t>
  </si>
  <si>
    <t>TS: 2. DO: BAQMMA008191; IMPORTACIÓN: BAQMMA008191; DECLARACIÓN: 1; PEDIDO: FLINT GROUP 20</t>
  </si>
  <si>
    <t>H-EXP-SEA159</t>
  </si>
  <si>
    <t>20150622</t>
  </si>
  <si>
    <t>15278073</t>
  </si>
  <si>
    <t>06203020826982</t>
  </si>
  <si>
    <t>872015000116196</t>
  </si>
  <si>
    <t>TS: 2. DO: BAQMMA008191; IMPORTACIÓN: BAQMMA008191; DECLARACIÓN: 2; PEDIDO: FLINT GROUP 20</t>
  </si>
  <si>
    <t>13303090360071</t>
  </si>
  <si>
    <t>872015000118105</t>
  </si>
  <si>
    <t>TS: 1. DO: BAQMMA008413; IMPORTACIÓN: BAQMMA008413; DECLARACIÓN: 1; PEDIDO: LATEX 2015-24.</t>
  </si>
  <si>
    <t>575006204274</t>
  </si>
  <si>
    <t>EGLV761500010494</t>
  </si>
  <si>
    <t>20150624</t>
  </si>
  <si>
    <t>J 4958</t>
  </si>
  <si>
    <t>20150615</t>
  </si>
  <si>
    <t>13303090361474</t>
  </si>
  <si>
    <t>872015000123105</t>
  </si>
  <si>
    <t>TS: 1. DO: BAQMMA008909; IMPORTACIÓN: BAQMMA008909; DECLARACIÓN: 1; PEDIDO: LATEX 2015-25.</t>
  </si>
  <si>
    <t>20150702</t>
  </si>
  <si>
    <t>J 4970</t>
  </si>
  <si>
    <t>13303090361467</t>
  </si>
  <si>
    <t>872015000123115</t>
  </si>
  <si>
    <t>TS: 1. DO: BAQMMA007496; IMPORTACIÓN: BAQMMA007496; DECLARACIÓN: 1; PEDIDO: FUJIAN KUNCAI</t>
  </si>
  <si>
    <t>575006222324</t>
  </si>
  <si>
    <t>20150630</t>
  </si>
  <si>
    <t>EGLV148500093807</t>
  </si>
  <si>
    <t>15FP0447</t>
  </si>
  <si>
    <t>13303090361481</t>
  </si>
  <si>
    <t>872015000123093</t>
  </si>
  <si>
    <t>TS: 1. DO: BAQMMA008238; IMPORTACIÓN: BAQMMA008238; DECLARACIÓN: 1; PEDIDO: S J 2015-02. (</t>
  </si>
  <si>
    <t>575006213983</t>
  </si>
  <si>
    <t>20150626</t>
  </si>
  <si>
    <t>HLTDG629183</t>
  </si>
  <si>
    <t>DY1540718</t>
  </si>
  <si>
    <t>1330309036278</t>
  </si>
  <si>
    <t>872015000128417</t>
  </si>
  <si>
    <t>TS: 1. DO: BAQMMA009375; IMPORTACIÓN: BAQMMA009375; DECLARACIÓN: 1; PEDIDO: CORSON 2015-02</t>
  </si>
  <si>
    <t>HONG KONG</t>
  </si>
  <si>
    <t>HKGAS1501189</t>
  </si>
  <si>
    <t>20150710</t>
  </si>
  <si>
    <t>0053</t>
  </si>
  <si>
    <t>20150601</t>
  </si>
  <si>
    <t>13303090362891</t>
  </si>
  <si>
    <t>872015000129678</t>
  </si>
  <si>
    <t>TS: 1. DO: BAQMMA009042; IMPORTACIÓN: BAQMMA009042; DECLARACIÓN: 1; PEDIDO: LATEX 2015- 26</t>
  </si>
  <si>
    <t>575006242371</t>
  </si>
  <si>
    <t>APLU906155193</t>
  </si>
  <si>
    <t>20150713</t>
  </si>
  <si>
    <t>20150623</t>
  </si>
  <si>
    <t>13303090362901</t>
  </si>
  <si>
    <t>872015000129598</t>
  </si>
  <si>
    <t>TS: 1. DO: BAQMMA009343; IMPORTACIÓN: BAQMMA009343; DECLARACIÓN: 1; PEDIDO: LATEX 2015-28.</t>
  </si>
  <si>
    <t>575006245407</t>
  </si>
  <si>
    <t>EGLV761500011628</t>
  </si>
  <si>
    <t>J 4994</t>
  </si>
  <si>
    <t>13303090362917</t>
  </si>
  <si>
    <t>872015000129660</t>
  </si>
  <si>
    <t>TS: 1. DO: BAQMMA009340; IMPORTACIÓN: BAQMMA009340; DECLARACIÓN: 1; PEDIDO: LATEX 2015-27.</t>
  </si>
  <si>
    <t>EGLV761500011610</t>
  </si>
  <si>
    <t>J 4993</t>
  </si>
  <si>
    <t>06203020857581</t>
  </si>
  <si>
    <t>872015000130574</t>
  </si>
  <si>
    <t>87201500012984</t>
  </si>
  <si>
    <t>TS: 10. DO: BAQMMA008860; IMPORTACIÓN: BAQMMA008860; DECLARACIÓN: 3; PEDIDO: GUANGDONG 201</t>
  </si>
  <si>
    <t>86238911989</t>
  </si>
  <si>
    <t>575006228197</t>
  </si>
  <si>
    <t>20150704</t>
  </si>
  <si>
    <t>HLTDG631011</t>
  </si>
  <si>
    <t>20150714</t>
  </si>
  <si>
    <t>15HFI-02051</t>
  </si>
  <si>
    <t>06203020857565</t>
  </si>
  <si>
    <t>872015000130570</t>
  </si>
  <si>
    <t>TS: 10. DO: BAQMMA008860; IMPORTACIÓN: BAQMMA008860; DECLARACIÓN: 1; PEDIDO: GUANGDONG 201</t>
  </si>
  <si>
    <t>06203020857637</t>
  </si>
  <si>
    <t>872015000130583</t>
  </si>
  <si>
    <t>87201500012988</t>
  </si>
  <si>
    <t>TS: 10. DO: BAQMMA008860; IMPORTACIÓN: BAQMMA008860; DECLARACIÓN: 9; PEDIDO: GUANGDONG 201</t>
  </si>
  <si>
    <t>06203020857597</t>
  </si>
  <si>
    <t>872015000130576</t>
  </si>
  <si>
    <t>87201500012986</t>
  </si>
  <si>
    <t>TS: 10. DO: BAQMMA008860; IMPORTACIÓN: BAQMMA008860; DECLARACIÓN: 4; PEDIDO: GUANGDONG 201</t>
  </si>
  <si>
    <t>06203020857621</t>
  </si>
  <si>
    <t>872015000130581</t>
  </si>
  <si>
    <t>87201500012987</t>
  </si>
  <si>
    <t>4819200000</t>
  </si>
  <si>
    <t>Cajas y cartonajes, plegables, de papel o cartón sin corrugar.</t>
  </si>
  <si>
    <t>TS: 10. DO: BAQMMA008860; IMPORTACIÓN: BAQMMA008860; DECLARACIÓN: 8; PEDIDO: GUANGDONG 201</t>
  </si>
  <si>
    <t>06203020857572</t>
  </si>
  <si>
    <t>872015000130573</t>
  </si>
  <si>
    <t>TS: 10. DO: BAQMMA008860; IMPORTACIÓN: BAQMMA008860; DECLARACIÓN: 2; PEDIDO: GUANGDONG 201</t>
  </si>
  <si>
    <t>06203020857605</t>
  </si>
  <si>
    <t>872015000130578</t>
  </si>
  <si>
    <t>TS: 10. DO: BAQMMA008860; IMPORTACIÓN: BAQMMA008860; DECLARACIÓN: 5; PEDIDO: GUANGDONG 201</t>
  </si>
  <si>
    <t>06203020857612</t>
  </si>
  <si>
    <t>872015000130580</t>
  </si>
  <si>
    <t>TS: 10. DO: BAQMMA008860; IMPORTACIÓN: BAQMMA008860; DECLARACIÓN: 6; PEDIDO: GUANGDONG 201</t>
  </si>
  <si>
    <t>13303090363391</t>
  </si>
  <si>
    <t>872015000130917</t>
  </si>
  <si>
    <t>TS: 1. DO: BAQMMA009659; IMPORTACIÓN: BAQMMA009659; DECLARACIÓN: 1; PEDIDO: SICHUAM LOMON</t>
  </si>
  <si>
    <t>LT 18222/15</t>
  </si>
  <si>
    <t>13303090363488</t>
  </si>
  <si>
    <t>872015000132047</t>
  </si>
  <si>
    <t>TS: 1. DO: BAQMMA009458; IMPORTACIÓN: BAQMMA009458; DECLARACIÓN: 1; PEDIDO: STERMANY 2015-</t>
  </si>
  <si>
    <t>20150716</t>
  </si>
  <si>
    <t>HTPI13856</t>
  </si>
  <si>
    <t>06201070502691</t>
  </si>
  <si>
    <t>872015000133117</t>
  </si>
  <si>
    <t>TS: 1. DO: BAQMMA009915; IMPORTACIÓN: BAQMMA009915; DECLARACIÓN: 1; PEDIDO: LATEX 2015-29.</t>
  </si>
  <si>
    <t>20150717</t>
  </si>
  <si>
    <t>J 5001</t>
  </si>
  <si>
    <t>20150707</t>
  </si>
  <si>
    <t>06203020861657</t>
  </si>
  <si>
    <t>872015000133456</t>
  </si>
  <si>
    <t>TS: 1. DO: BAQMMA009920; IMPORTACIÓN: BAQMMA009920; DECLARACIÓN: 1; PEDIDO: LATEX 2015-30.</t>
  </si>
  <si>
    <t>5008</t>
  </si>
  <si>
    <t>06203020867348</t>
  </si>
  <si>
    <t>872015000135377</t>
  </si>
  <si>
    <t>3920990000</t>
  </si>
  <si>
    <t>Placas, hojas, películas, bandas y láminas de los demás plásticos, sin reforzar ni estratificar ni combinar de forma similar con otras materias, sin soporte.</t>
  </si>
  <si>
    <t>TS: 1. DO: BAQMAE010086; IMPORTACIÓN: BAQMAE010086; DECLARACIÓN: 1; PEDIDO: FLORIDA FLEX 2</t>
  </si>
  <si>
    <t>FLORIDA FLEX PRINTING PRODUCTS</t>
  </si>
  <si>
    <t>HIALEAH</t>
  </si>
  <si>
    <t>2699 WEST 79 STREET, UNIT #1</t>
  </si>
  <si>
    <t>sales@floridaflex.com</t>
  </si>
  <si>
    <t>575006278469</t>
  </si>
  <si>
    <t>20150723</t>
  </si>
  <si>
    <t>MIA39705173</t>
  </si>
  <si>
    <t>20150722</t>
  </si>
  <si>
    <t>85345</t>
  </si>
  <si>
    <t>06203020867663</t>
  </si>
  <si>
    <t>872015000135945</t>
  </si>
  <si>
    <t>TS: 1. DO: BAQMMA010131; IMPORTACIÓN: BAQMMA010131; DECLARACIÓN: 1; PEDIDO: RUBBER SSYTEM</t>
  </si>
  <si>
    <t>575006273959</t>
  </si>
  <si>
    <t>20150721</t>
  </si>
  <si>
    <t>EGLV761500012721</t>
  </si>
  <si>
    <t>J 5010</t>
  </si>
  <si>
    <t>13303090364802</t>
  </si>
  <si>
    <t>872015000136473</t>
  </si>
  <si>
    <t>9503009910</t>
  </si>
  <si>
    <t>Globos de latex de caucho natural.</t>
  </si>
  <si>
    <t>TS: 1. DO: BAQMMA007156; IMPORTACIÓN: BAQMMA007156; DECLARACIÓN: 1; PEDIDO: HUBEI 2015-01.</t>
  </si>
  <si>
    <t>21592520</t>
  </si>
  <si>
    <t>HUBEI PROVINCIAL LIGHT INDUSTRIAL PRODUCTS IMP AND EXP CO LT</t>
  </si>
  <si>
    <t>HANKOU</t>
  </si>
  <si>
    <t>99 SHENG LI JIE HANKOU, CHINA</t>
  </si>
  <si>
    <t>862759201516</t>
  </si>
  <si>
    <t>575006217875</t>
  </si>
  <si>
    <t>JL14TJ1505055</t>
  </si>
  <si>
    <t>20150724</t>
  </si>
  <si>
    <t>VP151002</t>
  </si>
  <si>
    <t>06203020873207</t>
  </si>
  <si>
    <t>872015000134281</t>
  </si>
  <si>
    <t>TS: 1. DO: BAQMMA009166; IMPORTACIÓN: BAQMMA009166; DECLARACIÓN: 1; PEDIDO: THE ANDERSON 2</t>
  </si>
  <si>
    <t>21585754</t>
  </si>
  <si>
    <t>GXL12755</t>
  </si>
  <si>
    <t>SI1/28205511</t>
  </si>
  <si>
    <t>06203020873174</t>
  </si>
  <si>
    <t>872015000138035</t>
  </si>
  <si>
    <t>TS: 1. DO: BAQMMA009318; IMPORTACIÓN: BAQMMA009318; DECLARACIÓN: 1; PEDIDO: GUANGDONG DISN</t>
  </si>
  <si>
    <t>21590992</t>
  </si>
  <si>
    <t>20150727</t>
  </si>
  <si>
    <t>13303090365373</t>
  </si>
  <si>
    <t>872015000138623</t>
  </si>
  <si>
    <t>TS: 2. DO: BAQMMA008067; IMPORTACIÓN: BAQMMA008067; DECLARACIÓN: 1; PEDIDO: CORSON 2015-02</t>
  </si>
  <si>
    <t>21593581</t>
  </si>
  <si>
    <t>20150728</t>
  </si>
  <si>
    <t>1330309036538</t>
  </si>
  <si>
    <t>872015000138627</t>
  </si>
  <si>
    <t>9505100000</t>
  </si>
  <si>
    <t>Artículos para fiestas de navidad.</t>
  </si>
  <si>
    <t>TS: 2. DO: BAQMMA008067; IMPORTACIÓN: BAQMMA008067; DECLARACIÓN: 2; PEDIDO: CORSON 2015-02</t>
  </si>
  <si>
    <t>13303090365491</t>
  </si>
  <si>
    <t>872015000139128</t>
  </si>
  <si>
    <t>TS: 1. DO: BAQMAE010386; IMPORTACIÓN: BAQMAE010386; DECLARACIÓN: 1; PEDIDO: IMPORTACION ZH</t>
  </si>
  <si>
    <t>JPI1507123</t>
  </si>
  <si>
    <t>20150720</t>
  </si>
  <si>
    <t>13303090366199</t>
  </si>
  <si>
    <t>872015000140633</t>
  </si>
  <si>
    <t>TS: 1. DO: BAQMMA009319; IMPORTACIÓN: BAQMMA009319; DECLARACIÓN: 1; PEDIDO: GUANGDONG 2015</t>
  </si>
  <si>
    <t>21597257</t>
  </si>
  <si>
    <t>20150731</t>
  </si>
  <si>
    <t>06203010740171</t>
  </si>
  <si>
    <t>872015000167695</t>
  </si>
  <si>
    <t>TS: 1. DO: BAQMAE010389; IMPORTACIÓN: BAQMAE010389; DECLARACIÓN: 1; PEDIDO: HI FLOAT. (BAQ</t>
  </si>
  <si>
    <t>HI-FLOAT COMPANY, INC.</t>
  </si>
  <si>
    <t>575006317237</t>
  </si>
  <si>
    <t>20150808</t>
  </si>
  <si>
    <t>46740</t>
  </si>
  <si>
    <t>20150806</t>
  </si>
  <si>
    <t>16722</t>
  </si>
  <si>
    <t>06203010740162</t>
  </si>
  <si>
    <t>872015000167761</t>
  </si>
  <si>
    <t>TS: 1. DO: BAQMMA010662; IMPORTACIÓN: BAQMMA010662; DECLARACIÓN: 1; PEDIDO: LATEX 2015-31.</t>
  </si>
  <si>
    <t>575006306109</t>
  </si>
  <si>
    <t>20150804</t>
  </si>
  <si>
    <t>7910-0456-507.01</t>
  </si>
  <si>
    <t>J 5038</t>
  </si>
  <si>
    <t>06203010743063</t>
  </si>
  <si>
    <t>872015000168923</t>
  </si>
  <si>
    <t>TS: 7. DO: BAQMMA009461; IMPORTACIÓN: BAQMMA009461; DECLARACIÓN: 5; PEDIDO: GUANGDONG SLIQ</t>
  </si>
  <si>
    <t>HLTDG632558</t>
  </si>
  <si>
    <t>20150810</t>
  </si>
  <si>
    <t>15HFI-03045</t>
  </si>
  <si>
    <t>06203010743024</t>
  </si>
  <si>
    <t>872015000168887</t>
  </si>
  <si>
    <t>TS: 7. DO: BAQMMA009461; IMPORTACIÓN: BAQMMA009461; DECLARACIÓN: 1; PEDIDO: GUANGDONG SLIQ</t>
  </si>
  <si>
    <t>06203010743031</t>
  </si>
  <si>
    <t>872015000168889</t>
  </si>
  <si>
    <t>TS: 7. DO: BAQMMA009461; IMPORTACIÓN: BAQMMA009461; DECLARACIÓN: 2; PEDIDO: GUANGDONG SLIQ</t>
  </si>
  <si>
    <t>06203010743088</t>
  </si>
  <si>
    <t>872015000168941</t>
  </si>
  <si>
    <t>TS: 7. DO: BAQMMA009461; IMPORTACIÓN: BAQMMA009461; DECLARACIÓN: 7; PEDIDO: GUANGDONG SLIQ</t>
  </si>
  <si>
    <t>0620301074307</t>
  </si>
  <si>
    <t>872015000168939</t>
  </si>
  <si>
    <t>TS: 7. DO: BAQMMA009461; IMPORTACIÓN: BAQMMA009461; DECLARACIÓN: 6; PEDIDO: GUANGDONG SLIQ</t>
  </si>
  <si>
    <t>06203010743049</t>
  </si>
  <si>
    <t>872015000168892</t>
  </si>
  <si>
    <t>TS: 7. DO: BAQMMA009461; IMPORTACIÓN: BAQMMA009461; DECLARACIÓN: 3; PEDIDO: GUANGDONG SLIQ</t>
  </si>
  <si>
    <t>06203010743056</t>
  </si>
  <si>
    <t>872015000168894</t>
  </si>
  <si>
    <t>TS: 7. DO: BAQMMA009461; IMPORTACIÓN: BAQMMA009461; DECLARACIÓN: 4; PEDIDO: GUANGDONG SLIQ</t>
  </si>
  <si>
    <t>13303090367846</t>
  </si>
  <si>
    <t>872015000169868</t>
  </si>
  <si>
    <t>TS: 2. DO: BAQMMA009745; IMPORTACIÓN: BAQMMA009745; DECLARACIÓN: 2; PEDIDO: PUTIAN 2015-04</t>
  </si>
  <si>
    <t>20150811</t>
  </si>
  <si>
    <t>13303090367839</t>
  </si>
  <si>
    <t>872015000169867</t>
  </si>
  <si>
    <t>TS: 2. DO: BAQMMA009745; IMPORTACIÓN: BAQMMA009745; DECLARACIÓN: 1; PEDIDO: PUTIAN 2015-04</t>
  </si>
  <si>
    <t>13303090368504</t>
  </si>
  <si>
    <t>872015000171900</t>
  </si>
  <si>
    <t>TS: 1. DO: BAQMMA011233; IMPORTACIÓN: BAQMMA011233; DECLARACIÓN: 1; PEDIDO: RUBBER SSYTEM</t>
  </si>
  <si>
    <t>575006321081</t>
  </si>
  <si>
    <t>EGLV761500014562</t>
  </si>
  <si>
    <t>20150813</t>
  </si>
  <si>
    <t>J 5052</t>
  </si>
  <si>
    <t>20150803</t>
  </si>
  <si>
    <t>13303090368582</t>
  </si>
  <si>
    <t>872015000172166</t>
  </si>
  <si>
    <t>TS: 1. DO: BAQMMA010529; IMPORTACIÓN: BAQMMA010529; DECLARACIÓN: 1; PEDIDO: RUBBER SSYTEM</t>
  </si>
  <si>
    <t>575006320979</t>
  </si>
  <si>
    <t>APLU906155486</t>
  </si>
  <si>
    <t>20150814</t>
  </si>
  <si>
    <t>13303090368622</t>
  </si>
  <si>
    <t>872015000172251</t>
  </si>
  <si>
    <t>TS: 1. DO: BAQMMA009045; IMPORTACIÓN: BAQMMA009045; DECLARACIÓN: 1; PEDIDO: CORSON 2015-03</t>
  </si>
  <si>
    <t>21603349</t>
  </si>
  <si>
    <t>575006253150</t>
  </si>
  <si>
    <t>BAA506032102</t>
  </si>
  <si>
    <t>0054</t>
  </si>
  <si>
    <t>06203010755261</t>
  </si>
  <si>
    <t>872015000173818</t>
  </si>
  <si>
    <t>TS: 1. DO: BAQMMA009481; IMPORTACIÓN: BAQMMA009481; DECLARACIÓN: 1; PEDIDO: YONGKANG 2015-</t>
  </si>
  <si>
    <t>21602365</t>
  </si>
  <si>
    <t>575006267728</t>
  </si>
  <si>
    <t>NGX60112483</t>
  </si>
  <si>
    <t>20150815</t>
  </si>
  <si>
    <t>CSHG150619</t>
  </si>
  <si>
    <t>06203010755279</t>
  </si>
  <si>
    <t>872015000173823</t>
  </si>
  <si>
    <t>TS: 1. DO: BAQMMA009940; IMPORTACIÓN: BAQMMA009940; DECLARACIÓN: 1; PEDIDO: J COLOR CHEMIC</t>
  </si>
  <si>
    <t>JPI1505082</t>
  </si>
  <si>
    <t>13303090368679</t>
  </si>
  <si>
    <t>872015000173543</t>
  </si>
  <si>
    <t>TS: 1. DO: BAQMMA011232; IMPORTACIÓN: BAQMMA011232; DECLARACIÓN: 1; PEDIDO: TEXTILE RUBBER</t>
  </si>
  <si>
    <t>DFBAQ1963857</t>
  </si>
  <si>
    <t>90049063</t>
  </si>
  <si>
    <t>13303090368758</t>
  </si>
  <si>
    <t>872015000174331</t>
  </si>
  <si>
    <t>TS: 3. DO: BAQMMA009965; IMPORTACIÓN: BAQMMA009965; DECLARACIÓN: 1; PEDIDO: GUANGDONG SLIQ</t>
  </si>
  <si>
    <t>575006287315</t>
  </si>
  <si>
    <t>HLTDG632949</t>
  </si>
  <si>
    <t>20150818</t>
  </si>
  <si>
    <t>15HFI-03046</t>
  </si>
  <si>
    <t>13303090368765</t>
  </si>
  <si>
    <t>872015000174332</t>
  </si>
  <si>
    <t>TS: 3. DO: BAQMMA009965; IMPORTACIÓN: BAQMMA009965; DECLARACIÓN: 2; PEDIDO: GUANGDONG SLIQ</t>
  </si>
  <si>
    <t>13303090368772</t>
  </si>
  <si>
    <t>872015000174333</t>
  </si>
  <si>
    <t>TS: 3. DO: BAQMMA009965; IMPORTACIÓN: BAQMMA009965; DECLARACIÓN: 3; PEDIDO: GUANGDONG SLIQ</t>
  </si>
  <si>
    <t>13303090368661</t>
  </si>
  <si>
    <t>872015000173556</t>
  </si>
  <si>
    <t>TS: 1. DO: BAQMAE010965; IMPORTACIÓN: BAQMAE010965; DECLARACIÓN: 1; PEDIDO: PREMIUN ORDER</t>
  </si>
  <si>
    <t>PREMIUM BALLOON ACCESSORIES</t>
  </si>
  <si>
    <t>575006334041</t>
  </si>
  <si>
    <t>46800</t>
  </si>
  <si>
    <t>41812</t>
  </si>
  <si>
    <t>13303090368821</t>
  </si>
  <si>
    <t>872015000174433</t>
  </si>
  <si>
    <t>8481100000</t>
  </si>
  <si>
    <t>Válvulas reductoras de presión para tuberias, calderas, depósitos, cubas y continentes similares.</t>
  </si>
  <si>
    <t>TS: 1. DO: BAQMAE010967; IMPORTACIÓN: BAQMAE010967; DECLARACIÓN: 1; PEDIDO: PREMIUN BALLOO</t>
  </si>
  <si>
    <t>ZEPHYR SOLUTIONS INC</t>
  </si>
  <si>
    <t>OHIO</t>
  </si>
  <si>
    <t>1050 LEAR INDUSTRIAL PARKWAY, BUILD</t>
  </si>
  <si>
    <t>4409374567</t>
  </si>
  <si>
    <t>46747</t>
  </si>
  <si>
    <t>07271506</t>
  </si>
  <si>
    <t>06203010758377</t>
  </si>
  <si>
    <t>872015000175673</t>
  </si>
  <si>
    <t>TS: 1. DO: BAQMMA011548; IMPORTACIÓN: BAQMMA011548; DECLARACIÓN: 1; PEDIDO: LATEX 2015-35.</t>
  </si>
  <si>
    <t>DEEP BLUE SHIP AGENCY SAS</t>
  </si>
  <si>
    <t>20150819</t>
  </si>
  <si>
    <t>J 5060</t>
  </si>
  <si>
    <t>13303090369416</t>
  </si>
  <si>
    <t>872015000176262</t>
  </si>
  <si>
    <t>TS: 1. DO: BAQMMA011614; IMPORTACIÓN: BAQMMA011614; DECLARACIÓN: 1; PEDIDO: LATEX 2015-36.</t>
  </si>
  <si>
    <t>575006337727</t>
  </si>
  <si>
    <t>APLU906155613</t>
  </si>
  <si>
    <t>20150820</t>
  </si>
  <si>
    <t>20150807</t>
  </si>
  <si>
    <t>13303090369193</t>
  </si>
  <si>
    <t>872015000175912</t>
  </si>
  <si>
    <t>TS: 1. DO: BAQMMA009464; IMPORTACIÓN: BAQMMA009464; DECLARACIÓN: 1; PEDIDO: GUANGDONG SLIQ</t>
  </si>
  <si>
    <t>21604057</t>
  </si>
  <si>
    <t>06203010762168</t>
  </si>
  <si>
    <t>872015000177537</t>
  </si>
  <si>
    <t>8543709010</t>
  </si>
  <si>
    <t>Bombillos con tecnología LED.</t>
  </si>
  <si>
    <t>TS: 1. DO: BAQMAE010952; IMPORTACIÓN: BAQMAE010952; DECLARACIÓN: 1; PEDIDO: JUPITER (LUCES</t>
  </si>
  <si>
    <t>DINAMARCA</t>
  </si>
  <si>
    <t>JUPITER LIGHT A/S</t>
  </si>
  <si>
    <t>NORDHAVN, COPENHAGUE</t>
  </si>
  <si>
    <t>TRLLEBORGGADE 15 2150 NORDHAVN</t>
  </si>
  <si>
    <t>35261118</t>
  </si>
  <si>
    <t>575006347216</t>
  </si>
  <si>
    <t>HKG10126734</t>
  </si>
  <si>
    <t>20150821</t>
  </si>
  <si>
    <t>CO 15102</t>
  </si>
  <si>
    <t>0620301076215</t>
  </si>
  <si>
    <t>872015000177582</t>
  </si>
  <si>
    <t>TS: 2. DO: BAQMMA011547; IMPORTACIÓN: BAQMMA011547; DECLARACIÓN: 2; PEDIDO: RUBER SYSTEM 2</t>
  </si>
  <si>
    <t>BÉLGICA</t>
  </si>
  <si>
    <t>575006341098</t>
  </si>
  <si>
    <t>SEAEXPJ12469</t>
  </si>
  <si>
    <t>19147</t>
  </si>
  <si>
    <t>20150708</t>
  </si>
  <si>
    <t>06203010762175</t>
  </si>
  <si>
    <t>872015000177552</t>
  </si>
  <si>
    <t>TS: 2. DO: BAQMMA011547; IMPORTACIÓN: BAQMMA011547; DECLARACIÓN: 1; PEDIDO: RUBER SYSTEM 2</t>
  </si>
  <si>
    <t>06203010765503</t>
  </si>
  <si>
    <t>872015000178519</t>
  </si>
  <si>
    <t>TS: 1. DO: BAQMMA009744; IMPORTACIÓN: BAQMMA009744; DECLARACIÓN: 1; PEDIDO: YIWU. (BAQLAUR</t>
  </si>
  <si>
    <t>21592252</t>
  </si>
  <si>
    <t>YIWU RUIBEISI WIGS (FACTORY)CO. LIMITED</t>
  </si>
  <si>
    <t>NO.5 SUHUA STREET YIBEI INDUSTRIAL</t>
  </si>
  <si>
    <t>15857975320</t>
  </si>
  <si>
    <t>NBRQ1506024507</t>
  </si>
  <si>
    <t>20150824</t>
  </si>
  <si>
    <t>RBS201506</t>
  </si>
  <si>
    <t>13303090370338</t>
  </si>
  <si>
    <t>872015000179706</t>
  </si>
  <si>
    <t>TS: 2. DO: BAQMMA011590; IMPORTACIÓN: BAQMMA011590; DECLARACIÓN: 2; PEDIDO: AIRGAS 2015-02</t>
  </si>
  <si>
    <t>AIRGAS USA, INC</t>
  </si>
  <si>
    <t>3055939488</t>
  </si>
  <si>
    <t>575006342666</t>
  </si>
  <si>
    <t>SMLU4191412A</t>
  </si>
  <si>
    <t>20150825</t>
  </si>
  <si>
    <t>9042249712</t>
  </si>
  <si>
    <t>06203010766486</t>
  </si>
  <si>
    <t>872015000179342</t>
  </si>
  <si>
    <t>TS: 1. DO: BAQMMA011702; IMPORTACIÓN: BAQMMA011702; DECLARACIÓN: 1; PEDIDO: LATEX 2015-37.</t>
  </si>
  <si>
    <t>575006346984</t>
  </si>
  <si>
    <t>APOPGT9537919A</t>
  </si>
  <si>
    <t>J 5065</t>
  </si>
  <si>
    <t>13303090370882</t>
  </si>
  <si>
    <t>872015000180586</t>
  </si>
  <si>
    <t>20150826</t>
  </si>
  <si>
    <t>06203010770729</t>
  </si>
  <si>
    <t>872015000181229</t>
  </si>
  <si>
    <t>TS: 2. DO: BAQMMA010974; IMPORTACIÓN: BAQMMA010974; DECLARACIÓN: 1; PEDIDO: GUANGDONG 2015</t>
  </si>
  <si>
    <t>HLTDG632952</t>
  </si>
  <si>
    <t>20150827</t>
  </si>
  <si>
    <t>15HFI-02052</t>
  </si>
  <si>
    <t>20150701</t>
  </si>
  <si>
    <t>06203010770711</t>
  </si>
  <si>
    <t>872015000181918</t>
  </si>
  <si>
    <t>TS: 1. DO: BAQMMA009966; IMPORTACIÓN: BAQMMA009966; DECLARACIÓN: 1; PEDIDO: GUANGDONG SLIQ</t>
  </si>
  <si>
    <t>21607114</t>
  </si>
  <si>
    <t>20150828</t>
  </si>
  <si>
    <t>06203010770736</t>
  </si>
  <si>
    <t>872015000181231</t>
  </si>
  <si>
    <t>TS: 2. DO: BAQMMA010974; IMPORTACIÓN: BAQMMA010974; DECLARACIÓN: 2; PEDIDO: GUANGDONG 2015</t>
  </si>
  <si>
    <t>13401011220183</t>
  </si>
  <si>
    <t>32015001241571</t>
  </si>
  <si>
    <t>8505200000</t>
  </si>
  <si>
    <t>Acoplamientos, embragues, variadores de velocidad y frenos, electromagnéticos.</t>
  </si>
  <si>
    <t>31509220 FACTURA V675381 2015/8/27 NOS ACOGEMOS AL DECRETO 4406/04, MERCANCIA NUEVA, REEMB</t>
  </si>
  <si>
    <t>KAMAN INDUSTRIAL TECHNOLOGIES CORP.</t>
  </si>
  <si>
    <t>LATHAM</t>
  </si>
  <si>
    <t>11920 CARRIER COURT LOUISVILLE, KY</t>
  </si>
  <si>
    <t>5857193232</t>
  </si>
  <si>
    <t>575006365795</t>
  </si>
  <si>
    <t>3691429383</t>
  </si>
  <si>
    <t>20150831</t>
  </si>
  <si>
    <t>V675381</t>
  </si>
  <si>
    <t>13303090371794</t>
  </si>
  <si>
    <t>872015000182703</t>
  </si>
  <si>
    <t>TS: 1. DO: BAQMMA011415; IMPORTACIÓN: BAQMMA011415; DECLARACIÓN: 1; PEDIDO: GUANGDONG 2015</t>
  </si>
  <si>
    <t>21610813</t>
  </si>
  <si>
    <t>06203010776617</t>
  </si>
  <si>
    <t>872015000185763</t>
  </si>
  <si>
    <t>TS: 1. DO: BAQMMA011709; IMPORTACIÓN: BAQMMA011709; DECLARACIÓN: 1; PEDIDO: RUBBER SYSTEM</t>
  </si>
  <si>
    <t>575006370878</t>
  </si>
  <si>
    <t>20150901</t>
  </si>
  <si>
    <t>7910-0456-508.01</t>
  </si>
  <si>
    <t>20150903</t>
  </si>
  <si>
    <t>J 5069</t>
  </si>
  <si>
    <t>06203010776601</t>
  </si>
  <si>
    <t>872015000185710</t>
  </si>
  <si>
    <t>2712909000</t>
  </si>
  <si>
    <t>Las demás ceras minerales y productos similares obtenidos por sintesis o por otros procedimientos, incluso coloreados.</t>
  </si>
  <si>
    <t>TS: 1. DO: BAQMMA012233; IMPORTACIÓN: BAQMMA012233; DECLARACIÓN: 1; PEDIDO: TEXTILE RUBBER</t>
  </si>
  <si>
    <t>575006369845</t>
  </si>
  <si>
    <t>DFBAQ1992285</t>
  </si>
  <si>
    <t>90051883</t>
  </si>
  <si>
    <t>06203010777131</t>
  </si>
  <si>
    <t>872015000185958</t>
  </si>
  <si>
    <t>TS: 1. DO: BAQMMA010532; IMPORTACIÓN: BAQMMA010532; DECLARACIÓN: 1; PEDIDO: GUANGDONG 2015</t>
  </si>
  <si>
    <t>21611396</t>
  </si>
  <si>
    <t>13303090372484</t>
  </si>
  <si>
    <t>872015000186329</t>
  </si>
  <si>
    <t>TS: 1. DO: BAQMMA011599; IMPORTACIÓN: BAQMMA011599; DECLARACIÓN: 1; PEDIDO: HOUSEWARE 2015</t>
  </si>
  <si>
    <t>LIBERIA</t>
  </si>
  <si>
    <t>NGX60115304</t>
  </si>
  <si>
    <t>20150904</t>
  </si>
  <si>
    <t>GS00896</t>
  </si>
  <si>
    <t>20150715</t>
  </si>
  <si>
    <t>06203020877439</t>
  </si>
  <si>
    <t>872015000187113</t>
  </si>
  <si>
    <t>TS: 1. DO: BAQMMA012231; IMPORTACIÓN: BAQMMA012231; DECLARACIÓN: 1; PEDIDO: MAOMING 2015-0</t>
  </si>
  <si>
    <t>20150905</t>
  </si>
  <si>
    <t>3S1505-1</t>
  </si>
  <si>
    <t>13303090372871</t>
  </si>
  <si>
    <t>872015000188285</t>
  </si>
  <si>
    <t>TS: 1. DO: BAQMMA012230; IMPORTACIÓN: BAQMMA012230; DECLARACIÓN: 1; PEDIDO: LATEX 2015-39.</t>
  </si>
  <si>
    <t>61GUA15</t>
  </si>
  <si>
    <t>20150907</t>
  </si>
  <si>
    <t>J 5080</t>
  </si>
  <si>
    <t>13303090372818</t>
  </si>
  <si>
    <t>872015000188426</t>
  </si>
  <si>
    <t>575006370964</t>
  </si>
  <si>
    <t>HGH131809</t>
  </si>
  <si>
    <t>20150908</t>
  </si>
  <si>
    <t>13303090372864</t>
  </si>
  <si>
    <t>872015000188288</t>
  </si>
  <si>
    <t>TS: 1. DO: BAQMMA012661; IMPORTACIÓN: BAQMMA012661; DECLARACIÓN: 1; PEDIDO: NEON J COLOR C</t>
  </si>
  <si>
    <t>575006385873</t>
  </si>
  <si>
    <t>SHX60117425</t>
  </si>
  <si>
    <t>JPI1505083</t>
  </si>
  <si>
    <t>06203020883978</t>
  </si>
  <si>
    <t>872015000190429</t>
  </si>
  <si>
    <t>TS: 1. DO: BAQMMA012879; IMPORTACIÓN: BAQMMA012879; DECLARACIÓN: 1; PEDIDO: LATEX 2015-41.</t>
  </si>
  <si>
    <t>575006386216</t>
  </si>
  <si>
    <t>EGLV761500016336</t>
  </si>
  <si>
    <t>20150910</t>
  </si>
  <si>
    <t>J 5100</t>
  </si>
  <si>
    <t>0620302088396</t>
  </si>
  <si>
    <t>872015000190485</t>
  </si>
  <si>
    <t>TS: 1. DO: BAQMMA010970; IMPORTACIÓN: BAQMMA010970; DECLARACIÓN: 1; PEDIDO: IMP ZHEJIANG 2</t>
  </si>
  <si>
    <t>21613570</t>
  </si>
  <si>
    <t>ZHEJIANG SHENGFENG ARTS &amp; CRAFTS CO.,LTD</t>
  </si>
  <si>
    <t>NO. 5-1 TONGHANG ROAD 2, HANGBU IND</t>
  </si>
  <si>
    <t>sfart@zj.com</t>
  </si>
  <si>
    <t>AC15NBBRR89049</t>
  </si>
  <si>
    <t>SF15063</t>
  </si>
  <si>
    <t>07328270832127</t>
  </si>
  <si>
    <t>32015001304438</t>
  </si>
  <si>
    <t>OTRAS NO-REEMBOLSABLES</t>
  </si>
  <si>
    <t>TS: 1. DO: BAQMAE012560; IMPORTACIÓN: BAQMAE012560; DECLARACIÓN: 1; PEDIDO: 4600002739. (B</t>
  </si>
  <si>
    <t>25370</t>
  </si>
  <si>
    <t>TRANSAEREO S.A S</t>
  </si>
  <si>
    <t>DISCHEM INTERNATIONAL, INC</t>
  </si>
  <si>
    <t>NORTH CANTON, OH</t>
  </si>
  <si>
    <t>4252 STRAUSSER ST. N.W. OH 44720</t>
  </si>
  <si>
    <t>DISCHEMINC@AOL.COM</t>
  </si>
  <si>
    <t>575006384843</t>
  </si>
  <si>
    <t>02377222051</t>
  </si>
  <si>
    <t>FEDERAL EXPRESS CORPORATION</t>
  </si>
  <si>
    <t>20150911</t>
  </si>
  <si>
    <t>2713</t>
  </si>
  <si>
    <t>IMPORTACIÓN QUE NO GENERA PAGO AL EXTERIOR</t>
  </si>
  <si>
    <t>13303090373389</t>
  </si>
  <si>
    <t>872015000191123</t>
  </si>
  <si>
    <t>TS: 1. DO: BAQMMA012659; IMPORTACIÓN: BAQMMA012659; DECLARACIÓN: 1; PEDIDO: LATEX 2015-40.</t>
  </si>
  <si>
    <t>575006386864</t>
  </si>
  <si>
    <t>J 5094</t>
  </si>
  <si>
    <t>13303090373862</t>
  </si>
  <si>
    <t>872015000193061</t>
  </si>
  <si>
    <t>TS: 8. DO: BAQMMA010979; IMPORTACIÓN: BAQMMA010979; DECLARACIÓN: 5; PEDIDO: GUANGDONG 2015</t>
  </si>
  <si>
    <t>575006354570</t>
  </si>
  <si>
    <t>HLTDG634058</t>
  </si>
  <si>
    <t>20150915</t>
  </si>
  <si>
    <t>15HFI-02053</t>
  </si>
  <si>
    <t>20150712</t>
  </si>
  <si>
    <t>13303090373823</t>
  </si>
  <si>
    <t>872015000193030</t>
  </si>
  <si>
    <t>TS: 8. DO: BAQMMA010979; IMPORTACIÓN: BAQMMA010979; DECLARACIÓN: 2; PEDIDO: GUANGDONG 2015</t>
  </si>
  <si>
    <t>13303090373894</t>
  </si>
  <si>
    <t>872015000193067</t>
  </si>
  <si>
    <t>TS: 8. DO: BAQMMA010979; IMPORTACIÓN: BAQMMA010979; DECLARACIÓN: 8; PEDIDO: GUANGDONG 2015</t>
  </si>
  <si>
    <t>13303090373816</t>
  </si>
  <si>
    <t>872015000193028</t>
  </si>
  <si>
    <t>TS: 8. DO: BAQMMA010979; IMPORTACIÓN: BAQMMA010979; DECLARACIÓN: 1; PEDIDO: GUANGDONG 2015</t>
  </si>
  <si>
    <t>13303090373855</t>
  </si>
  <si>
    <t>872015000193055</t>
  </si>
  <si>
    <t>TS: 8. DO: BAQMMA010979; IMPORTACIÓN: BAQMMA010979; DECLARACIÓN: 4; PEDIDO: GUANGDONG 2015</t>
  </si>
  <si>
    <t>13303090373887</t>
  </si>
  <si>
    <t>872015000193066</t>
  </si>
  <si>
    <t>TS: 8. DO: BAQMMA010979; IMPORTACIÓN: BAQMMA010979; DECLARACIÓN: 7; PEDIDO: GUANGDONG 2015</t>
  </si>
  <si>
    <t>1330309037383</t>
  </si>
  <si>
    <t>872015000193031</t>
  </si>
  <si>
    <t>TS: 8. DO: BAQMMA010979; IMPORTACIÓN: BAQMMA010979; DECLARACIÓN: 3; PEDIDO: GUANGDONG 2015</t>
  </si>
  <si>
    <t>13303090373871</t>
  </si>
  <si>
    <t>872015000193062</t>
  </si>
  <si>
    <t>TS: 8. DO: BAQMMA010979; IMPORTACIÓN: BAQMMA010979; DECLARACIÓN: 6; PEDIDO: GUANGDONG 2015</t>
  </si>
  <si>
    <t>06203020890011</t>
  </si>
  <si>
    <t>872015000193951</t>
  </si>
  <si>
    <t>LEGALIZACIÓN</t>
  </si>
  <si>
    <t>TS: 3. DO: BAQMMA012391; IMPORTACIÓN: BAQMMA012391; DECLARACIÓN: 2; PEDIDO: NINGBO JASON 2</t>
  </si>
  <si>
    <t>NINGBO ETDZ HOLDINGS LTD</t>
  </si>
  <si>
    <t>7-8/F YINHE OFFICE BUILDING, 35CHAN</t>
  </si>
  <si>
    <t>etdz@nbetdz.com</t>
  </si>
  <si>
    <t>HLTNB009022</t>
  </si>
  <si>
    <t>20150916</t>
  </si>
  <si>
    <t>TT15-4332</t>
  </si>
  <si>
    <t>20150703</t>
  </si>
  <si>
    <t>06203020890004</t>
  </si>
  <si>
    <t>872015000193944</t>
  </si>
  <si>
    <t>7117900000</t>
  </si>
  <si>
    <t>Los demás artículos de bisuteria.</t>
  </si>
  <si>
    <t>TS: 3. DO: BAQMMA012391; IMPORTACIÓN: BAQMMA012391; DECLARACIÓN: 1; PEDIDO: NINGBO JASON 2</t>
  </si>
  <si>
    <t>06203020893965</t>
  </si>
  <si>
    <t>872015000195959</t>
  </si>
  <si>
    <t>TS: 3. DO: BAQMMA012652; IMPORTACIÓN: BAQMMA012652; DECLARACIÓN: 3; PEDIDO: BORO 2015-04.</t>
  </si>
  <si>
    <t>575006402639</t>
  </si>
  <si>
    <t>HLTDG637393</t>
  </si>
  <si>
    <t>20150918</t>
  </si>
  <si>
    <t>BPI150811</t>
  </si>
  <si>
    <t>06203020893958</t>
  </si>
  <si>
    <t>872015000195958</t>
  </si>
  <si>
    <t>TS: 3. DO: BAQMMA012652; IMPORTACIÓN: BAQMMA012652; DECLARACIÓN: 2; PEDIDO: BORO 2015-04.</t>
  </si>
  <si>
    <t>BPI1501085</t>
  </si>
  <si>
    <t>06203020893933</t>
  </si>
  <si>
    <t>872015000195842</t>
  </si>
  <si>
    <t>TS: 1. DO: BAQMMA012764; IMPORTACIÓN: BAQMMA012764; DECLARACIÓN: 1; PEDIDO: SCHILL+SEILACH</t>
  </si>
  <si>
    <t>575006401884</t>
  </si>
  <si>
    <t>0020-0456-508.01</t>
  </si>
  <si>
    <t>2217094</t>
  </si>
  <si>
    <t>0620302089394</t>
  </si>
  <si>
    <t>872015000195957</t>
  </si>
  <si>
    <t>TS: 3. DO: BAQMMA012652; IMPORTACIÓN: BAQMMA012652; DECLARACIÓN: 1; PEDIDO: BORO 2015-04.</t>
  </si>
  <si>
    <t>06203020894734</t>
  </si>
  <si>
    <t>872015000196111</t>
  </si>
  <si>
    <t>TS: 2. DO: BAQMMA012662; IMPORTACIÓN: BAQMMA012662; DECLARACIÓN: 2; PEDIDO: COLORES NEON 2</t>
  </si>
  <si>
    <t>GXL12894</t>
  </si>
  <si>
    <t>20150919</t>
  </si>
  <si>
    <t>15279178</t>
  </si>
  <si>
    <t>06203020894741</t>
  </si>
  <si>
    <t>872015000196108</t>
  </si>
  <si>
    <t>TS: 2. DO: BAQMMA012662; IMPORTACIÓN: BAQMMA012662; DECLARACIÓN: 1; PEDIDO: COLORES NEON 2</t>
  </si>
  <si>
    <t>13303090375117</t>
  </si>
  <si>
    <t>872015000197470</t>
  </si>
  <si>
    <t>TS: 1. DO: BAQMMA012236; IMPORTACIÓN: BAQMMA012236; DECLARACIÓN: 1; PEDIDO: ROBINSON BROTH</t>
  </si>
  <si>
    <t>575006408337</t>
  </si>
  <si>
    <t>JB-1508-4017-01</t>
  </si>
  <si>
    <t>20150922</t>
  </si>
  <si>
    <t>55596</t>
  </si>
  <si>
    <t>13303090375045</t>
  </si>
  <si>
    <t>872015000196838</t>
  </si>
  <si>
    <t>OTRAS MODALIDADES</t>
  </si>
  <si>
    <t>87201500019407</t>
  </si>
  <si>
    <t>6215200000</t>
  </si>
  <si>
    <t>Corbatas y lazos similares, de fibras sintéticas o artificiales, excepto los de punto.</t>
  </si>
  <si>
    <t>TS: 3. DO: BAQMMA012391; IMPORTACIÓN: BAQMMA012391; DECLARACIÓN: 3; PEDIDO: NINGBO JASON 2</t>
  </si>
  <si>
    <t>20150921</t>
  </si>
  <si>
    <t>06203020897438</t>
  </si>
  <si>
    <t>872015000197714</t>
  </si>
  <si>
    <t>TS: 1. DO: BAQMMA012535; IMPORTACIÓN: BAQMMA012535; DECLARACIÓN: 1; PEDIDO: WUHAZ 2015-01.</t>
  </si>
  <si>
    <t>WUHAN ZHAO YUAN ARTS &amp; CRAFTS CO., LTD.</t>
  </si>
  <si>
    <t>DONGXIHU DISTRICT</t>
  </si>
  <si>
    <t>1176 KILOMETER, NO. 107 STATE TRUNK</t>
  </si>
  <si>
    <t>zhaoyuan@chinazhaoyuan.com</t>
  </si>
  <si>
    <t>575006401014</t>
  </si>
  <si>
    <t>NBRQ1507027603</t>
  </si>
  <si>
    <t>150033</t>
  </si>
  <si>
    <t>06203020897871</t>
  </si>
  <si>
    <t>872015000198517</t>
  </si>
  <si>
    <t>TS: 1. DO: BAQMMA013175; IMPORTACIÓN: BAQMMA013175; DECLARACIÓN: 1; PEDIDO: LATEX 2015-42.</t>
  </si>
  <si>
    <t>EGLV761500016328</t>
  </si>
  <si>
    <t>20150924</t>
  </si>
  <si>
    <t>J 5106</t>
  </si>
  <si>
    <t>20150902</t>
  </si>
  <si>
    <t>1330309037555</t>
  </si>
  <si>
    <t>872015000199219</t>
  </si>
  <si>
    <t>TS: 1. DO: BAQMAE011236; IMPORTACIÓN: BAQMAE011236; DECLARACIÓN: 1; PEDIDO: BETALLIC -2015</t>
  </si>
  <si>
    <t>21624782</t>
  </si>
  <si>
    <t>46799</t>
  </si>
  <si>
    <t>455725</t>
  </si>
  <si>
    <t>13303090375568</t>
  </si>
  <si>
    <t>872015000199237</t>
  </si>
  <si>
    <t>TS: 1. DO: BAQMMA010980; IMPORTACIÓN: BAQMMA010980; DECLARACIÓN: 1; PEDIDO: GUANGDONG 2015</t>
  </si>
  <si>
    <t>21623420</t>
  </si>
  <si>
    <t>13303090375701</t>
  </si>
  <si>
    <t>872015000200346</t>
  </si>
  <si>
    <t>TS: 2. DO: BAQMMA010977; IMPORTACIÓN: BAQMMA010977; DECLARACIÓN: 1; PEDIDO: GUANGDONG 2015</t>
  </si>
  <si>
    <t>21623858</t>
  </si>
  <si>
    <t>GLOBAL SHIPPING AGENCIES  SA</t>
  </si>
  <si>
    <t>20150925</t>
  </si>
  <si>
    <t>13303090375693</t>
  </si>
  <si>
    <t>872015000200367</t>
  </si>
  <si>
    <t>TS: 2. DO: BAQMMA010977; IMPORTACIÓN: BAQMMA010977; DECLARACIÓN: 2; PEDIDO: GUANGDONG 2015</t>
  </si>
  <si>
    <t>06203020903641</t>
  </si>
  <si>
    <t>872015000201676</t>
  </si>
  <si>
    <t>TS: 1. DO: BAQMMA013487; IMPORTACIÓN: BAQMMA013487; DECLARACIÓN: 1; PEDIDO: JUPITER 2015-0</t>
  </si>
  <si>
    <t>20150928</t>
  </si>
  <si>
    <t>CO 15103</t>
  </si>
  <si>
    <t>06203020906718</t>
  </si>
  <si>
    <t>872015000202921</t>
  </si>
  <si>
    <t>TS: 1. DO: BAQMAE013939; IMPORTACIÓN: BAQMAE013939; DECLARACIÓN: 1; PEDIDO: FLORIDA FLEX 2</t>
  </si>
  <si>
    <t>575006436549</t>
  </si>
  <si>
    <t>20151001</t>
  </si>
  <si>
    <t>47243</t>
  </si>
  <si>
    <t>20150930</t>
  </si>
  <si>
    <t>86951</t>
  </si>
  <si>
    <t>06203020906986</t>
  </si>
  <si>
    <t>872015000203181</t>
  </si>
  <si>
    <t>2526200000</t>
  </si>
  <si>
    <t>Esteatita natural triturada o pulverizada; talco.</t>
  </si>
  <si>
    <t>TS: 1. DO: BAQMMA013246; IMPORTACIÓN: BAQMMA013246; DECLARACIÓN: 1; PEDIDO: IMERY TALC 201</t>
  </si>
  <si>
    <t>IMERYS TALC AMERICA, INC.</t>
  </si>
  <si>
    <t>HOUSTON</t>
  </si>
  <si>
    <t>767 OLD YELLOWSTONE TRAIL THREE FOR</t>
  </si>
  <si>
    <t>IMERYSTALCAR@IMERYS.COM</t>
  </si>
  <si>
    <t>575006418159</t>
  </si>
  <si>
    <t>20150923</t>
  </si>
  <si>
    <t>0000000093</t>
  </si>
  <si>
    <t>0000207649</t>
  </si>
  <si>
    <t>1330309037681</t>
  </si>
  <si>
    <t>872015000204509</t>
  </si>
  <si>
    <t>TS: 2. DO: BAQMMA012878; IMPORTACIÓN: BAQMMA012878; DECLARACIÓN: 1; PEDIDO: NINGBO JASON 2</t>
  </si>
  <si>
    <t>21625932</t>
  </si>
  <si>
    <t>GLOBAL SHIPPING AGENCIES SA</t>
  </si>
  <si>
    <t>20151002</t>
  </si>
  <si>
    <t>13303090376828</t>
  </si>
  <si>
    <t>872015000204525</t>
  </si>
  <si>
    <t>TS: 2. DO: BAQMMA012878; IMPORTACIÓN: BAQMMA012878; DECLARACIÓN: 2; PEDIDO: NINGBO JASON 2</t>
  </si>
  <si>
    <t>06203020913076</t>
  </si>
  <si>
    <t>872015000205889</t>
  </si>
  <si>
    <t>TS: 2. DO: BAQMMA012768; IMPORTACIÓN: BAQMMA012768; DECLARACIÓN: 1; PEDIDO: GUANGZHOU 201</t>
  </si>
  <si>
    <t>575006433845</t>
  </si>
  <si>
    <t>AC15GZBRR90836</t>
  </si>
  <si>
    <t>20151005</t>
  </si>
  <si>
    <t>I150604</t>
  </si>
  <si>
    <t>06203020913083</t>
  </si>
  <si>
    <t>872015000205891</t>
  </si>
  <si>
    <t>TS: 2. DO: BAQMMA012768; IMPORTACIÓN: BAQMMA012768; DECLARACIÓN: 2; PEDIDO: GUANGZHOU 201</t>
  </si>
  <si>
    <t>GLOBAL SHIPPING AGENCIES S.A. -</t>
  </si>
  <si>
    <t>FR150821</t>
  </si>
  <si>
    <t>06203020914827</t>
  </si>
  <si>
    <t>872015000206191</t>
  </si>
  <si>
    <t>TS: 2. DO: BAQMMA013490; IMPORTACIÓN: BAQMMA013490; DECLARACIÓN: 1; PEDIDO: SHANTOU JIN YU</t>
  </si>
  <si>
    <t>HLTDG637152</t>
  </si>
  <si>
    <t>GLOBAL SHIPPING AGENCIES S.A</t>
  </si>
  <si>
    <t>20151006</t>
  </si>
  <si>
    <t>DY1540719</t>
  </si>
  <si>
    <t>06203020914834</t>
  </si>
  <si>
    <t>872015000206284</t>
  </si>
  <si>
    <t>TS: 2. DO: BAQMMA013490; IMPORTACIÓN: BAQMMA013490; DECLARACIÓN: 2; PEDIDO: SHANTOU JIN YU</t>
  </si>
  <si>
    <t>DY1540719.</t>
  </si>
  <si>
    <t>20150822</t>
  </si>
  <si>
    <t>13303090377492</t>
  </si>
  <si>
    <t>872015000206935</t>
  </si>
  <si>
    <t>TS: 2. DO: BAQMMA013402; IMPORTACIÓN: BAQMMA013402; DECLARACIÓN: 2; PEDIDO: GUANDONG 2015-</t>
  </si>
  <si>
    <t>21632297</t>
  </si>
  <si>
    <t>20151007</t>
  </si>
  <si>
    <t>15HFI-02053-01</t>
  </si>
  <si>
    <t>13303090377485</t>
  </si>
  <si>
    <t>872015000206928</t>
  </si>
  <si>
    <t>TS: 2. DO: BAQMMA013402; IMPORTACIÓN: BAQMMA013402; DECLARACIÓN: 1; PEDIDO: GUANDONG 2015-</t>
  </si>
  <si>
    <t>21632296</t>
  </si>
  <si>
    <t>06203020915674</t>
  </si>
  <si>
    <t>872015000207682</t>
  </si>
  <si>
    <t>TS: 1. DO: BAQMMA014254; IMPORTACIÓN: BAQMMA014254; DECLARACIÓN: 1; PEDIDO: RUBBER SYSTEM</t>
  </si>
  <si>
    <t>575006446281</t>
  </si>
  <si>
    <t>7910-0456-509.01</t>
  </si>
  <si>
    <t>20151008</t>
  </si>
  <si>
    <t>J 5146</t>
  </si>
  <si>
    <t>06203020920725</t>
  </si>
  <si>
    <t>872015000208952</t>
  </si>
  <si>
    <t>TS: 1. DO: BAQMMA014252; IMPORTACIÓN: BAQMMA014252; DECLARACIÓN: 1; PEDIDO: IMERY DIATOMIT</t>
  </si>
  <si>
    <t>575006449231</t>
  </si>
  <si>
    <t>SMLU4227443A</t>
  </si>
  <si>
    <t>20151010</t>
  </si>
  <si>
    <t>I0000016015</t>
  </si>
  <si>
    <t>13303090378713</t>
  </si>
  <si>
    <t>872015000211423</t>
  </si>
  <si>
    <t>TS: 1. DO: BAQMMA014447; IMPORTACIÓN: BAQMMA014447; DECLARACIÓN: 1; PEDIDO: NINGBO JASON 2</t>
  </si>
  <si>
    <t>20151014</t>
  </si>
  <si>
    <t>0620302092429</t>
  </si>
  <si>
    <t>872015000212317</t>
  </si>
  <si>
    <t>TS: 1. DO: BAQMMA011704; IMPORTACIÓN: BAQMMA011704; DECLARACIÓN: 1; PEDIDO: GUANGDONG 2015</t>
  </si>
  <si>
    <t>21631914</t>
  </si>
  <si>
    <t>20151015</t>
  </si>
  <si>
    <t>13303090378942</t>
  </si>
  <si>
    <t>872015000213332</t>
  </si>
  <si>
    <t>TS: 1. DO: BAQMMA014543; IMPORTACIÓN: BAQMMA014543; DECLARACIÓN: 1; PEDIDO: LATEX 2015-44.</t>
  </si>
  <si>
    <t>575006460504</t>
  </si>
  <si>
    <t>20151013</t>
  </si>
  <si>
    <t>GUAEXP15-096</t>
  </si>
  <si>
    <t>20151016</t>
  </si>
  <si>
    <t>J 5156</t>
  </si>
  <si>
    <t>13303090379141</t>
  </si>
  <si>
    <t>872015000210441</t>
  </si>
  <si>
    <t>TS: 1. DO: BAQMMA013452; IMPORTACIÓN: BAQMMA013452; DECLARACIÓN: 1; PEDIDO: NITRATO 2015-0</t>
  </si>
  <si>
    <t>21626309</t>
  </si>
  <si>
    <t>575006462786</t>
  </si>
  <si>
    <t>LGL-2321HBL</t>
  </si>
  <si>
    <t>SI1/28206357</t>
  </si>
  <si>
    <t>06203020925203</t>
  </si>
  <si>
    <t>872015000213460</t>
  </si>
  <si>
    <t>TS: 1. DO: BAQMMA013665; IMPORTACIÓN: BAQMMA013665; DECLARACIÓN: 1; PEDIDO: MAOMING 2015-0</t>
  </si>
  <si>
    <t>SZXAS1501415</t>
  </si>
  <si>
    <t>4S1507-1</t>
  </si>
  <si>
    <t>13303090379213</t>
  </si>
  <si>
    <t>872015000215167</t>
  </si>
  <si>
    <t>TS: 2. DO: BAQMMA014401; IMPORTACIÓN: BAQMMA014401; DECLARACIÓN: 1; PEDIDO: GUANGDONG 2015</t>
  </si>
  <si>
    <t>21636447</t>
  </si>
  <si>
    <t>575006463111</t>
  </si>
  <si>
    <t>HLTDG638016</t>
  </si>
  <si>
    <t>20151019</t>
  </si>
  <si>
    <t>15HFI-06193</t>
  </si>
  <si>
    <t>1330309037922</t>
  </si>
  <si>
    <t>872015000215224</t>
  </si>
  <si>
    <t>TS: 2. DO: BAQMMA014401; IMPORTACIÓN: BAQMMA014401; DECLARACIÓN: 2; PEDIDO: GUANGDONG 2015</t>
  </si>
  <si>
    <t>06203020927897</t>
  </si>
  <si>
    <t>872015000215757</t>
  </si>
  <si>
    <t>TS: 1. DO: BAQMMA013664; IMPORTACIÓN: BAQMMA013664; DECLARACIÓN: 1; PEDIDO: CHROMAFLO 2015</t>
  </si>
  <si>
    <t>BDP051799</t>
  </si>
  <si>
    <t>985222916</t>
  </si>
  <si>
    <t>13303090380049</t>
  </si>
  <si>
    <t>872015000218782</t>
  </si>
  <si>
    <t>TS: 1. DO: BAQMMA015071; IMPORTACIÓN: BAQMMA015071; DECLARACIÓN: 1; PEDIDO: RUBBER SYSTEM</t>
  </si>
  <si>
    <t>575006474612</t>
  </si>
  <si>
    <t>20151020</t>
  </si>
  <si>
    <t>GUAEXP15-097</t>
  </si>
  <si>
    <t>20151023</t>
  </si>
  <si>
    <t>J 5168</t>
  </si>
  <si>
    <t>06203020935951</t>
  </si>
  <si>
    <t>872015000220937</t>
  </si>
  <si>
    <t>TS: 1. DO: BAQMMA015225; IMPORTACIÓN: BAQMMA015225; DECLARACIÓN: 1; PEDIDO: LATEX 2015-46.</t>
  </si>
  <si>
    <t>575006491520</t>
  </si>
  <si>
    <t>20151027</t>
  </si>
  <si>
    <t>GUAEXP15-098</t>
  </si>
  <si>
    <t>20151026</t>
  </si>
  <si>
    <t>J 5175</t>
  </si>
  <si>
    <t>06203020934668</t>
  </si>
  <si>
    <t>872015000220418</t>
  </si>
  <si>
    <t>TS: 1. DO: BAQMMA014253; IMPORTACIÓN: BAQMMA014253; DECLARACIÓN: 1; PEDIDO: HOUSEWARE 2015</t>
  </si>
  <si>
    <t>575006483902</t>
  </si>
  <si>
    <t>DLNB15090597</t>
  </si>
  <si>
    <t>GS00927</t>
  </si>
  <si>
    <t>20150914</t>
  </si>
  <si>
    <t>06203020935967</t>
  </si>
  <si>
    <t>872015000220770</t>
  </si>
  <si>
    <t>TS: 1. DO: BAQMMA014544; IMPORTACIÓN: BAQMMA014544; DECLARACIÓN: 1; PEDIDO: TEXTILE RUBBER</t>
  </si>
  <si>
    <t>90056385</t>
  </si>
  <si>
    <t>13303090381165</t>
  </si>
  <si>
    <t>872015000225941</t>
  </si>
  <si>
    <t>19000101</t>
  </si>
  <si>
    <t>TS: 1. DO: BAQMMA014707; IMPORTACIÓN: BAQMMA014707; DECLARACIÓN: 1; PEDIDO: STERMANY. (BAQ</t>
  </si>
  <si>
    <t>OTROS</t>
  </si>
  <si>
    <t>575006478195</t>
  </si>
  <si>
    <t>20151021</t>
  </si>
  <si>
    <t>SZXAS1501490</t>
  </si>
  <si>
    <t>20151103</t>
  </si>
  <si>
    <t>HTPI13963</t>
  </si>
  <si>
    <t>06203010785803</t>
  </si>
  <si>
    <t>872015000226971</t>
  </si>
  <si>
    <t>575006493795</t>
  </si>
  <si>
    <t>20151028</t>
  </si>
  <si>
    <t>6321-0456-509.01</t>
  </si>
  <si>
    <t>20151104</t>
  </si>
  <si>
    <t>06203010788048</t>
  </si>
  <si>
    <t>872015000229091</t>
  </si>
  <si>
    <t>TS: 1. DO: BAQMMA014958; IMPORTACIÓN: BAQMMA014958; DECLARACIÓN: 1; PEDIDO: XIAJIN. (BAQVA</t>
  </si>
  <si>
    <t>GUANDAOLI VILLAGE, XIANGZHAOZHUANG</t>
  </si>
  <si>
    <t>575006491221</t>
  </si>
  <si>
    <t>NBRQ1508032705</t>
  </si>
  <si>
    <t>20151106</t>
  </si>
  <si>
    <t>06203010793668</t>
  </si>
  <si>
    <t>872015000232235</t>
  </si>
  <si>
    <t>TS: 1. DO: BAQMMA016075; IMPORTACIÓN: BAQMMA016075; DECLARACIÓN: 1; PEDIDO: LATEX 2015-47.</t>
  </si>
  <si>
    <t>575006525825</t>
  </si>
  <si>
    <t>20151110</t>
  </si>
  <si>
    <t>GUAEXP15-116</t>
  </si>
  <si>
    <t>20151111</t>
  </si>
  <si>
    <t>J 5201</t>
  </si>
  <si>
    <t>20151029</t>
  </si>
  <si>
    <t>13303090383193</t>
  </si>
  <si>
    <t>872015000233865</t>
  </si>
  <si>
    <t>TS: 1. DO: BAQMMA015785; IMPORTACIÓN: BAQMMA015785; DECLARACIÓN: 1; PEDIDO: HANGZHOU ENLI</t>
  </si>
  <si>
    <t>HANGZHOU ENLI PAPER PRODUCTS CO.,LTD.</t>
  </si>
  <si>
    <t>#18-3 FENGDU ROAD, FENGDU DEVELOPME</t>
  </si>
  <si>
    <t>hangzhouenli@gmail.com</t>
  </si>
  <si>
    <t>575006509005</t>
  </si>
  <si>
    <t>AC15NBBRR90896</t>
  </si>
  <si>
    <t>20151113</t>
  </si>
  <si>
    <t>15EL-IN586-58</t>
  </si>
  <si>
    <t>13303090382876</t>
  </si>
  <si>
    <t>872015000233257</t>
  </si>
  <si>
    <t>TS: 1. DO: BAQMAE016133; IMPORTACIÓN: BAQMAE016133; DECLARACIÓN: 1; PEDIDO: HI FLOAT. (BAQ</t>
  </si>
  <si>
    <t>575006532327</t>
  </si>
  <si>
    <t>20151112</t>
  </si>
  <si>
    <t>AXL20003752</t>
  </si>
  <si>
    <t>TAMPA - TRANSPORTES AEREOS MERCANTILES PANAMERICANOS S.A.</t>
  </si>
  <si>
    <t>16827</t>
  </si>
  <si>
    <t>20151105</t>
  </si>
  <si>
    <t>23825015554942</t>
  </si>
  <si>
    <t>872015000234581</t>
  </si>
  <si>
    <t>BANCO DE OCCIDENTE</t>
  </si>
  <si>
    <t>TS: 5. DO: BAQMMA015840; IMPORTACIÓN: BAQMMA015840; DECLARACIÓN: 4; PEDIDO: GUANDONG 2015-</t>
  </si>
  <si>
    <t>15HFI-07226</t>
  </si>
  <si>
    <t>20151018</t>
  </si>
  <si>
    <t>23825015554951</t>
  </si>
  <si>
    <t>872015000234580</t>
  </si>
  <si>
    <t>TS: 5. DO: BAQMMA015840; IMPORTACIÓN: BAQMMA015840; DECLARACIÓN: 3; PEDIDO: GUANDONG 2015-</t>
  </si>
  <si>
    <t>23825015554935</t>
  </si>
  <si>
    <t>872015000234585</t>
  </si>
  <si>
    <t>TS: 5. DO: BAQMMA015840; IMPORTACIÓN: BAQMMA015840; DECLARACIÓN: 5; PEDIDO: GUANDONG 2015-</t>
  </si>
  <si>
    <t>23825015554967</t>
  </si>
  <si>
    <t>872015000234563</t>
  </si>
  <si>
    <t>TS: 5. DO: BAQMMA015840; IMPORTACIÓN: BAQMMA015840; DECLARACIÓN: 1; PEDIDO: GUANDONG 2015-</t>
  </si>
  <si>
    <t>23825015554974</t>
  </si>
  <si>
    <t>872015000234575</t>
  </si>
  <si>
    <t>TS: 5. DO: BAQMMA015840; IMPORTACIÓN: BAQMMA015840; DECLARACIÓN: 2; PEDIDO: GUANDONG 2015-</t>
  </si>
  <si>
    <t>21651735</t>
  </si>
  <si>
    <t>06203010803369</t>
  </si>
  <si>
    <t>872015000238172</t>
  </si>
  <si>
    <t>TS: 1. DO: BAQMMA016520; IMPORTACIÓN: BAQMMA016520; DECLARACIÓN: 1; PEDIDO: LATEX 2015-48.</t>
  </si>
  <si>
    <t>20151120</t>
  </si>
  <si>
    <t>J 5208</t>
  </si>
  <si>
    <t>07477400086087</t>
  </si>
  <si>
    <t>20126090012894</t>
  </si>
  <si>
    <t>87201500022845</t>
  </si>
  <si>
    <t>SEMPERTEX DE COLOMBIA S.A.</t>
  </si>
  <si>
    <t>TS: 2. DO: BAQMMA015530: IMPORTACION: BAQMMA015530-L: DECLARACION: 2; PEDIDO: BODO 2015-04. (BAQSHEYLA); SE PRESENTA DEC</t>
  </si>
  <si>
    <t>2</t>
  </si>
  <si>
    <t>ARME S.A.</t>
  </si>
  <si>
    <t>INFO@BODO-EVERTS.COM</t>
  </si>
  <si>
    <t>116575006522</t>
  </si>
  <si>
    <t>SEAEXPJ13102</t>
  </si>
  <si>
    <t>FRONTIER AGENCIA MARITIMA - TRANSPORTADOR</t>
  </si>
  <si>
    <t>87201500001633</t>
  </si>
  <si>
    <t>20151119</t>
  </si>
  <si>
    <t>19191</t>
  </si>
  <si>
    <t>07477400086071</t>
  </si>
  <si>
    <t>20126090012892</t>
  </si>
  <si>
    <t>TS: 2. DO: BAQMMA015530; IMPORTACION; BAQMMA015530-L; DECLARACION: 1; PEDIDO: BODO 2015-04. (BAQSHEYLA). SE PRESENTA DEC</t>
  </si>
  <si>
    <t>87201500001632</t>
  </si>
  <si>
    <t>13303090384328</t>
  </si>
  <si>
    <t>872015000239879</t>
  </si>
  <si>
    <t>TS: 1. DO: BAQMMA016521; IMPORTACIÓN: BAQMMA016521; DECLARACIÓN: 1; PEDIDO: LATEX 2015-49.</t>
  </si>
  <si>
    <t>575006556192</t>
  </si>
  <si>
    <t>20151124</t>
  </si>
  <si>
    <t>GUAEXP15-128</t>
  </si>
  <si>
    <t>20151123</t>
  </si>
  <si>
    <t>J 5226</t>
  </si>
  <si>
    <t>06203010819885</t>
  </si>
  <si>
    <t>872015000248683</t>
  </si>
  <si>
    <t>TS: 1. DO: BAQMMA015317; IMPORTACIÓN: BAQMMA015317; DECLARACIÓN: 1; PEDIDO: YONGKANG 2015-</t>
  </si>
  <si>
    <t>21646955</t>
  </si>
  <si>
    <t>575006565515</t>
  </si>
  <si>
    <t>20151127</t>
  </si>
  <si>
    <t>EURFFB1592296BAQ</t>
  </si>
  <si>
    <t>20151202</t>
  </si>
  <si>
    <t>CSHG151010</t>
  </si>
  <si>
    <t>1330309038641-11</t>
  </si>
  <si>
    <t>872015000249484</t>
  </si>
  <si>
    <t>TS: 2. DO: BAQMMA017240; IMPORTACIÓN: BAQMMA017240; DECLARACIÓN: 1; PEDIDO: TEXTILE RUBBER</t>
  </si>
  <si>
    <t>GXL13034</t>
  </si>
  <si>
    <t>20151203</t>
  </si>
  <si>
    <t>90058910</t>
  </si>
  <si>
    <t>20151102</t>
  </si>
  <si>
    <t>13303090386428</t>
  </si>
  <si>
    <t>872015000249486</t>
  </si>
  <si>
    <t>TS: 2. DO: BAQMMA017240; IMPORTACIÓN: BAQMMA017240; DECLARACIÓN: 2; PEDIDO: TEXTILE RUBBER</t>
  </si>
  <si>
    <t>01996020595241</t>
  </si>
  <si>
    <t>872015000246153</t>
  </si>
  <si>
    <t>TS: 1. DO: BAQMMA016207; IMPORTACIÓN: BAQMMA016207; DECLARACIÓN: 1; PEDIDO: THE ANDERSON 2</t>
  </si>
  <si>
    <t>21659441</t>
  </si>
  <si>
    <t>575006559093</t>
  </si>
  <si>
    <t>20151125</t>
  </si>
  <si>
    <t>20151128</t>
  </si>
  <si>
    <t>SI1/28206796</t>
  </si>
  <si>
    <t>13303090386704</t>
  </si>
  <si>
    <t>872015000250047</t>
  </si>
  <si>
    <t>TS: 2. DO: BAQMMA017145; IMPORTACIÓN: BAQMMA017145; DECLARACIÓN: 2; PEDIDO: LATEX 2015-50.</t>
  </si>
  <si>
    <t>575006572436</t>
  </si>
  <si>
    <t>20151201</t>
  </si>
  <si>
    <t>GUAEXP15-134</t>
  </si>
  <si>
    <t>J 5244</t>
  </si>
  <si>
    <t>13303090386711</t>
  </si>
  <si>
    <t>872015000250045</t>
  </si>
  <si>
    <t>TS: 2. DO: BAQMMA017145; IMPORTACIÓN: BAQMMA017145; DECLARACIÓN: 1; PEDIDO: LATEX 2015-50.</t>
  </si>
  <si>
    <t>J 5245</t>
  </si>
  <si>
    <t>06203010826355</t>
  </si>
  <si>
    <t>872015000252189</t>
  </si>
  <si>
    <t>TS: 1. DO: BAQMMA017449; IMPORTACIÓN: BAQMMA017449; DECLARACIÓN: 1; PEDIDO: LATEX 2015-51.</t>
  </si>
  <si>
    <t>575006590098</t>
  </si>
  <si>
    <t>20151208</t>
  </si>
  <si>
    <t>GUAEXP15-135</t>
  </si>
  <si>
    <t>20151207</t>
  </si>
  <si>
    <t>J 5252</t>
  </si>
  <si>
    <t>06203010828297</t>
  </si>
  <si>
    <t>872015000253752</t>
  </si>
  <si>
    <t>TS: 2. DO: BAQMMA016892; IMPORTACIÓN: BAQMMA016892; DECLARACIÓN: 1; PEDIDO: PUTIAN 2015-05</t>
  </si>
  <si>
    <t>20151210</t>
  </si>
  <si>
    <t>06203010828305</t>
  </si>
  <si>
    <t>872015000253753</t>
  </si>
  <si>
    <t>TS: 2. DO: BAQMMA016892; IMPORTACIÓN: BAQMMA016892; DECLARACIÓN: 2; PEDIDO: PUTIAN 2015-05</t>
  </si>
  <si>
    <t>0620301083092-11</t>
  </si>
  <si>
    <t>872015000255141</t>
  </si>
  <si>
    <t>TS: 1. DO: BAQMMA017149; IMPORTACIÓN: BAQMMA017149; DECLARACIÓN: 1; PEDIDO: SHANTOU JINYUA</t>
  </si>
  <si>
    <t>575006593132</t>
  </si>
  <si>
    <t>20151209</t>
  </si>
  <si>
    <t>HLTDG641832</t>
  </si>
  <si>
    <t>20151211</t>
  </si>
  <si>
    <t>DY1540910</t>
  </si>
  <si>
    <t>20151031</t>
  </si>
  <si>
    <t>06203010831001</t>
  </si>
  <si>
    <t>872015000255242</t>
  </si>
  <si>
    <t>TS: 1. DO: BAQMMA017151; IMPORTACIÓN: BAQMMA017151; DECLARACIÓN: 1; PEDIDO: DALI PHENIX 20</t>
  </si>
  <si>
    <t>DPH15-057</t>
  </si>
  <si>
    <t>06203010832586</t>
  </si>
  <si>
    <t>872015000255655</t>
  </si>
  <si>
    <t>TS: 1. DO: BAQMMA017273; IMPORTACIÓN: BAQMMA017273; DECLARACIÓN: 1; PEDIDO: MAOMING. (BAQS</t>
  </si>
  <si>
    <t>20151212</t>
  </si>
  <si>
    <t>5S1509-1</t>
  </si>
  <si>
    <t>20151116</t>
  </si>
  <si>
    <t>13303090388718</t>
  </si>
  <si>
    <t>872015000257873</t>
  </si>
  <si>
    <t>TS: 1. DO: BAQMMA017869; IMPORTACIÓN: BAQMMA017869; DECLARACIÓN: 1; PEDIDO: LATEX 2015-52.</t>
  </si>
  <si>
    <t>20151216</t>
  </si>
  <si>
    <t>J 5266</t>
  </si>
  <si>
    <t>20151204</t>
  </si>
  <si>
    <t>CARTA DE CREDITO SOBRE EL EXTERIOR</t>
  </si>
  <si>
    <t>13303090390939</t>
  </si>
  <si>
    <t>872015000266949</t>
  </si>
  <si>
    <t>TS: 1. DO: BAQMMA017457; IMPORTACIÓN: BAQMMA017457; DECLARACIÓN: 1; PEDIDO: STERMANY 2015-</t>
  </si>
  <si>
    <t>575006623742</t>
  </si>
  <si>
    <t>20151223</t>
  </si>
  <si>
    <t>SWSZN15111458</t>
  </si>
  <si>
    <t>20151230</t>
  </si>
  <si>
    <t>HTPI14024</t>
  </si>
  <si>
    <t>Año de la Declaración Definitiva</t>
  </si>
  <si>
    <t>Mes de la declaración definitiva</t>
  </si>
  <si>
    <t>Dia de la Declaración Definitiva</t>
  </si>
  <si>
    <t>Fecha de Declaración de Exportación Definitiva</t>
  </si>
  <si>
    <t>Número de la declaración definitiva</t>
  </si>
  <si>
    <t>Número de declaración de exportación anterior</t>
  </si>
  <si>
    <t>Modalidad de importación</t>
  </si>
  <si>
    <t>Fecha De Declaración De Importación Anterior</t>
  </si>
  <si>
    <t>Número De Declaración De Importación Anterior</t>
  </si>
  <si>
    <t>Tipo De Datos</t>
  </si>
  <si>
    <t>Exportación en Tránsito</t>
  </si>
  <si>
    <t>Aduana De Embarque</t>
  </si>
  <si>
    <t>Código De Usuario</t>
  </si>
  <si>
    <t>NIT del exportador</t>
  </si>
  <si>
    <t>Razón social actual Exportador</t>
  </si>
  <si>
    <t>Municipio</t>
  </si>
  <si>
    <t>Clase de Exportación</t>
  </si>
  <si>
    <t>Dirección del Importador</t>
  </si>
  <si>
    <t>Número de artículos</t>
  </si>
  <si>
    <t>País de destino</t>
  </si>
  <si>
    <t>Ciudad Pais Destino</t>
  </si>
  <si>
    <t>Departamento Origen</t>
  </si>
  <si>
    <t>Departamento De Procedencia</t>
  </si>
  <si>
    <t>Lugar de salida</t>
  </si>
  <si>
    <t>Fecha de Embarque</t>
  </si>
  <si>
    <t>Número de Autorización de Embarque</t>
  </si>
  <si>
    <t>Código de embarque</t>
  </si>
  <si>
    <t>Nacionalidad del medio de transporte</t>
  </si>
  <si>
    <t>Regimen Exportacion</t>
  </si>
  <si>
    <t>Modalidad de exportación</t>
  </si>
  <si>
    <t>Certificado de Origen</t>
  </si>
  <si>
    <t>Sistemas Especiales</t>
  </si>
  <si>
    <t>Moneda de negociación</t>
  </si>
  <si>
    <t>Valor Agregado Nacional (VAN)</t>
  </si>
  <si>
    <t>Valor Flete</t>
  </si>
  <si>
    <t>Valor otros</t>
  </si>
  <si>
    <t>Continente Destino</t>
  </si>
  <si>
    <t>01</t>
  </si>
  <si>
    <t>05</t>
  </si>
  <si>
    <t>20150105</t>
  </si>
  <si>
    <t>6007577114800</t>
  </si>
  <si>
    <t>000</t>
  </si>
  <si>
    <t>NO REGISTRA</t>
  </si>
  <si>
    <t>DEFINITIVOS AL EMBARQUE</t>
  </si>
  <si>
    <t>SI</t>
  </si>
  <si>
    <t>SIA PROFESIONAL SA</t>
  </si>
  <si>
    <t>USUARIO OPERADOR DE ZONA FRANCA</t>
  </si>
  <si>
    <t>36</t>
  </si>
  <si>
    <t>BOGOTÁ, D.C.</t>
  </si>
  <si>
    <t>CL 25 G 100 26</t>
  </si>
  <si>
    <t>PRIVADO</t>
  </si>
  <si>
    <t>BRAVO LTD.</t>
  </si>
  <si>
    <t>620089, YEKATERINBURG, BASOVEI ST., BUILDING 52, FIRST FLOOR</t>
  </si>
  <si>
    <t>UNIDADES</t>
  </si>
  <si>
    <t>YEKATERINBURG</t>
  </si>
  <si>
    <t>201412</t>
  </si>
  <si>
    <t>6027580124197</t>
  </si>
  <si>
    <t>ÚNICO</t>
  </si>
  <si>
    <t>EXPORTACIONES DEFINITIVAS</t>
  </si>
  <si>
    <t>EXPORTACIÓN DEFINITIVA DE MERCANCÍAS DE FABRICACIÓN Ó PRODUCCIÓN NACIONAL</t>
  </si>
  <si>
    <t>NINGUNO</t>
  </si>
  <si>
    <t>NO</t>
  </si>
  <si>
    <t>Dólar de los Estados Unidos de América</t>
  </si>
  <si>
    <t>CON REINTEGRO</t>
  </si>
  <si>
    <t>6007577108300</t>
  </si>
  <si>
    <t>BALLON FANTASY GROUP S.R.L.</t>
  </si>
  <si>
    <t>VIA LAURENTINA KM. 26,500 00040 POMEZIA ITALY</t>
  </si>
  <si>
    <t>ITALIA</t>
  </si>
  <si>
    <t>POMEZIA</t>
  </si>
  <si>
    <t>6027579396579</t>
  </si>
  <si>
    <t>6007577108318</t>
  </si>
  <si>
    <t>6027579396665</t>
  </si>
  <si>
    <t>6007577139603</t>
  </si>
  <si>
    <t>BETALLIC L.L.C.</t>
  </si>
  <si>
    <t>2326 GRISSOM DRIVE SAIT LOUIS MISSOURI 63146</t>
  </si>
  <si>
    <t>SAINT LOUIS</t>
  </si>
  <si>
    <t>201501</t>
  </si>
  <si>
    <t>6027580485144</t>
  </si>
  <si>
    <t>SINGAPUR</t>
  </si>
  <si>
    <t>LAS DEMÁS EXPORTACIONES DEFINITIVAS NO INCLUIDAS EN LOS ÍTEMS ANTERIORES</t>
  </si>
  <si>
    <t>09</t>
  </si>
  <si>
    <t>6007577248666</t>
  </si>
  <si>
    <t>GLOBALPAK DE COSTA RICA M.V.S.A</t>
  </si>
  <si>
    <t>TIBAS, DEL ICE 100 NORTE Y 25 ESTE A MANO IZQUIERDA, BODEGA DEL FONDO CON PUERT</t>
  </si>
  <si>
    <t>COSTA RICA</t>
  </si>
  <si>
    <t>TIBAS-SAN</t>
  </si>
  <si>
    <t>6027580114264</t>
  </si>
  <si>
    <t>CHIPRE</t>
  </si>
  <si>
    <t>6007577248673</t>
  </si>
  <si>
    <t>6027580114709</t>
  </si>
  <si>
    <t>13</t>
  </si>
  <si>
    <t>6007576962301</t>
  </si>
  <si>
    <t>900209557</t>
  </si>
  <si>
    <t>AGENCIA DE ADUANAS MASTER BROKERS LIMITADA NIVEL 2</t>
  </si>
  <si>
    <t>CR 72 B 52 A 35</t>
  </si>
  <si>
    <t>2326 GRISSOM DRIVE SAINT LOUIS, MISSOURI 63146</t>
  </si>
  <si>
    <t>6027580467901</t>
  </si>
  <si>
    <t>6007577146674</t>
  </si>
  <si>
    <t>6027580714371</t>
  </si>
  <si>
    <t>6007577075691</t>
  </si>
  <si>
    <t>ERA BALON VE OYUNCAK SANAYI</t>
  </si>
  <si>
    <t>UZUN CARSI CADDESI. GORENLI HAN. 187/11 TAHTAKALE/EMINONU</t>
  </si>
  <si>
    <t>TURQUÍA</t>
  </si>
  <si>
    <t>ISTANBUL</t>
  </si>
  <si>
    <t>6027580713209</t>
  </si>
  <si>
    <t>COLOMBIA</t>
  </si>
  <si>
    <t>14</t>
  </si>
  <si>
    <t>6007577139610</t>
  </si>
  <si>
    <t>6027580485183</t>
  </si>
  <si>
    <t>17</t>
  </si>
  <si>
    <t>6007577610098</t>
  </si>
  <si>
    <t>ALPEN PRODUCTS PTY LTD</t>
  </si>
  <si>
    <t>PO BOX 469, DEE WHY NSW 2099</t>
  </si>
  <si>
    <t>Sidney</t>
  </si>
  <si>
    <t>6027580367821</t>
  </si>
  <si>
    <t>6007577610113</t>
  </si>
  <si>
    <t>6027580367869</t>
  </si>
  <si>
    <t>6007577287437</t>
  </si>
  <si>
    <t>AVALLOONS NV</t>
  </si>
  <si>
    <t>MIEENBROEKSTRAAT 43 3600 GENK</t>
  </si>
  <si>
    <t>GENK</t>
  </si>
  <si>
    <t>6027580484605</t>
  </si>
  <si>
    <t>MARSHALL ISLAS</t>
  </si>
  <si>
    <t>6007577344849</t>
  </si>
  <si>
    <t>TIB HEYNE &amp; Co Gmbh</t>
  </si>
  <si>
    <t>SPEICHER I, KOSUL-SMIDT-STR.8B 28217 BREMEN-GERMANY PO BOX 10 10 15 28010 BREME</t>
  </si>
  <si>
    <t>BREMEN</t>
  </si>
  <si>
    <t>6027580483607</t>
  </si>
  <si>
    <t>6007577344856</t>
  </si>
  <si>
    <t>6027580483646</t>
  </si>
  <si>
    <t>6007577363026</t>
  </si>
  <si>
    <t>SUZUKI LATEX INDUSTRY CO, LTD.</t>
  </si>
  <si>
    <t>1-9-1, NAKASE, MIHAMA-KU, CHIBA261-0023, JAPAN</t>
  </si>
  <si>
    <t>YOKOHAMA</t>
  </si>
  <si>
    <t>6027580678021</t>
  </si>
  <si>
    <t>ANTIGUA Y BARBUDA</t>
  </si>
  <si>
    <t>6007577478855</t>
  </si>
  <si>
    <t>DISTRIBUIDORA COTILLON SPA</t>
  </si>
  <si>
    <t>MEIGGS 39</t>
  </si>
  <si>
    <t>SANTIAGO</t>
  </si>
  <si>
    <t>6027580694493</t>
  </si>
  <si>
    <t>ALADI</t>
  </si>
  <si>
    <t>20</t>
  </si>
  <si>
    <t>6007577681532</t>
  </si>
  <si>
    <t>ALMACENES ESTUARDO SANCHEZ S.A.</t>
  </si>
  <si>
    <t>SUCRE 828 Y L DE GARAICOA</t>
  </si>
  <si>
    <t>GUAYAQUIL</t>
  </si>
  <si>
    <t>6027580953639</t>
  </si>
  <si>
    <t>CAN</t>
  </si>
  <si>
    <t>21</t>
  </si>
  <si>
    <t>6007577744294</t>
  </si>
  <si>
    <t>BRAVO LTD</t>
  </si>
  <si>
    <t>620089, YEKATERINBURG, BASOVEI ST. BUILDING 52, FIRST FLOOR</t>
  </si>
  <si>
    <t>6027581267399</t>
  </si>
  <si>
    <t>28</t>
  </si>
  <si>
    <t>6007577908889</t>
  </si>
  <si>
    <t>SUZUKI LATEX INDUSTRY CO. LTD</t>
  </si>
  <si>
    <t>1-9-1, NKASE, MIHAMA-KU CO. LTD. CHIBA261-0023</t>
  </si>
  <si>
    <t>TOKYO</t>
  </si>
  <si>
    <t>6027581540921</t>
  </si>
  <si>
    <t>6007577870123</t>
  </si>
  <si>
    <t>DISTRIBUIDORA G DE P</t>
  </si>
  <si>
    <t>CALLE 70 Y AVENIDA TERCERA SAN FRANCISCO</t>
  </si>
  <si>
    <t>6027581541310</t>
  </si>
  <si>
    <t>31</t>
  </si>
  <si>
    <t>6007578179403</t>
  </si>
  <si>
    <t>S.I.A. DHL EXPRESS COLOMBIA LTDA</t>
  </si>
  <si>
    <t>CR 106 15 A 25 MZ 9 BG 12 ET 2</t>
  </si>
  <si>
    <t>JUAN DIAZ</t>
  </si>
  <si>
    <t>LLANO BONITO, CALLE PRINCIPAL MULTISTORAGE GALERA 77 PANAMA</t>
  </si>
  <si>
    <t>6027581886318</t>
  </si>
  <si>
    <t>02</t>
  </si>
  <si>
    <t>20150201</t>
  </si>
  <si>
    <t>6007578258068</t>
  </si>
  <si>
    <t>6027580964316</t>
  </si>
  <si>
    <t>6007578258075</t>
  </si>
  <si>
    <t>6027580965608</t>
  </si>
  <si>
    <t>EXPORTACION TEMPORAL PARA PERFECCIONAMIENTO PASIVO</t>
  </si>
  <si>
    <t>SIN REINTEGRO</t>
  </si>
  <si>
    <t>6007578269702</t>
  </si>
  <si>
    <t>TEAMAIR BALLON SDN BHD</t>
  </si>
  <si>
    <t>36 37&amp; 37A JALAN E1 TAMAN MELAWATI, FASA 4 , ULU KELANG,53100 KUALA LUMPUR</t>
  </si>
  <si>
    <t>MALASIA</t>
  </si>
  <si>
    <t>KUALA LUMPUR</t>
  </si>
  <si>
    <t>6027581502708</t>
  </si>
  <si>
    <t>6007578450534</t>
  </si>
  <si>
    <t>SHANGAI TO WIN IMP Y EXP CO. LTD</t>
  </si>
  <si>
    <t>no.122 LANE 399 PU QUAN ROAD PU JIAN YI CHENG</t>
  </si>
  <si>
    <t>SHANGAI</t>
  </si>
  <si>
    <t>201502</t>
  </si>
  <si>
    <t>6027581515674</t>
  </si>
  <si>
    <t>SAN VICENTE Y LAS GRANADINAS</t>
  </si>
  <si>
    <t>6007578483367</t>
  </si>
  <si>
    <t>GRUPO LO SPRINCIPITOS CA</t>
  </si>
  <si>
    <t>AV FRANCISCO DE MIRANDA, LOS PALOS GRANDES EDIF, PARQUE CRISTAL, TORRE ESTE, PIS</t>
  </si>
  <si>
    <t>VENEZUELA</t>
  </si>
  <si>
    <t>CARACAS EL LLANITO</t>
  </si>
  <si>
    <t>6027582122980</t>
  </si>
  <si>
    <t>6007578371356</t>
  </si>
  <si>
    <t>SA BALLON &amp; PARTY CC</t>
  </si>
  <si>
    <t>60 NORFOLK ROAD</t>
  </si>
  <si>
    <t>SUDÁFRICA</t>
  </si>
  <si>
    <t>CARLSWSALD, MIDRAND</t>
  </si>
  <si>
    <t>6027581022402</t>
  </si>
  <si>
    <t>ÁFRICA</t>
  </si>
  <si>
    <t>6007578356247</t>
  </si>
  <si>
    <t>6027581871511</t>
  </si>
  <si>
    <t>6007578309113</t>
  </si>
  <si>
    <t>BLD ORIENTAL CO., LTD</t>
  </si>
  <si>
    <t>OSAKA-FU IZUMISANO-SHI AOI-CHO 4-6-45</t>
  </si>
  <si>
    <t>OSAKA</t>
  </si>
  <si>
    <t>6027581996949</t>
  </si>
  <si>
    <t>6007578424952</t>
  </si>
  <si>
    <t>BALLOON BARON SPECIALTIES</t>
  </si>
  <si>
    <t>BLK 9008 TAMPINES ST. 93 # 04-47 SINGAPORE 528843</t>
  </si>
  <si>
    <t>6027581994168</t>
  </si>
  <si>
    <t>6007578424961</t>
  </si>
  <si>
    <t>JUNG JEAN COMPANY</t>
  </si>
  <si>
    <t>#174-1 3/F MOOK-DONG, JOONGRANG</t>
  </si>
  <si>
    <t>SEOUL</t>
  </si>
  <si>
    <t>6027581999366</t>
  </si>
  <si>
    <t>11</t>
  </si>
  <si>
    <t>6007578682095</t>
  </si>
  <si>
    <t>TRANSIT TECHNOLOGY</t>
  </si>
  <si>
    <t>PANERIU 51, OFFICE 412, VILNIUS, LITHUANIA</t>
  </si>
  <si>
    <t>LITUANIA</t>
  </si>
  <si>
    <t>VILNIUS</t>
  </si>
  <si>
    <t>6027581976323</t>
  </si>
  <si>
    <t>6007578682103</t>
  </si>
  <si>
    <t>6027581976411</t>
  </si>
  <si>
    <t>6007578682128</t>
  </si>
  <si>
    <t>6027581976601</t>
  </si>
  <si>
    <t>12</t>
  </si>
  <si>
    <t>6007578718665</t>
  </si>
  <si>
    <t>6027581984701</t>
  </si>
  <si>
    <t>6007578718672</t>
  </si>
  <si>
    <t>6027581984765</t>
  </si>
  <si>
    <t>18</t>
  </si>
  <si>
    <t>6007578953080</t>
  </si>
  <si>
    <t>BWS INTERNATIONAL OY</t>
  </si>
  <si>
    <t>KORJAAMOTIE 9 49400 HAMINA</t>
  </si>
  <si>
    <t>HAMINA</t>
  </si>
  <si>
    <t>6027581972829</t>
  </si>
  <si>
    <t>6007578953098</t>
  </si>
  <si>
    <t>6027581972993</t>
  </si>
  <si>
    <t>6007578953106</t>
  </si>
  <si>
    <t>SOCIETE FINANCIERE POUR L´ETRANGER NV</t>
  </si>
  <si>
    <t>J. CARDIJNSTRAAT 18 B9420</t>
  </si>
  <si>
    <t>ERPE-MERE</t>
  </si>
  <si>
    <t>6027581979080</t>
  </si>
  <si>
    <t>20150221</t>
  </si>
  <si>
    <t>6007579058181</t>
  </si>
  <si>
    <t>NARANJA INC</t>
  </si>
  <si>
    <t>1-53-10-1E ITABASHI ITABASHI-KU TOKYO 173-0004</t>
  </si>
  <si>
    <t>6027582221487</t>
  </si>
  <si>
    <t>25</t>
  </si>
  <si>
    <t>20150225</t>
  </si>
  <si>
    <t>6007579227896</t>
  </si>
  <si>
    <t>6027582213392</t>
  </si>
  <si>
    <t>6007579227929</t>
  </si>
  <si>
    <t>BUTTERICKS LECO AB</t>
  </si>
  <si>
    <t>SUNE SAGARES VAG 4 310 38 SIMLANGSDALEN</t>
  </si>
  <si>
    <t>SUECIA</t>
  </si>
  <si>
    <t>6027582213511</t>
  </si>
  <si>
    <t>6007579227911</t>
  </si>
  <si>
    <t>6027582213489</t>
  </si>
  <si>
    <t>27</t>
  </si>
  <si>
    <t>6007579341867</t>
  </si>
  <si>
    <t>LIRAGRAM ESPAÑA</t>
  </si>
  <si>
    <t>C/RIO TER N 7 POLIGONO EL NOGAL 28110 ALGETE</t>
  </si>
  <si>
    <t>ESPAÑA</t>
  </si>
  <si>
    <t>ALGETE</t>
  </si>
  <si>
    <t>6027582774171</t>
  </si>
  <si>
    <t>03</t>
  </si>
  <si>
    <t>6007578834451</t>
  </si>
  <si>
    <t>PARAGUAY INVERSIONES S.A. (PARA-INVEST)</t>
  </si>
  <si>
    <t>AZARA 197 ESQ. YEGROS</t>
  </si>
  <si>
    <t>PARAGUAY</t>
  </si>
  <si>
    <t>ASUNCION</t>
  </si>
  <si>
    <t>6027582196788</t>
  </si>
  <si>
    <t>6007579327953</t>
  </si>
  <si>
    <t>#174-1 3/F MOOK-DONG, JOONGRANG-GU, SEOUL 131-848, KOREA</t>
  </si>
  <si>
    <t>6027582631887</t>
  </si>
  <si>
    <t>6007579327960</t>
  </si>
  <si>
    <t>6027582632878</t>
  </si>
  <si>
    <t>3923210000</t>
  </si>
  <si>
    <t>Sacos, bolsas y cucuruchos, de polímeros de etileno.</t>
  </si>
  <si>
    <t>6007578651276</t>
  </si>
  <si>
    <t>GLOOB PARTY SAC</t>
  </si>
  <si>
    <t>CALLE TEODORO CARDENAS 640 CERCADO DE LIMA</t>
  </si>
  <si>
    <t>PERÚ</t>
  </si>
  <si>
    <t>LIMA</t>
  </si>
  <si>
    <t>6027582079419</t>
  </si>
  <si>
    <t>6007578878515</t>
  </si>
  <si>
    <t>MATERIALES Y SOLUCIONES S.A. DE C.V.</t>
  </si>
  <si>
    <t>79 AV NORTE 507-3, ENTRE 7a Y 9a CALLE PONIENTE</t>
  </si>
  <si>
    <t>EL SALVADOR</t>
  </si>
  <si>
    <t>SAN SALVADOR</t>
  </si>
  <si>
    <t>6027582329951</t>
  </si>
  <si>
    <t>6007579452095</t>
  </si>
  <si>
    <t>201503</t>
  </si>
  <si>
    <t>6027582926448</t>
  </si>
  <si>
    <t>6007579403875</t>
  </si>
  <si>
    <t>6027582223247</t>
  </si>
  <si>
    <t>6007579403882</t>
  </si>
  <si>
    <t>6027582223286</t>
  </si>
  <si>
    <t>6007579403868</t>
  </si>
  <si>
    <t>6027582215351</t>
  </si>
  <si>
    <t>06</t>
  </si>
  <si>
    <t>6007579321352</t>
  </si>
  <si>
    <t>860061308</t>
  </si>
  <si>
    <t>AGENCIA DE ADUANAS PASAR LTDA NIVEL I</t>
  </si>
  <si>
    <t>CR 102 A 25 H 45 OF 206 BRR FONTIBON</t>
  </si>
  <si>
    <t>TIB HEYNE &amp; CO GMBH</t>
  </si>
  <si>
    <t>SPEICHER I, KONSUL-SMIDT-STR-8B 28217 BREMEN</t>
  </si>
  <si>
    <t>BREMERHAVEN</t>
  </si>
  <si>
    <t>6027582774227</t>
  </si>
  <si>
    <t>6007579657188</t>
  </si>
  <si>
    <t>C/ RIO TER NO 7 POLIGONO EL NOGAL 28110 ALGETE MADRID</t>
  </si>
  <si>
    <t>MADRID</t>
  </si>
  <si>
    <t>6027582686185</t>
  </si>
  <si>
    <t>6007579657170</t>
  </si>
  <si>
    <t>6027582685915</t>
  </si>
  <si>
    <t>4902909000</t>
  </si>
  <si>
    <t>Los demás diarios y públicaciones periodicas, impresos, incluso ilustrados o con publicidad.</t>
  </si>
  <si>
    <t>6007579685526</t>
  </si>
  <si>
    <t>#174-1-3/F MOOK-DONG,JOOGRANG-GU SEOUL 131-848, KOREA</t>
  </si>
  <si>
    <t>6027582697281</t>
  </si>
  <si>
    <t>6007579783239</t>
  </si>
  <si>
    <t>6007579761161</t>
  </si>
  <si>
    <t>DEFINITIVOS DESPUÉS DEL EMBARQUE</t>
  </si>
  <si>
    <t>PLASTENG INDUSTRIA E COMERCIO LTDA</t>
  </si>
  <si>
    <t>ESTRADA DOS ROMEIROS, 796 CHACARA DAS MOCAS CEP:06500-000</t>
  </si>
  <si>
    <t>SANTOS</t>
  </si>
  <si>
    <t>6027582892333</t>
  </si>
  <si>
    <t>6007579853750</t>
  </si>
  <si>
    <t>AEROTOP INTERNATIONAL CORP</t>
  </si>
  <si>
    <t>NO.10, ALLEY, LANE 70 SEC 2 ACADEMIA RD,15574</t>
  </si>
  <si>
    <t>TAIWÁN</t>
  </si>
  <si>
    <t>TAIPEI</t>
  </si>
  <si>
    <t>6027582981602</t>
  </si>
  <si>
    <t>6007579853768</t>
  </si>
  <si>
    <t>6027582981888</t>
  </si>
  <si>
    <t>6007579875455</t>
  </si>
  <si>
    <t>6027582987167</t>
  </si>
  <si>
    <t>6007579875462</t>
  </si>
  <si>
    <t>6027582987292</t>
  </si>
  <si>
    <t>6007579805715</t>
  </si>
  <si>
    <t>6027582690861</t>
  </si>
  <si>
    <t>MALTA</t>
  </si>
  <si>
    <t>6007579805722</t>
  </si>
  <si>
    <t>6027582695887</t>
  </si>
  <si>
    <t>19</t>
  </si>
  <si>
    <t>6007580090840</t>
  </si>
  <si>
    <t>FIVE STAR QUALITY PRODUCTS</t>
  </si>
  <si>
    <t>130 NEWTON ROAD,WETHERILL PARK 2164;SYDNEY NSW</t>
  </si>
  <si>
    <t>Sydney</t>
  </si>
  <si>
    <t>6027582696411</t>
  </si>
  <si>
    <t>LÍBANO</t>
  </si>
  <si>
    <t>6007580177913</t>
  </si>
  <si>
    <t>6027582695561</t>
  </si>
  <si>
    <t>6007580145669</t>
  </si>
  <si>
    <t>BLD ORIENTAL CO., LTD.</t>
  </si>
  <si>
    <t>6027583286517</t>
  </si>
  <si>
    <t>24</t>
  </si>
  <si>
    <t>6007579989502</t>
  </si>
  <si>
    <t>6027583420831</t>
  </si>
  <si>
    <t>6007580156242</t>
  </si>
  <si>
    <t>BALIONU KARALIAI</t>
  </si>
  <si>
    <t>PERKUNKIEMIO 19A, LT - 12120</t>
  </si>
  <si>
    <t>6027583528919</t>
  </si>
  <si>
    <t>6007579746994</t>
  </si>
  <si>
    <t>130 NEWTON ROAD, WETHERILL PARK 2164</t>
  </si>
  <si>
    <t>SYDNEY</t>
  </si>
  <si>
    <t>6027583033474</t>
  </si>
  <si>
    <t>CANADÁ</t>
  </si>
  <si>
    <t>6007579703526</t>
  </si>
  <si>
    <t>PARTY PIECES</t>
  </si>
  <si>
    <t>28 LIFFORD GARDENS, BALLINACURRA, LIMERICK</t>
  </si>
  <si>
    <t>IRLANDA</t>
  </si>
  <si>
    <t>SHANNON</t>
  </si>
  <si>
    <t>6027583081259</t>
  </si>
  <si>
    <t>6007579812983</t>
  </si>
  <si>
    <t>6027583157160</t>
  </si>
  <si>
    <t>6007579703519</t>
  </si>
  <si>
    <t>6027583081109</t>
  </si>
  <si>
    <t>6007580286571</t>
  </si>
  <si>
    <t>MISRAD HASIMHA / YAIR RONINSON</t>
  </si>
  <si>
    <t>9380782, ISRAEL. JERUSALEM</t>
  </si>
  <si>
    <t>ISRAEL</t>
  </si>
  <si>
    <t>JERUSALEM</t>
  </si>
  <si>
    <t>6027583440848</t>
  </si>
  <si>
    <t>6007580284038</t>
  </si>
  <si>
    <t>6027583443193</t>
  </si>
  <si>
    <t>20150327</t>
  </si>
  <si>
    <t>6007580406190</t>
  </si>
  <si>
    <t>6027583662381</t>
  </si>
  <si>
    <t>6007580406209</t>
  </si>
  <si>
    <t>6027583662951</t>
  </si>
  <si>
    <t>6007580406176</t>
  </si>
  <si>
    <t>6027583657100</t>
  </si>
  <si>
    <t>6007580406183</t>
  </si>
  <si>
    <t>6027583657268</t>
  </si>
  <si>
    <t>6007580286564</t>
  </si>
  <si>
    <t>6027583440522</t>
  </si>
  <si>
    <t>6007580355028</t>
  </si>
  <si>
    <t>6027583278991</t>
  </si>
  <si>
    <t>6007580355042</t>
  </si>
  <si>
    <t>6027583279121</t>
  </si>
  <si>
    <t>6007580355035</t>
  </si>
  <si>
    <t>6027583279019</t>
  </si>
  <si>
    <t>6007580394984</t>
  </si>
  <si>
    <t>6027583447773</t>
  </si>
  <si>
    <t>6007580394991</t>
  </si>
  <si>
    <t>6027583447838</t>
  </si>
  <si>
    <t>6007580395001</t>
  </si>
  <si>
    <t>6027583448456</t>
  </si>
  <si>
    <t>6007580395019</t>
  </si>
  <si>
    <t>6027583448804</t>
  </si>
  <si>
    <t>6007580588901</t>
  </si>
  <si>
    <t>6027582988316</t>
  </si>
  <si>
    <t>6007580588956</t>
  </si>
  <si>
    <t>6027583273589</t>
  </si>
  <si>
    <t>6007580588963</t>
  </si>
  <si>
    <t>6027583274096</t>
  </si>
  <si>
    <t>04</t>
  </si>
  <si>
    <t>6007580625538</t>
  </si>
  <si>
    <t>6027584160515</t>
  </si>
  <si>
    <t>10</t>
  </si>
  <si>
    <t>20150410</t>
  </si>
  <si>
    <t>6007580667604</t>
  </si>
  <si>
    <t>SUR TRADING INTERNACIONAL S.A.</t>
  </si>
  <si>
    <t>ZONA LIBRE DE COLON</t>
  </si>
  <si>
    <t>201504</t>
  </si>
  <si>
    <t>6027583773418</t>
  </si>
  <si>
    <t>6007580667596</t>
  </si>
  <si>
    <t>6027583772309</t>
  </si>
  <si>
    <t>16</t>
  </si>
  <si>
    <t>6007581153247</t>
  </si>
  <si>
    <t>6027583765165</t>
  </si>
  <si>
    <t>6007581153231</t>
  </si>
  <si>
    <t>6027583763223</t>
  </si>
  <si>
    <t>20150417</t>
  </si>
  <si>
    <t>6007581251196</t>
  </si>
  <si>
    <t>ROCK SPRING TRADING</t>
  </si>
  <si>
    <t>P.O. BOX 5564 RIYADH 11432</t>
  </si>
  <si>
    <t>ARABIA SAUDITA</t>
  </si>
  <si>
    <t>RIYADH</t>
  </si>
  <si>
    <t>6027583770209</t>
  </si>
  <si>
    <t>6007581233953</t>
  </si>
  <si>
    <t>6027584183709</t>
  </si>
  <si>
    <t>6007581404511</t>
  </si>
  <si>
    <t>6027584614408</t>
  </si>
  <si>
    <t>6007581404717</t>
  </si>
  <si>
    <t>6027584614311</t>
  </si>
  <si>
    <t>22</t>
  </si>
  <si>
    <t>6007581106460</t>
  </si>
  <si>
    <t>6027584493504</t>
  </si>
  <si>
    <t>6007580946304</t>
  </si>
  <si>
    <t>6027584443114</t>
  </si>
  <si>
    <t>6007581051642</t>
  </si>
  <si>
    <t>6027584494598</t>
  </si>
  <si>
    <t>6007581681991</t>
  </si>
  <si>
    <t>MIRACLE ATELIER COMPANY</t>
  </si>
  <si>
    <t>RMA3,4/F, FUK CHEONG FTY. BLDG. 1 WALNUT ST., TAI KOK TSUI</t>
  </si>
  <si>
    <t>6027585157491</t>
  </si>
  <si>
    <t>6007581738861</t>
  </si>
  <si>
    <t>6027584189041</t>
  </si>
  <si>
    <t>6007581738879</t>
  </si>
  <si>
    <t>6027584192128</t>
  </si>
  <si>
    <t>6007581740022</t>
  </si>
  <si>
    <t>6027584991003</t>
  </si>
  <si>
    <t>30</t>
  </si>
  <si>
    <t>20150430</t>
  </si>
  <si>
    <t>6007581797781</t>
  </si>
  <si>
    <t>6027584093931</t>
  </si>
  <si>
    <t>6007581709683</t>
  </si>
  <si>
    <t>GRUPO BASICO DE COMPAÑIAS GUATEMALA SA</t>
  </si>
  <si>
    <t>5A CALLE 4-00 ZONA 9</t>
  </si>
  <si>
    <t>6027584943481</t>
  </si>
  <si>
    <t>6007581709690</t>
  </si>
  <si>
    <t>6027584943949</t>
  </si>
  <si>
    <t>6007581709676</t>
  </si>
  <si>
    <t>6027584943164</t>
  </si>
  <si>
    <t>6007581840928</t>
  </si>
  <si>
    <t>SHANGHAI TO WIN IMP. &amp; EXP. CO., LTD</t>
  </si>
  <si>
    <t>6027584938391</t>
  </si>
  <si>
    <t>6007581840903</t>
  </si>
  <si>
    <t>6027584938350</t>
  </si>
  <si>
    <t>6007581840935</t>
  </si>
  <si>
    <t>6027584953398</t>
  </si>
  <si>
    <t>6007581841094</t>
  </si>
  <si>
    <t>B&amp;S TRADING COMPANY</t>
  </si>
  <si>
    <t>UNIT 01, 11/F., BLOCK A KO FAI INDUSTRIAL BUILDING 7 KO FAID ROAD</t>
  </si>
  <si>
    <t>KOWLOON</t>
  </si>
  <si>
    <t>6027585133174</t>
  </si>
  <si>
    <t>6007581841102</t>
  </si>
  <si>
    <t>6027585133221</t>
  </si>
  <si>
    <t>6007581841111</t>
  </si>
  <si>
    <t>6027585133554</t>
  </si>
  <si>
    <t>6007581899616</t>
  </si>
  <si>
    <t>ESTONIA</t>
  </si>
  <si>
    <t>6027584618971</t>
  </si>
  <si>
    <t>6007581899623</t>
  </si>
  <si>
    <t>6027584619193</t>
  </si>
  <si>
    <t>08</t>
  </si>
  <si>
    <t>6007582111599</t>
  </si>
  <si>
    <t>COMERCIAL REUTTER S.A.</t>
  </si>
  <si>
    <t>AV. EL SALTO 4447, HUECHURABA</t>
  </si>
  <si>
    <t>201505</t>
  </si>
  <si>
    <t>6027585365338</t>
  </si>
  <si>
    <t>15</t>
  </si>
  <si>
    <t>6007582419252</t>
  </si>
  <si>
    <t>DIPON INDUSTRIAL CO.LIMITED</t>
  </si>
  <si>
    <t>FLAT A-11, 7/F, HOW MING FACTYORY BUILDING, 99 HOW MING STREET, KWUN TONG, KOWLO</t>
  </si>
  <si>
    <t>6027585573879</t>
  </si>
  <si>
    <t>6007582419442</t>
  </si>
  <si>
    <t>6027585734559</t>
  </si>
  <si>
    <t>6007582419451</t>
  </si>
  <si>
    <t>6027585735858</t>
  </si>
  <si>
    <t>6007582614051</t>
  </si>
  <si>
    <t>OAKTREE UK LIMITED.</t>
  </si>
  <si>
    <t>66 James Carter Road, Industrial Estate Mildenhall, Suffokl IP28 7DE</t>
  </si>
  <si>
    <t>ENGLAND</t>
  </si>
  <si>
    <t>6027585365171</t>
  </si>
  <si>
    <t>6007582718395</t>
  </si>
  <si>
    <t>BLK 9008 TAMPINES ST. 93 #04-47 SINGAPORE 528843</t>
  </si>
  <si>
    <t>6027585847740</t>
  </si>
  <si>
    <t>6007582718403</t>
  </si>
  <si>
    <t>6027585847765</t>
  </si>
  <si>
    <t>6007582718410</t>
  </si>
  <si>
    <t>6027585847781</t>
  </si>
  <si>
    <t>6007582577747</t>
  </si>
  <si>
    <t>PMS GLOBOS ET FESTIVAL</t>
  </si>
  <si>
    <t>1988 ROUTES DES PLANTANES 31330 MERVILLE</t>
  </si>
  <si>
    <t>FRANCIA</t>
  </si>
  <si>
    <t>PARIS</t>
  </si>
  <si>
    <t>6027586045164</t>
  </si>
  <si>
    <t>6007582661001</t>
  </si>
  <si>
    <t>6027586014581</t>
  </si>
  <si>
    <t>6007582372693</t>
  </si>
  <si>
    <t>6027585801822</t>
  </si>
  <si>
    <t>6007582786907</t>
  </si>
  <si>
    <t>800249192</t>
  </si>
  <si>
    <t>ACI CARGO SIA LTDA</t>
  </si>
  <si>
    <t>MALAMBO</t>
  </si>
  <si>
    <t>CL 10 39 06</t>
  </si>
  <si>
    <t>BOUKETO BALLOONS N. ANASTASELIS CHALKIOPOULOS &amp; CIA E.E.</t>
  </si>
  <si>
    <t>KSEROPIGADO -KATO VOULMENO EGIO, 25100, GRECE</t>
  </si>
  <si>
    <t>GRECIA</t>
  </si>
  <si>
    <t>AEGIO</t>
  </si>
  <si>
    <t>6027586221587</t>
  </si>
  <si>
    <t>6007582947705</t>
  </si>
  <si>
    <t>6027586097045</t>
  </si>
  <si>
    <t>6007582947712</t>
  </si>
  <si>
    <t>6027586097131</t>
  </si>
  <si>
    <t>29</t>
  </si>
  <si>
    <t>6007582950512</t>
  </si>
  <si>
    <t>6027586220571</t>
  </si>
  <si>
    <t>6007582950521</t>
  </si>
  <si>
    <t>6027586220761</t>
  </si>
  <si>
    <t>6007583112113</t>
  </si>
  <si>
    <t>BCD OVERSEAS</t>
  </si>
  <si>
    <t>W 87 GREATER KAILASH PART 2 NEW DELHI 110048</t>
  </si>
  <si>
    <t>INDIA</t>
  </si>
  <si>
    <t>NEW DELHI</t>
  </si>
  <si>
    <t>6027586478923</t>
  </si>
  <si>
    <t>6007583112120</t>
  </si>
  <si>
    <t>BDC OVERSEAS</t>
  </si>
  <si>
    <t>6027586479011</t>
  </si>
  <si>
    <t>6007583012848</t>
  </si>
  <si>
    <t>6027586394443</t>
  </si>
  <si>
    <t>6007583012855</t>
  </si>
  <si>
    <t>6027586397803</t>
  </si>
  <si>
    <t>6007583402568</t>
  </si>
  <si>
    <t>201506</t>
  </si>
  <si>
    <t>6027586340281</t>
  </si>
  <si>
    <t>6007583394089</t>
  </si>
  <si>
    <t>6027585836991</t>
  </si>
  <si>
    <t>6007583394096</t>
  </si>
  <si>
    <t>6027585840822</t>
  </si>
  <si>
    <t>6007583363791</t>
  </si>
  <si>
    <t>CALLE 70 Y AVENIDA TERCERA. SAN FRANCISCO PANAMA</t>
  </si>
  <si>
    <t>REPUBLICA DE PANAMA</t>
  </si>
  <si>
    <t>6027586344813</t>
  </si>
  <si>
    <t>6007583343468</t>
  </si>
  <si>
    <t>6027586260791</t>
  </si>
  <si>
    <t>6007583343515</t>
  </si>
  <si>
    <t>TAILLONS BALLONS CO., LTDA.</t>
  </si>
  <si>
    <t>P.O BOX 115 FENG YUAN, TAIWAN 42099 NO.2 DAFONG RD, SHENGANG DIST.</t>
  </si>
  <si>
    <t>TAICHUNG</t>
  </si>
  <si>
    <t>6027586347216</t>
  </si>
  <si>
    <t>6007583457436</t>
  </si>
  <si>
    <t>MS.NATHALIE ET MARIE PIERRE 1988 ROUTES DES PLANTANES 31330 MERVILLE</t>
  </si>
  <si>
    <t>MERVILLE</t>
  </si>
  <si>
    <t>6027586356964</t>
  </si>
  <si>
    <t>6007583504732</t>
  </si>
  <si>
    <t>6007583394104</t>
  </si>
  <si>
    <t>6027585841291</t>
  </si>
  <si>
    <t>6007583363808</t>
  </si>
  <si>
    <t>6027586346257</t>
  </si>
  <si>
    <t>20150612</t>
  </si>
  <si>
    <t>6007583589201</t>
  </si>
  <si>
    <t>6027586353042</t>
  </si>
  <si>
    <t>6007583589184</t>
  </si>
  <si>
    <t>6027586353028</t>
  </si>
  <si>
    <t>6007583589191</t>
  </si>
  <si>
    <t>6027586353035</t>
  </si>
  <si>
    <t>6007583704301</t>
  </si>
  <si>
    <t>6027586844928</t>
  </si>
  <si>
    <t>20150620</t>
  </si>
  <si>
    <t>6007583855233</t>
  </si>
  <si>
    <t>6027586718852</t>
  </si>
  <si>
    <t>6007583936994</t>
  </si>
  <si>
    <t>6027586714541</t>
  </si>
  <si>
    <t>6007583937043</t>
  </si>
  <si>
    <t>6027586714416</t>
  </si>
  <si>
    <t>6007583895034</t>
  </si>
  <si>
    <t>6027586850492</t>
  </si>
  <si>
    <t>6007583905297</t>
  </si>
  <si>
    <t>6027586857128</t>
  </si>
  <si>
    <t>6007583749364</t>
  </si>
  <si>
    <t>6027587059218</t>
  </si>
  <si>
    <t>6007583912448</t>
  </si>
  <si>
    <t>6027587249788</t>
  </si>
  <si>
    <t>6007583381413</t>
  </si>
  <si>
    <t>HAPPY DAY COMPANY</t>
  </si>
  <si>
    <t>ZAZIASHCILI ST. 8</t>
  </si>
  <si>
    <t>GEORGIA</t>
  </si>
  <si>
    <t>TBILISI</t>
  </si>
  <si>
    <t>6027586770180</t>
  </si>
  <si>
    <t>6007583828021</t>
  </si>
  <si>
    <t>PERKUNLIEMIO 19A, LT - 12120</t>
  </si>
  <si>
    <t>6027587225120</t>
  </si>
  <si>
    <t>6007583299277</t>
  </si>
  <si>
    <t>6027586631339</t>
  </si>
  <si>
    <t>6007583347460</t>
  </si>
  <si>
    <t>6027586656765</t>
  </si>
  <si>
    <t>20150625</t>
  </si>
  <si>
    <t>6007584054730</t>
  </si>
  <si>
    <t>6027587258942</t>
  </si>
  <si>
    <t>6007584051861</t>
  </si>
  <si>
    <t>6027587085108</t>
  </si>
  <si>
    <t>07</t>
  </si>
  <si>
    <t>6007584324355</t>
  </si>
  <si>
    <t>201507</t>
  </si>
  <si>
    <t>6007584221279</t>
  </si>
  <si>
    <t>BOLIGLOBOS</t>
  </si>
  <si>
    <t>AVENIDA SALAMANCA No. 686 ENTRE ANTEZANA Y LANZA - EDIFICIO TORRE MILLENIUM</t>
  </si>
  <si>
    <t>BOLIVIA</t>
  </si>
  <si>
    <t>COCHABAMBA</t>
  </si>
  <si>
    <t>6027587525870</t>
  </si>
  <si>
    <t>6007582029668</t>
  </si>
  <si>
    <t>6027585148574</t>
  </si>
  <si>
    <t>6007584583335</t>
  </si>
  <si>
    <t>6007584232051</t>
  </si>
  <si>
    <t>6027587682654</t>
  </si>
  <si>
    <t>6007584540531</t>
  </si>
  <si>
    <t>6027587349917</t>
  </si>
  <si>
    <t>20150709</t>
  </si>
  <si>
    <t>6007584595755</t>
  </si>
  <si>
    <t>6027587340200</t>
  </si>
  <si>
    <t>6007584595762</t>
  </si>
  <si>
    <t>6027587340232</t>
  </si>
  <si>
    <t>6007584459986</t>
  </si>
  <si>
    <t>ERA BALON Ve OYUNCAK SANAYI</t>
  </si>
  <si>
    <t>UZUN CARSI CADDESI GORENLI HAN 187/11 TAHTAKALE/EMINONU</t>
  </si>
  <si>
    <t>ISTAMBUL</t>
  </si>
  <si>
    <t>6027587798249</t>
  </si>
  <si>
    <t>ARGENTINA</t>
  </si>
  <si>
    <t>6007584410241</t>
  </si>
  <si>
    <t>6027587808803</t>
  </si>
  <si>
    <t>6007584657620</t>
  </si>
  <si>
    <t>6027587559386</t>
  </si>
  <si>
    <t>6007584742040</t>
  </si>
  <si>
    <t>6027586852213</t>
  </si>
  <si>
    <t>6007584657606</t>
  </si>
  <si>
    <t>6027587554400</t>
  </si>
  <si>
    <t>6007585026646</t>
  </si>
  <si>
    <t>6027587554385</t>
  </si>
  <si>
    <t>6007585026653</t>
  </si>
  <si>
    <t>6027587554536</t>
  </si>
  <si>
    <t>6007584960475</t>
  </si>
  <si>
    <t>6027587554647</t>
  </si>
  <si>
    <t>6007584993853</t>
  </si>
  <si>
    <t>6027588169341</t>
  </si>
  <si>
    <t>6007585194565</t>
  </si>
  <si>
    <t>6027588387309</t>
  </si>
  <si>
    <t>6007585427907</t>
  </si>
  <si>
    <t>SAN JOSE, PAVAS, DE TELETICA 600 METROS OESTE FRENTE ANTOJITOS, DETRAS DE COOPEN</t>
  </si>
  <si>
    <t>SAN JOSE-COSTA RICA</t>
  </si>
  <si>
    <t>6027588401947</t>
  </si>
  <si>
    <t>6007585468057</t>
  </si>
  <si>
    <t>6027587654553</t>
  </si>
  <si>
    <t>6007585468444</t>
  </si>
  <si>
    <t>6027588368727</t>
  </si>
  <si>
    <t>6007585468451</t>
  </si>
  <si>
    <t>6027588369338</t>
  </si>
  <si>
    <t>6007585427899</t>
  </si>
  <si>
    <t>6027588401757</t>
  </si>
  <si>
    <t>6007585551570</t>
  </si>
  <si>
    <t>201508</t>
  </si>
  <si>
    <t>6027588382211</t>
  </si>
  <si>
    <t>6007585517113</t>
  </si>
  <si>
    <t>6027587732360</t>
  </si>
  <si>
    <t>6007585551563</t>
  </si>
  <si>
    <t>6027588381965</t>
  </si>
  <si>
    <t>6007585551635</t>
  </si>
  <si>
    <t>6027588415629</t>
  </si>
  <si>
    <t>6007585517106</t>
  </si>
  <si>
    <t>6027587732242</t>
  </si>
  <si>
    <t>6007585468041</t>
  </si>
  <si>
    <t>6027587654451</t>
  </si>
  <si>
    <t>20150805</t>
  </si>
  <si>
    <t>6007585616379</t>
  </si>
  <si>
    <t>6027588948867</t>
  </si>
  <si>
    <t>20150812</t>
  </si>
  <si>
    <t>6007585707533</t>
  </si>
  <si>
    <t>6027589060905</t>
  </si>
  <si>
    <t>6007585707526</t>
  </si>
  <si>
    <t>6027589057961</t>
  </si>
  <si>
    <t>6007585661919</t>
  </si>
  <si>
    <t>6027588682868</t>
  </si>
  <si>
    <t>6007585661831</t>
  </si>
  <si>
    <t>6027588599731</t>
  </si>
  <si>
    <t>6007585760572</t>
  </si>
  <si>
    <t>6027587727668</t>
  </si>
  <si>
    <t>6007585551746</t>
  </si>
  <si>
    <t>6027588598457</t>
  </si>
  <si>
    <t>6007585784931</t>
  </si>
  <si>
    <t>TOYLAND-KUWAIT</t>
  </si>
  <si>
    <t>TOYLAND, SHAKER AL KAZEMI BUILDING, NO 8, OFFICE NO 26, 3 RD FLOOR, KHALID IBN W</t>
  </si>
  <si>
    <t>KUWAIT</t>
  </si>
  <si>
    <t>SHARQ</t>
  </si>
  <si>
    <t>6027588375308</t>
  </si>
  <si>
    <t>6007585810730</t>
  </si>
  <si>
    <t>6027588981417</t>
  </si>
  <si>
    <t>6007585707232</t>
  </si>
  <si>
    <t>6027588418118</t>
  </si>
  <si>
    <t>6007585707311</t>
  </si>
  <si>
    <t>6027588692450</t>
  </si>
  <si>
    <t>6007585784947</t>
  </si>
  <si>
    <t>6027588375569</t>
  </si>
  <si>
    <t>6007585707304</t>
  </si>
  <si>
    <t>6027588684699</t>
  </si>
  <si>
    <t>6007586013449</t>
  </si>
  <si>
    <t>6027588416951</t>
  </si>
  <si>
    <t>6007586013431</t>
  </si>
  <si>
    <t>6027588416437</t>
  </si>
  <si>
    <t>6007585707501</t>
  </si>
  <si>
    <t>SHANGHAI BRILLIANCE TRADE CO., LTD</t>
  </si>
  <si>
    <t>1ST FLOOR, BUILDING 6#, NO 999 JIANGYUE RD PU JIANG TOWN, MINGHANG DISTRICT, SHA</t>
  </si>
  <si>
    <t>SHANGHAI</t>
  </si>
  <si>
    <t>6027589018908</t>
  </si>
  <si>
    <t>6007586100791</t>
  </si>
  <si>
    <t>6027588688351</t>
  </si>
  <si>
    <t>6007585784345</t>
  </si>
  <si>
    <t>6027589123190</t>
  </si>
  <si>
    <t>6007585827377</t>
  </si>
  <si>
    <t>DIPOND INDUSTRIAL CO. LIMITED</t>
  </si>
  <si>
    <t>FLAT A-11, 7/F, HOW MING FACTORY BUILDING, 99 HOW MING STREET, KWUN TONG</t>
  </si>
  <si>
    <t>6027589244642</t>
  </si>
  <si>
    <t>6007586393443</t>
  </si>
  <si>
    <t>6027589607965</t>
  </si>
  <si>
    <t>6007586393450</t>
  </si>
  <si>
    <t>6027589611337</t>
  </si>
  <si>
    <t>6007586507512</t>
  </si>
  <si>
    <t>6027589821985</t>
  </si>
  <si>
    <t>20150829</t>
  </si>
  <si>
    <t>6007586595169</t>
  </si>
  <si>
    <t>6027589320288</t>
  </si>
  <si>
    <t>6007586599960</t>
  </si>
  <si>
    <t>6027589205818</t>
  </si>
  <si>
    <t>6007586710697</t>
  </si>
  <si>
    <t>6007586141850</t>
  </si>
  <si>
    <t>AVENIDA SALAMANCA No. 686 ENTRE ANTEZANA Y LANZA, EDIF TORRE MILENIUM PLANTA BAJ</t>
  </si>
  <si>
    <t>6027589528178</t>
  </si>
  <si>
    <t>6007586655432</t>
  </si>
  <si>
    <t>6027589524817</t>
  </si>
  <si>
    <t>6007586836000</t>
  </si>
  <si>
    <t>201509</t>
  </si>
  <si>
    <t>6027589703127</t>
  </si>
  <si>
    <t>6007586835990</t>
  </si>
  <si>
    <t>6027589702942</t>
  </si>
  <si>
    <t>6007586884322</t>
  </si>
  <si>
    <t>6027589481602</t>
  </si>
  <si>
    <t>6007586938475</t>
  </si>
  <si>
    <t>6027590020385</t>
  </si>
  <si>
    <t>6007587073889</t>
  </si>
  <si>
    <t>6027590272365</t>
  </si>
  <si>
    <t>6007587073896</t>
  </si>
  <si>
    <t>6027590272673</t>
  </si>
  <si>
    <t>6007587162209</t>
  </si>
  <si>
    <t>SIDNEY</t>
  </si>
  <si>
    <t>6027589697712</t>
  </si>
  <si>
    <t>6007587162216</t>
  </si>
  <si>
    <t>6027589697871</t>
  </si>
  <si>
    <t>6007587073904</t>
  </si>
  <si>
    <t>6027590276114</t>
  </si>
  <si>
    <t>6007587074095</t>
  </si>
  <si>
    <t>6027590028406</t>
  </si>
  <si>
    <t>6007587164323</t>
  </si>
  <si>
    <t>MARCANSEL COMERCIO LDA</t>
  </si>
  <si>
    <t>TRAVESSA ARNALDO DE NOVAIS Nr 2, MUNICIPIO DE MAIANGA</t>
  </si>
  <si>
    <t>ANGOLA</t>
  </si>
  <si>
    <t>LUANDA</t>
  </si>
  <si>
    <t>6027590420512</t>
  </si>
  <si>
    <t>6007587507425</t>
  </si>
  <si>
    <t>PROLATEX</t>
  </si>
  <si>
    <t>PO BOX 68730, SHOP 13 MALIHA ROAD, INDUSTRIAL AREA 18</t>
  </si>
  <si>
    <t>EMIRATOS ÁRABES UNIDOS</t>
  </si>
  <si>
    <t>SHARJAH</t>
  </si>
  <si>
    <t>6027589881610</t>
  </si>
  <si>
    <t>6007587507418</t>
  </si>
  <si>
    <t>6027589881570</t>
  </si>
  <si>
    <t>6007587757131</t>
  </si>
  <si>
    <t>6027591009088</t>
  </si>
  <si>
    <t>6007587728768</t>
  </si>
  <si>
    <t>6027591017498</t>
  </si>
  <si>
    <t>6007587757091</t>
  </si>
  <si>
    <t>6027591009318</t>
  </si>
  <si>
    <t>6007587743250</t>
  </si>
  <si>
    <t>COMPANIA GOLY, S.A.</t>
  </si>
  <si>
    <t>EDIFICIO JUAN RAMON POLL CALLE 29 AVE. PERU</t>
  </si>
  <si>
    <t>CIUDAD DE PANAMA</t>
  </si>
  <si>
    <t>6027590764400</t>
  </si>
  <si>
    <t>6007587762799</t>
  </si>
  <si>
    <t>6027590761271</t>
  </si>
  <si>
    <t>6007587723330</t>
  </si>
  <si>
    <t>SUZUKI LATEX INDUSTRY CO., LTD.</t>
  </si>
  <si>
    <t>1-9-1, NAKASE, MIHAMA-KU, CHIBA261-0023</t>
  </si>
  <si>
    <t>6027590873130</t>
  </si>
  <si>
    <t>6007587912490</t>
  </si>
  <si>
    <t>6027590760762</t>
  </si>
  <si>
    <t>6007587994099</t>
  </si>
  <si>
    <t>6027590836311</t>
  </si>
  <si>
    <t>6007587994081</t>
  </si>
  <si>
    <t>6027590836248</t>
  </si>
  <si>
    <t>6007588095299</t>
  </si>
  <si>
    <t>201510</t>
  </si>
  <si>
    <t>6027591220064</t>
  </si>
  <si>
    <t>6007588318106</t>
  </si>
  <si>
    <t>6027591233712</t>
  </si>
  <si>
    <t>6007588324867</t>
  </si>
  <si>
    <t>6027590759478</t>
  </si>
  <si>
    <t>6007588038952</t>
  </si>
  <si>
    <t>6027591377880</t>
  </si>
  <si>
    <t>6007588407374</t>
  </si>
  <si>
    <t>6027591663179</t>
  </si>
  <si>
    <t>6007588655810</t>
  </si>
  <si>
    <t>6027591228797</t>
  </si>
  <si>
    <t>6007588655828</t>
  </si>
  <si>
    <t>6027591228805</t>
  </si>
  <si>
    <t>6007588611003</t>
  </si>
  <si>
    <t>4006900000</t>
  </si>
  <si>
    <t>Las demás formas (por ejemplo: varillas, tubos) y artículos (por ejemplo: discos, arandelas), de caucho sin vulcanizar.</t>
  </si>
  <si>
    <t>6027591501290</t>
  </si>
  <si>
    <t>6007588610993</t>
  </si>
  <si>
    <t>6027591500894</t>
  </si>
  <si>
    <t>6007588655867</t>
  </si>
  <si>
    <t>6027591228781</t>
  </si>
  <si>
    <t>6007588652619</t>
  </si>
  <si>
    <t>6027591232681</t>
  </si>
  <si>
    <t>26</t>
  </si>
  <si>
    <t>6007588979011</t>
  </si>
  <si>
    <t>6027591983739</t>
  </si>
  <si>
    <t>6007588979004</t>
  </si>
  <si>
    <t>6027591982185</t>
  </si>
  <si>
    <t>6007588909793</t>
  </si>
  <si>
    <t>M&amp;A LIMITED</t>
  </si>
  <si>
    <t>35 PREYSAL CROWN TRACE WEST, FREEPORT, TRINIDAD, W.I</t>
  </si>
  <si>
    <t>TRINIDAD Y TOBAGO</t>
  </si>
  <si>
    <t>TRINIDAD</t>
  </si>
  <si>
    <t>6027591856024</t>
  </si>
  <si>
    <t>20151030</t>
  </si>
  <si>
    <t>6007589161968</t>
  </si>
  <si>
    <t>6007588652601</t>
  </si>
  <si>
    <t>6027591232287</t>
  </si>
  <si>
    <t>6007589327538</t>
  </si>
  <si>
    <t>201511</t>
  </si>
  <si>
    <t>6027591985079</t>
  </si>
  <si>
    <t>20151109</t>
  </si>
  <si>
    <t>6007589539749</t>
  </si>
  <si>
    <t>6027592842975</t>
  </si>
  <si>
    <t>6007589252498</t>
  </si>
  <si>
    <t>MS. NATHALIE ET MARIE PIERRE 1988 ROUTES DES PLANTANES 31330 MERVILLE</t>
  </si>
  <si>
    <t>6027592627473</t>
  </si>
  <si>
    <t>6007589156670</t>
  </si>
  <si>
    <t>6027592463839</t>
  </si>
  <si>
    <t>6007589487892</t>
  </si>
  <si>
    <t>6027592294541</t>
  </si>
  <si>
    <t>6007589453904</t>
  </si>
  <si>
    <t>6027592148112</t>
  </si>
  <si>
    <t>6007589487971</t>
  </si>
  <si>
    <t>6027592464529</t>
  </si>
  <si>
    <t>6007589602608</t>
  </si>
  <si>
    <t>KORJAAMOTIE 949400 HAMINA VADIM AHO</t>
  </si>
  <si>
    <t>6027592591885</t>
  </si>
  <si>
    <t>20151118</t>
  </si>
  <si>
    <t>6007589831590</t>
  </si>
  <si>
    <t>6027592846075</t>
  </si>
  <si>
    <t>6007589788131</t>
  </si>
  <si>
    <t>NARANJA INC.</t>
  </si>
  <si>
    <t>6027593124808</t>
  </si>
  <si>
    <t>6007590030507</t>
  </si>
  <si>
    <t>6027592895428</t>
  </si>
  <si>
    <t>6007590129555</t>
  </si>
  <si>
    <t>BALLOON ART CO., LTD.</t>
  </si>
  <si>
    <t>289/2 SOI PATTANAKAM, PATTANAKARN ROAD, SUANLUANG BANGKOK 10250</t>
  </si>
  <si>
    <t>TAILANDIA</t>
  </si>
  <si>
    <t>BANGKOK</t>
  </si>
  <si>
    <t>6027592894358</t>
  </si>
  <si>
    <t>6007590055111</t>
  </si>
  <si>
    <t>6027592903573</t>
  </si>
  <si>
    <t>6007587424941</t>
  </si>
  <si>
    <t>G.F. Khabbaz &amp; Co S.A.R.L.</t>
  </si>
  <si>
    <t>Zalka, biakout bifurcation, khabbaz bldg beirut 60102</t>
  </si>
  <si>
    <t>BEIRUT</t>
  </si>
  <si>
    <t>6027590034146</t>
  </si>
  <si>
    <t>6007590030664</t>
  </si>
  <si>
    <t>ANTHAIX SAC</t>
  </si>
  <si>
    <t>CALLE ONITARIO 185 URB. LA CAMPIÑA CORRILLOS</t>
  </si>
  <si>
    <t>6027592866533</t>
  </si>
  <si>
    <t>20151126</t>
  </si>
  <si>
    <t>6007590062736</t>
  </si>
  <si>
    <t>6027593459190</t>
  </si>
  <si>
    <t>6007590203076</t>
  </si>
  <si>
    <t>ESTRADA DOS ROMEIROS, 796 CHACARA DAS MOCAS</t>
  </si>
  <si>
    <t>SANTANA DE PARNAIBA</t>
  </si>
  <si>
    <t>6027593624708</t>
  </si>
  <si>
    <t>6007590180471</t>
  </si>
  <si>
    <t>6027593574779</t>
  </si>
  <si>
    <t>20151130</t>
  </si>
  <si>
    <t>6007590365373</t>
  </si>
  <si>
    <t>6027593814304</t>
  </si>
  <si>
    <t>6007590503225</t>
  </si>
  <si>
    <t>6027594029812</t>
  </si>
  <si>
    <t>6007590634561</t>
  </si>
  <si>
    <t>KIDS PARTY S.R.L.</t>
  </si>
  <si>
    <t>PLAZA NACO 1ER. NIVEL, LOCAL 03, AVE. TIRADENTES ESQ. FANTINO FALCO.</t>
  </si>
  <si>
    <t>REPÚBLICA DOMINICANA</t>
  </si>
  <si>
    <t>SANTO DOMINGO</t>
  </si>
  <si>
    <t>201512</t>
  </si>
  <si>
    <t>6027593063378</t>
  </si>
  <si>
    <t>6007590646972</t>
  </si>
  <si>
    <t>6027593097270</t>
  </si>
  <si>
    <t>6007590634577</t>
  </si>
  <si>
    <t>6027593063719</t>
  </si>
  <si>
    <t>6007590696294</t>
  </si>
  <si>
    <t>6027593146899</t>
  </si>
  <si>
    <t>6007588906885</t>
  </si>
  <si>
    <t>6027591849508</t>
  </si>
  <si>
    <t>6007591071321</t>
  </si>
  <si>
    <t>6027593152061</t>
  </si>
  <si>
    <t>6007590940402</t>
  </si>
  <si>
    <t>6027593159257</t>
  </si>
  <si>
    <t>6007590940427</t>
  </si>
  <si>
    <t>6027593164211</t>
  </si>
  <si>
    <t>6007590940411</t>
  </si>
  <si>
    <t>6027593163094</t>
  </si>
  <si>
    <t>6007591122184</t>
  </si>
  <si>
    <t>6007590503218</t>
  </si>
  <si>
    <t>6027594029511</t>
  </si>
  <si>
    <t>6007590948271</t>
  </si>
  <si>
    <t>6027593102558</t>
  </si>
  <si>
    <t>6007590940394</t>
  </si>
  <si>
    <t>6027593159241</t>
  </si>
  <si>
    <t>6007590948289</t>
  </si>
  <si>
    <t>6027593102913</t>
  </si>
  <si>
    <t>20151222</t>
  </si>
  <si>
    <t>6007591275786</t>
  </si>
  <si>
    <t>6027593361663</t>
  </si>
  <si>
    <t>20151228</t>
  </si>
  <si>
    <t>6007591348844</t>
  </si>
  <si>
    <t>ZDENKO MALCHO-LUKY MZ</t>
  </si>
  <si>
    <t>SNP 33 927 01 SALA VAT: SK1020279139</t>
  </si>
  <si>
    <t>SALA</t>
  </si>
  <si>
    <t>6027594673568</t>
  </si>
  <si>
    <t>6007591348701</t>
  </si>
  <si>
    <t>6027593337146</t>
  </si>
  <si>
    <t>6007591497716</t>
  </si>
  <si>
    <t>6027593368725</t>
  </si>
  <si>
    <t>6007590629874</t>
  </si>
  <si>
    <t>6027594232743</t>
  </si>
  <si>
    <t>6007591348686</t>
  </si>
  <si>
    <t>6027593337107</t>
  </si>
  <si>
    <t>6007591348693</t>
  </si>
  <si>
    <t>6027593337121</t>
  </si>
  <si>
    <t>6007591626087</t>
  </si>
  <si>
    <t>6007591301340</t>
  </si>
  <si>
    <t>6027594670674</t>
  </si>
  <si>
    <t>6007591000471</t>
  </si>
  <si>
    <t>6027594541827</t>
  </si>
  <si>
    <t>6007591430657</t>
  </si>
  <si>
    <t>6027595032201</t>
  </si>
  <si>
    <t>6007591348851</t>
  </si>
  <si>
    <t>6027594674770</t>
  </si>
  <si>
    <t>6007591348869</t>
  </si>
  <si>
    <t>6027594674851</t>
  </si>
  <si>
    <t>Grupo1</t>
  </si>
  <si>
    <t>Tasa de cambio representativa del mercado (TRM)</t>
  </si>
  <si>
    <t>1.1.1. Serie histórica_periodicidad diaria</t>
  </si>
  <si>
    <t/>
  </si>
  <si>
    <t>Información disponible desde el 27 de noviembre de 1991.</t>
  </si>
  <si>
    <r>
      <rPr>
        <sz val="9"/>
        <color theme="1"/>
        <rFont val="Helvetica"/>
      </rPr>
      <t xml:space="preserve"> </t>
    </r>
    <r>
      <rPr>
        <i/>
        <sz val="9"/>
        <color theme="1"/>
        <rFont val="Helvetica"/>
      </rPr>
      <t>Banco de la República - Gerencia Técnica - información extraída de la bodega de datos -Serankua- el 13/08/2016 08:26:43</t>
    </r>
    <r>
      <rPr>
        <sz val="9"/>
        <color theme="1"/>
        <rFont val="Helvetica"/>
      </rPr>
      <t xml:space="preserve"> </t>
    </r>
  </si>
  <si>
    <t>Fecha (dd/mm/aaaa)</t>
  </si>
  <si>
    <r>
      <rPr>
        <b/>
        <sz val="9"/>
        <color theme="1"/>
        <rFont val="Helvetica"/>
      </rPr>
      <t>Fuente:</t>
    </r>
    <r>
      <rPr>
        <sz val="9"/>
        <color theme="1"/>
        <rFont val="Helvetica"/>
      </rPr>
      <t xml:space="preserve"> Superintendencia Financiera de Colombia ( </t>
    </r>
    <r>
      <rPr>
        <u/>
        <sz val="9"/>
        <color rgb="FF0000FF"/>
        <rFont val="Helvetica"/>
      </rPr>
      <t>www.superfinanciera.gov.co</t>
    </r>
    <r>
      <rPr>
        <sz val="9"/>
        <color theme="1"/>
        <rFont val="Helvetica"/>
      </rPr>
      <t xml:space="preserve">). </t>
    </r>
  </si>
  <si>
    <t>Para el cálculo del gasto de intereses asociado a la nueva deuda se toma como referencia la tasa de credito y consumo de super financiera</t>
  </si>
  <si>
    <t>Se espera que aumente en ventas producto de hacer inversión en PPE</t>
  </si>
  <si>
    <t>PRODUCTIVIDAD DEL KTNO</t>
  </si>
  <si>
    <t>INDICADORES DE COBERTURA</t>
  </si>
  <si>
    <t>Cobertura de Intereses</t>
  </si>
  <si>
    <t>EBIT</t>
  </si>
  <si>
    <t>Gasto de Intereses</t>
  </si>
  <si>
    <t>Concentración de la Deuda</t>
  </si>
  <si>
    <t>Deuda de Corto Plazo</t>
  </si>
  <si>
    <t>Deuda Total</t>
  </si>
  <si>
    <t>La deuda de largo plazo que presenta en el último año es con socios por tal razón no se tiene en cuenta</t>
  </si>
  <si>
    <t>EVA</t>
  </si>
  <si>
    <t>WACC</t>
  </si>
  <si>
    <t>ROE Promedio de cada año para el sector</t>
  </si>
  <si>
    <t>Tx</t>
  </si>
  <si>
    <t>+ Depreciaciones</t>
  </si>
  <si>
    <t>FLUJO DE CAJA BRUTO</t>
  </si>
  <si>
    <t>AFBO</t>
  </si>
  <si>
    <t>- Var KTNO</t>
  </si>
  <si>
    <t>- Var AFBO</t>
  </si>
  <si>
    <t>FLUJO DE CAJA LIBRE</t>
  </si>
  <si>
    <t>- Gasto de Intereses</t>
  </si>
  <si>
    <t>+ Var Deuda</t>
  </si>
  <si>
    <t>FLUJO DE CAJA DEL ACCIONISTA</t>
  </si>
  <si>
    <t>Depreciaciones y Amortizaciones</t>
  </si>
  <si>
    <t>Variaciones PPE</t>
  </si>
  <si>
    <t>AFNO</t>
  </si>
  <si>
    <t>Depreción y Amortización Acumulada</t>
  </si>
  <si>
    <t>Competidores</t>
  </si>
  <si>
    <t>Local</t>
  </si>
  <si>
    <t>Internacional</t>
  </si>
  <si>
    <t>Tipo de Competidor</t>
  </si>
  <si>
    <t>Observación</t>
  </si>
  <si>
    <t>Latex de Colombia S.A.S.</t>
  </si>
  <si>
    <t>Se toman los estados financieros de EMIS</t>
  </si>
  <si>
    <t>Bombatex Publicidad S.A.S.</t>
  </si>
  <si>
    <t>Dado que no se encuentran los estados financieros de los competidores internecionales (Se hace la consulta en EMIS y Bloomberg), se toma un competidor local (Bombatex) y los estados financieros se les aplica un factor multiplicativo para que este sea mayor que Sempertex</t>
  </si>
  <si>
    <t>Cálculo Factor Multiplicativo</t>
  </si>
  <si>
    <t>Compañía</t>
  </si>
  <si>
    <t>Ingresos 2015 (Miles)</t>
  </si>
  <si>
    <t>Ingresos Ajustados2015 (Miles)</t>
  </si>
  <si>
    <t>Factor</t>
  </si>
  <si>
    <t>Relación</t>
  </si>
  <si>
    <t>Kd</t>
  </si>
  <si>
    <t>Ke</t>
  </si>
  <si>
    <t>Tasa vigente de la super financiera al inicio de cada año</t>
  </si>
  <si>
    <t>Palanca de Crecimiento</t>
  </si>
  <si>
    <t>FCB</t>
  </si>
  <si>
    <t>Gasto Intereses Modificado</t>
  </si>
  <si>
    <t>Interés de la Deuda</t>
  </si>
  <si>
    <t>No se tiene en cuenta para el FC</t>
  </si>
  <si>
    <t>Se cálcula con base en la deuda y la tasa de interés de superfinanciera</t>
  </si>
  <si>
    <t>Tasa de interes de superfinanciera</t>
  </si>
  <si>
    <t>Gasto de Intereses Ajustado</t>
  </si>
  <si>
    <t>Incluye el total de gastos no operacionales, no se tiene discrimando el gasto de intereses, no se tiene en cuenta</t>
  </si>
  <si>
    <t>Deuda total por tasa de la super financieraa</t>
  </si>
  <si>
    <t>Se toma el interes implicito dado que la tasa de interés da razonable</t>
  </si>
  <si>
    <t>Estado de Situación Financiera Ajustado</t>
  </si>
  <si>
    <t>DEUDA</t>
  </si>
  <si>
    <t>Deuda No Corriente</t>
  </si>
  <si>
    <t>PATRIMONIO</t>
  </si>
  <si>
    <t>Pasivo Impuestos Diferidos</t>
  </si>
  <si>
    <t>Capital</t>
  </si>
  <si>
    <t>Utilidades Retenidas</t>
  </si>
  <si>
    <t>Otros</t>
  </si>
  <si>
    <t>DISPONIBLE</t>
  </si>
  <si>
    <t>Ventas</t>
  </si>
  <si>
    <t>Gasto Intereses</t>
  </si>
  <si>
    <t>Tasa de super financiera</t>
  </si>
  <si>
    <t>ROE promedio del sector para el año 2015</t>
  </si>
  <si>
    <t>Ponderado Deuda</t>
  </si>
  <si>
    <t>Ponderado Patrimonio</t>
  </si>
  <si>
    <t>Utilidad Antes de Impuestos</t>
  </si>
  <si>
    <t>Impuestos</t>
  </si>
  <si>
    <t>Cambio Deuda</t>
  </si>
  <si>
    <t>Situación Cambio</t>
  </si>
  <si>
    <t>Variación en la deuda ver el impacto que tiene, se trabaja bajo el supuesto que los unicos rubros que cambian son deuda y por ende el gasto de intreses, la variación en el porcentaje de deuda se hace tanto para la de corto plazo como para la de largo plazo</t>
  </si>
  <si>
    <t>No presentan variación dado que no tiene variaciones en el estado de resultados hasta utilidad operacional y tampoco en los rubrso asociados al KTNO</t>
  </si>
  <si>
    <t>Si se quisieran mostrar se ponen los del 2015 calculados en la hoja sector</t>
  </si>
  <si>
    <t>Indicadores de Eficiencia - Ciclo de Efectivo - Ciclo de Negocio</t>
  </si>
  <si>
    <t>Presenta mejora</t>
  </si>
  <si>
    <t>Depreciaciones</t>
  </si>
  <si>
    <t>Contibución Financiera</t>
  </si>
  <si>
    <t>Variación Deuda</t>
  </si>
  <si>
    <t>Flujo de Caja</t>
  </si>
  <si>
    <t>Flujo de Caja del Accionista</t>
  </si>
  <si>
    <t>Dado los supuestos que fueron mencionados con anterioridad, se evidencia principalmente variación en tres indicadores: ROE, Contribución Financiera, EVA. Tambien se tiene en cuenta el impacto en el flujo de caja del accionista</t>
  </si>
  <si>
    <t>Se realiza análisis de sensibilidad para los tres indicadores, así como para el flujo de caja del accionista</t>
  </si>
  <si>
    <t>Dividendos Pagados</t>
  </si>
  <si>
    <t>Aportes de Capital</t>
  </si>
  <si>
    <t>-Dividendos Pagados</t>
  </si>
  <si>
    <t>+ Var Aportes de Capital</t>
  </si>
  <si>
    <t>FLUJO DE CAJA NETO</t>
  </si>
  <si>
    <t>Bombatex (Ajustado)</t>
  </si>
  <si>
    <t>Relación Pasivo Corriente / Activo Corriente</t>
  </si>
  <si>
    <t>Rotación en días de cuentas por cobrar e inventario - Sempertex</t>
  </si>
  <si>
    <t>Rotación cuentas por cobrar</t>
  </si>
  <si>
    <t>Rotación inventarios</t>
  </si>
  <si>
    <t>Participación Inventarios y Cuentas por Cobrar en el Activo Corriente - Sempertex</t>
  </si>
  <si>
    <t>Invetarios</t>
  </si>
  <si>
    <t>Rotación Cuentas por Cobrar en veces</t>
  </si>
  <si>
    <t>Rotación Inventarios en veces</t>
  </si>
  <si>
    <t>Rotación de Cuentas por Pagar en veces</t>
  </si>
  <si>
    <t>Rotación KTNO en días</t>
  </si>
  <si>
    <t>Rotación AFNO en días</t>
  </si>
  <si>
    <t>Rotación de AFNO</t>
  </si>
  <si>
    <t>Sector Rot AFNO (Veces)</t>
  </si>
  <si>
    <t>Sempertex Rot AFNO (Veces)</t>
  </si>
  <si>
    <t>Latex de Colombia Rot AFNO (Veces)</t>
  </si>
  <si>
    <t>Bombatex Rot AFNO (Veces)</t>
  </si>
  <si>
    <t>Rotación AON en días</t>
  </si>
  <si>
    <t>Participación del KTNO en el AON</t>
  </si>
  <si>
    <t>Productividad del KTNO (PKT)</t>
  </si>
  <si>
    <t>Palanca de Crecimiento (PDC)</t>
  </si>
  <si>
    <t>ROA Sempertex</t>
  </si>
  <si>
    <t>DuPont ROA Sempertex</t>
  </si>
  <si>
    <t>ROE Sempertex</t>
  </si>
  <si>
    <t>xxxx</t>
  </si>
  <si>
    <t>Flujos de Caja</t>
  </si>
  <si>
    <t>SEMPERTEX</t>
  </si>
  <si>
    <t>*Cifras en Miles</t>
  </si>
  <si>
    <t>LATEX DE COLOMBIA</t>
  </si>
  <si>
    <t>N/A</t>
  </si>
  <si>
    <t>BOMBATEX (Ajustado)</t>
  </si>
  <si>
    <t>DuPont ROE</t>
  </si>
  <si>
    <t>ROA Latex de Colombia</t>
  </si>
  <si>
    <t>ROA Bombatex (Ajustado)</t>
  </si>
  <si>
    <t>ROE Latex de Colombia</t>
  </si>
  <si>
    <t>ROE Bombatex (Ajustado)</t>
  </si>
  <si>
    <t>ROA Sector</t>
  </si>
  <si>
    <t>ROE Sector</t>
  </si>
  <si>
    <t>Indicadores de Cobertura</t>
  </si>
  <si>
    <t>Incremento en Ventas</t>
  </si>
  <si>
    <t>IPC</t>
  </si>
  <si>
    <t>ABNO</t>
  </si>
  <si>
    <t>Depreciación Acumulada</t>
  </si>
  <si>
    <t>Otros Activos no Corrientes Operacionales</t>
  </si>
  <si>
    <t>ACT CTE: Cuentas Por Cobrar</t>
  </si>
  <si>
    <t>ACT CTE: Inventarios</t>
  </si>
  <si>
    <t>PVO CTE: Cuentas por Pagar</t>
  </si>
  <si>
    <t>PVO CTE: Financieros</t>
  </si>
  <si>
    <t>PVO NO CTE: Financieros</t>
  </si>
  <si>
    <t>Utilidades del Periodo</t>
  </si>
  <si>
    <t>Otras Participaciones</t>
  </si>
  <si>
    <t>Otras Reservas</t>
  </si>
  <si>
    <t>CKECK</t>
  </si>
  <si>
    <t>Estado de Situación Financiera</t>
  </si>
  <si>
    <t>UTILIDAD NETA</t>
  </si>
  <si>
    <t>Kd (La última tasa vigente de superfinanciera)</t>
  </si>
  <si>
    <t>UTILIDADES RETENIDAS DEL PERIODO</t>
  </si>
  <si>
    <t>Politica de Dividendos</t>
  </si>
  <si>
    <t>Depreciación Anual</t>
  </si>
  <si>
    <t>Rotación de Cuentas por Cobrar (veces)</t>
  </si>
  <si>
    <t>Rotación de Inventario (veces)</t>
  </si>
  <si>
    <t>Rotación de Proveedores (veces)</t>
  </si>
  <si>
    <t>Ciclo de Efectivo y Ciclo de Negocio</t>
  </si>
  <si>
    <t>Administración del Capital de Trabajo</t>
  </si>
  <si>
    <t>Productividad del KTNO</t>
  </si>
  <si>
    <t>Rotación del AON (veces)</t>
  </si>
  <si>
    <t>PVO NO CTE: Nueva Deuda</t>
  </si>
  <si>
    <t>Rotación de KTNO (veces)</t>
  </si>
  <si>
    <t>Rotación de AFNO (veces)</t>
  </si>
  <si>
    <t>Rotación de ABNO (veces)</t>
  </si>
  <si>
    <t>Rotación de AON (veces)</t>
  </si>
  <si>
    <t>TRU (Tasa de Rención de Utilidades)</t>
  </si>
  <si>
    <t>TIC (Tasa Interna de Crecimiento)</t>
  </si>
  <si>
    <t>Rentabilidad Neta del Activo</t>
  </si>
  <si>
    <t>TCS (Tasa de Crecimiento Sostenible)</t>
  </si>
  <si>
    <t>Rentabilidad Operativa del Patrimonio</t>
  </si>
  <si>
    <t>Porcentaje de los Ingresos</t>
  </si>
  <si>
    <t>Total Costos financieros</t>
  </si>
  <si>
    <t>Costos Financieros Sin Intereses</t>
  </si>
  <si>
    <t>Modelo de Crecimiento</t>
  </si>
  <si>
    <t>Estrcutura Financiera</t>
  </si>
  <si>
    <t>Permanece Igual</t>
  </si>
  <si>
    <t>Check debe quedar en 0</t>
  </si>
  <si>
    <t>Intereses</t>
  </si>
  <si>
    <t>Para el calculo de los intereses se toma un año de gracia</t>
  </si>
  <si>
    <t>Ingresos Financieros</t>
  </si>
  <si>
    <t>Se mantienen constantes</t>
  </si>
  <si>
    <t>Costos Financieros</t>
  </si>
  <si>
    <t>Tienen una parte fija que permanece constante la variable es asociada a la variación en la deuda</t>
  </si>
  <si>
    <t>La inicial permanece constante</t>
  </si>
  <si>
    <t>PVO NO CTE: Otros</t>
  </si>
  <si>
    <t>Otras cuentas ajuste KTNO</t>
  </si>
  <si>
    <t>ROE Promedio del Sector en el 2015</t>
  </si>
  <si>
    <t>Tasa Depreciación</t>
  </si>
  <si>
    <t>Gastos de Administración</t>
  </si>
  <si>
    <t>Depreciación</t>
  </si>
  <si>
    <t>Participación</t>
  </si>
  <si>
    <t>Se toma el porcentaje promedio de depreciaciones entre gastos de administración</t>
  </si>
  <si>
    <t>OTROS PASIVOS NO CORRIENTES</t>
  </si>
  <si>
    <t>OTROS: Cuentas Pvo Cte Operacional</t>
  </si>
  <si>
    <t>Incremento en Ventas (TIC)</t>
  </si>
  <si>
    <t>PRODUCTO INTERNO BRUTO TOTAL Y POR HABITANTE</t>
  </si>
  <si>
    <t>(A precios constantes de 2005)</t>
  </si>
  <si>
    <t>Por habitante</t>
  </si>
  <si>
    <t>Miles de</t>
  </si>
  <si>
    <t>Variación</t>
  </si>
  <si>
    <t>Millones</t>
  </si>
  <si>
    <t>Pesos</t>
  </si>
  <si>
    <t>Dólares</t>
  </si>
  <si>
    <t>Fin de:</t>
  </si>
  <si>
    <t>anual %</t>
  </si>
  <si>
    <t>de dólares</t>
  </si>
  <si>
    <t>de 2005</t>
  </si>
  <si>
    <t>de pesos</t>
  </si>
  <si>
    <t>-</t>
  </si>
  <si>
    <t>2011 (p)</t>
  </si>
  <si>
    <t>2012 (p)</t>
  </si>
  <si>
    <t>2013 (p)</t>
  </si>
  <si>
    <t>2014 (p)</t>
  </si>
  <si>
    <t>2015 (p)</t>
  </si>
  <si>
    <r>
      <t xml:space="preserve">(p)  </t>
    </r>
    <r>
      <rPr>
        <sz val="10"/>
        <rFont val="Arial"/>
        <family val="2"/>
      </rPr>
      <t>Provisional.</t>
    </r>
  </si>
  <si>
    <t>Nota:  PIB en dólares de 2005 = PIB en millones de pesos de 2005 sobre la tasa de cambio nominal</t>
  </si>
  <si>
    <t>promedio de 2005.</t>
  </si>
  <si>
    <t xml:space="preserve">Fuente:  DANE - Dirección de Síntesis y Cuentas Nacionales y Banco de la República, Estudios </t>
  </si>
  <si>
    <t>Económicos - Cuentas Financieras.</t>
  </si>
  <si>
    <t xml:space="preserve"> </t>
  </si>
  <si>
    <t>http://www.banrep.gov.co/es/info-temas-a/4024</t>
  </si>
  <si>
    <t>Índice de precios al consumidor (IPC)</t>
  </si>
  <si>
    <t>1.3.1 Total nacional - Serie histórica para un rango de fechas dado</t>
  </si>
  <si>
    <t>Índice y variación porcentual mensual, año corrido y anual</t>
  </si>
  <si>
    <t>Información disponible desde julio de 1954</t>
  </si>
  <si>
    <t>base: diciembre 2008 = 100</t>
  </si>
  <si>
    <t>Variación mensual (%)</t>
  </si>
  <si>
    <t>Variación año corrido (%)</t>
  </si>
  <si>
    <t>Variación anual (%)</t>
  </si>
  <si>
    <t>Julio</t>
  </si>
  <si>
    <t>0.03770</t>
  </si>
  <si>
    <t>Agosto</t>
  </si>
  <si>
    <t>0.03742</t>
  </si>
  <si>
    <t>-0.76%</t>
  </si>
  <si>
    <t>Septiembre</t>
  </si>
  <si>
    <t>0.03690</t>
  </si>
  <si>
    <t>-1.37%</t>
  </si>
  <si>
    <t>Octubre</t>
  </si>
  <si>
    <t>0.03703</t>
  </si>
  <si>
    <t>0.34%</t>
  </si>
  <si>
    <t>Noviembre</t>
  </si>
  <si>
    <t>0.03713</t>
  </si>
  <si>
    <t>0.27%</t>
  </si>
  <si>
    <t>Diciembre</t>
  </si>
  <si>
    <t>0.03733</t>
  </si>
  <si>
    <t>0.54%</t>
  </si>
  <si>
    <t>Enero</t>
  </si>
  <si>
    <t>0.03726</t>
  </si>
  <si>
    <t>-0.17%</t>
  </si>
  <si>
    <t>Febrero</t>
  </si>
  <si>
    <t>0.03724</t>
  </si>
  <si>
    <t>-0.07%</t>
  </si>
  <si>
    <t>-0.23%</t>
  </si>
  <si>
    <t>Marzo</t>
  </si>
  <si>
    <t>0.03739</t>
  </si>
  <si>
    <t>0.40%</t>
  </si>
  <si>
    <t>0.17%</t>
  </si>
  <si>
    <t>Abril</t>
  </si>
  <si>
    <t>0.03765</t>
  </si>
  <si>
    <t>0.70%</t>
  </si>
  <si>
    <t>0.87%</t>
  </si>
  <si>
    <t>Mayo</t>
  </si>
  <si>
    <t>0.03749</t>
  </si>
  <si>
    <t>-0.43%</t>
  </si>
  <si>
    <t>0.43%</t>
  </si>
  <si>
    <t>Junio</t>
  </si>
  <si>
    <t>0.03746</t>
  </si>
  <si>
    <t>0.37%</t>
  </si>
  <si>
    <t>0.03738</t>
  </si>
  <si>
    <t>0.13%</t>
  </si>
  <si>
    <t>-0.87%</t>
  </si>
  <si>
    <t>0.03741</t>
  </si>
  <si>
    <t>0.10%</t>
  </si>
  <si>
    <t>0.23%</t>
  </si>
  <si>
    <t>-0.01%</t>
  </si>
  <si>
    <t>0.03721</t>
  </si>
  <si>
    <t>-0.53%</t>
  </si>
  <si>
    <t>-0.30%</t>
  </si>
  <si>
    <t>0.84%</t>
  </si>
  <si>
    <t>0.03731</t>
  </si>
  <si>
    <t>-0.04%</t>
  </si>
  <si>
    <t>0.77%</t>
  </si>
  <si>
    <t>0.03766</t>
  </si>
  <si>
    <t>0.94%</t>
  </si>
  <si>
    <t>0.90%</t>
  </si>
  <si>
    <t>1.44%</t>
  </si>
  <si>
    <t>0.03808</t>
  </si>
  <si>
    <t>1.12%</t>
  </si>
  <si>
    <t>2.03%</t>
  </si>
  <si>
    <t>0.03805</t>
  </si>
  <si>
    <t>-0.10%</t>
  </si>
  <si>
    <t>2.10%</t>
  </si>
  <si>
    <t>0.03820</t>
  </si>
  <si>
    <t>0.39%</t>
  </si>
  <si>
    <t>0.29%</t>
  </si>
  <si>
    <t>2.57%</t>
  </si>
  <si>
    <t>0.03855</t>
  </si>
  <si>
    <t>0.91%</t>
  </si>
  <si>
    <t>1.21%</t>
  </si>
  <si>
    <t>3.10%</t>
  </si>
  <si>
    <t>0.03879</t>
  </si>
  <si>
    <t>0.65%</t>
  </si>
  <si>
    <t>3.04%</t>
  </si>
  <si>
    <t>0.03908</t>
  </si>
  <si>
    <t>0.74%</t>
  </si>
  <si>
    <t>4.25%</t>
  </si>
  <si>
    <t>0.03944</t>
  </si>
  <si>
    <t>0.92%</t>
  </si>
  <si>
    <t>5.28%</t>
  </si>
  <si>
    <t>0.03975</t>
  </si>
  <si>
    <t>0.79%</t>
  </si>
  <si>
    <t>4.38%</t>
  </si>
  <si>
    <t>6.36%</t>
  </si>
  <si>
    <t>0.03957</t>
  </si>
  <si>
    <t>-0.47%</t>
  </si>
  <si>
    <t>5.76%</t>
  </si>
  <si>
    <t>0.03992</t>
  </si>
  <si>
    <t>0.88%</t>
  </si>
  <si>
    <t>7.26%</t>
  </si>
  <si>
    <t>0.04041</t>
  </si>
  <si>
    <t>1.25%</t>
  </si>
  <si>
    <t>8.31%</t>
  </si>
  <si>
    <t>0.04099</t>
  </si>
  <si>
    <t>1.42%</t>
  </si>
  <si>
    <t>7.62%</t>
  </si>
  <si>
    <t>8.83%</t>
  </si>
  <si>
    <t>0.04110</t>
  </si>
  <si>
    <t>7.91%</t>
  </si>
  <si>
    <t>0.04158</t>
  </si>
  <si>
    <t>1.18%</t>
  </si>
  <si>
    <t>9.30%</t>
  </si>
  <si>
    <t>0.04213</t>
  </si>
  <si>
    <t>1.32%</t>
  </si>
  <si>
    <t>2.52%</t>
  </si>
  <si>
    <t>10.30%</t>
  </si>
  <si>
    <t>0.04287</t>
  </si>
  <si>
    <t>1.74%</t>
  </si>
  <si>
    <t>11.21%</t>
  </si>
  <si>
    <t>0.04382</t>
  </si>
  <si>
    <t>2.24%</t>
  </si>
  <si>
    <t>12.97%</t>
  </si>
  <si>
    <t>0.04439</t>
  </si>
  <si>
    <t>1.28%</t>
  </si>
  <si>
    <t>13.58%</t>
  </si>
  <si>
    <t>0.04620</t>
  </si>
  <si>
    <t>4.10%</t>
  </si>
  <si>
    <t>17.15%</t>
  </si>
  <si>
    <t>0.04746</t>
  </si>
  <si>
    <t>2.72%</t>
  </si>
  <si>
    <t>19.39%</t>
  </si>
  <si>
    <t>0.04805</t>
  </si>
  <si>
    <t>1.23%</t>
  </si>
  <si>
    <t>21.43%</t>
  </si>
  <si>
    <t>0.04827</t>
  </si>
  <si>
    <t>0.46%</t>
  </si>
  <si>
    <t>20.93%</t>
  </si>
  <si>
    <t>0.04897</t>
  </si>
  <si>
    <t>21.17%</t>
  </si>
  <si>
    <t>0.04912</t>
  </si>
  <si>
    <t>0.31%</t>
  </si>
  <si>
    <t>19.51%</t>
  </si>
  <si>
    <t>19.84%</t>
  </si>
  <si>
    <t>0.04960</t>
  </si>
  <si>
    <t>0.99%</t>
  </si>
  <si>
    <t>20.69%</t>
  </si>
  <si>
    <t>0.04968</t>
  </si>
  <si>
    <t>0.15%</t>
  </si>
  <si>
    <t>19.46%</t>
  </si>
  <si>
    <t>0.04974</t>
  </si>
  <si>
    <t>0.12%</t>
  </si>
  <si>
    <t>0.28%</t>
  </si>
  <si>
    <t>18.05%</t>
  </si>
  <si>
    <t>0.05052</t>
  </si>
  <si>
    <t>1.58%</t>
  </si>
  <si>
    <t>17.86%</t>
  </si>
  <si>
    <t>0.05138</t>
  </si>
  <si>
    <t>1.70%</t>
  </si>
  <si>
    <t>17.24%</t>
  </si>
  <si>
    <t>0.05240</t>
  </si>
  <si>
    <t>1.99%</t>
  </si>
  <si>
    <t>5.65%</t>
  </si>
  <si>
    <t>18.06%</t>
  </si>
  <si>
    <t>0.05263</t>
  </si>
  <si>
    <t>13.90%</t>
  </si>
  <si>
    <t>0.05268</t>
  </si>
  <si>
    <t>0.09%</t>
  </si>
  <si>
    <t>10.99%</t>
  </si>
  <si>
    <t>0.05308</t>
  </si>
  <si>
    <t>0.76%</t>
  </si>
  <si>
    <t>10.47%</t>
  </si>
  <si>
    <t>0.05316</t>
  </si>
  <si>
    <t>0.16%</t>
  </si>
  <si>
    <t>7.18%</t>
  </si>
  <si>
    <t>10.14%</t>
  </si>
  <si>
    <t>0.05334</t>
  </si>
  <si>
    <t>0.33%</t>
  </si>
  <si>
    <t>8.92%</t>
  </si>
  <si>
    <t>0.05331</t>
  </si>
  <si>
    <t>-0.05%</t>
  </si>
  <si>
    <t>8.54%</t>
  </si>
  <si>
    <t>0.05356</t>
  </si>
  <si>
    <t>0.47%</t>
  </si>
  <si>
    <t>7.98%</t>
  </si>
  <si>
    <t>0.05438</t>
  </si>
  <si>
    <t>1.54%</t>
  </si>
  <si>
    <t>9.47%</t>
  </si>
  <si>
    <t>0.05488</t>
  </si>
  <si>
    <t>10.34%</t>
  </si>
  <si>
    <t>0.05512</t>
  </si>
  <si>
    <t>9.09%</t>
  </si>
  <si>
    <t>0.05599</t>
  </si>
  <si>
    <t>4.54%</t>
  </si>
  <si>
    <t>8.96%</t>
  </si>
  <si>
    <t>0.05640</t>
  </si>
  <si>
    <t>0.73%</t>
  </si>
  <si>
    <t>0.05677</t>
  </si>
  <si>
    <t>0.66%</t>
  </si>
  <si>
    <t>6.00%</t>
  </si>
  <si>
    <t>7.87%</t>
  </si>
  <si>
    <t>0.05711</t>
  </si>
  <si>
    <t>0.59%</t>
  </si>
  <si>
    <t>8.41%</t>
  </si>
  <si>
    <t>0.05721</t>
  </si>
  <si>
    <t>6.81%</t>
  </si>
  <si>
    <t>7.78%</t>
  </si>
  <si>
    <t>0.05701</t>
  </si>
  <si>
    <t>-0.35%</t>
  </si>
  <si>
    <t>7.23%</t>
  </si>
  <si>
    <t>0.05714</t>
  </si>
  <si>
    <t>0.24%</t>
  </si>
  <si>
    <t>7.14%</t>
  </si>
  <si>
    <t>0.05727</t>
  </si>
  <si>
    <t>0.22%</t>
  </si>
  <si>
    <t>7.42%</t>
  </si>
  <si>
    <t>0.05774</t>
  </si>
  <si>
    <t>0.83%</t>
  </si>
  <si>
    <t>7.81%</t>
  </si>
  <si>
    <t>0.05793</t>
  </si>
  <si>
    <t>0.32%</t>
  </si>
  <si>
    <t>6.52%</t>
  </si>
  <si>
    <t>0.05775</t>
  </si>
  <si>
    <t>0.02%</t>
  </si>
  <si>
    <t>5.24%</t>
  </si>
  <si>
    <t>0.05850</t>
  </si>
  <si>
    <t>1.29%</t>
  </si>
  <si>
    <t>6.14%</t>
  </si>
  <si>
    <t>0.05906</t>
  </si>
  <si>
    <t>0.96%</t>
  </si>
  <si>
    <t>2.29%</t>
  </si>
  <si>
    <t>5.49%</t>
  </si>
  <si>
    <t>0.05951</t>
  </si>
  <si>
    <t>3.06%</t>
  </si>
  <si>
    <t>5.52%</t>
  </si>
  <si>
    <t>0.05957</t>
  </si>
  <si>
    <t>3.17%</t>
  </si>
  <si>
    <t>4.93%</t>
  </si>
  <si>
    <t>0.05984</t>
  </si>
  <si>
    <t>4.79%</t>
  </si>
  <si>
    <t>0.06004</t>
  </si>
  <si>
    <t>4.96%</t>
  </si>
  <si>
    <t>0.06018</t>
  </si>
  <si>
    <t>5.57%</t>
  </si>
  <si>
    <t>0.06064</t>
  </si>
  <si>
    <t>5.02%</t>
  </si>
  <si>
    <t>6.12%</t>
  </si>
  <si>
    <t>0.06135</t>
  </si>
  <si>
    <t>1.17%</t>
  </si>
  <si>
    <t>6.25%</t>
  </si>
  <si>
    <t>7.13%</t>
  </si>
  <si>
    <t>0.06199</t>
  </si>
  <si>
    <t>1.04%</t>
  </si>
  <si>
    <t>7.35%</t>
  </si>
  <si>
    <t>0.06232</t>
  </si>
  <si>
    <t>7.59%</t>
  </si>
  <si>
    <t>0.06258</t>
  </si>
  <si>
    <t>0.42%</t>
  </si>
  <si>
    <t>8.36%</t>
  </si>
  <si>
    <t>0.06359</t>
  </si>
  <si>
    <t>1.61%</t>
  </si>
  <si>
    <t>2.59%</t>
  </si>
  <si>
    <t>8.70%</t>
  </si>
  <si>
    <t>0.06489</t>
  </si>
  <si>
    <t>2.04%</t>
  </si>
  <si>
    <t>9.87%</t>
  </si>
  <si>
    <t>0.06560</t>
  </si>
  <si>
    <t>1.10%</t>
  </si>
  <si>
    <t>10.23%</t>
  </si>
  <si>
    <t>0.06569</t>
  </si>
  <si>
    <t>5.97%</t>
  </si>
  <si>
    <t>10.27%</t>
  </si>
  <si>
    <t>0.06585</t>
  </si>
  <si>
    <t>6.23%</t>
  </si>
  <si>
    <t>10.03%</t>
  </si>
  <si>
    <t>0.06509</t>
  </si>
  <si>
    <t>-1.16%</t>
  </si>
  <si>
    <t>8.40%</t>
  </si>
  <si>
    <t>0.06467</t>
  </si>
  <si>
    <t>-0.63%</t>
  </si>
  <si>
    <t>4.34%</t>
  </si>
  <si>
    <t>7.47%</t>
  </si>
  <si>
    <t>0.06477</t>
  </si>
  <si>
    <t>0.06511</t>
  </si>
  <si>
    <t>0.52%</t>
  </si>
  <si>
    <t>5.04%</t>
  </si>
  <si>
    <t>6.13%</t>
  </si>
  <si>
    <t>0.06554</t>
  </si>
  <si>
    <t>0.67%</t>
  </si>
  <si>
    <t>5.74%</t>
  </si>
  <si>
    <t>0.06583</t>
  </si>
  <si>
    <t>0.44%</t>
  </si>
  <si>
    <t>5.63%</t>
  </si>
  <si>
    <t>0.06589</t>
  </si>
  <si>
    <t>0.53%</t>
  </si>
  <si>
    <t>5.29%</t>
  </si>
  <si>
    <t>0.06648</t>
  </si>
  <si>
    <t>0.89%</t>
  </si>
  <si>
    <t>0.06726</t>
  </si>
  <si>
    <t>3.66%</t>
  </si>
  <si>
    <t>0.06732</t>
  </si>
  <si>
    <t>2.63%</t>
  </si>
  <si>
    <t>0.06737</t>
  </si>
  <si>
    <t>0.07%</t>
  </si>
  <si>
    <t>2.79%</t>
  </si>
  <si>
    <t>0.06802</t>
  </si>
  <si>
    <t>3.30%</t>
  </si>
  <si>
    <t>0.06805</t>
  </si>
  <si>
    <t>0.04%</t>
  </si>
  <si>
    <t>3.82%</t>
  </si>
  <si>
    <t>4.55%</t>
  </si>
  <si>
    <t>0.06846</t>
  </si>
  <si>
    <t>0.60%</t>
  </si>
  <si>
    <t>5.85%</t>
  </si>
  <si>
    <t>0.06867</t>
  </si>
  <si>
    <t>6.01%</t>
  </si>
  <si>
    <t>0.06912</t>
  </si>
  <si>
    <t>6.15%</t>
  </si>
  <si>
    <t>0.06968</t>
  </si>
  <si>
    <t>0.81%</t>
  </si>
  <si>
    <t>6.30%</t>
  </si>
  <si>
    <t>0.07228</t>
  </si>
  <si>
    <t>3.74%</t>
  </si>
  <si>
    <t>9.79%</t>
  </si>
  <si>
    <t>0.07666</t>
  </si>
  <si>
    <t>6.06%</t>
  </si>
  <si>
    <t>16.34%</t>
  </si>
  <si>
    <t>0.08063</t>
  </si>
  <si>
    <t>5.18%</t>
  </si>
  <si>
    <t>21.29%</t>
  </si>
  <si>
    <t>0.08413</t>
  </si>
  <si>
    <t>25.08%</t>
  </si>
  <si>
    <t>0.08518</t>
  </si>
  <si>
    <t>1.24%</t>
  </si>
  <si>
    <t>26.52%</t>
  </si>
  <si>
    <t>0.08707</t>
  </si>
  <si>
    <t>2.22%</t>
  </si>
  <si>
    <t>29.24%</t>
  </si>
  <si>
    <t>0.08774</t>
  </si>
  <si>
    <t>28.99%</t>
  </si>
  <si>
    <t>0.08797</t>
  </si>
  <si>
    <t>0.26%</t>
  </si>
  <si>
    <t>29.28%</t>
  </si>
  <si>
    <t>0.08887</t>
  </si>
  <si>
    <t>1.03%</t>
  </si>
  <si>
    <t>29.83%</t>
  </si>
  <si>
    <t>0.09033</t>
  </si>
  <si>
    <t>1.64%</t>
  </si>
  <si>
    <t>29.65%</t>
  </si>
  <si>
    <t>31.55%</t>
  </si>
  <si>
    <t>0.09223</t>
  </si>
  <si>
    <t>33.44%</t>
  </si>
  <si>
    <t>0.09309</t>
  </si>
  <si>
    <t>0.93%</t>
  </si>
  <si>
    <t>0.09444</t>
  </si>
  <si>
    <t>1.46%</t>
  </si>
  <si>
    <t>30.67%</t>
  </si>
  <si>
    <t>0.09497</t>
  </si>
  <si>
    <t>0.55%</t>
  </si>
  <si>
    <t>2.02%</t>
  </si>
  <si>
    <t>23.88%</t>
  </si>
  <si>
    <t>0.09717</t>
  </si>
  <si>
    <t>2.32%</t>
  </si>
  <si>
    <t>20.51%</t>
  </si>
  <si>
    <t>0.09942</t>
  </si>
  <si>
    <t>18.18%</t>
  </si>
  <si>
    <t>0.10258</t>
  </si>
  <si>
    <t>20.43%</t>
  </si>
  <si>
    <t>0.10412</t>
  </si>
  <si>
    <t>1.51%</t>
  </si>
  <si>
    <t>11.86%</t>
  </si>
  <si>
    <t>19.58%</t>
  </si>
  <si>
    <t>0.10325</t>
  </si>
  <si>
    <t>-0.84%</t>
  </si>
  <si>
    <t>17.67%</t>
  </si>
  <si>
    <t>0.10171</t>
  </si>
  <si>
    <t>-1.49%</t>
  </si>
  <si>
    <t>15.63%</t>
  </si>
  <si>
    <t>0.10105</t>
  </si>
  <si>
    <t>-0.65%</t>
  </si>
  <si>
    <t>13.70%</t>
  </si>
  <si>
    <t>0.10028</t>
  </si>
  <si>
    <t>-0.77%</t>
  </si>
  <si>
    <t>7.73%</t>
  </si>
  <si>
    <t>11.01%</t>
  </si>
  <si>
    <t>0.10110</t>
  </si>
  <si>
    <t>0.82%</t>
  </si>
  <si>
    <t>9.62%</t>
  </si>
  <si>
    <t>0.10127</t>
  </si>
  <si>
    <t>8.80%</t>
  </si>
  <si>
    <t>0.10271</t>
  </si>
  <si>
    <t>1.41%</t>
  </si>
  <si>
    <t>8.75%</t>
  </si>
  <si>
    <t>-0.97%</t>
  </si>
  <si>
    <t>7.10%</t>
  </si>
  <si>
    <t>0.10315</t>
  </si>
  <si>
    <t>1.85%</t>
  </si>
  <si>
    <t>6.16%</t>
  </si>
  <si>
    <t>0.10496</t>
  </si>
  <si>
    <t>1.75%</t>
  </si>
  <si>
    <t>0.10627</t>
  </si>
  <si>
    <t>3.60%</t>
  </si>
  <si>
    <t>0.10789</t>
  </si>
  <si>
    <t>1.52%</t>
  </si>
  <si>
    <t>3.61%</t>
  </si>
  <si>
    <t>0.10797</t>
  </si>
  <si>
    <t>0.08%</t>
  </si>
  <si>
    <t>4.57%</t>
  </si>
  <si>
    <t>0.10819</t>
  </si>
  <si>
    <t>0.21%</t>
  </si>
  <si>
    <t>6.37%</t>
  </si>
  <si>
    <t>0.10919</t>
  </si>
  <si>
    <t>8.05%</t>
  </si>
  <si>
    <t>0.11154</t>
  </si>
  <si>
    <t>2.16%</t>
  </si>
  <si>
    <t>11.23%</t>
  </si>
  <si>
    <t>0.11310</t>
  </si>
  <si>
    <t>1.40%</t>
  </si>
  <si>
    <t>0.11590</t>
  </si>
  <si>
    <t>2.48%</t>
  </si>
  <si>
    <t>14.44%</t>
  </si>
  <si>
    <t>0.11739</t>
  </si>
  <si>
    <t>14.30%</t>
  </si>
  <si>
    <t>0.11890</t>
  </si>
  <si>
    <t>16.90%</t>
  </si>
  <si>
    <t>0.12181</t>
  </si>
  <si>
    <t>2.45%</t>
  </si>
  <si>
    <t>5.10%</t>
  </si>
  <si>
    <t>18.09%</t>
  </si>
  <si>
    <t>0.12544</t>
  </si>
  <si>
    <t>2.98%</t>
  </si>
  <si>
    <t>0.12691</t>
  </si>
  <si>
    <t>19.42%</t>
  </si>
  <si>
    <t>0.12683</t>
  </si>
  <si>
    <t>-0.06%</t>
  </si>
  <si>
    <t>17.56%</t>
  </si>
  <si>
    <t>0.12695</t>
  </si>
  <si>
    <t>17.58%</t>
  </si>
  <si>
    <t>0.12663</t>
  </si>
  <si>
    <t>-0.26%</t>
  </si>
  <si>
    <t>17.04%</t>
  </si>
  <si>
    <t>0.12801</t>
  </si>
  <si>
    <t>1.09%</t>
  </si>
  <si>
    <t>0.12939</t>
  </si>
  <si>
    <t>1.08%</t>
  </si>
  <si>
    <t>0.12973</t>
  </si>
  <si>
    <t>14.70%</t>
  </si>
  <si>
    <t>0.13081</t>
  </si>
  <si>
    <t>12.86%</t>
  </si>
  <si>
    <t>0.13149</t>
  </si>
  <si>
    <t>12.01%</t>
  </si>
  <si>
    <t>0.13209</t>
  </si>
  <si>
    <t>0.45%</t>
  </si>
  <si>
    <t>0.98%</t>
  </si>
  <si>
    <t>11.09%</t>
  </si>
  <si>
    <t>0.13354</t>
  </si>
  <si>
    <t>0.13406</t>
  </si>
  <si>
    <t>6.87%</t>
  </si>
  <si>
    <t>0.13490</t>
  </si>
  <si>
    <t>0.63%</t>
  </si>
  <si>
    <t>3.13%</t>
  </si>
  <si>
    <t>0.13728</t>
  </si>
  <si>
    <t>1.76%</t>
  </si>
  <si>
    <t>8.24%</t>
  </si>
  <si>
    <t>0.13749</t>
  </si>
  <si>
    <t>8.30%</t>
  </si>
  <si>
    <t>0.13727</t>
  </si>
  <si>
    <t>-0.16%</t>
  </si>
  <si>
    <t>0.13774</t>
  </si>
  <si>
    <t>7.60%</t>
  </si>
  <si>
    <t>0.13881</t>
  </si>
  <si>
    <t>0.78%</t>
  </si>
  <si>
    <t>7.28%</t>
  </si>
  <si>
    <t>0.13958</t>
  </si>
  <si>
    <t>0.56%</t>
  </si>
  <si>
    <t>6.71%</t>
  </si>
  <si>
    <t>0.14019</t>
  </si>
  <si>
    <t>7.17%</t>
  </si>
  <si>
    <t>0.14159</t>
  </si>
  <si>
    <t>7.68%</t>
  </si>
  <si>
    <t>0.14157</t>
  </si>
  <si>
    <t>0.14307</t>
  </si>
  <si>
    <t>1.05%</t>
  </si>
  <si>
    <t>0.14542</t>
  </si>
  <si>
    <t>3.73%</t>
  </si>
  <si>
    <t>8.48%</t>
  </si>
  <si>
    <t>0.14639</t>
  </si>
  <si>
    <t>4.42%</t>
  </si>
  <si>
    <t>8.52%</t>
  </si>
  <si>
    <t>0.14695</t>
  </si>
  <si>
    <t>0.38%</t>
  </si>
  <si>
    <t>7.04%</t>
  </si>
  <si>
    <t>0.14812</t>
  </si>
  <si>
    <t>0.80%</t>
  </si>
  <si>
    <t>0.14777</t>
  </si>
  <si>
    <t>-0.24%</t>
  </si>
  <si>
    <t>5.41%</t>
  </si>
  <si>
    <t>7.65%</t>
  </si>
  <si>
    <t>0.14797</t>
  </si>
  <si>
    <t>7.43%</t>
  </si>
  <si>
    <t>0.14848</t>
  </si>
  <si>
    <t>0.35%</t>
  </si>
  <si>
    <t>6.97%</t>
  </si>
  <si>
    <t>0.14951</t>
  </si>
  <si>
    <t>7.12%</t>
  </si>
  <si>
    <t>0.14932</t>
  </si>
  <si>
    <t>-0.13%</t>
  </si>
  <si>
    <t>6.51%</t>
  </si>
  <si>
    <t>0.15108</t>
  </si>
  <si>
    <t>0.15065</t>
  </si>
  <si>
    <t>-0.29%</t>
  </si>
  <si>
    <t>6.41%</t>
  </si>
  <si>
    <t>0.15189</t>
  </si>
  <si>
    <t>1.72%</t>
  </si>
  <si>
    <t>6.17%</t>
  </si>
  <si>
    <t>0.15441</t>
  </si>
  <si>
    <t>1.66%</t>
  </si>
  <si>
    <t>3.41%</t>
  </si>
  <si>
    <t>6.18%</t>
  </si>
  <si>
    <t>0.15579</t>
  </si>
  <si>
    <t>6.42%</t>
  </si>
  <si>
    <t>0.15662</t>
  </si>
  <si>
    <t>6.58%</t>
  </si>
  <si>
    <t>0.15724</t>
  </si>
  <si>
    <t>0.15783</t>
  </si>
  <si>
    <t>0.15885</t>
  </si>
  <si>
    <t>6.39%</t>
  </si>
  <si>
    <t>0.16091</t>
  </si>
  <si>
    <t>8.37%</t>
  </si>
  <si>
    <t>0.16131</t>
  </si>
  <si>
    <t>0.25%</t>
  </si>
  <si>
    <t>7.89%</t>
  </si>
  <si>
    <t>0.16220</t>
  </si>
  <si>
    <t>8.63%</t>
  </si>
  <si>
    <t>0.00%</t>
  </si>
  <si>
    <t>7.36%</t>
  </si>
  <si>
    <t>0.16223</t>
  </si>
  <si>
    <t>7.69%</t>
  </si>
  <si>
    <t>0.16361</t>
  </si>
  <si>
    <t>0.85%</t>
  </si>
  <si>
    <t>7.72%</t>
  </si>
  <si>
    <t>0.16588</t>
  </si>
  <si>
    <t>1.39%</t>
  </si>
  <si>
    <t>2.27%</t>
  </si>
  <si>
    <t>0.16671</t>
  </si>
  <si>
    <t>0.50%</t>
  </si>
  <si>
    <t>7.01%</t>
  </si>
  <si>
    <t>0.16847</t>
  </si>
  <si>
    <t>7.56%</t>
  </si>
  <si>
    <t>0.16894</t>
  </si>
  <si>
    <t>7.44%</t>
  </si>
  <si>
    <t>0.16797</t>
  </si>
  <si>
    <t>-0.58%</t>
  </si>
  <si>
    <t>6.43%</t>
  </si>
  <si>
    <t>0.16919</t>
  </si>
  <si>
    <t>4.31%</t>
  </si>
  <si>
    <t>0.16930</t>
  </si>
  <si>
    <t>5.22%</t>
  </si>
  <si>
    <t>0.17119</t>
  </si>
  <si>
    <t>0.17287</t>
  </si>
  <si>
    <t>0.17560</t>
  </si>
  <si>
    <t>8.26%</t>
  </si>
  <si>
    <t>0.17708</t>
  </si>
  <si>
    <t>9.15%</t>
  </si>
  <si>
    <t>0.17884</t>
  </si>
  <si>
    <t>0.18210</t>
  </si>
  <si>
    <t>1.83%</t>
  </si>
  <si>
    <t>9.78%</t>
  </si>
  <si>
    <t>0.18428</t>
  </si>
  <si>
    <t>1.20%</t>
  </si>
  <si>
    <t>10.54%</t>
  </si>
  <si>
    <t>0.18531</t>
  </si>
  <si>
    <t>10.00%</t>
  </si>
  <si>
    <t>0.18785</t>
  </si>
  <si>
    <t>1.37%</t>
  </si>
  <si>
    <t>11.19%</t>
  </si>
  <si>
    <t>0.18986</t>
  </si>
  <si>
    <t>1.07%</t>
  </si>
  <si>
    <t>13.03%</t>
  </si>
  <si>
    <t>0.19142</t>
  </si>
  <si>
    <t>13.14%</t>
  </si>
  <si>
    <t>0.19411</t>
  </si>
  <si>
    <t>14.65%</t>
  </si>
  <si>
    <t>0.19619</t>
  </si>
  <si>
    <t>14.60%</t>
  </si>
  <si>
    <t>0.19713</t>
  </si>
  <si>
    <t>0.48%</t>
  </si>
  <si>
    <t>14.03%</t>
  </si>
  <si>
    <t>0.19931</t>
  </si>
  <si>
    <t>13.50%</t>
  </si>
  <si>
    <t>0.20160</t>
  </si>
  <si>
    <t>1.15%</t>
  </si>
  <si>
    <t>13.84%</t>
  </si>
  <si>
    <t>0.20357</t>
  </si>
  <si>
    <t>3.27%</t>
  </si>
  <si>
    <t>13.83%</t>
  </si>
  <si>
    <t>0.20661</t>
  </si>
  <si>
    <t>1.49%</t>
  </si>
  <si>
    <t>13.46%</t>
  </si>
  <si>
    <t>0.20827</t>
  </si>
  <si>
    <t>13.02%</t>
  </si>
  <si>
    <t>0.21046</t>
  </si>
  <si>
    <t>13.57%</t>
  </si>
  <si>
    <t>0.21292</t>
  </si>
  <si>
    <t>8.01%</t>
  </si>
  <si>
    <t>13.34%</t>
  </si>
  <si>
    <t>0.21436</t>
  </si>
  <si>
    <t>0.68%</t>
  </si>
  <si>
    <t>12.90%</t>
  </si>
  <si>
    <t>0.21746</t>
  </si>
  <si>
    <t>1.45%</t>
  </si>
  <si>
    <t>13.60%</t>
  </si>
  <si>
    <t>0.22174</t>
  </si>
  <si>
    <t>1.97%</t>
  </si>
  <si>
    <t>14.24%</t>
  </si>
  <si>
    <t>0.22426</t>
  </si>
  <si>
    <t>1.13%</t>
  </si>
  <si>
    <t>14.31%</t>
  </si>
  <si>
    <t>0.22471</t>
  </si>
  <si>
    <t>0.20%</t>
  </si>
  <si>
    <t>13.99%</t>
  </si>
  <si>
    <t>0.22711</t>
  </si>
  <si>
    <t>13.95%</t>
  </si>
  <si>
    <t>0.23171</t>
  </si>
  <si>
    <t>3.11%</t>
  </si>
  <si>
    <t>14.94%</t>
  </si>
  <si>
    <t>0.23972</t>
  </si>
  <si>
    <t>3.46%</t>
  </si>
  <si>
    <t>17.75%</t>
  </si>
  <si>
    <t>0.24812</t>
  </si>
  <si>
    <t>3.51%</t>
  </si>
  <si>
    <t>20.09%</t>
  </si>
  <si>
    <t>0.25555</t>
  </si>
  <si>
    <t>2.99%</t>
  </si>
  <si>
    <t>22.70%</t>
  </si>
  <si>
    <t>0.26049</t>
  </si>
  <si>
    <t>1.93%</t>
  </si>
  <si>
    <t>23.77%</t>
  </si>
  <si>
    <t>0.26567</t>
  </si>
  <si>
    <t>24.78%</t>
  </si>
  <si>
    <t>0.26459</t>
  </si>
  <si>
    <t>-0.41%</t>
  </si>
  <si>
    <t>23.44%</t>
  </si>
  <si>
    <t>0.26825</t>
  </si>
  <si>
    <t>1.38%</t>
  </si>
  <si>
    <t>23.36%</t>
  </si>
  <si>
    <t>0.26973</t>
  </si>
  <si>
    <t>21.64%</t>
  </si>
  <si>
    <t>0.27558</t>
  </si>
  <si>
    <t>2.17%</t>
  </si>
  <si>
    <t>22.89%</t>
  </si>
  <si>
    <t>0.27883</t>
  </si>
  <si>
    <t>24.08%</t>
  </si>
  <si>
    <t>0.28679</t>
  </si>
  <si>
    <t>2.85%</t>
  </si>
  <si>
    <t>26.28%</t>
  </si>
  <si>
    <t>0.29406</t>
  </si>
  <si>
    <t>2.54%</t>
  </si>
  <si>
    <t>26.91%</t>
  </si>
  <si>
    <t>0.30373</t>
  </si>
  <si>
    <t>3.29%</t>
  </si>
  <si>
    <t>26.70%</t>
  </si>
  <si>
    <t>0.31198</t>
  </si>
  <si>
    <t>25.73%</t>
  </si>
  <si>
    <t>0.31567</t>
  </si>
  <si>
    <t>1.19%</t>
  </si>
  <si>
    <t>13.21%</t>
  </si>
  <si>
    <t>23.53%</t>
  </si>
  <si>
    <t>0.31897</t>
  </si>
  <si>
    <t>22.45%</t>
  </si>
  <si>
    <t>0.32200</t>
  </si>
  <si>
    <t>0.95%</t>
  </si>
  <si>
    <t>21.20%</t>
  </si>
  <si>
    <t>0.32297</t>
  </si>
  <si>
    <t>0.30%</t>
  </si>
  <si>
    <t>22.06%</t>
  </si>
  <si>
    <t>0.32796</t>
  </si>
  <si>
    <t>1.55%</t>
  </si>
  <si>
    <t>17.62%</t>
  </si>
  <si>
    <t>22.26%</t>
  </si>
  <si>
    <t>0.34175</t>
  </si>
  <si>
    <t>4.20%</t>
  </si>
  <si>
    <t>0.34565</t>
  </si>
  <si>
    <t>1.14%</t>
  </si>
  <si>
    <t>25.42%</t>
  </si>
  <si>
    <t>0.35231</t>
  </si>
  <si>
    <t>26.35%</t>
  </si>
  <si>
    <t>0.36240</t>
  </si>
  <si>
    <t>2.86%</t>
  </si>
  <si>
    <t>26.36%</t>
  </si>
  <si>
    <t>0.36844</t>
  </si>
  <si>
    <t>1.67%</t>
  </si>
  <si>
    <t>4.58%</t>
  </si>
  <si>
    <t>25.29%</t>
  </si>
  <si>
    <t>0.37855</t>
  </si>
  <si>
    <t>2.74%</t>
  </si>
  <si>
    <t>7.45%</t>
  </si>
  <si>
    <t>24.63%</t>
  </si>
  <si>
    <t>0.38805</t>
  </si>
  <si>
    <t>2.51%</t>
  </si>
  <si>
    <t>24.39%</t>
  </si>
  <si>
    <t>0.39515</t>
  </si>
  <si>
    <t>25.18%</t>
  </si>
  <si>
    <t>0.39806</t>
  </si>
  <si>
    <t>24.80%</t>
  </si>
  <si>
    <t>0.40044</t>
  </si>
  <si>
    <t>24.36%</t>
  </si>
  <si>
    <t>23.99%</t>
  </si>
  <si>
    <t>0.40586</t>
  </si>
  <si>
    <t>1.35%</t>
  </si>
  <si>
    <t>23.75%</t>
  </si>
  <si>
    <t>0.40980</t>
  </si>
  <si>
    <t>0.97%</t>
  </si>
  <si>
    <t>19.91%</t>
  </si>
  <si>
    <t>0.41219</t>
  </si>
  <si>
    <t>0.58%</t>
  </si>
  <si>
    <t>19.25%</t>
  </si>
  <si>
    <t>0.41492</t>
  </si>
  <si>
    <t>17.77%</t>
  </si>
  <si>
    <t>0.42442</t>
  </si>
  <si>
    <t>17.11%</t>
  </si>
  <si>
    <t>0.43422</t>
  </si>
  <si>
    <t>2.31%</t>
  </si>
  <si>
    <t>0.44337</t>
  </si>
  <si>
    <t>2.11%</t>
  </si>
  <si>
    <t>17.12%</t>
  </si>
  <si>
    <t>0.45149</t>
  </si>
  <si>
    <t>16.35%</t>
  </si>
  <si>
    <t>0.45714</t>
  </si>
  <si>
    <t>15.69%</t>
  </si>
  <si>
    <t>0.46864</t>
  </si>
  <si>
    <t>17.73%</t>
  </si>
  <si>
    <t>0.48085</t>
  </si>
  <si>
    <t>2.61%</t>
  </si>
  <si>
    <t>20.08%</t>
  </si>
  <si>
    <t>0.48781</t>
  </si>
  <si>
    <t>21.82%</t>
  </si>
  <si>
    <t>0.49622</t>
  </si>
  <si>
    <t>22.27%</t>
  </si>
  <si>
    <t>0.50423</t>
  </si>
  <si>
    <t>23.04%</t>
  </si>
  <si>
    <t>0.51651</t>
  </si>
  <si>
    <t>2.44%</t>
  </si>
  <si>
    <t>25.31%</t>
  </si>
  <si>
    <t>0.52181</t>
  </si>
  <si>
    <t>25.76%</t>
  </si>
  <si>
    <t>0.53358</t>
  </si>
  <si>
    <t>2.25%</t>
  </si>
  <si>
    <t>25.72%</t>
  </si>
  <si>
    <t>0.55378</t>
  </si>
  <si>
    <t>3.79%</t>
  </si>
  <si>
    <t>27.53%</t>
  </si>
  <si>
    <t>0.57600</t>
  </si>
  <si>
    <t>4.01%</t>
  </si>
  <si>
    <t>29.91%</t>
  </si>
  <si>
    <t>0.61689</t>
  </si>
  <si>
    <t>36.63%</t>
  </si>
  <si>
    <t>0.64389</t>
  </si>
  <si>
    <t>40.85%</t>
  </si>
  <si>
    <t>0.66381</t>
  </si>
  <si>
    <t>3.09%</t>
  </si>
  <si>
    <t>41.65%</t>
  </si>
  <si>
    <t>0.67052</t>
  </si>
  <si>
    <t>1.01%</t>
  </si>
  <si>
    <t>39.45%</t>
  </si>
  <si>
    <t>0.66835</t>
  </si>
  <si>
    <t>-0.32%</t>
  </si>
  <si>
    <t>37.01%</t>
  </si>
  <si>
    <t>0.66925</t>
  </si>
  <si>
    <t>0.14%</t>
  </si>
  <si>
    <t>34.87%</t>
  </si>
  <si>
    <t>0.66762</t>
  </si>
  <si>
    <t>32.40%</t>
  </si>
  <si>
    <t>0.66859</t>
  </si>
  <si>
    <t>28.13%</t>
  </si>
  <si>
    <t>29.44%</t>
  </si>
  <si>
    <t>0.67163</t>
  </si>
  <si>
    <t>28.71%</t>
  </si>
  <si>
    <t>0.67879</t>
  </si>
  <si>
    <t>27.22%</t>
  </si>
  <si>
    <t>0.68870</t>
  </si>
  <si>
    <t>0.71076</t>
  </si>
  <si>
    <t>3.20%</t>
  </si>
  <si>
    <t>23.40%</t>
  </si>
  <si>
    <t>0.72226</t>
  </si>
  <si>
    <t>1.62%</t>
  </si>
  <si>
    <t>17.08%</t>
  </si>
  <si>
    <t>0.73886</t>
  </si>
  <si>
    <t>2.30%</t>
  </si>
  <si>
    <t>14.75%</t>
  </si>
  <si>
    <t>0.75762</t>
  </si>
  <si>
    <t>14.13%</t>
  </si>
  <si>
    <t>0.75561</t>
  </si>
  <si>
    <t>-0.27%</t>
  </si>
  <si>
    <t>12.69%</t>
  </si>
  <si>
    <t>0.75665</t>
  </si>
  <si>
    <t>0.75980</t>
  </si>
  <si>
    <t>13.53%</t>
  </si>
  <si>
    <t>0.77552</t>
  </si>
  <si>
    <t>2.07%</t>
  </si>
  <si>
    <t>16.16%</t>
  </si>
  <si>
    <t>0.78639</t>
  </si>
  <si>
    <t>17.09%</t>
  </si>
  <si>
    <t>0.79537</t>
  </si>
  <si>
    <t>18.42%</t>
  </si>
  <si>
    <t>0.82162</t>
  </si>
  <si>
    <t>21.04%</t>
  </si>
  <si>
    <t>0.83673</t>
  </si>
  <si>
    <t>1.84%</t>
  </si>
  <si>
    <t>21.49%</t>
  </si>
  <si>
    <t>0.87093</t>
  </si>
  <si>
    <t>4.09%</t>
  </si>
  <si>
    <t>22.53%</t>
  </si>
  <si>
    <t>0.88684</t>
  </si>
  <si>
    <t>22.79%</t>
  </si>
  <si>
    <t>0.90593</t>
  </si>
  <si>
    <t>2.15%</t>
  </si>
  <si>
    <t>22.61%</t>
  </si>
  <si>
    <t>0.92104</t>
  </si>
  <si>
    <t>21.57%</t>
  </si>
  <si>
    <t>0.93297</t>
  </si>
  <si>
    <t>23.47%</t>
  </si>
  <si>
    <t>0.94967</t>
  </si>
  <si>
    <t>1.79%</t>
  </si>
  <si>
    <t>25.51%</t>
  </si>
  <si>
    <t>0.97035</t>
  </si>
  <si>
    <t>2.18%</t>
  </si>
  <si>
    <t>27.71%</t>
  </si>
  <si>
    <t>0.98387</t>
  </si>
  <si>
    <t>23.70%</t>
  </si>
  <si>
    <t>26.87%</t>
  </si>
  <si>
    <t>2.42%</t>
  </si>
  <si>
    <t>28.15%</t>
  </si>
  <si>
    <t>28.80%</t>
  </si>
  <si>
    <t>2.33%</t>
  </si>
  <si>
    <t>27.59%</t>
  </si>
  <si>
    <t>1.06%</t>
  </si>
  <si>
    <t>3.42%</t>
  </si>
  <si>
    <t>26.62%</t>
  </si>
  <si>
    <t>24.20%</t>
  </si>
  <si>
    <t>26.64%</t>
  </si>
  <si>
    <t>3.47%</t>
  </si>
  <si>
    <t>28.27%</t>
  </si>
  <si>
    <t>27.72%</t>
  </si>
  <si>
    <t>27.37%</t>
  </si>
  <si>
    <t>26.13%</t>
  </si>
  <si>
    <t>25.49%</t>
  </si>
  <si>
    <t>26.20%</t>
  </si>
  <si>
    <t>25.85%</t>
  </si>
  <si>
    <t>2.09%</t>
  </si>
  <si>
    <t>25.67%</t>
  </si>
  <si>
    <t>2.93%</t>
  </si>
  <si>
    <t>28.00%</t>
  </si>
  <si>
    <t>2.75%</t>
  </si>
  <si>
    <t>28.82%</t>
  </si>
  <si>
    <t>2.38%</t>
  </si>
  <si>
    <t>27.05%</t>
  </si>
  <si>
    <t>26.02%</t>
  </si>
  <si>
    <t>27.87%</t>
  </si>
  <si>
    <t>28.93%</t>
  </si>
  <si>
    <t>1.27%</t>
  </si>
  <si>
    <t>20.24%</t>
  </si>
  <si>
    <t>29.52%</t>
  </si>
  <si>
    <t>0.72%</t>
  </si>
  <si>
    <t>28.33%</t>
  </si>
  <si>
    <t>27.10%</t>
  </si>
  <si>
    <t>1.57%</t>
  </si>
  <si>
    <t>26.03%</t>
  </si>
  <si>
    <t>25.10%</t>
  </si>
  <si>
    <t>24.55%</t>
  </si>
  <si>
    <t>2.58%</t>
  </si>
  <si>
    <t>24.77%</t>
  </si>
  <si>
    <t>2.64%</t>
  </si>
  <si>
    <t>2.23%</t>
  </si>
  <si>
    <t>24.19%</t>
  </si>
  <si>
    <t>23.54%</t>
  </si>
  <si>
    <t>23.46%</t>
  </si>
  <si>
    <t>1.59%</t>
  </si>
  <si>
    <t>24.52%</t>
  </si>
  <si>
    <t>21.55%</t>
  </si>
  <si>
    <t>25.26%</t>
  </si>
  <si>
    <t>24.79%</t>
  </si>
  <si>
    <t>24.03%</t>
  </si>
  <si>
    <t>23.08%</t>
  </si>
  <si>
    <t>21.88%</t>
  </si>
  <si>
    <t>21.85%</t>
  </si>
  <si>
    <t>22.42%</t>
  </si>
  <si>
    <t>22.28%</t>
  </si>
  <si>
    <t>20.46%</t>
  </si>
  <si>
    <t>19.82%</t>
  </si>
  <si>
    <t>-0.08%</t>
  </si>
  <si>
    <t>18.32%</t>
  </si>
  <si>
    <t>17.42%</t>
  </si>
  <si>
    <t>1.65%</t>
  </si>
  <si>
    <t>17.20%</t>
  </si>
  <si>
    <t>0.49%</t>
  </si>
  <si>
    <t>16.64%</t>
  </si>
  <si>
    <t>17.02%</t>
  </si>
  <si>
    <t>1.34%</t>
  </si>
  <si>
    <t>1.78%</t>
  </si>
  <si>
    <t>15.42%</t>
  </si>
  <si>
    <t>14.16%</t>
  </si>
  <si>
    <t>15.17%</t>
  </si>
  <si>
    <t>1.22%</t>
  </si>
  <si>
    <t>15.67%</t>
  </si>
  <si>
    <t>16.19%</t>
  </si>
  <si>
    <t>16.51%</t>
  </si>
  <si>
    <t>0.57%</t>
  </si>
  <si>
    <t>13.51%</t>
  </si>
  <si>
    <t>15.27%</t>
  </si>
  <si>
    <t>16.39%</t>
  </si>
  <si>
    <t>2.13%</t>
  </si>
  <si>
    <t>18.28%</t>
  </si>
  <si>
    <t>19.27%</t>
  </si>
  <si>
    <t>3.00%</t>
  </si>
  <si>
    <t>21.24%</t>
  </si>
  <si>
    <t>22.82%</t>
  </si>
  <si>
    <t>2.81%</t>
  </si>
  <si>
    <t>23.81%</t>
  </si>
  <si>
    <t>4.52%</t>
  </si>
  <si>
    <t>27.61%</t>
  </si>
  <si>
    <t>27.91%</t>
  </si>
  <si>
    <t>25.64%</t>
  </si>
  <si>
    <t>-0.40%</t>
  </si>
  <si>
    <t>24.67%</t>
  </si>
  <si>
    <t>24.40%</t>
  </si>
  <si>
    <t>23.49%</t>
  </si>
  <si>
    <t>1.26%</t>
  </si>
  <si>
    <t>3.15%</t>
  </si>
  <si>
    <t>23.55%</t>
  </si>
  <si>
    <t>23.72%</t>
  </si>
  <si>
    <t>2.21%</t>
  </si>
  <si>
    <t>22.65%</t>
  </si>
  <si>
    <t>2.73%</t>
  </si>
  <si>
    <t>22.54%</t>
  </si>
  <si>
    <t>-0.72%</t>
  </si>
  <si>
    <t>16.40%</t>
  </si>
  <si>
    <t>-0.73%</t>
  </si>
  <si>
    <t>14.11%</t>
  </si>
  <si>
    <t>16.17%</t>
  </si>
  <si>
    <t>1.43%</t>
  </si>
  <si>
    <t>16.79%</t>
  </si>
  <si>
    <t>2.06%</t>
  </si>
  <si>
    <t>18.17%</t>
  </si>
  <si>
    <t>19.54%</t>
  </si>
  <si>
    <t>20.95%</t>
  </si>
  <si>
    <t>21.09%</t>
  </si>
  <si>
    <t>5.37%</t>
  </si>
  <si>
    <t>19.77%</t>
  </si>
  <si>
    <t>2.71%</t>
  </si>
  <si>
    <t>20.36%</t>
  </si>
  <si>
    <t>19.80%</t>
  </si>
  <si>
    <t>22.73%</t>
  </si>
  <si>
    <t>24.81%</t>
  </si>
  <si>
    <t>26.65%</t>
  </si>
  <si>
    <t>25.27%</t>
  </si>
  <si>
    <t>25.01%</t>
  </si>
  <si>
    <t>1.88%</t>
  </si>
  <si>
    <t>24.73%</t>
  </si>
  <si>
    <t>1.87%</t>
  </si>
  <si>
    <t>24.02%</t>
  </si>
  <si>
    <t>4.03%</t>
  </si>
  <si>
    <t>2.89%</t>
  </si>
  <si>
    <t>3.91%</t>
  </si>
  <si>
    <t>28.41%</t>
  </si>
  <si>
    <t>1.73%</t>
  </si>
  <si>
    <t>28.44%</t>
  </si>
  <si>
    <t>2.40%</t>
  </si>
  <si>
    <t>30.27%</t>
  </si>
  <si>
    <t>21.07%</t>
  </si>
  <si>
    <t>30.26%</t>
  </si>
  <si>
    <t>-0.18%</t>
  </si>
  <si>
    <t>20.86%</t>
  </si>
  <si>
    <t>0.71%</t>
  </si>
  <si>
    <t>29.00%</t>
  </si>
  <si>
    <t>1.56%</t>
  </si>
  <si>
    <t>28.59%</t>
  </si>
  <si>
    <t>27.68%</t>
  </si>
  <si>
    <t>28.12%</t>
  </si>
  <si>
    <t>2.83%</t>
  </si>
  <si>
    <t>3.32%</t>
  </si>
  <si>
    <t>27.03%</t>
  </si>
  <si>
    <t>8.89%</t>
  </si>
  <si>
    <t>26.53%</t>
  </si>
  <si>
    <t>2.53%</t>
  </si>
  <si>
    <t>24.85%</t>
  </si>
  <si>
    <t>24.88%</t>
  </si>
  <si>
    <t>23.63%</t>
  </si>
  <si>
    <t>23.76%</t>
  </si>
  <si>
    <t>25.69%</t>
  </si>
  <si>
    <t>26.55%</t>
  </si>
  <si>
    <t>1.60%</t>
  </si>
  <si>
    <t>26.61%</t>
  </si>
  <si>
    <t>27.09%</t>
  </si>
  <si>
    <t>26.12%</t>
  </si>
  <si>
    <t>26.69%</t>
  </si>
  <si>
    <t>27.12%</t>
  </si>
  <si>
    <t>27.63%</t>
  </si>
  <si>
    <t>27.98%</t>
  </si>
  <si>
    <t>1.95%</t>
  </si>
  <si>
    <t>28.24%</t>
  </si>
  <si>
    <t>28.97%</t>
  </si>
  <si>
    <t>28.72%</t>
  </si>
  <si>
    <t>28.98%</t>
  </si>
  <si>
    <t>2.37%</t>
  </si>
  <si>
    <t>30.24%</t>
  </si>
  <si>
    <t>1.92%</t>
  </si>
  <si>
    <t>30.65%</t>
  </si>
  <si>
    <t>30.97%</t>
  </si>
  <si>
    <t>32.36%</t>
  </si>
  <si>
    <t>31.98%</t>
  </si>
  <si>
    <t>31.65%</t>
  </si>
  <si>
    <t>31.18%</t>
  </si>
  <si>
    <t>2.80%</t>
  </si>
  <si>
    <t>31.16%</t>
  </si>
  <si>
    <t>2.20%</t>
  </si>
  <si>
    <t>31.49%</t>
  </si>
  <si>
    <t>31.00%</t>
  </si>
  <si>
    <t>1.81%</t>
  </si>
  <si>
    <t>31.60%</t>
  </si>
  <si>
    <t>31.20%</t>
  </si>
  <si>
    <t>30.01%</t>
  </si>
  <si>
    <t>29.25%</t>
  </si>
  <si>
    <t>28.22%</t>
  </si>
  <si>
    <t>26.82%</t>
  </si>
  <si>
    <t>3.49%</t>
  </si>
  <si>
    <t>27.43%</t>
  </si>
  <si>
    <t>3.34%</t>
  </si>
  <si>
    <t>27.35%</t>
  </si>
  <si>
    <t>27.08%</t>
  </si>
  <si>
    <t>27.15%</t>
  </si>
  <si>
    <t>27.30%</t>
  </si>
  <si>
    <t>28.36%</t>
  </si>
  <si>
    <t>0.75%</t>
  </si>
  <si>
    <t>27.70%</t>
  </si>
  <si>
    <t>26.92%</t>
  </si>
  <si>
    <t>26.32%</t>
  </si>
  <si>
    <t>25.70%</t>
  </si>
  <si>
    <t>25.13%</t>
  </si>
  <si>
    <t>3.24%</t>
  </si>
  <si>
    <t>24.82%</t>
  </si>
  <si>
    <t>3.25%</t>
  </si>
  <si>
    <t>24.71%</t>
  </si>
  <si>
    <t>8.60%</t>
  </si>
  <si>
    <t>24.18%</t>
  </si>
  <si>
    <t>1.94%</t>
  </si>
  <si>
    <t>22.21%</t>
  </si>
  <si>
    <t>21.38%</t>
  </si>
  <si>
    <t>21.69%</t>
  </si>
  <si>
    <t>22.37%</t>
  </si>
  <si>
    <t>22.60%</t>
  </si>
  <si>
    <t>22.50%</t>
  </si>
  <si>
    <t>3.68%</t>
  </si>
  <si>
    <t>23.01%</t>
  </si>
  <si>
    <t>9.32%</t>
  </si>
  <si>
    <t>23.41%</t>
  </si>
  <si>
    <t>23.94%</t>
  </si>
  <si>
    <t>23.86%</t>
  </si>
  <si>
    <t>22.69%</t>
  </si>
  <si>
    <t>22.35%</t>
  </si>
  <si>
    <t>22.31%</t>
  </si>
  <si>
    <t>1.11%</t>
  </si>
  <si>
    <t>20.79%</t>
  </si>
  <si>
    <t>22.16%</t>
  </si>
  <si>
    <t>22.59%</t>
  </si>
  <si>
    <t>3.52%</t>
  </si>
  <si>
    <t>8.20%</t>
  </si>
  <si>
    <t>21.33%</t>
  </si>
  <si>
    <t>21.30%</t>
  </si>
  <si>
    <t>21.66%</t>
  </si>
  <si>
    <t>21.50%</t>
  </si>
  <si>
    <t>20.52%</t>
  </si>
  <si>
    <t>20.13%</t>
  </si>
  <si>
    <t>20.81%</t>
  </si>
  <si>
    <t>20.20%</t>
  </si>
  <si>
    <t>19.90%</t>
  </si>
  <si>
    <t>19.78%</t>
  </si>
  <si>
    <t>19.70%</t>
  </si>
  <si>
    <t>20.57%</t>
  </si>
  <si>
    <t>21.13%</t>
  </si>
  <si>
    <t>21.87%</t>
  </si>
  <si>
    <t>21.63%</t>
  </si>
  <si>
    <t>20.62%</t>
  </si>
  <si>
    <t>18.93%</t>
  </si>
  <si>
    <t>18.52%</t>
  </si>
  <si>
    <t>18.60%</t>
  </si>
  <si>
    <t>18.67%</t>
  </si>
  <si>
    <t>17.88%</t>
  </si>
  <si>
    <t>17.93%</t>
  </si>
  <si>
    <t>18.01%</t>
  </si>
  <si>
    <t>17.80%</t>
  </si>
  <si>
    <t>17.81%</t>
  </si>
  <si>
    <t>0.61%</t>
  </si>
  <si>
    <t>17.68%</t>
  </si>
  <si>
    <t>17.84%</t>
  </si>
  <si>
    <t>3.28%</t>
  </si>
  <si>
    <t>18.03%</t>
  </si>
  <si>
    <t>2.60%</t>
  </si>
  <si>
    <t>19.24%</t>
  </si>
  <si>
    <t>2.90%</t>
  </si>
  <si>
    <t>20.74%</t>
  </si>
  <si>
    <t>20.67%</t>
  </si>
  <si>
    <t>20.27%</t>
  </si>
  <si>
    <t>0.03%</t>
  </si>
  <si>
    <t>18.94%</t>
  </si>
  <si>
    <t>16.70%</t>
  </si>
  <si>
    <t>17.18%</t>
  </si>
  <si>
    <t>3.94%</t>
  </si>
  <si>
    <t>15.38%</t>
  </si>
  <si>
    <t>11.17%</t>
  </si>
  <si>
    <t>9.98%</t>
  </si>
  <si>
    <t>8.78%</t>
  </si>
  <si>
    <t>9.28%</t>
  </si>
  <si>
    <t>9.33%</t>
  </si>
  <si>
    <t>9.65%</t>
  </si>
  <si>
    <t>9.23%</t>
  </si>
  <si>
    <t>8.25%</t>
  </si>
  <si>
    <t>1.71%</t>
  </si>
  <si>
    <t>9.73%</t>
  </si>
  <si>
    <t>1.00%</t>
  </si>
  <si>
    <t>9.96%</t>
  </si>
  <si>
    <t>-0.02%</t>
  </si>
  <si>
    <t>9.68%</t>
  </si>
  <si>
    <t>9.29%</t>
  </si>
  <si>
    <t>9.10%</t>
  </si>
  <si>
    <t>9.20%</t>
  </si>
  <si>
    <t>8.99%</t>
  </si>
  <si>
    <t>8.82%</t>
  </si>
  <si>
    <t>8.49%</t>
  </si>
  <si>
    <t>1.89%</t>
  </si>
  <si>
    <t>8.06%</t>
  </si>
  <si>
    <t>1.48%</t>
  </si>
  <si>
    <t>5.69%</t>
  </si>
  <si>
    <t>7.93%</t>
  </si>
  <si>
    <t>0.11%</t>
  </si>
  <si>
    <t>8.09%</t>
  </si>
  <si>
    <t>8.03%</t>
  </si>
  <si>
    <t>7.97%</t>
  </si>
  <si>
    <t>0.19%</t>
  </si>
  <si>
    <t>7.37%</t>
  </si>
  <si>
    <t>6.70%</t>
  </si>
  <si>
    <t>5.89%</t>
  </si>
  <si>
    <t>5.84%</t>
  </si>
  <si>
    <t>5.98%</t>
  </si>
  <si>
    <t>0.36%</t>
  </si>
  <si>
    <t>7.07%</t>
  </si>
  <si>
    <t>6.99%</t>
  </si>
  <si>
    <t>7.39%</t>
  </si>
  <si>
    <t>7.24%</t>
  </si>
  <si>
    <t>4.56%</t>
  </si>
  <si>
    <t>7.85%</t>
  </si>
  <si>
    <t>5.01%</t>
  </si>
  <si>
    <t>7.21%</t>
  </si>
  <si>
    <t>-0.14%</t>
  </si>
  <si>
    <t>7.11%</t>
  </si>
  <si>
    <t>0.06%</t>
  </si>
  <si>
    <t>6.49%</t>
  </si>
  <si>
    <t>6.19%</t>
  </si>
  <si>
    <t>6.28%</t>
  </si>
  <si>
    <t>6.21%</t>
  </si>
  <si>
    <t>6.07%</t>
  </si>
  <si>
    <t>-0.03%</t>
  </si>
  <si>
    <t>5.90%</t>
  </si>
  <si>
    <t>5.82%</t>
  </si>
  <si>
    <t>5.50%</t>
  </si>
  <si>
    <t>5.43%</t>
  </si>
  <si>
    <t>1.02%</t>
  </si>
  <si>
    <t>5.25%</t>
  </si>
  <si>
    <t>5.03%</t>
  </si>
  <si>
    <t>0.41%</t>
  </si>
  <si>
    <t>4.83%</t>
  </si>
  <si>
    <t>0.05%</t>
  </si>
  <si>
    <t>4.91%</t>
  </si>
  <si>
    <t>4.88%</t>
  </si>
  <si>
    <t>5.27%</t>
  </si>
  <si>
    <t>4.85%</t>
  </si>
  <si>
    <t>4.19%</t>
  </si>
  <si>
    <t>1.91%</t>
  </si>
  <si>
    <t>4.11%</t>
  </si>
  <si>
    <t>4.12%</t>
  </si>
  <si>
    <t>4.04%</t>
  </si>
  <si>
    <t>3.02%</t>
  </si>
  <si>
    <t>3.44%</t>
  </si>
  <si>
    <t>4.32%</t>
  </si>
  <si>
    <t>4.72%</t>
  </si>
  <si>
    <t>4.48%</t>
  </si>
  <si>
    <t>4.71%</t>
  </si>
  <si>
    <t>5.78%</t>
  </si>
  <si>
    <t>6.26%</t>
  </si>
  <si>
    <t>6.03%</t>
  </si>
  <si>
    <t>5.77%</t>
  </si>
  <si>
    <t>0.01%</t>
  </si>
  <si>
    <t>5.16%</t>
  </si>
  <si>
    <t>6.35%</t>
  </si>
  <si>
    <t>5.93%</t>
  </si>
  <si>
    <t>5.73%</t>
  </si>
  <si>
    <t>0.86%</t>
  </si>
  <si>
    <t>7.52%</t>
  </si>
  <si>
    <t>-0.19%</t>
  </si>
  <si>
    <t>7.57%</t>
  </si>
  <si>
    <t>7.94%</t>
  </si>
  <si>
    <t>7.67%</t>
  </si>
  <si>
    <t>6.47%</t>
  </si>
  <si>
    <t>2.28%</t>
  </si>
  <si>
    <t>4.77%</t>
  </si>
  <si>
    <t>3.81%</t>
  </si>
  <si>
    <t>-0.11%</t>
  </si>
  <si>
    <t>3.21%</t>
  </si>
  <si>
    <t>1.98%</t>
  </si>
  <si>
    <t>2.00%</t>
  </si>
  <si>
    <t>0.69%</t>
  </si>
  <si>
    <t>-0.09%</t>
  </si>
  <si>
    <t>3.40%</t>
  </si>
  <si>
    <t>3.19%</t>
  </si>
  <si>
    <t>2.84%</t>
  </si>
  <si>
    <t>3.23%</t>
  </si>
  <si>
    <t>4.02%</t>
  </si>
  <si>
    <t>3.96%</t>
  </si>
  <si>
    <t>3.54%</t>
  </si>
  <si>
    <t>3.55%</t>
  </si>
  <si>
    <t>3.43%</t>
  </si>
  <si>
    <t>3.03%</t>
  </si>
  <si>
    <t>3.08%</t>
  </si>
  <si>
    <t>2.77%</t>
  </si>
  <si>
    <t>-0.22%</t>
  </si>
  <si>
    <t>3.65%</t>
  </si>
  <si>
    <t>0.64%</t>
  </si>
  <si>
    <t>4.36%</t>
  </si>
  <si>
    <t>4.64%</t>
  </si>
  <si>
    <t>4.41%</t>
  </si>
  <si>
    <t>4.46%</t>
  </si>
  <si>
    <t>4.74%</t>
  </si>
  <si>
    <t>5.35%</t>
  </si>
  <si>
    <t>0.62%</t>
  </si>
  <si>
    <t>6.77%</t>
  </si>
  <si>
    <t>0.51%</t>
  </si>
  <si>
    <t>8.97%</t>
  </si>
  <si>
    <t>8.10%</t>
  </si>
  <si>
    <t>Fuente: cifras provenientes del Departamento Administrativo Nacional de Estadística (DANE) (www.dane.gov.co).</t>
  </si>
  <si>
    <t>Hasta diciembre de 1978 el IPC corresponde al empalme realizado por el DANE, tomando el promedio ponderado del índice de precios al consumidor de ingresos medios (33%) e ingresos bajos (67%). A partir de 1979 el IPC presentado corresponde al índice de precios al consumidor total nacional ponderado, publicado por el DANE, el cual ha cambiado de base en tres oportunidades: diciembre de 1988, diciembre de 1998 y la base actual diciembre 2008 = 100, la cual incluye nuevo sistema de ponderaciones y nueva canasta de bienes y servicios.</t>
  </si>
  <si>
    <t>Para mayor información consulte la metodología del índice de precios al consumidor en http://www.dane.gov.co/files/investigaciones/fichas/IPC.pdf.</t>
  </si>
  <si>
    <t>Proyección Financieros</t>
  </si>
  <si>
    <t>Variación Anual PIB</t>
  </si>
  <si>
    <t>Variación Anual Inflación</t>
  </si>
  <si>
    <t>Media móvil de los ultimos 4 años</t>
  </si>
  <si>
    <t>Crecimiento basado en la noticia</t>
  </si>
  <si>
    <t>Ingresos Reales</t>
  </si>
  <si>
    <t>Variación o Crecimiento</t>
  </si>
  <si>
    <t>Revisar Hoja de Supuestos</t>
  </si>
  <si>
    <t>Escenarios</t>
  </si>
  <si>
    <t>Rot CXC (Veces)</t>
  </si>
  <si>
    <t>Rot CXC (Días)</t>
  </si>
  <si>
    <t>Rot Inv (Veces)</t>
  </si>
  <si>
    <t>Rot Inv (Días)</t>
  </si>
  <si>
    <t>Rot Prov (Veces)</t>
  </si>
  <si>
    <t>Rot Prov (Días)</t>
  </si>
  <si>
    <t>TIC</t>
  </si>
  <si>
    <t>TCS</t>
  </si>
  <si>
    <t>Incremento en Costos</t>
  </si>
  <si>
    <t>Realista</t>
  </si>
  <si>
    <t>Pesimista</t>
  </si>
  <si>
    <t>Crecimiento Ventas</t>
  </si>
  <si>
    <t>Optimista</t>
  </si>
  <si>
    <t>Datos de la Economia Colombiana</t>
  </si>
  <si>
    <t>Disminución Costos</t>
  </si>
  <si>
    <t>En los ultimos años presenta desaceleración porque el apalancamiento financiero es menor, dado que el incremento en el AON es menor al Patrimonio, se podria sugerir dar más aoportes a Capital</t>
  </si>
  <si>
    <t>PDC</t>
  </si>
  <si>
    <t>Crecimiento según el comportamiento histórico de la compañía, en el 2016 se tiene un crecimiento establecido una noticia en la que el presidente de la compañía afirma que van a tener un crecimiento en ventas del 16%</t>
  </si>
  <si>
    <t>Margenes: Permanecen costantes margenes brutos y operacionales</t>
  </si>
  <si>
    <t>Rotaciones Clientes e Inventarios: en 2016 las rotaciones de cuentas por cobrar e inventarios tienen un impacto por el poder de negociación de su nuevo cliente (Disney) pero se espera que en los siguientes 4 años lleguen a los mismos nivel de eficiencia de 2015</t>
  </si>
  <si>
    <t>Rotaciones Cuentas por Pagar: Se espera que de 2016 a 2020 Sempertex presente tenga un mayor poder de negociación con sus proveedores, por tal razón la rotación de las mismas se estima que pase de 110 días en el 2015 a 140 días en el 2020</t>
  </si>
  <si>
    <t>Se espera que tenga un decrecimiento en ventas producto de la variación promedio del PIB menos el crecimiento real esperado</t>
  </si>
  <si>
    <t>Derecimiento en Ventas</t>
  </si>
  <si>
    <t>Disminución en Costos</t>
  </si>
  <si>
    <t>Tasa de Impuestos: Se estima que esta tenga un incremento de cuatro puntos porcentales producto de la nueva reforma tributaria del país</t>
  </si>
  <si>
    <t>Costo de Ventas: Dado que el Latex de Caucho Naural va a ser una materia prima que presente mayor demanda en el mundo se estima que esta incremente anualmente su precio en 5% impactando de esta manera la rentailidad y generación de valor de la organización</t>
  </si>
  <si>
    <t>Se espera que tenga un crecimiento en ventas superior al real, en 4,60 puntos porcentuales más, producto de la variación promedio del PIB en los ultimos 5 años</t>
  </si>
  <si>
    <t>Rotaciones Clientes e Inventarios: Las rotaciones de las cuentas por cobrar y las rotaciones de los inventarios se estiman que presenten una rotación en días mayor desde 2017 a 2020 prodcuto de mayor poder de negociación con cliente y de mejores politicas de inventarios</t>
  </si>
  <si>
    <t>Rotaciones de Cuentas por Pagar: Las rotaciones de las cuentas se veran impactadas con un aumento en días pasando de 110 días en 2015 a 180 días en 2020, producto de un mayor poder de negociación de Sempertex, dado que tiene un incremento en compras que esta directamente relacionado con el incremento en ventas.</t>
  </si>
  <si>
    <t>Tasa de Impuestos: Se estima que esta tenga una disminución de cuatro puntos porcentales producto de la nueva reforma tributaria del país</t>
  </si>
  <si>
    <t>Costo de Ventas: Ya que Sempertex demandara una gran cantidad de materias primas por su fuerte incremento en ventas, se estima una reducción anual del 5% producto de esta situación. Impactando positivamente la rentabilidad y generación de valor de la organización</t>
  </si>
  <si>
    <t>Rotaciones Clientes e Inventarios: Las rotaciones de las cuentas por cobrar y las rotaciones de los inventarios se espera que tengan una mejora en eficiencia despues de 2016 pero no alcanzan a llegar a los mismo niveles de 2015</t>
  </si>
  <si>
    <t>Rotaciones de Cuestas por Pagar: Se veran impactadas con una disminución en días pasando de 110 días en el 2010 a 60 días en el 2015, producto de menores compras por parte de Sempertex</t>
  </si>
  <si>
    <t>Rotación Cuentas por Cobrar</t>
  </si>
  <si>
    <t>Rotación Inventarios</t>
  </si>
  <si>
    <t>Tendencia Rotación Cuentas por Cobrar e Inventarios</t>
  </si>
  <si>
    <t>Estructura de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</si>
</sst>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2" formatCode="_-&quot;$&quot;* #,##0_-;\-&quot;$&quot;* #,##0_-;_-&quot;$&quot;* &quot;-&quot;_-;_-@_-"/>
    <numFmt numFmtId="41" formatCode="_-* #,##0_-;\-* #,##0_-;_-* &quot;-&quot;_-;_-@_-"/>
    <numFmt numFmtId="43" formatCode="_-* #,##0.00_-;\-* #,##0.00_-;_-* &quot;-&quot;??_-;_-@_-"/>
    <numFmt numFmtId="164" formatCode="_-* #,##0.00\ _€_-;\-* #,##0.00\ _€_-;_-* &quot;-&quot;??\ _€_-;_-@_-"/>
    <numFmt numFmtId="165" formatCode="###,000"/>
    <numFmt numFmtId="166" formatCode="#,###"/>
    <numFmt numFmtId="167" formatCode="_-* #,##0.00_-;\-* #,##0.00_-;_-* &quot;-&quot;_-;_-@_-"/>
    <numFmt numFmtId="168" formatCode="0.0%"/>
    <numFmt numFmtId="169" formatCode="_-* #,##0.0_-;\-* #,##0.0_-;_-* &quot;-&quot;?_-;_-@_-"/>
    <numFmt numFmtId="170" formatCode="_-* #,##0_-;\-* #,##0_-;_-* &quot;-&quot;?_-;_-@_-"/>
    <numFmt numFmtId="171" formatCode="#,##0\ [$USD]"/>
    <numFmt numFmtId="172" formatCode="General_)"/>
    <numFmt numFmtId="173" formatCode="[$$]\ #,##0.00;\-[$$]\ #,##0.00"/>
    <numFmt numFmtId="174" formatCode="_-* #,##0_-;\-* #,##0_-;_-* &quot;-&quot;??_-;_-@_-"/>
    <numFmt numFmtId="175" formatCode="_-* #,##0.000_-;\-* #,##0.000_-;_-* &quot;-&quot;_-;_-@_-"/>
    <numFmt numFmtId="176" formatCode="_-* #,##0.000_-;\-* #,##0.000_-;_-* &quot;-&quot;???_-;_-@_-"/>
    <numFmt numFmtId="177" formatCode="0.00000%"/>
    <numFmt numFmtId="178" formatCode="0.000000%"/>
    <numFmt numFmtId="179" formatCode="#,##0.0_);\(#,##0.0\)"/>
    <numFmt numFmtId="180" formatCode="0_)"/>
  </numFmts>
  <fonts count="55"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font>
    <font>
      <b/>
      <sz val="11"/>
      <color rgb="FF000080"/>
      <name val="Calibri"/>
      <family val="2"/>
    </font>
    <font>
      <b/>
      <sz val="10"/>
      <color rgb="FF000080"/>
      <name val="Calibri"/>
      <family val="2"/>
    </font>
    <font>
      <sz val="10"/>
      <color rgb="FF000000"/>
      <name val="Calibri"/>
      <family val="2"/>
    </font>
    <font>
      <u/>
      <sz val="10"/>
      <color rgb="FF0000FF"/>
      <name val="Calibri"/>
      <family val="2"/>
    </font>
    <font>
      <sz val="11"/>
      <color rgb="FF000000"/>
      <name val="Calibri"/>
      <family val="2"/>
    </font>
    <font>
      <b/>
      <sz val="11"/>
      <color rgb="FF000080"/>
      <name val="Calibri"/>
      <family val="2"/>
    </font>
    <font>
      <b/>
      <sz val="10"/>
      <color rgb="FF000080"/>
      <name val="Calibri"/>
      <family val="2"/>
    </font>
    <font>
      <sz val="10"/>
      <color rgb="FF000000"/>
      <name val="Calibri"/>
      <family val="2"/>
    </font>
    <font>
      <u/>
      <sz val="10"/>
      <color rgb="FF0000FF"/>
      <name val="Calibri"/>
      <family val="2"/>
    </font>
    <font>
      <b/>
      <sz val="10"/>
      <color rgb="FF000000"/>
      <name val="Calibri"/>
      <family val="2"/>
    </font>
    <font>
      <sz val="10"/>
      <color theme="1"/>
      <name val="Calibri"/>
      <family val="2"/>
      <scheme val="minor"/>
    </font>
    <font>
      <b/>
      <sz val="10"/>
      <color theme="1"/>
      <name val="Calibri"/>
      <family val="2"/>
      <scheme val="minor"/>
    </font>
    <font>
      <b/>
      <sz val="11"/>
      <color rgb="FF000000"/>
      <name val="Calibri"/>
      <family val="2"/>
    </font>
    <font>
      <i/>
      <sz val="10"/>
      <color theme="1" tint="0.34998626667073579"/>
      <name val="Calibri"/>
      <family val="2"/>
      <scheme val="minor"/>
    </font>
    <font>
      <b/>
      <i/>
      <sz val="11"/>
      <color theme="1"/>
      <name val="Calibri"/>
      <family val="2"/>
      <scheme val="minor"/>
    </font>
    <font>
      <u/>
      <sz val="11"/>
      <color theme="10"/>
      <name val="Calibri"/>
      <family val="2"/>
      <scheme val="minor"/>
    </font>
    <font>
      <sz val="10"/>
      <name val="Arial"/>
      <family val="2"/>
    </font>
    <font>
      <b/>
      <sz val="12"/>
      <name val="Arial"/>
      <family val="2"/>
    </font>
    <font>
      <sz val="12"/>
      <name val="Arial"/>
      <family val="2"/>
    </font>
    <font>
      <b/>
      <sz val="10"/>
      <name val="Arial"/>
      <family val="2"/>
    </font>
    <font>
      <sz val="12"/>
      <name val="Helv"/>
    </font>
    <font>
      <sz val="10"/>
      <color indexed="8"/>
      <name val="Arial"/>
      <family val="2"/>
    </font>
    <font>
      <b/>
      <sz val="12"/>
      <name val="Helv"/>
    </font>
    <font>
      <b/>
      <sz val="10"/>
      <color theme="0"/>
      <name val="Arial"/>
      <family val="2"/>
    </font>
    <font>
      <sz val="10"/>
      <color theme="0"/>
      <name val="Arial"/>
      <family val="2"/>
    </font>
    <font>
      <b/>
      <sz val="11"/>
      <color rgb="FFFFFF00"/>
      <name val="Calibri"/>
      <family val="2"/>
    </font>
    <font>
      <sz val="11"/>
      <color theme="1"/>
      <name val="Calibri"/>
      <family val="2"/>
    </font>
    <font>
      <b/>
      <sz val="11"/>
      <color rgb="FF333399"/>
      <name val="Calibri"/>
      <family val="2"/>
    </font>
    <font>
      <sz val="11"/>
      <color rgb="FF333399"/>
      <name val="Calibri"/>
      <family val="2"/>
    </font>
    <font>
      <sz val="9"/>
      <color theme="1"/>
      <name val="Helvetica"/>
    </font>
    <font>
      <i/>
      <sz val="9"/>
      <color theme="1"/>
      <name val="Helvetica"/>
    </font>
    <font>
      <b/>
      <sz val="11"/>
      <color theme="1"/>
      <name val="Calibri"/>
      <family val="2"/>
    </font>
    <font>
      <b/>
      <sz val="9"/>
      <color theme="1"/>
      <name val="Helvetica"/>
    </font>
    <font>
      <u/>
      <sz val="9"/>
      <color rgb="FF0000FF"/>
      <name val="Helvetica"/>
    </font>
    <font>
      <b/>
      <sz val="11"/>
      <name val="Calibri"/>
      <family val="2"/>
      <scheme val="minor"/>
    </font>
    <font>
      <sz val="11"/>
      <name val="Calibri"/>
      <family val="2"/>
      <scheme val="minor"/>
    </font>
    <font>
      <b/>
      <sz val="10"/>
      <name val="Calibri"/>
      <family val="2"/>
      <scheme val="minor"/>
    </font>
    <font>
      <sz val="10"/>
      <name val="Calibri"/>
      <family val="2"/>
      <scheme val="minor"/>
    </font>
    <font>
      <b/>
      <i/>
      <sz val="10"/>
      <color theme="1"/>
      <name val="Calibri"/>
      <family val="2"/>
      <scheme val="minor"/>
    </font>
    <font>
      <sz val="9"/>
      <color theme="1"/>
      <name val="Calibri"/>
      <family val="2"/>
      <scheme val="minor"/>
    </font>
    <font>
      <i/>
      <sz val="10"/>
      <color theme="1"/>
      <name val="Calibri"/>
      <family val="2"/>
      <scheme val="minor"/>
    </font>
    <font>
      <sz val="11"/>
      <color rgb="FFFF0000"/>
      <name val="Calibri"/>
      <family val="2"/>
      <scheme val="minor"/>
    </font>
    <font>
      <b/>
      <sz val="11"/>
      <color rgb="FFFF0000"/>
      <name val="Calibri"/>
      <family val="2"/>
      <scheme val="minor"/>
    </font>
    <font>
      <sz val="10"/>
      <name val="Courier"/>
      <family val="3"/>
    </font>
    <font>
      <sz val="10"/>
      <color indexed="55"/>
      <name val="Arial"/>
      <family val="2"/>
    </font>
    <font>
      <b/>
      <sz val="10"/>
      <color rgb="FF333399"/>
      <name val="Arial"/>
      <family val="2"/>
    </font>
    <font>
      <sz val="8"/>
      <color theme="1"/>
      <name val="Arial"/>
      <family val="2"/>
    </font>
    <font>
      <sz val="8"/>
      <color rgb="FF333399"/>
      <name val="Arial"/>
      <family val="2"/>
    </font>
    <font>
      <b/>
      <sz val="8"/>
      <color rgb="FF000000"/>
      <name val="Arial"/>
      <family val="2"/>
    </font>
    <font>
      <sz val="8"/>
      <color rgb="FF000000"/>
      <name val="Arial"/>
      <family val="2"/>
    </font>
    <font>
      <u/>
      <sz val="8"/>
      <color rgb="FF0000FF"/>
      <name val="Calibri"/>
      <family val="2"/>
      <scheme val="minor"/>
    </font>
  </fonts>
  <fills count="31">
    <fill>
      <patternFill patternType="none"/>
    </fill>
    <fill>
      <patternFill patternType="gray125"/>
    </fill>
    <fill>
      <patternFill patternType="solid">
        <fgColor rgb="FFD2D9DE"/>
        <bgColor rgb="FF000000"/>
      </patternFill>
    </fill>
    <fill>
      <patternFill patternType="solid">
        <fgColor rgb="FFF2F2F2"/>
        <bgColor rgb="FF000000"/>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0" tint="-0.14999847407452621"/>
        <bgColor rgb="FF000000"/>
      </patternFill>
    </fill>
    <fill>
      <patternFill patternType="solid">
        <fgColor theme="9" tint="0.39997558519241921"/>
        <bgColor indexed="64"/>
      </patternFill>
    </fill>
    <fill>
      <patternFill patternType="solid">
        <fgColor rgb="FFFF0000"/>
        <bgColor indexed="64"/>
      </patternFill>
    </fill>
    <fill>
      <patternFill patternType="solid">
        <fgColor theme="8" tint="0.39997558519241921"/>
        <bgColor indexed="64"/>
      </patternFill>
    </fill>
    <fill>
      <patternFill patternType="solid">
        <fgColor indexed="47"/>
        <bgColor indexed="64"/>
      </patternFill>
    </fill>
    <fill>
      <patternFill patternType="solid">
        <fgColor indexed="42"/>
        <bgColor indexed="64"/>
      </patternFill>
    </fill>
    <fill>
      <patternFill patternType="solid">
        <fgColor indexed="55"/>
        <bgColor indexed="64"/>
      </patternFill>
    </fill>
    <fill>
      <patternFill patternType="solid">
        <fgColor theme="0" tint="-0.34998626667073579"/>
        <bgColor indexed="64"/>
      </patternFill>
    </fill>
    <fill>
      <patternFill patternType="solid">
        <fgColor theme="4" tint="-0.499984740745262"/>
        <bgColor indexed="64"/>
      </patternFill>
    </fill>
    <fill>
      <patternFill patternType="solid">
        <fgColor rgb="FFFFFFFF"/>
      </patternFill>
    </fill>
    <fill>
      <patternFill patternType="solid">
        <fgColor rgb="FFCFE0F1"/>
      </patternFill>
    </fill>
    <fill>
      <patternFill patternType="solid">
        <fgColor rgb="FFF2F5F9"/>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92D050"/>
        <bgColor indexed="64"/>
      </patternFill>
    </fill>
    <fill>
      <patternFill patternType="solid">
        <fgColor theme="7" tint="0.59999389629810485"/>
        <bgColor indexed="64"/>
      </patternFill>
    </fill>
    <fill>
      <patternFill patternType="solid">
        <fgColor indexed="22"/>
        <bgColor indexed="64"/>
      </patternFill>
    </fill>
    <fill>
      <patternFill patternType="solid">
        <fgColor rgb="FFFFFFFF"/>
        <bgColor indexed="64"/>
      </patternFill>
    </fill>
    <fill>
      <patternFill patternType="solid">
        <fgColor rgb="FFEEEEEE"/>
        <bgColor indexed="64"/>
      </patternFill>
    </fill>
    <fill>
      <patternFill patternType="solid">
        <fgColor theme="9" tint="0.59999389629810485"/>
        <bgColor indexed="65"/>
      </patternFill>
    </fill>
    <fill>
      <patternFill patternType="solid">
        <fgColor theme="8" tint="0.59999389629810485"/>
        <bgColor indexed="64"/>
      </patternFill>
    </fill>
  </fills>
  <borders count="168">
    <border>
      <left/>
      <right/>
      <top/>
      <bottom/>
      <diagonal/>
    </border>
    <border>
      <left/>
      <right/>
      <top/>
      <bottom style="thin">
        <color rgb="FF000000"/>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double">
        <color indexed="8"/>
      </left>
      <right style="thin">
        <color indexed="8"/>
      </right>
      <top style="double">
        <color indexed="8"/>
      </top>
      <bottom/>
      <diagonal/>
    </border>
    <border>
      <left style="thin">
        <color indexed="8"/>
      </left>
      <right style="thin">
        <color indexed="8"/>
      </right>
      <top style="double">
        <color indexed="8"/>
      </top>
      <bottom/>
      <diagonal/>
    </border>
    <border>
      <left/>
      <right/>
      <top style="double">
        <color indexed="8"/>
      </top>
      <bottom/>
      <diagonal/>
    </border>
    <border>
      <left/>
      <right style="thin">
        <color indexed="8"/>
      </right>
      <top style="double">
        <color indexed="8"/>
      </top>
      <bottom/>
      <diagonal/>
    </border>
    <border>
      <left/>
      <right style="double">
        <color indexed="8"/>
      </right>
      <top style="double">
        <color indexed="8"/>
      </top>
      <bottom/>
      <diagonal/>
    </border>
    <border>
      <left style="double">
        <color indexed="8"/>
      </left>
      <right style="thin">
        <color indexed="8"/>
      </right>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style="double">
        <color indexed="8"/>
      </right>
      <top style="thin">
        <color indexed="8"/>
      </top>
      <bottom/>
      <diagonal/>
    </border>
    <border>
      <left style="thin">
        <color indexed="8"/>
      </left>
      <right style="double">
        <color indexed="8"/>
      </right>
      <top/>
      <bottom/>
      <diagonal/>
    </border>
    <border>
      <left style="double">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double">
        <color indexed="8"/>
      </right>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right/>
      <top style="thin">
        <color indexed="8"/>
      </top>
      <bottom style="thin">
        <color indexed="8"/>
      </bottom>
      <diagonal/>
    </border>
    <border>
      <left style="double">
        <color indexed="8"/>
      </left>
      <right/>
      <top style="thin">
        <color indexed="8"/>
      </top>
      <bottom style="thin">
        <color indexed="8"/>
      </bottom>
      <diagonal/>
    </border>
    <border>
      <left style="double">
        <color indexed="8"/>
      </left>
      <right/>
      <top style="thin">
        <color indexed="8"/>
      </top>
      <bottom/>
      <diagonal/>
    </border>
    <border>
      <left style="thin">
        <color indexed="64"/>
      </left>
      <right style="thin">
        <color indexed="64"/>
      </right>
      <top style="thin">
        <color indexed="8"/>
      </top>
      <bottom style="thin">
        <color indexed="8"/>
      </bottom>
      <diagonal/>
    </border>
    <border>
      <left style="thin">
        <color indexed="64"/>
      </left>
      <right style="double">
        <color indexed="64"/>
      </right>
      <top style="thin">
        <color indexed="8"/>
      </top>
      <bottom style="thin">
        <color indexed="8"/>
      </bottom>
      <diagonal/>
    </border>
    <border>
      <left/>
      <right style="double">
        <color indexed="64"/>
      </right>
      <top style="thin">
        <color indexed="8"/>
      </top>
      <bottom style="thin">
        <color indexed="8"/>
      </bottom>
      <diagonal/>
    </border>
    <border>
      <left style="double">
        <color indexed="8"/>
      </left>
      <right style="thin">
        <color indexed="64"/>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double">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double">
        <color indexed="8"/>
      </right>
      <top style="thin">
        <color indexed="8"/>
      </top>
      <bottom style="thin">
        <color indexed="8"/>
      </bottom>
      <diagonal/>
    </border>
    <border>
      <left style="dashed">
        <color indexed="64"/>
      </left>
      <right style="dashed">
        <color indexed="64"/>
      </right>
      <top style="thin">
        <color indexed="8"/>
      </top>
      <bottom style="thin">
        <color indexed="8"/>
      </bottom>
      <diagonal/>
    </border>
    <border>
      <left style="double">
        <color indexed="8"/>
      </left>
      <right style="thin">
        <color indexed="64"/>
      </right>
      <top style="thin">
        <color indexed="8"/>
      </top>
      <bottom/>
      <diagonal/>
    </border>
    <border>
      <left style="thin">
        <color indexed="64"/>
      </left>
      <right style="thin">
        <color indexed="64"/>
      </right>
      <top style="thin">
        <color indexed="8"/>
      </top>
      <bottom/>
      <diagonal/>
    </border>
    <border>
      <left style="thin">
        <color indexed="64"/>
      </left>
      <right style="double">
        <color indexed="8"/>
      </right>
      <top style="thin">
        <color indexed="8"/>
      </top>
      <bottom/>
      <diagonal/>
    </border>
    <border>
      <left/>
      <right style="thin">
        <color indexed="64"/>
      </right>
      <top style="thin">
        <color indexed="8"/>
      </top>
      <bottom style="thin">
        <color indexed="8"/>
      </bottom>
      <diagonal/>
    </border>
    <border>
      <left style="double">
        <color indexed="64"/>
      </left>
      <right style="thin">
        <color indexed="64"/>
      </right>
      <top style="thin">
        <color indexed="8"/>
      </top>
      <bottom style="thin">
        <color indexed="8"/>
      </bottom>
      <diagonal/>
    </border>
    <border>
      <left style="double">
        <color indexed="64"/>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thin">
        <color indexed="8"/>
      </top>
      <bottom style="double">
        <color indexed="64"/>
      </bottom>
      <diagonal/>
    </border>
    <border>
      <left style="thin">
        <color indexed="64"/>
      </left>
      <right style="double">
        <color indexed="64"/>
      </right>
      <top style="thin">
        <color indexed="8"/>
      </top>
      <bottom style="double">
        <color indexed="64"/>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right style="thin">
        <color indexed="8"/>
      </right>
      <top/>
      <bottom style="thin">
        <color indexed="64"/>
      </bottom>
      <diagonal/>
    </border>
    <border>
      <left style="double">
        <color indexed="8"/>
      </left>
      <right style="thin">
        <color indexed="8"/>
      </right>
      <top style="thin">
        <color indexed="8"/>
      </top>
      <bottom style="double">
        <color indexed="8"/>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8"/>
      </right>
      <top style="thin">
        <color indexed="64"/>
      </top>
      <bottom style="double">
        <color indexed="64"/>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thin">
        <color indexed="8"/>
      </left>
      <right/>
      <top style="double">
        <color indexed="8"/>
      </top>
      <bottom style="thin">
        <color indexed="64"/>
      </bottom>
      <diagonal/>
    </border>
    <border>
      <left/>
      <right/>
      <top style="double">
        <color indexed="8"/>
      </top>
      <bottom style="thin">
        <color indexed="64"/>
      </bottom>
      <diagonal/>
    </border>
    <border>
      <left/>
      <right style="double">
        <color indexed="8"/>
      </right>
      <top style="double">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double">
        <color indexed="8"/>
      </right>
      <top style="thin">
        <color indexed="64"/>
      </top>
      <bottom/>
      <diagonal/>
    </border>
    <border>
      <left style="thin">
        <color indexed="8"/>
      </left>
      <right style="thin">
        <color indexed="64"/>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double">
        <color indexed="8"/>
      </bottom>
      <diagonal/>
    </border>
    <border>
      <left/>
      <right style="thin">
        <color indexed="8"/>
      </right>
      <top style="thin">
        <color indexed="8"/>
      </top>
      <bottom style="double">
        <color indexed="8"/>
      </bottom>
      <diagonal/>
    </border>
    <border>
      <left style="double">
        <color indexed="64"/>
      </left>
      <right style="thin">
        <color indexed="8"/>
      </right>
      <top style="double">
        <color indexed="64"/>
      </top>
      <bottom/>
      <diagonal/>
    </border>
    <border>
      <left style="thin">
        <color indexed="8"/>
      </left>
      <right style="thin">
        <color indexed="8"/>
      </right>
      <top style="double">
        <color indexed="64"/>
      </top>
      <bottom/>
      <diagonal/>
    </border>
    <border>
      <left/>
      <right/>
      <top style="double">
        <color indexed="64"/>
      </top>
      <bottom/>
      <diagonal/>
    </border>
    <border>
      <left/>
      <right style="thin">
        <color indexed="8"/>
      </right>
      <top style="double">
        <color indexed="64"/>
      </top>
      <bottom/>
      <diagonal/>
    </border>
    <border>
      <left style="thin">
        <color indexed="8"/>
      </left>
      <right/>
      <top style="double">
        <color indexed="64"/>
      </top>
      <bottom/>
      <diagonal/>
    </border>
    <border>
      <left/>
      <right style="double">
        <color indexed="64"/>
      </right>
      <top style="double">
        <color indexed="64"/>
      </top>
      <bottom/>
      <diagonal/>
    </border>
    <border>
      <left style="double">
        <color indexed="64"/>
      </left>
      <right style="thin">
        <color indexed="8"/>
      </right>
      <top/>
      <bottom/>
      <diagonal/>
    </border>
    <border>
      <left style="thin">
        <color indexed="8"/>
      </left>
      <right/>
      <top style="thin">
        <color indexed="64"/>
      </top>
      <bottom/>
      <diagonal/>
    </border>
    <border>
      <left/>
      <right style="thin">
        <color indexed="8"/>
      </right>
      <top style="thin">
        <color indexed="64"/>
      </top>
      <bottom/>
      <diagonal/>
    </border>
    <border>
      <left style="double">
        <color indexed="64"/>
      </left>
      <right style="thin">
        <color indexed="8"/>
      </right>
      <top/>
      <bottom style="thin">
        <color indexed="8"/>
      </bottom>
      <diagonal/>
    </border>
    <border>
      <left style="double">
        <color indexed="64"/>
      </left>
      <right style="thin">
        <color indexed="8"/>
      </right>
      <top style="thin">
        <color indexed="8"/>
      </top>
      <bottom/>
      <diagonal/>
    </border>
    <border>
      <left style="thin">
        <color indexed="64"/>
      </left>
      <right style="thin">
        <color indexed="8"/>
      </right>
      <top style="thin">
        <color indexed="64"/>
      </top>
      <bottom style="thin">
        <color indexed="64"/>
      </bottom>
      <diagonal/>
    </border>
    <border>
      <left style="thin">
        <color indexed="8"/>
      </left>
      <right style="double">
        <color indexed="64"/>
      </right>
      <top style="thin">
        <color indexed="64"/>
      </top>
      <bottom style="thin">
        <color indexed="64"/>
      </bottom>
      <diagonal/>
    </border>
    <border>
      <left style="double">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style="thin">
        <color indexed="64"/>
      </right>
      <top/>
      <bottom/>
      <diagonal/>
    </border>
    <border>
      <left style="thin">
        <color indexed="64"/>
      </left>
      <right style="thin">
        <color indexed="8"/>
      </right>
      <top/>
      <bottom/>
      <diagonal/>
    </border>
    <border>
      <left style="thin">
        <color indexed="64"/>
      </left>
      <right/>
      <top style="thin">
        <color indexed="8"/>
      </top>
      <bottom style="thin">
        <color indexed="8"/>
      </bottom>
      <diagonal/>
    </border>
    <border>
      <left style="thin">
        <color indexed="64"/>
      </left>
      <right style="thin">
        <color indexed="8"/>
      </right>
      <top style="thin">
        <color indexed="64"/>
      </top>
      <bottom style="thin">
        <color indexed="8"/>
      </bottom>
      <diagonal/>
    </border>
    <border>
      <left style="double">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64"/>
      </top>
      <bottom/>
      <diagonal/>
    </border>
    <border>
      <left style="double">
        <color indexed="64"/>
      </left>
      <right style="thin">
        <color indexed="8"/>
      </right>
      <top style="thin">
        <color indexed="64"/>
      </top>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8"/>
      </left>
      <right style="thin">
        <color indexed="64"/>
      </right>
      <top/>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style="double">
        <color indexed="64"/>
      </left>
      <right style="thin">
        <color indexed="64"/>
      </right>
      <top/>
      <bottom style="thin">
        <color indexed="64"/>
      </bottom>
      <diagonal/>
    </border>
    <border>
      <left style="thin">
        <color indexed="8"/>
      </left>
      <right style="double">
        <color indexed="64"/>
      </right>
      <top style="thin">
        <color indexed="64"/>
      </top>
      <bottom/>
      <diagonal/>
    </border>
    <border>
      <left style="thin">
        <color indexed="8"/>
      </left>
      <right style="double">
        <color indexed="8"/>
      </right>
      <top style="thin">
        <color indexed="64"/>
      </top>
      <bottom style="thin">
        <color indexed="64"/>
      </bottom>
      <diagonal/>
    </border>
    <border>
      <left style="thin">
        <color indexed="8"/>
      </left>
      <right style="double">
        <color indexed="8"/>
      </right>
      <top/>
      <bottom style="thin">
        <color indexed="64"/>
      </bottom>
      <diagonal/>
    </border>
    <border>
      <left style="double">
        <color indexed="64"/>
      </left>
      <right style="thin">
        <color indexed="64"/>
      </right>
      <top style="thin">
        <color indexed="64"/>
      </top>
      <bottom style="double">
        <color indexed="64"/>
      </bottom>
      <diagonal/>
    </border>
    <border>
      <left style="thin">
        <color indexed="8"/>
      </left>
      <right style="thin">
        <color indexed="8"/>
      </right>
      <top style="thin">
        <color indexed="64"/>
      </top>
      <bottom style="double">
        <color indexed="64"/>
      </bottom>
      <diagonal/>
    </border>
    <border>
      <left style="thin">
        <color indexed="8"/>
      </left>
      <right style="thin">
        <color indexed="64"/>
      </right>
      <top style="thin">
        <color indexed="64"/>
      </top>
      <bottom style="double">
        <color indexed="64"/>
      </bottom>
      <diagonal/>
    </border>
    <border>
      <left style="thin">
        <color indexed="8"/>
      </left>
      <right style="double">
        <color indexed="8"/>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auto="1"/>
      </left>
      <right style="hair">
        <color auto="1"/>
      </right>
      <top style="hair">
        <color auto="1"/>
      </top>
      <bottom style="hair">
        <color auto="1"/>
      </bottom>
      <diagonal/>
    </border>
    <border>
      <left/>
      <right/>
      <top/>
      <bottom style="thick">
        <color rgb="FFA3BED8"/>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ck">
        <color rgb="FF6666CC"/>
      </bottom>
      <diagonal/>
    </border>
    <border>
      <left style="thin">
        <color rgb="FF000000"/>
      </left>
      <right style="thin">
        <color rgb="FFCCCCCC"/>
      </right>
      <top style="thin">
        <color rgb="FF000000"/>
      </top>
      <bottom style="thin">
        <color rgb="FFCCCCCC"/>
      </bottom>
      <diagonal/>
    </border>
    <border>
      <left style="thin">
        <color rgb="FFCCCCCC"/>
      </left>
      <right/>
      <top style="thin">
        <color rgb="FF000000"/>
      </top>
      <bottom style="thin">
        <color rgb="FFCCCCCC"/>
      </bottom>
      <diagonal/>
    </border>
    <border>
      <left style="medium">
        <color rgb="FFBBBBBB"/>
      </left>
      <right/>
      <top style="thin">
        <color rgb="FF000000"/>
      </top>
      <bottom style="medium">
        <color rgb="FFBBBBBB"/>
      </bottom>
      <diagonal/>
    </border>
    <border>
      <left style="medium">
        <color rgb="FFBBBBBB"/>
      </left>
      <right style="thin">
        <color rgb="FF000000"/>
      </right>
      <top style="thin">
        <color rgb="FF000000"/>
      </top>
      <bottom style="medium">
        <color rgb="FFBBBBBB"/>
      </bottom>
      <diagonal/>
    </border>
    <border>
      <left style="thin">
        <color rgb="FF000000"/>
      </left>
      <right style="medium">
        <color rgb="FFCCCCCC"/>
      </right>
      <top style="thin">
        <color rgb="FFCCCCCC"/>
      </top>
      <bottom/>
      <diagonal/>
    </border>
    <border>
      <left/>
      <right/>
      <top/>
      <bottom style="medium">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CCCCCC"/>
      </bottom>
      <diagonal/>
    </border>
    <border>
      <left style="thin">
        <color rgb="FF000000"/>
      </left>
      <right style="medium">
        <color rgb="FFCCCCCC"/>
      </right>
      <top/>
      <bottom/>
      <diagonal/>
    </border>
    <border>
      <left style="thin">
        <color rgb="FF000000"/>
      </left>
      <right style="medium">
        <color rgb="FFCCCCCC"/>
      </right>
      <top/>
      <bottom style="medium">
        <color rgb="FFCCCCCC"/>
      </bottom>
      <diagonal/>
    </border>
    <border>
      <left style="thin">
        <color rgb="FF000000"/>
      </left>
      <right style="medium">
        <color rgb="FFCCCCCC"/>
      </right>
      <top style="medium">
        <color rgb="FFCCCCCC"/>
      </top>
      <bottom/>
      <diagonal/>
    </border>
    <border>
      <left style="thin">
        <color rgb="FF000000"/>
      </left>
      <right style="medium">
        <color rgb="FFCCCCCC"/>
      </right>
      <top/>
      <bottom style="thin">
        <color rgb="FF000000"/>
      </bottom>
      <diagonal/>
    </border>
    <border>
      <left style="thin">
        <color rgb="FFCCCCCC"/>
      </left>
      <right style="thin">
        <color rgb="FFCCCCCC"/>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hair">
        <color auto="1"/>
      </left>
      <right style="hair">
        <color auto="1"/>
      </right>
      <top/>
      <bottom/>
      <diagonal/>
    </border>
    <border>
      <left style="hair">
        <color auto="1"/>
      </left>
      <right style="hair">
        <color auto="1"/>
      </right>
      <top/>
      <bottom style="hair">
        <color auto="1"/>
      </bottom>
      <diagonal/>
    </border>
  </borders>
  <cellStyleXfs count="18">
    <xf numFmtId="0" fontId="0" fillId="0" borderId="0"/>
    <xf numFmtId="41" fontId="1" fillId="0" borderId="0" applyFont="0" applyFill="0" applyBorder="0" applyAlignment="0" applyProtection="0"/>
    <xf numFmtId="0" fontId="3" fillId="0" borderId="0"/>
    <xf numFmtId="0" fontId="8" fillId="0" borderId="0"/>
    <xf numFmtId="0" fontId="8" fillId="0" borderId="0"/>
    <xf numFmtId="9" fontId="1" fillId="0" borderId="0" applyFont="0" applyFill="0" applyBorder="0" applyAlignment="0" applyProtection="0"/>
    <xf numFmtId="0" fontId="19" fillId="0" borderId="0" applyNumberFormat="0" applyFill="0" applyBorder="0" applyAlignment="0" applyProtection="0"/>
    <xf numFmtId="0" fontId="20" fillId="0" borderId="0"/>
    <xf numFmtId="172" fontId="24" fillId="0" borderId="0"/>
    <xf numFmtId="9" fontId="20" fillId="0" borderId="0" applyFont="0" applyFill="0" applyBorder="0" applyAlignment="0" applyProtection="0"/>
    <xf numFmtId="0" fontId="1" fillId="0" borderId="0"/>
    <xf numFmtId="43" fontId="1" fillId="0" borderId="0" applyFont="0" applyFill="0" applyBorder="0" applyAlignment="0" applyProtection="0"/>
    <xf numFmtId="0" fontId="30" fillId="0" borderId="0"/>
    <xf numFmtId="43" fontId="1" fillId="0" borderId="0" applyFont="0" applyFill="0" applyBorder="0" applyAlignment="0" applyProtection="0"/>
    <xf numFmtId="37" fontId="47" fillId="0" borderId="0"/>
    <xf numFmtId="0" fontId="54" fillId="0" borderId="0" applyNumberFormat="0" applyFill="0" applyBorder="0" applyAlignment="0" applyProtection="0"/>
    <xf numFmtId="0" fontId="1" fillId="29" borderId="0" applyNumberFormat="0" applyBorder="0" applyAlignment="0" applyProtection="0"/>
    <xf numFmtId="42" fontId="1" fillId="0" borderId="0" applyFont="0" applyFill="0" applyBorder="0" applyAlignment="0" applyProtection="0"/>
  </cellStyleXfs>
  <cellXfs count="763">
    <xf numFmtId="0" fontId="0" fillId="0" borderId="0" xfId="0"/>
    <xf numFmtId="0" fontId="3" fillId="0" borderId="0" xfId="2"/>
    <xf numFmtId="0" fontId="3" fillId="0" borderId="0" xfId="2" applyAlignment="1">
      <alignment horizontal="right"/>
    </xf>
    <xf numFmtId="0" fontId="5" fillId="0" borderId="1" xfId="2" applyFont="1" applyBorder="1" applyAlignment="1">
      <alignment horizontal="left"/>
    </xf>
    <xf numFmtId="49" fontId="6" fillId="0" borderId="0" xfId="2" applyNumberFormat="1" applyFont="1" applyAlignment="1">
      <alignment horizontal="left" vertical="top"/>
    </xf>
    <xf numFmtId="49" fontId="6" fillId="0" borderId="0" xfId="2" applyNumberFormat="1" applyFont="1" applyAlignment="1">
      <alignment vertical="top"/>
    </xf>
    <xf numFmtId="49" fontId="6" fillId="3" borderId="0" xfId="2" applyNumberFormat="1" applyFont="1" applyFill="1" applyAlignment="1">
      <alignment horizontal="left" vertical="top"/>
    </xf>
    <xf numFmtId="49" fontId="6" fillId="3" borderId="0" xfId="2" applyNumberFormat="1" applyFont="1" applyFill="1" applyAlignment="1">
      <alignment vertical="top"/>
    </xf>
    <xf numFmtId="49" fontId="7" fillId="0" borderId="0" xfId="2" applyNumberFormat="1" applyFont="1" applyAlignment="1">
      <alignment horizontal="left" vertical="top"/>
    </xf>
    <xf numFmtId="49" fontId="7" fillId="0" borderId="0" xfId="2" applyNumberFormat="1" applyFont="1" applyAlignment="1">
      <alignment vertical="top"/>
    </xf>
    <xf numFmtId="1" fontId="6" fillId="3" borderId="0" xfId="2" applyNumberFormat="1" applyFont="1" applyFill="1" applyAlignment="1">
      <alignment horizontal="left" vertical="top"/>
    </xf>
    <xf numFmtId="1" fontId="6" fillId="3" borderId="0" xfId="2" applyNumberFormat="1" applyFont="1" applyFill="1" applyAlignment="1">
      <alignment vertical="top"/>
    </xf>
    <xf numFmtId="10" fontId="6" fillId="0" borderId="0" xfId="2" applyNumberFormat="1" applyFont="1" applyAlignment="1">
      <alignment horizontal="left" vertical="top"/>
    </xf>
    <xf numFmtId="10" fontId="6" fillId="0" borderId="0" xfId="2" applyNumberFormat="1" applyFont="1" applyAlignment="1">
      <alignment vertical="top"/>
    </xf>
    <xf numFmtId="10" fontId="6" fillId="3" borderId="0" xfId="2" applyNumberFormat="1" applyFont="1" applyFill="1" applyAlignment="1">
      <alignment horizontal="left" vertical="top"/>
    </xf>
    <xf numFmtId="10" fontId="6" fillId="3" borderId="0" xfId="2" applyNumberFormat="1" applyFont="1" applyFill="1" applyAlignment="1">
      <alignment vertical="top"/>
    </xf>
    <xf numFmtId="165" fontId="6" fillId="0" borderId="0" xfId="2" applyNumberFormat="1" applyFont="1" applyAlignment="1">
      <alignment horizontal="left" vertical="top"/>
    </xf>
    <xf numFmtId="165" fontId="6" fillId="0" borderId="0" xfId="2" applyNumberFormat="1" applyFont="1" applyAlignment="1">
      <alignment vertical="top"/>
    </xf>
    <xf numFmtId="165" fontId="6" fillId="3" borderId="0" xfId="2" applyNumberFormat="1" applyFont="1" applyFill="1" applyAlignment="1">
      <alignment horizontal="left" vertical="top"/>
    </xf>
    <xf numFmtId="165" fontId="6" fillId="3" borderId="0" xfId="2" applyNumberFormat="1" applyFont="1" applyFill="1" applyAlignment="1">
      <alignment vertical="top"/>
    </xf>
    <xf numFmtId="166" fontId="6" fillId="3" borderId="0" xfId="2" applyNumberFormat="1" applyFont="1" applyFill="1" applyAlignment="1">
      <alignment horizontal="left" vertical="top"/>
    </xf>
    <xf numFmtId="166" fontId="6" fillId="3" borderId="0" xfId="2" applyNumberFormat="1" applyFont="1" applyFill="1" applyAlignment="1">
      <alignment vertical="top"/>
    </xf>
    <xf numFmtId="166" fontId="6" fillId="0" borderId="0" xfId="2" applyNumberFormat="1" applyFont="1" applyAlignment="1">
      <alignment horizontal="left" vertical="top"/>
    </xf>
    <xf numFmtId="166" fontId="6" fillId="0" borderId="0" xfId="2" applyNumberFormat="1" applyFont="1" applyAlignment="1">
      <alignment vertical="top"/>
    </xf>
    <xf numFmtId="1" fontId="6" fillId="0" borderId="0" xfId="2" applyNumberFormat="1" applyFont="1" applyAlignment="1">
      <alignment horizontal="left" vertical="top"/>
    </xf>
    <xf numFmtId="1" fontId="6" fillId="0" borderId="0" xfId="2" applyNumberFormat="1" applyFont="1" applyAlignment="1">
      <alignment vertical="top"/>
    </xf>
    <xf numFmtId="0" fontId="2" fillId="0" borderId="0" xfId="0" applyFont="1"/>
    <xf numFmtId="0" fontId="8" fillId="0" borderId="0" xfId="3"/>
    <xf numFmtId="0" fontId="8" fillId="0" borderId="0" xfId="3" applyAlignment="1">
      <alignment horizontal="right"/>
    </xf>
    <xf numFmtId="0" fontId="10" fillId="0" borderId="1" xfId="3" applyFont="1" applyBorder="1" applyAlignment="1">
      <alignment horizontal="left"/>
    </xf>
    <xf numFmtId="0" fontId="11" fillId="0" borderId="0" xfId="3" applyFont="1" applyAlignment="1">
      <alignment horizontal="left" vertical="top"/>
    </xf>
    <xf numFmtId="4" fontId="11" fillId="0" borderId="0" xfId="3" applyNumberFormat="1" applyFont="1" applyAlignment="1">
      <alignment horizontal="left" vertical="top"/>
    </xf>
    <xf numFmtId="4" fontId="11" fillId="0" borderId="0" xfId="3" applyNumberFormat="1" applyFont="1" applyAlignment="1">
      <alignment vertical="top"/>
    </xf>
    <xf numFmtId="0" fontId="11" fillId="3" borderId="0" xfId="3" applyFont="1" applyFill="1" applyAlignment="1">
      <alignment horizontal="left" vertical="top"/>
    </xf>
    <xf numFmtId="4" fontId="11" fillId="3" borderId="0" xfId="3" applyNumberFormat="1" applyFont="1" applyFill="1" applyAlignment="1">
      <alignment horizontal="left" vertical="top"/>
    </xf>
    <xf numFmtId="4" fontId="11" fillId="3" borderId="0" xfId="3" applyNumberFormat="1" applyFont="1" applyFill="1" applyAlignment="1">
      <alignment vertical="top"/>
    </xf>
    <xf numFmtId="0" fontId="11" fillId="0" borderId="0" xfId="3" applyFont="1" applyAlignment="1">
      <alignment vertical="top"/>
    </xf>
    <xf numFmtId="0" fontId="11" fillId="3" borderId="0" xfId="3" applyFont="1" applyFill="1" applyAlignment="1">
      <alignment vertical="top"/>
    </xf>
    <xf numFmtId="0" fontId="12" fillId="0" borderId="0" xfId="3" applyFont="1" applyAlignment="1">
      <alignment horizontal="left" vertical="top"/>
    </xf>
    <xf numFmtId="0" fontId="12" fillId="0" borderId="0" xfId="3" applyFont="1" applyAlignment="1">
      <alignment vertical="top"/>
    </xf>
    <xf numFmtId="1" fontId="11" fillId="3" borderId="0" xfId="3" applyNumberFormat="1" applyFont="1" applyFill="1" applyAlignment="1">
      <alignment horizontal="left" vertical="top"/>
    </xf>
    <xf numFmtId="1" fontId="11" fillId="3" borderId="0" xfId="3" applyNumberFormat="1" applyFont="1" applyFill="1" applyAlignment="1">
      <alignment vertical="top"/>
    </xf>
    <xf numFmtId="166" fontId="11" fillId="0" borderId="0" xfId="3" applyNumberFormat="1" applyFont="1" applyAlignment="1">
      <alignment horizontal="left" vertical="top"/>
    </xf>
    <xf numFmtId="166" fontId="11" fillId="0" borderId="0" xfId="3" applyNumberFormat="1" applyFont="1" applyAlignment="1">
      <alignment vertical="top"/>
    </xf>
    <xf numFmtId="166" fontId="11" fillId="3" borderId="0" xfId="3" applyNumberFormat="1" applyFont="1" applyFill="1" applyAlignment="1">
      <alignment horizontal="left" vertical="top"/>
    </xf>
    <xf numFmtId="166" fontId="11" fillId="3" borderId="0" xfId="3" applyNumberFormat="1" applyFont="1" applyFill="1" applyAlignment="1">
      <alignment vertical="top"/>
    </xf>
    <xf numFmtId="165" fontId="11" fillId="0" borderId="0" xfId="3" applyNumberFormat="1" applyFont="1" applyAlignment="1">
      <alignment horizontal="left" vertical="top"/>
    </xf>
    <xf numFmtId="165" fontId="11" fillId="3" borderId="0" xfId="3" applyNumberFormat="1" applyFont="1" applyFill="1" applyAlignment="1">
      <alignment horizontal="left" vertical="top"/>
    </xf>
    <xf numFmtId="165" fontId="11" fillId="0" borderId="0" xfId="3" applyNumberFormat="1" applyFont="1" applyAlignment="1">
      <alignment vertical="top"/>
    </xf>
    <xf numFmtId="165" fontId="11" fillId="3" borderId="0" xfId="3" applyNumberFormat="1" applyFont="1" applyFill="1" applyAlignment="1">
      <alignment vertical="top"/>
    </xf>
    <xf numFmtId="1" fontId="11" fillId="0" borderId="0" xfId="3" applyNumberFormat="1" applyFont="1" applyAlignment="1">
      <alignment horizontal="left" vertical="top"/>
    </xf>
    <xf numFmtId="1" fontId="11" fillId="0" borderId="0" xfId="3" applyNumberFormat="1" applyFont="1" applyAlignment="1">
      <alignment vertical="top"/>
    </xf>
    <xf numFmtId="0" fontId="8" fillId="0" borderId="0" xfId="4"/>
    <xf numFmtId="0" fontId="8" fillId="0" borderId="0" xfId="4" applyAlignment="1">
      <alignment horizontal="right"/>
    </xf>
    <xf numFmtId="0" fontId="10" fillId="0" borderId="1" xfId="4" applyFont="1" applyBorder="1" applyAlignment="1">
      <alignment horizontal="left"/>
    </xf>
    <xf numFmtId="0" fontId="11" fillId="0" borderId="0" xfId="4" applyFont="1" applyAlignment="1">
      <alignment horizontal="left" vertical="top"/>
    </xf>
    <xf numFmtId="4" fontId="11" fillId="0" borderId="0" xfId="4" applyNumberFormat="1" applyFont="1" applyAlignment="1">
      <alignment horizontal="left" vertical="top"/>
    </xf>
    <xf numFmtId="0" fontId="11" fillId="3" borderId="0" xfId="4" applyFont="1" applyFill="1" applyAlignment="1">
      <alignment horizontal="left" vertical="top"/>
    </xf>
    <xf numFmtId="4" fontId="11" fillId="3" borderId="0" xfId="4" applyNumberFormat="1" applyFont="1" applyFill="1" applyAlignment="1">
      <alignment horizontal="left" vertical="top"/>
    </xf>
    <xf numFmtId="0" fontId="12" fillId="0" borderId="0" xfId="4" applyFont="1" applyAlignment="1">
      <alignment horizontal="left" vertical="top"/>
    </xf>
    <xf numFmtId="1" fontId="11" fillId="3" borderId="0" xfId="4" applyNumberFormat="1" applyFont="1" applyFill="1" applyAlignment="1">
      <alignment horizontal="left" vertical="top"/>
    </xf>
    <xf numFmtId="166" fontId="11" fillId="0" borderId="0" xfId="4" applyNumberFormat="1" applyFont="1" applyAlignment="1">
      <alignment horizontal="left" vertical="top"/>
    </xf>
    <xf numFmtId="166" fontId="11" fillId="3" borderId="0" xfId="4" applyNumberFormat="1" applyFont="1" applyFill="1" applyAlignment="1">
      <alignment horizontal="left" vertical="top"/>
    </xf>
    <xf numFmtId="1" fontId="11" fillId="0" borderId="0" xfId="4" applyNumberFormat="1" applyFont="1" applyAlignment="1">
      <alignment horizontal="left" vertical="top"/>
    </xf>
    <xf numFmtId="167" fontId="0" fillId="0" borderId="0" xfId="1" applyNumberFormat="1" applyFont="1"/>
    <xf numFmtId="0" fontId="0" fillId="0" borderId="0" xfId="0" applyAlignment="1">
      <alignment horizontal="left" indent="1"/>
    </xf>
    <xf numFmtId="41" fontId="8" fillId="0" borderId="0" xfId="1" applyFont="1"/>
    <xf numFmtId="41" fontId="0" fillId="0" borderId="0" xfId="1" applyFont="1"/>
    <xf numFmtId="41" fontId="0" fillId="0" borderId="0" xfId="0" applyNumberFormat="1"/>
    <xf numFmtId="41" fontId="2" fillId="0" borderId="0" xfId="0" applyNumberFormat="1" applyFont="1"/>
    <xf numFmtId="9" fontId="8" fillId="0" borderId="0" xfId="5" applyFont="1"/>
    <xf numFmtId="0" fontId="0" fillId="0" borderId="0" xfId="0" applyFont="1" applyFill="1" applyAlignment="1">
      <alignment horizontal="left" indent="1"/>
    </xf>
    <xf numFmtId="0" fontId="13" fillId="0" borderId="0" xfId="3" applyFont="1" applyAlignment="1">
      <alignment horizontal="left" vertical="top"/>
    </xf>
    <xf numFmtId="41" fontId="2" fillId="0" borderId="0" xfId="1" applyFont="1"/>
    <xf numFmtId="0" fontId="13" fillId="3" borderId="0" xfId="3" applyFont="1" applyFill="1" applyAlignment="1">
      <alignment horizontal="left" vertical="top"/>
    </xf>
    <xf numFmtId="168" fontId="0" fillId="0" borderId="0" xfId="5" applyNumberFormat="1" applyFont="1"/>
    <xf numFmtId="0" fontId="14" fillId="0" borderId="0" xfId="0" applyFont="1"/>
    <xf numFmtId="0" fontId="11" fillId="0" borderId="0" xfId="3" applyFont="1" applyFill="1" applyAlignment="1">
      <alignment horizontal="left" vertical="top"/>
    </xf>
    <xf numFmtId="0" fontId="2" fillId="5" borderId="0" xfId="0" applyFont="1" applyFill="1"/>
    <xf numFmtId="0" fontId="2" fillId="6" borderId="0" xfId="0" applyFont="1" applyFill="1"/>
    <xf numFmtId="0" fontId="0" fillId="6" borderId="0" xfId="0" applyFill="1"/>
    <xf numFmtId="10" fontId="0" fillId="0" borderId="0" xfId="5" applyNumberFormat="1" applyFont="1"/>
    <xf numFmtId="0" fontId="15" fillId="0" borderId="0" xfId="0" applyFont="1"/>
    <xf numFmtId="0" fontId="2" fillId="0" borderId="0" xfId="0" applyFont="1" applyAlignment="1">
      <alignment horizontal="center" vertical="center"/>
    </xf>
    <xf numFmtId="0" fontId="16" fillId="5" borderId="0" xfId="0" applyFont="1" applyFill="1"/>
    <xf numFmtId="0" fontId="8" fillId="0" borderId="0" xfId="0" applyFont="1" applyAlignment="1">
      <alignment horizontal="left" indent="1"/>
    </xf>
    <xf numFmtId="0" fontId="8" fillId="0" borderId="0" xfId="0" applyFont="1" applyAlignment="1">
      <alignment horizontal="left" indent="2"/>
    </xf>
    <xf numFmtId="41" fontId="2" fillId="5" borderId="0" xfId="1" applyFont="1" applyFill="1"/>
    <xf numFmtId="0" fontId="16" fillId="5" borderId="0" xfId="0" applyFont="1" applyFill="1" applyAlignment="1">
      <alignment horizontal="left" indent="1"/>
    </xf>
    <xf numFmtId="0" fontId="16" fillId="8" borderId="0" xfId="0" applyFont="1" applyFill="1" applyAlignment="1">
      <alignment horizontal="left" indent="1"/>
    </xf>
    <xf numFmtId="41" fontId="2" fillId="8" borderId="0" xfId="1" applyFont="1" applyFill="1"/>
    <xf numFmtId="0" fontId="16" fillId="5" borderId="0" xfId="0" applyFont="1" applyFill="1" applyAlignment="1">
      <alignment horizontal="left"/>
    </xf>
    <xf numFmtId="167" fontId="2" fillId="5" borderId="0" xfId="1" applyNumberFormat="1" applyFont="1" applyFill="1"/>
    <xf numFmtId="167" fontId="2" fillId="8" borderId="0" xfId="1" applyNumberFormat="1" applyFont="1" applyFill="1"/>
    <xf numFmtId="0" fontId="8" fillId="0" borderId="0" xfId="0" applyFont="1" applyAlignment="1">
      <alignment horizontal="left" indent="3"/>
    </xf>
    <xf numFmtId="41" fontId="2" fillId="8" borderId="0" xfId="0" applyNumberFormat="1" applyFont="1" applyFill="1"/>
    <xf numFmtId="41" fontId="0" fillId="8" borderId="0" xfId="1" applyFont="1" applyFill="1"/>
    <xf numFmtId="10" fontId="0" fillId="8" borderId="0" xfId="5" applyNumberFormat="1" applyFont="1" applyFill="1"/>
    <xf numFmtId="10" fontId="2" fillId="5" borderId="0" xfId="5" applyNumberFormat="1" applyFont="1" applyFill="1"/>
    <xf numFmtId="0" fontId="8" fillId="8" borderId="0" xfId="0" applyFont="1" applyFill="1" applyAlignment="1">
      <alignment horizontal="left" indent="2"/>
    </xf>
    <xf numFmtId="167" fontId="0" fillId="8" borderId="0" xfId="1" applyNumberFormat="1" applyFont="1" applyFill="1"/>
    <xf numFmtId="10" fontId="0" fillId="0" borderId="0" xfId="5" applyNumberFormat="1" applyFont="1" applyFill="1"/>
    <xf numFmtId="10" fontId="2" fillId="5" borderId="0" xfId="1" applyNumberFormat="1" applyFont="1" applyFill="1"/>
    <xf numFmtId="169" fontId="2" fillId="5" borderId="0" xfId="0" applyNumberFormat="1" applyFont="1" applyFill="1"/>
    <xf numFmtId="0" fontId="2" fillId="10" borderId="0" xfId="0" applyFont="1" applyFill="1"/>
    <xf numFmtId="167" fontId="2" fillId="10" borderId="0" xfId="1" applyNumberFormat="1" applyFont="1" applyFill="1"/>
    <xf numFmtId="168" fontId="17" fillId="0" borderId="0" xfId="5" applyNumberFormat="1" applyFont="1"/>
    <xf numFmtId="0" fontId="0" fillId="0" borderId="0" xfId="0" applyFont="1"/>
    <xf numFmtId="9" fontId="0" fillId="7" borderId="0" xfId="0" applyNumberFormat="1" applyFont="1" applyFill="1"/>
    <xf numFmtId="41" fontId="0" fillId="0" borderId="0" xfId="0" applyNumberFormat="1" applyFont="1"/>
    <xf numFmtId="0" fontId="8" fillId="3" borderId="0" xfId="4" applyFont="1" applyFill="1" applyAlignment="1">
      <alignment horizontal="left" vertical="top"/>
    </xf>
    <xf numFmtId="0" fontId="8" fillId="0" borderId="0" xfId="4" applyFont="1" applyAlignment="1">
      <alignment horizontal="left" vertical="top"/>
    </xf>
    <xf numFmtId="169" fontId="0" fillId="0" borderId="0" xfId="0" applyNumberFormat="1" applyFont="1"/>
    <xf numFmtId="0" fontId="16" fillId="9" borderId="0" xfId="4" applyFont="1" applyFill="1" applyAlignment="1">
      <alignment horizontal="left" vertical="top"/>
    </xf>
    <xf numFmtId="0" fontId="0" fillId="0" borderId="0" xfId="0" applyNumberFormat="1" applyFont="1" applyAlignment="1">
      <alignment horizontal="left"/>
    </xf>
    <xf numFmtId="0" fontId="0" fillId="0" borderId="0" xfId="0" applyFont="1" applyAlignment="1">
      <alignment horizontal="left" indent="2"/>
    </xf>
    <xf numFmtId="0" fontId="0" fillId="5" borderId="0" xfId="0" applyFont="1" applyFill="1"/>
    <xf numFmtId="167" fontId="0" fillId="8" borderId="0" xfId="0" applyNumberFormat="1" applyFont="1" applyFill="1"/>
    <xf numFmtId="41" fontId="0" fillId="8" borderId="0" xfId="0" applyNumberFormat="1" applyFont="1" applyFill="1"/>
    <xf numFmtId="0" fontId="0" fillId="0" borderId="0" xfId="0" applyFont="1" applyAlignment="1">
      <alignment horizontal="left" indent="1"/>
    </xf>
    <xf numFmtId="0" fontId="2" fillId="8" borderId="0" xfId="0" applyFont="1" applyFill="1" applyAlignment="1">
      <alignment horizontal="left" indent="1"/>
    </xf>
    <xf numFmtId="167" fontId="0" fillId="0" borderId="0" xfId="0" applyNumberFormat="1" applyFont="1"/>
    <xf numFmtId="10" fontId="1" fillId="0" borderId="0" xfId="5" applyNumberFormat="1" applyFont="1"/>
    <xf numFmtId="170" fontId="0" fillId="0" borderId="0" xfId="0" applyNumberFormat="1" applyFont="1"/>
    <xf numFmtId="0" fontId="3" fillId="0" borderId="0" xfId="2"/>
    <xf numFmtId="0" fontId="8" fillId="7" borderId="0" xfId="4" applyFont="1" applyFill="1" applyAlignment="1">
      <alignment horizontal="left" vertical="top"/>
    </xf>
    <xf numFmtId="41" fontId="0" fillId="7" borderId="0" xfId="1" applyFont="1" applyFill="1"/>
    <xf numFmtId="9" fontId="0" fillId="7" borderId="0" xfId="5" applyFont="1" applyFill="1"/>
    <xf numFmtId="0" fontId="0" fillId="10" borderId="0" xfId="0" applyFont="1" applyFill="1"/>
    <xf numFmtId="0" fontId="16" fillId="0" borderId="0" xfId="4" applyFont="1" applyAlignment="1">
      <alignment horizontal="left" vertical="top"/>
    </xf>
    <xf numFmtId="169" fontId="2" fillId="0" borderId="0" xfId="0" applyNumberFormat="1" applyFont="1"/>
    <xf numFmtId="0" fontId="16" fillId="3" borderId="0" xfId="4" applyFont="1" applyFill="1" applyAlignment="1">
      <alignment horizontal="left" vertical="top"/>
    </xf>
    <xf numFmtId="41" fontId="0" fillId="0" borderId="0" xfId="1" applyFont="1" applyFill="1"/>
    <xf numFmtId="41" fontId="0" fillId="0" borderId="0" xfId="0" applyNumberFormat="1" applyFont="1" applyFill="1"/>
    <xf numFmtId="0" fontId="2" fillId="10" borderId="0" xfId="0" applyFont="1" applyFill="1" applyAlignment="1">
      <alignment horizontal="center" vertical="center"/>
    </xf>
    <xf numFmtId="0" fontId="16" fillId="0" borderId="0" xfId="0" applyFont="1"/>
    <xf numFmtId="41" fontId="3" fillId="0" borderId="0" xfId="1" applyFont="1"/>
    <xf numFmtId="41" fontId="3" fillId="0" borderId="0" xfId="2" applyNumberFormat="1"/>
    <xf numFmtId="166" fontId="3" fillId="0" borderId="0" xfId="2" applyNumberFormat="1"/>
    <xf numFmtId="167" fontId="3" fillId="0" borderId="0" xfId="1" applyNumberFormat="1" applyFont="1"/>
    <xf numFmtId="0" fontId="3" fillId="4" borderId="0" xfId="2" applyFill="1"/>
    <xf numFmtId="0" fontId="3" fillId="12" borderId="0" xfId="2" applyFill="1"/>
    <xf numFmtId="167" fontId="0" fillId="0" borderId="0" xfId="0" applyNumberFormat="1"/>
    <xf numFmtId="0" fontId="2" fillId="0" borderId="0" xfId="0" applyFont="1" applyAlignment="1">
      <alignment horizontal="left" indent="1"/>
    </xf>
    <xf numFmtId="0" fontId="2" fillId="0" borderId="0" xfId="0" applyFont="1" applyFill="1" applyAlignment="1">
      <alignment horizontal="left" indent="1"/>
    </xf>
    <xf numFmtId="0" fontId="0" fillId="0" borderId="0" xfId="0" applyFill="1" applyAlignment="1">
      <alignment horizontal="left" indent="2"/>
    </xf>
    <xf numFmtId="0" fontId="0" fillId="0" borderId="0" xfId="0" applyAlignment="1">
      <alignment horizontal="left" indent="2"/>
    </xf>
    <xf numFmtId="0" fontId="0" fillId="0" borderId="0" xfId="0" applyFont="1" applyFill="1" applyAlignment="1">
      <alignment horizontal="left" indent="2"/>
    </xf>
    <xf numFmtId="0" fontId="8" fillId="0" borderId="0" xfId="0" applyFont="1"/>
    <xf numFmtId="43" fontId="0" fillId="0" borderId="0" xfId="0" applyNumberFormat="1"/>
    <xf numFmtId="167" fontId="2" fillId="0" borderId="0" xfId="1" applyNumberFormat="1" applyFont="1"/>
    <xf numFmtId="167" fontId="2" fillId="0" borderId="0" xfId="0" applyNumberFormat="1" applyFont="1"/>
    <xf numFmtId="2" fontId="0" fillId="0" borderId="0" xfId="0" applyNumberFormat="1"/>
    <xf numFmtId="0" fontId="2" fillId="0" borderId="0" xfId="0" applyFont="1" applyAlignment="1">
      <alignment horizontal="left"/>
    </xf>
    <xf numFmtId="10" fontId="2" fillId="0" borderId="0" xfId="5" applyNumberFormat="1" applyFont="1"/>
    <xf numFmtId="10" fontId="2" fillId="0" borderId="0" xfId="0" applyNumberFormat="1" applyFont="1"/>
    <xf numFmtId="10" fontId="0" fillId="0" borderId="0" xfId="0" applyNumberFormat="1"/>
    <xf numFmtId="10" fontId="0" fillId="0" borderId="0" xfId="0" applyNumberFormat="1" applyFont="1"/>
    <xf numFmtId="164" fontId="0" fillId="0" borderId="0" xfId="0" applyNumberFormat="1" applyFont="1"/>
    <xf numFmtId="171" fontId="0" fillId="0" borderId="0" xfId="0" applyNumberFormat="1" applyFont="1"/>
    <xf numFmtId="171" fontId="0" fillId="8" borderId="0" xfId="0" applyNumberFormat="1" applyFont="1" applyFill="1"/>
    <xf numFmtId="0" fontId="19" fillId="0" borderId="0" xfId="6"/>
    <xf numFmtId="0" fontId="19" fillId="8" borderId="0" xfId="6" applyFill="1" applyAlignment="1">
      <alignment wrapText="1"/>
    </xf>
    <xf numFmtId="0" fontId="0" fillId="0" borderId="0" xfId="0" applyFont="1" applyFill="1"/>
    <xf numFmtId="0" fontId="16" fillId="0" borderId="0" xfId="0" applyFont="1" applyFill="1" applyAlignment="1">
      <alignment horizontal="left" indent="1"/>
    </xf>
    <xf numFmtId="41" fontId="2" fillId="0" borderId="0" xfId="1" applyFont="1" applyFill="1"/>
    <xf numFmtId="1" fontId="16" fillId="8" borderId="0" xfId="0" applyNumberFormat="1" applyFont="1" applyFill="1" applyAlignment="1">
      <alignment horizontal="right" indent="1"/>
    </xf>
    <xf numFmtId="9" fontId="0" fillId="0" borderId="0" xfId="5" applyFont="1"/>
    <xf numFmtId="41" fontId="1" fillId="0" borderId="0" xfId="1" applyFont="1" applyAlignment="1">
      <alignment horizontal="center" vertical="center"/>
    </xf>
    <xf numFmtId="0" fontId="0" fillId="0" borderId="0" xfId="0" applyFont="1" applyAlignment="1">
      <alignment horizontal="center" vertical="center"/>
    </xf>
    <xf numFmtId="166" fontId="8" fillId="0" borderId="0" xfId="4" applyNumberFormat="1"/>
    <xf numFmtId="167" fontId="0" fillId="0" borderId="0" xfId="1" applyNumberFormat="1" applyFont="1" applyFill="1"/>
    <xf numFmtId="0" fontId="2" fillId="0" borderId="0" xfId="0" applyFont="1" applyFill="1"/>
    <xf numFmtId="41" fontId="1" fillId="0" borderId="0" xfId="1" applyFont="1" applyFill="1"/>
    <xf numFmtId="41" fontId="1" fillId="0" borderId="0" xfId="1" applyFont="1"/>
    <xf numFmtId="0" fontId="19" fillId="0" borderId="0" xfId="6" applyFill="1" applyAlignment="1">
      <alignment horizontal="left" indent="1"/>
    </xf>
    <xf numFmtId="0" fontId="20" fillId="0" borderId="0" xfId="7" applyFill="1"/>
    <xf numFmtId="0" fontId="19" fillId="0" borderId="0" xfId="6" applyFill="1"/>
    <xf numFmtId="10" fontId="20" fillId="0" borderId="0" xfId="5" applyNumberFormat="1" applyFont="1" applyFill="1"/>
    <xf numFmtId="43" fontId="0" fillId="0" borderId="0" xfId="0" applyNumberFormat="1" applyFont="1"/>
    <xf numFmtId="172" fontId="22" fillId="0" borderId="0" xfId="8" applyFont="1"/>
    <xf numFmtId="172" fontId="23" fillId="0" borderId="0" xfId="8" applyNumberFormat="1" applyFont="1" applyAlignment="1" applyProtection="1">
      <alignment horizontal="center"/>
    </xf>
    <xf numFmtId="172" fontId="20" fillId="0" borderId="0" xfId="8" applyFont="1"/>
    <xf numFmtId="172" fontId="20" fillId="0" borderId="11" xfId="8" applyNumberFormat="1" applyFont="1" applyBorder="1" applyAlignment="1" applyProtection="1">
      <alignment horizontal="centerContinuous"/>
    </xf>
    <xf numFmtId="172" fontId="20" fillId="0" borderId="12" xfId="8" applyFont="1" applyBorder="1" applyAlignment="1">
      <alignment horizontal="centerContinuous"/>
    </xf>
    <xf numFmtId="172" fontId="20" fillId="0" borderId="11" xfId="8" applyFont="1" applyBorder="1" applyAlignment="1">
      <alignment horizontal="centerContinuous"/>
    </xf>
    <xf numFmtId="172" fontId="20" fillId="0" borderId="13" xfId="8" applyFont="1" applyBorder="1" applyAlignment="1">
      <alignment horizontal="centerContinuous"/>
    </xf>
    <xf numFmtId="172" fontId="20" fillId="0" borderId="22" xfId="8" quotePrefix="1" applyNumberFormat="1" applyFont="1" applyBorder="1" applyAlignment="1" applyProtection="1">
      <alignment horizontal="center" wrapText="1"/>
    </xf>
    <xf numFmtId="172" fontId="20" fillId="0" borderId="23" xfId="8" applyNumberFormat="1" applyFont="1" applyBorder="1" applyAlignment="1" applyProtection="1">
      <alignment horizontal="left"/>
    </xf>
    <xf numFmtId="10" fontId="20" fillId="0" borderId="23" xfId="8" applyNumberFormat="1" applyFont="1" applyBorder="1" applyAlignment="1" applyProtection="1">
      <alignment horizontal="centerContinuous"/>
    </xf>
    <xf numFmtId="172" fontId="20" fillId="0" borderId="24" xfId="8" applyNumberFormat="1" applyFont="1" applyBorder="1" applyAlignment="1" applyProtection="1">
      <alignment horizontal="center"/>
    </xf>
    <xf numFmtId="172" fontId="20" fillId="0" borderId="23" xfId="8" applyNumberFormat="1" applyFont="1" applyBorder="1" applyAlignment="1" applyProtection="1">
      <alignment horizontal="centerContinuous"/>
    </xf>
    <xf numFmtId="172" fontId="20" fillId="0" borderId="24" xfId="8" applyNumberFormat="1" applyFont="1" applyBorder="1" applyAlignment="1" applyProtection="1">
      <alignment horizontal="centerContinuous"/>
    </xf>
    <xf numFmtId="172" fontId="20" fillId="0" borderId="25" xfId="8" applyNumberFormat="1" applyFont="1" applyBorder="1" applyAlignment="1" applyProtection="1">
      <alignment horizontal="left"/>
    </xf>
    <xf numFmtId="10" fontId="20" fillId="0" borderId="24" xfId="8" applyNumberFormat="1" applyFont="1" applyBorder="1" applyAlignment="1" applyProtection="1">
      <alignment horizontal="center"/>
    </xf>
    <xf numFmtId="172" fontId="20" fillId="0" borderId="22" xfId="8" applyNumberFormat="1" applyFont="1" applyBorder="1" applyAlignment="1" applyProtection="1">
      <alignment horizontal="center" wrapText="1"/>
    </xf>
    <xf numFmtId="172" fontId="20" fillId="0" borderId="26" xfId="8" quotePrefix="1" applyNumberFormat="1" applyFont="1" applyBorder="1" applyAlignment="1" applyProtection="1">
      <alignment horizontal="center" wrapText="1"/>
    </xf>
    <xf numFmtId="172" fontId="20" fillId="0" borderId="26" xfId="8" applyNumberFormat="1" applyFont="1" applyBorder="1" applyAlignment="1" applyProtection="1">
      <alignment horizontal="center" wrapText="1"/>
    </xf>
    <xf numFmtId="49" fontId="20" fillId="0" borderId="23" xfId="8" quotePrefix="1" applyNumberFormat="1" applyFont="1" applyBorder="1" applyAlignment="1" applyProtection="1">
      <alignment horizontal="left"/>
    </xf>
    <xf numFmtId="15" fontId="20" fillId="0" borderId="23" xfId="8" quotePrefix="1" applyNumberFormat="1" applyFont="1" applyBorder="1" applyAlignment="1" applyProtection="1">
      <alignment horizontal="left"/>
    </xf>
    <xf numFmtId="172" fontId="20" fillId="0" borderId="23" xfId="8" quotePrefix="1" applyNumberFormat="1" applyFont="1" applyBorder="1" applyAlignment="1" applyProtection="1">
      <alignment horizontal="center"/>
    </xf>
    <xf numFmtId="10" fontId="20" fillId="0" borderId="23" xfId="8" quotePrefix="1" applyNumberFormat="1" applyFont="1" applyBorder="1" applyAlignment="1" applyProtection="1">
      <alignment horizontal="center"/>
    </xf>
    <xf numFmtId="172" fontId="20" fillId="0" borderId="23" xfId="8" quotePrefix="1" applyFont="1" applyBorder="1" applyAlignment="1" applyProtection="1">
      <alignment horizontal="left"/>
    </xf>
    <xf numFmtId="10" fontId="20" fillId="0" borderId="24" xfId="8" applyNumberFormat="1" applyFont="1" applyBorder="1" applyAlignment="1" applyProtection="1">
      <alignment horizontal="centerContinuous"/>
    </xf>
    <xf numFmtId="49" fontId="20" fillId="0" borderId="23" xfId="8" applyNumberFormat="1" applyFont="1" applyBorder="1" applyAlignment="1" applyProtection="1">
      <alignment horizontal="left"/>
    </xf>
    <xf numFmtId="15" fontId="20" fillId="0" borderId="23" xfId="8" applyNumberFormat="1" applyFont="1" applyBorder="1" applyAlignment="1" applyProtection="1">
      <alignment horizontal="left"/>
    </xf>
    <xf numFmtId="172" fontId="20" fillId="0" borderId="23" xfId="8" applyNumberFormat="1" applyFont="1" applyBorder="1" applyAlignment="1" applyProtection="1">
      <alignment horizontal="center"/>
    </xf>
    <xf numFmtId="172" fontId="20" fillId="0" borderId="27" xfId="8" quotePrefix="1" applyNumberFormat="1" applyFont="1" applyBorder="1" applyAlignment="1" applyProtection="1">
      <alignment horizontal="center" wrapText="1"/>
    </xf>
    <xf numFmtId="49" fontId="20" fillId="0" borderId="16" xfId="8" quotePrefix="1" applyNumberFormat="1" applyFont="1" applyBorder="1" applyAlignment="1" applyProtection="1">
      <alignment horizontal="left"/>
    </xf>
    <xf numFmtId="15" fontId="20" fillId="0" borderId="16" xfId="8" applyNumberFormat="1" applyFont="1" applyBorder="1" applyAlignment="1" applyProtection="1">
      <alignment horizontal="left"/>
    </xf>
    <xf numFmtId="172" fontId="20" fillId="0" borderId="16" xfId="8" applyNumberFormat="1" applyFont="1" applyBorder="1" applyAlignment="1" applyProtection="1">
      <alignment horizontal="center"/>
    </xf>
    <xf numFmtId="10" fontId="20" fillId="0" borderId="16" xfId="8" applyNumberFormat="1" applyFont="1" applyBorder="1" applyAlignment="1" applyProtection="1">
      <alignment horizontal="centerContinuous"/>
    </xf>
    <xf numFmtId="172" fontId="20" fillId="0" borderId="17" xfId="8" applyNumberFormat="1" applyFont="1" applyBorder="1" applyAlignment="1" applyProtection="1">
      <alignment horizontal="center"/>
    </xf>
    <xf numFmtId="10" fontId="20" fillId="0" borderId="23" xfId="8" applyNumberFormat="1" applyFont="1" applyBorder="1" applyAlignment="1" applyProtection="1">
      <alignment horizontal="center"/>
    </xf>
    <xf numFmtId="49" fontId="20" fillId="0" borderId="22" xfId="8" applyNumberFormat="1" applyFont="1" applyBorder="1" applyAlignment="1" applyProtection="1">
      <alignment horizontal="center" wrapText="1"/>
    </xf>
    <xf numFmtId="10" fontId="20" fillId="0" borderId="24" xfId="8" quotePrefix="1" applyNumberFormat="1" applyFont="1" applyBorder="1" applyAlignment="1" applyProtection="1">
      <alignment horizontal="center"/>
    </xf>
    <xf numFmtId="172" fontId="22" fillId="0" borderId="0" xfId="8" applyFont="1" applyBorder="1"/>
    <xf numFmtId="172" fontId="25" fillId="0" borderId="26" xfId="8" quotePrefix="1" applyNumberFormat="1" applyFont="1" applyBorder="1" applyAlignment="1" applyProtection="1">
      <alignment horizontal="center" wrapText="1"/>
    </xf>
    <xf numFmtId="172" fontId="24" fillId="0" borderId="0" xfId="8"/>
    <xf numFmtId="172" fontId="22" fillId="14" borderId="0" xfId="8" applyFont="1" applyFill="1" applyBorder="1"/>
    <xf numFmtId="172" fontId="20" fillId="0" borderId="24" xfId="8" quotePrefix="1" applyNumberFormat="1" applyFont="1" applyBorder="1" applyAlignment="1" applyProtection="1">
      <alignment horizontal="center"/>
    </xf>
    <xf numFmtId="15" fontId="20" fillId="0" borderId="16" xfId="8" quotePrefix="1" applyNumberFormat="1" applyFont="1" applyBorder="1" applyAlignment="1" applyProtection="1">
      <alignment horizontal="left"/>
    </xf>
    <xf numFmtId="172" fontId="20" fillId="0" borderId="16" xfId="8" quotePrefix="1" applyNumberFormat="1" applyFont="1" applyBorder="1" applyAlignment="1" applyProtection="1">
      <alignment horizontal="center"/>
    </xf>
    <xf numFmtId="10" fontId="20" fillId="0" borderId="16" xfId="8" quotePrefix="1" applyNumberFormat="1" applyFont="1" applyBorder="1" applyAlignment="1" applyProtection="1">
      <alignment horizontal="center"/>
    </xf>
    <xf numFmtId="172" fontId="20" fillId="0" borderId="17" xfId="8" quotePrefix="1" applyNumberFormat="1" applyFont="1" applyBorder="1" applyAlignment="1" applyProtection="1">
      <alignment horizontal="center"/>
    </xf>
    <xf numFmtId="10" fontId="20" fillId="0" borderId="24" xfId="9" quotePrefix="1" applyNumberFormat="1" applyFont="1" applyBorder="1" applyAlignment="1" applyProtection="1">
      <alignment horizontal="center"/>
    </xf>
    <xf numFmtId="15" fontId="20" fillId="0" borderId="23" xfId="8" applyNumberFormat="1" applyFont="1" applyBorder="1" applyAlignment="1">
      <alignment horizontal="left"/>
    </xf>
    <xf numFmtId="10" fontId="20" fillId="0" borderId="23" xfId="9" applyNumberFormat="1" applyFont="1" applyBorder="1" applyAlignment="1">
      <alignment horizontal="center"/>
    </xf>
    <xf numFmtId="10" fontId="20" fillId="0" borderId="23" xfId="9" quotePrefix="1" applyNumberFormat="1" applyFont="1" applyBorder="1" applyAlignment="1" applyProtection="1">
      <alignment horizontal="center"/>
    </xf>
    <xf numFmtId="15" fontId="20" fillId="0" borderId="28" xfId="8" applyNumberFormat="1" applyFont="1" applyBorder="1" applyAlignment="1">
      <alignment horizontal="left"/>
    </xf>
    <xf numFmtId="15" fontId="20" fillId="0" borderId="28" xfId="8" applyNumberFormat="1" applyFont="1" applyBorder="1" applyAlignment="1" applyProtection="1">
      <alignment horizontal="left"/>
    </xf>
    <xf numFmtId="172" fontId="20" fillId="0" borderId="28" xfId="8" quotePrefix="1" applyNumberFormat="1" applyFont="1" applyBorder="1" applyAlignment="1" applyProtection="1">
      <alignment horizontal="center"/>
    </xf>
    <xf numFmtId="10" fontId="20" fillId="0" borderId="29" xfId="8" quotePrefix="1" applyNumberFormat="1" applyFont="1" applyBorder="1" applyAlignment="1" applyProtection="1">
      <alignment horizontal="center"/>
    </xf>
    <xf numFmtId="15" fontId="20" fillId="0" borderId="25" xfId="8" applyNumberFormat="1" applyFont="1" applyBorder="1" applyAlignment="1">
      <alignment horizontal="left"/>
    </xf>
    <xf numFmtId="15" fontId="20" fillId="0" borderId="25" xfId="8" applyNumberFormat="1" applyFont="1" applyBorder="1" applyAlignment="1" applyProtection="1">
      <alignment horizontal="left"/>
    </xf>
    <xf numFmtId="172" fontId="20" fillId="0" borderId="30" xfId="8" quotePrefix="1" applyNumberFormat="1" applyFont="1" applyBorder="1" applyAlignment="1" applyProtection="1">
      <alignment horizontal="center"/>
    </xf>
    <xf numFmtId="10" fontId="20" fillId="0" borderId="28" xfId="9" quotePrefix="1" applyNumberFormat="1" applyFont="1" applyBorder="1" applyAlignment="1" applyProtection="1">
      <alignment horizontal="center"/>
    </xf>
    <xf numFmtId="172" fontId="26" fillId="0" borderId="0" xfId="8" applyFont="1"/>
    <xf numFmtId="172" fontId="20" fillId="0" borderId="31" xfId="8" quotePrefix="1" applyNumberFormat="1" applyFont="1" applyBorder="1" applyAlignment="1" applyProtection="1">
      <alignment horizontal="center" wrapText="1"/>
    </xf>
    <xf numFmtId="172" fontId="24" fillId="0" borderId="0" xfId="8" applyFont="1"/>
    <xf numFmtId="172" fontId="20" fillId="0" borderId="22" xfId="8" applyFont="1" applyBorder="1" applyAlignment="1">
      <alignment horizontal="center" wrapText="1"/>
    </xf>
    <xf numFmtId="172" fontId="20" fillId="0" borderId="22" xfId="8" quotePrefix="1" applyFont="1" applyBorder="1" applyAlignment="1">
      <alignment horizontal="center" wrapText="1"/>
    </xf>
    <xf numFmtId="10" fontId="20" fillId="0" borderId="32" xfId="9" quotePrefix="1" applyNumberFormat="1" applyFont="1" applyBorder="1" applyAlignment="1" applyProtection="1">
      <alignment horizontal="center"/>
    </xf>
    <xf numFmtId="172" fontId="20" fillId="0" borderId="29" xfId="8" quotePrefix="1" applyNumberFormat="1" applyFont="1" applyBorder="1" applyAlignment="1" applyProtection="1">
      <alignment horizontal="center"/>
    </xf>
    <xf numFmtId="10" fontId="20" fillId="0" borderId="23" xfId="9" applyNumberFormat="1" applyFont="1" applyBorder="1" applyAlignment="1" applyProtection="1">
      <alignment horizontal="center"/>
    </xf>
    <xf numFmtId="172" fontId="20" fillId="0" borderId="33" xfId="8" quotePrefix="1" applyNumberFormat="1" applyFont="1" applyBorder="1" applyAlignment="1" applyProtection="1">
      <alignment horizontal="center"/>
    </xf>
    <xf numFmtId="172" fontId="20" fillId="0" borderId="31" xfId="8" quotePrefix="1" applyFont="1" applyBorder="1" applyAlignment="1">
      <alignment horizontal="center" wrapText="1"/>
    </xf>
    <xf numFmtId="172" fontId="20" fillId="0" borderId="34" xfId="8" quotePrefix="1" applyNumberFormat="1" applyFont="1" applyBorder="1" applyAlignment="1" applyProtection="1">
      <alignment horizontal="center"/>
    </xf>
    <xf numFmtId="172" fontId="20" fillId="0" borderId="35" xfId="8" quotePrefix="1" applyNumberFormat="1" applyFont="1" applyBorder="1" applyAlignment="1" applyProtection="1">
      <alignment horizontal="center"/>
    </xf>
    <xf numFmtId="10" fontId="20" fillId="0" borderId="36" xfId="9" quotePrefix="1" applyNumberFormat="1" applyFont="1" applyBorder="1" applyAlignment="1" applyProtection="1">
      <alignment horizontal="center"/>
    </xf>
    <xf numFmtId="15" fontId="20" fillId="0" borderId="31" xfId="8" quotePrefix="1" applyNumberFormat="1" applyFont="1" applyBorder="1" applyAlignment="1">
      <alignment horizontal="center" wrapText="1"/>
    </xf>
    <xf numFmtId="0" fontId="20" fillId="0" borderId="31" xfId="8" quotePrefix="1" applyNumberFormat="1" applyFont="1" applyBorder="1" applyAlignment="1">
      <alignment horizontal="center" wrapText="1"/>
    </xf>
    <xf numFmtId="0" fontId="20" fillId="0" borderId="37" xfId="8" quotePrefix="1" applyNumberFormat="1" applyFont="1" applyBorder="1" applyAlignment="1">
      <alignment horizontal="center" wrapText="1"/>
    </xf>
    <xf numFmtId="15" fontId="20" fillId="0" borderId="38" xfId="8" applyNumberFormat="1" applyFont="1" applyBorder="1" applyAlignment="1">
      <alignment horizontal="left"/>
    </xf>
    <xf numFmtId="15" fontId="20" fillId="0" borderId="38" xfId="8" applyNumberFormat="1" applyFont="1" applyBorder="1" applyAlignment="1" applyProtection="1">
      <alignment horizontal="left"/>
    </xf>
    <xf numFmtId="172" fontId="20" fillId="0" borderId="38" xfId="8" quotePrefix="1" applyNumberFormat="1" applyFont="1" applyBorder="1" applyAlignment="1" applyProtection="1">
      <alignment horizontal="center"/>
    </xf>
    <xf numFmtId="10" fontId="20" fillId="0" borderId="38" xfId="9" quotePrefix="1" applyNumberFormat="1" applyFont="1" applyBorder="1" applyAlignment="1" applyProtection="1">
      <alignment horizontal="center"/>
    </xf>
    <xf numFmtId="172" fontId="20" fillId="0" borderId="39" xfId="8" quotePrefix="1" applyNumberFormat="1" applyFont="1" applyBorder="1" applyAlignment="1" applyProtection="1">
      <alignment horizontal="center"/>
    </xf>
    <xf numFmtId="10" fontId="20" fillId="0" borderId="40" xfId="9" quotePrefix="1" applyNumberFormat="1" applyFont="1" applyBorder="1" applyAlignment="1" applyProtection="1">
      <alignment horizontal="center"/>
    </xf>
    <xf numFmtId="0" fontId="20" fillId="0" borderId="41" xfId="8" quotePrefix="1" applyNumberFormat="1" applyFont="1" applyBorder="1" applyAlignment="1">
      <alignment horizontal="center" wrapText="1"/>
    </xf>
    <xf numFmtId="10" fontId="20" fillId="0" borderId="28" xfId="8" applyNumberFormat="1" applyFont="1" applyBorder="1" applyAlignment="1">
      <alignment horizontal="center"/>
    </xf>
    <xf numFmtId="172" fontId="20" fillId="0" borderId="29" xfId="8" quotePrefix="1" applyFont="1" applyBorder="1" applyAlignment="1">
      <alignment horizontal="center"/>
    </xf>
    <xf numFmtId="172" fontId="20" fillId="0" borderId="25" xfId="8" quotePrefix="1" applyNumberFormat="1" applyFont="1" applyBorder="1" applyAlignment="1" applyProtection="1">
      <alignment horizontal="center"/>
    </xf>
    <xf numFmtId="0" fontId="20" fillId="0" borderId="41" xfId="8" applyNumberFormat="1" applyFont="1" applyBorder="1" applyAlignment="1">
      <alignment horizontal="center" wrapText="1"/>
    </xf>
    <xf numFmtId="172" fontId="20" fillId="0" borderId="29" xfId="8" applyFont="1" applyBorder="1" applyAlignment="1">
      <alignment horizontal="center"/>
    </xf>
    <xf numFmtId="172" fontId="23" fillId="0" borderId="29" xfId="8" applyFont="1" applyBorder="1" applyAlignment="1">
      <alignment horizontal="center"/>
    </xf>
    <xf numFmtId="0" fontId="20" fillId="0" borderId="42" xfId="8" quotePrefix="1" applyNumberFormat="1" applyFont="1" applyBorder="1" applyAlignment="1">
      <alignment horizontal="center" wrapText="1"/>
    </xf>
    <xf numFmtId="15" fontId="20" fillId="0" borderId="43" xfId="8" applyNumberFormat="1" applyFont="1" applyBorder="1" applyAlignment="1">
      <alignment horizontal="left"/>
    </xf>
    <xf numFmtId="15" fontId="20" fillId="0" borderId="44" xfId="8" applyNumberFormat="1" applyFont="1" applyBorder="1" applyAlignment="1">
      <alignment horizontal="left"/>
    </xf>
    <xf numFmtId="172" fontId="20" fillId="0" borderId="44" xfId="8" quotePrefix="1" applyNumberFormat="1" applyFont="1" applyBorder="1" applyAlignment="1" applyProtection="1">
      <alignment horizontal="center"/>
    </xf>
    <xf numFmtId="10" fontId="20" fillId="0" borderId="43" xfId="8" applyNumberFormat="1" applyFont="1" applyBorder="1" applyAlignment="1">
      <alignment horizontal="center"/>
    </xf>
    <xf numFmtId="172" fontId="23" fillId="0" borderId="45" xfId="8" applyFont="1" applyBorder="1" applyAlignment="1">
      <alignment horizontal="center"/>
    </xf>
    <xf numFmtId="0" fontId="20" fillId="0" borderId="0" xfId="8" quotePrefix="1" applyNumberFormat="1" applyFont="1" applyBorder="1" applyAlignment="1">
      <alignment horizontal="right"/>
    </xf>
    <xf numFmtId="15" fontId="23" fillId="0" borderId="0" xfId="8" applyNumberFormat="1" applyFont="1" applyBorder="1" applyAlignment="1">
      <alignment horizontal="left"/>
    </xf>
    <xf numFmtId="172" fontId="23" fillId="0" borderId="0" xfId="8" quotePrefix="1" applyNumberFormat="1" applyFont="1" applyBorder="1" applyAlignment="1" applyProtection="1">
      <alignment horizontal="center"/>
    </xf>
    <xf numFmtId="10" fontId="23" fillId="0" borderId="0" xfId="8" applyNumberFormat="1" applyFont="1" applyBorder="1" applyAlignment="1">
      <alignment horizontal="center"/>
    </xf>
    <xf numFmtId="172" fontId="23" fillId="0" borderId="0" xfId="8" applyFont="1" applyBorder="1" applyAlignment="1">
      <alignment horizontal="center"/>
    </xf>
    <xf numFmtId="172" fontId="23" fillId="0" borderId="0" xfId="8" applyFont="1"/>
    <xf numFmtId="172" fontId="20" fillId="0" borderId="51" xfId="8" quotePrefix="1" applyNumberFormat="1" applyFont="1" applyBorder="1" applyAlignment="1" applyProtection="1">
      <alignment horizontal="center"/>
    </xf>
    <xf numFmtId="15" fontId="23" fillId="0" borderId="52" xfId="8" applyNumberFormat="1" applyFont="1" applyBorder="1" applyAlignment="1">
      <alignment horizontal="left"/>
    </xf>
    <xf numFmtId="15" fontId="23" fillId="0" borderId="53" xfId="8" applyNumberFormat="1" applyFont="1" applyBorder="1" applyAlignment="1">
      <alignment horizontal="left"/>
    </xf>
    <xf numFmtId="15" fontId="23" fillId="0" borderId="54" xfId="8" applyNumberFormat="1" applyFont="1" applyBorder="1" applyAlignment="1">
      <alignment horizontal="left"/>
    </xf>
    <xf numFmtId="10" fontId="23" fillId="0" borderId="55" xfId="8" applyNumberFormat="1" applyFont="1" applyBorder="1" applyAlignment="1" applyProtection="1">
      <alignment horizontal="center"/>
    </xf>
    <xf numFmtId="10" fontId="23" fillId="0" borderId="55" xfId="8" applyNumberFormat="1" applyFont="1" applyBorder="1" applyAlignment="1" applyProtection="1">
      <alignment horizontal="centerContinuous"/>
    </xf>
    <xf numFmtId="10" fontId="23" fillId="0" borderId="56" xfId="8" applyNumberFormat="1" applyFont="1" applyBorder="1" applyAlignment="1" applyProtection="1">
      <alignment horizontal="centerContinuous"/>
    </xf>
    <xf numFmtId="172" fontId="20" fillId="0" borderId="0" xfId="8" quotePrefix="1" applyFont="1" applyAlignment="1" applyProtection="1">
      <alignment horizontal="left"/>
    </xf>
    <xf numFmtId="172" fontId="20" fillId="0" borderId="0" xfId="8" applyFont="1" applyAlignment="1"/>
    <xf numFmtId="172" fontId="20" fillId="0" borderId="0" xfId="8" quotePrefix="1" applyNumberFormat="1" applyFont="1" applyBorder="1" applyAlignment="1" applyProtection="1">
      <alignment horizontal="center"/>
    </xf>
    <xf numFmtId="172" fontId="20" fillId="0" borderId="57" xfId="8" applyFont="1" applyBorder="1" applyAlignment="1">
      <alignment horizontal="centerContinuous"/>
    </xf>
    <xf numFmtId="172" fontId="20" fillId="0" borderId="58" xfId="8" applyFont="1" applyBorder="1" applyAlignment="1">
      <alignment horizontal="centerContinuous"/>
    </xf>
    <xf numFmtId="172" fontId="20" fillId="0" borderId="59" xfId="8" applyFont="1" applyBorder="1" applyAlignment="1">
      <alignment horizontal="centerContinuous"/>
    </xf>
    <xf numFmtId="10" fontId="23" fillId="0" borderId="0" xfId="8" applyNumberFormat="1" applyFont="1" applyBorder="1" applyAlignment="1" applyProtection="1">
      <alignment horizontal="center"/>
    </xf>
    <xf numFmtId="10" fontId="23" fillId="0" borderId="0" xfId="8" applyNumberFormat="1" applyFont="1" applyBorder="1" applyAlignment="1" applyProtection="1">
      <alignment horizontal="centerContinuous"/>
    </xf>
    <xf numFmtId="172" fontId="26" fillId="0" borderId="0" xfId="8" applyFont="1" applyBorder="1"/>
    <xf numFmtId="172" fontId="20" fillId="0" borderId="73" xfId="8" applyNumberFormat="1" applyFont="1" applyBorder="1" applyAlignment="1" applyProtection="1">
      <alignment horizontal="centerContinuous"/>
    </xf>
    <xf numFmtId="172" fontId="20" fillId="0" borderId="74" xfId="8" applyFont="1" applyBorder="1" applyAlignment="1">
      <alignment horizontal="centerContinuous"/>
    </xf>
    <xf numFmtId="172" fontId="20" fillId="0" borderId="81" xfId="8" quotePrefix="1" applyNumberFormat="1" applyFont="1" applyBorder="1" applyAlignment="1" applyProtection="1">
      <alignment horizontal="center"/>
    </xf>
    <xf numFmtId="15" fontId="23" fillId="0" borderId="5" xfId="8" applyNumberFormat="1" applyFont="1" applyBorder="1" applyAlignment="1">
      <alignment horizontal="left"/>
    </xf>
    <xf numFmtId="15" fontId="23" fillId="0" borderId="7" xfId="8" applyNumberFormat="1" applyFont="1" applyBorder="1" applyAlignment="1">
      <alignment horizontal="left"/>
    </xf>
    <xf numFmtId="15" fontId="23" fillId="0" borderId="82" xfId="8" applyNumberFormat="1" applyFont="1" applyBorder="1" applyAlignment="1">
      <alignment horizontal="left"/>
    </xf>
    <xf numFmtId="10" fontId="23" fillId="15" borderId="16" xfId="8" applyNumberFormat="1" applyFont="1" applyFill="1" applyBorder="1" applyAlignment="1" applyProtection="1">
      <alignment horizontal="centerContinuous"/>
    </xf>
    <xf numFmtId="10" fontId="23" fillId="16" borderId="83" xfId="8" applyNumberFormat="1" applyFont="1" applyFill="1" applyBorder="1" applyAlignment="1" applyProtection="1">
      <alignment horizontal="center" vertical="center" wrapText="1"/>
    </xf>
    <xf numFmtId="172" fontId="20" fillId="0" borderId="84" xfId="8" quotePrefix="1" applyNumberFormat="1" applyFont="1" applyBorder="1" applyAlignment="1" applyProtection="1">
      <alignment horizontal="center"/>
    </xf>
    <xf numFmtId="15" fontId="23" fillId="0" borderId="5" xfId="8" applyNumberFormat="1" applyFont="1" applyFill="1" applyBorder="1" applyAlignment="1">
      <alignment horizontal="left"/>
    </xf>
    <xf numFmtId="10" fontId="23" fillId="0" borderId="79" xfId="8" applyNumberFormat="1" applyFont="1" applyBorder="1" applyAlignment="1" applyProtection="1">
      <alignment horizontal="centerContinuous"/>
    </xf>
    <xf numFmtId="172" fontId="20" fillId="0" borderId="87" xfId="8" quotePrefix="1" applyNumberFormat="1" applyFont="1" applyBorder="1" applyAlignment="1" applyProtection="1">
      <alignment horizontal="center"/>
    </xf>
    <xf numFmtId="15" fontId="23" fillId="0" borderId="88" xfId="8" applyNumberFormat="1" applyFont="1" applyBorder="1" applyAlignment="1">
      <alignment horizontal="left"/>
    </xf>
    <xf numFmtId="15" fontId="23" fillId="0" borderId="86" xfId="8" applyNumberFormat="1" applyFont="1" applyBorder="1" applyAlignment="1">
      <alignment horizontal="left"/>
    </xf>
    <xf numFmtId="10" fontId="23" fillId="16" borderId="82" xfId="8" applyNumberFormat="1" applyFont="1" applyFill="1" applyBorder="1" applyAlignment="1" applyProtection="1">
      <alignment horizontal="centerContinuous"/>
    </xf>
    <xf numFmtId="172" fontId="20" fillId="0" borderId="90" xfId="8" quotePrefix="1" applyNumberFormat="1" applyFont="1" applyBorder="1" applyAlignment="1" applyProtection="1">
      <alignment horizontal="center"/>
    </xf>
    <xf numFmtId="15" fontId="23" fillId="0" borderId="6" xfId="8" applyNumberFormat="1" applyFont="1" applyBorder="1" applyAlignment="1">
      <alignment horizontal="left"/>
    </xf>
    <xf numFmtId="15" fontId="23" fillId="0" borderId="2" xfId="8" applyNumberFormat="1" applyFont="1" applyBorder="1" applyAlignment="1">
      <alignment horizontal="left"/>
    </xf>
    <xf numFmtId="10" fontId="23" fillId="16" borderId="91" xfId="8" applyNumberFormat="1" applyFont="1" applyFill="1" applyBorder="1" applyAlignment="1" applyProtection="1">
      <alignment horizontal="centerContinuous"/>
    </xf>
    <xf numFmtId="172" fontId="20" fillId="0" borderId="41" xfId="8" quotePrefix="1" applyNumberFormat="1" applyFont="1" applyBorder="1" applyAlignment="1" applyProtection="1">
      <alignment horizontal="center"/>
    </xf>
    <xf numFmtId="15" fontId="23" fillId="0" borderId="28" xfId="8" applyNumberFormat="1" applyFont="1" applyBorder="1" applyAlignment="1">
      <alignment horizontal="left"/>
    </xf>
    <xf numFmtId="15" fontId="23" fillId="0" borderId="40" xfId="8" applyNumberFormat="1" applyFont="1" applyBorder="1" applyAlignment="1">
      <alignment horizontal="left"/>
    </xf>
    <xf numFmtId="10" fontId="23" fillId="16" borderId="93" xfId="8" applyNumberFormat="1" applyFont="1" applyFill="1" applyBorder="1" applyAlignment="1" applyProtection="1">
      <alignment horizontal="centerContinuous"/>
    </xf>
    <xf numFmtId="15" fontId="23" fillId="0" borderId="16" xfId="8" applyNumberFormat="1" applyFont="1" applyBorder="1" applyAlignment="1">
      <alignment horizontal="left"/>
    </xf>
    <xf numFmtId="10" fontId="23" fillId="16" borderId="63" xfId="8" applyNumberFormat="1" applyFont="1" applyFill="1" applyBorder="1" applyAlignment="1" applyProtection="1">
      <alignment horizontal="centerContinuous"/>
    </xf>
    <xf numFmtId="172" fontId="20" fillId="0" borderId="94" xfId="8" quotePrefix="1" applyNumberFormat="1" applyFont="1" applyBorder="1" applyAlignment="1" applyProtection="1">
      <alignment horizontal="center"/>
    </xf>
    <xf numFmtId="15" fontId="23" fillId="0" borderId="23" xfId="8" applyNumberFormat="1" applyFont="1" applyBorder="1" applyAlignment="1">
      <alignment horizontal="left"/>
    </xf>
    <xf numFmtId="10" fontId="23" fillId="16" borderId="96" xfId="8" applyNumberFormat="1" applyFont="1" applyFill="1" applyBorder="1" applyAlignment="1" applyProtection="1">
      <alignment horizontal="centerContinuous"/>
    </xf>
    <xf numFmtId="10" fontId="23" fillId="16" borderId="23" xfId="8" applyNumberFormat="1" applyFont="1" applyFill="1" applyBorder="1" applyAlignment="1" applyProtection="1">
      <alignment horizontal="centerContinuous"/>
    </xf>
    <xf numFmtId="10" fontId="23" fillId="16" borderId="15" xfId="8" applyNumberFormat="1" applyFont="1" applyFill="1" applyBorder="1" applyAlignment="1" applyProtection="1">
      <alignment horizontal="centerContinuous"/>
    </xf>
    <xf numFmtId="172" fontId="20" fillId="0" borderId="77" xfId="8" quotePrefix="1" applyNumberFormat="1" applyFont="1" applyBorder="1" applyAlignment="1" applyProtection="1">
      <alignment horizontal="center"/>
    </xf>
    <xf numFmtId="15" fontId="23" fillId="0" borderId="15" xfId="8" applyNumberFormat="1" applyFont="1" applyBorder="1" applyAlignment="1">
      <alignment horizontal="left"/>
    </xf>
    <xf numFmtId="10" fontId="23" fillId="16" borderId="16" xfId="8" applyNumberFormat="1" applyFont="1" applyFill="1" applyBorder="1" applyAlignment="1" applyProtection="1">
      <alignment horizontal="centerContinuous"/>
    </xf>
    <xf numFmtId="15" fontId="23" fillId="0" borderId="97" xfId="8" applyNumberFormat="1" applyFont="1" applyBorder="1" applyAlignment="1">
      <alignment horizontal="left"/>
    </xf>
    <xf numFmtId="10" fontId="23" fillId="0" borderId="97" xfId="8" applyNumberFormat="1" applyFont="1" applyBorder="1" applyAlignment="1" applyProtection="1">
      <alignment horizontal="center" vertical="center" wrapText="1"/>
    </xf>
    <xf numFmtId="10" fontId="23" fillId="0" borderId="23" xfId="8" applyNumberFormat="1" applyFont="1" applyBorder="1" applyAlignment="1" applyProtection="1">
      <alignment horizontal="center" vertical="center" wrapText="1"/>
    </xf>
    <xf numFmtId="10" fontId="23" fillId="0" borderId="16" xfId="8" applyNumberFormat="1" applyFont="1" applyBorder="1" applyAlignment="1" applyProtection="1">
      <alignment horizontal="center" vertical="center" wrapText="1"/>
    </xf>
    <xf numFmtId="10" fontId="23" fillId="16" borderId="16" xfId="8" applyNumberFormat="1" applyFont="1" applyFill="1" applyBorder="1" applyAlignment="1" applyProtection="1">
      <alignment horizontal="center" vertical="center" wrapText="1"/>
    </xf>
    <xf numFmtId="172" fontId="20" fillId="0" borderId="98" xfId="8" applyNumberFormat="1" applyFont="1" applyBorder="1" applyAlignment="1" applyProtection="1">
      <alignment horizontal="center"/>
    </xf>
    <xf numFmtId="15" fontId="23" fillId="0" borderId="99" xfId="8" applyNumberFormat="1" applyFont="1" applyBorder="1" applyAlignment="1">
      <alignment horizontal="left"/>
    </xf>
    <xf numFmtId="10" fontId="23" fillId="0" borderId="99" xfId="8" applyNumberFormat="1" applyFont="1" applyBorder="1" applyAlignment="1" applyProtection="1">
      <alignment horizontal="center" vertical="center" wrapText="1"/>
    </xf>
    <xf numFmtId="172" fontId="20" fillId="0" borderId="87" xfId="8" applyNumberFormat="1" applyFont="1" applyBorder="1" applyAlignment="1" applyProtection="1">
      <alignment horizontal="center"/>
    </xf>
    <xf numFmtId="15" fontId="23" fillId="0" borderId="63" xfId="8" applyNumberFormat="1" applyFont="1" applyBorder="1" applyAlignment="1">
      <alignment horizontal="left"/>
    </xf>
    <xf numFmtId="15" fontId="23" fillId="0" borderId="62" xfId="8" applyNumberFormat="1" applyFont="1" applyBorder="1" applyAlignment="1">
      <alignment horizontal="left"/>
    </xf>
    <xf numFmtId="10" fontId="23" fillId="16" borderId="93" xfId="8" applyNumberFormat="1" applyFont="1" applyFill="1" applyBorder="1" applyAlignment="1" applyProtection="1">
      <alignment horizontal="center" vertical="center" wrapText="1"/>
    </xf>
    <xf numFmtId="172" fontId="20" fillId="0" borderId="101" xfId="8" quotePrefix="1" applyNumberFormat="1" applyFont="1" applyBorder="1" applyAlignment="1" applyProtection="1">
      <alignment horizontal="center"/>
    </xf>
    <xf numFmtId="15" fontId="23" fillId="0" borderId="61" xfId="8" applyNumberFormat="1" applyFont="1" applyBorder="1" applyAlignment="1">
      <alignment horizontal="left"/>
    </xf>
    <xf numFmtId="15" fontId="23" fillId="0" borderId="60" xfId="8" applyNumberFormat="1" applyFont="1" applyBorder="1" applyAlignment="1">
      <alignment horizontal="left"/>
    </xf>
    <xf numFmtId="10" fontId="23" fillId="16" borderId="61" xfId="8" applyNumberFormat="1" applyFont="1" applyFill="1" applyBorder="1" applyAlignment="1" applyProtection="1">
      <alignment horizontal="center" vertical="center" wrapText="1"/>
    </xf>
    <xf numFmtId="15" fontId="23" fillId="0" borderId="100" xfId="8" applyNumberFormat="1" applyFont="1" applyBorder="1" applyAlignment="1">
      <alignment horizontal="left"/>
    </xf>
    <xf numFmtId="10" fontId="23" fillId="16" borderId="82" xfId="8" applyNumberFormat="1" applyFont="1" applyFill="1" applyBorder="1" applyAlignment="1" applyProtection="1">
      <alignment horizontal="center" vertical="center" wrapText="1"/>
    </xf>
    <xf numFmtId="15" fontId="23" fillId="0" borderId="103" xfId="8" applyNumberFormat="1" applyFont="1" applyBorder="1" applyAlignment="1">
      <alignment horizontal="left"/>
    </xf>
    <xf numFmtId="15" fontId="23" fillId="0" borderId="104" xfId="8" applyNumberFormat="1" applyFont="1" applyBorder="1" applyAlignment="1">
      <alignment horizontal="left"/>
    </xf>
    <xf numFmtId="10" fontId="23" fillId="0" borderId="103" xfId="8" applyNumberFormat="1" applyFont="1" applyBorder="1" applyAlignment="1" applyProtection="1">
      <alignment horizontal="centerContinuous"/>
    </xf>
    <xf numFmtId="10" fontId="23" fillId="16" borderId="103" xfId="8" applyNumberFormat="1" applyFont="1" applyFill="1" applyBorder="1" applyAlignment="1" applyProtection="1">
      <alignment horizontal="center" vertical="center" wrapText="1"/>
    </xf>
    <xf numFmtId="15" fontId="23" fillId="0" borderId="82" xfId="8" applyNumberFormat="1" applyFont="1" applyFill="1" applyBorder="1" applyAlignment="1">
      <alignment horizontal="left"/>
    </xf>
    <xf numFmtId="10" fontId="23" fillId="0" borderId="82" xfId="8" applyNumberFormat="1" applyFont="1" applyBorder="1" applyAlignment="1" applyProtection="1">
      <alignment horizontal="center" vertical="center" wrapText="1"/>
    </xf>
    <xf numFmtId="172" fontId="20" fillId="0" borderId="105" xfId="8" quotePrefix="1" applyNumberFormat="1" applyFont="1" applyBorder="1" applyAlignment="1" applyProtection="1">
      <alignment horizontal="center"/>
    </xf>
    <xf numFmtId="15" fontId="23" fillId="0" borderId="66" xfId="8" applyNumberFormat="1" applyFont="1" applyFill="1" applyBorder="1" applyAlignment="1">
      <alignment horizontal="left"/>
    </xf>
    <xf numFmtId="15" fontId="23" fillId="0" borderId="48" xfId="8" applyNumberFormat="1" applyFont="1" applyBorder="1" applyAlignment="1">
      <alignment horizontal="left"/>
    </xf>
    <xf numFmtId="15" fontId="23" fillId="0" borderId="65" xfId="8" applyNumberFormat="1" applyFont="1" applyBorder="1" applyAlignment="1">
      <alignment horizontal="left"/>
    </xf>
    <xf numFmtId="10" fontId="23" fillId="16" borderId="66" xfId="8" applyNumberFormat="1" applyFont="1" applyFill="1" applyBorder="1" applyAlignment="1" applyProtection="1">
      <alignment horizontal="center" vertical="center" wrapText="1"/>
    </xf>
    <xf numFmtId="172" fontId="20" fillId="0" borderId="0" xfId="8" applyFont="1" applyBorder="1" applyAlignment="1">
      <alignment horizontal="center" vertical="center" wrapText="1"/>
    </xf>
    <xf numFmtId="15" fontId="23" fillId="0" borderId="91" xfId="8" applyNumberFormat="1" applyFont="1" applyFill="1" applyBorder="1" applyAlignment="1">
      <alignment horizontal="left"/>
    </xf>
    <xf numFmtId="15" fontId="23" fillId="0" borderId="102" xfId="8" applyNumberFormat="1" applyFont="1" applyBorder="1" applyAlignment="1">
      <alignment horizontal="left"/>
    </xf>
    <xf numFmtId="10" fontId="23" fillId="0" borderId="106" xfId="8" applyNumberFormat="1" applyFont="1" applyBorder="1" applyAlignment="1" applyProtection="1">
      <alignment horizontal="center" vertical="center" wrapText="1"/>
    </xf>
    <xf numFmtId="10" fontId="23" fillId="16" borderId="107" xfId="8" applyNumberFormat="1" applyFont="1" applyFill="1" applyBorder="1" applyAlignment="1" applyProtection="1">
      <alignment horizontal="center" vertical="center" wrapText="1"/>
    </xf>
    <xf numFmtId="15" fontId="23" fillId="0" borderId="103" xfId="8" applyNumberFormat="1" applyFont="1" applyFill="1" applyBorder="1" applyAlignment="1">
      <alignment horizontal="left"/>
    </xf>
    <xf numFmtId="10" fontId="23" fillId="16" borderId="91" xfId="8" applyNumberFormat="1" applyFont="1" applyFill="1" applyBorder="1" applyAlignment="1" applyProtection="1">
      <alignment horizontal="center" vertical="center" wrapText="1"/>
    </xf>
    <xf numFmtId="10" fontId="23" fillId="16" borderId="108" xfId="8" applyNumberFormat="1" applyFont="1" applyFill="1" applyBorder="1" applyAlignment="1" applyProtection="1">
      <alignment horizontal="center" vertical="center" wrapText="1"/>
    </xf>
    <xf numFmtId="10" fontId="27" fillId="16" borderId="4" xfId="8" applyNumberFormat="1" applyFont="1" applyFill="1" applyBorder="1" applyAlignment="1" applyProtection="1">
      <alignment horizontal="center" vertical="center" wrapText="1"/>
    </xf>
    <xf numFmtId="10" fontId="27" fillId="16" borderId="8" xfId="8" applyNumberFormat="1" applyFont="1" applyFill="1" applyBorder="1" applyAlignment="1" applyProtection="1">
      <alignment horizontal="center" vertical="center" wrapText="1"/>
    </xf>
    <xf numFmtId="10" fontId="23" fillId="0" borderId="107" xfId="8" applyNumberFormat="1" applyFont="1" applyBorder="1" applyAlignment="1" applyProtection="1">
      <alignment horizontal="center" vertical="center" wrapText="1"/>
    </xf>
    <xf numFmtId="10" fontId="23" fillId="16" borderId="18" xfId="8" applyNumberFormat="1" applyFont="1" applyFill="1" applyBorder="1" applyAlignment="1" applyProtection="1">
      <alignment horizontal="center" vertical="center" wrapText="1"/>
    </xf>
    <xf numFmtId="172" fontId="20" fillId="0" borderId="109" xfId="8" quotePrefix="1" applyNumberFormat="1" applyFont="1" applyFill="1" applyBorder="1" applyAlignment="1" applyProtection="1">
      <alignment horizontal="center"/>
    </xf>
    <xf numFmtId="15" fontId="23" fillId="0" borderId="54" xfId="8" applyNumberFormat="1" applyFont="1" applyFill="1" applyBorder="1" applyAlignment="1">
      <alignment horizontal="left"/>
    </xf>
    <xf numFmtId="15" fontId="23" fillId="0" borderId="110" xfId="8" applyNumberFormat="1" applyFont="1" applyBorder="1" applyAlignment="1">
      <alignment horizontal="left"/>
    </xf>
    <xf numFmtId="15" fontId="23" fillId="0" borderId="111" xfId="8" applyNumberFormat="1" applyFont="1" applyBorder="1" applyAlignment="1">
      <alignment horizontal="left"/>
    </xf>
    <xf numFmtId="10" fontId="23" fillId="16" borderId="54" xfId="8" applyNumberFormat="1" applyFont="1" applyFill="1" applyBorder="1" applyAlignment="1" applyProtection="1">
      <alignment horizontal="center" vertical="center" wrapText="1"/>
    </xf>
    <xf numFmtId="10" fontId="23" fillId="16" borderId="112" xfId="8" applyNumberFormat="1" applyFont="1" applyFill="1" applyBorder="1" applyAlignment="1" applyProtection="1">
      <alignment horizontal="center" vertical="center" wrapText="1"/>
    </xf>
    <xf numFmtId="172" fontId="25" fillId="0" borderId="0" xfId="8" applyFont="1" applyAlignment="1">
      <alignment horizontal="justify"/>
    </xf>
    <xf numFmtId="172" fontId="20" fillId="0" borderId="0" xfId="8" quotePrefix="1" applyNumberFormat="1" applyFont="1" applyAlignment="1" applyProtection="1">
      <alignment horizontal="left"/>
    </xf>
    <xf numFmtId="172" fontId="20" fillId="0" borderId="0" xfId="8" applyNumberFormat="1" applyFont="1" applyAlignment="1" applyProtection="1">
      <alignment horizontal="left"/>
    </xf>
    <xf numFmtId="172" fontId="21" fillId="0" borderId="0" xfId="8" applyFont="1" applyFill="1" applyAlignment="1">
      <alignment vertical="center"/>
    </xf>
    <xf numFmtId="172" fontId="21" fillId="0" borderId="0" xfId="8" applyFont="1"/>
    <xf numFmtId="172" fontId="23" fillId="0" borderId="0" xfId="8" applyNumberFormat="1" applyFont="1" applyAlignment="1" applyProtection="1">
      <alignment horizontal="left"/>
    </xf>
    <xf numFmtId="172" fontId="22" fillId="0" borderId="0" xfId="8" applyFont="1" applyFill="1"/>
    <xf numFmtId="172" fontId="22" fillId="13" borderId="0" xfId="8" applyFont="1" applyFill="1"/>
    <xf numFmtId="168" fontId="0" fillId="0" borderId="0" xfId="0" applyNumberFormat="1"/>
    <xf numFmtId="0" fontId="6" fillId="3" borderId="0" xfId="3" applyFont="1" applyFill="1" applyAlignment="1">
      <alignment horizontal="left" vertical="top"/>
    </xf>
    <xf numFmtId="0" fontId="6" fillId="0" borderId="0" xfId="3" applyFont="1" applyAlignment="1">
      <alignment horizontal="left" vertical="top"/>
    </xf>
    <xf numFmtId="0" fontId="0" fillId="5" borderId="0" xfId="0" applyFill="1" applyAlignment="1">
      <alignment horizontal="center"/>
    </xf>
    <xf numFmtId="0" fontId="2" fillId="0" borderId="113" xfId="0" applyFont="1" applyBorder="1"/>
    <xf numFmtId="0" fontId="0" fillId="0" borderId="114" xfId="0" applyBorder="1"/>
    <xf numFmtId="0" fontId="0" fillId="0" borderId="115" xfId="0" applyBorder="1"/>
    <xf numFmtId="167" fontId="0" fillId="0" borderId="114" xfId="1" applyNumberFormat="1" applyFont="1" applyBorder="1"/>
    <xf numFmtId="167" fontId="0" fillId="0" borderId="115" xfId="1" applyNumberFormat="1" applyFont="1" applyBorder="1"/>
    <xf numFmtId="0" fontId="0" fillId="0" borderId="116" xfId="0" applyBorder="1" applyAlignment="1">
      <alignment horizontal="left" indent="1"/>
    </xf>
    <xf numFmtId="167" fontId="0" fillId="0" borderId="117" xfId="1" applyNumberFormat="1" applyFont="1" applyBorder="1"/>
    <xf numFmtId="167" fontId="0" fillId="0" borderId="118" xfId="1" applyNumberFormat="1" applyFont="1" applyBorder="1"/>
    <xf numFmtId="0" fontId="0" fillId="0" borderId="119" xfId="0" applyBorder="1" applyAlignment="1">
      <alignment horizontal="left" indent="1"/>
    </xf>
    <xf numFmtId="167" fontId="0" fillId="0" borderId="120" xfId="1" applyNumberFormat="1" applyFont="1" applyBorder="1"/>
    <xf numFmtId="167" fontId="0" fillId="0" borderId="121" xfId="1" applyNumberFormat="1" applyFont="1" applyBorder="1"/>
    <xf numFmtId="0" fontId="0" fillId="0" borderId="122" xfId="0" applyBorder="1" applyAlignment="1">
      <alignment horizontal="left" indent="1"/>
    </xf>
    <xf numFmtId="167" fontId="0" fillId="0" borderId="123" xfId="1" applyNumberFormat="1" applyFont="1" applyBorder="1"/>
    <xf numFmtId="167" fontId="0" fillId="0" borderId="124" xfId="1" applyNumberFormat="1" applyFont="1" applyBorder="1"/>
    <xf numFmtId="0" fontId="0" fillId="0" borderId="116" xfId="0" applyBorder="1"/>
    <xf numFmtId="0" fontId="0" fillId="0" borderId="119" xfId="0" applyBorder="1"/>
    <xf numFmtId="0" fontId="0" fillId="0" borderId="122" xfId="0" applyBorder="1"/>
    <xf numFmtId="0" fontId="3" fillId="0" borderId="0" xfId="2"/>
    <xf numFmtId="0" fontId="0" fillId="0" borderId="125" xfId="0" applyBorder="1"/>
    <xf numFmtId="168" fontId="0" fillId="0" borderId="125" xfId="0" applyNumberFormat="1" applyBorder="1"/>
    <xf numFmtId="10" fontId="0" fillId="0" borderId="125" xfId="0" applyNumberFormat="1" applyBorder="1"/>
    <xf numFmtId="0" fontId="2" fillId="0" borderId="125" xfId="0" applyFont="1" applyBorder="1"/>
    <xf numFmtId="0" fontId="2" fillId="0" borderId="125" xfId="0" applyFont="1" applyBorder="1" applyAlignment="1">
      <alignment horizontal="center" vertical="center"/>
    </xf>
    <xf numFmtId="10" fontId="0" fillId="0" borderId="125" xfId="5" applyNumberFormat="1" applyFont="1" applyBorder="1"/>
    <xf numFmtId="0" fontId="18" fillId="0" borderId="125" xfId="0" applyFont="1" applyBorder="1" applyAlignment="1">
      <alignment horizontal="left" indent="1"/>
    </xf>
    <xf numFmtId="0" fontId="2" fillId="0" borderId="125" xfId="0" applyFont="1" applyBorder="1" applyAlignment="1">
      <alignment horizontal="center" vertical="center" wrapText="1"/>
    </xf>
    <xf numFmtId="0" fontId="0" fillId="0" borderId="0" xfId="0" applyFill="1" applyAlignment="1">
      <alignment horizontal="left" indent="1"/>
    </xf>
    <xf numFmtId="41" fontId="2" fillId="0" borderId="125" xfId="0" applyNumberFormat="1" applyFont="1" applyBorder="1"/>
    <xf numFmtId="41" fontId="0" fillId="0" borderId="0" xfId="0" applyNumberFormat="1" applyFill="1"/>
    <xf numFmtId="0" fontId="0" fillId="0" borderId="125" xfId="0" applyBorder="1" applyAlignment="1">
      <alignment horizontal="left" indent="1"/>
    </xf>
    <xf numFmtId="0" fontId="3" fillId="11" borderId="0" xfId="2" applyFill="1"/>
    <xf numFmtId="168" fontId="0" fillId="0" borderId="0" xfId="5" applyNumberFormat="1" applyFont="1" applyFill="1"/>
    <xf numFmtId="0" fontId="11" fillId="0" borderId="125" xfId="3" applyFont="1" applyFill="1" applyBorder="1" applyAlignment="1">
      <alignment horizontal="left" vertical="top"/>
    </xf>
    <xf numFmtId="0" fontId="2" fillId="0" borderId="0" xfId="10" applyFont="1"/>
    <xf numFmtId="43" fontId="0" fillId="0" borderId="0" xfId="11" applyNumberFormat="1" applyFont="1"/>
    <xf numFmtId="0" fontId="1" fillId="0" borderId="0" xfId="10"/>
    <xf numFmtId="0" fontId="2" fillId="5" borderId="0" xfId="10" applyFont="1" applyFill="1" applyBorder="1"/>
    <xf numFmtId="0" fontId="29" fillId="17" borderId="88" xfId="10" applyFont="1" applyFill="1" applyBorder="1" applyAlignment="1">
      <alignment horizontal="center" vertical="center"/>
    </xf>
    <xf numFmtId="14" fontId="1" fillId="0" borderId="0" xfId="10" applyNumberFormat="1"/>
    <xf numFmtId="0" fontId="0" fillId="0" borderId="0" xfId="0" pivotButton="1"/>
    <xf numFmtId="0" fontId="0" fillId="0" borderId="0" xfId="0" applyAlignment="1">
      <alignment horizontal="left"/>
    </xf>
    <xf numFmtId="0" fontId="30" fillId="0" borderId="0" xfId="12"/>
    <xf numFmtId="0" fontId="30" fillId="0" borderId="0" xfId="12" applyAlignment="1">
      <alignment horizontal="center" vertical="top" wrapText="1"/>
    </xf>
    <xf numFmtId="0" fontId="35" fillId="18" borderId="127" xfId="12" applyFont="1" applyFill="1" applyBorder="1" applyAlignment="1">
      <alignment horizontal="center" vertical="center" wrapText="1"/>
    </xf>
    <xf numFmtId="0" fontId="35" fillId="18" borderId="128" xfId="12" applyFont="1" applyFill="1" applyBorder="1" applyAlignment="1">
      <alignment horizontal="center" vertical="center" wrapText="1"/>
    </xf>
    <xf numFmtId="14" fontId="30" fillId="19" borderId="127" xfId="12" applyNumberFormat="1" applyFill="1" applyBorder="1" applyAlignment="1">
      <alignment horizontal="right" vertical="center" wrapText="1"/>
    </xf>
    <xf numFmtId="173" fontId="30" fillId="18" borderId="128" xfId="12" applyNumberFormat="1" applyFill="1" applyBorder="1" applyAlignment="1">
      <alignment horizontal="right" vertical="center" wrapText="1"/>
    </xf>
    <xf numFmtId="173" fontId="30" fillId="0" borderId="0" xfId="12" applyNumberFormat="1"/>
    <xf numFmtId="173" fontId="30" fillId="20" borderId="128" xfId="12" applyNumberFormat="1" applyFill="1" applyBorder="1" applyAlignment="1">
      <alignment horizontal="right" vertical="center" wrapText="1"/>
    </xf>
    <xf numFmtId="14" fontId="30" fillId="19" borderId="129" xfId="12" applyNumberFormat="1" applyFill="1" applyBorder="1" applyAlignment="1">
      <alignment horizontal="right" vertical="center" wrapText="1"/>
    </xf>
    <xf numFmtId="173" fontId="30" fillId="20" borderId="130" xfId="12" applyNumberFormat="1" applyFill="1" applyBorder="1" applyAlignment="1">
      <alignment horizontal="right" vertical="center" wrapText="1"/>
    </xf>
    <xf numFmtId="10" fontId="17" fillId="0" borderId="0" xfId="5" applyNumberFormat="1" applyFont="1"/>
    <xf numFmtId="41" fontId="0" fillId="4" borderId="0" xfId="0" applyNumberFormat="1" applyFill="1"/>
    <xf numFmtId="43" fontId="2" fillId="0" borderId="0" xfId="13" applyFont="1"/>
    <xf numFmtId="43" fontId="2" fillId="0" borderId="0" xfId="0" applyNumberFormat="1" applyFont="1"/>
    <xf numFmtId="0" fontId="0" fillId="0" borderId="0" xfId="0" applyFont="1" applyAlignment="1">
      <alignment horizontal="left"/>
    </xf>
    <xf numFmtId="10" fontId="0" fillId="4" borderId="0" xfId="0" applyNumberFormat="1" applyFill="1"/>
    <xf numFmtId="174" fontId="2" fillId="0" borderId="0" xfId="13" applyNumberFormat="1" applyFont="1"/>
    <xf numFmtId="174" fontId="2" fillId="0" borderId="0" xfId="0" applyNumberFormat="1" applyFont="1"/>
    <xf numFmtId="0" fontId="1" fillId="0" borderId="0" xfId="0" applyFont="1" applyAlignment="1">
      <alignment horizontal="left"/>
    </xf>
    <xf numFmtId="0" fontId="38" fillId="0" borderId="0" xfId="7" applyFont="1"/>
    <xf numFmtId="0" fontId="39" fillId="0" borderId="0" xfId="7" applyFont="1"/>
    <xf numFmtId="174" fontId="1" fillId="0" borderId="0" xfId="13" applyNumberFormat="1" applyFont="1"/>
    <xf numFmtId="174" fontId="39" fillId="0" borderId="0" xfId="13" applyNumberFormat="1" applyFont="1"/>
    <xf numFmtId="10" fontId="39" fillId="0" borderId="0" xfId="5" applyNumberFormat="1" applyFont="1"/>
    <xf numFmtId="0" fontId="39" fillId="0" borderId="0" xfId="7" quotePrefix="1" applyFont="1"/>
    <xf numFmtId="174" fontId="38" fillId="0" borderId="0" xfId="13" applyNumberFormat="1" applyFont="1"/>
    <xf numFmtId="174" fontId="39" fillId="0" borderId="0" xfId="7" applyNumberFormat="1" applyFont="1"/>
    <xf numFmtId="0" fontId="38" fillId="5" borderId="0" xfId="7" quotePrefix="1" applyFont="1" applyFill="1"/>
    <xf numFmtId="174" fontId="38" fillId="5" borderId="0" xfId="13" applyNumberFormat="1" applyFont="1" applyFill="1"/>
    <xf numFmtId="0" fontId="38" fillId="5" borderId="0" xfId="7" applyFont="1" applyFill="1"/>
    <xf numFmtId="0" fontId="39" fillId="5" borderId="0" xfId="7" applyFont="1" applyFill="1"/>
    <xf numFmtId="174" fontId="38" fillId="5" borderId="0" xfId="7" applyNumberFormat="1" applyFont="1" applyFill="1"/>
    <xf numFmtId="174" fontId="39" fillId="0" borderId="0" xfId="13" applyNumberFormat="1" applyFont="1" applyFill="1"/>
    <xf numFmtId="166" fontId="8" fillId="0" borderId="0" xfId="3" applyNumberFormat="1"/>
    <xf numFmtId="0" fontId="39" fillId="21" borderId="0" xfId="7" applyFont="1" applyFill="1"/>
    <xf numFmtId="174" fontId="39" fillId="21" borderId="0" xfId="13" applyNumberFormat="1" applyFont="1" applyFill="1"/>
    <xf numFmtId="0" fontId="2" fillId="0" borderId="125" xfId="0" applyFont="1" applyBorder="1" applyAlignment="1">
      <alignment horizontal="center"/>
    </xf>
    <xf numFmtId="0" fontId="8" fillId="4" borderId="0" xfId="4" applyFill="1"/>
    <xf numFmtId="10" fontId="8" fillId="0" borderId="0" xfId="5" applyNumberFormat="1" applyFont="1"/>
    <xf numFmtId="10" fontId="0" fillId="4" borderId="0" xfId="5" applyNumberFormat="1" applyFont="1" applyFill="1"/>
    <xf numFmtId="0" fontId="14" fillId="0" borderId="125" xfId="0" applyFont="1" applyBorder="1" applyAlignment="1">
      <alignment vertical="center"/>
    </xf>
    <xf numFmtId="41" fontId="0" fillId="0" borderId="125" xfId="1" applyFont="1" applyBorder="1"/>
    <xf numFmtId="41" fontId="0" fillId="0" borderId="125" xfId="0" applyNumberFormat="1" applyBorder="1"/>
    <xf numFmtId="167" fontId="0" fillId="4" borderId="125" xfId="1" applyNumberFormat="1" applyFont="1" applyFill="1" applyBorder="1"/>
    <xf numFmtId="41" fontId="3" fillId="0" borderId="0" xfId="1" applyNumberFormat="1" applyFont="1"/>
    <xf numFmtId="10" fontId="0" fillId="0" borderId="0" xfId="0" applyNumberFormat="1" applyFill="1"/>
    <xf numFmtId="0" fontId="2" fillId="21" borderId="0" xfId="0" applyFont="1" applyFill="1"/>
    <xf numFmtId="41" fontId="0" fillId="4" borderId="0" xfId="1" applyFont="1" applyFill="1"/>
    <xf numFmtId="0" fontId="2" fillId="0" borderId="0" xfId="0" applyFont="1" applyFill="1" applyAlignment="1">
      <alignment horizontal="left"/>
    </xf>
    <xf numFmtId="0" fontId="0" fillId="4" borderId="0" xfId="0" applyFill="1" applyAlignment="1">
      <alignment horizontal="left" indent="1"/>
    </xf>
    <xf numFmtId="0" fontId="0" fillId="21" borderId="0" xfId="0" applyFill="1"/>
    <xf numFmtId="41" fontId="2" fillId="0" borderId="0" xfId="0" applyNumberFormat="1" applyFont="1" applyFill="1"/>
    <xf numFmtId="9" fontId="0" fillId="0" borderId="0" xfId="0" applyNumberFormat="1"/>
    <xf numFmtId="9" fontId="0" fillId="22" borderId="0" xfId="0" applyNumberFormat="1" applyFill="1"/>
    <xf numFmtId="10" fontId="2" fillId="4" borderId="0" xfId="0" applyNumberFormat="1" applyFont="1" applyFill="1"/>
    <xf numFmtId="0" fontId="2" fillId="22" borderId="0" xfId="0" applyFont="1" applyFill="1"/>
    <xf numFmtId="0" fontId="39" fillId="0" borderId="0" xfId="7" quotePrefix="1" applyFont="1" applyFill="1"/>
    <xf numFmtId="174" fontId="0" fillId="0" borderId="0" xfId="0" applyNumberFormat="1"/>
    <xf numFmtId="0" fontId="2" fillId="22" borderId="0" xfId="0" applyFont="1" applyFill="1" applyAlignment="1">
      <alignment horizontal="right"/>
    </xf>
    <xf numFmtId="41" fontId="39" fillId="0" borderId="0" xfId="7" applyNumberFormat="1" applyFont="1"/>
    <xf numFmtId="167" fontId="0" fillId="0" borderId="125" xfId="1" applyNumberFormat="1" applyFont="1" applyBorder="1"/>
    <xf numFmtId="0" fontId="0" fillId="0" borderId="0" xfId="0" applyFill="1"/>
    <xf numFmtId="0" fontId="18" fillId="0" borderId="125" xfId="0" applyFont="1" applyFill="1" applyBorder="1" applyAlignment="1">
      <alignment horizontal="left" indent="1"/>
    </xf>
    <xf numFmtId="0" fontId="2" fillId="0" borderId="125" xfId="0" applyFont="1" applyFill="1" applyBorder="1" applyAlignment="1">
      <alignment horizontal="center"/>
    </xf>
    <xf numFmtId="10" fontId="0" fillId="0" borderId="0" xfId="5" applyNumberFormat="1" applyFont="1" applyBorder="1"/>
    <xf numFmtId="10" fontId="0" fillId="0" borderId="0" xfId="0" applyNumberFormat="1" applyBorder="1"/>
    <xf numFmtId="0" fontId="2" fillId="0" borderId="131" xfId="0" applyFont="1" applyBorder="1" applyAlignment="1">
      <alignment horizontal="center" vertical="center"/>
    </xf>
    <xf numFmtId="0" fontId="18" fillId="0" borderId="125" xfId="0" applyFont="1" applyBorder="1" applyAlignment="1">
      <alignment horizontal="left"/>
    </xf>
    <xf numFmtId="0" fontId="18" fillId="0" borderId="125" xfId="0" applyFont="1" applyBorder="1"/>
    <xf numFmtId="0" fontId="0" fillId="0" borderId="0" xfId="0" applyBorder="1"/>
    <xf numFmtId="0" fontId="18" fillId="0" borderId="0" xfId="0" applyFont="1" applyBorder="1"/>
    <xf numFmtId="0" fontId="15" fillId="0" borderId="131" xfId="0" applyFont="1" applyBorder="1" applyAlignment="1">
      <alignment horizontal="center" vertical="center"/>
    </xf>
    <xf numFmtId="0" fontId="14" fillId="0" borderId="132" xfId="0" applyFont="1" applyBorder="1" applyAlignment="1">
      <alignment horizontal="left" indent="1"/>
    </xf>
    <xf numFmtId="0" fontId="15" fillId="5" borderId="132" xfId="0" applyFont="1" applyFill="1" applyBorder="1" applyAlignment="1">
      <alignment horizontal="left" indent="1"/>
    </xf>
    <xf numFmtId="0" fontId="42" fillId="0" borderId="0" xfId="0" applyFont="1" applyAlignment="1">
      <alignment horizontal="right"/>
    </xf>
    <xf numFmtId="41" fontId="40" fillId="0" borderId="120" xfId="1" applyFont="1" applyFill="1" applyBorder="1"/>
    <xf numFmtId="41" fontId="40" fillId="0" borderId="133" xfId="1" applyFont="1" applyFill="1" applyBorder="1"/>
    <xf numFmtId="41" fontId="41" fillId="0" borderId="120" xfId="1" applyFont="1" applyFill="1" applyBorder="1"/>
    <xf numFmtId="41" fontId="41" fillId="0" borderId="133" xfId="1" applyFont="1" applyFill="1" applyBorder="1"/>
    <xf numFmtId="41" fontId="40" fillId="5" borderId="120" xfId="1" applyFont="1" applyFill="1" applyBorder="1"/>
    <xf numFmtId="41" fontId="40" fillId="5" borderId="133" xfId="1" applyFont="1" applyFill="1" applyBorder="1"/>
    <xf numFmtId="41" fontId="40" fillId="5" borderId="120" xfId="1" applyFont="1" applyFill="1" applyBorder="1" applyAlignment="1">
      <alignment horizontal="right"/>
    </xf>
    <xf numFmtId="10" fontId="0" fillId="5" borderId="125" xfId="0" applyNumberFormat="1" applyFill="1" applyBorder="1"/>
    <xf numFmtId="0" fontId="43" fillId="0" borderId="0" xfId="0" applyFont="1"/>
    <xf numFmtId="0" fontId="42" fillId="5" borderId="125" xfId="0" applyFont="1" applyFill="1" applyBorder="1"/>
    <xf numFmtId="0" fontId="44" fillId="0" borderId="125" xfId="0" applyFont="1" applyBorder="1" applyAlignment="1">
      <alignment horizontal="left" indent="1"/>
    </xf>
    <xf numFmtId="41" fontId="0" fillId="23" borderId="0" xfId="0" applyNumberFormat="1" applyFill="1"/>
    <xf numFmtId="41" fontId="0" fillId="7" borderId="0" xfId="0" applyNumberFormat="1" applyFill="1"/>
    <xf numFmtId="0" fontId="39" fillId="0" borderId="0" xfId="7" applyFont="1" applyFill="1"/>
    <xf numFmtId="174" fontId="39" fillId="0" borderId="0" xfId="7" applyNumberFormat="1" applyFont="1" applyFill="1"/>
    <xf numFmtId="0" fontId="2" fillId="5" borderId="0" xfId="0" applyFont="1" applyFill="1" applyAlignment="1">
      <alignment horizontal="left"/>
    </xf>
    <xf numFmtId="41" fontId="2" fillId="5" borderId="0" xfId="0" applyNumberFormat="1" applyFont="1" applyFill="1"/>
    <xf numFmtId="0" fontId="46" fillId="0" borderId="0" xfId="0" applyFont="1" applyFill="1"/>
    <xf numFmtId="41" fontId="46" fillId="0" borderId="0" xfId="1" applyFont="1" applyFill="1"/>
    <xf numFmtId="0" fontId="45" fillId="0" borderId="0" xfId="0" applyFont="1" applyFill="1"/>
    <xf numFmtId="41" fontId="2" fillId="4" borderId="0" xfId="0" applyNumberFormat="1" applyFont="1" applyFill="1"/>
    <xf numFmtId="0" fontId="2" fillId="4" borderId="0" xfId="0" applyFont="1" applyFill="1" applyAlignment="1">
      <alignment horizontal="left"/>
    </xf>
    <xf numFmtId="175" fontId="0" fillId="0" borderId="0" xfId="0" applyNumberFormat="1"/>
    <xf numFmtId="176" fontId="0" fillId="0" borderId="0" xfId="0" applyNumberFormat="1"/>
    <xf numFmtId="178" fontId="0" fillId="0" borderId="0" xfId="0" applyNumberFormat="1"/>
    <xf numFmtId="41" fontId="0" fillId="24" borderId="0" xfId="1" applyNumberFormat="1" applyFont="1" applyFill="1"/>
    <xf numFmtId="177" fontId="0" fillId="0" borderId="0" xfId="5" applyNumberFormat="1" applyFont="1"/>
    <xf numFmtId="41" fontId="0" fillId="25" borderId="0" xfId="0" applyNumberFormat="1" applyFill="1"/>
    <xf numFmtId="0" fontId="0" fillId="25" borderId="0" xfId="0" applyFill="1"/>
    <xf numFmtId="10" fontId="0" fillId="25" borderId="0" xfId="0" applyNumberFormat="1" applyFill="1"/>
    <xf numFmtId="10" fontId="2" fillId="25" borderId="0" xfId="0" applyNumberFormat="1" applyFont="1" applyFill="1"/>
    <xf numFmtId="37" fontId="20" fillId="0" borderId="0" xfId="14" applyFont="1" applyFill="1"/>
    <xf numFmtId="37" fontId="47" fillId="0" borderId="0" xfId="14" applyFill="1"/>
    <xf numFmtId="37" fontId="20" fillId="26" borderId="136" xfId="14" applyFont="1" applyFill="1" applyBorder="1"/>
    <xf numFmtId="37" fontId="20" fillId="26" borderId="137" xfId="14" applyFont="1" applyFill="1" applyBorder="1"/>
    <xf numFmtId="37" fontId="20" fillId="26" borderId="138" xfId="14" applyFont="1" applyFill="1" applyBorder="1"/>
    <xf numFmtId="37" fontId="20" fillId="26" borderId="113" xfId="14" applyFont="1" applyFill="1" applyBorder="1"/>
    <xf numFmtId="37" fontId="20" fillId="26" borderId="134" xfId="14" applyFont="1" applyFill="1" applyBorder="1"/>
    <xf numFmtId="37" fontId="23" fillId="26" borderId="6" xfId="14" applyFont="1" applyFill="1" applyBorder="1" applyAlignment="1" applyProtection="1">
      <alignment horizontal="center"/>
    </xf>
    <xf numFmtId="37" fontId="23" fillId="26" borderId="5" xfId="14" applyFont="1" applyFill="1" applyBorder="1" applyAlignment="1" applyProtection="1">
      <alignment horizontal="center"/>
    </xf>
    <xf numFmtId="37" fontId="23" fillId="26" borderId="2" xfId="14" applyFont="1" applyFill="1" applyBorder="1" applyAlignment="1" applyProtection="1">
      <alignment horizontal="center"/>
    </xf>
    <xf numFmtId="37" fontId="23" fillId="26" borderId="135" xfId="14" applyFont="1" applyFill="1" applyBorder="1" applyAlignment="1" applyProtection="1">
      <alignment horizontal="center"/>
    </xf>
    <xf numFmtId="37" fontId="23" fillId="26" borderId="134" xfId="14" applyFont="1" applyFill="1" applyBorder="1" applyAlignment="1" applyProtection="1">
      <alignment horizontal="center"/>
    </xf>
    <xf numFmtId="37" fontId="20" fillId="26" borderId="143" xfId="14" applyFont="1" applyFill="1" applyBorder="1" applyAlignment="1" applyProtection="1">
      <alignment horizontal="fill"/>
    </xf>
    <xf numFmtId="37" fontId="23" fillId="26" borderId="144" xfId="14" applyFont="1" applyFill="1" applyBorder="1" applyAlignment="1" applyProtection="1">
      <alignment horizontal="center"/>
    </xf>
    <xf numFmtId="37" fontId="20" fillId="26" borderId="144" xfId="14" applyFont="1" applyFill="1" applyBorder="1" applyAlignment="1" applyProtection="1">
      <alignment horizontal="fill"/>
    </xf>
    <xf numFmtId="37" fontId="23" fillId="26" borderId="145" xfId="14" applyFont="1" applyFill="1" applyBorder="1" applyAlignment="1" applyProtection="1">
      <alignment horizontal="center"/>
    </xf>
    <xf numFmtId="37" fontId="20" fillId="26" borderId="146" xfId="14" applyFont="1" applyFill="1" applyBorder="1" applyAlignment="1" applyProtection="1">
      <alignment horizontal="fill"/>
    </xf>
    <xf numFmtId="37" fontId="20" fillId="0" borderId="134" xfId="14" applyFont="1" applyFill="1" applyBorder="1" applyAlignment="1" applyProtection="1">
      <alignment horizontal="fill"/>
    </xf>
    <xf numFmtId="37" fontId="20" fillId="0" borderId="6" xfId="14" applyFont="1" applyFill="1" applyBorder="1" applyAlignment="1" applyProtection="1">
      <alignment horizontal="fill"/>
    </xf>
    <xf numFmtId="37" fontId="20" fillId="0" borderId="2" xfId="14" applyFont="1" applyFill="1" applyBorder="1" applyAlignment="1" applyProtection="1">
      <alignment horizontal="fill"/>
    </xf>
    <xf numFmtId="37" fontId="20" fillId="0" borderId="135" xfId="14" applyFont="1" applyFill="1" applyBorder="1" applyAlignment="1" applyProtection="1">
      <alignment horizontal="fill"/>
    </xf>
    <xf numFmtId="0" fontId="23" fillId="0" borderId="134" xfId="14" applyNumberFormat="1" applyFont="1" applyFill="1" applyBorder="1" applyAlignment="1" applyProtection="1">
      <alignment horizontal="left"/>
    </xf>
    <xf numFmtId="37" fontId="20" fillId="0" borderId="6" xfId="14" applyFont="1" applyFill="1" applyBorder="1" applyAlignment="1" applyProtection="1">
      <alignment horizontal="right"/>
    </xf>
    <xf numFmtId="39" fontId="20" fillId="0" borderId="6" xfId="14" applyNumberFormat="1" applyFont="1" applyFill="1" applyBorder="1" applyAlignment="1" applyProtection="1">
      <alignment horizontal="right"/>
    </xf>
    <xf numFmtId="37" fontId="20" fillId="0" borderId="147" xfId="14" applyFont="1" applyFill="1" applyBorder="1" applyAlignment="1" applyProtection="1">
      <alignment horizontal="right"/>
    </xf>
    <xf numFmtId="37" fontId="48" fillId="0" borderId="0" xfId="14" applyFont="1" applyFill="1"/>
    <xf numFmtId="0" fontId="48" fillId="0" borderId="0" xfId="7" applyFont="1" applyFill="1"/>
    <xf numFmtId="37" fontId="20" fillId="0" borderId="2" xfId="14" applyFont="1" applyFill="1" applyBorder="1" applyAlignment="1" applyProtection="1">
      <alignment horizontal="right"/>
    </xf>
    <xf numFmtId="0" fontId="23" fillId="0" borderId="134" xfId="14" applyNumberFormat="1" applyFont="1" applyBorder="1" applyAlignment="1" applyProtection="1">
      <alignment horizontal="left"/>
    </xf>
    <xf numFmtId="0" fontId="23" fillId="0" borderId="136" xfId="14" quotePrefix="1" applyNumberFormat="1" applyFont="1" applyFill="1" applyBorder="1" applyAlignment="1" applyProtection="1">
      <alignment horizontal="left"/>
    </xf>
    <xf numFmtId="37" fontId="20" fillId="0" borderId="148" xfId="14" applyFont="1" applyFill="1" applyBorder="1" applyAlignment="1" applyProtection="1">
      <alignment horizontal="fill"/>
    </xf>
    <xf numFmtId="37" fontId="20" fillId="0" borderId="149" xfId="14" applyFont="1" applyFill="1" applyBorder="1" applyAlignment="1" applyProtection="1">
      <alignment horizontal="fill"/>
    </xf>
    <xf numFmtId="179" fontId="20" fillId="0" borderId="148" xfId="14" applyNumberFormat="1" applyFont="1" applyFill="1" applyBorder="1" applyAlignment="1" applyProtection="1">
      <alignment horizontal="fill"/>
    </xf>
    <xf numFmtId="37" fontId="20" fillId="0" borderId="150" xfId="14" applyFont="1" applyFill="1" applyBorder="1" applyAlignment="1" applyProtection="1">
      <alignment horizontal="fill"/>
    </xf>
    <xf numFmtId="37" fontId="23" fillId="0" borderId="0" xfId="14" applyFont="1" applyFill="1"/>
    <xf numFmtId="180" fontId="20" fillId="0" borderId="0" xfId="14" applyNumberFormat="1" applyFont="1" applyFill="1" applyProtection="1"/>
    <xf numFmtId="37" fontId="20" fillId="0" borderId="0" xfId="14" applyFont="1" applyFill="1" applyAlignment="1" applyProtection="1">
      <alignment horizontal="left"/>
    </xf>
    <xf numFmtId="37" fontId="47" fillId="0" borderId="0" xfId="14" applyFont="1" applyFill="1"/>
    <xf numFmtId="37" fontId="19" fillId="0" borderId="0" xfId="6" applyNumberFormat="1" applyFill="1"/>
    <xf numFmtId="0" fontId="50" fillId="0" borderId="0" xfId="0" applyFont="1"/>
    <xf numFmtId="0" fontId="52" fillId="27" borderId="152" xfId="0" applyFont="1" applyFill="1" applyBorder="1" applyAlignment="1">
      <alignment wrapText="1"/>
    </xf>
    <xf numFmtId="0" fontId="52" fillId="27" borderId="153" xfId="0" applyFont="1" applyFill="1" applyBorder="1" applyAlignment="1">
      <alignment wrapText="1"/>
    </xf>
    <xf numFmtId="0" fontId="52" fillId="28" borderId="154" xfId="0" applyFont="1" applyFill="1" applyBorder="1" applyAlignment="1">
      <alignment horizontal="center" vertical="center" wrapText="1"/>
    </xf>
    <xf numFmtId="0" fontId="52" fillId="28" borderId="155" xfId="0" applyFont="1" applyFill="1" applyBorder="1" applyAlignment="1">
      <alignment horizontal="center" vertical="center" wrapText="1"/>
    </xf>
    <xf numFmtId="0" fontId="53" fillId="28" borderId="157" xfId="0" applyFont="1" applyFill="1" applyBorder="1" applyAlignment="1">
      <alignment horizontal="left" vertical="center" wrapText="1"/>
    </xf>
    <xf numFmtId="0" fontId="50" fillId="27" borderId="158" xfId="0" applyFont="1" applyFill="1" applyBorder="1" applyAlignment="1">
      <alignment horizontal="right" wrapText="1"/>
    </xf>
    <xf numFmtId="0" fontId="50" fillId="27" borderId="159" xfId="0" applyFont="1" applyFill="1" applyBorder="1" applyAlignment="1">
      <alignment horizontal="right" wrapText="1"/>
    </xf>
    <xf numFmtId="3" fontId="50" fillId="27" borderId="158" xfId="0" applyNumberFormat="1" applyFont="1" applyFill="1" applyBorder="1" applyAlignment="1">
      <alignment horizontal="right" wrapText="1"/>
    </xf>
    <xf numFmtId="0" fontId="53" fillId="28" borderId="1" xfId="0" applyFont="1" applyFill="1" applyBorder="1" applyAlignment="1">
      <alignment horizontal="left" vertical="center" wrapText="1"/>
    </xf>
    <xf numFmtId="3" fontId="50" fillId="27" borderId="164" xfId="0" applyNumberFormat="1" applyFont="1" applyFill="1" applyBorder="1" applyAlignment="1">
      <alignment horizontal="right" wrapText="1"/>
    </xf>
    <xf numFmtId="0" fontId="50" fillId="27" borderId="164" xfId="0" applyFont="1" applyFill="1" applyBorder="1" applyAlignment="1">
      <alignment horizontal="right" wrapText="1"/>
    </xf>
    <xf numFmtId="0" fontId="50" fillId="27" borderId="165" xfId="0" applyFont="1" applyFill="1" applyBorder="1" applyAlignment="1">
      <alignment horizontal="right" wrapText="1"/>
    </xf>
    <xf numFmtId="0" fontId="3" fillId="0" borderId="0" xfId="2"/>
    <xf numFmtId="0" fontId="0" fillId="0" borderId="125" xfId="0" applyBorder="1" applyAlignment="1">
      <alignment vertical="center"/>
    </xf>
    <xf numFmtId="0" fontId="15" fillId="0" borderId="125" xfId="0" applyFont="1" applyBorder="1" applyAlignment="1">
      <alignment horizontal="center" vertical="center"/>
    </xf>
    <xf numFmtId="0" fontId="15" fillId="0" borderId="125" xfId="0" applyFont="1" applyBorder="1" applyAlignment="1">
      <alignment horizontal="center" vertical="center" wrapText="1"/>
    </xf>
    <xf numFmtId="10" fontId="0" fillId="11" borderId="125" xfId="5" applyNumberFormat="1" applyFont="1" applyFill="1" applyBorder="1"/>
    <xf numFmtId="10" fontId="1" fillId="29" borderId="0" xfId="16" applyNumberFormat="1"/>
    <xf numFmtId="10" fontId="50" fillId="27" borderId="158" xfId="0" applyNumberFormat="1" applyFont="1" applyFill="1" applyBorder="1" applyAlignment="1">
      <alignment horizontal="right" wrapText="1"/>
    </xf>
    <xf numFmtId="10" fontId="50" fillId="27" borderId="164" xfId="0" applyNumberFormat="1" applyFont="1" applyFill="1" applyBorder="1" applyAlignment="1">
      <alignment horizontal="right" wrapText="1"/>
    </xf>
    <xf numFmtId="10" fontId="2" fillId="0" borderId="125" xfId="0" applyNumberFormat="1" applyFont="1" applyBorder="1"/>
    <xf numFmtId="166" fontId="6" fillId="0" borderId="0" xfId="3" applyNumberFormat="1" applyFont="1"/>
    <xf numFmtId="0" fontId="6" fillId="0" borderId="0" xfId="3" applyFont="1"/>
    <xf numFmtId="166" fontId="6" fillId="0" borderId="0" xfId="2" applyNumberFormat="1" applyFont="1"/>
    <xf numFmtId="0" fontId="6" fillId="0" borderId="0" xfId="2" applyFont="1"/>
    <xf numFmtId="41" fontId="6" fillId="0" borderId="0" xfId="2" applyNumberFormat="1" applyFont="1"/>
    <xf numFmtId="167" fontId="0" fillId="0" borderId="0" xfId="0" applyNumberFormat="1" applyFill="1"/>
    <xf numFmtId="41" fontId="6" fillId="0" borderId="0" xfId="3" applyNumberFormat="1" applyFont="1"/>
    <xf numFmtId="43" fontId="6" fillId="0" borderId="0" xfId="2" applyNumberFormat="1" applyFont="1"/>
    <xf numFmtId="167" fontId="2" fillId="0" borderId="0" xfId="1" applyNumberFormat="1" applyFont="1" applyFill="1"/>
    <xf numFmtId="0" fontId="14" fillId="0" borderId="125" xfId="0" applyFont="1" applyBorder="1" applyAlignment="1">
      <alignment horizontal="center" vertical="center"/>
    </xf>
    <xf numFmtId="9" fontId="14" fillId="0" borderId="125" xfId="0" applyNumberFormat="1" applyFont="1" applyBorder="1" applyAlignment="1">
      <alignment horizontal="center" vertical="center" wrapText="1"/>
    </xf>
    <xf numFmtId="0" fontId="14" fillId="0" borderId="125" xfId="0" applyFont="1" applyBorder="1" applyAlignment="1">
      <alignment horizontal="center" vertical="center" wrapText="1"/>
    </xf>
    <xf numFmtId="10" fontId="2" fillId="0" borderId="125" xfId="5" applyNumberFormat="1" applyFont="1" applyBorder="1"/>
    <xf numFmtId="10" fontId="2" fillId="24" borderId="125" xfId="5" applyNumberFormat="1" applyFont="1" applyFill="1" applyBorder="1"/>
    <xf numFmtId="10" fontId="2" fillId="30" borderId="125" xfId="0" applyNumberFormat="1" applyFont="1" applyFill="1" applyBorder="1"/>
    <xf numFmtId="41" fontId="2" fillId="11" borderId="0" xfId="1" applyFont="1" applyFill="1"/>
    <xf numFmtId="0" fontId="2" fillId="0" borderId="131" xfId="0" applyFont="1" applyBorder="1"/>
    <xf numFmtId="43" fontId="0" fillId="0" borderId="125" xfId="0" applyNumberFormat="1" applyBorder="1"/>
    <xf numFmtId="0" fontId="0" fillId="0" borderId="125" xfId="0" applyFill="1" applyBorder="1"/>
    <xf numFmtId="167" fontId="0" fillId="21" borderId="0" xfId="1" applyNumberFormat="1" applyFont="1" applyFill="1"/>
    <xf numFmtId="0" fontId="14" fillId="0" borderId="0" xfId="0" applyFont="1" applyBorder="1" applyAlignment="1">
      <alignment horizontal="center" vertical="center"/>
    </xf>
    <xf numFmtId="9" fontId="14" fillId="0" borderId="0" xfId="0" applyNumberFormat="1" applyFont="1" applyBorder="1" applyAlignment="1">
      <alignment horizontal="center" vertical="center" wrapText="1"/>
    </xf>
    <xf numFmtId="0" fontId="14" fillId="0" borderId="0" xfId="0" applyFont="1" applyBorder="1" applyAlignment="1">
      <alignment horizontal="center" vertical="center" wrapText="1"/>
    </xf>
    <xf numFmtId="9" fontId="0" fillId="0" borderId="125" xfId="0" applyNumberFormat="1" applyBorder="1"/>
    <xf numFmtId="41" fontId="14" fillId="0" borderId="0" xfId="1" applyFont="1" applyBorder="1" applyAlignment="1">
      <alignment horizontal="center" vertical="center" wrapText="1"/>
    </xf>
    <xf numFmtId="0" fontId="2" fillId="0" borderId="131" xfId="0" applyFont="1" applyBorder="1" applyAlignment="1">
      <alignment horizontal="center" vertical="center"/>
    </xf>
    <xf numFmtId="0" fontId="2" fillId="0" borderId="125" xfId="0" applyFont="1" applyBorder="1" applyAlignment="1">
      <alignment horizontal="center"/>
    </xf>
    <xf numFmtId="10" fontId="1" fillId="0" borderId="125" xfId="5" applyNumberFormat="1" applyFont="1" applyBorder="1"/>
    <xf numFmtId="0" fontId="0" fillId="0" borderId="125" xfId="0" applyFont="1" applyBorder="1" applyAlignment="1">
      <alignment horizontal="left" indent="1"/>
    </xf>
    <xf numFmtId="42" fontId="0" fillId="0" borderId="125" xfId="17" applyFont="1" applyBorder="1"/>
    <xf numFmtId="168" fontId="0" fillId="0" borderId="125" xfId="5" applyNumberFormat="1" applyFont="1" applyBorder="1"/>
    <xf numFmtId="174" fontId="0" fillId="0" borderId="125" xfId="0" applyNumberFormat="1" applyBorder="1"/>
    <xf numFmtId="0" fontId="18" fillId="0" borderId="132" xfId="0" applyFont="1" applyBorder="1" applyAlignment="1">
      <alignment horizontal="left" indent="1"/>
    </xf>
    <xf numFmtId="0" fontId="0" fillId="0" borderId="125" xfId="0" applyFont="1" applyBorder="1"/>
    <xf numFmtId="0" fontId="0" fillId="0" borderId="0" xfId="0" applyFont="1" applyBorder="1"/>
    <xf numFmtId="0" fontId="0" fillId="0" borderId="132" xfId="0" applyBorder="1" applyAlignment="1">
      <alignment horizontal="left" wrapText="1"/>
    </xf>
    <xf numFmtId="0" fontId="0" fillId="0" borderId="120" xfId="0" applyBorder="1" applyAlignment="1">
      <alignment horizontal="left" wrapText="1"/>
    </xf>
    <xf numFmtId="0" fontId="0" fillId="0" borderId="133" xfId="0" applyBorder="1" applyAlignment="1">
      <alignment horizontal="left" wrapText="1"/>
    </xf>
    <xf numFmtId="0" fontId="2" fillId="0" borderId="131" xfId="0" applyFont="1" applyBorder="1" applyAlignment="1">
      <alignment horizontal="center" vertical="center"/>
    </xf>
    <xf numFmtId="0" fontId="2" fillId="0" borderId="166" xfId="0" applyFont="1" applyBorder="1" applyAlignment="1">
      <alignment horizontal="center" vertical="center"/>
    </xf>
    <xf numFmtId="0" fontId="2" fillId="0" borderId="167" xfId="0" applyFont="1" applyBorder="1" applyAlignment="1">
      <alignment horizontal="center" vertical="center"/>
    </xf>
    <xf numFmtId="0" fontId="0" fillId="0" borderId="125" xfId="0" applyBorder="1" applyAlignment="1">
      <alignment horizontal="left" vertical="center" wrapText="1"/>
    </xf>
    <xf numFmtId="0" fontId="0" fillId="0" borderId="125" xfId="0" applyBorder="1" applyAlignment="1">
      <alignment horizontal="left" wrapText="1"/>
    </xf>
    <xf numFmtId="0" fontId="2" fillId="0" borderId="125" xfId="0" applyFont="1" applyBorder="1" applyAlignment="1">
      <alignment horizontal="center"/>
    </xf>
    <xf numFmtId="0" fontId="14" fillId="0" borderId="125" xfId="0" applyFont="1" applyBorder="1" applyAlignment="1">
      <alignment horizontal="left" vertical="center"/>
    </xf>
    <xf numFmtId="0" fontId="14" fillId="0" borderId="132" xfId="0" applyFont="1" applyBorder="1" applyAlignment="1">
      <alignment horizontal="left" vertical="center" wrapText="1"/>
    </xf>
    <xf numFmtId="0" fontId="14" fillId="0" borderId="120" xfId="0" applyFont="1" applyBorder="1" applyAlignment="1">
      <alignment horizontal="left" vertical="center" wrapText="1"/>
    </xf>
    <xf numFmtId="0" fontId="14" fillId="0" borderId="133" xfId="0" applyFont="1" applyBorder="1" applyAlignment="1">
      <alignment horizontal="left" vertical="center" wrapText="1"/>
    </xf>
    <xf numFmtId="0" fontId="0" fillId="0" borderId="125" xfId="0" applyBorder="1" applyAlignment="1">
      <alignment horizontal="left" vertical="center"/>
    </xf>
    <xf numFmtId="0" fontId="4" fillId="2" borderId="0" xfId="2" applyFont="1" applyFill="1" applyAlignment="1">
      <alignment wrapText="1"/>
    </xf>
    <xf numFmtId="0" fontId="3" fillId="0" borderId="0" xfId="2"/>
    <xf numFmtId="0" fontId="9" fillId="2" borderId="0" xfId="3" applyFont="1" applyFill="1" applyAlignment="1">
      <alignment wrapText="1"/>
    </xf>
    <xf numFmtId="0" fontId="8" fillId="0" borderId="0" xfId="3"/>
    <xf numFmtId="0" fontId="9" fillId="2" borderId="0" xfId="4" applyFont="1" applyFill="1" applyAlignment="1">
      <alignment wrapText="1"/>
    </xf>
    <xf numFmtId="0" fontId="8" fillId="0" borderId="0" xfId="4"/>
    <xf numFmtId="10" fontId="23" fillId="0" borderId="82" xfId="8" applyNumberFormat="1" applyFont="1" applyBorder="1" applyAlignment="1" applyProtection="1">
      <alignment horizontal="center" vertical="center" wrapText="1"/>
    </xf>
    <xf numFmtId="172" fontId="20" fillId="0" borderId="100" xfId="8" applyFont="1" applyBorder="1" applyAlignment="1">
      <alignment horizontal="center" vertical="center" wrapText="1"/>
    </xf>
    <xf numFmtId="10" fontId="23" fillId="0" borderId="91" xfId="8" applyNumberFormat="1" applyFont="1" applyBorder="1" applyAlignment="1" applyProtection="1">
      <alignment horizontal="center" vertical="center" wrapText="1"/>
    </xf>
    <xf numFmtId="172" fontId="20" fillId="0" borderId="102" xfId="8" applyFont="1" applyBorder="1" applyAlignment="1">
      <alignment horizontal="center" vertical="center" wrapText="1"/>
    </xf>
    <xf numFmtId="10" fontId="23" fillId="0" borderId="54" xfId="8" applyNumberFormat="1" applyFont="1" applyFill="1" applyBorder="1" applyAlignment="1" applyProtection="1">
      <alignment horizontal="center" vertical="center" wrapText="1"/>
    </xf>
    <xf numFmtId="172" fontId="20" fillId="0" borderId="111" xfId="8" applyFont="1" applyFill="1" applyBorder="1" applyAlignment="1">
      <alignment horizontal="center" vertical="center" wrapText="1"/>
    </xf>
    <xf numFmtId="172" fontId="20" fillId="0" borderId="0" xfId="8" applyFont="1" applyAlignment="1" applyProtection="1">
      <alignment horizontal="left" vertical="center" wrapText="1"/>
    </xf>
    <xf numFmtId="10" fontId="27" fillId="16" borderId="4" xfId="8" applyNumberFormat="1" applyFont="1" applyFill="1" applyBorder="1" applyAlignment="1" applyProtection="1">
      <alignment horizontal="center" vertical="center" wrapText="1"/>
    </xf>
    <xf numFmtId="10" fontId="27" fillId="16" borderId="8" xfId="8" applyNumberFormat="1" applyFont="1" applyFill="1" applyBorder="1" applyAlignment="1" applyProtection="1">
      <alignment horizontal="center" vertical="center" wrapText="1"/>
    </xf>
    <xf numFmtId="10" fontId="27" fillId="16" borderId="85" xfId="8" applyNumberFormat="1" applyFont="1" applyFill="1" applyBorder="1" applyAlignment="1" applyProtection="1">
      <alignment horizontal="center" vertical="center" wrapText="1"/>
    </xf>
    <xf numFmtId="10" fontId="27" fillId="16" borderId="86" xfId="8" applyNumberFormat="1" applyFont="1" applyFill="1" applyBorder="1" applyAlignment="1" applyProtection="1">
      <alignment horizontal="center" vertical="center" wrapText="1"/>
    </xf>
    <xf numFmtId="10" fontId="27" fillId="16" borderId="103" xfId="8" applyNumberFormat="1" applyFont="1" applyFill="1" applyBorder="1" applyAlignment="1" applyProtection="1">
      <alignment horizontal="center" vertical="center" wrapText="1"/>
    </xf>
    <xf numFmtId="172" fontId="28" fillId="16" borderId="104" xfId="8" applyFont="1" applyFill="1" applyBorder="1" applyAlignment="1">
      <alignment horizontal="center" vertical="center" wrapText="1"/>
    </xf>
    <xf numFmtId="10" fontId="23" fillId="0" borderId="103" xfId="8" applyNumberFormat="1" applyFont="1" applyBorder="1" applyAlignment="1" applyProtection="1">
      <alignment horizontal="center" vertical="center" wrapText="1"/>
    </xf>
    <xf numFmtId="172" fontId="20" fillId="0" borderId="104" xfId="8" applyFont="1" applyBorder="1" applyAlignment="1">
      <alignment horizontal="center" vertical="center" wrapText="1"/>
    </xf>
    <xf numFmtId="10" fontId="23" fillId="0" borderId="85" xfId="8" applyNumberFormat="1" applyFont="1" applyBorder="1" applyAlignment="1" applyProtection="1">
      <alignment horizontal="center" vertical="center" wrapText="1"/>
    </xf>
    <xf numFmtId="10" fontId="23" fillId="0" borderId="86" xfId="8" applyNumberFormat="1" applyFont="1" applyBorder="1" applyAlignment="1" applyProtection="1">
      <alignment horizontal="center" vertical="center" wrapText="1"/>
    </xf>
    <xf numFmtId="10" fontId="23" fillId="0" borderId="66" xfId="8" applyNumberFormat="1" applyFont="1" applyBorder="1" applyAlignment="1" applyProtection="1">
      <alignment horizontal="center" vertical="center" wrapText="1"/>
    </xf>
    <xf numFmtId="172" fontId="20" fillId="0" borderId="65" xfId="8" applyFont="1" applyBorder="1" applyAlignment="1">
      <alignment horizontal="center" vertical="center" wrapText="1"/>
    </xf>
    <xf numFmtId="10" fontId="23" fillId="0" borderId="23" xfId="8" applyNumberFormat="1" applyFont="1" applyBorder="1" applyAlignment="1" applyProtection="1">
      <alignment horizontal="center" vertical="center" wrapText="1"/>
    </xf>
    <xf numFmtId="172" fontId="20" fillId="0" borderId="23" xfId="8" applyFont="1" applyBorder="1" applyAlignment="1">
      <alignment horizontal="center" vertical="center" wrapText="1"/>
    </xf>
    <xf numFmtId="10" fontId="23" fillId="0" borderId="15" xfId="8" applyNumberFormat="1" applyFont="1" applyBorder="1" applyAlignment="1" applyProtection="1">
      <alignment horizontal="center" vertical="center" wrapText="1"/>
    </xf>
    <xf numFmtId="172" fontId="20" fillId="0" borderId="15" xfId="8" applyFont="1" applyBorder="1" applyAlignment="1">
      <alignment horizontal="center" vertical="center" wrapText="1"/>
    </xf>
    <xf numFmtId="10" fontId="23" fillId="0" borderId="16" xfId="8" applyNumberFormat="1" applyFont="1" applyBorder="1" applyAlignment="1" applyProtection="1">
      <alignment horizontal="center" vertical="center" wrapText="1"/>
    </xf>
    <xf numFmtId="172" fontId="20" fillId="0" borderId="16" xfId="8" applyFont="1" applyBorder="1" applyAlignment="1">
      <alignment horizontal="center" vertical="center" wrapText="1"/>
    </xf>
    <xf numFmtId="10" fontId="23" fillId="0" borderId="97" xfId="8" applyNumberFormat="1" applyFont="1" applyBorder="1" applyAlignment="1" applyProtection="1">
      <alignment horizontal="center" vertical="center" wrapText="1"/>
    </xf>
    <xf numFmtId="172" fontId="20" fillId="0" borderId="97" xfId="8" applyFont="1" applyBorder="1" applyAlignment="1">
      <alignment horizontal="center" vertical="center" wrapText="1"/>
    </xf>
    <xf numFmtId="10" fontId="27" fillId="16" borderId="97" xfId="8" applyNumberFormat="1" applyFont="1" applyFill="1" applyBorder="1" applyAlignment="1" applyProtection="1">
      <alignment horizontal="center" vertical="center" wrapText="1"/>
    </xf>
    <xf numFmtId="172" fontId="28" fillId="16" borderId="97" xfId="8" applyFont="1" applyFill="1" applyBorder="1" applyAlignment="1">
      <alignment horizontal="center" vertical="center" wrapText="1"/>
    </xf>
    <xf numFmtId="10" fontId="23" fillId="0" borderId="46" xfId="8" applyNumberFormat="1" applyFont="1" applyBorder="1" applyAlignment="1" applyProtection="1">
      <alignment horizontal="center"/>
    </xf>
    <xf numFmtId="10" fontId="23" fillId="0" borderId="47" xfId="8" applyNumberFormat="1" applyFont="1" applyBorder="1" applyAlignment="1" applyProtection="1">
      <alignment horizontal="center"/>
    </xf>
    <xf numFmtId="10" fontId="23" fillId="15" borderId="85" xfId="8" applyNumberFormat="1" applyFont="1" applyFill="1" applyBorder="1" applyAlignment="1" applyProtection="1">
      <alignment horizontal="center"/>
    </xf>
    <xf numFmtId="10" fontId="23" fillId="15" borderId="86" xfId="8" applyNumberFormat="1" applyFont="1" applyFill="1" applyBorder="1" applyAlignment="1" applyProtection="1">
      <alignment horizontal="center"/>
    </xf>
    <xf numFmtId="172" fontId="20" fillId="0" borderId="89" xfId="8" applyFont="1" applyBorder="1" applyAlignment="1">
      <alignment horizontal="center" vertical="center" wrapText="1"/>
    </xf>
    <xf numFmtId="10" fontId="23" fillId="0" borderId="3" xfId="8" applyNumberFormat="1" applyFont="1" applyBorder="1" applyAlignment="1" applyProtection="1">
      <alignment horizontal="center" vertical="center" wrapText="1"/>
    </xf>
    <xf numFmtId="172" fontId="20" fillId="0" borderId="0" xfId="8" applyFont="1" applyBorder="1" applyAlignment="1">
      <alignment horizontal="center" vertical="center" wrapText="1"/>
    </xf>
    <xf numFmtId="10" fontId="23" fillId="0" borderId="92" xfId="8" applyNumberFormat="1" applyFont="1" applyBorder="1" applyAlignment="1" applyProtection="1">
      <alignment horizontal="center" vertical="center" wrapText="1"/>
    </xf>
    <xf numFmtId="172" fontId="20" fillId="0" borderId="40" xfId="8" applyFont="1" applyBorder="1" applyAlignment="1">
      <alignment horizontal="center" vertical="center" wrapText="1"/>
    </xf>
    <xf numFmtId="10" fontId="23" fillId="0" borderId="95" xfId="8" applyNumberFormat="1" applyFont="1" applyBorder="1" applyAlignment="1" applyProtection="1">
      <alignment horizontal="center" vertical="center" wrapText="1"/>
    </xf>
    <xf numFmtId="10" fontId="23" fillId="0" borderId="96" xfId="8" applyNumberFormat="1" applyFont="1" applyBorder="1" applyAlignment="1" applyProtection="1">
      <alignment horizontal="center" vertical="center" wrapText="1"/>
    </xf>
    <xf numFmtId="10" fontId="23" fillId="0" borderId="69" xfId="8" applyNumberFormat="1" applyFont="1" applyBorder="1" applyAlignment="1" applyProtection="1">
      <alignment horizontal="center"/>
    </xf>
    <xf numFmtId="10" fontId="23" fillId="0" borderId="70" xfId="8" applyNumberFormat="1" applyFont="1" applyBorder="1" applyAlignment="1" applyProtection="1">
      <alignment horizontal="center"/>
    </xf>
    <xf numFmtId="172" fontId="20" fillId="0" borderId="71" xfId="8" applyNumberFormat="1" applyFont="1" applyBorder="1" applyAlignment="1" applyProtection="1">
      <alignment horizontal="center" vertical="center" wrapText="1"/>
    </xf>
    <xf numFmtId="172" fontId="20" fillId="0" borderId="77" xfId="8" applyNumberFormat="1" applyFont="1" applyBorder="1" applyAlignment="1" applyProtection="1">
      <alignment horizontal="center" vertical="center" wrapText="1"/>
    </xf>
    <xf numFmtId="172" fontId="20" fillId="0" borderId="80" xfId="8" applyNumberFormat="1" applyFont="1" applyBorder="1" applyAlignment="1" applyProtection="1">
      <alignment horizontal="center" vertical="center" wrapText="1"/>
    </xf>
    <xf numFmtId="172" fontId="20" fillId="0" borderId="72" xfId="8" applyNumberFormat="1" applyFont="1" applyBorder="1" applyAlignment="1" applyProtection="1">
      <alignment horizontal="center" vertical="center" wrapText="1"/>
    </xf>
    <xf numFmtId="172" fontId="20" fillId="0" borderId="15" xfId="8" applyNumberFormat="1" applyFont="1" applyBorder="1" applyAlignment="1" applyProtection="1">
      <alignment horizontal="center" vertical="center" wrapText="1"/>
    </xf>
    <xf numFmtId="172" fontId="20" fillId="0" borderId="48" xfId="8" applyNumberFormat="1" applyFont="1" applyBorder="1" applyAlignment="1" applyProtection="1">
      <alignment horizontal="center" vertical="center" wrapText="1"/>
    </xf>
    <xf numFmtId="172" fontId="20" fillId="0" borderId="75" xfId="8" applyFont="1" applyBorder="1" applyAlignment="1">
      <alignment horizontal="center"/>
    </xf>
    <xf numFmtId="172" fontId="20" fillId="0" borderId="73" xfId="8" applyFont="1" applyBorder="1" applyAlignment="1">
      <alignment horizontal="center"/>
    </xf>
    <xf numFmtId="172" fontId="20" fillId="0" borderId="76" xfId="8" applyFont="1" applyBorder="1" applyAlignment="1">
      <alignment horizontal="center"/>
    </xf>
    <xf numFmtId="172" fontId="20" fillId="0" borderId="60" xfId="8" applyNumberFormat="1" applyFont="1" applyBorder="1" applyAlignment="1" applyProtection="1">
      <alignment horizontal="center" vertical="center" wrapText="1"/>
    </xf>
    <xf numFmtId="172" fontId="20" fillId="0" borderId="65" xfId="8" applyNumberFormat="1" applyFont="1" applyBorder="1" applyAlignment="1" applyProtection="1">
      <alignment horizontal="center" vertical="center" wrapText="1"/>
    </xf>
    <xf numFmtId="172" fontId="20" fillId="0" borderId="61" xfId="8" applyNumberFormat="1" applyFont="1" applyBorder="1" applyAlignment="1" applyProtection="1">
      <alignment horizontal="center" vertical="center" wrapText="1"/>
    </xf>
    <xf numFmtId="172" fontId="20" fillId="0" borderId="66" xfId="8" applyNumberFormat="1" applyFont="1" applyBorder="1" applyAlignment="1" applyProtection="1">
      <alignment horizontal="center" vertical="center" wrapText="1"/>
    </xf>
    <xf numFmtId="172" fontId="20" fillId="0" borderId="78" xfId="8" applyFont="1" applyBorder="1" applyAlignment="1">
      <alignment horizontal="center" vertical="center" wrapText="1"/>
    </xf>
    <xf numFmtId="172" fontId="20" fillId="0" borderId="79" xfId="8" applyFont="1" applyBorder="1" applyAlignment="1">
      <alignment horizontal="center" vertical="center" wrapText="1"/>
    </xf>
    <xf numFmtId="172" fontId="20" fillId="0" borderId="67" xfId="8" applyFont="1" applyBorder="1" applyAlignment="1">
      <alignment horizontal="center" vertical="center" wrapText="1"/>
    </xf>
    <xf numFmtId="172" fontId="20" fillId="0" borderId="68" xfId="8" applyFont="1" applyBorder="1" applyAlignment="1">
      <alignment horizontal="center" vertical="center" wrapText="1"/>
    </xf>
    <xf numFmtId="172" fontId="20" fillId="0" borderId="16" xfId="8" applyNumberFormat="1" applyFont="1" applyBorder="1" applyAlignment="1" applyProtection="1">
      <alignment horizontal="center" vertical="center"/>
    </xf>
    <xf numFmtId="172" fontId="20" fillId="0" borderId="20" xfId="8" applyNumberFormat="1" applyFont="1" applyBorder="1" applyAlignment="1" applyProtection="1">
      <alignment horizontal="center" vertical="center"/>
    </xf>
    <xf numFmtId="172" fontId="20" fillId="0" borderId="17" xfId="8" applyNumberFormat="1" applyFont="1" applyBorder="1" applyAlignment="1" applyProtection="1">
      <alignment horizontal="center" vertical="center" wrapText="1"/>
    </xf>
    <xf numFmtId="172" fontId="20" fillId="0" borderId="21" xfId="8" applyNumberFormat="1" applyFont="1" applyBorder="1" applyAlignment="1" applyProtection="1">
      <alignment horizontal="center" vertical="center" wrapText="1"/>
    </xf>
    <xf numFmtId="172" fontId="20" fillId="0" borderId="9" xfId="8" applyNumberFormat="1" applyFont="1" applyBorder="1" applyAlignment="1" applyProtection="1">
      <alignment horizontal="center" vertical="center" wrapText="1"/>
    </xf>
    <xf numFmtId="172" fontId="20" fillId="0" borderId="14" xfId="8" applyNumberFormat="1" applyFont="1" applyBorder="1" applyAlignment="1" applyProtection="1">
      <alignment horizontal="center" vertical="center" wrapText="1"/>
    </xf>
    <xf numFmtId="172" fontId="20" fillId="0" borderId="19" xfId="8" applyNumberFormat="1" applyFont="1" applyBorder="1" applyAlignment="1" applyProtection="1">
      <alignment horizontal="center" vertical="center" wrapText="1"/>
    </xf>
    <xf numFmtId="172" fontId="20" fillId="0" borderId="10" xfId="8" applyNumberFormat="1" applyFont="1" applyBorder="1" applyAlignment="1" applyProtection="1">
      <alignment horizontal="center" vertical="center" wrapText="1"/>
    </xf>
    <xf numFmtId="172" fontId="20" fillId="0" borderId="62" xfId="8" applyFont="1" applyBorder="1" applyAlignment="1">
      <alignment horizontal="center" wrapText="1"/>
    </xf>
    <xf numFmtId="172" fontId="20" fillId="0" borderId="63" xfId="8" applyFont="1" applyBorder="1" applyAlignment="1">
      <alignment horizontal="center" wrapText="1"/>
    </xf>
    <xf numFmtId="172" fontId="20" fillId="0" borderId="67" xfId="8" applyFont="1" applyBorder="1" applyAlignment="1">
      <alignment horizontal="center" wrapText="1"/>
    </xf>
    <xf numFmtId="172" fontId="20" fillId="0" borderId="68" xfId="8" applyFont="1" applyBorder="1" applyAlignment="1">
      <alignment horizontal="center" wrapText="1"/>
    </xf>
    <xf numFmtId="172" fontId="20" fillId="0" borderId="64" xfId="8" applyNumberFormat="1" applyFont="1" applyBorder="1" applyAlignment="1" applyProtection="1">
      <alignment horizontal="center" vertical="center" wrapText="1"/>
    </xf>
    <xf numFmtId="172" fontId="20" fillId="0" borderId="46" xfId="8" applyNumberFormat="1" applyFont="1" applyBorder="1" applyAlignment="1" applyProtection="1">
      <alignment horizontal="center" vertical="center" wrapText="1"/>
    </xf>
    <xf numFmtId="172" fontId="20" fillId="0" borderId="49" xfId="8" applyNumberFormat="1" applyFont="1" applyBorder="1" applyAlignment="1" applyProtection="1">
      <alignment horizontal="center" vertical="center" wrapText="1"/>
    </xf>
    <xf numFmtId="172" fontId="20" fillId="0" borderId="47" xfId="8" applyNumberFormat="1" applyFont="1" applyBorder="1" applyAlignment="1" applyProtection="1">
      <alignment horizontal="center" vertical="center" wrapText="1"/>
    </xf>
    <xf numFmtId="172" fontId="20" fillId="0" borderId="50" xfId="8" applyNumberFormat="1" applyFont="1" applyBorder="1" applyAlignment="1" applyProtection="1">
      <alignment horizontal="center" vertical="center" wrapText="1"/>
    </xf>
    <xf numFmtId="172" fontId="20" fillId="0" borderId="16" xfId="8" applyNumberFormat="1" applyFont="1" applyBorder="1" applyAlignment="1" applyProtection="1">
      <alignment horizontal="center" vertical="center" wrapText="1"/>
    </xf>
    <xf numFmtId="172" fontId="20" fillId="0" borderId="20" xfId="8" applyNumberFormat="1" applyFont="1" applyBorder="1" applyAlignment="1" applyProtection="1">
      <alignment horizontal="center" vertical="center" wrapText="1"/>
    </xf>
    <xf numFmtId="172" fontId="20" fillId="0" borderId="0" xfId="8" applyFont="1" applyAlignment="1">
      <alignment horizontal="center" vertical="center" wrapText="1"/>
    </xf>
    <xf numFmtId="172" fontId="20" fillId="0" borderId="0" xfId="8" applyFont="1" applyAlignment="1">
      <alignment horizontal="center"/>
    </xf>
    <xf numFmtId="172" fontId="23" fillId="0" borderId="0" xfId="8" applyNumberFormat="1" applyFont="1" applyAlignment="1" applyProtection="1">
      <alignment horizontal="center"/>
    </xf>
    <xf numFmtId="172" fontId="20" fillId="0" borderId="20" xfId="8" applyFont="1" applyBorder="1" applyAlignment="1">
      <alignment horizontal="center" vertical="center" wrapText="1"/>
    </xf>
    <xf numFmtId="172" fontId="20" fillId="0" borderId="18" xfId="8" applyNumberFormat="1" applyFont="1" applyBorder="1" applyAlignment="1" applyProtection="1">
      <alignment horizontal="center" vertical="center" wrapText="1"/>
    </xf>
    <xf numFmtId="172" fontId="20" fillId="0" borderId="21" xfId="8" applyFont="1" applyBorder="1" applyAlignment="1">
      <alignment horizontal="center" vertical="center" wrapText="1"/>
    </xf>
    <xf numFmtId="0" fontId="30" fillId="0" borderId="0" xfId="12" applyAlignment="1">
      <alignment horizontal="left" vertical="top" wrapText="1"/>
    </xf>
    <xf numFmtId="0" fontId="31" fillId="0" borderId="0" xfId="12" applyFont="1" applyAlignment="1">
      <alignment horizontal="left" vertical="top" wrapText="1"/>
    </xf>
    <xf numFmtId="0" fontId="32" fillId="0" borderId="126" xfId="12" applyFont="1" applyBorder="1" applyAlignment="1">
      <alignment horizontal="left" vertical="top" wrapText="1"/>
    </xf>
    <xf numFmtId="0" fontId="33" fillId="0" borderId="0" xfId="12" applyFont="1" applyAlignment="1">
      <alignment horizontal="left" vertical="top" wrapText="1"/>
    </xf>
    <xf numFmtId="0" fontId="20" fillId="0" borderId="0" xfId="7" applyFont="1" applyFill="1" applyBorder="1" applyAlignment="1">
      <alignment horizontal="justify" wrapText="1"/>
    </xf>
    <xf numFmtId="37" fontId="23" fillId="26" borderId="113" xfId="14" applyFont="1" applyFill="1" applyBorder="1" applyAlignment="1" applyProtection="1">
      <alignment horizontal="center"/>
    </xf>
    <xf numFmtId="37" fontId="23" fillId="26" borderId="114" xfId="14" applyFont="1" applyFill="1" applyBorder="1" applyAlignment="1" applyProtection="1">
      <alignment horizontal="center"/>
    </xf>
    <xf numFmtId="37" fontId="23" fillId="26" borderId="115" xfId="14" applyFont="1" applyFill="1" applyBorder="1" applyAlignment="1" applyProtection="1">
      <alignment horizontal="center"/>
    </xf>
    <xf numFmtId="37" fontId="23" fillId="26" borderId="134" xfId="14" applyFont="1" applyFill="1" applyBorder="1" applyAlignment="1" applyProtection="1">
      <alignment horizontal="center"/>
    </xf>
    <xf numFmtId="37" fontId="23" fillId="26" borderId="0" xfId="14" applyFont="1" applyFill="1" applyBorder="1" applyAlignment="1" applyProtection="1">
      <alignment horizontal="center"/>
    </xf>
    <xf numFmtId="37" fontId="23" fillId="26" borderId="135" xfId="14" applyFont="1" applyFill="1" applyBorder="1" applyAlignment="1" applyProtection="1">
      <alignment horizontal="center"/>
    </xf>
    <xf numFmtId="37" fontId="23" fillId="26" borderId="139" xfId="14" applyFont="1" applyFill="1" applyBorder="1" applyAlignment="1" applyProtection="1">
      <alignment horizontal="center"/>
    </xf>
    <xf numFmtId="37" fontId="23" fillId="26" borderId="140" xfId="14" applyFont="1" applyFill="1" applyBorder="1" applyAlignment="1" applyProtection="1">
      <alignment horizontal="center"/>
    </xf>
    <xf numFmtId="37" fontId="23" fillId="26" borderId="141" xfId="14" applyFont="1" applyFill="1" applyBorder="1" applyAlignment="1" applyProtection="1">
      <alignment horizontal="center"/>
    </xf>
    <xf numFmtId="37" fontId="23" fillId="26" borderId="139" xfId="14" applyFont="1" applyFill="1" applyBorder="1" applyAlignment="1">
      <alignment horizontal="center"/>
    </xf>
    <xf numFmtId="37" fontId="23" fillId="26" borderId="140" xfId="14" applyFont="1" applyFill="1" applyBorder="1" applyAlignment="1">
      <alignment horizontal="center"/>
    </xf>
    <xf numFmtId="37" fontId="23" fillId="26" borderId="142" xfId="14" applyFont="1" applyFill="1" applyBorder="1" applyAlignment="1">
      <alignment horizontal="center"/>
    </xf>
    <xf numFmtId="37" fontId="23" fillId="26" borderId="5" xfId="14" applyFont="1" applyFill="1" applyBorder="1" applyAlignment="1" applyProtection="1">
      <alignment horizontal="center" vertical="center"/>
    </xf>
    <xf numFmtId="37" fontId="23" fillId="26" borderId="6" xfId="14" applyFont="1" applyFill="1" applyBorder="1" applyAlignment="1" applyProtection="1">
      <alignment horizontal="center" vertical="center"/>
    </xf>
    <xf numFmtId="37" fontId="23" fillId="26" borderId="144" xfId="14" applyFont="1" applyFill="1" applyBorder="1" applyAlignment="1" applyProtection="1">
      <alignment horizontal="center" vertical="center"/>
    </xf>
    <xf numFmtId="0" fontId="50" fillId="0" borderId="0" xfId="0" applyFont="1" applyAlignment="1">
      <alignment horizontal="left" vertical="top" wrapText="1"/>
    </xf>
    <xf numFmtId="0" fontId="54" fillId="0" borderId="0" xfId="15" applyAlignment="1">
      <alignment horizontal="left" vertical="top" wrapText="1"/>
    </xf>
    <xf numFmtId="0" fontId="53" fillId="28" borderId="162" xfId="0" applyFont="1" applyFill="1" applyBorder="1" applyAlignment="1">
      <alignment horizontal="right" vertical="center" wrapText="1"/>
    </xf>
    <xf numFmtId="0" fontId="53" fillId="28" borderId="160" xfId="0" applyFont="1" applyFill="1" applyBorder="1" applyAlignment="1">
      <alignment horizontal="right" vertical="center" wrapText="1"/>
    </xf>
    <xf numFmtId="0" fontId="53" fillId="28" borderId="161" xfId="0" applyFont="1" applyFill="1" applyBorder="1" applyAlignment="1">
      <alignment horizontal="right" vertical="center" wrapText="1"/>
    </xf>
    <xf numFmtId="0" fontId="53" fillId="28" borderId="163" xfId="0" applyFont="1" applyFill="1" applyBorder="1" applyAlignment="1">
      <alignment horizontal="right" vertical="center" wrapText="1"/>
    </xf>
    <xf numFmtId="0" fontId="53" fillId="28" borderId="156" xfId="0" applyFont="1" applyFill="1" applyBorder="1" applyAlignment="1">
      <alignment horizontal="right" vertical="center" wrapText="1"/>
    </xf>
    <xf numFmtId="0" fontId="49" fillId="0" borderId="0" xfId="0" applyFont="1" applyAlignment="1">
      <alignment horizontal="left" wrapText="1"/>
    </xf>
    <xf numFmtId="0" fontId="50" fillId="0" borderId="0" xfId="0" applyFont="1" applyAlignment="1">
      <alignment horizontal="right" wrapText="1"/>
    </xf>
    <xf numFmtId="0" fontId="51" fillId="0" borderId="151" xfId="0" applyFont="1" applyBorder="1" applyAlignment="1">
      <alignment horizontal="left" wrapText="1"/>
    </xf>
  </cellXfs>
  <cellStyles count="18">
    <cellStyle name="40% - Énfasis6" xfId="16" builtinId="51"/>
    <cellStyle name="Hipervínculo" xfId="6" builtinId="8"/>
    <cellStyle name="Hipervínculo 2" xfId="15"/>
    <cellStyle name="Millares" xfId="13" builtinId="3"/>
    <cellStyle name="Millares [0]" xfId="1" builtinId="6"/>
    <cellStyle name="Millares 2" xfId="11"/>
    <cellStyle name="Moneda [0]" xfId="17" builtinId="7"/>
    <cellStyle name="Normal" xfId="0" builtinId="0"/>
    <cellStyle name="Normal 2" xfId="2"/>
    <cellStyle name="Normal 2 2" xfId="4"/>
    <cellStyle name="Normal 3" xfId="3"/>
    <cellStyle name="Normal 3 2" xfId="10"/>
    <cellStyle name="Normal 4" xfId="7"/>
    <cellStyle name="Normal 5" xfId="8"/>
    <cellStyle name="Normal 6" xfId="12"/>
    <cellStyle name="Normal_Cuad1.base 1975" xfId="14"/>
    <cellStyle name="Porcentaje" xfId="5" builtinId="5"/>
    <cellStyle name="Porcentaje 2" xfId="9"/>
  </cellStyles>
  <dxfs count="4">
    <dxf>
      <numFmt numFmtId="35" formatCode="_-* #,##0.00_-;\-* #,##0.00_-;_-* &quot;-&quot;??_-;_-@_-"/>
    </dxf>
    <dxf>
      <numFmt numFmtId="181" formatCode="_-[$USD]\ * #,##0_-;\-[$USD]\ * #,##0_-;_-[$USD]\ * &quot;-&quot;_-;_-@_-"/>
    </dxf>
    <dxf>
      <numFmt numFmtId="35" formatCode="_-* #,##0.00_-;\-* #,##0.00_-;_-* &quot;-&quot;??_-;_-@_-"/>
    </dxf>
    <dxf>
      <numFmt numFmtId="35" formatCode="_-* #,##0.00_-;\-* #,##0.0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Tasa Interna de Crecimiento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'Graficos Final'!$B$109</c:f>
              <c:strCache>
                <c:ptCount val="1"/>
                <c:pt idx="0">
                  <c:v>Optimista</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Final'!$C$108:$H$108</c:f>
              <c:numCache>
                <c:formatCode>General</c:formatCode>
                <c:ptCount val="6"/>
                <c:pt idx="0">
                  <c:v>2015</c:v>
                </c:pt>
                <c:pt idx="1">
                  <c:v>2016</c:v>
                </c:pt>
                <c:pt idx="2">
                  <c:v>2017</c:v>
                </c:pt>
                <c:pt idx="3">
                  <c:v>2018</c:v>
                </c:pt>
                <c:pt idx="4">
                  <c:v>2019</c:v>
                </c:pt>
                <c:pt idx="5">
                  <c:v>2020</c:v>
                </c:pt>
              </c:numCache>
            </c:numRef>
          </c:cat>
          <c:val>
            <c:numRef>
              <c:f>'Graficos Final'!$C$109:$H$109</c:f>
              <c:numCache>
                <c:formatCode>0.0%</c:formatCode>
                <c:ptCount val="6"/>
                <c:pt idx="0">
                  <c:v>8.33469515172479E-2</c:v>
                </c:pt>
                <c:pt idx="1">
                  <c:v>0.12026461528601572</c:v>
                </c:pt>
                <c:pt idx="2">
                  <c:v>0.16335002112271238</c:v>
                </c:pt>
                <c:pt idx="3">
                  <c:v>0.1997827856217998</c:v>
                </c:pt>
                <c:pt idx="4">
                  <c:v>0.23471835172044259</c:v>
                </c:pt>
                <c:pt idx="5">
                  <c:v>0.27116559187212047</c:v>
                </c:pt>
              </c:numCache>
            </c:numRef>
          </c:val>
          <c:smooth val="0"/>
          <c:extLst>
            <c:ext xmlns:c16="http://schemas.microsoft.com/office/drawing/2014/chart" uri="{C3380CC4-5D6E-409C-BE32-E72D297353CC}">
              <c16:uniqueId val="{00000001-1AC3-4D80-9CC4-3AA7EC748CF6}"/>
            </c:ext>
          </c:extLst>
        </c:ser>
        <c:ser>
          <c:idx val="1"/>
          <c:order val="1"/>
          <c:tx>
            <c:strRef>
              <c:f>'Graficos Final'!$B$110</c:f>
              <c:strCache>
                <c:ptCount val="1"/>
                <c:pt idx="0">
                  <c:v>Realista</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1AC3-4D80-9CC4-3AA7EC748CF6}"/>
                </c:ext>
              </c:extLst>
            </c:dLbl>
            <c:dLbl>
              <c:idx val="1"/>
              <c:layout>
                <c:manualLayout>
                  <c:x val="-5.1111111111111114E-2"/>
                  <c:y val="-2.54283318751822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AC3-4D80-9CC4-3AA7EC748CF6}"/>
                </c:ext>
              </c:extLst>
            </c:dLbl>
            <c:dLbl>
              <c:idx val="2"/>
              <c:layout>
                <c:manualLayout>
                  <c:x val="-4.8611111111111112E-2"/>
                  <c:y val="-4.85764800233304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AC3-4D80-9CC4-3AA7EC748CF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Final'!$C$108:$H$108</c:f>
              <c:numCache>
                <c:formatCode>General</c:formatCode>
                <c:ptCount val="6"/>
                <c:pt idx="0">
                  <c:v>2015</c:v>
                </c:pt>
                <c:pt idx="1">
                  <c:v>2016</c:v>
                </c:pt>
                <c:pt idx="2">
                  <c:v>2017</c:v>
                </c:pt>
                <c:pt idx="3">
                  <c:v>2018</c:v>
                </c:pt>
                <c:pt idx="4">
                  <c:v>2019</c:v>
                </c:pt>
                <c:pt idx="5">
                  <c:v>2020</c:v>
                </c:pt>
              </c:numCache>
            </c:numRef>
          </c:cat>
          <c:val>
            <c:numRef>
              <c:f>'Graficos Final'!$C$110:$H$110</c:f>
              <c:numCache>
                <c:formatCode>0.0%</c:formatCode>
                <c:ptCount val="6"/>
                <c:pt idx="0">
                  <c:v>8.33469515172479E-2</c:v>
                </c:pt>
                <c:pt idx="1">
                  <c:v>9.230190048397284E-2</c:v>
                </c:pt>
                <c:pt idx="2">
                  <c:v>9.620331707343216E-2</c:v>
                </c:pt>
                <c:pt idx="3">
                  <c:v>0.10124470183183845</c:v>
                </c:pt>
                <c:pt idx="4">
                  <c:v>0.10381943143474125</c:v>
                </c:pt>
                <c:pt idx="5">
                  <c:v>0.10697331312341017</c:v>
                </c:pt>
              </c:numCache>
            </c:numRef>
          </c:val>
          <c:smooth val="0"/>
          <c:extLst>
            <c:ext xmlns:c16="http://schemas.microsoft.com/office/drawing/2014/chart" uri="{C3380CC4-5D6E-409C-BE32-E72D297353CC}">
              <c16:uniqueId val="{00000003-1AC3-4D80-9CC4-3AA7EC748CF6}"/>
            </c:ext>
          </c:extLst>
        </c:ser>
        <c:ser>
          <c:idx val="2"/>
          <c:order val="2"/>
          <c:tx>
            <c:strRef>
              <c:f>'Graficos Final'!$B$111</c:f>
              <c:strCache>
                <c:ptCount val="1"/>
                <c:pt idx="0">
                  <c:v>Pesimista</c:v>
                </c:pt>
              </c:strCache>
            </c:strRef>
          </c:tx>
          <c:spPr>
            <a:ln w="28575" cap="rnd">
              <a:solidFill>
                <a:schemeClr val="accent3"/>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1AC3-4D80-9CC4-3AA7EC748CF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Final'!$C$108:$H$108</c:f>
              <c:numCache>
                <c:formatCode>General</c:formatCode>
                <c:ptCount val="6"/>
                <c:pt idx="0">
                  <c:v>2015</c:v>
                </c:pt>
                <c:pt idx="1">
                  <c:v>2016</c:v>
                </c:pt>
                <c:pt idx="2">
                  <c:v>2017</c:v>
                </c:pt>
                <c:pt idx="3">
                  <c:v>2018</c:v>
                </c:pt>
                <c:pt idx="4">
                  <c:v>2019</c:v>
                </c:pt>
                <c:pt idx="5">
                  <c:v>2020</c:v>
                </c:pt>
              </c:numCache>
            </c:numRef>
          </c:cat>
          <c:val>
            <c:numRef>
              <c:f>'Graficos Final'!$C$111:$H$111</c:f>
              <c:numCache>
                <c:formatCode>0.0%</c:formatCode>
                <c:ptCount val="6"/>
                <c:pt idx="0">
                  <c:v>8.33469515172479E-2</c:v>
                </c:pt>
                <c:pt idx="1">
                  <c:v>5.0761993202528936E-2</c:v>
                </c:pt>
                <c:pt idx="2">
                  <c:v>2.9056584596077236E-2</c:v>
                </c:pt>
                <c:pt idx="3">
                  <c:v>7.6638221971671271E-3</c:v>
                </c:pt>
                <c:pt idx="4">
                  <c:v>-1.131224345163385E-2</c:v>
                </c:pt>
                <c:pt idx="5">
                  <c:v>-3.2830192035638119E-2</c:v>
                </c:pt>
              </c:numCache>
            </c:numRef>
          </c:val>
          <c:smooth val="0"/>
          <c:extLst>
            <c:ext xmlns:c16="http://schemas.microsoft.com/office/drawing/2014/chart" uri="{C3380CC4-5D6E-409C-BE32-E72D297353CC}">
              <c16:uniqueId val="{00000004-1AC3-4D80-9CC4-3AA7EC748CF6}"/>
            </c:ext>
          </c:extLst>
        </c:ser>
        <c:dLbls>
          <c:showLegendKey val="0"/>
          <c:showVal val="0"/>
          <c:showCatName val="0"/>
          <c:showSerName val="0"/>
          <c:showPercent val="0"/>
          <c:showBubbleSize val="0"/>
        </c:dLbls>
        <c:smooth val="0"/>
        <c:axId val="817577200"/>
        <c:axId val="817575120"/>
      </c:lineChart>
      <c:catAx>
        <c:axId val="8175772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5120"/>
        <c:crosses val="autoZero"/>
        <c:auto val="1"/>
        <c:lblAlgn val="ctr"/>
        <c:lblOffset val="100"/>
        <c:noMultiLvlLbl val="0"/>
      </c:catAx>
      <c:valAx>
        <c:axId val="817575120"/>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7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KTNO Sobre</a:t>
            </a:r>
            <a:r>
              <a:rPr lang="es-CO" baseline="0"/>
              <a:t> Ventas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'Gráficos II'!$B$49</c:f>
              <c:strCache>
                <c:ptCount val="1"/>
                <c:pt idx="0">
                  <c:v>Sempertex</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 II'!$C$47:$H$47</c:f>
              <c:strCache>
                <c:ptCount val="6"/>
                <c:pt idx="0">
                  <c:v>2011</c:v>
                </c:pt>
                <c:pt idx="1">
                  <c:v>2012</c:v>
                </c:pt>
                <c:pt idx="2">
                  <c:v>2013</c:v>
                </c:pt>
                <c:pt idx="3">
                  <c:v>2014</c:v>
                </c:pt>
                <c:pt idx="4">
                  <c:v>2015</c:v>
                </c:pt>
                <c:pt idx="5">
                  <c:v>Promedio</c:v>
                </c:pt>
              </c:strCache>
            </c:strRef>
          </c:cat>
          <c:val>
            <c:numRef>
              <c:f>'Gráficos II'!$C$49:$H$49</c:f>
              <c:numCache>
                <c:formatCode>0.00%</c:formatCode>
                <c:ptCount val="6"/>
                <c:pt idx="0">
                  <c:v>0.2346607648975835</c:v>
                </c:pt>
                <c:pt idx="1">
                  <c:v>0.25960528917956477</c:v>
                </c:pt>
                <c:pt idx="2">
                  <c:v>0.33582376057597796</c:v>
                </c:pt>
                <c:pt idx="3">
                  <c:v>0.27981376690811921</c:v>
                </c:pt>
                <c:pt idx="4">
                  <c:v>0.26998600898904329</c:v>
                </c:pt>
                <c:pt idx="5">
                  <c:v>0.27597791811005778</c:v>
                </c:pt>
              </c:numCache>
            </c:numRef>
          </c:val>
          <c:extLst>
            <c:ext xmlns:c16="http://schemas.microsoft.com/office/drawing/2014/chart" uri="{C3380CC4-5D6E-409C-BE32-E72D297353CC}">
              <c16:uniqueId val="{00000000-25F7-42DC-A7E0-49710265DAD8}"/>
            </c:ext>
          </c:extLst>
        </c:ser>
        <c:ser>
          <c:idx val="2"/>
          <c:order val="2"/>
          <c:tx>
            <c:strRef>
              <c:f>'Gráficos II'!$B$50</c:f>
              <c:strCache>
                <c:ptCount val="1"/>
                <c:pt idx="0">
                  <c:v>Latex de Colombia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 II'!$C$47:$H$47</c:f>
              <c:strCache>
                <c:ptCount val="6"/>
                <c:pt idx="0">
                  <c:v>2011</c:v>
                </c:pt>
                <c:pt idx="1">
                  <c:v>2012</c:v>
                </c:pt>
                <c:pt idx="2">
                  <c:v>2013</c:v>
                </c:pt>
                <c:pt idx="3">
                  <c:v>2014</c:v>
                </c:pt>
                <c:pt idx="4">
                  <c:v>2015</c:v>
                </c:pt>
                <c:pt idx="5">
                  <c:v>Promedio</c:v>
                </c:pt>
              </c:strCache>
            </c:strRef>
          </c:cat>
          <c:val>
            <c:numRef>
              <c:f>'Gráficos II'!$C$50:$H$50</c:f>
              <c:numCache>
                <c:formatCode>0.00%</c:formatCode>
                <c:ptCount val="6"/>
                <c:pt idx="0">
                  <c:v>0.25323189859070838</c:v>
                </c:pt>
                <c:pt idx="1">
                  <c:v>0.2116845325866786</c:v>
                </c:pt>
                <c:pt idx="2">
                  <c:v>0.32389056354565521</c:v>
                </c:pt>
                <c:pt idx="3">
                  <c:v>0.45968262652480812</c:v>
                </c:pt>
                <c:pt idx="4">
                  <c:v>0.42589488661047642</c:v>
                </c:pt>
                <c:pt idx="5">
                  <c:v>0.33487690157166539</c:v>
                </c:pt>
              </c:numCache>
            </c:numRef>
          </c:val>
          <c:extLst>
            <c:ext xmlns:c16="http://schemas.microsoft.com/office/drawing/2014/chart" uri="{C3380CC4-5D6E-409C-BE32-E72D297353CC}">
              <c16:uniqueId val="{00000001-25F7-42DC-A7E0-49710265DAD8}"/>
            </c:ext>
          </c:extLst>
        </c:ser>
        <c:ser>
          <c:idx val="3"/>
          <c:order val="3"/>
          <c:tx>
            <c:strRef>
              <c:f>'Gráficos II'!$B$51</c:f>
              <c:strCache>
                <c:ptCount val="1"/>
                <c:pt idx="0">
                  <c:v>Bombatex</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 II'!$C$47:$H$47</c:f>
              <c:strCache>
                <c:ptCount val="6"/>
                <c:pt idx="0">
                  <c:v>2011</c:v>
                </c:pt>
                <c:pt idx="1">
                  <c:v>2012</c:v>
                </c:pt>
                <c:pt idx="2">
                  <c:v>2013</c:v>
                </c:pt>
                <c:pt idx="3">
                  <c:v>2014</c:v>
                </c:pt>
                <c:pt idx="4">
                  <c:v>2015</c:v>
                </c:pt>
                <c:pt idx="5">
                  <c:v>Promedio</c:v>
                </c:pt>
              </c:strCache>
            </c:strRef>
          </c:cat>
          <c:val>
            <c:numRef>
              <c:f>'Gráficos II'!$C$51:$H$51</c:f>
              <c:numCache>
                <c:formatCode>0.00%</c:formatCode>
                <c:ptCount val="6"/>
                <c:pt idx="0">
                  <c:v>0.2619548662695167</c:v>
                </c:pt>
                <c:pt idx="1">
                  <c:v>0.34330066288285976</c:v>
                </c:pt>
                <c:pt idx="2">
                  <c:v>0.12807370421653266</c:v>
                </c:pt>
                <c:pt idx="3">
                  <c:v>0.17232349809733011</c:v>
                </c:pt>
                <c:pt idx="4">
                  <c:v>0.42079408984178635</c:v>
                </c:pt>
                <c:pt idx="5">
                  <c:v>0.2652893642616051</c:v>
                </c:pt>
              </c:numCache>
            </c:numRef>
          </c:val>
          <c:extLst>
            <c:ext xmlns:c16="http://schemas.microsoft.com/office/drawing/2014/chart" uri="{C3380CC4-5D6E-409C-BE32-E72D297353CC}">
              <c16:uniqueId val="{00000002-25F7-42DC-A7E0-49710265DAD8}"/>
            </c:ext>
          </c:extLst>
        </c:ser>
        <c:dLbls>
          <c:showLegendKey val="0"/>
          <c:showVal val="0"/>
          <c:showCatName val="0"/>
          <c:showSerName val="0"/>
          <c:showPercent val="0"/>
          <c:showBubbleSize val="0"/>
        </c:dLbls>
        <c:gapWidth val="100"/>
        <c:axId val="524438816"/>
        <c:axId val="524434504"/>
      </c:barChart>
      <c:lineChart>
        <c:grouping val="stacked"/>
        <c:varyColors val="0"/>
        <c:ser>
          <c:idx val="0"/>
          <c:order val="0"/>
          <c:tx>
            <c:strRef>
              <c:f>'Gráficos II'!$B$48</c:f>
              <c:strCache>
                <c:ptCount val="1"/>
                <c:pt idx="0">
                  <c:v>Sector</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 II'!$C$47:$H$47</c:f>
              <c:strCache>
                <c:ptCount val="6"/>
                <c:pt idx="0">
                  <c:v>2011</c:v>
                </c:pt>
                <c:pt idx="1">
                  <c:v>2012</c:v>
                </c:pt>
                <c:pt idx="2">
                  <c:v>2013</c:v>
                </c:pt>
                <c:pt idx="3">
                  <c:v>2014</c:v>
                </c:pt>
                <c:pt idx="4">
                  <c:v>2015</c:v>
                </c:pt>
                <c:pt idx="5">
                  <c:v>Promedio</c:v>
                </c:pt>
              </c:strCache>
            </c:strRef>
          </c:cat>
          <c:val>
            <c:numRef>
              <c:f>'Gráficos II'!$C$48:$H$48</c:f>
              <c:numCache>
                <c:formatCode>0.00%</c:formatCode>
                <c:ptCount val="6"/>
                <c:pt idx="0">
                  <c:v>0.24994917658593618</c:v>
                </c:pt>
                <c:pt idx="1">
                  <c:v>0.27153016154970105</c:v>
                </c:pt>
                <c:pt idx="2">
                  <c:v>0.26259600944605527</c:v>
                </c:pt>
                <c:pt idx="3">
                  <c:v>0.30393996384341909</c:v>
                </c:pt>
                <c:pt idx="4">
                  <c:v>0.372224995147102</c:v>
                </c:pt>
                <c:pt idx="5">
                  <c:v>0.29204806131444272</c:v>
                </c:pt>
              </c:numCache>
            </c:numRef>
          </c:val>
          <c:smooth val="0"/>
          <c:extLst>
            <c:ext xmlns:c16="http://schemas.microsoft.com/office/drawing/2014/chart" uri="{C3380CC4-5D6E-409C-BE32-E72D297353CC}">
              <c16:uniqueId val="{00000003-25F7-42DC-A7E0-49710265DAD8}"/>
            </c:ext>
          </c:extLst>
        </c:ser>
        <c:dLbls>
          <c:showLegendKey val="0"/>
          <c:showVal val="0"/>
          <c:showCatName val="0"/>
          <c:showSerName val="0"/>
          <c:showPercent val="0"/>
          <c:showBubbleSize val="0"/>
        </c:dLbls>
        <c:marker val="1"/>
        <c:smooth val="0"/>
        <c:axId val="524438816"/>
        <c:axId val="524434504"/>
      </c:lineChart>
      <c:catAx>
        <c:axId val="52443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434504"/>
        <c:crosses val="autoZero"/>
        <c:auto val="1"/>
        <c:lblAlgn val="ctr"/>
        <c:lblOffset val="100"/>
        <c:noMultiLvlLbl val="0"/>
      </c:catAx>
      <c:valAx>
        <c:axId val="5244345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438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PARTICIPACIÓN</a:t>
            </a:r>
            <a:r>
              <a:rPr lang="es-CO" baseline="0"/>
              <a:t> DE COSTO DE VENTAS Y COMPRAS SOBRE INGRESOS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'Gráficos II'!$B$25</c:f>
              <c:strCache>
                <c:ptCount val="1"/>
                <c:pt idx="0">
                  <c:v>Costo de Ventas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 II'!$C$24:$H$24</c:f>
              <c:strCache>
                <c:ptCount val="6"/>
                <c:pt idx="0">
                  <c:v>2012</c:v>
                </c:pt>
                <c:pt idx="1">
                  <c:v>2013</c:v>
                </c:pt>
                <c:pt idx="2">
                  <c:v>2014</c:v>
                </c:pt>
                <c:pt idx="3">
                  <c:v>2015</c:v>
                </c:pt>
                <c:pt idx="4">
                  <c:v>Promedio</c:v>
                </c:pt>
                <c:pt idx="5">
                  <c:v>Desviación</c:v>
                </c:pt>
              </c:strCache>
            </c:strRef>
          </c:cat>
          <c:val>
            <c:numRef>
              <c:f>'Gráficos II'!$C$25:$H$25</c:f>
              <c:numCache>
                <c:formatCode>0.0%</c:formatCode>
                <c:ptCount val="6"/>
                <c:pt idx="0">
                  <c:v>0.66583641709093244</c:v>
                </c:pt>
                <c:pt idx="1">
                  <c:v>0.6189518265728442</c:v>
                </c:pt>
                <c:pt idx="2">
                  <c:v>0.53531820336312663</c:v>
                </c:pt>
                <c:pt idx="3">
                  <c:v>0.52483113440069595</c:v>
                </c:pt>
                <c:pt idx="4">
                  <c:v>0.58623439535689981</c:v>
                </c:pt>
              </c:numCache>
            </c:numRef>
          </c:val>
          <c:extLst>
            <c:ext xmlns:c16="http://schemas.microsoft.com/office/drawing/2014/chart" uri="{C3380CC4-5D6E-409C-BE32-E72D297353CC}">
              <c16:uniqueId val="{00000000-77DC-4A23-8081-E731D570C97C}"/>
            </c:ext>
          </c:extLst>
        </c:ser>
        <c:ser>
          <c:idx val="1"/>
          <c:order val="1"/>
          <c:tx>
            <c:strRef>
              <c:f>'Gráficos II'!$B$26</c:f>
              <c:strCache>
                <c:ptCount val="1"/>
                <c:pt idx="0">
                  <c:v>Compras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 II'!$C$24:$H$24</c:f>
              <c:strCache>
                <c:ptCount val="6"/>
                <c:pt idx="0">
                  <c:v>2012</c:v>
                </c:pt>
                <c:pt idx="1">
                  <c:v>2013</c:v>
                </c:pt>
                <c:pt idx="2">
                  <c:v>2014</c:v>
                </c:pt>
                <c:pt idx="3">
                  <c:v>2015</c:v>
                </c:pt>
                <c:pt idx="4">
                  <c:v>Promedio</c:v>
                </c:pt>
                <c:pt idx="5">
                  <c:v>Desviación</c:v>
                </c:pt>
              </c:strCache>
            </c:strRef>
          </c:cat>
          <c:val>
            <c:numRef>
              <c:f>'Gráficos II'!$C$26:$H$26</c:f>
              <c:numCache>
                <c:formatCode>0.0%</c:formatCode>
                <c:ptCount val="6"/>
                <c:pt idx="0">
                  <c:v>0.65032340422285151</c:v>
                </c:pt>
                <c:pt idx="1">
                  <c:v>0.67532630163481233</c:v>
                </c:pt>
                <c:pt idx="2">
                  <c:v>0.61017662265704975</c:v>
                </c:pt>
                <c:pt idx="3">
                  <c:v>0.60528303059174415</c:v>
                </c:pt>
                <c:pt idx="4">
                  <c:v>0.63527733977661438</c:v>
                </c:pt>
              </c:numCache>
            </c:numRef>
          </c:val>
          <c:extLst>
            <c:ext xmlns:c16="http://schemas.microsoft.com/office/drawing/2014/chart" uri="{C3380CC4-5D6E-409C-BE32-E72D297353CC}">
              <c16:uniqueId val="{00000001-77DC-4A23-8081-E731D570C97C}"/>
            </c:ext>
          </c:extLst>
        </c:ser>
        <c:dLbls>
          <c:showLegendKey val="0"/>
          <c:showVal val="0"/>
          <c:showCatName val="0"/>
          <c:showSerName val="0"/>
          <c:showPercent val="0"/>
          <c:showBubbleSize val="0"/>
        </c:dLbls>
        <c:gapWidth val="75"/>
        <c:axId val="524436464"/>
        <c:axId val="524439208"/>
      </c:barChart>
      <c:lineChart>
        <c:grouping val="standard"/>
        <c:varyColors val="0"/>
        <c:ser>
          <c:idx val="2"/>
          <c:order val="2"/>
          <c:tx>
            <c:strRef>
              <c:f>'Gráficos II'!$B$27</c:f>
              <c:strCache>
                <c:ptCount val="1"/>
                <c:pt idx="0">
                  <c:v>Desviación Costo de Ventas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DC-4A23-8081-E731D570C97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 II'!$C$24:$H$24</c:f>
              <c:strCache>
                <c:ptCount val="6"/>
                <c:pt idx="0">
                  <c:v>2012</c:v>
                </c:pt>
                <c:pt idx="1">
                  <c:v>2013</c:v>
                </c:pt>
                <c:pt idx="2">
                  <c:v>2014</c:v>
                </c:pt>
                <c:pt idx="3">
                  <c:v>2015</c:v>
                </c:pt>
                <c:pt idx="4">
                  <c:v>Promedio</c:v>
                </c:pt>
                <c:pt idx="5">
                  <c:v>Desviación</c:v>
                </c:pt>
              </c:strCache>
            </c:strRef>
          </c:cat>
          <c:val>
            <c:numRef>
              <c:f>'Gráficos II'!$C$27:$H$27</c:f>
              <c:numCache>
                <c:formatCode>General</c:formatCode>
                <c:ptCount val="6"/>
                <c:pt idx="5" formatCode="0.00%">
                  <c:v>5.8672249046542217E-2</c:v>
                </c:pt>
              </c:numCache>
            </c:numRef>
          </c:val>
          <c:smooth val="0"/>
          <c:extLst>
            <c:ext xmlns:c16="http://schemas.microsoft.com/office/drawing/2014/chart" uri="{C3380CC4-5D6E-409C-BE32-E72D297353CC}">
              <c16:uniqueId val="{00000003-77DC-4A23-8081-E731D570C97C}"/>
            </c:ext>
          </c:extLst>
        </c:ser>
        <c:ser>
          <c:idx val="3"/>
          <c:order val="3"/>
          <c:tx>
            <c:strRef>
              <c:f>'Gráficos II'!$B$28</c:f>
              <c:strCache>
                <c:ptCount val="1"/>
                <c:pt idx="0">
                  <c:v>Desviación Compras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 II'!$C$24:$H$24</c:f>
              <c:strCache>
                <c:ptCount val="6"/>
                <c:pt idx="0">
                  <c:v>2012</c:v>
                </c:pt>
                <c:pt idx="1">
                  <c:v>2013</c:v>
                </c:pt>
                <c:pt idx="2">
                  <c:v>2014</c:v>
                </c:pt>
                <c:pt idx="3">
                  <c:v>2015</c:v>
                </c:pt>
                <c:pt idx="4">
                  <c:v>Promedio</c:v>
                </c:pt>
                <c:pt idx="5">
                  <c:v>Desviación</c:v>
                </c:pt>
              </c:strCache>
            </c:strRef>
          </c:cat>
          <c:val>
            <c:numRef>
              <c:f>'Gráficos II'!$C$28:$H$28</c:f>
              <c:numCache>
                <c:formatCode>General</c:formatCode>
                <c:ptCount val="6"/>
                <c:pt idx="5" formatCode="0.00%">
                  <c:v>2.8982787929362964E-2</c:v>
                </c:pt>
              </c:numCache>
            </c:numRef>
          </c:val>
          <c:smooth val="0"/>
          <c:extLst>
            <c:ext xmlns:c16="http://schemas.microsoft.com/office/drawing/2014/chart" uri="{C3380CC4-5D6E-409C-BE32-E72D297353CC}">
              <c16:uniqueId val="{00000004-77DC-4A23-8081-E731D570C97C}"/>
            </c:ext>
          </c:extLst>
        </c:ser>
        <c:dLbls>
          <c:showLegendKey val="0"/>
          <c:showVal val="0"/>
          <c:showCatName val="0"/>
          <c:showSerName val="0"/>
          <c:showPercent val="0"/>
          <c:showBubbleSize val="0"/>
        </c:dLbls>
        <c:marker val="1"/>
        <c:smooth val="0"/>
        <c:axId val="524438424"/>
        <c:axId val="524435288"/>
      </c:lineChart>
      <c:catAx>
        <c:axId val="52443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439208"/>
        <c:crosses val="autoZero"/>
        <c:auto val="1"/>
        <c:lblAlgn val="ctr"/>
        <c:lblOffset val="100"/>
        <c:noMultiLvlLbl val="0"/>
      </c:catAx>
      <c:valAx>
        <c:axId val="5244392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436464"/>
        <c:crosses val="autoZero"/>
        <c:crossBetween val="between"/>
      </c:valAx>
      <c:valAx>
        <c:axId val="524435288"/>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438424"/>
        <c:crosses val="max"/>
        <c:crossBetween val="between"/>
      </c:valAx>
      <c:catAx>
        <c:axId val="524438424"/>
        <c:scaling>
          <c:orientation val="minMax"/>
        </c:scaling>
        <c:delete val="1"/>
        <c:axPos val="b"/>
        <c:numFmt formatCode="General" sourceLinked="1"/>
        <c:majorTickMark val="out"/>
        <c:minorTickMark val="none"/>
        <c:tickLblPos val="nextTo"/>
        <c:crossAx val="524435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KTNO Sobre</a:t>
            </a:r>
            <a:r>
              <a:rPr lang="es-CO" baseline="0"/>
              <a:t> AON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'Gráficos II'!$B$73</c:f>
              <c:strCache>
                <c:ptCount val="1"/>
                <c:pt idx="0">
                  <c:v>Sempertex</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 II'!$C$71:$H$71</c:f>
              <c:strCache>
                <c:ptCount val="6"/>
                <c:pt idx="0">
                  <c:v>2011</c:v>
                </c:pt>
                <c:pt idx="1">
                  <c:v>2012</c:v>
                </c:pt>
                <c:pt idx="2">
                  <c:v>2013</c:v>
                </c:pt>
                <c:pt idx="3">
                  <c:v>2014</c:v>
                </c:pt>
                <c:pt idx="4">
                  <c:v>2015</c:v>
                </c:pt>
                <c:pt idx="5">
                  <c:v>Promedio</c:v>
                </c:pt>
              </c:strCache>
            </c:strRef>
          </c:cat>
          <c:val>
            <c:numRef>
              <c:f>'Gráficos II'!$C$73:$H$73</c:f>
              <c:numCache>
                <c:formatCode>0.00%</c:formatCode>
                <c:ptCount val="6"/>
                <c:pt idx="0">
                  <c:v>0.70685744406038009</c:v>
                </c:pt>
                <c:pt idx="1">
                  <c:v>0.71726722270596055</c:v>
                </c:pt>
                <c:pt idx="2">
                  <c:v>0.7622022731813809</c:v>
                </c:pt>
                <c:pt idx="3">
                  <c:v>0.68314698965818499</c:v>
                </c:pt>
                <c:pt idx="4">
                  <c:v>0.63577001378773634</c:v>
                </c:pt>
                <c:pt idx="5">
                  <c:v>0.70104878867872855</c:v>
                </c:pt>
              </c:numCache>
            </c:numRef>
          </c:val>
          <c:extLst>
            <c:ext xmlns:c16="http://schemas.microsoft.com/office/drawing/2014/chart" uri="{C3380CC4-5D6E-409C-BE32-E72D297353CC}">
              <c16:uniqueId val="{00000000-6374-4B95-AFA8-BC884770B720}"/>
            </c:ext>
          </c:extLst>
        </c:ser>
        <c:ser>
          <c:idx val="2"/>
          <c:order val="2"/>
          <c:tx>
            <c:strRef>
              <c:f>'Gráficos II'!$B$74</c:f>
              <c:strCache>
                <c:ptCount val="1"/>
                <c:pt idx="0">
                  <c:v>Latex de Colombia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 II'!$C$71:$H$71</c:f>
              <c:strCache>
                <c:ptCount val="6"/>
                <c:pt idx="0">
                  <c:v>2011</c:v>
                </c:pt>
                <c:pt idx="1">
                  <c:v>2012</c:v>
                </c:pt>
                <c:pt idx="2">
                  <c:v>2013</c:v>
                </c:pt>
                <c:pt idx="3">
                  <c:v>2014</c:v>
                </c:pt>
                <c:pt idx="4">
                  <c:v>2015</c:v>
                </c:pt>
                <c:pt idx="5">
                  <c:v>Promedio</c:v>
                </c:pt>
              </c:strCache>
            </c:strRef>
          </c:cat>
          <c:val>
            <c:numRef>
              <c:f>'Gráficos II'!$C$74:$H$74</c:f>
              <c:numCache>
                <c:formatCode>0.00%</c:formatCode>
                <c:ptCount val="6"/>
                <c:pt idx="0">
                  <c:v>0.32640820052963504</c:v>
                </c:pt>
                <c:pt idx="1">
                  <c:v>0.3466261302809524</c:v>
                </c:pt>
                <c:pt idx="2">
                  <c:v>0.46304047200744342</c:v>
                </c:pt>
                <c:pt idx="3">
                  <c:v>0.56210300200949559</c:v>
                </c:pt>
                <c:pt idx="4">
                  <c:v>0.54744370098688022</c:v>
                </c:pt>
                <c:pt idx="5">
                  <c:v>0.44912430116288143</c:v>
                </c:pt>
              </c:numCache>
            </c:numRef>
          </c:val>
          <c:extLst>
            <c:ext xmlns:c16="http://schemas.microsoft.com/office/drawing/2014/chart" uri="{C3380CC4-5D6E-409C-BE32-E72D297353CC}">
              <c16:uniqueId val="{00000001-6374-4B95-AFA8-BC884770B720}"/>
            </c:ext>
          </c:extLst>
        </c:ser>
        <c:ser>
          <c:idx val="3"/>
          <c:order val="3"/>
          <c:tx>
            <c:strRef>
              <c:f>'Gráficos II'!$B$75</c:f>
              <c:strCache>
                <c:ptCount val="1"/>
                <c:pt idx="0">
                  <c:v>Bombatex</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 II'!$C$71:$H$71</c:f>
              <c:strCache>
                <c:ptCount val="6"/>
                <c:pt idx="0">
                  <c:v>2011</c:v>
                </c:pt>
                <c:pt idx="1">
                  <c:v>2012</c:v>
                </c:pt>
                <c:pt idx="2">
                  <c:v>2013</c:v>
                </c:pt>
                <c:pt idx="3">
                  <c:v>2014</c:v>
                </c:pt>
                <c:pt idx="4">
                  <c:v>2015</c:v>
                </c:pt>
                <c:pt idx="5">
                  <c:v>Promedio</c:v>
                </c:pt>
              </c:strCache>
            </c:strRef>
          </c:cat>
          <c:val>
            <c:numRef>
              <c:f>'Gráficos II'!$C$75:$H$75</c:f>
              <c:numCache>
                <c:formatCode>0.00%</c:formatCode>
                <c:ptCount val="6"/>
                <c:pt idx="0">
                  <c:v>0.44137786029552956</c:v>
                </c:pt>
                <c:pt idx="1">
                  <c:v>0.4745927209102313</c:v>
                </c:pt>
                <c:pt idx="2">
                  <c:v>0.21210605654583942</c:v>
                </c:pt>
                <c:pt idx="3">
                  <c:v>0.2279804452210914</c:v>
                </c:pt>
                <c:pt idx="4">
                  <c:v>0.44148137336384402</c:v>
                </c:pt>
                <c:pt idx="5">
                  <c:v>0.35950769126730714</c:v>
                </c:pt>
              </c:numCache>
            </c:numRef>
          </c:val>
          <c:extLst>
            <c:ext xmlns:c16="http://schemas.microsoft.com/office/drawing/2014/chart" uri="{C3380CC4-5D6E-409C-BE32-E72D297353CC}">
              <c16:uniqueId val="{00000002-6374-4B95-AFA8-BC884770B720}"/>
            </c:ext>
          </c:extLst>
        </c:ser>
        <c:dLbls>
          <c:showLegendKey val="0"/>
          <c:showVal val="0"/>
          <c:showCatName val="0"/>
          <c:showSerName val="0"/>
          <c:showPercent val="0"/>
          <c:showBubbleSize val="0"/>
        </c:dLbls>
        <c:gapWidth val="100"/>
        <c:axId val="524443128"/>
        <c:axId val="524432152"/>
      </c:barChart>
      <c:lineChart>
        <c:grouping val="stacked"/>
        <c:varyColors val="0"/>
        <c:ser>
          <c:idx val="0"/>
          <c:order val="0"/>
          <c:tx>
            <c:strRef>
              <c:f>'Gráficos II'!$B$72</c:f>
              <c:strCache>
                <c:ptCount val="1"/>
                <c:pt idx="0">
                  <c:v>Sector</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 II'!$C$71:$H$71</c:f>
              <c:strCache>
                <c:ptCount val="6"/>
                <c:pt idx="0">
                  <c:v>2011</c:v>
                </c:pt>
                <c:pt idx="1">
                  <c:v>2012</c:v>
                </c:pt>
                <c:pt idx="2">
                  <c:v>2013</c:v>
                </c:pt>
                <c:pt idx="3">
                  <c:v>2014</c:v>
                </c:pt>
                <c:pt idx="4">
                  <c:v>2015</c:v>
                </c:pt>
                <c:pt idx="5">
                  <c:v>Promedio</c:v>
                </c:pt>
              </c:strCache>
            </c:strRef>
          </c:cat>
          <c:val>
            <c:numRef>
              <c:f>'Gráficos II'!$C$72:$H$72</c:f>
              <c:numCache>
                <c:formatCode>0.00%</c:formatCode>
                <c:ptCount val="6"/>
                <c:pt idx="0">
                  <c:v>0.49154783496184828</c:v>
                </c:pt>
                <c:pt idx="1">
                  <c:v>0.51282869129904807</c:v>
                </c:pt>
                <c:pt idx="2">
                  <c:v>0.47911626724488793</c:v>
                </c:pt>
                <c:pt idx="3">
                  <c:v>0.49107681229625738</c:v>
                </c:pt>
                <c:pt idx="4">
                  <c:v>0.54156502937948692</c:v>
                </c:pt>
                <c:pt idx="5">
                  <c:v>0.50322692703630578</c:v>
                </c:pt>
              </c:numCache>
            </c:numRef>
          </c:val>
          <c:smooth val="0"/>
          <c:extLst>
            <c:ext xmlns:c16="http://schemas.microsoft.com/office/drawing/2014/chart" uri="{C3380CC4-5D6E-409C-BE32-E72D297353CC}">
              <c16:uniqueId val="{00000003-6374-4B95-AFA8-BC884770B720}"/>
            </c:ext>
          </c:extLst>
        </c:ser>
        <c:dLbls>
          <c:showLegendKey val="0"/>
          <c:showVal val="0"/>
          <c:showCatName val="0"/>
          <c:showSerName val="0"/>
          <c:showPercent val="0"/>
          <c:showBubbleSize val="0"/>
        </c:dLbls>
        <c:marker val="1"/>
        <c:smooth val="0"/>
        <c:axId val="524443128"/>
        <c:axId val="524432152"/>
      </c:lineChart>
      <c:catAx>
        <c:axId val="52444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432152"/>
        <c:crosses val="autoZero"/>
        <c:auto val="1"/>
        <c:lblAlgn val="ctr"/>
        <c:lblOffset val="100"/>
        <c:noMultiLvlLbl val="0"/>
      </c:catAx>
      <c:valAx>
        <c:axId val="5244321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44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PARTICIPACÓN</a:t>
            </a:r>
            <a:r>
              <a:rPr lang="es-CO" baseline="0"/>
              <a:t> DE COSTOS SOBRE INGRESOS</a:t>
            </a:r>
            <a:endParaRPr lang="es-CO"/>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C18-457A-A256-8976DB262D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C18-457A-A256-8976DB262D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C18-457A-A256-8976DB262D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C18-457A-A256-8976DB262D74}"/>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'Gráficos II'!$B$3:$B$6</c:f>
              <c:strCache>
                <c:ptCount val="4"/>
                <c:pt idx="0">
                  <c:v>Costo Ventas Y Prestación Servicios</c:v>
                </c:pt>
                <c:pt idx="1">
                  <c:v>Gastos Operacionales Administración.</c:v>
                </c:pt>
                <c:pt idx="2">
                  <c:v>Gastos Operacionales De Ventas</c:v>
                </c:pt>
                <c:pt idx="3">
                  <c:v>Impuestos De Renta Y Complementarios</c:v>
                </c:pt>
              </c:strCache>
            </c:strRef>
          </c:cat>
          <c:val>
            <c:numRef>
              <c:f>'Gráficos II'!$C$3:$C$6</c:f>
              <c:numCache>
                <c:formatCode>0.0%</c:formatCode>
                <c:ptCount val="4"/>
                <c:pt idx="0">
                  <c:v>0.60613356398851903</c:v>
                </c:pt>
                <c:pt idx="1">
                  <c:v>0.12288341744955864</c:v>
                </c:pt>
                <c:pt idx="2">
                  <c:v>0.16724764522931398</c:v>
                </c:pt>
                <c:pt idx="3">
                  <c:v>3.0169272117308597E-2</c:v>
                </c:pt>
              </c:numCache>
            </c:numRef>
          </c:val>
          <c:extLst>
            <c:ext xmlns:c16="http://schemas.microsoft.com/office/drawing/2014/chart" uri="{C3380CC4-5D6E-409C-BE32-E72D297353CC}">
              <c16:uniqueId val="{00000008-9C18-457A-A256-8976DB262D74}"/>
            </c:ext>
          </c:extLst>
        </c:ser>
        <c:dLbls>
          <c:showLegendKey val="0"/>
          <c:showVal val="0"/>
          <c:showCatName val="0"/>
          <c:showSerName val="0"/>
          <c:showPercent val="1"/>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Relación Pasivo Corriente / Activo Corriente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'Gráficos III'!$C$4</c:f>
              <c:strCache>
                <c:ptCount val="1"/>
                <c:pt idx="0">
                  <c:v>Sector</c:v>
                </c:pt>
              </c:strCache>
            </c:strRef>
          </c:tx>
          <c:spPr>
            <a:ln w="28575" cap="rnd">
              <a:solidFill>
                <a:schemeClr val="accent1"/>
              </a:solidFill>
              <a:round/>
            </a:ln>
            <a:effectLst/>
          </c:spPr>
          <c:marker>
            <c:symbol val="none"/>
          </c:marker>
          <c:dLbls>
            <c:dLbl>
              <c:idx val="0"/>
              <c:layout>
                <c:manualLayout>
                  <c:x val="-6.0999999999999999E-2"/>
                  <c:y val="5.32753718285214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69-4AF3-923C-88216056D3D3}"/>
                </c:ext>
              </c:extLst>
            </c:dLbl>
            <c:dLbl>
              <c:idx val="1"/>
              <c:delete val="1"/>
              <c:extLst>
                <c:ext xmlns:c15="http://schemas.microsoft.com/office/drawing/2012/chart" uri="{CE6537A1-D6FC-4f65-9D91-7224C49458BB}"/>
                <c:ext xmlns:c16="http://schemas.microsoft.com/office/drawing/2014/chart" uri="{C3380CC4-5D6E-409C-BE32-E72D297353CC}">
                  <c16:uniqueId val="{00000014-2569-4AF3-923C-88216056D3D3}"/>
                </c:ext>
              </c:extLst>
            </c:dLbl>
            <c:dLbl>
              <c:idx val="2"/>
              <c:delete val="1"/>
              <c:extLst>
                <c:ext xmlns:c15="http://schemas.microsoft.com/office/drawing/2012/chart" uri="{CE6537A1-D6FC-4f65-9D91-7224C49458BB}"/>
                <c:ext xmlns:c16="http://schemas.microsoft.com/office/drawing/2014/chart" uri="{C3380CC4-5D6E-409C-BE32-E72D297353CC}">
                  <c16:uniqueId val="{00000013-2569-4AF3-923C-88216056D3D3}"/>
                </c:ext>
              </c:extLst>
            </c:dLbl>
            <c:dLbl>
              <c:idx val="4"/>
              <c:delete val="1"/>
              <c:extLst>
                <c:ext xmlns:c15="http://schemas.microsoft.com/office/drawing/2012/chart" uri="{CE6537A1-D6FC-4f65-9D91-7224C49458BB}"/>
                <c:ext xmlns:c16="http://schemas.microsoft.com/office/drawing/2014/chart" uri="{C3380CC4-5D6E-409C-BE32-E72D297353CC}">
                  <c16:uniqueId val="{00000012-2569-4AF3-923C-88216056D3D3}"/>
                </c:ext>
              </c:extLst>
            </c:dLbl>
            <c:dLbl>
              <c:idx val="5"/>
              <c:layout>
                <c:manualLayout>
                  <c:x val="-5.4896106736658123E-2"/>
                  <c:y val="-3.00579615048119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69-4AF3-923C-88216056D3D3}"/>
                </c:ext>
              </c:extLst>
            </c:dLbl>
            <c:spPr>
              <a:noFill/>
              <a:ln>
                <a:solidFill>
                  <a:schemeClr val="accent1">
                    <a:lumMod val="75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'Gráficos III'!$D$3:$I$3</c:f>
              <c:strCache>
                <c:ptCount val="6"/>
                <c:pt idx="0">
                  <c:v>2011</c:v>
                </c:pt>
                <c:pt idx="1">
                  <c:v>2012</c:v>
                </c:pt>
                <c:pt idx="2">
                  <c:v>2013</c:v>
                </c:pt>
                <c:pt idx="3">
                  <c:v>2014</c:v>
                </c:pt>
                <c:pt idx="4">
                  <c:v>2015</c:v>
                </c:pt>
                <c:pt idx="5">
                  <c:v>Promedio</c:v>
                </c:pt>
              </c:strCache>
            </c:strRef>
          </c:cat>
          <c:val>
            <c:numRef>
              <c:f>'Gráficos III'!$D$4:$I$4</c:f>
              <c:numCache>
                <c:formatCode>0.00%</c:formatCode>
                <c:ptCount val="6"/>
                <c:pt idx="0">
                  <c:v>0.77626984318159609</c:v>
                </c:pt>
                <c:pt idx="1">
                  <c:v>0.77838507638128718</c:v>
                </c:pt>
                <c:pt idx="2">
                  <c:v>0.85800618844726595</c:v>
                </c:pt>
                <c:pt idx="3">
                  <c:v>1.0188748882865193</c:v>
                </c:pt>
                <c:pt idx="4">
                  <c:v>0.7460426765880932</c:v>
                </c:pt>
                <c:pt idx="5">
                  <c:v>0.83551573457695238</c:v>
                </c:pt>
              </c:numCache>
            </c:numRef>
          </c:val>
          <c:smooth val="0"/>
          <c:extLst>
            <c:ext xmlns:c16="http://schemas.microsoft.com/office/drawing/2014/chart" uri="{C3380CC4-5D6E-409C-BE32-E72D297353CC}">
              <c16:uniqueId val="{00000000-2569-4AF3-923C-88216056D3D3}"/>
            </c:ext>
          </c:extLst>
        </c:ser>
        <c:ser>
          <c:idx val="1"/>
          <c:order val="1"/>
          <c:tx>
            <c:strRef>
              <c:f>'Gráficos III'!$C$5</c:f>
              <c:strCache>
                <c:ptCount val="1"/>
                <c:pt idx="0">
                  <c:v>Sempertex</c:v>
                </c:pt>
              </c:strCache>
            </c:strRef>
          </c:tx>
          <c:spPr>
            <a:ln w="28575" cap="rnd">
              <a:solidFill>
                <a:schemeClr val="accent2"/>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A-2569-4AF3-923C-88216056D3D3}"/>
                </c:ext>
              </c:extLst>
            </c:dLbl>
            <c:dLbl>
              <c:idx val="2"/>
              <c:delete val="1"/>
              <c:extLst>
                <c:ext xmlns:c15="http://schemas.microsoft.com/office/drawing/2012/chart" uri="{CE6537A1-D6FC-4f65-9D91-7224C49458BB}"/>
                <c:ext xmlns:c16="http://schemas.microsoft.com/office/drawing/2014/chart" uri="{C3380CC4-5D6E-409C-BE32-E72D297353CC}">
                  <c16:uniqueId val="{0000000B-2569-4AF3-923C-88216056D3D3}"/>
                </c:ext>
              </c:extLst>
            </c:dLbl>
            <c:dLbl>
              <c:idx val="3"/>
              <c:layout>
                <c:manualLayout>
                  <c:x val="-6.6555555555555659E-2"/>
                  <c:y val="-8.56827792359288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69-4AF3-923C-88216056D3D3}"/>
                </c:ext>
              </c:extLst>
            </c:dLbl>
            <c:dLbl>
              <c:idx val="4"/>
              <c:delete val="1"/>
              <c:extLst>
                <c:ext xmlns:c15="http://schemas.microsoft.com/office/drawing/2012/chart" uri="{CE6537A1-D6FC-4f65-9D91-7224C49458BB}"/>
                <c:ext xmlns:c16="http://schemas.microsoft.com/office/drawing/2014/chart" uri="{C3380CC4-5D6E-409C-BE32-E72D297353CC}">
                  <c16:uniqueId val="{00000005-2569-4AF3-923C-88216056D3D3}"/>
                </c:ext>
              </c:extLst>
            </c:dLbl>
            <c:spPr>
              <a:noFill/>
              <a:ln>
                <a:solidFill>
                  <a:schemeClr val="accent2">
                    <a:lumMod val="75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'Gráficos III'!$D$3:$I$3</c:f>
              <c:strCache>
                <c:ptCount val="6"/>
                <c:pt idx="0">
                  <c:v>2011</c:v>
                </c:pt>
                <c:pt idx="1">
                  <c:v>2012</c:v>
                </c:pt>
                <c:pt idx="2">
                  <c:v>2013</c:v>
                </c:pt>
                <c:pt idx="3">
                  <c:v>2014</c:v>
                </c:pt>
                <c:pt idx="4">
                  <c:v>2015</c:v>
                </c:pt>
                <c:pt idx="5">
                  <c:v>Promedio</c:v>
                </c:pt>
              </c:strCache>
            </c:strRef>
          </c:cat>
          <c:val>
            <c:numRef>
              <c:f>'Gráficos III'!$D$5:$I$5</c:f>
              <c:numCache>
                <c:formatCode>0.00%</c:formatCode>
                <c:ptCount val="6"/>
                <c:pt idx="0">
                  <c:v>0.48515143119758342</c:v>
                </c:pt>
                <c:pt idx="1">
                  <c:v>0.35580154410932363</c:v>
                </c:pt>
                <c:pt idx="2">
                  <c:v>0.34656912888097402</c:v>
                </c:pt>
                <c:pt idx="3">
                  <c:v>0.54305898328637692</c:v>
                </c:pt>
                <c:pt idx="4">
                  <c:v>0.61306883959689484</c:v>
                </c:pt>
                <c:pt idx="5">
                  <c:v>0.46872998541423055</c:v>
                </c:pt>
              </c:numCache>
            </c:numRef>
          </c:val>
          <c:smooth val="0"/>
          <c:extLst>
            <c:ext xmlns:c16="http://schemas.microsoft.com/office/drawing/2014/chart" uri="{C3380CC4-5D6E-409C-BE32-E72D297353CC}">
              <c16:uniqueId val="{00000001-2569-4AF3-923C-88216056D3D3}"/>
            </c:ext>
          </c:extLst>
        </c:ser>
        <c:ser>
          <c:idx val="2"/>
          <c:order val="2"/>
          <c:tx>
            <c:strRef>
              <c:f>'Gráficos III'!$C$6</c:f>
              <c:strCache>
                <c:ptCount val="1"/>
                <c:pt idx="0">
                  <c:v>Latex de Colombia</c:v>
                </c:pt>
              </c:strCache>
            </c:strRef>
          </c:tx>
          <c:spPr>
            <a:ln w="28575" cap="rnd">
              <a:solidFill>
                <a:schemeClr val="accent3"/>
              </a:solidFill>
              <a:round/>
            </a:ln>
            <a:effectLst/>
          </c:spPr>
          <c:marker>
            <c:symbol val="none"/>
          </c:marker>
          <c:dLbls>
            <c:dLbl>
              <c:idx val="0"/>
              <c:layout>
                <c:manualLayout>
                  <c:x val="-6.0999999999999999E-2"/>
                  <c:y val="-7.64235199766695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69-4AF3-923C-88216056D3D3}"/>
                </c:ext>
              </c:extLst>
            </c:dLbl>
            <c:dLbl>
              <c:idx val="1"/>
              <c:delete val="1"/>
              <c:extLst>
                <c:ext xmlns:c15="http://schemas.microsoft.com/office/drawing/2012/chart" uri="{CE6537A1-D6FC-4f65-9D91-7224C49458BB}"/>
                <c:ext xmlns:c16="http://schemas.microsoft.com/office/drawing/2014/chart" uri="{C3380CC4-5D6E-409C-BE32-E72D297353CC}">
                  <c16:uniqueId val="{0000000E-2569-4AF3-923C-88216056D3D3}"/>
                </c:ext>
              </c:extLst>
            </c:dLbl>
            <c:dLbl>
              <c:idx val="2"/>
              <c:delete val="1"/>
              <c:extLst>
                <c:ext xmlns:c15="http://schemas.microsoft.com/office/drawing/2012/chart" uri="{CE6537A1-D6FC-4f65-9D91-7224C49458BB}"/>
                <c:ext xmlns:c16="http://schemas.microsoft.com/office/drawing/2014/chart" uri="{C3380CC4-5D6E-409C-BE32-E72D297353CC}">
                  <c16:uniqueId val="{0000000D-2569-4AF3-923C-88216056D3D3}"/>
                </c:ext>
              </c:extLst>
            </c:dLbl>
            <c:dLbl>
              <c:idx val="3"/>
              <c:layout>
                <c:manualLayout>
                  <c:x val="-6.6555555555555659E-2"/>
                  <c:y val="8.5613517060367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69-4AF3-923C-88216056D3D3}"/>
                </c:ext>
              </c:extLst>
            </c:dLbl>
            <c:dLbl>
              <c:idx val="4"/>
              <c:delete val="1"/>
              <c:extLst>
                <c:ext xmlns:c15="http://schemas.microsoft.com/office/drawing/2012/chart" uri="{CE6537A1-D6FC-4f65-9D91-7224C49458BB}"/>
                <c:ext xmlns:c16="http://schemas.microsoft.com/office/drawing/2014/chart" uri="{C3380CC4-5D6E-409C-BE32-E72D297353CC}">
                  <c16:uniqueId val="{0000000C-2569-4AF3-923C-88216056D3D3}"/>
                </c:ext>
              </c:extLst>
            </c:dLbl>
            <c:spPr>
              <a:noFill/>
              <a:ln>
                <a:solidFill>
                  <a:schemeClr val="bg1">
                    <a:lumMod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'Gráficos III'!$D$3:$I$3</c:f>
              <c:strCache>
                <c:ptCount val="6"/>
                <c:pt idx="0">
                  <c:v>2011</c:v>
                </c:pt>
                <c:pt idx="1">
                  <c:v>2012</c:v>
                </c:pt>
                <c:pt idx="2">
                  <c:v>2013</c:v>
                </c:pt>
                <c:pt idx="3">
                  <c:v>2014</c:v>
                </c:pt>
                <c:pt idx="4">
                  <c:v>2015</c:v>
                </c:pt>
                <c:pt idx="5">
                  <c:v>Promedio</c:v>
                </c:pt>
              </c:strCache>
            </c:strRef>
          </c:cat>
          <c:val>
            <c:numRef>
              <c:f>'Gráficos III'!$D$6:$I$6</c:f>
              <c:numCache>
                <c:formatCode>0.00%</c:formatCode>
                <c:ptCount val="6"/>
                <c:pt idx="0">
                  <c:v>0.97263363789126622</c:v>
                </c:pt>
                <c:pt idx="1">
                  <c:v>0.9273265594509118</c:v>
                </c:pt>
                <c:pt idx="2">
                  <c:v>0.90322778745621346</c:v>
                </c:pt>
                <c:pt idx="3">
                  <c:v>0.51022040703786042</c:v>
                </c:pt>
                <c:pt idx="4">
                  <c:v>0.46102404542206582</c:v>
                </c:pt>
                <c:pt idx="5">
                  <c:v>0.75488648745166365</c:v>
                </c:pt>
              </c:numCache>
            </c:numRef>
          </c:val>
          <c:smooth val="0"/>
          <c:extLst>
            <c:ext xmlns:c16="http://schemas.microsoft.com/office/drawing/2014/chart" uri="{C3380CC4-5D6E-409C-BE32-E72D297353CC}">
              <c16:uniqueId val="{00000002-2569-4AF3-923C-88216056D3D3}"/>
            </c:ext>
          </c:extLst>
        </c:ser>
        <c:ser>
          <c:idx val="3"/>
          <c:order val="3"/>
          <c:tx>
            <c:strRef>
              <c:f>'Gráficos III'!$C$7</c:f>
              <c:strCache>
                <c:ptCount val="1"/>
                <c:pt idx="0">
                  <c:v>Bombatex (Ajustado)</c:v>
                </c:pt>
              </c:strCache>
            </c:strRef>
          </c:tx>
          <c:spPr>
            <a:ln w="28575" cap="rnd">
              <a:solidFill>
                <a:schemeClr val="accent4"/>
              </a:solidFill>
              <a:round/>
            </a:ln>
            <a:effectLst/>
          </c:spPr>
          <c:marker>
            <c:symbol val="none"/>
          </c:marker>
          <c:dLbls>
            <c:dLbl>
              <c:idx val="0"/>
              <c:layout>
                <c:manualLayout>
                  <c:x val="-5.8222222222222245E-2"/>
                  <c:y val="-0.1920949985418489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69-4AF3-923C-88216056D3D3}"/>
                </c:ext>
              </c:extLst>
            </c:dLbl>
            <c:dLbl>
              <c:idx val="1"/>
              <c:delete val="1"/>
              <c:extLst>
                <c:ext xmlns:c15="http://schemas.microsoft.com/office/drawing/2012/chart" uri="{CE6537A1-D6FC-4f65-9D91-7224C49458BB}"/>
                <c:ext xmlns:c16="http://schemas.microsoft.com/office/drawing/2014/chart" uri="{C3380CC4-5D6E-409C-BE32-E72D297353CC}">
                  <c16:uniqueId val="{00000007-2569-4AF3-923C-88216056D3D3}"/>
                </c:ext>
              </c:extLst>
            </c:dLbl>
            <c:dLbl>
              <c:idx val="2"/>
              <c:delete val="1"/>
              <c:extLst>
                <c:ext xmlns:c15="http://schemas.microsoft.com/office/drawing/2012/chart" uri="{CE6537A1-D6FC-4f65-9D91-7224C49458BB}"/>
                <c:ext xmlns:c16="http://schemas.microsoft.com/office/drawing/2014/chart" uri="{C3380CC4-5D6E-409C-BE32-E72D297353CC}">
                  <c16:uniqueId val="{00000008-2569-4AF3-923C-88216056D3D3}"/>
                </c:ext>
              </c:extLst>
            </c:dLbl>
            <c:dLbl>
              <c:idx val="4"/>
              <c:delete val="1"/>
              <c:extLst>
                <c:ext xmlns:c15="http://schemas.microsoft.com/office/drawing/2012/chart" uri="{CE6537A1-D6FC-4f65-9D91-7224C49458BB}"/>
                <c:ext xmlns:c16="http://schemas.microsoft.com/office/drawing/2014/chart" uri="{C3380CC4-5D6E-409C-BE32-E72D297353CC}">
                  <c16:uniqueId val="{00000004-2569-4AF3-923C-88216056D3D3}"/>
                </c:ext>
              </c:extLst>
            </c:dLbl>
            <c:spPr>
              <a:noFill/>
              <a:ln>
                <a:solidFill>
                  <a:schemeClr val="accent4">
                    <a:lumMod val="75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'Gráficos III'!$D$3:$I$3</c:f>
              <c:strCache>
                <c:ptCount val="6"/>
                <c:pt idx="0">
                  <c:v>2011</c:v>
                </c:pt>
                <c:pt idx="1">
                  <c:v>2012</c:v>
                </c:pt>
                <c:pt idx="2">
                  <c:v>2013</c:v>
                </c:pt>
                <c:pt idx="3">
                  <c:v>2014</c:v>
                </c:pt>
                <c:pt idx="4">
                  <c:v>2015</c:v>
                </c:pt>
                <c:pt idx="5">
                  <c:v>Promedio</c:v>
                </c:pt>
              </c:strCache>
            </c:strRef>
          </c:cat>
          <c:val>
            <c:numRef>
              <c:f>'Gráficos III'!$D$7:$I$7</c:f>
              <c:numCache>
                <c:formatCode>0.00%</c:formatCode>
                <c:ptCount val="6"/>
                <c:pt idx="0">
                  <c:v>0.95074190239322276</c:v>
                </c:pt>
                <c:pt idx="1">
                  <c:v>1.029357553946217</c:v>
                </c:pt>
                <c:pt idx="2">
                  <c:v>1.1691650496390171</c:v>
                </c:pt>
                <c:pt idx="3">
                  <c:v>1.4423671294650535</c:v>
                </c:pt>
                <c:pt idx="4">
                  <c:v>0.85793613565133475</c:v>
                </c:pt>
                <c:pt idx="5">
                  <c:v>1.0899135542189691</c:v>
                </c:pt>
              </c:numCache>
            </c:numRef>
          </c:val>
          <c:smooth val="0"/>
          <c:extLst>
            <c:ext xmlns:c16="http://schemas.microsoft.com/office/drawing/2014/chart" uri="{C3380CC4-5D6E-409C-BE32-E72D297353CC}">
              <c16:uniqueId val="{00000003-2569-4AF3-923C-88216056D3D3}"/>
            </c:ext>
          </c:extLst>
        </c:ser>
        <c:dLbls>
          <c:showLegendKey val="0"/>
          <c:showVal val="0"/>
          <c:showCatName val="0"/>
          <c:showSerName val="0"/>
          <c:showPercent val="0"/>
          <c:showBubbleSize val="0"/>
        </c:dLbls>
        <c:smooth val="0"/>
        <c:axId val="1545125968"/>
        <c:axId val="1545123472"/>
      </c:lineChart>
      <c:catAx>
        <c:axId val="154512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123472"/>
        <c:crosses val="autoZero"/>
        <c:auto val="1"/>
        <c:lblAlgn val="ctr"/>
        <c:lblOffset val="100"/>
        <c:noMultiLvlLbl val="0"/>
      </c:catAx>
      <c:valAx>
        <c:axId val="1545123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1259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Rotación en días de cuentas por cobrar e inventario - Sempertex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'Gráficos III'!$C$40</c:f>
              <c:strCache>
                <c:ptCount val="1"/>
                <c:pt idx="0">
                  <c:v>Rotación cuentas por cobrar</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'Gráficos III'!$D$39:$H$39</c:f>
              <c:numCache>
                <c:formatCode>General</c:formatCode>
                <c:ptCount val="5"/>
                <c:pt idx="0">
                  <c:v>2011</c:v>
                </c:pt>
                <c:pt idx="1">
                  <c:v>2012</c:v>
                </c:pt>
                <c:pt idx="2">
                  <c:v>2013</c:v>
                </c:pt>
                <c:pt idx="3">
                  <c:v>2014</c:v>
                </c:pt>
                <c:pt idx="4">
                  <c:v>2015</c:v>
                </c:pt>
              </c:numCache>
            </c:numRef>
          </c:cat>
          <c:val>
            <c:numRef>
              <c:f>'Gráficos III'!$D$40:$H$40</c:f>
              <c:numCache>
                <c:formatCode>_-* #,##0.00_-;\-* #,##0.00_-;_-* "-"_-;_-@_-</c:formatCode>
                <c:ptCount val="5"/>
                <c:pt idx="0">
                  <c:v>81.72200089239216</c:v>
                </c:pt>
                <c:pt idx="1">
                  <c:v>67.821631727164913</c:v>
                </c:pt>
                <c:pt idx="2">
                  <c:v>78.149102523666599</c:v>
                </c:pt>
                <c:pt idx="3">
                  <c:v>68.944427309834722</c:v>
                </c:pt>
                <c:pt idx="4">
                  <c:v>70.5598396884903</c:v>
                </c:pt>
              </c:numCache>
            </c:numRef>
          </c:val>
          <c:smooth val="0"/>
          <c:extLst>
            <c:ext xmlns:c16="http://schemas.microsoft.com/office/drawing/2014/chart" uri="{C3380CC4-5D6E-409C-BE32-E72D297353CC}">
              <c16:uniqueId val="{00000000-A0F9-42AA-9F29-C1B46E69ABAF}"/>
            </c:ext>
          </c:extLst>
        </c:ser>
        <c:ser>
          <c:idx val="1"/>
          <c:order val="1"/>
          <c:tx>
            <c:strRef>
              <c:f>'Gráficos III'!$C$41</c:f>
              <c:strCache>
                <c:ptCount val="1"/>
                <c:pt idx="0">
                  <c:v>Rotación inventarios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'Gráficos III'!$D$39:$H$39</c:f>
              <c:numCache>
                <c:formatCode>General</c:formatCode>
                <c:ptCount val="5"/>
                <c:pt idx="0">
                  <c:v>2011</c:v>
                </c:pt>
                <c:pt idx="1">
                  <c:v>2012</c:v>
                </c:pt>
                <c:pt idx="2">
                  <c:v>2013</c:v>
                </c:pt>
                <c:pt idx="3">
                  <c:v>2014</c:v>
                </c:pt>
                <c:pt idx="4">
                  <c:v>2015</c:v>
                </c:pt>
              </c:numCache>
            </c:numRef>
          </c:cat>
          <c:val>
            <c:numRef>
              <c:f>'Gráficos III'!$D$41:$H$41</c:f>
              <c:numCache>
                <c:formatCode>_-* #,##0.00_-;\-* #,##0.00_-;_-* "-"_-;_-@_-</c:formatCode>
                <c:ptCount val="5"/>
                <c:pt idx="0">
                  <c:v>109.76687482748601</c:v>
                </c:pt>
                <c:pt idx="1">
                  <c:v>99.789278544519405</c:v>
                </c:pt>
                <c:pt idx="2">
                  <c:v>136.16491821995294</c:v>
                </c:pt>
                <c:pt idx="3">
                  <c:v>175.86239147757212</c:v>
                </c:pt>
                <c:pt idx="4">
                  <c:v>209.30113185125504</c:v>
                </c:pt>
              </c:numCache>
            </c:numRef>
          </c:val>
          <c:smooth val="0"/>
          <c:extLst>
            <c:ext xmlns:c16="http://schemas.microsoft.com/office/drawing/2014/chart" uri="{C3380CC4-5D6E-409C-BE32-E72D297353CC}">
              <c16:uniqueId val="{00000001-A0F9-42AA-9F29-C1B46E69ABAF}"/>
            </c:ext>
          </c:extLst>
        </c:ser>
        <c:dLbls>
          <c:showLegendKey val="0"/>
          <c:showVal val="0"/>
          <c:showCatName val="0"/>
          <c:showSerName val="0"/>
          <c:showPercent val="0"/>
          <c:showBubbleSize val="0"/>
        </c:dLbls>
        <c:smooth val="0"/>
        <c:axId val="1535240976"/>
        <c:axId val="1535245136"/>
      </c:lineChart>
      <c:catAx>
        <c:axId val="153524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35245136"/>
        <c:crosses val="autoZero"/>
        <c:auto val="1"/>
        <c:lblAlgn val="ctr"/>
        <c:lblOffset val="100"/>
        <c:noMultiLvlLbl val="0"/>
      </c:catAx>
      <c:valAx>
        <c:axId val="1535245136"/>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3524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Participación</a:t>
            </a:r>
            <a:r>
              <a:rPr lang="es-CO" baseline="0"/>
              <a:t> Cuentas por Cobrar e Inventarios en Activo Corriente - Sempertex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'Gráficos III'!$C$61</c:f>
              <c:strCache>
                <c:ptCount val="1"/>
                <c:pt idx="0">
                  <c:v>Cuentas por Cobrar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'Gráficos III'!$D$60:$H$60</c:f>
              <c:numCache>
                <c:formatCode>General</c:formatCode>
                <c:ptCount val="5"/>
                <c:pt idx="0">
                  <c:v>2011</c:v>
                </c:pt>
                <c:pt idx="1">
                  <c:v>2012</c:v>
                </c:pt>
                <c:pt idx="2">
                  <c:v>2013</c:v>
                </c:pt>
                <c:pt idx="3">
                  <c:v>2014</c:v>
                </c:pt>
                <c:pt idx="4">
                  <c:v>2015</c:v>
                </c:pt>
              </c:numCache>
            </c:numRef>
          </c:cat>
          <c:val>
            <c:numRef>
              <c:f>'Gráficos III'!$D$61:$H$61</c:f>
              <c:numCache>
                <c:formatCode>0.00%</c:formatCode>
                <c:ptCount val="5"/>
                <c:pt idx="0">
                  <c:v>0.38079097898549691</c:v>
                </c:pt>
                <c:pt idx="1">
                  <c:v>0.33765637572780999</c:v>
                </c:pt>
                <c:pt idx="2">
                  <c:v>0.36827116736208093</c:v>
                </c:pt>
                <c:pt idx="3">
                  <c:v>0.31312704613186521</c:v>
                </c:pt>
                <c:pt idx="4">
                  <c:v>0.32480324426563228</c:v>
                </c:pt>
              </c:numCache>
            </c:numRef>
          </c:val>
          <c:extLst>
            <c:ext xmlns:c16="http://schemas.microsoft.com/office/drawing/2014/chart" uri="{C3380CC4-5D6E-409C-BE32-E72D297353CC}">
              <c16:uniqueId val="{00000000-BA4C-4894-8C01-638042FECD63}"/>
            </c:ext>
          </c:extLst>
        </c:ser>
        <c:ser>
          <c:idx val="1"/>
          <c:order val="1"/>
          <c:tx>
            <c:strRef>
              <c:f>'Gráficos III'!$C$62</c:f>
              <c:strCache>
                <c:ptCount val="1"/>
                <c:pt idx="0">
                  <c:v>Invetarios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'Gráficos III'!$D$60:$H$60</c:f>
              <c:numCache>
                <c:formatCode>General</c:formatCode>
                <c:ptCount val="5"/>
                <c:pt idx="0">
                  <c:v>2011</c:v>
                </c:pt>
                <c:pt idx="1">
                  <c:v>2012</c:v>
                </c:pt>
                <c:pt idx="2">
                  <c:v>2013</c:v>
                </c:pt>
                <c:pt idx="3">
                  <c:v>2014</c:v>
                </c:pt>
                <c:pt idx="4">
                  <c:v>2015</c:v>
                </c:pt>
              </c:numCache>
            </c:numRef>
          </c:cat>
          <c:val>
            <c:numRef>
              <c:f>'Gráficos III'!$D$62:$H$62</c:f>
              <c:numCache>
                <c:formatCode>0.00%</c:formatCode>
                <c:ptCount val="5"/>
                <c:pt idx="0">
                  <c:v>0.35072947114274405</c:v>
                </c:pt>
                <c:pt idx="1">
                  <c:v>0.33079439920676035</c:v>
                </c:pt>
                <c:pt idx="2">
                  <c:v>0.39716027437253509</c:v>
                </c:pt>
                <c:pt idx="3">
                  <c:v>0.42756918603231525</c:v>
                </c:pt>
                <c:pt idx="4">
                  <c:v>0.50565457464869501</c:v>
                </c:pt>
              </c:numCache>
            </c:numRef>
          </c:val>
          <c:extLst>
            <c:ext xmlns:c16="http://schemas.microsoft.com/office/drawing/2014/chart" uri="{C3380CC4-5D6E-409C-BE32-E72D297353CC}">
              <c16:uniqueId val="{00000001-BA4C-4894-8C01-638042FECD63}"/>
            </c:ext>
          </c:extLst>
        </c:ser>
        <c:dLbls>
          <c:showLegendKey val="0"/>
          <c:showVal val="0"/>
          <c:showCatName val="0"/>
          <c:showSerName val="0"/>
          <c:showPercent val="0"/>
          <c:showBubbleSize val="0"/>
        </c:dLbls>
        <c:gapWidth val="75"/>
        <c:overlap val="100"/>
        <c:axId val="1545126384"/>
        <c:axId val="1545119312"/>
      </c:barChart>
      <c:catAx>
        <c:axId val="154512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119312"/>
        <c:crosses val="autoZero"/>
        <c:auto val="1"/>
        <c:lblAlgn val="ctr"/>
        <c:lblOffset val="100"/>
        <c:noMultiLvlLbl val="0"/>
      </c:catAx>
      <c:valAx>
        <c:axId val="15451193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126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KTNO Sobre</a:t>
            </a:r>
            <a:r>
              <a:rPr lang="es-CO" baseline="0"/>
              <a:t> AON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'Gráficos III'!$C$143</c:f>
              <c:strCache>
                <c:ptCount val="1"/>
                <c:pt idx="0">
                  <c:v>Sempertex</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 III'!$D$141:$I$141</c:f>
              <c:strCache>
                <c:ptCount val="6"/>
                <c:pt idx="0">
                  <c:v>2011</c:v>
                </c:pt>
                <c:pt idx="1">
                  <c:v>2012</c:v>
                </c:pt>
                <c:pt idx="2">
                  <c:v>2013</c:v>
                </c:pt>
                <c:pt idx="3">
                  <c:v>2014</c:v>
                </c:pt>
                <c:pt idx="4">
                  <c:v>2015</c:v>
                </c:pt>
                <c:pt idx="5">
                  <c:v>Promedio</c:v>
                </c:pt>
              </c:strCache>
            </c:strRef>
          </c:cat>
          <c:val>
            <c:numRef>
              <c:f>'Gráficos III'!$D$143:$I$143</c:f>
              <c:numCache>
                <c:formatCode>0.00%</c:formatCode>
                <c:ptCount val="6"/>
                <c:pt idx="0">
                  <c:v>0.70685744406038009</c:v>
                </c:pt>
                <c:pt idx="1">
                  <c:v>0.71726722270596055</c:v>
                </c:pt>
                <c:pt idx="2">
                  <c:v>0.7622022731813809</c:v>
                </c:pt>
                <c:pt idx="3">
                  <c:v>0.68314698965818499</c:v>
                </c:pt>
                <c:pt idx="4">
                  <c:v>0.63577001378773634</c:v>
                </c:pt>
                <c:pt idx="5">
                  <c:v>0.70104878867872855</c:v>
                </c:pt>
              </c:numCache>
            </c:numRef>
          </c:val>
          <c:extLst>
            <c:ext xmlns:c16="http://schemas.microsoft.com/office/drawing/2014/chart" uri="{C3380CC4-5D6E-409C-BE32-E72D297353CC}">
              <c16:uniqueId val="{00000000-86B4-4800-855B-6CED1D4C995A}"/>
            </c:ext>
          </c:extLst>
        </c:ser>
        <c:ser>
          <c:idx val="2"/>
          <c:order val="2"/>
          <c:tx>
            <c:strRef>
              <c:f>'Gráficos III'!$C$144</c:f>
              <c:strCache>
                <c:ptCount val="1"/>
                <c:pt idx="0">
                  <c:v>Latex de Colombia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 III'!$D$141:$I$141</c:f>
              <c:strCache>
                <c:ptCount val="6"/>
                <c:pt idx="0">
                  <c:v>2011</c:v>
                </c:pt>
                <c:pt idx="1">
                  <c:v>2012</c:v>
                </c:pt>
                <c:pt idx="2">
                  <c:v>2013</c:v>
                </c:pt>
                <c:pt idx="3">
                  <c:v>2014</c:v>
                </c:pt>
                <c:pt idx="4">
                  <c:v>2015</c:v>
                </c:pt>
                <c:pt idx="5">
                  <c:v>Promedio</c:v>
                </c:pt>
              </c:strCache>
            </c:strRef>
          </c:cat>
          <c:val>
            <c:numRef>
              <c:f>'Gráficos III'!$D$144:$I$144</c:f>
              <c:numCache>
                <c:formatCode>0.00%</c:formatCode>
                <c:ptCount val="6"/>
                <c:pt idx="0">
                  <c:v>0.32640820052963504</c:v>
                </c:pt>
                <c:pt idx="1">
                  <c:v>0.3466261302809524</c:v>
                </c:pt>
                <c:pt idx="2">
                  <c:v>0.46304047200744342</c:v>
                </c:pt>
                <c:pt idx="3">
                  <c:v>0.56210300200949559</c:v>
                </c:pt>
                <c:pt idx="4">
                  <c:v>0.54744370098688022</c:v>
                </c:pt>
                <c:pt idx="5">
                  <c:v>0.44912430116288143</c:v>
                </c:pt>
              </c:numCache>
            </c:numRef>
          </c:val>
          <c:extLst>
            <c:ext xmlns:c16="http://schemas.microsoft.com/office/drawing/2014/chart" uri="{C3380CC4-5D6E-409C-BE32-E72D297353CC}">
              <c16:uniqueId val="{00000001-86B4-4800-855B-6CED1D4C995A}"/>
            </c:ext>
          </c:extLst>
        </c:ser>
        <c:ser>
          <c:idx val="3"/>
          <c:order val="3"/>
          <c:tx>
            <c:strRef>
              <c:f>'Gráficos III'!$C$145</c:f>
              <c:strCache>
                <c:ptCount val="1"/>
                <c:pt idx="0">
                  <c:v>Bombatex (Ajustado)</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 III'!$D$141:$I$141</c:f>
              <c:strCache>
                <c:ptCount val="6"/>
                <c:pt idx="0">
                  <c:v>2011</c:v>
                </c:pt>
                <c:pt idx="1">
                  <c:v>2012</c:v>
                </c:pt>
                <c:pt idx="2">
                  <c:v>2013</c:v>
                </c:pt>
                <c:pt idx="3">
                  <c:v>2014</c:v>
                </c:pt>
                <c:pt idx="4">
                  <c:v>2015</c:v>
                </c:pt>
                <c:pt idx="5">
                  <c:v>Promedio</c:v>
                </c:pt>
              </c:strCache>
            </c:strRef>
          </c:cat>
          <c:val>
            <c:numRef>
              <c:f>'Gráficos III'!$D$145:$I$145</c:f>
              <c:numCache>
                <c:formatCode>0.00%</c:formatCode>
                <c:ptCount val="6"/>
                <c:pt idx="0">
                  <c:v>0.44137786029552956</c:v>
                </c:pt>
                <c:pt idx="1">
                  <c:v>0.4745927209102313</c:v>
                </c:pt>
                <c:pt idx="2">
                  <c:v>0.21210605654583942</c:v>
                </c:pt>
                <c:pt idx="3">
                  <c:v>0.2279804452210914</c:v>
                </c:pt>
                <c:pt idx="4">
                  <c:v>0.44148137336384402</c:v>
                </c:pt>
                <c:pt idx="5">
                  <c:v>0.35950769126730714</c:v>
                </c:pt>
              </c:numCache>
            </c:numRef>
          </c:val>
          <c:extLst>
            <c:ext xmlns:c16="http://schemas.microsoft.com/office/drawing/2014/chart" uri="{C3380CC4-5D6E-409C-BE32-E72D297353CC}">
              <c16:uniqueId val="{00000002-86B4-4800-855B-6CED1D4C995A}"/>
            </c:ext>
          </c:extLst>
        </c:ser>
        <c:dLbls>
          <c:showLegendKey val="0"/>
          <c:showVal val="0"/>
          <c:showCatName val="0"/>
          <c:showSerName val="0"/>
          <c:showPercent val="0"/>
          <c:showBubbleSize val="0"/>
        </c:dLbls>
        <c:gapWidth val="100"/>
        <c:axId val="524438816"/>
        <c:axId val="524434504"/>
      </c:barChart>
      <c:lineChart>
        <c:grouping val="stacked"/>
        <c:varyColors val="0"/>
        <c:ser>
          <c:idx val="0"/>
          <c:order val="0"/>
          <c:tx>
            <c:strRef>
              <c:f>'Gráficos III'!$C$142</c:f>
              <c:strCache>
                <c:ptCount val="1"/>
                <c:pt idx="0">
                  <c:v>Sector</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 III'!$D$141:$I$141</c:f>
              <c:strCache>
                <c:ptCount val="6"/>
                <c:pt idx="0">
                  <c:v>2011</c:v>
                </c:pt>
                <c:pt idx="1">
                  <c:v>2012</c:v>
                </c:pt>
                <c:pt idx="2">
                  <c:v>2013</c:v>
                </c:pt>
                <c:pt idx="3">
                  <c:v>2014</c:v>
                </c:pt>
                <c:pt idx="4">
                  <c:v>2015</c:v>
                </c:pt>
                <c:pt idx="5">
                  <c:v>Promedio</c:v>
                </c:pt>
              </c:strCache>
            </c:strRef>
          </c:cat>
          <c:val>
            <c:numRef>
              <c:f>'Gráficos III'!$D$142:$I$142</c:f>
              <c:numCache>
                <c:formatCode>0.00%</c:formatCode>
                <c:ptCount val="6"/>
                <c:pt idx="0">
                  <c:v>0.49154783496184828</c:v>
                </c:pt>
                <c:pt idx="1">
                  <c:v>0.51282869129904807</c:v>
                </c:pt>
                <c:pt idx="2">
                  <c:v>0.47911626724488793</c:v>
                </c:pt>
                <c:pt idx="3">
                  <c:v>0.49107681229625738</c:v>
                </c:pt>
                <c:pt idx="4">
                  <c:v>0.54156502937948692</c:v>
                </c:pt>
                <c:pt idx="5">
                  <c:v>0.50322692703630578</c:v>
                </c:pt>
              </c:numCache>
            </c:numRef>
          </c:val>
          <c:smooth val="0"/>
          <c:extLst>
            <c:ext xmlns:c16="http://schemas.microsoft.com/office/drawing/2014/chart" uri="{C3380CC4-5D6E-409C-BE32-E72D297353CC}">
              <c16:uniqueId val="{00000003-86B4-4800-855B-6CED1D4C995A}"/>
            </c:ext>
          </c:extLst>
        </c:ser>
        <c:dLbls>
          <c:showLegendKey val="0"/>
          <c:showVal val="0"/>
          <c:showCatName val="0"/>
          <c:showSerName val="0"/>
          <c:showPercent val="0"/>
          <c:showBubbleSize val="0"/>
        </c:dLbls>
        <c:marker val="1"/>
        <c:smooth val="0"/>
        <c:axId val="524438816"/>
        <c:axId val="524434504"/>
      </c:lineChart>
      <c:catAx>
        <c:axId val="52443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434504"/>
        <c:crosses val="autoZero"/>
        <c:auto val="1"/>
        <c:lblAlgn val="ctr"/>
        <c:lblOffset val="100"/>
        <c:noMultiLvlLbl val="0"/>
      </c:catAx>
      <c:valAx>
        <c:axId val="5244345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438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ROA Sempertex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'Gráficos III'!$C$182</c:f>
              <c:strCache>
                <c:ptCount val="1"/>
                <c:pt idx="0">
                  <c:v>NOPAT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'Gráficos III'!$D$180:$H$180</c:f>
              <c:numCache>
                <c:formatCode>General</c:formatCode>
                <c:ptCount val="5"/>
                <c:pt idx="0">
                  <c:v>2011</c:v>
                </c:pt>
                <c:pt idx="1">
                  <c:v>2012</c:v>
                </c:pt>
                <c:pt idx="2">
                  <c:v>2013</c:v>
                </c:pt>
                <c:pt idx="3">
                  <c:v>2014</c:v>
                </c:pt>
                <c:pt idx="4">
                  <c:v>2015</c:v>
                </c:pt>
              </c:numCache>
            </c:numRef>
          </c:cat>
          <c:val>
            <c:numRef>
              <c:f>'Gráficos III'!$D$182:$H$182</c:f>
              <c:numCache>
                <c:formatCode>_(* #,##0_);_(* \(#,##0\);_(* "-"_);_(@_)</c:formatCode>
                <c:ptCount val="5"/>
                <c:pt idx="0">
                  <c:v>2924283007.3821058</c:v>
                </c:pt>
                <c:pt idx="1">
                  <c:v>2526337038.5358629</c:v>
                </c:pt>
                <c:pt idx="2">
                  <c:v>3059904831.5795898</c:v>
                </c:pt>
                <c:pt idx="3">
                  <c:v>8277452053.2770529</c:v>
                </c:pt>
                <c:pt idx="4">
                  <c:v>9777860072.9608955</c:v>
                </c:pt>
              </c:numCache>
            </c:numRef>
          </c:val>
          <c:extLst>
            <c:ext xmlns:c16="http://schemas.microsoft.com/office/drawing/2014/chart" uri="{C3380CC4-5D6E-409C-BE32-E72D297353CC}">
              <c16:uniqueId val="{00000000-E7B5-4A2F-8C4C-FD8ACE8AFAE3}"/>
            </c:ext>
          </c:extLst>
        </c:ser>
        <c:ser>
          <c:idx val="2"/>
          <c:order val="2"/>
          <c:tx>
            <c:strRef>
              <c:f>'Gráficos III'!$C$183</c:f>
              <c:strCache>
                <c:ptCount val="1"/>
                <c:pt idx="0">
                  <c:v>AON</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'Gráficos III'!$D$180:$H$180</c:f>
              <c:numCache>
                <c:formatCode>General</c:formatCode>
                <c:ptCount val="5"/>
                <c:pt idx="0">
                  <c:v>2011</c:v>
                </c:pt>
                <c:pt idx="1">
                  <c:v>2012</c:v>
                </c:pt>
                <c:pt idx="2">
                  <c:v>2013</c:v>
                </c:pt>
                <c:pt idx="3">
                  <c:v>2014</c:v>
                </c:pt>
                <c:pt idx="4">
                  <c:v>2015</c:v>
                </c:pt>
              </c:numCache>
            </c:numRef>
          </c:cat>
          <c:val>
            <c:numRef>
              <c:f>'Gráficos III'!$D$183:$H$183</c:f>
              <c:numCache>
                <c:formatCode>_(* #,##0_);_(* \(#,##0\);_(* "-"_);_(@_)</c:formatCode>
                <c:ptCount val="5"/>
                <c:pt idx="0">
                  <c:v>20235032000</c:v>
                </c:pt>
                <c:pt idx="1">
                  <c:v>23054246000</c:v>
                </c:pt>
                <c:pt idx="2">
                  <c:v>29143033000</c:v>
                </c:pt>
                <c:pt idx="3">
                  <c:v>33981656000</c:v>
                </c:pt>
                <c:pt idx="4">
                  <c:v>41006006000</c:v>
                </c:pt>
              </c:numCache>
            </c:numRef>
          </c:val>
          <c:extLst>
            <c:ext xmlns:c16="http://schemas.microsoft.com/office/drawing/2014/chart" uri="{C3380CC4-5D6E-409C-BE32-E72D297353CC}">
              <c16:uniqueId val="{00000001-E7B5-4A2F-8C4C-FD8ACE8AFAE3}"/>
            </c:ext>
          </c:extLst>
        </c:ser>
        <c:dLbls>
          <c:showLegendKey val="0"/>
          <c:showVal val="0"/>
          <c:showCatName val="0"/>
          <c:showSerName val="0"/>
          <c:showPercent val="0"/>
          <c:showBubbleSize val="0"/>
        </c:dLbls>
        <c:gapWidth val="75"/>
        <c:axId val="1545125136"/>
        <c:axId val="1545124720"/>
      </c:barChart>
      <c:lineChart>
        <c:grouping val="standard"/>
        <c:varyColors val="0"/>
        <c:ser>
          <c:idx val="0"/>
          <c:order val="0"/>
          <c:tx>
            <c:strRef>
              <c:f>'Gráficos III'!$C$181</c:f>
              <c:strCache>
                <c:ptCount val="1"/>
                <c:pt idx="0">
                  <c:v>ROA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'Gráficos III'!$D$180:$H$180</c:f>
              <c:numCache>
                <c:formatCode>General</c:formatCode>
                <c:ptCount val="5"/>
                <c:pt idx="0">
                  <c:v>2011</c:v>
                </c:pt>
                <c:pt idx="1">
                  <c:v>2012</c:v>
                </c:pt>
                <c:pt idx="2">
                  <c:v>2013</c:v>
                </c:pt>
                <c:pt idx="3">
                  <c:v>2014</c:v>
                </c:pt>
                <c:pt idx="4">
                  <c:v>2015</c:v>
                </c:pt>
              </c:numCache>
            </c:numRef>
          </c:cat>
          <c:val>
            <c:numRef>
              <c:f>'Gráficos III'!$D$181:$H$181</c:f>
              <c:numCache>
                <c:formatCode>0.00%</c:formatCode>
                <c:ptCount val="5"/>
                <c:pt idx="0">
                  <c:v>0.14451585781441345</c:v>
                </c:pt>
                <c:pt idx="1">
                  <c:v>0.10958228859602967</c:v>
                </c:pt>
                <c:pt idx="2">
                  <c:v>0.1049961008375343</c:v>
                </c:pt>
                <c:pt idx="3">
                  <c:v>0.2435858939092625</c:v>
                </c:pt>
                <c:pt idx="4">
                  <c:v>0.2384494620851613</c:v>
                </c:pt>
              </c:numCache>
            </c:numRef>
          </c:val>
          <c:smooth val="0"/>
          <c:extLst>
            <c:ext xmlns:c16="http://schemas.microsoft.com/office/drawing/2014/chart" uri="{C3380CC4-5D6E-409C-BE32-E72D297353CC}">
              <c16:uniqueId val="{00000002-E7B5-4A2F-8C4C-FD8ACE8AFAE3}"/>
            </c:ext>
          </c:extLst>
        </c:ser>
        <c:dLbls>
          <c:showLegendKey val="0"/>
          <c:showVal val="0"/>
          <c:showCatName val="0"/>
          <c:showSerName val="0"/>
          <c:showPercent val="0"/>
          <c:showBubbleSize val="0"/>
        </c:dLbls>
        <c:marker val="1"/>
        <c:smooth val="0"/>
        <c:axId val="1456883152"/>
        <c:axId val="1545123056"/>
      </c:lineChart>
      <c:catAx>
        <c:axId val="154512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124720"/>
        <c:crosses val="autoZero"/>
        <c:auto val="1"/>
        <c:lblAlgn val="ctr"/>
        <c:lblOffset val="100"/>
        <c:noMultiLvlLbl val="0"/>
      </c:catAx>
      <c:valAx>
        <c:axId val="154512472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125136"/>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dispUnitsLbl>
        </c:dispUnits>
      </c:valAx>
      <c:valAx>
        <c:axId val="1545123056"/>
        <c:scaling>
          <c:orientation val="minMax"/>
          <c:min val="-0.30000000000000004"/>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6883152"/>
        <c:crosses val="max"/>
        <c:crossBetween val="between"/>
      </c:valAx>
      <c:catAx>
        <c:axId val="1456883152"/>
        <c:scaling>
          <c:orientation val="minMax"/>
        </c:scaling>
        <c:delete val="1"/>
        <c:axPos val="b"/>
        <c:numFmt formatCode="General" sourceLinked="1"/>
        <c:majorTickMark val="out"/>
        <c:minorTickMark val="none"/>
        <c:tickLblPos val="nextTo"/>
        <c:crossAx val="15451230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ROE Sempertex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'Gráficos III'!$C$217</c:f>
              <c:strCache>
                <c:ptCount val="1"/>
                <c:pt idx="0">
                  <c:v>Utilidad Neta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'Gráficos III'!$D$215:$H$215</c:f>
              <c:numCache>
                <c:formatCode>General</c:formatCode>
                <c:ptCount val="5"/>
                <c:pt idx="0">
                  <c:v>2011</c:v>
                </c:pt>
                <c:pt idx="1">
                  <c:v>2012</c:v>
                </c:pt>
                <c:pt idx="2">
                  <c:v>2013</c:v>
                </c:pt>
                <c:pt idx="3">
                  <c:v>2014</c:v>
                </c:pt>
                <c:pt idx="4">
                  <c:v>2015</c:v>
                </c:pt>
              </c:numCache>
            </c:numRef>
          </c:cat>
          <c:val>
            <c:numRef>
              <c:f>'Gráficos III'!$D$217:$H$217</c:f>
              <c:numCache>
                <c:formatCode>_(* #,##0_);_(* \(#,##0\);_(* "-"_);_(@_)</c:formatCode>
                <c:ptCount val="5"/>
                <c:pt idx="0">
                  <c:v>2292482000</c:v>
                </c:pt>
                <c:pt idx="1">
                  <c:v>2861592000</c:v>
                </c:pt>
                <c:pt idx="2">
                  <c:v>3384686000</c:v>
                </c:pt>
                <c:pt idx="3">
                  <c:v>5795982000</c:v>
                </c:pt>
                <c:pt idx="4">
                  <c:v>5496412000</c:v>
                </c:pt>
              </c:numCache>
            </c:numRef>
          </c:val>
          <c:extLst>
            <c:ext xmlns:c16="http://schemas.microsoft.com/office/drawing/2014/chart" uri="{C3380CC4-5D6E-409C-BE32-E72D297353CC}">
              <c16:uniqueId val="{00000000-F465-466F-8CE9-E165AB35496F}"/>
            </c:ext>
          </c:extLst>
        </c:ser>
        <c:ser>
          <c:idx val="2"/>
          <c:order val="2"/>
          <c:tx>
            <c:strRef>
              <c:f>'Gráficos III'!$C$218</c:f>
              <c:strCache>
                <c:ptCount val="1"/>
                <c:pt idx="0">
                  <c:v>Patrimonio</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'Gráficos III'!$D$215:$H$215</c:f>
              <c:numCache>
                <c:formatCode>General</c:formatCode>
                <c:ptCount val="5"/>
                <c:pt idx="0">
                  <c:v>2011</c:v>
                </c:pt>
                <c:pt idx="1">
                  <c:v>2012</c:v>
                </c:pt>
                <c:pt idx="2">
                  <c:v>2013</c:v>
                </c:pt>
                <c:pt idx="3">
                  <c:v>2014</c:v>
                </c:pt>
                <c:pt idx="4">
                  <c:v>2015</c:v>
                </c:pt>
              </c:numCache>
            </c:numRef>
          </c:cat>
          <c:val>
            <c:numRef>
              <c:f>'Gráficos III'!$D$218:$H$218</c:f>
              <c:numCache>
                <c:formatCode>_(* #,##0_);_(* \(#,##0\);_(* "-"_);_(@_)</c:formatCode>
                <c:ptCount val="5"/>
                <c:pt idx="0">
                  <c:v>15897480000</c:v>
                </c:pt>
                <c:pt idx="1">
                  <c:v>17919073000</c:v>
                </c:pt>
                <c:pt idx="2">
                  <c:v>20043758000</c:v>
                </c:pt>
                <c:pt idx="3">
                  <c:v>23879739000</c:v>
                </c:pt>
                <c:pt idx="4">
                  <c:v>27494974000</c:v>
                </c:pt>
              </c:numCache>
            </c:numRef>
          </c:val>
          <c:extLst>
            <c:ext xmlns:c16="http://schemas.microsoft.com/office/drawing/2014/chart" uri="{C3380CC4-5D6E-409C-BE32-E72D297353CC}">
              <c16:uniqueId val="{00000001-F465-466F-8CE9-E165AB35496F}"/>
            </c:ext>
          </c:extLst>
        </c:ser>
        <c:dLbls>
          <c:showLegendKey val="0"/>
          <c:showVal val="0"/>
          <c:showCatName val="0"/>
          <c:showSerName val="0"/>
          <c:showPercent val="0"/>
          <c:showBubbleSize val="0"/>
        </c:dLbls>
        <c:gapWidth val="75"/>
        <c:axId val="1545125136"/>
        <c:axId val="1545124720"/>
      </c:barChart>
      <c:lineChart>
        <c:grouping val="standard"/>
        <c:varyColors val="0"/>
        <c:ser>
          <c:idx val="0"/>
          <c:order val="0"/>
          <c:tx>
            <c:strRef>
              <c:f>'Gráficos III'!$C$216</c:f>
              <c:strCache>
                <c:ptCount val="1"/>
                <c:pt idx="0">
                  <c:v>ROE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'Gráficos III'!$D$215:$H$215</c:f>
              <c:numCache>
                <c:formatCode>General</c:formatCode>
                <c:ptCount val="5"/>
                <c:pt idx="0">
                  <c:v>2011</c:v>
                </c:pt>
                <c:pt idx="1">
                  <c:v>2012</c:v>
                </c:pt>
                <c:pt idx="2">
                  <c:v>2013</c:v>
                </c:pt>
                <c:pt idx="3">
                  <c:v>2014</c:v>
                </c:pt>
                <c:pt idx="4">
                  <c:v>2015</c:v>
                </c:pt>
              </c:numCache>
            </c:numRef>
          </c:cat>
          <c:val>
            <c:numRef>
              <c:f>'Gráficos III'!$D$216:$H$216</c:f>
              <c:numCache>
                <c:formatCode>0.00%</c:formatCode>
                <c:ptCount val="5"/>
                <c:pt idx="0">
                  <c:v>0.14420411285310628</c:v>
                </c:pt>
                <c:pt idx="1">
                  <c:v>0.15969531459579411</c:v>
                </c:pt>
                <c:pt idx="2">
                  <c:v>0.16886484061521798</c:v>
                </c:pt>
                <c:pt idx="3">
                  <c:v>0.24271546686502729</c:v>
                </c:pt>
                <c:pt idx="4">
                  <c:v>0.19990606283170154</c:v>
                </c:pt>
              </c:numCache>
            </c:numRef>
          </c:val>
          <c:smooth val="0"/>
          <c:extLst>
            <c:ext xmlns:c16="http://schemas.microsoft.com/office/drawing/2014/chart" uri="{C3380CC4-5D6E-409C-BE32-E72D297353CC}">
              <c16:uniqueId val="{00000002-F465-466F-8CE9-E165AB35496F}"/>
            </c:ext>
          </c:extLst>
        </c:ser>
        <c:dLbls>
          <c:showLegendKey val="0"/>
          <c:showVal val="0"/>
          <c:showCatName val="0"/>
          <c:showSerName val="0"/>
          <c:showPercent val="0"/>
          <c:showBubbleSize val="0"/>
        </c:dLbls>
        <c:marker val="1"/>
        <c:smooth val="0"/>
        <c:axId val="1456883152"/>
        <c:axId val="1545123056"/>
      </c:lineChart>
      <c:catAx>
        <c:axId val="154512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124720"/>
        <c:crosses val="autoZero"/>
        <c:auto val="1"/>
        <c:lblAlgn val="ctr"/>
        <c:lblOffset val="100"/>
        <c:noMultiLvlLbl val="0"/>
      </c:catAx>
      <c:valAx>
        <c:axId val="1545124720"/>
        <c:scaling>
          <c:orientation val="minMax"/>
          <c:max val="340000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125136"/>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dispUnitsLbl>
        </c:dispUnits>
      </c:valAx>
      <c:valAx>
        <c:axId val="1545123056"/>
        <c:scaling>
          <c:orientation val="minMax"/>
          <c:min val="-0.30000000000000004"/>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6883152"/>
        <c:crosses val="max"/>
        <c:crossBetween val="between"/>
      </c:valAx>
      <c:catAx>
        <c:axId val="1456883152"/>
        <c:scaling>
          <c:orientation val="minMax"/>
        </c:scaling>
        <c:delete val="1"/>
        <c:axPos val="b"/>
        <c:numFmt formatCode="General" sourceLinked="1"/>
        <c:majorTickMark val="out"/>
        <c:minorTickMark val="none"/>
        <c:tickLblPos val="nextTo"/>
        <c:crossAx val="15451230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Palanca de Crecimiento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'Graficos Final'!$B$87</c:f>
              <c:strCache>
                <c:ptCount val="1"/>
                <c:pt idx="0">
                  <c:v>Optimista</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Final'!$C$86:$H$86</c:f>
              <c:numCache>
                <c:formatCode>General</c:formatCode>
                <c:ptCount val="6"/>
                <c:pt idx="0">
                  <c:v>2015</c:v>
                </c:pt>
                <c:pt idx="1">
                  <c:v>2016</c:v>
                </c:pt>
                <c:pt idx="2">
                  <c:v>2017</c:v>
                </c:pt>
                <c:pt idx="3">
                  <c:v>2018</c:v>
                </c:pt>
                <c:pt idx="4">
                  <c:v>2019</c:v>
                </c:pt>
                <c:pt idx="5">
                  <c:v>2020</c:v>
                </c:pt>
              </c:numCache>
            </c:numRef>
          </c:cat>
          <c:val>
            <c:numRef>
              <c:f>'Graficos Final'!$C$87:$H$87</c:f>
              <c:numCache>
                <c:formatCode>_-* #,##0.00_-;\-* #,##0.00_-;_-* "-"_-;_-@_-</c:formatCode>
                <c:ptCount val="6"/>
                <c:pt idx="0">
                  <c:v>0.67189196908415905</c:v>
                </c:pt>
                <c:pt idx="1">
                  <c:v>0.7649784757037752</c:v>
                </c:pt>
                <c:pt idx="2">
                  <c:v>0.85731466370618692</c:v>
                </c:pt>
                <c:pt idx="3">
                  <c:v>0.94503404230847798</c:v>
                </c:pt>
                <c:pt idx="4">
                  <c:v>1.0283674519806547</c:v>
                </c:pt>
                <c:pt idx="5">
                  <c:v>1.1075341911692222</c:v>
                </c:pt>
              </c:numCache>
            </c:numRef>
          </c:val>
          <c:smooth val="0"/>
          <c:extLst>
            <c:ext xmlns:c16="http://schemas.microsoft.com/office/drawing/2014/chart" uri="{C3380CC4-5D6E-409C-BE32-E72D297353CC}">
              <c16:uniqueId val="{00000000-1A91-47B0-8371-D6DDDC2904A2}"/>
            </c:ext>
          </c:extLst>
        </c:ser>
        <c:ser>
          <c:idx val="1"/>
          <c:order val="1"/>
          <c:tx>
            <c:strRef>
              <c:f>'Graficos Final'!$B$88</c:f>
              <c:strCache>
                <c:ptCount val="1"/>
                <c:pt idx="0">
                  <c:v>Realista</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1A91-47B0-8371-D6DDDC2904A2}"/>
                </c:ext>
              </c:extLst>
            </c:dLbl>
            <c:dLbl>
              <c:idx val="1"/>
              <c:delete val="1"/>
              <c:extLst>
                <c:ext xmlns:c15="http://schemas.microsoft.com/office/drawing/2012/chart" uri="{CE6537A1-D6FC-4f65-9D91-7224C49458BB}"/>
                <c:ext xmlns:c16="http://schemas.microsoft.com/office/drawing/2014/chart" uri="{C3380CC4-5D6E-409C-BE32-E72D297353CC}">
                  <c16:uniqueId val="{00000007-1A91-47B0-8371-D6DDDC2904A2}"/>
                </c:ext>
              </c:extLst>
            </c:dLbl>
            <c:dLbl>
              <c:idx val="2"/>
              <c:layout>
                <c:manualLayout>
                  <c:x val="-5.1437664041994749E-2"/>
                  <c:y val="-4.85764800233304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A91-47B0-8371-D6DDDC2904A2}"/>
                </c:ext>
              </c:extLst>
            </c:dLbl>
            <c:dLbl>
              <c:idx val="3"/>
              <c:layout>
                <c:manualLayout>
                  <c:x val="-5.1437664041994853E-2"/>
                  <c:y val="-6.24653689122193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A91-47B0-8371-D6DDDC2904A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Final'!$C$86:$H$86</c:f>
              <c:numCache>
                <c:formatCode>General</c:formatCode>
                <c:ptCount val="6"/>
                <c:pt idx="0">
                  <c:v>2015</c:v>
                </c:pt>
                <c:pt idx="1">
                  <c:v>2016</c:v>
                </c:pt>
                <c:pt idx="2">
                  <c:v>2017</c:v>
                </c:pt>
                <c:pt idx="3">
                  <c:v>2018</c:v>
                </c:pt>
                <c:pt idx="4">
                  <c:v>2019</c:v>
                </c:pt>
                <c:pt idx="5">
                  <c:v>2020</c:v>
                </c:pt>
              </c:numCache>
            </c:numRef>
          </c:cat>
          <c:val>
            <c:numRef>
              <c:f>'Graficos Final'!$C$88:$H$88</c:f>
              <c:numCache>
                <c:formatCode>_-* #,##0.00_-;\-* #,##0.00_-;_-* "-"_-;_-@_-</c:formatCode>
                <c:ptCount val="6"/>
                <c:pt idx="0">
                  <c:v>0.67189196908415905</c:v>
                </c:pt>
                <c:pt idx="1">
                  <c:v>0.66778248833281595</c:v>
                </c:pt>
                <c:pt idx="2">
                  <c:v>0.66778248833281584</c:v>
                </c:pt>
                <c:pt idx="3">
                  <c:v>0.66778248833281539</c:v>
                </c:pt>
                <c:pt idx="4">
                  <c:v>0.66778248833281562</c:v>
                </c:pt>
                <c:pt idx="5">
                  <c:v>0.6677824883328155</c:v>
                </c:pt>
              </c:numCache>
            </c:numRef>
          </c:val>
          <c:smooth val="0"/>
          <c:extLst>
            <c:ext xmlns:c16="http://schemas.microsoft.com/office/drawing/2014/chart" uri="{C3380CC4-5D6E-409C-BE32-E72D297353CC}">
              <c16:uniqueId val="{00000001-1A91-47B0-8371-D6DDDC2904A2}"/>
            </c:ext>
          </c:extLst>
        </c:ser>
        <c:ser>
          <c:idx val="2"/>
          <c:order val="2"/>
          <c:tx>
            <c:strRef>
              <c:f>'Graficos Final'!$B$89</c:f>
              <c:strCache>
                <c:ptCount val="1"/>
                <c:pt idx="0">
                  <c:v>Pesimista</c:v>
                </c:pt>
              </c:strCache>
            </c:strRef>
          </c:tx>
          <c:spPr>
            <a:ln w="28575" cap="rnd">
              <a:solidFill>
                <a:schemeClr val="accent3"/>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1A91-47B0-8371-D6DDDC2904A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Final'!$C$86:$H$86</c:f>
              <c:numCache>
                <c:formatCode>General</c:formatCode>
                <c:ptCount val="6"/>
                <c:pt idx="0">
                  <c:v>2015</c:v>
                </c:pt>
                <c:pt idx="1">
                  <c:v>2016</c:v>
                </c:pt>
                <c:pt idx="2">
                  <c:v>2017</c:v>
                </c:pt>
                <c:pt idx="3">
                  <c:v>2018</c:v>
                </c:pt>
                <c:pt idx="4">
                  <c:v>2019</c:v>
                </c:pt>
                <c:pt idx="5">
                  <c:v>2020</c:v>
                </c:pt>
              </c:numCache>
            </c:numRef>
          </c:cat>
          <c:val>
            <c:numRef>
              <c:f>'Graficos Final'!$C$89:$H$89</c:f>
              <c:numCache>
                <c:formatCode>_-* #,##0.00_-;\-* #,##0.00_-;_-* "-"_-;_-@_-</c:formatCode>
                <c:ptCount val="6"/>
                <c:pt idx="0">
                  <c:v>0.67189196908415905</c:v>
                </c:pt>
                <c:pt idx="1">
                  <c:v>0.57058650096185637</c:v>
                </c:pt>
                <c:pt idx="2">
                  <c:v>0.46853071422234877</c:v>
                </c:pt>
                <c:pt idx="3">
                  <c:v>0.36137213814586577</c:v>
                </c:pt>
                <c:pt idx="4">
                  <c:v>0.24885563326555893</c:v>
                </c:pt>
                <c:pt idx="5">
                  <c:v>0.13071330314123619</c:v>
                </c:pt>
              </c:numCache>
            </c:numRef>
          </c:val>
          <c:smooth val="0"/>
          <c:extLst>
            <c:ext xmlns:c16="http://schemas.microsoft.com/office/drawing/2014/chart" uri="{C3380CC4-5D6E-409C-BE32-E72D297353CC}">
              <c16:uniqueId val="{00000002-1A91-47B0-8371-D6DDDC2904A2}"/>
            </c:ext>
          </c:extLst>
        </c:ser>
        <c:dLbls>
          <c:showLegendKey val="0"/>
          <c:showVal val="0"/>
          <c:showCatName val="0"/>
          <c:showSerName val="0"/>
          <c:showPercent val="0"/>
          <c:showBubbleSize val="0"/>
        </c:dLbls>
        <c:smooth val="0"/>
        <c:axId val="817577200"/>
        <c:axId val="817575120"/>
      </c:lineChart>
      <c:catAx>
        <c:axId val="8175772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5120"/>
        <c:crosses val="autoZero"/>
        <c:auto val="1"/>
        <c:lblAlgn val="ctr"/>
        <c:lblOffset val="100"/>
        <c:noMultiLvlLbl val="0"/>
      </c:catAx>
      <c:valAx>
        <c:axId val="817575120"/>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7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strRef>
              <c:f>'Resumen Exportación'!$B$5</c:f>
              <c:strCache>
                <c:ptCount val="1"/>
                <c:pt idx="0">
                  <c:v> Valor FOB (COP)</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4EC-40E1-B21F-44F54E1434BE}"/>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4EC-40E1-B21F-44F54E1434BE}"/>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84EC-40E1-B21F-44F54E1434BE}"/>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4EC-40E1-B21F-44F54E1434BE}"/>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4EC-40E1-B21F-44F54E1434BE}"/>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4EC-40E1-B21F-44F54E1434BE}"/>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4EC-40E1-B21F-44F54E1434BE}"/>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4EC-40E1-B21F-44F54E1434BE}"/>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84EC-40E1-B21F-44F54E1434BE}"/>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84EC-40E1-B21F-44F54E1434BE}"/>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'Resumen Exportación'!$A$6:$A$15</c:f>
              <c:strCache>
                <c:ptCount val="10"/>
                <c:pt idx="0">
                  <c:v>RUSIA</c:v>
                </c:pt>
                <c:pt idx="1">
                  <c:v>CHINA</c:v>
                </c:pt>
                <c:pt idx="2">
                  <c:v>CHILE</c:v>
                </c:pt>
                <c:pt idx="3">
                  <c:v>ESTADOS UNIDOS</c:v>
                </c:pt>
                <c:pt idx="4">
                  <c:v>JAPÓN</c:v>
                </c:pt>
                <c:pt idx="5">
                  <c:v>AUSTRALIA</c:v>
                </c:pt>
                <c:pt idx="6">
                  <c:v>FINLANDIA</c:v>
                </c:pt>
                <c:pt idx="7">
                  <c:v>COREA DEL SUR</c:v>
                </c:pt>
                <c:pt idx="8">
                  <c:v>ECUADOR</c:v>
                </c:pt>
                <c:pt idx="9">
                  <c:v>Grupo1</c:v>
                </c:pt>
              </c:strCache>
            </c:strRef>
          </c:cat>
          <c:val>
            <c:numRef>
              <c:f>'Resumen Exportación'!$B$6:$B$15</c:f>
              <c:numCache>
                <c:formatCode>_(* #,##0.00_);_(* \(#,##0.00\);_(* "-"??_);_(@_)</c:formatCode>
                <c:ptCount val="10"/>
                <c:pt idx="0">
                  <c:v>8116491568.9899998</c:v>
                </c:pt>
                <c:pt idx="1">
                  <c:v>4083183345.0100002</c:v>
                </c:pt>
                <c:pt idx="2">
                  <c:v>3626677410.4299998</c:v>
                </c:pt>
                <c:pt idx="3">
                  <c:v>3536758514.3599997</c:v>
                </c:pt>
                <c:pt idx="4">
                  <c:v>3219008172.6900001</c:v>
                </c:pt>
                <c:pt idx="5">
                  <c:v>2144526548.0000005</c:v>
                </c:pt>
                <c:pt idx="6">
                  <c:v>1863007584.2499998</c:v>
                </c:pt>
                <c:pt idx="7">
                  <c:v>1788252840.9899995</c:v>
                </c:pt>
                <c:pt idx="8">
                  <c:v>1684853112.5600002</c:v>
                </c:pt>
                <c:pt idx="9">
                  <c:v>15977310933.659988</c:v>
                </c:pt>
              </c:numCache>
            </c:numRef>
          </c:val>
          <c:extLst>
            <c:ext xmlns:c16="http://schemas.microsoft.com/office/drawing/2014/chart" uri="{C3380CC4-5D6E-409C-BE32-E72D297353CC}">
              <c16:uniqueId val="{00000014-84EC-40E1-B21F-44F54E1434BE}"/>
            </c:ext>
          </c:extLst>
        </c:ser>
        <c:dLbls>
          <c:showLegendKey val="0"/>
          <c:showVal val="0"/>
          <c:showCatName val="1"/>
          <c:showSerName val="0"/>
          <c:showPercent val="1"/>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barChart>
        <c:barDir val="col"/>
        <c:grouping val="clustered"/>
        <c:varyColors val="0"/>
        <c:ser>
          <c:idx val="0"/>
          <c:order val="0"/>
          <c:tx>
            <c:strRef>
              <c:f>'Tasa de Cambio'!$D$8</c:f>
              <c:strCache>
                <c:ptCount val="1"/>
                <c:pt idx="0">
                  <c:v>Tasa de cambio representativa del mercado (TRM)</c:v>
                </c:pt>
              </c:strCache>
            </c:strRef>
          </c:tx>
          <c:spPr>
            <a:solidFill>
              <a:schemeClr val="accent1"/>
            </a:solidFill>
            <a:ln>
              <a:noFill/>
            </a:ln>
            <a:effectLst/>
          </c:spPr>
          <c:invertIfNegative val="0"/>
          <c:cat>
            <c:numRef>
              <c:f>'Tasa de Cambio'!$C$9:$C$9038</c:f>
              <c:numCache>
                <c:formatCode>General</c:formatCode>
                <c:ptCount val="9030"/>
                <c:pt idx="0">
                  <c:v>1991</c:v>
                </c:pt>
                <c:pt idx="1">
                  <c:v>1991</c:v>
                </c:pt>
                <c:pt idx="2">
                  <c:v>1991</c:v>
                </c:pt>
                <c:pt idx="3">
                  <c:v>1991</c:v>
                </c:pt>
                <c:pt idx="4">
                  <c:v>1991</c:v>
                </c:pt>
                <c:pt idx="5">
                  <c:v>1991</c:v>
                </c:pt>
                <c:pt idx="6">
                  <c:v>1991</c:v>
                </c:pt>
                <c:pt idx="7">
                  <c:v>1991</c:v>
                </c:pt>
                <c:pt idx="8">
                  <c:v>1991</c:v>
                </c:pt>
                <c:pt idx="9">
                  <c:v>1991</c:v>
                </c:pt>
                <c:pt idx="10">
                  <c:v>1991</c:v>
                </c:pt>
                <c:pt idx="11">
                  <c:v>1991</c:v>
                </c:pt>
                <c:pt idx="12">
                  <c:v>1991</c:v>
                </c:pt>
                <c:pt idx="13">
                  <c:v>1991</c:v>
                </c:pt>
                <c:pt idx="14">
                  <c:v>1991</c:v>
                </c:pt>
                <c:pt idx="15">
                  <c:v>1991</c:v>
                </c:pt>
                <c:pt idx="16">
                  <c:v>1991</c:v>
                </c:pt>
                <c:pt idx="17">
                  <c:v>1991</c:v>
                </c:pt>
                <c:pt idx="18">
                  <c:v>1991</c:v>
                </c:pt>
                <c:pt idx="19">
                  <c:v>1991</c:v>
                </c:pt>
                <c:pt idx="20">
                  <c:v>1991</c:v>
                </c:pt>
                <c:pt idx="21">
                  <c:v>1991</c:v>
                </c:pt>
                <c:pt idx="22">
                  <c:v>1991</c:v>
                </c:pt>
                <c:pt idx="23">
                  <c:v>1991</c:v>
                </c:pt>
                <c:pt idx="24">
                  <c:v>1991</c:v>
                </c:pt>
                <c:pt idx="25">
                  <c:v>1991</c:v>
                </c:pt>
                <c:pt idx="26">
                  <c:v>1991</c:v>
                </c:pt>
                <c:pt idx="27">
                  <c:v>1991</c:v>
                </c:pt>
                <c:pt idx="28">
                  <c:v>1991</c:v>
                </c:pt>
                <c:pt idx="29">
                  <c:v>1991</c:v>
                </c:pt>
                <c:pt idx="30">
                  <c:v>1991</c:v>
                </c:pt>
                <c:pt idx="31">
                  <c:v>1991</c:v>
                </c:pt>
                <c:pt idx="32">
                  <c:v>1991</c:v>
                </c:pt>
                <c:pt idx="33">
                  <c:v>1991</c:v>
                </c:pt>
                <c:pt idx="34">
                  <c:v>1991</c:v>
                </c:pt>
                <c:pt idx="35">
                  <c:v>1992</c:v>
                </c:pt>
                <c:pt idx="36">
                  <c:v>1992</c:v>
                </c:pt>
                <c:pt idx="37">
                  <c:v>1992</c:v>
                </c:pt>
                <c:pt idx="38">
                  <c:v>1992</c:v>
                </c:pt>
                <c:pt idx="39">
                  <c:v>1992</c:v>
                </c:pt>
                <c:pt idx="40">
                  <c:v>1992</c:v>
                </c:pt>
                <c:pt idx="41">
                  <c:v>1992</c:v>
                </c:pt>
                <c:pt idx="42">
                  <c:v>1992</c:v>
                </c:pt>
                <c:pt idx="43">
                  <c:v>1992</c:v>
                </c:pt>
                <c:pt idx="44">
                  <c:v>1992</c:v>
                </c:pt>
                <c:pt idx="45">
                  <c:v>1992</c:v>
                </c:pt>
                <c:pt idx="46">
                  <c:v>1992</c:v>
                </c:pt>
                <c:pt idx="47">
                  <c:v>1992</c:v>
                </c:pt>
                <c:pt idx="48">
                  <c:v>1992</c:v>
                </c:pt>
                <c:pt idx="49">
                  <c:v>1992</c:v>
                </c:pt>
                <c:pt idx="50">
                  <c:v>1992</c:v>
                </c:pt>
                <c:pt idx="51">
                  <c:v>1992</c:v>
                </c:pt>
                <c:pt idx="52">
                  <c:v>1992</c:v>
                </c:pt>
                <c:pt idx="53">
                  <c:v>1992</c:v>
                </c:pt>
                <c:pt idx="54">
                  <c:v>1992</c:v>
                </c:pt>
                <c:pt idx="55">
                  <c:v>1992</c:v>
                </c:pt>
                <c:pt idx="56">
                  <c:v>1992</c:v>
                </c:pt>
                <c:pt idx="57">
                  <c:v>1992</c:v>
                </c:pt>
                <c:pt idx="58">
                  <c:v>1992</c:v>
                </c:pt>
                <c:pt idx="59">
                  <c:v>1992</c:v>
                </c:pt>
                <c:pt idx="60">
                  <c:v>1992</c:v>
                </c:pt>
                <c:pt idx="61">
                  <c:v>1992</c:v>
                </c:pt>
                <c:pt idx="62">
                  <c:v>1992</c:v>
                </c:pt>
                <c:pt idx="63">
                  <c:v>1992</c:v>
                </c:pt>
                <c:pt idx="64">
                  <c:v>1992</c:v>
                </c:pt>
                <c:pt idx="65">
                  <c:v>1992</c:v>
                </c:pt>
                <c:pt idx="66">
                  <c:v>1992</c:v>
                </c:pt>
                <c:pt idx="67">
                  <c:v>1992</c:v>
                </c:pt>
                <c:pt idx="68">
                  <c:v>1992</c:v>
                </c:pt>
                <c:pt idx="69">
                  <c:v>1992</c:v>
                </c:pt>
                <c:pt idx="70">
                  <c:v>1992</c:v>
                </c:pt>
                <c:pt idx="71">
                  <c:v>1992</c:v>
                </c:pt>
                <c:pt idx="72">
                  <c:v>1992</c:v>
                </c:pt>
                <c:pt idx="73">
                  <c:v>1992</c:v>
                </c:pt>
                <c:pt idx="74">
                  <c:v>1992</c:v>
                </c:pt>
                <c:pt idx="75">
                  <c:v>1992</c:v>
                </c:pt>
                <c:pt idx="76">
                  <c:v>1992</c:v>
                </c:pt>
                <c:pt idx="77">
                  <c:v>1992</c:v>
                </c:pt>
                <c:pt idx="78">
                  <c:v>1992</c:v>
                </c:pt>
                <c:pt idx="79">
                  <c:v>1992</c:v>
                </c:pt>
                <c:pt idx="80">
                  <c:v>1992</c:v>
                </c:pt>
                <c:pt idx="81">
                  <c:v>1992</c:v>
                </c:pt>
                <c:pt idx="82">
                  <c:v>1992</c:v>
                </c:pt>
                <c:pt idx="83">
                  <c:v>1992</c:v>
                </c:pt>
                <c:pt idx="84">
                  <c:v>1992</c:v>
                </c:pt>
                <c:pt idx="85">
                  <c:v>1992</c:v>
                </c:pt>
                <c:pt idx="86">
                  <c:v>1992</c:v>
                </c:pt>
                <c:pt idx="87">
                  <c:v>1992</c:v>
                </c:pt>
                <c:pt idx="88">
                  <c:v>1992</c:v>
                </c:pt>
                <c:pt idx="89">
                  <c:v>1992</c:v>
                </c:pt>
                <c:pt idx="90">
                  <c:v>1992</c:v>
                </c:pt>
                <c:pt idx="91">
                  <c:v>1992</c:v>
                </c:pt>
                <c:pt idx="92">
                  <c:v>1992</c:v>
                </c:pt>
                <c:pt idx="93">
                  <c:v>1992</c:v>
                </c:pt>
                <c:pt idx="94">
                  <c:v>1992</c:v>
                </c:pt>
                <c:pt idx="95">
                  <c:v>1992</c:v>
                </c:pt>
                <c:pt idx="96">
                  <c:v>1992</c:v>
                </c:pt>
                <c:pt idx="97">
                  <c:v>1992</c:v>
                </c:pt>
                <c:pt idx="98">
                  <c:v>1992</c:v>
                </c:pt>
                <c:pt idx="99">
                  <c:v>1992</c:v>
                </c:pt>
                <c:pt idx="100">
                  <c:v>1992</c:v>
                </c:pt>
                <c:pt idx="101">
                  <c:v>1992</c:v>
                </c:pt>
                <c:pt idx="102">
                  <c:v>1992</c:v>
                </c:pt>
                <c:pt idx="103">
                  <c:v>1992</c:v>
                </c:pt>
                <c:pt idx="104">
                  <c:v>1992</c:v>
                </c:pt>
                <c:pt idx="105">
                  <c:v>1992</c:v>
                </c:pt>
                <c:pt idx="106">
                  <c:v>1992</c:v>
                </c:pt>
                <c:pt idx="107">
                  <c:v>1992</c:v>
                </c:pt>
                <c:pt idx="108">
                  <c:v>1992</c:v>
                </c:pt>
                <c:pt idx="109">
                  <c:v>1992</c:v>
                </c:pt>
                <c:pt idx="110">
                  <c:v>1992</c:v>
                </c:pt>
                <c:pt idx="111">
                  <c:v>1992</c:v>
                </c:pt>
                <c:pt idx="112">
                  <c:v>1992</c:v>
                </c:pt>
                <c:pt idx="113">
                  <c:v>1992</c:v>
                </c:pt>
                <c:pt idx="114">
                  <c:v>1992</c:v>
                </c:pt>
                <c:pt idx="115">
                  <c:v>1992</c:v>
                </c:pt>
                <c:pt idx="116">
                  <c:v>1992</c:v>
                </c:pt>
                <c:pt idx="117">
                  <c:v>1992</c:v>
                </c:pt>
                <c:pt idx="118">
                  <c:v>1992</c:v>
                </c:pt>
                <c:pt idx="119">
                  <c:v>1992</c:v>
                </c:pt>
                <c:pt idx="120">
                  <c:v>1992</c:v>
                </c:pt>
                <c:pt idx="121">
                  <c:v>1992</c:v>
                </c:pt>
                <c:pt idx="122">
                  <c:v>1992</c:v>
                </c:pt>
                <c:pt idx="123">
                  <c:v>1992</c:v>
                </c:pt>
                <c:pt idx="124">
                  <c:v>1992</c:v>
                </c:pt>
                <c:pt idx="125">
                  <c:v>1992</c:v>
                </c:pt>
                <c:pt idx="126">
                  <c:v>1992</c:v>
                </c:pt>
                <c:pt idx="127">
                  <c:v>1992</c:v>
                </c:pt>
                <c:pt idx="128">
                  <c:v>1992</c:v>
                </c:pt>
                <c:pt idx="129">
                  <c:v>1992</c:v>
                </c:pt>
                <c:pt idx="130">
                  <c:v>1992</c:v>
                </c:pt>
                <c:pt idx="131">
                  <c:v>1992</c:v>
                </c:pt>
                <c:pt idx="132">
                  <c:v>1992</c:v>
                </c:pt>
                <c:pt idx="133">
                  <c:v>1992</c:v>
                </c:pt>
                <c:pt idx="134">
                  <c:v>1992</c:v>
                </c:pt>
                <c:pt idx="135">
                  <c:v>1992</c:v>
                </c:pt>
                <c:pt idx="136">
                  <c:v>1992</c:v>
                </c:pt>
                <c:pt idx="137">
                  <c:v>1992</c:v>
                </c:pt>
                <c:pt idx="138">
                  <c:v>1992</c:v>
                </c:pt>
                <c:pt idx="139">
                  <c:v>1992</c:v>
                </c:pt>
                <c:pt idx="140">
                  <c:v>1992</c:v>
                </c:pt>
                <c:pt idx="141">
                  <c:v>1992</c:v>
                </c:pt>
                <c:pt idx="142">
                  <c:v>1992</c:v>
                </c:pt>
                <c:pt idx="143">
                  <c:v>1992</c:v>
                </c:pt>
                <c:pt idx="144">
                  <c:v>1992</c:v>
                </c:pt>
                <c:pt idx="145">
                  <c:v>1992</c:v>
                </c:pt>
                <c:pt idx="146">
                  <c:v>1992</c:v>
                </c:pt>
                <c:pt idx="147">
                  <c:v>1992</c:v>
                </c:pt>
                <c:pt idx="148">
                  <c:v>1992</c:v>
                </c:pt>
                <c:pt idx="149">
                  <c:v>1992</c:v>
                </c:pt>
                <c:pt idx="150">
                  <c:v>1992</c:v>
                </c:pt>
                <c:pt idx="151">
                  <c:v>1992</c:v>
                </c:pt>
                <c:pt idx="152">
                  <c:v>1992</c:v>
                </c:pt>
                <c:pt idx="153">
                  <c:v>1992</c:v>
                </c:pt>
                <c:pt idx="154">
                  <c:v>1992</c:v>
                </c:pt>
                <c:pt idx="155">
                  <c:v>1992</c:v>
                </c:pt>
                <c:pt idx="156">
                  <c:v>1992</c:v>
                </c:pt>
                <c:pt idx="157">
                  <c:v>1992</c:v>
                </c:pt>
                <c:pt idx="158">
                  <c:v>1992</c:v>
                </c:pt>
                <c:pt idx="159">
                  <c:v>1992</c:v>
                </c:pt>
                <c:pt idx="160">
                  <c:v>1992</c:v>
                </c:pt>
                <c:pt idx="161">
                  <c:v>1992</c:v>
                </c:pt>
                <c:pt idx="162">
                  <c:v>1992</c:v>
                </c:pt>
                <c:pt idx="163">
                  <c:v>1992</c:v>
                </c:pt>
                <c:pt idx="164">
                  <c:v>1992</c:v>
                </c:pt>
                <c:pt idx="165">
                  <c:v>1992</c:v>
                </c:pt>
                <c:pt idx="166">
                  <c:v>1992</c:v>
                </c:pt>
                <c:pt idx="167">
                  <c:v>1992</c:v>
                </c:pt>
                <c:pt idx="168">
                  <c:v>1992</c:v>
                </c:pt>
                <c:pt idx="169">
                  <c:v>1992</c:v>
                </c:pt>
                <c:pt idx="170">
                  <c:v>1992</c:v>
                </c:pt>
                <c:pt idx="171">
                  <c:v>1992</c:v>
                </c:pt>
                <c:pt idx="172">
                  <c:v>1992</c:v>
                </c:pt>
                <c:pt idx="173">
                  <c:v>1992</c:v>
                </c:pt>
                <c:pt idx="174">
                  <c:v>1992</c:v>
                </c:pt>
                <c:pt idx="175">
                  <c:v>1992</c:v>
                </c:pt>
                <c:pt idx="176">
                  <c:v>1992</c:v>
                </c:pt>
                <c:pt idx="177">
                  <c:v>1992</c:v>
                </c:pt>
                <c:pt idx="178">
                  <c:v>1992</c:v>
                </c:pt>
                <c:pt idx="179">
                  <c:v>1992</c:v>
                </c:pt>
                <c:pt idx="180">
                  <c:v>1992</c:v>
                </c:pt>
                <c:pt idx="181">
                  <c:v>1992</c:v>
                </c:pt>
                <c:pt idx="182">
                  <c:v>1992</c:v>
                </c:pt>
                <c:pt idx="183">
                  <c:v>1992</c:v>
                </c:pt>
                <c:pt idx="184">
                  <c:v>1992</c:v>
                </c:pt>
                <c:pt idx="185">
                  <c:v>1992</c:v>
                </c:pt>
                <c:pt idx="186">
                  <c:v>1992</c:v>
                </c:pt>
                <c:pt idx="187">
                  <c:v>1992</c:v>
                </c:pt>
                <c:pt idx="188">
                  <c:v>1992</c:v>
                </c:pt>
                <c:pt idx="189">
                  <c:v>1992</c:v>
                </c:pt>
                <c:pt idx="190">
                  <c:v>1992</c:v>
                </c:pt>
                <c:pt idx="191">
                  <c:v>1992</c:v>
                </c:pt>
                <c:pt idx="192">
                  <c:v>1992</c:v>
                </c:pt>
                <c:pt idx="193">
                  <c:v>1992</c:v>
                </c:pt>
                <c:pt idx="194">
                  <c:v>1992</c:v>
                </c:pt>
                <c:pt idx="195">
                  <c:v>1992</c:v>
                </c:pt>
                <c:pt idx="196">
                  <c:v>1992</c:v>
                </c:pt>
                <c:pt idx="197">
                  <c:v>1992</c:v>
                </c:pt>
                <c:pt idx="198">
                  <c:v>1992</c:v>
                </c:pt>
                <c:pt idx="199">
                  <c:v>1992</c:v>
                </c:pt>
                <c:pt idx="200">
                  <c:v>1992</c:v>
                </c:pt>
                <c:pt idx="201">
                  <c:v>1992</c:v>
                </c:pt>
                <c:pt idx="202">
                  <c:v>1992</c:v>
                </c:pt>
                <c:pt idx="203">
                  <c:v>1992</c:v>
                </c:pt>
                <c:pt idx="204">
                  <c:v>1992</c:v>
                </c:pt>
                <c:pt idx="205">
                  <c:v>1992</c:v>
                </c:pt>
                <c:pt idx="206">
                  <c:v>1992</c:v>
                </c:pt>
                <c:pt idx="207">
                  <c:v>1992</c:v>
                </c:pt>
                <c:pt idx="208">
                  <c:v>1992</c:v>
                </c:pt>
                <c:pt idx="209">
                  <c:v>1992</c:v>
                </c:pt>
                <c:pt idx="210">
                  <c:v>1992</c:v>
                </c:pt>
                <c:pt idx="211">
                  <c:v>1992</c:v>
                </c:pt>
                <c:pt idx="212">
                  <c:v>1992</c:v>
                </c:pt>
                <c:pt idx="213">
                  <c:v>1992</c:v>
                </c:pt>
                <c:pt idx="214">
                  <c:v>1992</c:v>
                </c:pt>
                <c:pt idx="215">
                  <c:v>1992</c:v>
                </c:pt>
                <c:pt idx="216">
                  <c:v>1992</c:v>
                </c:pt>
                <c:pt idx="217">
                  <c:v>1992</c:v>
                </c:pt>
                <c:pt idx="218">
                  <c:v>1992</c:v>
                </c:pt>
                <c:pt idx="219">
                  <c:v>1992</c:v>
                </c:pt>
                <c:pt idx="220">
                  <c:v>1992</c:v>
                </c:pt>
                <c:pt idx="221">
                  <c:v>1992</c:v>
                </c:pt>
                <c:pt idx="222">
                  <c:v>1992</c:v>
                </c:pt>
                <c:pt idx="223">
                  <c:v>1992</c:v>
                </c:pt>
                <c:pt idx="224">
                  <c:v>1992</c:v>
                </c:pt>
                <c:pt idx="225">
                  <c:v>1992</c:v>
                </c:pt>
                <c:pt idx="226">
                  <c:v>1992</c:v>
                </c:pt>
                <c:pt idx="227">
                  <c:v>1992</c:v>
                </c:pt>
                <c:pt idx="228">
                  <c:v>1992</c:v>
                </c:pt>
                <c:pt idx="229">
                  <c:v>1992</c:v>
                </c:pt>
                <c:pt idx="230">
                  <c:v>1992</c:v>
                </c:pt>
                <c:pt idx="231">
                  <c:v>1992</c:v>
                </c:pt>
                <c:pt idx="232">
                  <c:v>1992</c:v>
                </c:pt>
                <c:pt idx="233">
                  <c:v>1992</c:v>
                </c:pt>
                <c:pt idx="234">
                  <c:v>1992</c:v>
                </c:pt>
                <c:pt idx="235">
                  <c:v>1992</c:v>
                </c:pt>
                <c:pt idx="236">
                  <c:v>1992</c:v>
                </c:pt>
                <c:pt idx="237">
                  <c:v>1992</c:v>
                </c:pt>
                <c:pt idx="238">
                  <c:v>1992</c:v>
                </c:pt>
                <c:pt idx="239">
                  <c:v>1992</c:v>
                </c:pt>
                <c:pt idx="240">
                  <c:v>1992</c:v>
                </c:pt>
                <c:pt idx="241">
                  <c:v>1992</c:v>
                </c:pt>
                <c:pt idx="242">
                  <c:v>1992</c:v>
                </c:pt>
                <c:pt idx="243">
                  <c:v>1992</c:v>
                </c:pt>
                <c:pt idx="244">
                  <c:v>1992</c:v>
                </c:pt>
                <c:pt idx="245">
                  <c:v>1992</c:v>
                </c:pt>
                <c:pt idx="246">
                  <c:v>1992</c:v>
                </c:pt>
                <c:pt idx="247">
                  <c:v>1992</c:v>
                </c:pt>
                <c:pt idx="248">
                  <c:v>1992</c:v>
                </c:pt>
                <c:pt idx="249">
                  <c:v>1992</c:v>
                </c:pt>
                <c:pt idx="250">
                  <c:v>1992</c:v>
                </c:pt>
                <c:pt idx="251">
                  <c:v>1992</c:v>
                </c:pt>
                <c:pt idx="252">
                  <c:v>1992</c:v>
                </c:pt>
                <c:pt idx="253">
                  <c:v>1992</c:v>
                </c:pt>
                <c:pt idx="254">
                  <c:v>1992</c:v>
                </c:pt>
                <c:pt idx="255">
                  <c:v>1992</c:v>
                </c:pt>
                <c:pt idx="256">
                  <c:v>1992</c:v>
                </c:pt>
                <c:pt idx="257">
                  <c:v>1992</c:v>
                </c:pt>
                <c:pt idx="258">
                  <c:v>1992</c:v>
                </c:pt>
                <c:pt idx="259">
                  <c:v>1992</c:v>
                </c:pt>
                <c:pt idx="260">
                  <c:v>1992</c:v>
                </c:pt>
                <c:pt idx="261">
                  <c:v>1992</c:v>
                </c:pt>
                <c:pt idx="262">
                  <c:v>1992</c:v>
                </c:pt>
                <c:pt idx="263">
                  <c:v>1992</c:v>
                </c:pt>
                <c:pt idx="264">
                  <c:v>1992</c:v>
                </c:pt>
                <c:pt idx="265">
                  <c:v>1992</c:v>
                </c:pt>
                <c:pt idx="266">
                  <c:v>1992</c:v>
                </c:pt>
                <c:pt idx="267">
                  <c:v>1992</c:v>
                </c:pt>
                <c:pt idx="268">
                  <c:v>1992</c:v>
                </c:pt>
                <c:pt idx="269">
                  <c:v>1992</c:v>
                </c:pt>
                <c:pt idx="270">
                  <c:v>1992</c:v>
                </c:pt>
                <c:pt idx="271">
                  <c:v>1992</c:v>
                </c:pt>
                <c:pt idx="272">
                  <c:v>1992</c:v>
                </c:pt>
                <c:pt idx="273">
                  <c:v>1992</c:v>
                </c:pt>
                <c:pt idx="274">
                  <c:v>1992</c:v>
                </c:pt>
                <c:pt idx="275">
                  <c:v>1992</c:v>
                </c:pt>
                <c:pt idx="276">
                  <c:v>1992</c:v>
                </c:pt>
                <c:pt idx="277">
                  <c:v>1992</c:v>
                </c:pt>
                <c:pt idx="278">
                  <c:v>1992</c:v>
                </c:pt>
                <c:pt idx="279">
                  <c:v>1992</c:v>
                </c:pt>
                <c:pt idx="280">
                  <c:v>1992</c:v>
                </c:pt>
                <c:pt idx="281">
                  <c:v>1992</c:v>
                </c:pt>
                <c:pt idx="282">
                  <c:v>1992</c:v>
                </c:pt>
                <c:pt idx="283">
                  <c:v>1992</c:v>
                </c:pt>
                <c:pt idx="284">
                  <c:v>1992</c:v>
                </c:pt>
                <c:pt idx="285">
                  <c:v>1992</c:v>
                </c:pt>
                <c:pt idx="286">
                  <c:v>1992</c:v>
                </c:pt>
                <c:pt idx="287">
                  <c:v>1992</c:v>
                </c:pt>
                <c:pt idx="288">
                  <c:v>1992</c:v>
                </c:pt>
                <c:pt idx="289">
                  <c:v>1992</c:v>
                </c:pt>
                <c:pt idx="290">
                  <c:v>1992</c:v>
                </c:pt>
                <c:pt idx="291">
                  <c:v>1992</c:v>
                </c:pt>
                <c:pt idx="292">
                  <c:v>1992</c:v>
                </c:pt>
                <c:pt idx="293">
                  <c:v>1992</c:v>
                </c:pt>
                <c:pt idx="294">
                  <c:v>1992</c:v>
                </c:pt>
                <c:pt idx="295">
                  <c:v>1992</c:v>
                </c:pt>
                <c:pt idx="296">
                  <c:v>1992</c:v>
                </c:pt>
                <c:pt idx="297">
                  <c:v>1992</c:v>
                </c:pt>
                <c:pt idx="298">
                  <c:v>1992</c:v>
                </c:pt>
                <c:pt idx="299">
                  <c:v>1992</c:v>
                </c:pt>
                <c:pt idx="300">
                  <c:v>1992</c:v>
                </c:pt>
                <c:pt idx="301">
                  <c:v>1992</c:v>
                </c:pt>
                <c:pt idx="302">
                  <c:v>1992</c:v>
                </c:pt>
                <c:pt idx="303">
                  <c:v>1992</c:v>
                </c:pt>
                <c:pt idx="304">
                  <c:v>1992</c:v>
                </c:pt>
                <c:pt idx="305">
                  <c:v>1992</c:v>
                </c:pt>
                <c:pt idx="306">
                  <c:v>1992</c:v>
                </c:pt>
                <c:pt idx="307">
                  <c:v>1992</c:v>
                </c:pt>
                <c:pt idx="308">
                  <c:v>1992</c:v>
                </c:pt>
                <c:pt idx="309">
                  <c:v>1992</c:v>
                </c:pt>
                <c:pt idx="310">
                  <c:v>1992</c:v>
                </c:pt>
                <c:pt idx="311">
                  <c:v>1992</c:v>
                </c:pt>
                <c:pt idx="312">
                  <c:v>1992</c:v>
                </c:pt>
                <c:pt idx="313">
                  <c:v>1992</c:v>
                </c:pt>
                <c:pt idx="314">
                  <c:v>1992</c:v>
                </c:pt>
                <c:pt idx="315">
                  <c:v>1992</c:v>
                </c:pt>
                <c:pt idx="316">
                  <c:v>1992</c:v>
                </c:pt>
                <c:pt idx="317">
                  <c:v>1992</c:v>
                </c:pt>
                <c:pt idx="318">
                  <c:v>1992</c:v>
                </c:pt>
                <c:pt idx="319">
                  <c:v>1992</c:v>
                </c:pt>
                <c:pt idx="320">
                  <c:v>1992</c:v>
                </c:pt>
                <c:pt idx="321">
                  <c:v>1992</c:v>
                </c:pt>
                <c:pt idx="322">
                  <c:v>1992</c:v>
                </c:pt>
                <c:pt idx="323">
                  <c:v>1992</c:v>
                </c:pt>
                <c:pt idx="324">
                  <c:v>1992</c:v>
                </c:pt>
                <c:pt idx="325">
                  <c:v>1992</c:v>
                </c:pt>
                <c:pt idx="326">
                  <c:v>1992</c:v>
                </c:pt>
                <c:pt idx="327">
                  <c:v>1992</c:v>
                </c:pt>
                <c:pt idx="328">
                  <c:v>1992</c:v>
                </c:pt>
                <c:pt idx="329">
                  <c:v>1992</c:v>
                </c:pt>
                <c:pt idx="330">
                  <c:v>1992</c:v>
                </c:pt>
                <c:pt idx="331">
                  <c:v>1992</c:v>
                </c:pt>
                <c:pt idx="332">
                  <c:v>1992</c:v>
                </c:pt>
                <c:pt idx="333">
                  <c:v>1992</c:v>
                </c:pt>
                <c:pt idx="334">
                  <c:v>1992</c:v>
                </c:pt>
                <c:pt idx="335">
                  <c:v>1992</c:v>
                </c:pt>
                <c:pt idx="336">
                  <c:v>1992</c:v>
                </c:pt>
                <c:pt idx="337">
                  <c:v>1992</c:v>
                </c:pt>
                <c:pt idx="338">
                  <c:v>1992</c:v>
                </c:pt>
                <c:pt idx="339">
                  <c:v>1992</c:v>
                </c:pt>
                <c:pt idx="340">
                  <c:v>1992</c:v>
                </c:pt>
                <c:pt idx="341">
                  <c:v>1992</c:v>
                </c:pt>
                <c:pt idx="342">
                  <c:v>1992</c:v>
                </c:pt>
                <c:pt idx="343">
                  <c:v>1992</c:v>
                </c:pt>
                <c:pt idx="344">
                  <c:v>1992</c:v>
                </c:pt>
                <c:pt idx="345">
                  <c:v>1992</c:v>
                </c:pt>
                <c:pt idx="346">
                  <c:v>1992</c:v>
                </c:pt>
                <c:pt idx="347">
                  <c:v>1992</c:v>
                </c:pt>
                <c:pt idx="348">
                  <c:v>1992</c:v>
                </c:pt>
                <c:pt idx="349">
                  <c:v>1992</c:v>
                </c:pt>
                <c:pt idx="350">
                  <c:v>1992</c:v>
                </c:pt>
                <c:pt idx="351">
                  <c:v>1992</c:v>
                </c:pt>
                <c:pt idx="352">
                  <c:v>1992</c:v>
                </c:pt>
                <c:pt idx="353">
                  <c:v>1992</c:v>
                </c:pt>
                <c:pt idx="354">
                  <c:v>1992</c:v>
                </c:pt>
                <c:pt idx="355">
                  <c:v>1992</c:v>
                </c:pt>
                <c:pt idx="356">
                  <c:v>1992</c:v>
                </c:pt>
                <c:pt idx="357">
                  <c:v>1992</c:v>
                </c:pt>
                <c:pt idx="358">
                  <c:v>1992</c:v>
                </c:pt>
                <c:pt idx="359">
                  <c:v>1992</c:v>
                </c:pt>
                <c:pt idx="360">
                  <c:v>1992</c:v>
                </c:pt>
                <c:pt idx="361">
                  <c:v>1992</c:v>
                </c:pt>
                <c:pt idx="362">
                  <c:v>1992</c:v>
                </c:pt>
                <c:pt idx="363">
                  <c:v>1992</c:v>
                </c:pt>
                <c:pt idx="364">
                  <c:v>1992</c:v>
                </c:pt>
                <c:pt idx="365">
                  <c:v>1992</c:v>
                </c:pt>
                <c:pt idx="366">
                  <c:v>1992</c:v>
                </c:pt>
                <c:pt idx="367">
                  <c:v>1992</c:v>
                </c:pt>
                <c:pt idx="368">
                  <c:v>1992</c:v>
                </c:pt>
                <c:pt idx="369">
                  <c:v>1992</c:v>
                </c:pt>
                <c:pt idx="370">
                  <c:v>1992</c:v>
                </c:pt>
                <c:pt idx="371">
                  <c:v>1992</c:v>
                </c:pt>
                <c:pt idx="372">
                  <c:v>1992</c:v>
                </c:pt>
                <c:pt idx="373">
                  <c:v>1992</c:v>
                </c:pt>
                <c:pt idx="374">
                  <c:v>1992</c:v>
                </c:pt>
                <c:pt idx="375">
                  <c:v>1992</c:v>
                </c:pt>
                <c:pt idx="376">
                  <c:v>1992</c:v>
                </c:pt>
                <c:pt idx="377">
                  <c:v>1992</c:v>
                </c:pt>
                <c:pt idx="378">
                  <c:v>1992</c:v>
                </c:pt>
                <c:pt idx="379">
                  <c:v>1992</c:v>
                </c:pt>
                <c:pt idx="380">
                  <c:v>1992</c:v>
                </c:pt>
                <c:pt idx="381">
                  <c:v>1992</c:v>
                </c:pt>
                <c:pt idx="382">
                  <c:v>1992</c:v>
                </c:pt>
                <c:pt idx="383">
                  <c:v>1992</c:v>
                </c:pt>
                <c:pt idx="384">
                  <c:v>1992</c:v>
                </c:pt>
                <c:pt idx="385">
                  <c:v>1992</c:v>
                </c:pt>
                <c:pt idx="386">
                  <c:v>1992</c:v>
                </c:pt>
                <c:pt idx="387">
                  <c:v>1992</c:v>
                </c:pt>
                <c:pt idx="388">
                  <c:v>1992</c:v>
                </c:pt>
                <c:pt idx="389">
                  <c:v>1992</c:v>
                </c:pt>
                <c:pt idx="390">
                  <c:v>1992</c:v>
                </c:pt>
                <c:pt idx="391">
                  <c:v>1992</c:v>
                </c:pt>
                <c:pt idx="392">
                  <c:v>1992</c:v>
                </c:pt>
                <c:pt idx="393">
                  <c:v>1992</c:v>
                </c:pt>
                <c:pt idx="394">
                  <c:v>1992</c:v>
                </c:pt>
                <c:pt idx="395">
                  <c:v>1992</c:v>
                </c:pt>
                <c:pt idx="396">
                  <c:v>1992</c:v>
                </c:pt>
                <c:pt idx="397">
                  <c:v>1992</c:v>
                </c:pt>
                <c:pt idx="398">
                  <c:v>1992</c:v>
                </c:pt>
                <c:pt idx="399">
                  <c:v>1992</c:v>
                </c:pt>
                <c:pt idx="400">
                  <c:v>1992</c:v>
                </c:pt>
                <c:pt idx="401">
                  <c:v>1993</c:v>
                </c:pt>
                <c:pt idx="402">
                  <c:v>1993</c:v>
                </c:pt>
                <c:pt idx="403">
                  <c:v>1993</c:v>
                </c:pt>
                <c:pt idx="404">
                  <c:v>1993</c:v>
                </c:pt>
                <c:pt idx="405">
                  <c:v>1993</c:v>
                </c:pt>
                <c:pt idx="406">
                  <c:v>1993</c:v>
                </c:pt>
                <c:pt idx="407">
                  <c:v>1993</c:v>
                </c:pt>
                <c:pt idx="408">
                  <c:v>1993</c:v>
                </c:pt>
                <c:pt idx="409">
                  <c:v>1993</c:v>
                </c:pt>
                <c:pt idx="410">
                  <c:v>1993</c:v>
                </c:pt>
                <c:pt idx="411">
                  <c:v>1993</c:v>
                </c:pt>
                <c:pt idx="412">
                  <c:v>1993</c:v>
                </c:pt>
                <c:pt idx="413">
                  <c:v>1993</c:v>
                </c:pt>
                <c:pt idx="414">
                  <c:v>1993</c:v>
                </c:pt>
                <c:pt idx="415">
                  <c:v>1993</c:v>
                </c:pt>
                <c:pt idx="416">
                  <c:v>1993</c:v>
                </c:pt>
                <c:pt idx="417">
                  <c:v>1993</c:v>
                </c:pt>
                <c:pt idx="418">
                  <c:v>1993</c:v>
                </c:pt>
                <c:pt idx="419">
                  <c:v>1993</c:v>
                </c:pt>
                <c:pt idx="420">
                  <c:v>1993</c:v>
                </c:pt>
                <c:pt idx="421">
                  <c:v>1993</c:v>
                </c:pt>
                <c:pt idx="422">
                  <c:v>1993</c:v>
                </c:pt>
                <c:pt idx="423">
                  <c:v>1993</c:v>
                </c:pt>
                <c:pt idx="424">
                  <c:v>1993</c:v>
                </c:pt>
                <c:pt idx="425">
                  <c:v>1993</c:v>
                </c:pt>
                <c:pt idx="426">
                  <c:v>1993</c:v>
                </c:pt>
                <c:pt idx="427">
                  <c:v>1993</c:v>
                </c:pt>
                <c:pt idx="428">
                  <c:v>1993</c:v>
                </c:pt>
                <c:pt idx="429">
                  <c:v>1993</c:v>
                </c:pt>
                <c:pt idx="430">
                  <c:v>1993</c:v>
                </c:pt>
                <c:pt idx="431">
                  <c:v>1993</c:v>
                </c:pt>
                <c:pt idx="432">
                  <c:v>1993</c:v>
                </c:pt>
                <c:pt idx="433">
                  <c:v>1993</c:v>
                </c:pt>
                <c:pt idx="434">
                  <c:v>1993</c:v>
                </c:pt>
                <c:pt idx="435">
                  <c:v>1993</c:v>
                </c:pt>
                <c:pt idx="436">
                  <c:v>1993</c:v>
                </c:pt>
                <c:pt idx="437">
                  <c:v>1993</c:v>
                </c:pt>
                <c:pt idx="438">
                  <c:v>1993</c:v>
                </c:pt>
                <c:pt idx="439">
                  <c:v>1993</c:v>
                </c:pt>
                <c:pt idx="440">
                  <c:v>1993</c:v>
                </c:pt>
                <c:pt idx="441">
                  <c:v>1993</c:v>
                </c:pt>
                <c:pt idx="442">
                  <c:v>1993</c:v>
                </c:pt>
                <c:pt idx="443">
                  <c:v>1993</c:v>
                </c:pt>
                <c:pt idx="444">
                  <c:v>1993</c:v>
                </c:pt>
                <c:pt idx="445">
                  <c:v>1993</c:v>
                </c:pt>
                <c:pt idx="446">
                  <c:v>1993</c:v>
                </c:pt>
                <c:pt idx="447">
                  <c:v>1993</c:v>
                </c:pt>
                <c:pt idx="448">
                  <c:v>1993</c:v>
                </c:pt>
                <c:pt idx="449">
                  <c:v>1993</c:v>
                </c:pt>
                <c:pt idx="450">
                  <c:v>1993</c:v>
                </c:pt>
                <c:pt idx="451">
                  <c:v>1993</c:v>
                </c:pt>
                <c:pt idx="452">
                  <c:v>1993</c:v>
                </c:pt>
                <c:pt idx="453">
                  <c:v>1993</c:v>
                </c:pt>
                <c:pt idx="454">
                  <c:v>1993</c:v>
                </c:pt>
                <c:pt idx="455">
                  <c:v>1993</c:v>
                </c:pt>
                <c:pt idx="456">
                  <c:v>1993</c:v>
                </c:pt>
                <c:pt idx="457">
                  <c:v>1993</c:v>
                </c:pt>
                <c:pt idx="458">
                  <c:v>1993</c:v>
                </c:pt>
                <c:pt idx="459">
                  <c:v>1993</c:v>
                </c:pt>
                <c:pt idx="460">
                  <c:v>1993</c:v>
                </c:pt>
                <c:pt idx="461">
                  <c:v>1993</c:v>
                </c:pt>
                <c:pt idx="462">
                  <c:v>1993</c:v>
                </c:pt>
                <c:pt idx="463">
                  <c:v>1993</c:v>
                </c:pt>
                <c:pt idx="464">
                  <c:v>1993</c:v>
                </c:pt>
                <c:pt idx="465">
                  <c:v>1993</c:v>
                </c:pt>
                <c:pt idx="466">
                  <c:v>1993</c:v>
                </c:pt>
                <c:pt idx="467">
                  <c:v>1993</c:v>
                </c:pt>
                <c:pt idx="468">
                  <c:v>1993</c:v>
                </c:pt>
                <c:pt idx="469">
                  <c:v>1993</c:v>
                </c:pt>
                <c:pt idx="470">
                  <c:v>1993</c:v>
                </c:pt>
                <c:pt idx="471">
                  <c:v>1993</c:v>
                </c:pt>
                <c:pt idx="472">
                  <c:v>1993</c:v>
                </c:pt>
                <c:pt idx="473">
                  <c:v>1993</c:v>
                </c:pt>
                <c:pt idx="474">
                  <c:v>1993</c:v>
                </c:pt>
                <c:pt idx="475">
                  <c:v>1993</c:v>
                </c:pt>
                <c:pt idx="476">
                  <c:v>1993</c:v>
                </c:pt>
                <c:pt idx="477">
                  <c:v>1993</c:v>
                </c:pt>
                <c:pt idx="478">
                  <c:v>1993</c:v>
                </c:pt>
                <c:pt idx="479">
                  <c:v>1993</c:v>
                </c:pt>
                <c:pt idx="480">
                  <c:v>1993</c:v>
                </c:pt>
                <c:pt idx="481">
                  <c:v>1993</c:v>
                </c:pt>
                <c:pt idx="482">
                  <c:v>1993</c:v>
                </c:pt>
                <c:pt idx="483">
                  <c:v>1993</c:v>
                </c:pt>
                <c:pt idx="484">
                  <c:v>1993</c:v>
                </c:pt>
                <c:pt idx="485">
                  <c:v>1993</c:v>
                </c:pt>
                <c:pt idx="486">
                  <c:v>1993</c:v>
                </c:pt>
                <c:pt idx="487">
                  <c:v>1993</c:v>
                </c:pt>
                <c:pt idx="488">
                  <c:v>1993</c:v>
                </c:pt>
                <c:pt idx="489">
                  <c:v>1993</c:v>
                </c:pt>
                <c:pt idx="490">
                  <c:v>1993</c:v>
                </c:pt>
                <c:pt idx="491">
                  <c:v>1993</c:v>
                </c:pt>
                <c:pt idx="492">
                  <c:v>1993</c:v>
                </c:pt>
                <c:pt idx="493">
                  <c:v>1993</c:v>
                </c:pt>
                <c:pt idx="494">
                  <c:v>1993</c:v>
                </c:pt>
                <c:pt idx="495">
                  <c:v>1993</c:v>
                </c:pt>
                <c:pt idx="496">
                  <c:v>1993</c:v>
                </c:pt>
                <c:pt idx="497">
                  <c:v>1993</c:v>
                </c:pt>
                <c:pt idx="498">
                  <c:v>1993</c:v>
                </c:pt>
                <c:pt idx="499">
                  <c:v>1993</c:v>
                </c:pt>
                <c:pt idx="500">
                  <c:v>1993</c:v>
                </c:pt>
                <c:pt idx="501">
                  <c:v>1993</c:v>
                </c:pt>
                <c:pt idx="502">
                  <c:v>1993</c:v>
                </c:pt>
                <c:pt idx="503">
                  <c:v>1993</c:v>
                </c:pt>
                <c:pt idx="504">
                  <c:v>1993</c:v>
                </c:pt>
                <c:pt idx="505">
                  <c:v>1993</c:v>
                </c:pt>
                <c:pt idx="506">
                  <c:v>1993</c:v>
                </c:pt>
                <c:pt idx="507">
                  <c:v>1993</c:v>
                </c:pt>
                <c:pt idx="508">
                  <c:v>1993</c:v>
                </c:pt>
                <c:pt idx="509">
                  <c:v>1993</c:v>
                </c:pt>
                <c:pt idx="510">
                  <c:v>1993</c:v>
                </c:pt>
                <c:pt idx="511">
                  <c:v>1993</c:v>
                </c:pt>
                <c:pt idx="512">
                  <c:v>1993</c:v>
                </c:pt>
                <c:pt idx="513">
                  <c:v>1993</c:v>
                </c:pt>
                <c:pt idx="514">
                  <c:v>1993</c:v>
                </c:pt>
                <c:pt idx="515">
                  <c:v>1993</c:v>
                </c:pt>
                <c:pt idx="516">
                  <c:v>1993</c:v>
                </c:pt>
                <c:pt idx="517">
                  <c:v>1993</c:v>
                </c:pt>
                <c:pt idx="518">
                  <c:v>1993</c:v>
                </c:pt>
                <c:pt idx="519">
                  <c:v>1993</c:v>
                </c:pt>
                <c:pt idx="520">
                  <c:v>1993</c:v>
                </c:pt>
                <c:pt idx="521">
                  <c:v>1993</c:v>
                </c:pt>
                <c:pt idx="522">
                  <c:v>1993</c:v>
                </c:pt>
                <c:pt idx="523">
                  <c:v>1993</c:v>
                </c:pt>
                <c:pt idx="524">
                  <c:v>1993</c:v>
                </c:pt>
                <c:pt idx="525">
                  <c:v>1993</c:v>
                </c:pt>
                <c:pt idx="526">
                  <c:v>1993</c:v>
                </c:pt>
                <c:pt idx="527">
                  <c:v>1993</c:v>
                </c:pt>
                <c:pt idx="528">
                  <c:v>1993</c:v>
                </c:pt>
                <c:pt idx="529">
                  <c:v>1993</c:v>
                </c:pt>
                <c:pt idx="530">
                  <c:v>1993</c:v>
                </c:pt>
                <c:pt idx="531">
                  <c:v>1993</c:v>
                </c:pt>
                <c:pt idx="532">
                  <c:v>1993</c:v>
                </c:pt>
                <c:pt idx="533">
                  <c:v>1993</c:v>
                </c:pt>
                <c:pt idx="534">
                  <c:v>1993</c:v>
                </c:pt>
                <c:pt idx="535">
                  <c:v>1993</c:v>
                </c:pt>
                <c:pt idx="536">
                  <c:v>1993</c:v>
                </c:pt>
                <c:pt idx="537">
                  <c:v>1993</c:v>
                </c:pt>
                <c:pt idx="538">
                  <c:v>1993</c:v>
                </c:pt>
                <c:pt idx="539">
                  <c:v>1993</c:v>
                </c:pt>
                <c:pt idx="540">
                  <c:v>1993</c:v>
                </c:pt>
                <c:pt idx="541">
                  <c:v>1993</c:v>
                </c:pt>
                <c:pt idx="542">
                  <c:v>1993</c:v>
                </c:pt>
                <c:pt idx="543">
                  <c:v>1993</c:v>
                </c:pt>
                <c:pt idx="544">
                  <c:v>1993</c:v>
                </c:pt>
                <c:pt idx="545">
                  <c:v>1993</c:v>
                </c:pt>
                <c:pt idx="546">
                  <c:v>1993</c:v>
                </c:pt>
                <c:pt idx="547">
                  <c:v>1993</c:v>
                </c:pt>
                <c:pt idx="548">
                  <c:v>1993</c:v>
                </c:pt>
                <c:pt idx="549">
                  <c:v>1993</c:v>
                </c:pt>
                <c:pt idx="550">
                  <c:v>1993</c:v>
                </c:pt>
                <c:pt idx="551">
                  <c:v>1993</c:v>
                </c:pt>
                <c:pt idx="552">
                  <c:v>1993</c:v>
                </c:pt>
                <c:pt idx="553">
                  <c:v>1993</c:v>
                </c:pt>
                <c:pt idx="554">
                  <c:v>1993</c:v>
                </c:pt>
                <c:pt idx="555">
                  <c:v>1993</c:v>
                </c:pt>
                <c:pt idx="556">
                  <c:v>1993</c:v>
                </c:pt>
                <c:pt idx="557">
                  <c:v>1993</c:v>
                </c:pt>
                <c:pt idx="558">
                  <c:v>1993</c:v>
                </c:pt>
                <c:pt idx="559">
                  <c:v>1993</c:v>
                </c:pt>
                <c:pt idx="560">
                  <c:v>1993</c:v>
                </c:pt>
                <c:pt idx="561">
                  <c:v>1993</c:v>
                </c:pt>
                <c:pt idx="562">
                  <c:v>1993</c:v>
                </c:pt>
                <c:pt idx="563">
                  <c:v>1993</c:v>
                </c:pt>
                <c:pt idx="564">
                  <c:v>1993</c:v>
                </c:pt>
                <c:pt idx="565">
                  <c:v>1993</c:v>
                </c:pt>
                <c:pt idx="566">
                  <c:v>1993</c:v>
                </c:pt>
                <c:pt idx="567">
                  <c:v>1993</c:v>
                </c:pt>
                <c:pt idx="568">
                  <c:v>1993</c:v>
                </c:pt>
                <c:pt idx="569">
                  <c:v>1993</c:v>
                </c:pt>
                <c:pt idx="570">
                  <c:v>1993</c:v>
                </c:pt>
                <c:pt idx="571">
                  <c:v>1993</c:v>
                </c:pt>
                <c:pt idx="572">
                  <c:v>1993</c:v>
                </c:pt>
                <c:pt idx="573">
                  <c:v>1993</c:v>
                </c:pt>
                <c:pt idx="574">
                  <c:v>1993</c:v>
                </c:pt>
                <c:pt idx="575">
                  <c:v>1993</c:v>
                </c:pt>
                <c:pt idx="576">
                  <c:v>1993</c:v>
                </c:pt>
                <c:pt idx="577">
                  <c:v>1993</c:v>
                </c:pt>
                <c:pt idx="578">
                  <c:v>1993</c:v>
                </c:pt>
                <c:pt idx="579">
                  <c:v>1993</c:v>
                </c:pt>
                <c:pt idx="580">
                  <c:v>1993</c:v>
                </c:pt>
                <c:pt idx="581">
                  <c:v>1993</c:v>
                </c:pt>
                <c:pt idx="582">
                  <c:v>1993</c:v>
                </c:pt>
                <c:pt idx="583">
                  <c:v>1993</c:v>
                </c:pt>
                <c:pt idx="584">
                  <c:v>1993</c:v>
                </c:pt>
                <c:pt idx="585">
                  <c:v>1993</c:v>
                </c:pt>
                <c:pt idx="586">
                  <c:v>1993</c:v>
                </c:pt>
                <c:pt idx="587">
                  <c:v>1993</c:v>
                </c:pt>
                <c:pt idx="588">
                  <c:v>1993</c:v>
                </c:pt>
                <c:pt idx="589">
                  <c:v>1993</c:v>
                </c:pt>
                <c:pt idx="590">
                  <c:v>1993</c:v>
                </c:pt>
                <c:pt idx="591">
                  <c:v>1993</c:v>
                </c:pt>
                <c:pt idx="592">
                  <c:v>1993</c:v>
                </c:pt>
                <c:pt idx="593">
                  <c:v>1993</c:v>
                </c:pt>
                <c:pt idx="594">
                  <c:v>1993</c:v>
                </c:pt>
                <c:pt idx="595">
                  <c:v>1993</c:v>
                </c:pt>
                <c:pt idx="596">
                  <c:v>1993</c:v>
                </c:pt>
                <c:pt idx="597">
                  <c:v>1993</c:v>
                </c:pt>
                <c:pt idx="598">
                  <c:v>1993</c:v>
                </c:pt>
                <c:pt idx="599">
                  <c:v>1993</c:v>
                </c:pt>
                <c:pt idx="600">
                  <c:v>1993</c:v>
                </c:pt>
                <c:pt idx="601">
                  <c:v>1993</c:v>
                </c:pt>
                <c:pt idx="602">
                  <c:v>1993</c:v>
                </c:pt>
                <c:pt idx="603">
                  <c:v>1993</c:v>
                </c:pt>
                <c:pt idx="604">
                  <c:v>1993</c:v>
                </c:pt>
                <c:pt idx="605">
                  <c:v>1993</c:v>
                </c:pt>
                <c:pt idx="606">
                  <c:v>1993</c:v>
                </c:pt>
                <c:pt idx="607">
                  <c:v>1993</c:v>
                </c:pt>
                <c:pt idx="608">
                  <c:v>1993</c:v>
                </c:pt>
                <c:pt idx="609">
                  <c:v>1993</c:v>
                </c:pt>
                <c:pt idx="610">
                  <c:v>1993</c:v>
                </c:pt>
                <c:pt idx="611">
                  <c:v>1993</c:v>
                </c:pt>
                <c:pt idx="612">
                  <c:v>1993</c:v>
                </c:pt>
                <c:pt idx="613">
                  <c:v>1993</c:v>
                </c:pt>
                <c:pt idx="614">
                  <c:v>1993</c:v>
                </c:pt>
                <c:pt idx="615">
                  <c:v>1993</c:v>
                </c:pt>
                <c:pt idx="616">
                  <c:v>1993</c:v>
                </c:pt>
                <c:pt idx="617">
                  <c:v>1993</c:v>
                </c:pt>
                <c:pt idx="618">
                  <c:v>1993</c:v>
                </c:pt>
                <c:pt idx="619">
                  <c:v>1993</c:v>
                </c:pt>
                <c:pt idx="620">
                  <c:v>1993</c:v>
                </c:pt>
                <c:pt idx="621">
                  <c:v>1993</c:v>
                </c:pt>
                <c:pt idx="622">
                  <c:v>1993</c:v>
                </c:pt>
                <c:pt idx="623">
                  <c:v>1993</c:v>
                </c:pt>
                <c:pt idx="624">
                  <c:v>1993</c:v>
                </c:pt>
                <c:pt idx="625">
                  <c:v>1993</c:v>
                </c:pt>
                <c:pt idx="626">
                  <c:v>1993</c:v>
                </c:pt>
                <c:pt idx="627">
                  <c:v>1993</c:v>
                </c:pt>
                <c:pt idx="628">
                  <c:v>1993</c:v>
                </c:pt>
                <c:pt idx="629">
                  <c:v>1993</c:v>
                </c:pt>
                <c:pt idx="630">
                  <c:v>1993</c:v>
                </c:pt>
                <c:pt idx="631">
                  <c:v>1993</c:v>
                </c:pt>
                <c:pt idx="632">
                  <c:v>1993</c:v>
                </c:pt>
                <c:pt idx="633">
                  <c:v>1993</c:v>
                </c:pt>
                <c:pt idx="634">
                  <c:v>1993</c:v>
                </c:pt>
                <c:pt idx="635">
                  <c:v>1993</c:v>
                </c:pt>
                <c:pt idx="636">
                  <c:v>1993</c:v>
                </c:pt>
                <c:pt idx="637">
                  <c:v>1993</c:v>
                </c:pt>
                <c:pt idx="638">
                  <c:v>1993</c:v>
                </c:pt>
                <c:pt idx="639">
                  <c:v>1993</c:v>
                </c:pt>
                <c:pt idx="640">
                  <c:v>1993</c:v>
                </c:pt>
                <c:pt idx="641">
                  <c:v>1993</c:v>
                </c:pt>
                <c:pt idx="642">
                  <c:v>1993</c:v>
                </c:pt>
                <c:pt idx="643">
                  <c:v>1993</c:v>
                </c:pt>
                <c:pt idx="644">
                  <c:v>1993</c:v>
                </c:pt>
                <c:pt idx="645">
                  <c:v>1993</c:v>
                </c:pt>
                <c:pt idx="646">
                  <c:v>1993</c:v>
                </c:pt>
                <c:pt idx="647">
                  <c:v>1993</c:v>
                </c:pt>
                <c:pt idx="648">
                  <c:v>1993</c:v>
                </c:pt>
                <c:pt idx="649">
                  <c:v>1993</c:v>
                </c:pt>
                <c:pt idx="650">
                  <c:v>1993</c:v>
                </c:pt>
                <c:pt idx="651">
                  <c:v>1993</c:v>
                </c:pt>
                <c:pt idx="652">
                  <c:v>1993</c:v>
                </c:pt>
                <c:pt idx="653">
                  <c:v>1993</c:v>
                </c:pt>
                <c:pt idx="654">
                  <c:v>1993</c:v>
                </c:pt>
                <c:pt idx="655">
                  <c:v>1993</c:v>
                </c:pt>
                <c:pt idx="656">
                  <c:v>1993</c:v>
                </c:pt>
                <c:pt idx="657">
                  <c:v>1993</c:v>
                </c:pt>
                <c:pt idx="658">
                  <c:v>1993</c:v>
                </c:pt>
                <c:pt idx="659">
                  <c:v>1993</c:v>
                </c:pt>
                <c:pt idx="660">
                  <c:v>1993</c:v>
                </c:pt>
                <c:pt idx="661">
                  <c:v>1993</c:v>
                </c:pt>
                <c:pt idx="662">
                  <c:v>1993</c:v>
                </c:pt>
                <c:pt idx="663">
                  <c:v>1993</c:v>
                </c:pt>
                <c:pt idx="664">
                  <c:v>1993</c:v>
                </c:pt>
                <c:pt idx="665">
                  <c:v>1993</c:v>
                </c:pt>
                <c:pt idx="666">
                  <c:v>1993</c:v>
                </c:pt>
                <c:pt idx="667">
                  <c:v>1993</c:v>
                </c:pt>
                <c:pt idx="668">
                  <c:v>1993</c:v>
                </c:pt>
                <c:pt idx="669">
                  <c:v>1993</c:v>
                </c:pt>
                <c:pt idx="670">
                  <c:v>1993</c:v>
                </c:pt>
                <c:pt idx="671">
                  <c:v>1993</c:v>
                </c:pt>
                <c:pt idx="672">
                  <c:v>1993</c:v>
                </c:pt>
                <c:pt idx="673">
                  <c:v>1993</c:v>
                </c:pt>
                <c:pt idx="674">
                  <c:v>1993</c:v>
                </c:pt>
                <c:pt idx="675">
                  <c:v>1993</c:v>
                </c:pt>
                <c:pt idx="676">
                  <c:v>1993</c:v>
                </c:pt>
                <c:pt idx="677">
                  <c:v>1993</c:v>
                </c:pt>
                <c:pt idx="678">
                  <c:v>1993</c:v>
                </c:pt>
                <c:pt idx="679">
                  <c:v>1993</c:v>
                </c:pt>
                <c:pt idx="680">
                  <c:v>1993</c:v>
                </c:pt>
                <c:pt idx="681">
                  <c:v>1993</c:v>
                </c:pt>
                <c:pt idx="682">
                  <c:v>1993</c:v>
                </c:pt>
                <c:pt idx="683">
                  <c:v>1993</c:v>
                </c:pt>
                <c:pt idx="684">
                  <c:v>1993</c:v>
                </c:pt>
                <c:pt idx="685">
                  <c:v>1993</c:v>
                </c:pt>
                <c:pt idx="686">
                  <c:v>1993</c:v>
                </c:pt>
                <c:pt idx="687">
                  <c:v>1993</c:v>
                </c:pt>
                <c:pt idx="688">
                  <c:v>1993</c:v>
                </c:pt>
                <c:pt idx="689">
                  <c:v>1993</c:v>
                </c:pt>
                <c:pt idx="690">
                  <c:v>1993</c:v>
                </c:pt>
                <c:pt idx="691">
                  <c:v>1993</c:v>
                </c:pt>
                <c:pt idx="692">
                  <c:v>1993</c:v>
                </c:pt>
                <c:pt idx="693">
                  <c:v>1993</c:v>
                </c:pt>
                <c:pt idx="694">
                  <c:v>1993</c:v>
                </c:pt>
                <c:pt idx="695">
                  <c:v>1993</c:v>
                </c:pt>
                <c:pt idx="696">
                  <c:v>1993</c:v>
                </c:pt>
                <c:pt idx="697">
                  <c:v>1993</c:v>
                </c:pt>
                <c:pt idx="698">
                  <c:v>1993</c:v>
                </c:pt>
                <c:pt idx="699">
                  <c:v>1993</c:v>
                </c:pt>
                <c:pt idx="700">
                  <c:v>1993</c:v>
                </c:pt>
                <c:pt idx="701">
                  <c:v>1993</c:v>
                </c:pt>
                <c:pt idx="702">
                  <c:v>1993</c:v>
                </c:pt>
                <c:pt idx="703">
                  <c:v>1993</c:v>
                </c:pt>
                <c:pt idx="704">
                  <c:v>1993</c:v>
                </c:pt>
                <c:pt idx="705">
                  <c:v>1993</c:v>
                </c:pt>
                <c:pt idx="706">
                  <c:v>1993</c:v>
                </c:pt>
                <c:pt idx="707">
                  <c:v>1993</c:v>
                </c:pt>
                <c:pt idx="708">
                  <c:v>1993</c:v>
                </c:pt>
                <c:pt idx="709">
                  <c:v>1993</c:v>
                </c:pt>
                <c:pt idx="710">
                  <c:v>1993</c:v>
                </c:pt>
                <c:pt idx="711">
                  <c:v>1993</c:v>
                </c:pt>
                <c:pt idx="712">
                  <c:v>1993</c:v>
                </c:pt>
                <c:pt idx="713">
                  <c:v>1993</c:v>
                </c:pt>
                <c:pt idx="714">
                  <c:v>1993</c:v>
                </c:pt>
                <c:pt idx="715">
                  <c:v>1993</c:v>
                </c:pt>
                <c:pt idx="716">
                  <c:v>1993</c:v>
                </c:pt>
                <c:pt idx="717">
                  <c:v>1993</c:v>
                </c:pt>
                <c:pt idx="718">
                  <c:v>1993</c:v>
                </c:pt>
                <c:pt idx="719">
                  <c:v>1993</c:v>
                </c:pt>
                <c:pt idx="720">
                  <c:v>1993</c:v>
                </c:pt>
                <c:pt idx="721">
                  <c:v>1993</c:v>
                </c:pt>
                <c:pt idx="722">
                  <c:v>1993</c:v>
                </c:pt>
                <c:pt idx="723">
                  <c:v>1993</c:v>
                </c:pt>
                <c:pt idx="724">
                  <c:v>1993</c:v>
                </c:pt>
                <c:pt idx="725">
                  <c:v>1993</c:v>
                </c:pt>
                <c:pt idx="726">
                  <c:v>1993</c:v>
                </c:pt>
                <c:pt idx="727">
                  <c:v>1993</c:v>
                </c:pt>
                <c:pt idx="728">
                  <c:v>1993</c:v>
                </c:pt>
                <c:pt idx="729">
                  <c:v>1993</c:v>
                </c:pt>
                <c:pt idx="730">
                  <c:v>1993</c:v>
                </c:pt>
                <c:pt idx="731">
                  <c:v>1993</c:v>
                </c:pt>
                <c:pt idx="732">
                  <c:v>1993</c:v>
                </c:pt>
                <c:pt idx="733">
                  <c:v>1993</c:v>
                </c:pt>
                <c:pt idx="734">
                  <c:v>1993</c:v>
                </c:pt>
                <c:pt idx="735">
                  <c:v>1993</c:v>
                </c:pt>
                <c:pt idx="736">
                  <c:v>1993</c:v>
                </c:pt>
                <c:pt idx="737">
                  <c:v>1993</c:v>
                </c:pt>
                <c:pt idx="738">
                  <c:v>1993</c:v>
                </c:pt>
                <c:pt idx="739">
                  <c:v>1993</c:v>
                </c:pt>
                <c:pt idx="740">
                  <c:v>1993</c:v>
                </c:pt>
                <c:pt idx="741">
                  <c:v>1993</c:v>
                </c:pt>
                <c:pt idx="742">
                  <c:v>1993</c:v>
                </c:pt>
                <c:pt idx="743">
                  <c:v>1993</c:v>
                </c:pt>
                <c:pt idx="744">
                  <c:v>1993</c:v>
                </c:pt>
                <c:pt idx="745">
                  <c:v>1993</c:v>
                </c:pt>
                <c:pt idx="746">
                  <c:v>1993</c:v>
                </c:pt>
                <c:pt idx="747">
                  <c:v>1993</c:v>
                </c:pt>
                <c:pt idx="748">
                  <c:v>1993</c:v>
                </c:pt>
                <c:pt idx="749">
                  <c:v>1993</c:v>
                </c:pt>
                <c:pt idx="750">
                  <c:v>1993</c:v>
                </c:pt>
                <c:pt idx="751">
                  <c:v>1993</c:v>
                </c:pt>
                <c:pt idx="752">
                  <c:v>1993</c:v>
                </c:pt>
                <c:pt idx="753">
                  <c:v>1993</c:v>
                </c:pt>
                <c:pt idx="754">
                  <c:v>1993</c:v>
                </c:pt>
                <c:pt idx="755">
                  <c:v>1993</c:v>
                </c:pt>
                <c:pt idx="756">
                  <c:v>1993</c:v>
                </c:pt>
                <c:pt idx="757">
                  <c:v>1993</c:v>
                </c:pt>
                <c:pt idx="758">
                  <c:v>1993</c:v>
                </c:pt>
                <c:pt idx="759">
                  <c:v>1993</c:v>
                </c:pt>
                <c:pt idx="760">
                  <c:v>1993</c:v>
                </c:pt>
                <c:pt idx="761">
                  <c:v>1993</c:v>
                </c:pt>
                <c:pt idx="762">
                  <c:v>1993</c:v>
                </c:pt>
                <c:pt idx="763">
                  <c:v>1993</c:v>
                </c:pt>
                <c:pt idx="764">
                  <c:v>1993</c:v>
                </c:pt>
                <c:pt idx="765">
                  <c:v>1993</c:v>
                </c:pt>
                <c:pt idx="766">
                  <c:v>1994</c:v>
                </c:pt>
                <c:pt idx="767">
                  <c:v>1994</c:v>
                </c:pt>
                <c:pt idx="768">
                  <c:v>1994</c:v>
                </c:pt>
                <c:pt idx="769">
                  <c:v>1994</c:v>
                </c:pt>
                <c:pt idx="770">
                  <c:v>1994</c:v>
                </c:pt>
                <c:pt idx="771">
                  <c:v>1994</c:v>
                </c:pt>
                <c:pt idx="772">
                  <c:v>1994</c:v>
                </c:pt>
                <c:pt idx="773">
                  <c:v>1994</c:v>
                </c:pt>
                <c:pt idx="774">
                  <c:v>1994</c:v>
                </c:pt>
                <c:pt idx="775">
                  <c:v>1994</c:v>
                </c:pt>
                <c:pt idx="776">
                  <c:v>1994</c:v>
                </c:pt>
                <c:pt idx="777">
                  <c:v>1994</c:v>
                </c:pt>
                <c:pt idx="778">
                  <c:v>1994</c:v>
                </c:pt>
                <c:pt idx="779">
                  <c:v>1994</c:v>
                </c:pt>
                <c:pt idx="780">
                  <c:v>1994</c:v>
                </c:pt>
                <c:pt idx="781">
                  <c:v>1994</c:v>
                </c:pt>
                <c:pt idx="782">
                  <c:v>1994</c:v>
                </c:pt>
                <c:pt idx="783">
                  <c:v>1994</c:v>
                </c:pt>
                <c:pt idx="784">
                  <c:v>1994</c:v>
                </c:pt>
                <c:pt idx="785">
                  <c:v>1994</c:v>
                </c:pt>
                <c:pt idx="786">
                  <c:v>1994</c:v>
                </c:pt>
                <c:pt idx="787">
                  <c:v>1994</c:v>
                </c:pt>
                <c:pt idx="788">
                  <c:v>1994</c:v>
                </c:pt>
                <c:pt idx="789">
                  <c:v>1994</c:v>
                </c:pt>
                <c:pt idx="790">
                  <c:v>1994</c:v>
                </c:pt>
                <c:pt idx="791">
                  <c:v>1994</c:v>
                </c:pt>
                <c:pt idx="792">
                  <c:v>1994</c:v>
                </c:pt>
                <c:pt idx="793">
                  <c:v>1994</c:v>
                </c:pt>
                <c:pt idx="794">
                  <c:v>1994</c:v>
                </c:pt>
                <c:pt idx="795">
                  <c:v>1994</c:v>
                </c:pt>
                <c:pt idx="796">
                  <c:v>1994</c:v>
                </c:pt>
                <c:pt idx="797">
                  <c:v>1994</c:v>
                </c:pt>
                <c:pt idx="798">
                  <c:v>1994</c:v>
                </c:pt>
                <c:pt idx="799">
                  <c:v>1994</c:v>
                </c:pt>
                <c:pt idx="800">
                  <c:v>1994</c:v>
                </c:pt>
                <c:pt idx="801">
                  <c:v>1994</c:v>
                </c:pt>
                <c:pt idx="802">
                  <c:v>1994</c:v>
                </c:pt>
                <c:pt idx="803">
                  <c:v>1994</c:v>
                </c:pt>
                <c:pt idx="804">
                  <c:v>1994</c:v>
                </c:pt>
                <c:pt idx="805">
                  <c:v>1994</c:v>
                </c:pt>
                <c:pt idx="806">
                  <c:v>1994</c:v>
                </c:pt>
                <c:pt idx="807">
                  <c:v>1994</c:v>
                </c:pt>
                <c:pt idx="808">
                  <c:v>1994</c:v>
                </c:pt>
                <c:pt idx="809">
                  <c:v>1994</c:v>
                </c:pt>
                <c:pt idx="810">
                  <c:v>1994</c:v>
                </c:pt>
                <c:pt idx="811">
                  <c:v>1994</c:v>
                </c:pt>
                <c:pt idx="812">
                  <c:v>1994</c:v>
                </c:pt>
                <c:pt idx="813">
                  <c:v>1994</c:v>
                </c:pt>
                <c:pt idx="814">
                  <c:v>1994</c:v>
                </c:pt>
                <c:pt idx="815">
                  <c:v>1994</c:v>
                </c:pt>
                <c:pt idx="816">
                  <c:v>1994</c:v>
                </c:pt>
                <c:pt idx="817">
                  <c:v>1994</c:v>
                </c:pt>
                <c:pt idx="818">
                  <c:v>1994</c:v>
                </c:pt>
                <c:pt idx="819">
                  <c:v>1994</c:v>
                </c:pt>
                <c:pt idx="820">
                  <c:v>1994</c:v>
                </c:pt>
                <c:pt idx="821">
                  <c:v>1994</c:v>
                </c:pt>
                <c:pt idx="822">
                  <c:v>1994</c:v>
                </c:pt>
                <c:pt idx="823">
                  <c:v>1994</c:v>
                </c:pt>
                <c:pt idx="824">
                  <c:v>1994</c:v>
                </c:pt>
                <c:pt idx="825">
                  <c:v>1994</c:v>
                </c:pt>
                <c:pt idx="826">
                  <c:v>1994</c:v>
                </c:pt>
                <c:pt idx="827">
                  <c:v>1994</c:v>
                </c:pt>
                <c:pt idx="828">
                  <c:v>1994</c:v>
                </c:pt>
                <c:pt idx="829">
                  <c:v>1994</c:v>
                </c:pt>
                <c:pt idx="830">
                  <c:v>1994</c:v>
                </c:pt>
                <c:pt idx="831">
                  <c:v>1994</c:v>
                </c:pt>
                <c:pt idx="832">
                  <c:v>1994</c:v>
                </c:pt>
                <c:pt idx="833">
                  <c:v>1994</c:v>
                </c:pt>
                <c:pt idx="834">
                  <c:v>1994</c:v>
                </c:pt>
                <c:pt idx="835">
                  <c:v>1994</c:v>
                </c:pt>
                <c:pt idx="836">
                  <c:v>1994</c:v>
                </c:pt>
                <c:pt idx="837">
                  <c:v>1994</c:v>
                </c:pt>
                <c:pt idx="838">
                  <c:v>1994</c:v>
                </c:pt>
                <c:pt idx="839">
                  <c:v>1994</c:v>
                </c:pt>
                <c:pt idx="840">
                  <c:v>1994</c:v>
                </c:pt>
                <c:pt idx="841">
                  <c:v>1994</c:v>
                </c:pt>
                <c:pt idx="842">
                  <c:v>1994</c:v>
                </c:pt>
                <c:pt idx="843">
                  <c:v>1994</c:v>
                </c:pt>
                <c:pt idx="844">
                  <c:v>1994</c:v>
                </c:pt>
                <c:pt idx="845">
                  <c:v>1994</c:v>
                </c:pt>
                <c:pt idx="846">
                  <c:v>1994</c:v>
                </c:pt>
                <c:pt idx="847">
                  <c:v>1994</c:v>
                </c:pt>
                <c:pt idx="848">
                  <c:v>1994</c:v>
                </c:pt>
                <c:pt idx="849">
                  <c:v>1994</c:v>
                </c:pt>
                <c:pt idx="850">
                  <c:v>1994</c:v>
                </c:pt>
                <c:pt idx="851">
                  <c:v>1994</c:v>
                </c:pt>
                <c:pt idx="852">
                  <c:v>1994</c:v>
                </c:pt>
                <c:pt idx="853">
                  <c:v>1994</c:v>
                </c:pt>
                <c:pt idx="854">
                  <c:v>1994</c:v>
                </c:pt>
                <c:pt idx="855">
                  <c:v>1994</c:v>
                </c:pt>
                <c:pt idx="856">
                  <c:v>1994</c:v>
                </c:pt>
                <c:pt idx="857">
                  <c:v>1994</c:v>
                </c:pt>
                <c:pt idx="858">
                  <c:v>1994</c:v>
                </c:pt>
                <c:pt idx="859">
                  <c:v>1994</c:v>
                </c:pt>
                <c:pt idx="860">
                  <c:v>1994</c:v>
                </c:pt>
                <c:pt idx="861">
                  <c:v>1994</c:v>
                </c:pt>
                <c:pt idx="862">
                  <c:v>1994</c:v>
                </c:pt>
                <c:pt idx="863">
                  <c:v>1994</c:v>
                </c:pt>
                <c:pt idx="864">
                  <c:v>1994</c:v>
                </c:pt>
                <c:pt idx="865">
                  <c:v>1994</c:v>
                </c:pt>
                <c:pt idx="866">
                  <c:v>1994</c:v>
                </c:pt>
                <c:pt idx="867">
                  <c:v>1994</c:v>
                </c:pt>
                <c:pt idx="868">
                  <c:v>1994</c:v>
                </c:pt>
                <c:pt idx="869">
                  <c:v>1994</c:v>
                </c:pt>
                <c:pt idx="870">
                  <c:v>1994</c:v>
                </c:pt>
                <c:pt idx="871">
                  <c:v>1994</c:v>
                </c:pt>
                <c:pt idx="872">
                  <c:v>1994</c:v>
                </c:pt>
                <c:pt idx="873">
                  <c:v>1994</c:v>
                </c:pt>
                <c:pt idx="874">
                  <c:v>1994</c:v>
                </c:pt>
                <c:pt idx="875">
                  <c:v>1994</c:v>
                </c:pt>
                <c:pt idx="876">
                  <c:v>1994</c:v>
                </c:pt>
                <c:pt idx="877">
                  <c:v>1994</c:v>
                </c:pt>
                <c:pt idx="878">
                  <c:v>1994</c:v>
                </c:pt>
                <c:pt idx="879">
                  <c:v>1994</c:v>
                </c:pt>
                <c:pt idx="880">
                  <c:v>1994</c:v>
                </c:pt>
                <c:pt idx="881">
                  <c:v>1994</c:v>
                </c:pt>
                <c:pt idx="882">
                  <c:v>1994</c:v>
                </c:pt>
                <c:pt idx="883">
                  <c:v>1994</c:v>
                </c:pt>
                <c:pt idx="884">
                  <c:v>1994</c:v>
                </c:pt>
                <c:pt idx="885">
                  <c:v>1994</c:v>
                </c:pt>
                <c:pt idx="886">
                  <c:v>1994</c:v>
                </c:pt>
                <c:pt idx="887">
                  <c:v>1994</c:v>
                </c:pt>
                <c:pt idx="888">
                  <c:v>1994</c:v>
                </c:pt>
                <c:pt idx="889">
                  <c:v>1994</c:v>
                </c:pt>
                <c:pt idx="890">
                  <c:v>1994</c:v>
                </c:pt>
                <c:pt idx="891">
                  <c:v>1994</c:v>
                </c:pt>
                <c:pt idx="892">
                  <c:v>1994</c:v>
                </c:pt>
                <c:pt idx="893">
                  <c:v>1994</c:v>
                </c:pt>
                <c:pt idx="894">
                  <c:v>1994</c:v>
                </c:pt>
                <c:pt idx="895">
                  <c:v>1994</c:v>
                </c:pt>
                <c:pt idx="896">
                  <c:v>1994</c:v>
                </c:pt>
                <c:pt idx="897">
                  <c:v>1994</c:v>
                </c:pt>
                <c:pt idx="898">
                  <c:v>1994</c:v>
                </c:pt>
                <c:pt idx="899">
                  <c:v>1994</c:v>
                </c:pt>
                <c:pt idx="900">
                  <c:v>1994</c:v>
                </c:pt>
                <c:pt idx="901">
                  <c:v>1994</c:v>
                </c:pt>
                <c:pt idx="902">
                  <c:v>1994</c:v>
                </c:pt>
                <c:pt idx="903">
                  <c:v>1994</c:v>
                </c:pt>
                <c:pt idx="904">
                  <c:v>1994</c:v>
                </c:pt>
                <c:pt idx="905">
                  <c:v>1994</c:v>
                </c:pt>
                <c:pt idx="906">
                  <c:v>1994</c:v>
                </c:pt>
                <c:pt idx="907">
                  <c:v>1994</c:v>
                </c:pt>
                <c:pt idx="908">
                  <c:v>1994</c:v>
                </c:pt>
                <c:pt idx="909">
                  <c:v>1994</c:v>
                </c:pt>
                <c:pt idx="910">
                  <c:v>1994</c:v>
                </c:pt>
                <c:pt idx="911">
                  <c:v>1994</c:v>
                </c:pt>
                <c:pt idx="912">
                  <c:v>1994</c:v>
                </c:pt>
                <c:pt idx="913">
                  <c:v>1994</c:v>
                </c:pt>
                <c:pt idx="914">
                  <c:v>1994</c:v>
                </c:pt>
                <c:pt idx="915">
                  <c:v>1994</c:v>
                </c:pt>
                <c:pt idx="916">
                  <c:v>1994</c:v>
                </c:pt>
                <c:pt idx="917">
                  <c:v>1994</c:v>
                </c:pt>
                <c:pt idx="918">
                  <c:v>1994</c:v>
                </c:pt>
                <c:pt idx="919">
                  <c:v>1994</c:v>
                </c:pt>
                <c:pt idx="920">
                  <c:v>1994</c:v>
                </c:pt>
                <c:pt idx="921">
                  <c:v>1994</c:v>
                </c:pt>
                <c:pt idx="922">
                  <c:v>1994</c:v>
                </c:pt>
                <c:pt idx="923">
                  <c:v>1994</c:v>
                </c:pt>
                <c:pt idx="924">
                  <c:v>1994</c:v>
                </c:pt>
                <c:pt idx="925">
                  <c:v>1994</c:v>
                </c:pt>
                <c:pt idx="926">
                  <c:v>1994</c:v>
                </c:pt>
                <c:pt idx="927">
                  <c:v>1994</c:v>
                </c:pt>
                <c:pt idx="928">
                  <c:v>1994</c:v>
                </c:pt>
                <c:pt idx="929">
                  <c:v>1994</c:v>
                </c:pt>
                <c:pt idx="930">
                  <c:v>1994</c:v>
                </c:pt>
                <c:pt idx="931">
                  <c:v>1994</c:v>
                </c:pt>
                <c:pt idx="932">
                  <c:v>1994</c:v>
                </c:pt>
                <c:pt idx="933">
                  <c:v>1994</c:v>
                </c:pt>
                <c:pt idx="934">
                  <c:v>1994</c:v>
                </c:pt>
                <c:pt idx="935">
                  <c:v>1994</c:v>
                </c:pt>
                <c:pt idx="936">
                  <c:v>1994</c:v>
                </c:pt>
                <c:pt idx="937">
                  <c:v>1994</c:v>
                </c:pt>
                <c:pt idx="938">
                  <c:v>1994</c:v>
                </c:pt>
                <c:pt idx="939">
                  <c:v>1994</c:v>
                </c:pt>
                <c:pt idx="940">
                  <c:v>1994</c:v>
                </c:pt>
                <c:pt idx="941">
                  <c:v>1994</c:v>
                </c:pt>
                <c:pt idx="942">
                  <c:v>1994</c:v>
                </c:pt>
                <c:pt idx="943">
                  <c:v>1994</c:v>
                </c:pt>
                <c:pt idx="944">
                  <c:v>1994</c:v>
                </c:pt>
                <c:pt idx="945">
                  <c:v>1994</c:v>
                </c:pt>
                <c:pt idx="946">
                  <c:v>1994</c:v>
                </c:pt>
                <c:pt idx="947">
                  <c:v>1994</c:v>
                </c:pt>
                <c:pt idx="948">
                  <c:v>1994</c:v>
                </c:pt>
                <c:pt idx="949">
                  <c:v>1994</c:v>
                </c:pt>
                <c:pt idx="950">
                  <c:v>1994</c:v>
                </c:pt>
                <c:pt idx="951">
                  <c:v>1994</c:v>
                </c:pt>
                <c:pt idx="952">
                  <c:v>1994</c:v>
                </c:pt>
                <c:pt idx="953">
                  <c:v>1994</c:v>
                </c:pt>
                <c:pt idx="954">
                  <c:v>1994</c:v>
                </c:pt>
                <c:pt idx="955">
                  <c:v>1994</c:v>
                </c:pt>
                <c:pt idx="956">
                  <c:v>1994</c:v>
                </c:pt>
                <c:pt idx="957">
                  <c:v>1994</c:v>
                </c:pt>
                <c:pt idx="958">
                  <c:v>1994</c:v>
                </c:pt>
                <c:pt idx="959">
                  <c:v>1994</c:v>
                </c:pt>
                <c:pt idx="960">
                  <c:v>1994</c:v>
                </c:pt>
                <c:pt idx="961">
                  <c:v>1994</c:v>
                </c:pt>
                <c:pt idx="962">
                  <c:v>1994</c:v>
                </c:pt>
                <c:pt idx="963">
                  <c:v>1994</c:v>
                </c:pt>
                <c:pt idx="964">
                  <c:v>1994</c:v>
                </c:pt>
                <c:pt idx="965">
                  <c:v>1994</c:v>
                </c:pt>
                <c:pt idx="966">
                  <c:v>1994</c:v>
                </c:pt>
                <c:pt idx="967">
                  <c:v>1994</c:v>
                </c:pt>
                <c:pt idx="968">
                  <c:v>1994</c:v>
                </c:pt>
                <c:pt idx="969">
                  <c:v>1994</c:v>
                </c:pt>
                <c:pt idx="970">
                  <c:v>1994</c:v>
                </c:pt>
                <c:pt idx="971">
                  <c:v>1994</c:v>
                </c:pt>
                <c:pt idx="972">
                  <c:v>1994</c:v>
                </c:pt>
                <c:pt idx="973">
                  <c:v>1994</c:v>
                </c:pt>
                <c:pt idx="974">
                  <c:v>1994</c:v>
                </c:pt>
                <c:pt idx="975">
                  <c:v>1994</c:v>
                </c:pt>
                <c:pt idx="976">
                  <c:v>1994</c:v>
                </c:pt>
                <c:pt idx="977">
                  <c:v>1994</c:v>
                </c:pt>
                <c:pt idx="978">
                  <c:v>1994</c:v>
                </c:pt>
                <c:pt idx="979">
                  <c:v>1994</c:v>
                </c:pt>
                <c:pt idx="980">
                  <c:v>1994</c:v>
                </c:pt>
                <c:pt idx="981">
                  <c:v>1994</c:v>
                </c:pt>
                <c:pt idx="982">
                  <c:v>1994</c:v>
                </c:pt>
                <c:pt idx="983">
                  <c:v>1994</c:v>
                </c:pt>
                <c:pt idx="984">
                  <c:v>1994</c:v>
                </c:pt>
                <c:pt idx="985">
                  <c:v>1994</c:v>
                </c:pt>
                <c:pt idx="986">
                  <c:v>1994</c:v>
                </c:pt>
                <c:pt idx="987">
                  <c:v>1994</c:v>
                </c:pt>
                <c:pt idx="988">
                  <c:v>1994</c:v>
                </c:pt>
                <c:pt idx="989">
                  <c:v>1994</c:v>
                </c:pt>
                <c:pt idx="990">
                  <c:v>1994</c:v>
                </c:pt>
                <c:pt idx="991">
                  <c:v>1994</c:v>
                </c:pt>
                <c:pt idx="992">
                  <c:v>1994</c:v>
                </c:pt>
                <c:pt idx="993">
                  <c:v>1994</c:v>
                </c:pt>
                <c:pt idx="994">
                  <c:v>1994</c:v>
                </c:pt>
                <c:pt idx="995">
                  <c:v>1994</c:v>
                </c:pt>
                <c:pt idx="996">
                  <c:v>1994</c:v>
                </c:pt>
                <c:pt idx="997">
                  <c:v>1994</c:v>
                </c:pt>
                <c:pt idx="998">
                  <c:v>1994</c:v>
                </c:pt>
                <c:pt idx="999">
                  <c:v>1994</c:v>
                </c:pt>
                <c:pt idx="1000">
                  <c:v>1994</c:v>
                </c:pt>
                <c:pt idx="1001">
                  <c:v>1994</c:v>
                </c:pt>
                <c:pt idx="1002">
                  <c:v>1994</c:v>
                </c:pt>
                <c:pt idx="1003">
                  <c:v>1994</c:v>
                </c:pt>
                <c:pt idx="1004">
                  <c:v>1994</c:v>
                </c:pt>
                <c:pt idx="1005">
                  <c:v>1994</c:v>
                </c:pt>
                <c:pt idx="1006">
                  <c:v>1994</c:v>
                </c:pt>
                <c:pt idx="1007">
                  <c:v>1994</c:v>
                </c:pt>
                <c:pt idx="1008">
                  <c:v>1994</c:v>
                </c:pt>
                <c:pt idx="1009">
                  <c:v>1994</c:v>
                </c:pt>
                <c:pt idx="1010">
                  <c:v>1994</c:v>
                </c:pt>
                <c:pt idx="1011">
                  <c:v>1994</c:v>
                </c:pt>
                <c:pt idx="1012">
                  <c:v>1994</c:v>
                </c:pt>
                <c:pt idx="1013">
                  <c:v>1994</c:v>
                </c:pt>
                <c:pt idx="1014">
                  <c:v>1994</c:v>
                </c:pt>
                <c:pt idx="1015">
                  <c:v>1994</c:v>
                </c:pt>
                <c:pt idx="1016">
                  <c:v>1994</c:v>
                </c:pt>
                <c:pt idx="1017">
                  <c:v>1994</c:v>
                </c:pt>
                <c:pt idx="1018">
                  <c:v>1994</c:v>
                </c:pt>
                <c:pt idx="1019">
                  <c:v>1994</c:v>
                </c:pt>
                <c:pt idx="1020">
                  <c:v>1994</c:v>
                </c:pt>
                <c:pt idx="1021">
                  <c:v>1994</c:v>
                </c:pt>
                <c:pt idx="1022">
                  <c:v>1994</c:v>
                </c:pt>
                <c:pt idx="1023">
                  <c:v>1994</c:v>
                </c:pt>
                <c:pt idx="1024">
                  <c:v>1994</c:v>
                </c:pt>
                <c:pt idx="1025">
                  <c:v>1994</c:v>
                </c:pt>
                <c:pt idx="1026">
                  <c:v>1994</c:v>
                </c:pt>
                <c:pt idx="1027">
                  <c:v>1994</c:v>
                </c:pt>
                <c:pt idx="1028">
                  <c:v>1994</c:v>
                </c:pt>
                <c:pt idx="1029">
                  <c:v>1994</c:v>
                </c:pt>
                <c:pt idx="1030">
                  <c:v>1994</c:v>
                </c:pt>
                <c:pt idx="1031">
                  <c:v>1994</c:v>
                </c:pt>
                <c:pt idx="1032">
                  <c:v>1994</c:v>
                </c:pt>
                <c:pt idx="1033">
                  <c:v>1994</c:v>
                </c:pt>
                <c:pt idx="1034">
                  <c:v>1994</c:v>
                </c:pt>
                <c:pt idx="1035">
                  <c:v>1994</c:v>
                </c:pt>
                <c:pt idx="1036">
                  <c:v>1994</c:v>
                </c:pt>
                <c:pt idx="1037">
                  <c:v>1994</c:v>
                </c:pt>
                <c:pt idx="1038">
                  <c:v>1994</c:v>
                </c:pt>
                <c:pt idx="1039">
                  <c:v>1994</c:v>
                </c:pt>
                <c:pt idx="1040">
                  <c:v>1994</c:v>
                </c:pt>
                <c:pt idx="1041">
                  <c:v>1994</c:v>
                </c:pt>
                <c:pt idx="1042">
                  <c:v>1994</c:v>
                </c:pt>
                <c:pt idx="1043">
                  <c:v>1994</c:v>
                </c:pt>
                <c:pt idx="1044">
                  <c:v>1994</c:v>
                </c:pt>
                <c:pt idx="1045">
                  <c:v>1994</c:v>
                </c:pt>
                <c:pt idx="1046">
                  <c:v>1994</c:v>
                </c:pt>
                <c:pt idx="1047">
                  <c:v>1994</c:v>
                </c:pt>
                <c:pt idx="1048">
                  <c:v>1994</c:v>
                </c:pt>
                <c:pt idx="1049">
                  <c:v>1994</c:v>
                </c:pt>
                <c:pt idx="1050">
                  <c:v>1994</c:v>
                </c:pt>
                <c:pt idx="1051">
                  <c:v>1994</c:v>
                </c:pt>
                <c:pt idx="1052">
                  <c:v>1994</c:v>
                </c:pt>
                <c:pt idx="1053">
                  <c:v>1994</c:v>
                </c:pt>
                <c:pt idx="1054">
                  <c:v>1994</c:v>
                </c:pt>
                <c:pt idx="1055">
                  <c:v>1994</c:v>
                </c:pt>
                <c:pt idx="1056">
                  <c:v>1994</c:v>
                </c:pt>
                <c:pt idx="1057">
                  <c:v>1994</c:v>
                </c:pt>
                <c:pt idx="1058">
                  <c:v>1994</c:v>
                </c:pt>
                <c:pt idx="1059">
                  <c:v>1994</c:v>
                </c:pt>
                <c:pt idx="1060">
                  <c:v>1994</c:v>
                </c:pt>
                <c:pt idx="1061">
                  <c:v>1994</c:v>
                </c:pt>
                <c:pt idx="1062">
                  <c:v>1994</c:v>
                </c:pt>
                <c:pt idx="1063">
                  <c:v>1994</c:v>
                </c:pt>
                <c:pt idx="1064">
                  <c:v>1994</c:v>
                </c:pt>
                <c:pt idx="1065">
                  <c:v>1994</c:v>
                </c:pt>
                <c:pt idx="1066">
                  <c:v>1994</c:v>
                </c:pt>
                <c:pt idx="1067">
                  <c:v>1994</c:v>
                </c:pt>
                <c:pt idx="1068">
                  <c:v>1994</c:v>
                </c:pt>
                <c:pt idx="1069">
                  <c:v>1994</c:v>
                </c:pt>
                <c:pt idx="1070">
                  <c:v>1994</c:v>
                </c:pt>
                <c:pt idx="1071">
                  <c:v>1994</c:v>
                </c:pt>
                <c:pt idx="1072">
                  <c:v>1994</c:v>
                </c:pt>
                <c:pt idx="1073">
                  <c:v>1994</c:v>
                </c:pt>
                <c:pt idx="1074">
                  <c:v>1994</c:v>
                </c:pt>
                <c:pt idx="1075">
                  <c:v>1994</c:v>
                </c:pt>
                <c:pt idx="1076">
                  <c:v>1994</c:v>
                </c:pt>
                <c:pt idx="1077">
                  <c:v>1994</c:v>
                </c:pt>
                <c:pt idx="1078">
                  <c:v>1994</c:v>
                </c:pt>
                <c:pt idx="1079">
                  <c:v>1994</c:v>
                </c:pt>
                <c:pt idx="1080">
                  <c:v>1994</c:v>
                </c:pt>
                <c:pt idx="1081">
                  <c:v>1994</c:v>
                </c:pt>
                <c:pt idx="1082">
                  <c:v>1994</c:v>
                </c:pt>
                <c:pt idx="1083">
                  <c:v>1994</c:v>
                </c:pt>
                <c:pt idx="1084">
                  <c:v>1994</c:v>
                </c:pt>
                <c:pt idx="1085">
                  <c:v>1994</c:v>
                </c:pt>
                <c:pt idx="1086">
                  <c:v>1994</c:v>
                </c:pt>
                <c:pt idx="1087">
                  <c:v>1994</c:v>
                </c:pt>
                <c:pt idx="1088">
                  <c:v>1994</c:v>
                </c:pt>
                <c:pt idx="1089">
                  <c:v>1994</c:v>
                </c:pt>
                <c:pt idx="1090">
                  <c:v>1994</c:v>
                </c:pt>
                <c:pt idx="1091">
                  <c:v>1994</c:v>
                </c:pt>
                <c:pt idx="1092">
                  <c:v>1994</c:v>
                </c:pt>
                <c:pt idx="1093">
                  <c:v>1994</c:v>
                </c:pt>
                <c:pt idx="1094">
                  <c:v>1994</c:v>
                </c:pt>
                <c:pt idx="1095">
                  <c:v>1994</c:v>
                </c:pt>
                <c:pt idx="1096">
                  <c:v>1994</c:v>
                </c:pt>
                <c:pt idx="1097">
                  <c:v>1994</c:v>
                </c:pt>
                <c:pt idx="1098">
                  <c:v>1994</c:v>
                </c:pt>
                <c:pt idx="1099">
                  <c:v>1994</c:v>
                </c:pt>
                <c:pt idx="1100">
                  <c:v>1994</c:v>
                </c:pt>
                <c:pt idx="1101">
                  <c:v>1994</c:v>
                </c:pt>
                <c:pt idx="1102">
                  <c:v>1994</c:v>
                </c:pt>
                <c:pt idx="1103">
                  <c:v>1994</c:v>
                </c:pt>
                <c:pt idx="1104">
                  <c:v>1994</c:v>
                </c:pt>
                <c:pt idx="1105">
                  <c:v>1994</c:v>
                </c:pt>
                <c:pt idx="1106">
                  <c:v>1994</c:v>
                </c:pt>
                <c:pt idx="1107">
                  <c:v>1994</c:v>
                </c:pt>
                <c:pt idx="1108">
                  <c:v>1994</c:v>
                </c:pt>
                <c:pt idx="1109">
                  <c:v>1994</c:v>
                </c:pt>
                <c:pt idx="1110">
                  <c:v>1994</c:v>
                </c:pt>
                <c:pt idx="1111">
                  <c:v>1994</c:v>
                </c:pt>
                <c:pt idx="1112">
                  <c:v>1994</c:v>
                </c:pt>
                <c:pt idx="1113">
                  <c:v>1994</c:v>
                </c:pt>
                <c:pt idx="1114">
                  <c:v>1994</c:v>
                </c:pt>
                <c:pt idx="1115">
                  <c:v>1994</c:v>
                </c:pt>
                <c:pt idx="1116">
                  <c:v>1994</c:v>
                </c:pt>
                <c:pt idx="1117">
                  <c:v>1994</c:v>
                </c:pt>
                <c:pt idx="1118">
                  <c:v>1994</c:v>
                </c:pt>
                <c:pt idx="1119">
                  <c:v>1994</c:v>
                </c:pt>
                <c:pt idx="1120">
                  <c:v>1994</c:v>
                </c:pt>
                <c:pt idx="1121">
                  <c:v>1994</c:v>
                </c:pt>
                <c:pt idx="1122">
                  <c:v>1994</c:v>
                </c:pt>
                <c:pt idx="1123">
                  <c:v>1994</c:v>
                </c:pt>
                <c:pt idx="1124">
                  <c:v>1994</c:v>
                </c:pt>
                <c:pt idx="1125">
                  <c:v>1994</c:v>
                </c:pt>
                <c:pt idx="1126">
                  <c:v>1994</c:v>
                </c:pt>
                <c:pt idx="1127">
                  <c:v>1994</c:v>
                </c:pt>
                <c:pt idx="1128">
                  <c:v>1994</c:v>
                </c:pt>
                <c:pt idx="1129">
                  <c:v>1994</c:v>
                </c:pt>
                <c:pt idx="1130">
                  <c:v>1994</c:v>
                </c:pt>
                <c:pt idx="1131">
                  <c:v>1995</c:v>
                </c:pt>
                <c:pt idx="1132">
                  <c:v>1995</c:v>
                </c:pt>
                <c:pt idx="1133">
                  <c:v>1995</c:v>
                </c:pt>
                <c:pt idx="1134">
                  <c:v>1995</c:v>
                </c:pt>
                <c:pt idx="1135">
                  <c:v>1995</c:v>
                </c:pt>
                <c:pt idx="1136">
                  <c:v>1995</c:v>
                </c:pt>
                <c:pt idx="1137">
                  <c:v>1995</c:v>
                </c:pt>
                <c:pt idx="1138">
                  <c:v>1995</c:v>
                </c:pt>
                <c:pt idx="1139">
                  <c:v>1995</c:v>
                </c:pt>
                <c:pt idx="1140">
                  <c:v>1995</c:v>
                </c:pt>
                <c:pt idx="1141">
                  <c:v>1995</c:v>
                </c:pt>
                <c:pt idx="1142">
                  <c:v>1995</c:v>
                </c:pt>
                <c:pt idx="1143">
                  <c:v>1995</c:v>
                </c:pt>
                <c:pt idx="1144">
                  <c:v>1995</c:v>
                </c:pt>
                <c:pt idx="1145">
                  <c:v>1995</c:v>
                </c:pt>
                <c:pt idx="1146">
                  <c:v>1995</c:v>
                </c:pt>
                <c:pt idx="1147">
                  <c:v>1995</c:v>
                </c:pt>
                <c:pt idx="1148">
                  <c:v>1995</c:v>
                </c:pt>
                <c:pt idx="1149">
                  <c:v>1995</c:v>
                </c:pt>
                <c:pt idx="1150">
                  <c:v>1995</c:v>
                </c:pt>
                <c:pt idx="1151">
                  <c:v>1995</c:v>
                </c:pt>
                <c:pt idx="1152">
                  <c:v>1995</c:v>
                </c:pt>
                <c:pt idx="1153">
                  <c:v>1995</c:v>
                </c:pt>
                <c:pt idx="1154">
                  <c:v>1995</c:v>
                </c:pt>
                <c:pt idx="1155">
                  <c:v>1995</c:v>
                </c:pt>
                <c:pt idx="1156">
                  <c:v>1995</c:v>
                </c:pt>
                <c:pt idx="1157">
                  <c:v>1995</c:v>
                </c:pt>
                <c:pt idx="1158">
                  <c:v>1995</c:v>
                </c:pt>
                <c:pt idx="1159">
                  <c:v>1995</c:v>
                </c:pt>
                <c:pt idx="1160">
                  <c:v>1995</c:v>
                </c:pt>
                <c:pt idx="1161">
                  <c:v>1995</c:v>
                </c:pt>
                <c:pt idx="1162">
                  <c:v>1995</c:v>
                </c:pt>
                <c:pt idx="1163">
                  <c:v>1995</c:v>
                </c:pt>
                <c:pt idx="1164">
                  <c:v>1995</c:v>
                </c:pt>
                <c:pt idx="1165">
                  <c:v>1995</c:v>
                </c:pt>
                <c:pt idx="1166">
                  <c:v>1995</c:v>
                </c:pt>
                <c:pt idx="1167">
                  <c:v>1995</c:v>
                </c:pt>
                <c:pt idx="1168">
                  <c:v>1995</c:v>
                </c:pt>
                <c:pt idx="1169">
                  <c:v>1995</c:v>
                </c:pt>
                <c:pt idx="1170">
                  <c:v>1995</c:v>
                </c:pt>
                <c:pt idx="1171">
                  <c:v>1995</c:v>
                </c:pt>
                <c:pt idx="1172">
                  <c:v>1995</c:v>
                </c:pt>
                <c:pt idx="1173">
                  <c:v>1995</c:v>
                </c:pt>
                <c:pt idx="1174">
                  <c:v>1995</c:v>
                </c:pt>
                <c:pt idx="1175">
                  <c:v>1995</c:v>
                </c:pt>
                <c:pt idx="1176">
                  <c:v>1995</c:v>
                </c:pt>
                <c:pt idx="1177">
                  <c:v>1995</c:v>
                </c:pt>
                <c:pt idx="1178">
                  <c:v>1995</c:v>
                </c:pt>
                <c:pt idx="1179">
                  <c:v>1995</c:v>
                </c:pt>
                <c:pt idx="1180">
                  <c:v>1995</c:v>
                </c:pt>
                <c:pt idx="1181">
                  <c:v>1995</c:v>
                </c:pt>
                <c:pt idx="1182">
                  <c:v>1995</c:v>
                </c:pt>
                <c:pt idx="1183">
                  <c:v>1995</c:v>
                </c:pt>
                <c:pt idx="1184">
                  <c:v>1995</c:v>
                </c:pt>
                <c:pt idx="1185">
                  <c:v>1995</c:v>
                </c:pt>
                <c:pt idx="1186">
                  <c:v>1995</c:v>
                </c:pt>
                <c:pt idx="1187">
                  <c:v>1995</c:v>
                </c:pt>
                <c:pt idx="1188">
                  <c:v>1995</c:v>
                </c:pt>
                <c:pt idx="1189">
                  <c:v>1995</c:v>
                </c:pt>
                <c:pt idx="1190">
                  <c:v>1995</c:v>
                </c:pt>
                <c:pt idx="1191">
                  <c:v>1995</c:v>
                </c:pt>
                <c:pt idx="1192">
                  <c:v>1995</c:v>
                </c:pt>
                <c:pt idx="1193">
                  <c:v>1995</c:v>
                </c:pt>
                <c:pt idx="1194">
                  <c:v>1995</c:v>
                </c:pt>
                <c:pt idx="1195">
                  <c:v>1995</c:v>
                </c:pt>
                <c:pt idx="1196">
                  <c:v>1995</c:v>
                </c:pt>
                <c:pt idx="1197">
                  <c:v>1995</c:v>
                </c:pt>
                <c:pt idx="1198">
                  <c:v>1995</c:v>
                </c:pt>
                <c:pt idx="1199">
                  <c:v>1995</c:v>
                </c:pt>
                <c:pt idx="1200">
                  <c:v>1995</c:v>
                </c:pt>
                <c:pt idx="1201">
                  <c:v>1995</c:v>
                </c:pt>
                <c:pt idx="1202">
                  <c:v>1995</c:v>
                </c:pt>
                <c:pt idx="1203">
                  <c:v>1995</c:v>
                </c:pt>
                <c:pt idx="1204">
                  <c:v>1995</c:v>
                </c:pt>
                <c:pt idx="1205">
                  <c:v>1995</c:v>
                </c:pt>
                <c:pt idx="1206">
                  <c:v>1995</c:v>
                </c:pt>
                <c:pt idx="1207">
                  <c:v>1995</c:v>
                </c:pt>
                <c:pt idx="1208">
                  <c:v>1995</c:v>
                </c:pt>
                <c:pt idx="1209">
                  <c:v>1995</c:v>
                </c:pt>
                <c:pt idx="1210">
                  <c:v>1995</c:v>
                </c:pt>
                <c:pt idx="1211">
                  <c:v>1995</c:v>
                </c:pt>
                <c:pt idx="1212">
                  <c:v>1995</c:v>
                </c:pt>
                <c:pt idx="1213">
                  <c:v>1995</c:v>
                </c:pt>
                <c:pt idx="1214">
                  <c:v>1995</c:v>
                </c:pt>
                <c:pt idx="1215">
                  <c:v>1995</c:v>
                </c:pt>
                <c:pt idx="1216">
                  <c:v>1995</c:v>
                </c:pt>
                <c:pt idx="1217">
                  <c:v>1995</c:v>
                </c:pt>
                <c:pt idx="1218">
                  <c:v>1995</c:v>
                </c:pt>
                <c:pt idx="1219">
                  <c:v>1995</c:v>
                </c:pt>
                <c:pt idx="1220">
                  <c:v>1995</c:v>
                </c:pt>
                <c:pt idx="1221">
                  <c:v>1995</c:v>
                </c:pt>
                <c:pt idx="1222">
                  <c:v>1995</c:v>
                </c:pt>
                <c:pt idx="1223">
                  <c:v>1995</c:v>
                </c:pt>
                <c:pt idx="1224">
                  <c:v>1995</c:v>
                </c:pt>
                <c:pt idx="1225">
                  <c:v>1995</c:v>
                </c:pt>
                <c:pt idx="1226">
                  <c:v>1995</c:v>
                </c:pt>
                <c:pt idx="1227">
                  <c:v>1995</c:v>
                </c:pt>
                <c:pt idx="1228">
                  <c:v>1995</c:v>
                </c:pt>
                <c:pt idx="1229">
                  <c:v>1995</c:v>
                </c:pt>
                <c:pt idx="1230">
                  <c:v>1995</c:v>
                </c:pt>
                <c:pt idx="1231">
                  <c:v>1995</c:v>
                </c:pt>
                <c:pt idx="1232">
                  <c:v>1995</c:v>
                </c:pt>
                <c:pt idx="1233">
                  <c:v>1995</c:v>
                </c:pt>
                <c:pt idx="1234">
                  <c:v>1995</c:v>
                </c:pt>
                <c:pt idx="1235">
                  <c:v>1995</c:v>
                </c:pt>
                <c:pt idx="1236">
                  <c:v>1995</c:v>
                </c:pt>
                <c:pt idx="1237">
                  <c:v>1995</c:v>
                </c:pt>
                <c:pt idx="1238">
                  <c:v>1995</c:v>
                </c:pt>
                <c:pt idx="1239">
                  <c:v>1995</c:v>
                </c:pt>
                <c:pt idx="1240">
                  <c:v>1995</c:v>
                </c:pt>
                <c:pt idx="1241">
                  <c:v>1995</c:v>
                </c:pt>
                <c:pt idx="1242">
                  <c:v>1995</c:v>
                </c:pt>
                <c:pt idx="1243">
                  <c:v>1995</c:v>
                </c:pt>
                <c:pt idx="1244">
                  <c:v>1995</c:v>
                </c:pt>
                <c:pt idx="1245">
                  <c:v>1995</c:v>
                </c:pt>
                <c:pt idx="1246">
                  <c:v>1995</c:v>
                </c:pt>
                <c:pt idx="1247">
                  <c:v>1995</c:v>
                </c:pt>
                <c:pt idx="1248">
                  <c:v>1995</c:v>
                </c:pt>
                <c:pt idx="1249">
                  <c:v>1995</c:v>
                </c:pt>
                <c:pt idx="1250">
                  <c:v>1995</c:v>
                </c:pt>
                <c:pt idx="1251">
                  <c:v>1995</c:v>
                </c:pt>
                <c:pt idx="1252">
                  <c:v>1995</c:v>
                </c:pt>
                <c:pt idx="1253">
                  <c:v>1995</c:v>
                </c:pt>
                <c:pt idx="1254">
                  <c:v>1995</c:v>
                </c:pt>
                <c:pt idx="1255">
                  <c:v>1995</c:v>
                </c:pt>
                <c:pt idx="1256">
                  <c:v>1995</c:v>
                </c:pt>
                <c:pt idx="1257">
                  <c:v>1995</c:v>
                </c:pt>
                <c:pt idx="1258">
                  <c:v>1995</c:v>
                </c:pt>
                <c:pt idx="1259">
                  <c:v>1995</c:v>
                </c:pt>
                <c:pt idx="1260">
                  <c:v>1995</c:v>
                </c:pt>
                <c:pt idx="1261">
                  <c:v>1995</c:v>
                </c:pt>
                <c:pt idx="1262">
                  <c:v>1995</c:v>
                </c:pt>
                <c:pt idx="1263">
                  <c:v>1995</c:v>
                </c:pt>
                <c:pt idx="1264">
                  <c:v>1995</c:v>
                </c:pt>
                <c:pt idx="1265">
                  <c:v>1995</c:v>
                </c:pt>
                <c:pt idx="1266">
                  <c:v>1995</c:v>
                </c:pt>
                <c:pt idx="1267">
                  <c:v>1995</c:v>
                </c:pt>
                <c:pt idx="1268">
                  <c:v>1995</c:v>
                </c:pt>
                <c:pt idx="1269">
                  <c:v>1995</c:v>
                </c:pt>
                <c:pt idx="1270">
                  <c:v>1995</c:v>
                </c:pt>
                <c:pt idx="1271">
                  <c:v>1995</c:v>
                </c:pt>
                <c:pt idx="1272">
                  <c:v>1995</c:v>
                </c:pt>
                <c:pt idx="1273">
                  <c:v>1995</c:v>
                </c:pt>
                <c:pt idx="1274">
                  <c:v>1995</c:v>
                </c:pt>
                <c:pt idx="1275">
                  <c:v>1995</c:v>
                </c:pt>
                <c:pt idx="1276">
                  <c:v>1995</c:v>
                </c:pt>
                <c:pt idx="1277">
                  <c:v>1995</c:v>
                </c:pt>
                <c:pt idx="1278">
                  <c:v>1995</c:v>
                </c:pt>
                <c:pt idx="1279">
                  <c:v>1995</c:v>
                </c:pt>
                <c:pt idx="1280">
                  <c:v>1995</c:v>
                </c:pt>
                <c:pt idx="1281">
                  <c:v>1995</c:v>
                </c:pt>
                <c:pt idx="1282">
                  <c:v>1995</c:v>
                </c:pt>
                <c:pt idx="1283">
                  <c:v>1995</c:v>
                </c:pt>
                <c:pt idx="1284">
                  <c:v>1995</c:v>
                </c:pt>
                <c:pt idx="1285">
                  <c:v>1995</c:v>
                </c:pt>
                <c:pt idx="1286">
                  <c:v>1995</c:v>
                </c:pt>
                <c:pt idx="1287">
                  <c:v>1995</c:v>
                </c:pt>
                <c:pt idx="1288">
                  <c:v>1995</c:v>
                </c:pt>
                <c:pt idx="1289">
                  <c:v>1995</c:v>
                </c:pt>
                <c:pt idx="1290">
                  <c:v>1995</c:v>
                </c:pt>
                <c:pt idx="1291">
                  <c:v>1995</c:v>
                </c:pt>
                <c:pt idx="1292">
                  <c:v>1995</c:v>
                </c:pt>
                <c:pt idx="1293">
                  <c:v>1995</c:v>
                </c:pt>
                <c:pt idx="1294">
                  <c:v>1995</c:v>
                </c:pt>
                <c:pt idx="1295">
                  <c:v>1995</c:v>
                </c:pt>
                <c:pt idx="1296">
                  <c:v>1995</c:v>
                </c:pt>
                <c:pt idx="1297">
                  <c:v>1995</c:v>
                </c:pt>
                <c:pt idx="1298">
                  <c:v>1995</c:v>
                </c:pt>
                <c:pt idx="1299">
                  <c:v>1995</c:v>
                </c:pt>
                <c:pt idx="1300">
                  <c:v>1995</c:v>
                </c:pt>
                <c:pt idx="1301">
                  <c:v>1995</c:v>
                </c:pt>
                <c:pt idx="1302">
                  <c:v>1995</c:v>
                </c:pt>
                <c:pt idx="1303">
                  <c:v>1995</c:v>
                </c:pt>
                <c:pt idx="1304">
                  <c:v>1995</c:v>
                </c:pt>
                <c:pt idx="1305">
                  <c:v>1995</c:v>
                </c:pt>
                <c:pt idx="1306">
                  <c:v>1995</c:v>
                </c:pt>
                <c:pt idx="1307">
                  <c:v>1995</c:v>
                </c:pt>
                <c:pt idx="1308">
                  <c:v>1995</c:v>
                </c:pt>
                <c:pt idx="1309">
                  <c:v>1995</c:v>
                </c:pt>
                <c:pt idx="1310">
                  <c:v>1995</c:v>
                </c:pt>
                <c:pt idx="1311">
                  <c:v>1995</c:v>
                </c:pt>
                <c:pt idx="1312">
                  <c:v>1995</c:v>
                </c:pt>
                <c:pt idx="1313">
                  <c:v>1995</c:v>
                </c:pt>
                <c:pt idx="1314">
                  <c:v>1995</c:v>
                </c:pt>
                <c:pt idx="1315">
                  <c:v>1995</c:v>
                </c:pt>
                <c:pt idx="1316">
                  <c:v>1995</c:v>
                </c:pt>
                <c:pt idx="1317">
                  <c:v>1995</c:v>
                </c:pt>
                <c:pt idx="1318">
                  <c:v>1995</c:v>
                </c:pt>
                <c:pt idx="1319">
                  <c:v>1995</c:v>
                </c:pt>
                <c:pt idx="1320">
                  <c:v>1995</c:v>
                </c:pt>
                <c:pt idx="1321">
                  <c:v>1995</c:v>
                </c:pt>
                <c:pt idx="1322">
                  <c:v>1995</c:v>
                </c:pt>
                <c:pt idx="1323">
                  <c:v>1995</c:v>
                </c:pt>
                <c:pt idx="1324">
                  <c:v>1995</c:v>
                </c:pt>
                <c:pt idx="1325">
                  <c:v>1995</c:v>
                </c:pt>
                <c:pt idx="1326">
                  <c:v>1995</c:v>
                </c:pt>
                <c:pt idx="1327">
                  <c:v>1995</c:v>
                </c:pt>
                <c:pt idx="1328">
                  <c:v>1995</c:v>
                </c:pt>
                <c:pt idx="1329">
                  <c:v>1995</c:v>
                </c:pt>
                <c:pt idx="1330">
                  <c:v>1995</c:v>
                </c:pt>
                <c:pt idx="1331">
                  <c:v>1995</c:v>
                </c:pt>
                <c:pt idx="1332">
                  <c:v>1995</c:v>
                </c:pt>
                <c:pt idx="1333">
                  <c:v>1995</c:v>
                </c:pt>
                <c:pt idx="1334">
                  <c:v>1995</c:v>
                </c:pt>
                <c:pt idx="1335">
                  <c:v>1995</c:v>
                </c:pt>
                <c:pt idx="1336">
                  <c:v>1995</c:v>
                </c:pt>
                <c:pt idx="1337">
                  <c:v>1995</c:v>
                </c:pt>
                <c:pt idx="1338">
                  <c:v>1995</c:v>
                </c:pt>
                <c:pt idx="1339">
                  <c:v>1995</c:v>
                </c:pt>
                <c:pt idx="1340">
                  <c:v>1995</c:v>
                </c:pt>
                <c:pt idx="1341">
                  <c:v>1995</c:v>
                </c:pt>
                <c:pt idx="1342">
                  <c:v>1995</c:v>
                </c:pt>
                <c:pt idx="1343">
                  <c:v>1995</c:v>
                </c:pt>
                <c:pt idx="1344">
                  <c:v>1995</c:v>
                </c:pt>
                <c:pt idx="1345">
                  <c:v>1995</c:v>
                </c:pt>
                <c:pt idx="1346">
                  <c:v>1995</c:v>
                </c:pt>
                <c:pt idx="1347">
                  <c:v>1995</c:v>
                </c:pt>
                <c:pt idx="1348">
                  <c:v>1995</c:v>
                </c:pt>
                <c:pt idx="1349">
                  <c:v>1995</c:v>
                </c:pt>
                <c:pt idx="1350">
                  <c:v>1995</c:v>
                </c:pt>
                <c:pt idx="1351">
                  <c:v>1995</c:v>
                </c:pt>
                <c:pt idx="1352">
                  <c:v>1995</c:v>
                </c:pt>
                <c:pt idx="1353">
                  <c:v>1995</c:v>
                </c:pt>
                <c:pt idx="1354">
                  <c:v>1995</c:v>
                </c:pt>
                <c:pt idx="1355">
                  <c:v>1995</c:v>
                </c:pt>
                <c:pt idx="1356">
                  <c:v>1995</c:v>
                </c:pt>
                <c:pt idx="1357">
                  <c:v>1995</c:v>
                </c:pt>
                <c:pt idx="1358">
                  <c:v>1995</c:v>
                </c:pt>
                <c:pt idx="1359">
                  <c:v>1995</c:v>
                </c:pt>
                <c:pt idx="1360">
                  <c:v>1995</c:v>
                </c:pt>
                <c:pt idx="1361">
                  <c:v>1995</c:v>
                </c:pt>
                <c:pt idx="1362">
                  <c:v>1995</c:v>
                </c:pt>
                <c:pt idx="1363">
                  <c:v>1995</c:v>
                </c:pt>
                <c:pt idx="1364">
                  <c:v>1995</c:v>
                </c:pt>
                <c:pt idx="1365">
                  <c:v>1995</c:v>
                </c:pt>
                <c:pt idx="1366">
                  <c:v>1995</c:v>
                </c:pt>
                <c:pt idx="1367">
                  <c:v>1995</c:v>
                </c:pt>
                <c:pt idx="1368">
                  <c:v>1995</c:v>
                </c:pt>
                <c:pt idx="1369">
                  <c:v>1995</c:v>
                </c:pt>
                <c:pt idx="1370">
                  <c:v>1995</c:v>
                </c:pt>
                <c:pt idx="1371">
                  <c:v>1995</c:v>
                </c:pt>
                <c:pt idx="1372">
                  <c:v>1995</c:v>
                </c:pt>
                <c:pt idx="1373">
                  <c:v>1995</c:v>
                </c:pt>
                <c:pt idx="1374">
                  <c:v>1995</c:v>
                </c:pt>
                <c:pt idx="1375">
                  <c:v>1995</c:v>
                </c:pt>
                <c:pt idx="1376">
                  <c:v>1995</c:v>
                </c:pt>
                <c:pt idx="1377">
                  <c:v>1995</c:v>
                </c:pt>
                <c:pt idx="1378">
                  <c:v>1995</c:v>
                </c:pt>
                <c:pt idx="1379">
                  <c:v>1995</c:v>
                </c:pt>
                <c:pt idx="1380">
                  <c:v>1995</c:v>
                </c:pt>
                <c:pt idx="1381">
                  <c:v>1995</c:v>
                </c:pt>
                <c:pt idx="1382">
                  <c:v>1995</c:v>
                </c:pt>
                <c:pt idx="1383">
                  <c:v>1995</c:v>
                </c:pt>
                <c:pt idx="1384">
                  <c:v>1995</c:v>
                </c:pt>
                <c:pt idx="1385">
                  <c:v>1995</c:v>
                </c:pt>
                <c:pt idx="1386">
                  <c:v>1995</c:v>
                </c:pt>
                <c:pt idx="1387">
                  <c:v>1995</c:v>
                </c:pt>
                <c:pt idx="1388">
                  <c:v>1995</c:v>
                </c:pt>
                <c:pt idx="1389">
                  <c:v>1995</c:v>
                </c:pt>
                <c:pt idx="1390">
                  <c:v>1995</c:v>
                </c:pt>
                <c:pt idx="1391">
                  <c:v>1995</c:v>
                </c:pt>
                <c:pt idx="1392">
                  <c:v>1995</c:v>
                </c:pt>
                <c:pt idx="1393">
                  <c:v>1995</c:v>
                </c:pt>
                <c:pt idx="1394">
                  <c:v>1995</c:v>
                </c:pt>
                <c:pt idx="1395">
                  <c:v>1995</c:v>
                </c:pt>
                <c:pt idx="1396">
                  <c:v>1995</c:v>
                </c:pt>
                <c:pt idx="1397">
                  <c:v>1995</c:v>
                </c:pt>
                <c:pt idx="1398">
                  <c:v>1995</c:v>
                </c:pt>
                <c:pt idx="1399">
                  <c:v>1995</c:v>
                </c:pt>
                <c:pt idx="1400">
                  <c:v>1995</c:v>
                </c:pt>
                <c:pt idx="1401">
                  <c:v>1995</c:v>
                </c:pt>
                <c:pt idx="1402">
                  <c:v>1995</c:v>
                </c:pt>
                <c:pt idx="1403">
                  <c:v>1995</c:v>
                </c:pt>
                <c:pt idx="1404">
                  <c:v>1995</c:v>
                </c:pt>
                <c:pt idx="1405">
                  <c:v>1995</c:v>
                </c:pt>
                <c:pt idx="1406">
                  <c:v>1995</c:v>
                </c:pt>
                <c:pt idx="1407">
                  <c:v>1995</c:v>
                </c:pt>
                <c:pt idx="1408">
                  <c:v>1995</c:v>
                </c:pt>
                <c:pt idx="1409">
                  <c:v>1995</c:v>
                </c:pt>
                <c:pt idx="1410">
                  <c:v>1995</c:v>
                </c:pt>
                <c:pt idx="1411">
                  <c:v>1995</c:v>
                </c:pt>
                <c:pt idx="1412">
                  <c:v>1995</c:v>
                </c:pt>
                <c:pt idx="1413">
                  <c:v>1995</c:v>
                </c:pt>
                <c:pt idx="1414">
                  <c:v>1995</c:v>
                </c:pt>
                <c:pt idx="1415">
                  <c:v>1995</c:v>
                </c:pt>
                <c:pt idx="1416">
                  <c:v>1995</c:v>
                </c:pt>
                <c:pt idx="1417">
                  <c:v>1995</c:v>
                </c:pt>
                <c:pt idx="1418">
                  <c:v>1995</c:v>
                </c:pt>
                <c:pt idx="1419">
                  <c:v>1995</c:v>
                </c:pt>
                <c:pt idx="1420">
                  <c:v>1995</c:v>
                </c:pt>
                <c:pt idx="1421">
                  <c:v>1995</c:v>
                </c:pt>
                <c:pt idx="1422">
                  <c:v>1995</c:v>
                </c:pt>
                <c:pt idx="1423">
                  <c:v>1995</c:v>
                </c:pt>
                <c:pt idx="1424">
                  <c:v>1995</c:v>
                </c:pt>
                <c:pt idx="1425">
                  <c:v>1995</c:v>
                </c:pt>
                <c:pt idx="1426">
                  <c:v>1995</c:v>
                </c:pt>
                <c:pt idx="1427">
                  <c:v>1995</c:v>
                </c:pt>
                <c:pt idx="1428">
                  <c:v>1995</c:v>
                </c:pt>
                <c:pt idx="1429">
                  <c:v>1995</c:v>
                </c:pt>
                <c:pt idx="1430">
                  <c:v>1995</c:v>
                </c:pt>
                <c:pt idx="1431">
                  <c:v>1995</c:v>
                </c:pt>
                <c:pt idx="1432">
                  <c:v>1995</c:v>
                </c:pt>
                <c:pt idx="1433">
                  <c:v>1995</c:v>
                </c:pt>
                <c:pt idx="1434">
                  <c:v>1995</c:v>
                </c:pt>
                <c:pt idx="1435">
                  <c:v>1995</c:v>
                </c:pt>
                <c:pt idx="1436">
                  <c:v>1995</c:v>
                </c:pt>
                <c:pt idx="1437">
                  <c:v>1995</c:v>
                </c:pt>
                <c:pt idx="1438">
                  <c:v>1995</c:v>
                </c:pt>
                <c:pt idx="1439">
                  <c:v>1995</c:v>
                </c:pt>
                <c:pt idx="1440">
                  <c:v>1995</c:v>
                </c:pt>
                <c:pt idx="1441">
                  <c:v>1995</c:v>
                </c:pt>
                <c:pt idx="1442">
                  <c:v>1995</c:v>
                </c:pt>
                <c:pt idx="1443">
                  <c:v>1995</c:v>
                </c:pt>
                <c:pt idx="1444">
                  <c:v>1995</c:v>
                </c:pt>
                <c:pt idx="1445">
                  <c:v>1995</c:v>
                </c:pt>
                <c:pt idx="1446">
                  <c:v>1995</c:v>
                </c:pt>
                <c:pt idx="1447">
                  <c:v>1995</c:v>
                </c:pt>
                <c:pt idx="1448">
                  <c:v>1995</c:v>
                </c:pt>
                <c:pt idx="1449">
                  <c:v>1995</c:v>
                </c:pt>
                <c:pt idx="1450">
                  <c:v>1995</c:v>
                </c:pt>
                <c:pt idx="1451">
                  <c:v>1995</c:v>
                </c:pt>
                <c:pt idx="1452">
                  <c:v>1995</c:v>
                </c:pt>
                <c:pt idx="1453">
                  <c:v>1995</c:v>
                </c:pt>
                <c:pt idx="1454">
                  <c:v>1995</c:v>
                </c:pt>
                <c:pt idx="1455">
                  <c:v>1995</c:v>
                </c:pt>
                <c:pt idx="1456">
                  <c:v>1995</c:v>
                </c:pt>
                <c:pt idx="1457">
                  <c:v>1995</c:v>
                </c:pt>
                <c:pt idx="1458">
                  <c:v>1995</c:v>
                </c:pt>
                <c:pt idx="1459">
                  <c:v>1995</c:v>
                </c:pt>
                <c:pt idx="1460">
                  <c:v>1995</c:v>
                </c:pt>
                <c:pt idx="1461">
                  <c:v>1995</c:v>
                </c:pt>
                <c:pt idx="1462">
                  <c:v>1995</c:v>
                </c:pt>
                <c:pt idx="1463">
                  <c:v>1995</c:v>
                </c:pt>
                <c:pt idx="1464">
                  <c:v>1995</c:v>
                </c:pt>
                <c:pt idx="1465">
                  <c:v>1995</c:v>
                </c:pt>
                <c:pt idx="1466">
                  <c:v>1995</c:v>
                </c:pt>
                <c:pt idx="1467">
                  <c:v>1995</c:v>
                </c:pt>
                <c:pt idx="1468">
                  <c:v>1995</c:v>
                </c:pt>
                <c:pt idx="1469">
                  <c:v>1995</c:v>
                </c:pt>
                <c:pt idx="1470">
                  <c:v>1995</c:v>
                </c:pt>
                <c:pt idx="1471">
                  <c:v>1995</c:v>
                </c:pt>
                <c:pt idx="1472">
                  <c:v>1995</c:v>
                </c:pt>
                <c:pt idx="1473">
                  <c:v>1995</c:v>
                </c:pt>
                <c:pt idx="1474">
                  <c:v>1995</c:v>
                </c:pt>
                <c:pt idx="1475">
                  <c:v>1995</c:v>
                </c:pt>
                <c:pt idx="1476">
                  <c:v>1995</c:v>
                </c:pt>
                <c:pt idx="1477">
                  <c:v>1995</c:v>
                </c:pt>
                <c:pt idx="1478">
                  <c:v>1995</c:v>
                </c:pt>
                <c:pt idx="1479">
                  <c:v>1995</c:v>
                </c:pt>
                <c:pt idx="1480">
                  <c:v>1995</c:v>
                </c:pt>
                <c:pt idx="1481">
                  <c:v>1995</c:v>
                </c:pt>
                <c:pt idx="1482">
                  <c:v>1995</c:v>
                </c:pt>
                <c:pt idx="1483">
                  <c:v>1995</c:v>
                </c:pt>
                <c:pt idx="1484">
                  <c:v>1995</c:v>
                </c:pt>
                <c:pt idx="1485">
                  <c:v>1995</c:v>
                </c:pt>
                <c:pt idx="1486">
                  <c:v>1995</c:v>
                </c:pt>
                <c:pt idx="1487">
                  <c:v>1995</c:v>
                </c:pt>
                <c:pt idx="1488">
                  <c:v>1995</c:v>
                </c:pt>
                <c:pt idx="1489">
                  <c:v>1995</c:v>
                </c:pt>
                <c:pt idx="1490">
                  <c:v>1995</c:v>
                </c:pt>
                <c:pt idx="1491">
                  <c:v>1995</c:v>
                </c:pt>
                <c:pt idx="1492">
                  <c:v>1995</c:v>
                </c:pt>
                <c:pt idx="1493">
                  <c:v>1995</c:v>
                </c:pt>
                <c:pt idx="1494">
                  <c:v>1995</c:v>
                </c:pt>
                <c:pt idx="1495">
                  <c:v>1995</c:v>
                </c:pt>
                <c:pt idx="1496">
                  <c:v>1996</c:v>
                </c:pt>
                <c:pt idx="1497">
                  <c:v>1996</c:v>
                </c:pt>
                <c:pt idx="1498">
                  <c:v>1996</c:v>
                </c:pt>
                <c:pt idx="1499">
                  <c:v>1996</c:v>
                </c:pt>
                <c:pt idx="1500">
                  <c:v>1996</c:v>
                </c:pt>
                <c:pt idx="1501">
                  <c:v>1996</c:v>
                </c:pt>
                <c:pt idx="1502">
                  <c:v>1996</c:v>
                </c:pt>
                <c:pt idx="1503">
                  <c:v>1996</c:v>
                </c:pt>
                <c:pt idx="1504">
                  <c:v>1996</c:v>
                </c:pt>
                <c:pt idx="1505">
                  <c:v>1996</c:v>
                </c:pt>
                <c:pt idx="1506">
                  <c:v>1996</c:v>
                </c:pt>
                <c:pt idx="1507">
                  <c:v>1996</c:v>
                </c:pt>
                <c:pt idx="1508">
                  <c:v>1996</c:v>
                </c:pt>
                <c:pt idx="1509">
                  <c:v>1996</c:v>
                </c:pt>
                <c:pt idx="1510">
                  <c:v>1996</c:v>
                </c:pt>
                <c:pt idx="1511">
                  <c:v>1996</c:v>
                </c:pt>
                <c:pt idx="1512">
                  <c:v>1996</c:v>
                </c:pt>
                <c:pt idx="1513">
                  <c:v>1996</c:v>
                </c:pt>
                <c:pt idx="1514">
                  <c:v>1996</c:v>
                </c:pt>
                <c:pt idx="1515">
                  <c:v>1996</c:v>
                </c:pt>
                <c:pt idx="1516">
                  <c:v>1996</c:v>
                </c:pt>
                <c:pt idx="1517">
                  <c:v>1996</c:v>
                </c:pt>
                <c:pt idx="1518">
                  <c:v>1996</c:v>
                </c:pt>
                <c:pt idx="1519">
                  <c:v>1996</c:v>
                </c:pt>
                <c:pt idx="1520">
                  <c:v>1996</c:v>
                </c:pt>
                <c:pt idx="1521">
                  <c:v>1996</c:v>
                </c:pt>
                <c:pt idx="1522">
                  <c:v>1996</c:v>
                </c:pt>
                <c:pt idx="1523">
                  <c:v>1996</c:v>
                </c:pt>
                <c:pt idx="1524">
                  <c:v>1996</c:v>
                </c:pt>
                <c:pt idx="1525">
                  <c:v>1996</c:v>
                </c:pt>
                <c:pt idx="1526">
                  <c:v>1996</c:v>
                </c:pt>
                <c:pt idx="1527">
                  <c:v>1996</c:v>
                </c:pt>
                <c:pt idx="1528">
                  <c:v>1996</c:v>
                </c:pt>
                <c:pt idx="1529">
                  <c:v>1996</c:v>
                </c:pt>
                <c:pt idx="1530">
                  <c:v>1996</c:v>
                </c:pt>
                <c:pt idx="1531">
                  <c:v>1996</c:v>
                </c:pt>
                <c:pt idx="1532">
                  <c:v>1996</c:v>
                </c:pt>
                <c:pt idx="1533">
                  <c:v>1996</c:v>
                </c:pt>
                <c:pt idx="1534">
                  <c:v>1996</c:v>
                </c:pt>
                <c:pt idx="1535">
                  <c:v>1996</c:v>
                </c:pt>
                <c:pt idx="1536">
                  <c:v>1996</c:v>
                </c:pt>
                <c:pt idx="1537">
                  <c:v>1996</c:v>
                </c:pt>
                <c:pt idx="1538">
                  <c:v>1996</c:v>
                </c:pt>
                <c:pt idx="1539">
                  <c:v>1996</c:v>
                </c:pt>
                <c:pt idx="1540">
                  <c:v>1996</c:v>
                </c:pt>
                <c:pt idx="1541">
                  <c:v>1996</c:v>
                </c:pt>
                <c:pt idx="1542">
                  <c:v>1996</c:v>
                </c:pt>
                <c:pt idx="1543">
                  <c:v>1996</c:v>
                </c:pt>
                <c:pt idx="1544">
                  <c:v>1996</c:v>
                </c:pt>
                <c:pt idx="1545">
                  <c:v>1996</c:v>
                </c:pt>
                <c:pt idx="1546">
                  <c:v>1996</c:v>
                </c:pt>
                <c:pt idx="1547">
                  <c:v>1996</c:v>
                </c:pt>
                <c:pt idx="1548">
                  <c:v>1996</c:v>
                </c:pt>
                <c:pt idx="1549">
                  <c:v>1996</c:v>
                </c:pt>
                <c:pt idx="1550">
                  <c:v>1996</c:v>
                </c:pt>
                <c:pt idx="1551">
                  <c:v>1996</c:v>
                </c:pt>
                <c:pt idx="1552">
                  <c:v>1996</c:v>
                </c:pt>
                <c:pt idx="1553">
                  <c:v>1996</c:v>
                </c:pt>
                <c:pt idx="1554">
                  <c:v>1996</c:v>
                </c:pt>
                <c:pt idx="1555">
                  <c:v>1996</c:v>
                </c:pt>
                <c:pt idx="1556">
                  <c:v>1996</c:v>
                </c:pt>
                <c:pt idx="1557">
                  <c:v>1996</c:v>
                </c:pt>
                <c:pt idx="1558">
                  <c:v>1996</c:v>
                </c:pt>
                <c:pt idx="1559">
                  <c:v>1996</c:v>
                </c:pt>
                <c:pt idx="1560">
                  <c:v>1996</c:v>
                </c:pt>
                <c:pt idx="1561">
                  <c:v>1996</c:v>
                </c:pt>
                <c:pt idx="1562">
                  <c:v>1996</c:v>
                </c:pt>
                <c:pt idx="1563">
                  <c:v>1996</c:v>
                </c:pt>
                <c:pt idx="1564">
                  <c:v>1996</c:v>
                </c:pt>
                <c:pt idx="1565">
                  <c:v>1996</c:v>
                </c:pt>
                <c:pt idx="1566">
                  <c:v>1996</c:v>
                </c:pt>
                <c:pt idx="1567">
                  <c:v>1996</c:v>
                </c:pt>
                <c:pt idx="1568">
                  <c:v>1996</c:v>
                </c:pt>
                <c:pt idx="1569">
                  <c:v>1996</c:v>
                </c:pt>
                <c:pt idx="1570">
                  <c:v>1996</c:v>
                </c:pt>
                <c:pt idx="1571">
                  <c:v>1996</c:v>
                </c:pt>
                <c:pt idx="1572">
                  <c:v>1996</c:v>
                </c:pt>
                <c:pt idx="1573">
                  <c:v>1996</c:v>
                </c:pt>
                <c:pt idx="1574">
                  <c:v>1996</c:v>
                </c:pt>
                <c:pt idx="1575">
                  <c:v>1996</c:v>
                </c:pt>
                <c:pt idx="1576">
                  <c:v>1996</c:v>
                </c:pt>
                <c:pt idx="1577">
                  <c:v>1996</c:v>
                </c:pt>
                <c:pt idx="1578">
                  <c:v>1996</c:v>
                </c:pt>
                <c:pt idx="1579">
                  <c:v>1996</c:v>
                </c:pt>
                <c:pt idx="1580">
                  <c:v>1996</c:v>
                </c:pt>
                <c:pt idx="1581">
                  <c:v>1996</c:v>
                </c:pt>
                <c:pt idx="1582">
                  <c:v>1996</c:v>
                </c:pt>
                <c:pt idx="1583">
                  <c:v>1996</c:v>
                </c:pt>
                <c:pt idx="1584">
                  <c:v>1996</c:v>
                </c:pt>
                <c:pt idx="1585">
                  <c:v>1996</c:v>
                </c:pt>
                <c:pt idx="1586">
                  <c:v>1996</c:v>
                </c:pt>
                <c:pt idx="1587">
                  <c:v>1996</c:v>
                </c:pt>
                <c:pt idx="1588">
                  <c:v>1996</c:v>
                </c:pt>
                <c:pt idx="1589">
                  <c:v>1996</c:v>
                </c:pt>
                <c:pt idx="1590">
                  <c:v>1996</c:v>
                </c:pt>
                <c:pt idx="1591">
                  <c:v>1996</c:v>
                </c:pt>
                <c:pt idx="1592">
                  <c:v>1996</c:v>
                </c:pt>
                <c:pt idx="1593">
                  <c:v>1996</c:v>
                </c:pt>
                <c:pt idx="1594">
                  <c:v>1996</c:v>
                </c:pt>
                <c:pt idx="1595">
                  <c:v>1996</c:v>
                </c:pt>
                <c:pt idx="1596">
                  <c:v>1996</c:v>
                </c:pt>
                <c:pt idx="1597">
                  <c:v>1996</c:v>
                </c:pt>
                <c:pt idx="1598">
                  <c:v>1996</c:v>
                </c:pt>
                <c:pt idx="1599">
                  <c:v>1996</c:v>
                </c:pt>
                <c:pt idx="1600">
                  <c:v>1996</c:v>
                </c:pt>
                <c:pt idx="1601">
                  <c:v>1996</c:v>
                </c:pt>
                <c:pt idx="1602">
                  <c:v>1996</c:v>
                </c:pt>
                <c:pt idx="1603">
                  <c:v>1996</c:v>
                </c:pt>
                <c:pt idx="1604">
                  <c:v>1996</c:v>
                </c:pt>
                <c:pt idx="1605">
                  <c:v>1996</c:v>
                </c:pt>
                <c:pt idx="1606">
                  <c:v>1996</c:v>
                </c:pt>
                <c:pt idx="1607">
                  <c:v>1996</c:v>
                </c:pt>
                <c:pt idx="1608">
                  <c:v>1996</c:v>
                </c:pt>
                <c:pt idx="1609">
                  <c:v>1996</c:v>
                </c:pt>
                <c:pt idx="1610">
                  <c:v>1996</c:v>
                </c:pt>
                <c:pt idx="1611">
                  <c:v>1996</c:v>
                </c:pt>
                <c:pt idx="1612">
                  <c:v>1996</c:v>
                </c:pt>
                <c:pt idx="1613">
                  <c:v>1996</c:v>
                </c:pt>
                <c:pt idx="1614">
                  <c:v>1996</c:v>
                </c:pt>
                <c:pt idx="1615">
                  <c:v>1996</c:v>
                </c:pt>
                <c:pt idx="1616">
                  <c:v>1996</c:v>
                </c:pt>
                <c:pt idx="1617">
                  <c:v>1996</c:v>
                </c:pt>
                <c:pt idx="1618">
                  <c:v>1996</c:v>
                </c:pt>
                <c:pt idx="1619">
                  <c:v>1996</c:v>
                </c:pt>
                <c:pt idx="1620">
                  <c:v>1996</c:v>
                </c:pt>
                <c:pt idx="1621">
                  <c:v>1996</c:v>
                </c:pt>
                <c:pt idx="1622">
                  <c:v>1996</c:v>
                </c:pt>
                <c:pt idx="1623">
                  <c:v>1996</c:v>
                </c:pt>
                <c:pt idx="1624">
                  <c:v>1996</c:v>
                </c:pt>
                <c:pt idx="1625">
                  <c:v>1996</c:v>
                </c:pt>
                <c:pt idx="1626">
                  <c:v>1996</c:v>
                </c:pt>
                <c:pt idx="1627">
                  <c:v>1996</c:v>
                </c:pt>
                <c:pt idx="1628">
                  <c:v>1996</c:v>
                </c:pt>
                <c:pt idx="1629">
                  <c:v>1996</c:v>
                </c:pt>
                <c:pt idx="1630">
                  <c:v>1996</c:v>
                </c:pt>
                <c:pt idx="1631">
                  <c:v>1996</c:v>
                </c:pt>
                <c:pt idx="1632">
                  <c:v>1996</c:v>
                </c:pt>
                <c:pt idx="1633">
                  <c:v>1996</c:v>
                </c:pt>
                <c:pt idx="1634">
                  <c:v>1996</c:v>
                </c:pt>
                <c:pt idx="1635">
                  <c:v>1996</c:v>
                </c:pt>
                <c:pt idx="1636">
                  <c:v>1996</c:v>
                </c:pt>
                <c:pt idx="1637">
                  <c:v>1996</c:v>
                </c:pt>
                <c:pt idx="1638">
                  <c:v>1996</c:v>
                </c:pt>
                <c:pt idx="1639">
                  <c:v>1996</c:v>
                </c:pt>
                <c:pt idx="1640">
                  <c:v>1996</c:v>
                </c:pt>
                <c:pt idx="1641">
                  <c:v>1996</c:v>
                </c:pt>
                <c:pt idx="1642">
                  <c:v>1996</c:v>
                </c:pt>
                <c:pt idx="1643">
                  <c:v>1996</c:v>
                </c:pt>
                <c:pt idx="1644">
                  <c:v>1996</c:v>
                </c:pt>
                <c:pt idx="1645">
                  <c:v>1996</c:v>
                </c:pt>
                <c:pt idx="1646">
                  <c:v>1996</c:v>
                </c:pt>
                <c:pt idx="1647">
                  <c:v>1996</c:v>
                </c:pt>
                <c:pt idx="1648">
                  <c:v>1996</c:v>
                </c:pt>
                <c:pt idx="1649">
                  <c:v>1996</c:v>
                </c:pt>
                <c:pt idx="1650">
                  <c:v>1996</c:v>
                </c:pt>
                <c:pt idx="1651">
                  <c:v>1996</c:v>
                </c:pt>
                <c:pt idx="1652">
                  <c:v>1996</c:v>
                </c:pt>
                <c:pt idx="1653">
                  <c:v>1996</c:v>
                </c:pt>
                <c:pt idx="1654">
                  <c:v>1996</c:v>
                </c:pt>
                <c:pt idx="1655">
                  <c:v>1996</c:v>
                </c:pt>
                <c:pt idx="1656">
                  <c:v>1996</c:v>
                </c:pt>
                <c:pt idx="1657">
                  <c:v>1996</c:v>
                </c:pt>
                <c:pt idx="1658">
                  <c:v>1996</c:v>
                </c:pt>
                <c:pt idx="1659">
                  <c:v>1996</c:v>
                </c:pt>
                <c:pt idx="1660">
                  <c:v>1996</c:v>
                </c:pt>
                <c:pt idx="1661">
                  <c:v>1996</c:v>
                </c:pt>
                <c:pt idx="1662">
                  <c:v>1996</c:v>
                </c:pt>
                <c:pt idx="1663">
                  <c:v>1996</c:v>
                </c:pt>
                <c:pt idx="1664">
                  <c:v>1996</c:v>
                </c:pt>
                <c:pt idx="1665">
                  <c:v>1996</c:v>
                </c:pt>
                <c:pt idx="1666">
                  <c:v>1996</c:v>
                </c:pt>
                <c:pt idx="1667">
                  <c:v>1996</c:v>
                </c:pt>
                <c:pt idx="1668">
                  <c:v>1996</c:v>
                </c:pt>
                <c:pt idx="1669">
                  <c:v>1996</c:v>
                </c:pt>
                <c:pt idx="1670">
                  <c:v>1996</c:v>
                </c:pt>
                <c:pt idx="1671">
                  <c:v>1996</c:v>
                </c:pt>
                <c:pt idx="1672">
                  <c:v>1996</c:v>
                </c:pt>
                <c:pt idx="1673">
                  <c:v>1996</c:v>
                </c:pt>
                <c:pt idx="1674">
                  <c:v>1996</c:v>
                </c:pt>
                <c:pt idx="1675">
                  <c:v>1996</c:v>
                </c:pt>
                <c:pt idx="1676">
                  <c:v>1996</c:v>
                </c:pt>
                <c:pt idx="1677">
                  <c:v>1996</c:v>
                </c:pt>
                <c:pt idx="1678">
                  <c:v>1996</c:v>
                </c:pt>
                <c:pt idx="1679">
                  <c:v>1996</c:v>
                </c:pt>
                <c:pt idx="1680">
                  <c:v>1996</c:v>
                </c:pt>
                <c:pt idx="1681">
                  <c:v>1996</c:v>
                </c:pt>
                <c:pt idx="1682">
                  <c:v>1996</c:v>
                </c:pt>
                <c:pt idx="1683">
                  <c:v>1996</c:v>
                </c:pt>
                <c:pt idx="1684">
                  <c:v>1996</c:v>
                </c:pt>
                <c:pt idx="1685">
                  <c:v>1996</c:v>
                </c:pt>
                <c:pt idx="1686">
                  <c:v>1996</c:v>
                </c:pt>
                <c:pt idx="1687">
                  <c:v>1996</c:v>
                </c:pt>
                <c:pt idx="1688">
                  <c:v>1996</c:v>
                </c:pt>
                <c:pt idx="1689">
                  <c:v>1996</c:v>
                </c:pt>
                <c:pt idx="1690">
                  <c:v>1996</c:v>
                </c:pt>
                <c:pt idx="1691">
                  <c:v>1996</c:v>
                </c:pt>
                <c:pt idx="1692">
                  <c:v>1996</c:v>
                </c:pt>
                <c:pt idx="1693">
                  <c:v>1996</c:v>
                </c:pt>
                <c:pt idx="1694">
                  <c:v>1996</c:v>
                </c:pt>
                <c:pt idx="1695">
                  <c:v>1996</c:v>
                </c:pt>
                <c:pt idx="1696">
                  <c:v>1996</c:v>
                </c:pt>
                <c:pt idx="1697">
                  <c:v>1996</c:v>
                </c:pt>
                <c:pt idx="1698">
                  <c:v>1996</c:v>
                </c:pt>
                <c:pt idx="1699">
                  <c:v>1996</c:v>
                </c:pt>
                <c:pt idx="1700">
                  <c:v>1996</c:v>
                </c:pt>
                <c:pt idx="1701">
                  <c:v>1996</c:v>
                </c:pt>
                <c:pt idx="1702">
                  <c:v>1996</c:v>
                </c:pt>
                <c:pt idx="1703">
                  <c:v>1996</c:v>
                </c:pt>
                <c:pt idx="1704">
                  <c:v>1996</c:v>
                </c:pt>
                <c:pt idx="1705">
                  <c:v>1996</c:v>
                </c:pt>
                <c:pt idx="1706">
                  <c:v>1996</c:v>
                </c:pt>
                <c:pt idx="1707">
                  <c:v>1996</c:v>
                </c:pt>
                <c:pt idx="1708">
                  <c:v>1996</c:v>
                </c:pt>
                <c:pt idx="1709">
                  <c:v>1996</c:v>
                </c:pt>
                <c:pt idx="1710">
                  <c:v>1996</c:v>
                </c:pt>
                <c:pt idx="1711">
                  <c:v>1996</c:v>
                </c:pt>
                <c:pt idx="1712">
                  <c:v>1996</c:v>
                </c:pt>
                <c:pt idx="1713">
                  <c:v>1996</c:v>
                </c:pt>
                <c:pt idx="1714">
                  <c:v>1996</c:v>
                </c:pt>
                <c:pt idx="1715">
                  <c:v>1996</c:v>
                </c:pt>
                <c:pt idx="1716">
                  <c:v>1996</c:v>
                </c:pt>
                <c:pt idx="1717">
                  <c:v>1996</c:v>
                </c:pt>
                <c:pt idx="1718">
                  <c:v>1996</c:v>
                </c:pt>
                <c:pt idx="1719">
                  <c:v>1996</c:v>
                </c:pt>
                <c:pt idx="1720">
                  <c:v>1996</c:v>
                </c:pt>
                <c:pt idx="1721">
                  <c:v>1996</c:v>
                </c:pt>
                <c:pt idx="1722">
                  <c:v>1996</c:v>
                </c:pt>
                <c:pt idx="1723">
                  <c:v>1996</c:v>
                </c:pt>
                <c:pt idx="1724">
                  <c:v>1996</c:v>
                </c:pt>
                <c:pt idx="1725">
                  <c:v>1996</c:v>
                </c:pt>
                <c:pt idx="1726">
                  <c:v>1996</c:v>
                </c:pt>
                <c:pt idx="1727">
                  <c:v>1996</c:v>
                </c:pt>
                <c:pt idx="1728">
                  <c:v>1996</c:v>
                </c:pt>
                <c:pt idx="1729">
                  <c:v>1996</c:v>
                </c:pt>
                <c:pt idx="1730">
                  <c:v>1996</c:v>
                </c:pt>
                <c:pt idx="1731">
                  <c:v>1996</c:v>
                </c:pt>
                <c:pt idx="1732">
                  <c:v>1996</c:v>
                </c:pt>
                <c:pt idx="1733">
                  <c:v>1996</c:v>
                </c:pt>
                <c:pt idx="1734">
                  <c:v>1996</c:v>
                </c:pt>
                <c:pt idx="1735">
                  <c:v>1996</c:v>
                </c:pt>
                <c:pt idx="1736">
                  <c:v>1996</c:v>
                </c:pt>
                <c:pt idx="1737">
                  <c:v>1996</c:v>
                </c:pt>
                <c:pt idx="1738">
                  <c:v>1996</c:v>
                </c:pt>
                <c:pt idx="1739">
                  <c:v>1996</c:v>
                </c:pt>
                <c:pt idx="1740">
                  <c:v>1996</c:v>
                </c:pt>
                <c:pt idx="1741">
                  <c:v>1996</c:v>
                </c:pt>
                <c:pt idx="1742">
                  <c:v>1996</c:v>
                </c:pt>
                <c:pt idx="1743">
                  <c:v>1996</c:v>
                </c:pt>
                <c:pt idx="1744">
                  <c:v>1996</c:v>
                </c:pt>
                <c:pt idx="1745">
                  <c:v>1996</c:v>
                </c:pt>
                <c:pt idx="1746">
                  <c:v>1996</c:v>
                </c:pt>
                <c:pt idx="1747">
                  <c:v>1996</c:v>
                </c:pt>
                <c:pt idx="1748">
                  <c:v>1996</c:v>
                </c:pt>
                <c:pt idx="1749">
                  <c:v>1996</c:v>
                </c:pt>
                <c:pt idx="1750">
                  <c:v>1996</c:v>
                </c:pt>
                <c:pt idx="1751">
                  <c:v>1996</c:v>
                </c:pt>
                <c:pt idx="1752">
                  <c:v>1996</c:v>
                </c:pt>
                <c:pt idx="1753">
                  <c:v>1996</c:v>
                </c:pt>
                <c:pt idx="1754">
                  <c:v>1996</c:v>
                </c:pt>
                <c:pt idx="1755">
                  <c:v>1996</c:v>
                </c:pt>
                <c:pt idx="1756">
                  <c:v>1996</c:v>
                </c:pt>
                <c:pt idx="1757">
                  <c:v>1996</c:v>
                </c:pt>
                <c:pt idx="1758">
                  <c:v>1996</c:v>
                </c:pt>
                <c:pt idx="1759">
                  <c:v>1996</c:v>
                </c:pt>
                <c:pt idx="1760">
                  <c:v>1996</c:v>
                </c:pt>
                <c:pt idx="1761">
                  <c:v>1996</c:v>
                </c:pt>
                <c:pt idx="1762">
                  <c:v>1996</c:v>
                </c:pt>
                <c:pt idx="1763">
                  <c:v>1996</c:v>
                </c:pt>
                <c:pt idx="1764">
                  <c:v>1996</c:v>
                </c:pt>
                <c:pt idx="1765">
                  <c:v>1996</c:v>
                </c:pt>
                <c:pt idx="1766">
                  <c:v>1996</c:v>
                </c:pt>
                <c:pt idx="1767">
                  <c:v>1996</c:v>
                </c:pt>
                <c:pt idx="1768">
                  <c:v>1996</c:v>
                </c:pt>
                <c:pt idx="1769">
                  <c:v>1996</c:v>
                </c:pt>
                <c:pt idx="1770">
                  <c:v>1996</c:v>
                </c:pt>
                <c:pt idx="1771">
                  <c:v>1996</c:v>
                </c:pt>
                <c:pt idx="1772">
                  <c:v>1996</c:v>
                </c:pt>
                <c:pt idx="1773">
                  <c:v>1996</c:v>
                </c:pt>
                <c:pt idx="1774">
                  <c:v>1996</c:v>
                </c:pt>
                <c:pt idx="1775">
                  <c:v>1996</c:v>
                </c:pt>
                <c:pt idx="1776">
                  <c:v>1996</c:v>
                </c:pt>
                <c:pt idx="1777">
                  <c:v>1996</c:v>
                </c:pt>
                <c:pt idx="1778">
                  <c:v>1996</c:v>
                </c:pt>
                <c:pt idx="1779">
                  <c:v>1996</c:v>
                </c:pt>
                <c:pt idx="1780">
                  <c:v>1996</c:v>
                </c:pt>
                <c:pt idx="1781">
                  <c:v>1996</c:v>
                </c:pt>
                <c:pt idx="1782">
                  <c:v>1996</c:v>
                </c:pt>
                <c:pt idx="1783">
                  <c:v>1996</c:v>
                </c:pt>
                <c:pt idx="1784">
                  <c:v>1996</c:v>
                </c:pt>
                <c:pt idx="1785">
                  <c:v>1996</c:v>
                </c:pt>
                <c:pt idx="1786">
                  <c:v>1996</c:v>
                </c:pt>
                <c:pt idx="1787">
                  <c:v>1996</c:v>
                </c:pt>
                <c:pt idx="1788">
                  <c:v>1996</c:v>
                </c:pt>
                <c:pt idx="1789">
                  <c:v>1996</c:v>
                </c:pt>
                <c:pt idx="1790">
                  <c:v>1996</c:v>
                </c:pt>
                <c:pt idx="1791">
                  <c:v>1996</c:v>
                </c:pt>
                <c:pt idx="1792">
                  <c:v>1996</c:v>
                </c:pt>
                <c:pt idx="1793">
                  <c:v>1996</c:v>
                </c:pt>
                <c:pt idx="1794">
                  <c:v>1996</c:v>
                </c:pt>
                <c:pt idx="1795">
                  <c:v>1996</c:v>
                </c:pt>
                <c:pt idx="1796">
                  <c:v>1996</c:v>
                </c:pt>
                <c:pt idx="1797">
                  <c:v>1996</c:v>
                </c:pt>
                <c:pt idx="1798">
                  <c:v>1996</c:v>
                </c:pt>
                <c:pt idx="1799">
                  <c:v>1996</c:v>
                </c:pt>
                <c:pt idx="1800">
                  <c:v>1996</c:v>
                </c:pt>
                <c:pt idx="1801">
                  <c:v>1996</c:v>
                </c:pt>
                <c:pt idx="1802">
                  <c:v>1996</c:v>
                </c:pt>
                <c:pt idx="1803">
                  <c:v>1996</c:v>
                </c:pt>
                <c:pt idx="1804">
                  <c:v>1996</c:v>
                </c:pt>
                <c:pt idx="1805">
                  <c:v>1996</c:v>
                </c:pt>
                <c:pt idx="1806">
                  <c:v>1996</c:v>
                </c:pt>
                <c:pt idx="1807">
                  <c:v>1996</c:v>
                </c:pt>
                <c:pt idx="1808">
                  <c:v>1996</c:v>
                </c:pt>
                <c:pt idx="1809">
                  <c:v>1996</c:v>
                </c:pt>
                <c:pt idx="1810">
                  <c:v>1996</c:v>
                </c:pt>
                <c:pt idx="1811">
                  <c:v>1996</c:v>
                </c:pt>
                <c:pt idx="1812">
                  <c:v>1996</c:v>
                </c:pt>
                <c:pt idx="1813">
                  <c:v>1996</c:v>
                </c:pt>
                <c:pt idx="1814">
                  <c:v>1996</c:v>
                </c:pt>
                <c:pt idx="1815">
                  <c:v>1996</c:v>
                </c:pt>
                <c:pt idx="1816">
                  <c:v>1996</c:v>
                </c:pt>
                <c:pt idx="1817">
                  <c:v>1996</c:v>
                </c:pt>
                <c:pt idx="1818">
                  <c:v>1996</c:v>
                </c:pt>
                <c:pt idx="1819">
                  <c:v>1996</c:v>
                </c:pt>
                <c:pt idx="1820">
                  <c:v>1996</c:v>
                </c:pt>
                <c:pt idx="1821">
                  <c:v>1996</c:v>
                </c:pt>
                <c:pt idx="1822">
                  <c:v>1996</c:v>
                </c:pt>
                <c:pt idx="1823">
                  <c:v>1996</c:v>
                </c:pt>
                <c:pt idx="1824">
                  <c:v>1996</c:v>
                </c:pt>
                <c:pt idx="1825">
                  <c:v>1996</c:v>
                </c:pt>
                <c:pt idx="1826">
                  <c:v>1996</c:v>
                </c:pt>
                <c:pt idx="1827">
                  <c:v>1996</c:v>
                </c:pt>
                <c:pt idx="1828">
                  <c:v>1996</c:v>
                </c:pt>
                <c:pt idx="1829">
                  <c:v>1996</c:v>
                </c:pt>
                <c:pt idx="1830">
                  <c:v>1996</c:v>
                </c:pt>
                <c:pt idx="1831">
                  <c:v>1996</c:v>
                </c:pt>
                <c:pt idx="1832">
                  <c:v>1996</c:v>
                </c:pt>
                <c:pt idx="1833">
                  <c:v>1996</c:v>
                </c:pt>
                <c:pt idx="1834">
                  <c:v>1996</c:v>
                </c:pt>
                <c:pt idx="1835">
                  <c:v>1996</c:v>
                </c:pt>
                <c:pt idx="1836">
                  <c:v>1996</c:v>
                </c:pt>
                <c:pt idx="1837">
                  <c:v>1996</c:v>
                </c:pt>
                <c:pt idx="1838">
                  <c:v>1996</c:v>
                </c:pt>
                <c:pt idx="1839">
                  <c:v>1996</c:v>
                </c:pt>
                <c:pt idx="1840">
                  <c:v>1996</c:v>
                </c:pt>
                <c:pt idx="1841">
                  <c:v>1996</c:v>
                </c:pt>
                <c:pt idx="1842">
                  <c:v>1996</c:v>
                </c:pt>
                <c:pt idx="1843">
                  <c:v>1996</c:v>
                </c:pt>
                <c:pt idx="1844">
                  <c:v>1996</c:v>
                </c:pt>
                <c:pt idx="1845">
                  <c:v>1996</c:v>
                </c:pt>
                <c:pt idx="1846">
                  <c:v>1996</c:v>
                </c:pt>
                <c:pt idx="1847">
                  <c:v>1996</c:v>
                </c:pt>
                <c:pt idx="1848">
                  <c:v>1996</c:v>
                </c:pt>
                <c:pt idx="1849">
                  <c:v>1996</c:v>
                </c:pt>
                <c:pt idx="1850">
                  <c:v>1996</c:v>
                </c:pt>
                <c:pt idx="1851">
                  <c:v>1996</c:v>
                </c:pt>
                <c:pt idx="1852">
                  <c:v>1996</c:v>
                </c:pt>
                <c:pt idx="1853">
                  <c:v>1996</c:v>
                </c:pt>
                <c:pt idx="1854">
                  <c:v>1996</c:v>
                </c:pt>
                <c:pt idx="1855">
                  <c:v>1996</c:v>
                </c:pt>
                <c:pt idx="1856">
                  <c:v>1996</c:v>
                </c:pt>
                <c:pt idx="1857">
                  <c:v>1996</c:v>
                </c:pt>
                <c:pt idx="1858">
                  <c:v>1996</c:v>
                </c:pt>
                <c:pt idx="1859">
                  <c:v>1996</c:v>
                </c:pt>
                <c:pt idx="1860">
                  <c:v>1996</c:v>
                </c:pt>
                <c:pt idx="1861">
                  <c:v>1996</c:v>
                </c:pt>
                <c:pt idx="1862">
                  <c:v>1997</c:v>
                </c:pt>
                <c:pt idx="1863">
                  <c:v>1997</c:v>
                </c:pt>
                <c:pt idx="1864">
                  <c:v>1997</c:v>
                </c:pt>
                <c:pt idx="1865">
                  <c:v>1997</c:v>
                </c:pt>
                <c:pt idx="1866">
                  <c:v>1997</c:v>
                </c:pt>
                <c:pt idx="1867">
                  <c:v>1997</c:v>
                </c:pt>
                <c:pt idx="1868">
                  <c:v>1997</c:v>
                </c:pt>
                <c:pt idx="1869">
                  <c:v>1997</c:v>
                </c:pt>
                <c:pt idx="1870">
                  <c:v>1997</c:v>
                </c:pt>
                <c:pt idx="1871">
                  <c:v>1997</c:v>
                </c:pt>
                <c:pt idx="1872">
                  <c:v>1997</c:v>
                </c:pt>
                <c:pt idx="1873">
                  <c:v>1997</c:v>
                </c:pt>
                <c:pt idx="1874">
                  <c:v>1997</c:v>
                </c:pt>
                <c:pt idx="1875">
                  <c:v>1997</c:v>
                </c:pt>
                <c:pt idx="1876">
                  <c:v>1997</c:v>
                </c:pt>
                <c:pt idx="1877">
                  <c:v>1997</c:v>
                </c:pt>
                <c:pt idx="1878">
                  <c:v>1997</c:v>
                </c:pt>
                <c:pt idx="1879">
                  <c:v>1997</c:v>
                </c:pt>
                <c:pt idx="1880">
                  <c:v>1997</c:v>
                </c:pt>
                <c:pt idx="1881">
                  <c:v>1997</c:v>
                </c:pt>
                <c:pt idx="1882">
                  <c:v>1997</c:v>
                </c:pt>
                <c:pt idx="1883">
                  <c:v>1997</c:v>
                </c:pt>
                <c:pt idx="1884">
                  <c:v>1997</c:v>
                </c:pt>
                <c:pt idx="1885">
                  <c:v>1997</c:v>
                </c:pt>
                <c:pt idx="1886">
                  <c:v>1997</c:v>
                </c:pt>
                <c:pt idx="1887">
                  <c:v>1997</c:v>
                </c:pt>
                <c:pt idx="1888">
                  <c:v>1997</c:v>
                </c:pt>
                <c:pt idx="1889">
                  <c:v>1997</c:v>
                </c:pt>
                <c:pt idx="1890">
                  <c:v>1997</c:v>
                </c:pt>
                <c:pt idx="1891">
                  <c:v>1997</c:v>
                </c:pt>
                <c:pt idx="1892">
                  <c:v>1997</c:v>
                </c:pt>
                <c:pt idx="1893">
                  <c:v>1997</c:v>
                </c:pt>
                <c:pt idx="1894">
                  <c:v>1997</c:v>
                </c:pt>
                <c:pt idx="1895">
                  <c:v>1997</c:v>
                </c:pt>
                <c:pt idx="1896">
                  <c:v>1997</c:v>
                </c:pt>
                <c:pt idx="1897">
                  <c:v>1997</c:v>
                </c:pt>
                <c:pt idx="1898">
                  <c:v>1997</c:v>
                </c:pt>
                <c:pt idx="1899">
                  <c:v>1997</c:v>
                </c:pt>
                <c:pt idx="1900">
                  <c:v>1997</c:v>
                </c:pt>
                <c:pt idx="1901">
                  <c:v>1997</c:v>
                </c:pt>
                <c:pt idx="1902">
                  <c:v>1997</c:v>
                </c:pt>
                <c:pt idx="1903">
                  <c:v>1997</c:v>
                </c:pt>
                <c:pt idx="1904">
                  <c:v>1997</c:v>
                </c:pt>
                <c:pt idx="1905">
                  <c:v>1997</c:v>
                </c:pt>
                <c:pt idx="1906">
                  <c:v>1997</c:v>
                </c:pt>
                <c:pt idx="1907">
                  <c:v>1997</c:v>
                </c:pt>
                <c:pt idx="1908">
                  <c:v>1997</c:v>
                </c:pt>
                <c:pt idx="1909">
                  <c:v>1997</c:v>
                </c:pt>
                <c:pt idx="1910">
                  <c:v>1997</c:v>
                </c:pt>
                <c:pt idx="1911">
                  <c:v>1997</c:v>
                </c:pt>
                <c:pt idx="1912">
                  <c:v>1997</c:v>
                </c:pt>
                <c:pt idx="1913">
                  <c:v>1997</c:v>
                </c:pt>
                <c:pt idx="1914">
                  <c:v>1997</c:v>
                </c:pt>
                <c:pt idx="1915">
                  <c:v>1997</c:v>
                </c:pt>
                <c:pt idx="1916">
                  <c:v>1997</c:v>
                </c:pt>
                <c:pt idx="1917">
                  <c:v>1997</c:v>
                </c:pt>
                <c:pt idx="1918">
                  <c:v>1997</c:v>
                </c:pt>
                <c:pt idx="1919">
                  <c:v>1997</c:v>
                </c:pt>
                <c:pt idx="1920">
                  <c:v>1997</c:v>
                </c:pt>
                <c:pt idx="1921">
                  <c:v>1997</c:v>
                </c:pt>
                <c:pt idx="1922">
                  <c:v>1997</c:v>
                </c:pt>
                <c:pt idx="1923">
                  <c:v>1997</c:v>
                </c:pt>
                <c:pt idx="1924">
                  <c:v>1997</c:v>
                </c:pt>
                <c:pt idx="1925">
                  <c:v>1997</c:v>
                </c:pt>
                <c:pt idx="1926">
                  <c:v>1997</c:v>
                </c:pt>
                <c:pt idx="1927">
                  <c:v>1997</c:v>
                </c:pt>
                <c:pt idx="1928">
                  <c:v>1997</c:v>
                </c:pt>
                <c:pt idx="1929">
                  <c:v>1997</c:v>
                </c:pt>
                <c:pt idx="1930">
                  <c:v>1997</c:v>
                </c:pt>
                <c:pt idx="1931">
                  <c:v>1997</c:v>
                </c:pt>
                <c:pt idx="1932">
                  <c:v>1997</c:v>
                </c:pt>
                <c:pt idx="1933">
                  <c:v>1997</c:v>
                </c:pt>
                <c:pt idx="1934">
                  <c:v>1997</c:v>
                </c:pt>
                <c:pt idx="1935">
                  <c:v>1997</c:v>
                </c:pt>
                <c:pt idx="1936">
                  <c:v>1997</c:v>
                </c:pt>
                <c:pt idx="1937">
                  <c:v>1997</c:v>
                </c:pt>
                <c:pt idx="1938">
                  <c:v>1997</c:v>
                </c:pt>
                <c:pt idx="1939">
                  <c:v>1997</c:v>
                </c:pt>
                <c:pt idx="1940">
                  <c:v>1997</c:v>
                </c:pt>
                <c:pt idx="1941">
                  <c:v>1997</c:v>
                </c:pt>
                <c:pt idx="1942">
                  <c:v>1997</c:v>
                </c:pt>
                <c:pt idx="1943">
                  <c:v>1997</c:v>
                </c:pt>
                <c:pt idx="1944">
                  <c:v>1997</c:v>
                </c:pt>
                <c:pt idx="1945">
                  <c:v>1997</c:v>
                </c:pt>
                <c:pt idx="1946">
                  <c:v>1997</c:v>
                </c:pt>
                <c:pt idx="1947">
                  <c:v>1997</c:v>
                </c:pt>
                <c:pt idx="1948">
                  <c:v>1997</c:v>
                </c:pt>
                <c:pt idx="1949">
                  <c:v>1997</c:v>
                </c:pt>
                <c:pt idx="1950">
                  <c:v>1997</c:v>
                </c:pt>
                <c:pt idx="1951">
                  <c:v>1997</c:v>
                </c:pt>
                <c:pt idx="1952">
                  <c:v>1997</c:v>
                </c:pt>
                <c:pt idx="1953">
                  <c:v>1997</c:v>
                </c:pt>
                <c:pt idx="1954">
                  <c:v>1997</c:v>
                </c:pt>
                <c:pt idx="1955">
                  <c:v>1997</c:v>
                </c:pt>
                <c:pt idx="1956">
                  <c:v>1997</c:v>
                </c:pt>
                <c:pt idx="1957">
                  <c:v>1997</c:v>
                </c:pt>
                <c:pt idx="1958">
                  <c:v>1997</c:v>
                </c:pt>
                <c:pt idx="1959">
                  <c:v>1997</c:v>
                </c:pt>
                <c:pt idx="1960">
                  <c:v>1997</c:v>
                </c:pt>
                <c:pt idx="1961">
                  <c:v>1997</c:v>
                </c:pt>
                <c:pt idx="1962">
                  <c:v>1997</c:v>
                </c:pt>
                <c:pt idx="1963">
                  <c:v>1997</c:v>
                </c:pt>
                <c:pt idx="1964">
                  <c:v>1997</c:v>
                </c:pt>
                <c:pt idx="1965">
                  <c:v>1997</c:v>
                </c:pt>
                <c:pt idx="1966">
                  <c:v>1997</c:v>
                </c:pt>
                <c:pt idx="1967">
                  <c:v>1997</c:v>
                </c:pt>
                <c:pt idx="1968">
                  <c:v>1997</c:v>
                </c:pt>
                <c:pt idx="1969">
                  <c:v>1997</c:v>
                </c:pt>
                <c:pt idx="1970">
                  <c:v>1997</c:v>
                </c:pt>
                <c:pt idx="1971">
                  <c:v>1997</c:v>
                </c:pt>
                <c:pt idx="1972">
                  <c:v>1997</c:v>
                </c:pt>
                <c:pt idx="1973">
                  <c:v>1997</c:v>
                </c:pt>
                <c:pt idx="1974">
                  <c:v>1997</c:v>
                </c:pt>
                <c:pt idx="1975">
                  <c:v>1997</c:v>
                </c:pt>
                <c:pt idx="1976">
                  <c:v>1997</c:v>
                </c:pt>
                <c:pt idx="1977">
                  <c:v>1997</c:v>
                </c:pt>
                <c:pt idx="1978">
                  <c:v>1997</c:v>
                </c:pt>
                <c:pt idx="1979">
                  <c:v>1997</c:v>
                </c:pt>
                <c:pt idx="1980">
                  <c:v>1997</c:v>
                </c:pt>
                <c:pt idx="1981">
                  <c:v>1997</c:v>
                </c:pt>
                <c:pt idx="1982">
                  <c:v>1997</c:v>
                </c:pt>
                <c:pt idx="1983">
                  <c:v>1997</c:v>
                </c:pt>
                <c:pt idx="1984">
                  <c:v>1997</c:v>
                </c:pt>
                <c:pt idx="1985">
                  <c:v>1997</c:v>
                </c:pt>
                <c:pt idx="1986">
                  <c:v>1997</c:v>
                </c:pt>
                <c:pt idx="1987">
                  <c:v>1997</c:v>
                </c:pt>
                <c:pt idx="1988">
                  <c:v>1997</c:v>
                </c:pt>
                <c:pt idx="1989">
                  <c:v>1997</c:v>
                </c:pt>
                <c:pt idx="1990">
                  <c:v>1997</c:v>
                </c:pt>
                <c:pt idx="1991">
                  <c:v>1997</c:v>
                </c:pt>
                <c:pt idx="1992">
                  <c:v>1997</c:v>
                </c:pt>
                <c:pt idx="1993">
                  <c:v>1997</c:v>
                </c:pt>
                <c:pt idx="1994">
                  <c:v>1997</c:v>
                </c:pt>
                <c:pt idx="1995">
                  <c:v>1997</c:v>
                </c:pt>
                <c:pt idx="1996">
                  <c:v>1997</c:v>
                </c:pt>
                <c:pt idx="1997">
                  <c:v>1997</c:v>
                </c:pt>
                <c:pt idx="1998">
                  <c:v>1997</c:v>
                </c:pt>
                <c:pt idx="1999">
                  <c:v>1997</c:v>
                </c:pt>
                <c:pt idx="2000">
                  <c:v>1997</c:v>
                </c:pt>
                <c:pt idx="2001">
                  <c:v>1997</c:v>
                </c:pt>
                <c:pt idx="2002">
                  <c:v>1997</c:v>
                </c:pt>
                <c:pt idx="2003">
                  <c:v>1997</c:v>
                </c:pt>
                <c:pt idx="2004">
                  <c:v>1997</c:v>
                </c:pt>
                <c:pt idx="2005">
                  <c:v>1997</c:v>
                </c:pt>
                <c:pt idx="2006">
                  <c:v>1997</c:v>
                </c:pt>
                <c:pt idx="2007">
                  <c:v>1997</c:v>
                </c:pt>
                <c:pt idx="2008">
                  <c:v>1997</c:v>
                </c:pt>
                <c:pt idx="2009">
                  <c:v>1997</c:v>
                </c:pt>
                <c:pt idx="2010">
                  <c:v>1997</c:v>
                </c:pt>
                <c:pt idx="2011">
                  <c:v>1997</c:v>
                </c:pt>
                <c:pt idx="2012">
                  <c:v>1997</c:v>
                </c:pt>
                <c:pt idx="2013">
                  <c:v>1997</c:v>
                </c:pt>
                <c:pt idx="2014">
                  <c:v>1997</c:v>
                </c:pt>
                <c:pt idx="2015">
                  <c:v>1997</c:v>
                </c:pt>
                <c:pt idx="2016">
                  <c:v>1997</c:v>
                </c:pt>
                <c:pt idx="2017">
                  <c:v>1997</c:v>
                </c:pt>
                <c:pt idx="2018">
                  <c:v>1997</c:v>
                </c:pt>
                <c:pt idx="2019">
                  <c:v>1997</c:v>
                </c:pt>
                <c:pt idx="2020">
                  <c:v>1997</c:v>
                </c:pt>
                <c:pt idx="2021">
                  <c:v>1997</c:v>
                </c:pt>
                <c:pt idx="2022">
                  <c:v>1997</c:v>
                </c:pt>
                <c:pt idx="2023">
                  <c:v>1997</c:v>
                </c:pt>
                <c:pt idx="2024">
                  <c:v>1997</c:v>
                </c:pt>
                <c:pt idx="2025">
                  <c:v>1997</c:v>
                </c:pt>
                <c:pt idx="2026">
                  <c:v>1997</c:v>
                </c:pt>
                <c:pt idx="2027">
                  <c:v>1997</c:v>
                </c:pt>
                <c:pt idx="2028">
                  <c:v>1997</c:v>
                </c:pt>
                <c:pt idx="2029">
                  <c:v>1997</c:v>
                </c:pt>
                <c:pt idx="2030">
                  <c:v>1997</c:v>
                </c:pt>
                <c:pt idx="2031">
                  <c:v>1997</c:v>
                </c:pt>
                <c:pt idx="2032">
                  <c:v>1997</c:v>
                </c:pt>
                <c:pt idx="2033">
                  <c:v>1997</c:v>
                </c:pt>
                <c:pt idx="2034">
                  <c:v>1997</c:v>
                </c:pt>
                <c:pt idx="2035">
                  <c:v>1997</c:v>
                </c:pt>
                <c:pt idx="2036">
                  <c:v>1997</c:v>
                </c:pt>
                <c:pt idx="2037">
                  <c:v>1997</c:v>
                </c:pt>
                <c:pt idx="2038">
                  <c:v>1997</c:v>
                </c:pt>
                <c:pt idx="2039">
                  <c:v>1997</c:v>
                </c:pt>
                <c:pt idx="2040">
                  <c:v>1997</c:v>
                </c:pt>
                <c:pt idx="2041">
                  <c:v>1997</c:v>
                </c:pt>
                <c:pt idx="2042">
                  <c:v>1997</c:v>
                </c:pt>
                <c:pt idx="2043">
                  <c:v>1997</c:v>
                </c:pt>
                <c:pt idx="2044">
                  <c:v>1997</c:v>
                </c:pt>
                <c:pt idx="2045">
                  <c:v>1997</c:v>
                </c:pt>
                <c:pt idx="2046">
                  <c:v>1997</c:v>
                </c:pt>
                <c:pt idx="2047">
                  <c:v>1997</c:v>
                </c:pt>
                <c:pt idx="2048">
                  <c:v>1997</c:v>
                </c:pt>
                <c:pt idx="2049">
                  <c:v>1997</c:v>
                </c:pt>
                <c:pt idx="2050">
                  <c:v>1997</c:v>
                </c:pt>
                <c:pt idx="2051">
                  <c:v>1997</c:v>
                </c:pt>
                <c:pt idx="2052">
                  <c:v>1997</c:v>
                </c:pt>
                <c:pt idx="2053">
                  <c:v>1997</c:v>
                </c:pt>
                <c:pt idx="2054">
                  <c:v>1997</c:v>
                </c:pt>
                <c:pt idx="2055">
                  <c:v>1997</c:v>
                </c:pt>
                <c:pt idx="2056">
                  <c:v>1997</c:v>
                </c:pt>
                <c:pt idx="2057">
                  <c:v>1997</c:v>
                </c:pt>
                <c:pt idx="2058">
                  <c:v>1997</c:v>
                </c:pt>
                <c:pt idx="2059">
                  <c:v>1997</c:v>
                </c:pt>
                <c:pt idx="2060">
                  <c:v>1997</c:v>
                </c:pt>
                <c:pt idx="2061">
                  <c:v>1997</c:v>
                </c:pt>
                <c:pt idx="2062">
                  <c:v>1997</c:v>
                </c:pt>
                <c:pt idx="2063">
                  <c:v>1997</c:v>
                </c:pt>
                <c:pt idx="2064">
                  <c:v>1997</c:v>
                </c:pt>
                <c:pt idx="2065">
                  <c:v>1997</c:v>
                </c:pt>
                <c:pt idx="2066">
                  <c:v>1997</c:v>
                </c:pt>
                <c:pt idx="2067">
                  <c:v>1997</c:v>
                </c:pt>
                <c:pt idx="2068">
                  <c:v>1997</c:v>
                </c:pt>
                <c:pt idx="2069">
                  <c:v>1997</c:v>
                </c:pt>
                <c:pt idx="2070">
                  <c:v>1997</c:v>
                </c:pt>
                <c:pt idx="2071">
                  <c:v>1997</c:v>
                </c:pt>
                <c:pt idx="2072">
                  <c:v>1997</c:v>
                </c:pt>
                <c:pt idx="2073">
                  <c:v>1997</c:v>
                </c:pt>
                <c:pt idx="2074">
                  <c:v>1997</c:v>
                </c:pt>
                <c:pt idx="2075">
                  <c:v>1997</c:v>
                </c:pt>
                <c:pt idx="2076">
                  <c:v>1997</c:v>
                </c:pt>
                <c:pt idx="2077">
                  <c:v>1997</c:v>
                </c:pt>
                <c:pt idx="2078">
                  <c:v>1997</c:v>
                </c:pt>
                <c:pt idx="2079">
                  <c:v>1997</c:v>
                </c:pt>
                <c:pt idx="2080">
                  <c:v>1997</c:v>
                </c:pt>
                <c:pt idx="2081">
                  <c:v>1997</c:v>
                </c:pt>
                <c:pt idx="2082">
                  <c:v>1997</c:v>
                </c:pt>
                <c:pt idx="2083">
                  <c:v>1997</c:v>
                </c:pt>
                <c:pt idx="2084">
                  <c:v>1997</c:v>
                </c:pt>
                <c:pt idx="2085">
                  <c:v>1997</c:v>
                </c:pt>
                <c:pt idx="2086">
                  <c:v>1997</c:v>
                </c:pt>
                <c:pt idx="2087">
                  <c:v>1997</c:v>
                </c:pt>
                <c:pt idx="2088">
                  <c:v>1997</c:v>
                </c:pt>
                <c:pt idx="2089">
                  <c:v>1997</c:v>
                </c:pt>
                <c:pt idx="2090">
                  <c:v>1997</c:v>
                </c:pt>
                <c:pt idx="2091">
                  <c:v>1997</c:v>
                </c:pt>
                <c:pt idx="2092">
                  <c:v>1997</c:v>
                </c:pt>
                <c:pt idx="2093">
                  <c:v>1997</c:v>
                </c:pt>
                <c:pt idx="2094">
                  <c:v>1997</c:v>
                </c:pt>
                <c:pt idx="2095">
                  <c:v>1997</c:v>
                </c:pt>
                <c:pt idx="2096">
                  <c:v>1997</c:v>
                </c:pt>
                <c:pt idx="2097">
                  <c:v>1997</c:v>
                </c:pt>
                <c:pt idx="2098">
                  <c:v>1997</c:v>
                </c:pt>
                <c:pt idx="2099">
                  <c:v>1997</c:v>
                </c:pt>
                <c:pt idx="2100">
                  <c:v>1997</c:v>
                </c:pt>
                <c:pt idx="2101">
                  <c:v>1997</c:v>
                </c:pt>
                <c:pt idx="2102">
                  <c:v>1997</c:v>
                </c:pt>
                <c:pt idx="2103">
                  <c:v>1997</c:v>
                </c:pt>
                <c:pt idx="2104">
                  <c:v>1997</c:v>
                </c:pt>
                <c:pt idx="2105">
                  <c:v>1997</c:v>
                </c:pt>
                <c:pt idx="2106">
                  <c:v>1997</c:v>
                </c:pt>
                <c:pt idx="2107">
                  <c:v>1997</c:v>
                </c:pt>
                <c:pt idx="2108">
                  <c:v>1997</c:v>
                </c:pt>
                <c:pt idx="2109">
                  <c:v>1997</c:v>
                </c:pt>
                <c:pt idx="2110">
                  <c:v>1997</c:v>
                </c:pt>
                <c:pt idx="2111">
                  <c:v>1997</c:v>
                </c:pt>
                <c:pt idx="2112">
                  <c:v>1997</c:v>
                </c:pt>
                <c:pt idx="2113">
                  <c:v>1997</c:v>
                </c:pt>
                <c:pt idx="2114">
                  <c:v>1997</c:v>
                </c:pt>
                <c:pt idx="2115">
                  <c:v>1997</c:v>
                </c:pt>
                <c:pt idx="2116">
                  <c:v>1997</c:v>
                </c:pt>
                <c:pt idx="2117">
                  <c:v>1997</c:v>
                </c:pt>
                <c:pt idx="2118">
                  <c:v>1997</c:v>
                </c:pt>
                <c:pt idx="2119">
                  <c:v>1997</c:v>
                </c:pt>
                <c:pt idx="2120">
                  <c:v>1997</c:v>
                </c:pt>
                <c:pt idx="2121">
                  <c:v>1997</c:v>
                </c:pt>
                <c:pt idx="2122">
                  <c:v>1997</c:v>
                </c:pt>
                <c:pt idx="2123">
                  <c:v>1997</c:v>
                </c:pt>
                <c:pt idx="2124">
                  <c:v>1997</c:v>
                </c:pt>
                <c:pt idx="2125">
                  <c:v>1997</c:v>
                </c:pt>
                <c:pt idx="2126">
                  <c:v>1997</c:v>
                </c:pt>
                <c:pt idx="2127">
                  <c:v>1997</c:v>
                </c:pt>
                <c:pt idx="2128">
                  <c:v>1997</c:v>
                </c:pt>
                <c:pt idx="2129">
                  <c:v>1997</c:v>
                </c:pt>
                <c:pt idx="2130">
                  <c:v>1997</c:v>
                </c:pt>
                <c:pt idx="2131">
                  <c:v>1997</c:v>
                </c:pt>
                <c:pt idx="2132">
                  <c:v>1997</c:v>
                </c:pt>
                <c:pt idx="2133">
                  <c:v>1997</c:v>
                </c:pt>
                <c:pt idx="2134">
                  <c:v>1997</c:v>
                </c:pt>
                <c:pt idx="2135">
                  <c:v>1997</c:v>
                </c:pt>
                <c:pt idx="2136">
                  <c:v>1997</c:v>
                </c:pt>
                <c:pt idx="2137">
                  <c:v>1997</c:v>
                </c:pt>
                <c:pt idx="2138">
                  <c:v>1997</c:v>
                </c:pt>
                <c:pt idx="2139">
                  <c:v>1997</c:v>
                </c:pt>
                <c:pt idx="2140">
                  <c:v>1997</c:v>
                </c:pt>
                <c:pt idx="2141">
                  <c:v>1997</c:v>
                </c:pt>
                <c:pt idx="2142">
                  <c:v>1997</c:v>
                </c:pt>
                <c:pt idx="2143">
                  <c:v>1997</c:v>
                </c:pt>
                <c:pt idx="2144">
                  <c:v>1997</c:v>
                </c:pt>
                <c:pt idx="2145">
                  <c:v>1997</c:v>
                </c:pt>
                <c:pt idx="2146">
                  <c:v>1997</c:v>
                </c:pt>
                <c:pt idx="2147">
                  <c:v>1997</c:v>
                </c:pt>
                <c:pt idx="2148">
                  <c:v>1997</c:v>
                </c:pt>
                <c:pt idx="2149">
                  <c:v>1997</c:v>
                </c:pt>
                <c:pt idx="2150">
                  <c:v>1997</c:v>
                </c:pt>
                <c:pt idx="2151">
                  <c:v>1997</c:v>
                </c:pt>
                <c:pt idx="2152">
                  <c:v>1997</c:v>
                </c:pt>
                <c:pt idx="2153">
                  <c:v>1997</c:v>
                </c:pt>
                <c:pt idx="2154">
                  <c:v>1997</c:v>
                </c:pt>
                <c:pt idx="2155">
                  <c:v>1997</c:v>
                </c:pt>
                <c:pt idx="2156">
                  <c:v>1997</c:v>
                </c:pt>
                <c:pt idx="2157">
                  <c:v>1997</c:v>
                </c:pt>
                <c:pt idx="2158">
                  <c:v>1997</c:v>
                </c:pt>
                <c:pt idx="2159">
                  <c:v>1997</c:v>
                </c:pt>
                <c:pt idx="2160">
                  <c:v>1997</c:v>
                </c:pt>
                <c:pt idx="2161">
                  <c:v>1997</c:v>
                </c:pt>
                <c:pt idx="2162">
                  <c:v>1997</c:v>
                </c:pt>
                <c:pt idx="2163">
                  <c:v>1997</c:v>
                </c:pt>
                <c:pt idx="2164">
                  <c:v>1997</c:v>
                </c:pt>
                <c:pt idx="2165">
                  <c:v>1997</c:v>
                </c:pt>
                <c:pt idx="2166">
                  <c:v>1997</c:v>
                </c:pt>
                <c:pt idx="2167">
                  <c:v>1997</c:v>
                </c:pt>
                <c:pt idx="2168">
                  <c:v>1997</c:v>
                </c:pt>
                <c:pt idx="2169">
                  <c:v>1997</c:v>
                </c:pt>
                <c:pt idx="2170">
                  <c:v>1997</c:v>
                </c:pt>
                <c:pt idx="2171">
                  <c:v>1997</c:v>
                </c:pt>
                <c:pt idx="2172">
                  <c:v>1997</c:v>
                </c:pt>
                <c:pt idx="2173">
                  <c:v>1997</c:v>
                </c:pt>
                <c:pt idx="2174">
                  <c:v>1997</c:v>
                </c:pt>
                <c:pt idx="2175">
                  <c:v>1997</c:v>
                </c:pt>
                <c:pt idx="2176">
                  <c:v>1997</c:v>
                </c:pt>
                <c:pt idx="2177">
                  <c:v>1997</c:v>
                </c:pt>
                <c:pt idx="2178">
                  <c:v>1997</c:v>
                </c:pt>
                <c:pt idx="2179">
                  <c:v>1997</c:v>
                </c:pt>
                <c:pt idx="2180">
                  <c:v>1997</c:v>
                </c:pt>
                <c:pt idx="2181">
                  <c:v>1997</c:v>
                </c:pt>
                <c:pt idx="2182">
                  <c:v>1997</c:v>
                </c:pt>
                <c:pt idx="2183">
                  <c:v>1997</c:v>
                </c:pt>
                <c:pt idx="2184">
                  <c:v>1997</c:v>
                </c:pt>
                <c:pt idx="2185">
                  <c:v>1997</c:v>
                </c:pt>
                <c:pt idx="2186">
                  <c:v>1997</c:v>
                </c:pt>
                <c:pt idx="2187">
                  <c:v>1997</c:v>
                </c:pt>
                <c:pt idx="2188">
                  <c:v>1997</c:v>
                </c:pt>
                <c:pt idx="2189">
                  <c:v>1997</c:v>
                </c:pt>
                <c:pt idx="2190">
                  <c:v>1997</c:v>
                </c:pt>
                <c:pt idx="2191">
                  <c:v>1997</c:v>
                </c:pt>
                <c:pt idx="2192">
                  <c:v>1997</c:v>
                </c:pt>
                <c:pt idx="2193">
                  <c:v>1997</c:v>
                </c:pt>
                <c:pt idx="2194">
                  <c:v>1997</c:v>
                </c:pt>
                <c:pt idx="2195">
                  <c:v>1997</c:v>
                </c:pt>
                <c:pt idx="2196">
                  <c:v>1997</c:v>
                </c:pt>
                <c:pt idx="2197">
                  <c:v>1997</c:v>
                </c:pt>
                <c:pt idx="2198">
                  <c:v>1997</c:v>
                </c:pt>
                <c:pt idx="2199">
                  <c:v>1997</c:v>
                </c:pt>
                <c:pt idx="2200">
                  <c:v>1997</c:v>
                </c:pt>
                <c:pt idx="2201">
                  <c:v>1997</c:v>
                </c:pt>
                <c:pt idx="2202">
                  <c:v>1997</c:v>
                </c:pt>
                <c:pt idx="2203">
                  <c:v>1997</c:v>
                </c:pt>
                <c:pt idx="2204">
                  <c:v>1997</c:v>
                </c:pt>
                <c:pt idx="2205">
                  <c:v>1997</c:v>
                </c:pt>
                <c:pt idx="2206">
                  <c:v>1997</c:v>
                </c:pt>
                <c:pt idx="2207">
                  <c:v>1997</c:v>
                </c:pt>
                <c:pt idx="2208">
                  <c:v>1997</c:v>
                </c:pt>
                <c:pt idx="2209">
                  <c:v>1997</c:v>
                </c:pt>
                <c:pt idx="2210">
                  <c:v>1997</c:v>
                </c:pt>
                <c:pt idx="2211">
                  <c:v>1997</c:v>
                </c:pt>
                <c:pt idx="2212">
                  <c:v>1997</c:v>
                </c:pt>
                <c:pt idx="2213">
                  <c:v>1997</c:v>
                </c:pt>
                <c:pt idx="2214">
                  <c:v>1997</c:v>
                </c:pt>
                <c:pt idx="2215">
                  <c:v>1997</c:v>
                </c:pt>
                <c:pt idx="2216">
                  <c:v>1997</c:v>
                </c:pt>
                <c:pt idx="2217">
                  <c:v>1997</c:v>
                </c:pt>
                <c:pt idx="2218">
                  <c:v>1997</c:v>
                </c:pt>
                <c:pt idx="2219">
                  <c:v>1997</c:v>
                </c:pt>
                <c:pt idx="2220">
                  <c:v>1997</c:v>
                </c:pt>
                <c:pt idx="2221">
                  <c:v>1997</c:v>
                </c:pt>
                <c:pt idx="2222">
                  <c:v>1997</c:v>
                </c:pt>
                <c:pt idx="2223">
                  <c:v>1997</c:v>
                </c:pt>
                <c:pt idx="2224">
                  <c:v>1997</c:v>
                </c:pt>
                <c:pt idx="2225">
                  <c:v>1997</c:v>
                </c:pt>
                <c:pt idx="2226">
                  <c:v>1997</c:v>
                </c:pt>
                <c:pt idx="2227">
                  <c:v>1998</c:v>
                </c:pt>
                <c:pt idx="2228">
                  <c:v>1998</c:v>
                </c:pt>
                <c:pt idx="2229">
                  <c:v>1998</c:v>
                </c:pt>
                <c:pt idx="2230">
                  <c:v>1998</c:v>
                </c:pt>
                <c:pt idx="2231">
                  <c:v>1998</c:v>
                </c:pt>
                <c:pt idx="2232">
                  <c:v>1998</c:v>
                </c:pt>
                <c:pt idx="2233">
                  <c:v>1998</c:v>
                </c:pt>
                <c:pt idx="2234">
                  <c:v>1998</c:v>
                </c:pt>
                <c:pt idx="2235">
                  <c:v>1998</c:v>
                </c:pt>
                <c:pt idx="2236">
                  <c:v>1998</c:v>
                </c:pt>
                <c:pt idx="2237">
                  <c:v>1998</c:v>
                </c:pt>
                <c:pt idx="2238">
                  <c:v>1998</c:v>
                </c:pt>
                <c:pt idx="2239">
                  <c:v>1998</c:v>
                </c:pt>
                <c:pt idx="2240">
                  <c:v>1998</c:v>
                </c:pt>
                <c:pt idx="2241">
                  <c:v>1998</c:v>
                </c:pt>
                <c:pt idx="2242">
                  <c:v>1998</c:v>
                </c:pt>
                <c:pt idx="2243">
                  <c:v>1998</c:v>
                </c:pt>
                <c:pt idx="2244">
                  <c:v>1998</c:v>
                </c:pt>
                <c:pt idx="2245">
                  <c:v>1998</c:v>
                </c:pt>
                <c:pt idx="2246">
                  <c:v>1998</c:v>
                </c:pt>
                <c:pt idx="2247">
                  <c:v>1998</c:v>
                </c:pt>
                <c:pt idx="2248">
                  <c:v>1998</c:v>
                </c:pt>
                <c:pt idx="2249">
                  <c:v>1998</c:v>
                </c:pt>
                <c:pt idx="2250">
                  <c:v>1998</c:v>
                </c:pt>
                <c:pt idx="2251">
                  <c:v>1998</c:v>
                </c:pt>
                <c:pt idx="2252">
                  <c:v>1998</c:v>
                </c:pt>
                <c:pt idx="2253">
                  <c:v>1998</c:v>
                </c:pt>
                <c:pt idx="2254">
                  <c:v>1998</c:v>
                </c:pt>
                <c:pt idx="2255">
                  <c:v>1998</c:v>
                </c:pt>
                <c:pt idx="2256">
                  <c:v>1998</c:v>
                </c:pt>
                <c:pt idx="2257">
                  <c:v>1998</c:v>
                </c:pt>
                <c:pt idx="2258">
                  <c:v>1998</c:v>
                </c:pt>
                <c:pt idx="2259">
                  <c:v>1998</c:v>
                </c:pt>
                <c:pt idx="2260">
                  <c:v>1998</c:v>
                </c:pt>
                <c:pt idx="2261">
                  <c:v>1998</c:v>
                </c:pt>
                <c:pt idx="2262">
                  <c:v>1998</c:v>
                </c:pt>
                <c:pt idx="2263">
                  <c:v>1998</c:v>
                </c:pt>
                <c:pt idx="2264">
                  <c:v>1998</c:v>
                </c:pt>
                <c:pt idx="2265">
                  <c:v>1998</c:v>
                </c:pt>
                <c:pt idx="2266">
                  <c:v>1998</c:v>
                </c:pt>
                <c:pt idx="2267">
                  <c:v>1998</c:v>
                </c:pt>
                <c:pt idx="2268">
                  <c:v>1998</c:v>
                </c:pt>
                <c:pt idx="2269">
                  <c:v>1998</c:v>
                </c:pt>
                <c:pt idx="2270">
                  <c:v>1998</c:v>
                </c:pt>
                <c:pt idx="2271">
                  <c:v>1998</c:v>
                </c:pt>
                <c:pt idx="2272">
                  <c:v>1998</c:v>
                </c:pt>
                <c:pt idx="2273">
                  <c:v>1998</c:v>
                </c:pt>
                <c:pt idx="2274">
                  <c:v>1998</c:v>
                </c:pt>
                <c:pt idx="2275">
                  <c:v>1998</c:v>
                </c:pt>
                <c:pt idx="2276">
                  <c:v>1998</c:v>
                </c:pt>
                <c:pt idx="2277">
                  <c:v>1998</c:v>
                </c:pt>
                <c:pt idx="2278">
                  <c:v>1998</c:v>
                </c:pt>
                <c:pt idx="2279">
                  <c:v>1998</c:v>
                </c:pt>
                <c:pt idx="2280">
                  <c:v>1998</c:v>
                </c:pt>
                <c:pt idx="2281">
                  <c:v>1998</c:v>
                </c:pt>
                <c:pt idx="2282">
                  <c:v>1998</c:v>
                </c:pt>
                <c:pt idx="2283">
                  <c:v>1998</c:v>
                </c:pt>
                <c:pt idx="2284">
                  <c:v>1998</c:v>
                </c:pt>
                <c:pt idx="2285">
                  <c:v>1998</c:v>
                </c:pt>
                <c:pt idx="2286">
                  <c:v>1998</c:v>
                </c:pt>
                <c:pt idx="2287">
                  <c:v>1998</c:v>
                </c:pt>
                <c:pt idx="2288">
                  <c:v>1998</c:v>
                </c:pt>
                <c:pt idx="2289">
                  <c:v>1998</c:v>
                </c:pt>
                <c:pt idx="2290">
                  <c:v>1998</c:v>
                </c:pt>
                <c:pt idx="2291">
                  <c:v>1998</c:v>
                </c:pt>
                <c:pt idx="2292">
                  <c:v>1998</c:v>
                </c:pt>
                <c:pt idx="2293">
                  <c:v>1998</c:v>
                </c:pt>
                <c:pt idx="2294">
                  <c:v>1998</c:v>
                </c:pt>
                <c:pt idx="2295">
                  <c:v>1998</c:v>
                </c:pt>
                <c:pt idx="2296">
                  <c:v>1998</c:v>
                </c:pt>
                <c:pt idx="2297">
                  <c:v>1998</c:v>
                </c:pt>
                <c:pt idx="2298">
                  <c:v>1998</c:v>
                </c:pt>
                <c:pt idx="2299">
                  <c:v>1998</c:v>
                </c:pt>
                <c:pt idx="2300">
                  <c:v>1998</c:v>
                </c:pt>
                <c:pt idx="2301">
                  <c:v>1998</c:v>
                </c:pt>
                <c:pt idx="2302">
                  <c:v>1998</c:v>
                </c:pt>
                <c:pt idx="2303">
                  <c:v>1998</c:v>
                </c:pt>
                <c:pt idx="2304">
                  <c:v>1998</c:v>
                </c:pt>
                <c:pt idx="2305">
                  <c:v>1998</c:v>
                </c:pt>
                <c:pt idx="2306">
                  <c:v>1998</c:v>
                </c:pt>
                <c:pt idx="2307">
                  <c:v>1998</c:v>
                </c:pt>
                <c:pt idx="2308">
                  <c:v>1998</c:v>
                </c:pt>
                <c:pt idx="2309">
                  <c:v>1998</c:v>
                </c:pt>
                <c:pt idx="2310">
                  <c:v>1998</c:v>
                </c:pt>
                <c:pt idx="2311">
                  <c:v>1998</c:v>
                </c:pt>
                <c:pt idx="2312">
                  <c:v>1998</c:v>
                </c:pt>
                <c:pt idx="2313">
                  <c:v>1998</c:v>
                </c:pt>
                <c:pt idx="2314">
                  <c:v>1998</c:v>
                </c:pt>
                <c:pt idx="2315">
                  <c:v>1998</c:v>
                </c:pt>
                <c:pt idx="2316">
                  <c:v>1998</c:v>
                </c:pt>
                <c:pt idx="2317">
                  <c:v>1998</c:v>
                </c:pt>
                <c:pt idx="2318">
                  <c:v>1998</c:v>
                </c:pt>
                <c:pt idx="2319">
                  <c:v>1998</c:v>
                </c:pt>
                <c:pt idx="2320">
                  <c:v>1998</c:v>
                </c:pt>
                <c:pt idx="2321">
                  <c:v>1998</c:v>
                </c:pt>
                <c:pt idx="2322">
                  <c:v>1998</c:v>
                </c:pt>
                <c:pt idx="2323">
                  <c:v>1998</c:v>
                </c:pt>
                <c:pt idx="2324">
                  <c:v>1998</c:v>
                </c:pt>
                <c:pt idx="2325">
                  <c:v>1998</c:v>
                </c:pt>
                <c:pt idx="2326">
                  <c:v>1998</c:v>
                </c:pt>
                <c:pt idx="2327">
                  <c:v>1998</c:v>
                </c:pt>
                <c:pt idx="2328">
                  <c:v>1998</c:v>
                </c:pt>
                <c:pt idx="2329">
                  <c:v>1998</c:v>
                </c:pt>
                <c:pt idx="2330">
                  <c:v>1998</c:v>
                </c:pt>
                <c:pt idx="2331">
                  <c:v>1998</c:v>
                </c:pt>
                <c:pt idx="2332">
                  <c:v>1998</c:v>
                </c:pt>
                <c:pt idx="2333">
                  <c:v>1998</c:v>
                </c:pt>
                <c:pt idx="2334">
                  <c:v>1998</c:v>
                </c:pt>
                <c:pt idx="2335">
                  <c:v>1998</c:v>
                </c:pt>
                <c:pt idx="2336">
                  <c:v>1998</c:v>
                </c:pt>
                <c:pt idx="2337">
                  <c:v>1998</c:v>
                </c:pt>
                <c:pt idx="2338">
                  <c:v>1998</c:v>
                </c:pt>
                <c:pt idx="2339">
                  <c:v>1998</c:v>
                </c:pt>
                <c:pt idx="2340">
                  <c:v>1998</c:v>
                </c:pt>
                <c:pt idx="2341">
                  <c:v>1998</c:v>
                </c:pt>
                <c:pt idx="2342">
                  <c:v>1998</c:v>
                </c:pt>
                <c:pt idx="2343">
                  <c:v>1998</c:v>
                </c:pt>
                <c:pt idx="2344">
                  <c:v>1998</c:v>
                </c:pt>
                <c:pt idx="2345">
                  <c:v>1998</c:v>
                </c:pt>
                <c:pt idx="2346">
                  <c:v>1998</c:v>
                </c:pt>
                <c:pt idx="2347">
                  <c:v>1998</c:v>
                </c:pt>
                <c:pt idx="2348">
                  <c:v>1998</c:v>
                </c:pt>
                <c:pt idx="2349">
                  <c:v>1998</c:v>
                </c:pt>
                <c:pt idx="2350">
                  <c:v>1998</c:v>
                </c:pt>
                <c:pt idx="2351">
                  <c:v>1998</c:v>
                </c:pt>
                <c:pt idx="2352">
                  <c:v>1998</c:v>
                </c:pt>
                <c:pt idx="2353">
                  <c:v>1998</c:v>
                </c:pt>
                <c:pt idx="2354">
                  <c:v>1998</c:v>
                </c:pt>
                <c:pt idx="2355">
                  <c:v>1998</c:v>
                </c:pt>
                <c:pt idx="2356">
                  <c:v>1998</c:v>
                </c:pt>
                <c:pt idx="2357">
                  <c:v>1998</c:v>
                </c:pt>
                <c:pt idx="2358">
                  <c:v>1998</c:v>
                </c:pt>
                <c:pt idx="2359">
                  <c:v>1998</c:v>
                </c:pt>
                <c:pt idx="2360">
                  <c:v>1998</c:v>
                </c:pt>
                <c:pt idx="2361">
                  <c:v>1998</c:v>
                </c:pt>
                <c:pt idx="2362">
                  <c:v>1998</c:v>
                </c:pt>
                <c:pt idx="2363">
                  <c:v>1998</c:v>
                </c:pt>
                <c:pt idx="2364">
                  <c:v>1998</c:v>
                </c:pt>
                <c:pt idx="2365">
                  <c:v>1998</c:v>
                </c:pt>
                <c:pt idx="2366">
                  <c:v>1998</c:v>
                </c:pt>
                <c:pt idx="2367">
                  <c:v>1998</c:v>
                </c:pt>
                <c:pt idx="2368">
                  <c:v>1998</c:v>
                </c:pt>
                <c:pt idx="2369">
                  <c:v>1998</c:v>
                </c:pt>
                <c:pt idx="2370">
                  <c:v>1998</c:v>
                </c:pt>
                <c:pt idx="2371">
                  <c:v>1998</c:v>
                </c:pt>
                <c:pt idx="2372">
                  <c:v>1998</c:v>
                </c:pt>
                <c:pt idx="2373">
                  <c:v>1998</c:v>
                </c:pt>
                <c:pt idx="2374">
                  <c:v>1998</c:v>
                </c:pt>
                <c:pt idx="2375">
                  <c:v>1998</c:v>
                </c:pt>
                <c:pt idx="2376">
                  <c:v>1998</c:v>
                </c:pt>
                <c:pt idx="2377">
                  <c:v>1998</c:v>
                </c:pt>
                <c:pt idx="2378">
                  <c:v>1998</c:v>
                </c:pt>
                <c:pt idx="2379">
                  <c:v>1998</c:v>
                </c:pt>
                <c:pt idx="2380">
                  <c:v>1998</c:v>
                </c:pt>
                <c:pt idx="2381">
                  <c:v>1998</c:v>
                </c:pt>
                <c:pt idx="2382">
                  <c:v>1998</c:v>
                </c:pt>
                <c:pt idx="2383">
                  <c:v>1998</c:v>
                </c:pt>
                <c:pt idx="2384">
                  <c:v>1998</c:v>
                </c:pt>
                <c:pt idx="2385">
                  <c:v>1998</c:v>
                </c:pt>
                <c:pt idx="2386">
                  <c:v>1998</c:v>
                </c:pt>
                <c:pt idx="2387">
                  <c:v>1998</c:v>
                </c:pt>
                <c:pt idx="2388">
                  <c:v>1998</c:v>
                </c:pt>
                <c:pt idx="2389">
                  <c:v>1998</c:v>
                </c:pt>
                <c:pt idx="2390">
                  <c:v>1998</c:v>
                </c:pt>
                <c:pt idx="2391">
                  <c:v>1998</c:v>
                </c:pt>
                <c:pt idx="2392">
                  <c:v>1998</c:v>
                </c:pt>
                <c:pt idx="2393">
                  <c:v>1998</c:v>
                </c:pt>
                <c:pt idx="2394">
                  <c:v>1998</c:v>
                </c:pt>
                <c:pt idx="2395">
                  <c:v>1998</c:v>
                </c:pt>
                <c:pt idx="2396">
                  <c:v>1998</c:v>
                </c:pt>
                <c:pt idx="2397">
                  <c:v>1998</c:v>
                </c:pt>
                <c:pt idx="2398">
                  <c:v>1998</c:v>
                </c:pt>
                <c:pt idx="2399">
                  <c:v>1998</c:v>
                </c:pt>
                <c:pt idx="2400">
                  <c:v>1998</c:v>
                </c:pt>
                <c:pt idx="2401">
                  <c:v>1998</c:v>
                </c:pt>
                <c:pt idx="2402">
                  <c:v>1998</c:v>
                </c:pt>
                <c:pt idx="2403">
                  <c:v>1998</c:v>
                </c:pt>
                <c:pt idx="2404">
                  <c:v>1998</c:v>
                </c:pt>
                <c:pt idx="2405">
                  <c:v>1998</c:v>
                </c:pt>
                <c:pt idx="2406">
                  <c:v>1998</c:v>
                </c:pt>
                <c:pt idx="2407">
                  <c:v>1998</c:v>
                </c:pt>
                <c:pt idx="2408">
                  <c:v>1998</c:v>
                </c:pt>
                <c:pt idx="2409">
                  <c:v>1998</c:v>
                </c:pt>
                <c:pt idx="2410">
                  <c:v>1998</c:v>
                </c:pt>
                <c:pt idx="2411">
                  <c:v>1998</c:v>
                </c:pt>
                <c:pt idx="2412">
                  <c:v>1998</c:v>
                </c:pt>
                <c:pt idx="2413">
                  <c:v>1998</c:v>
                </c:pt>
                <c:pt idx="2414">
                  <c:v>1998</c:v>
                </c:pt>
                <c:pt idx="2415">
                  <c:v>1998</c:v>
                </c:pt>
                <c:pt idx="2416">
                  <c:v>1998</c:v>
                </c:pt>
                <c:pt idx="2417">
                  <c:v>1998</c:v>
                </c:pt>
                <c:pt idx="2418">
                  <c:v>1998</c:v>
                </c:pt>
                <c:pt idx="2419">
                  <c:v>1998</c:v>
                </c:pt>
                <c:pt idx="2420">
                  <c:v>1998</c:v>
                </c:pt>
                <c:pt idx="2421">
                  <c:v>1998</c:v>
                </c:pt>
                <c:pt idx="2422">
                  <c:v>1998</c:v>
                </c:pt>
                <c:pt idx="2423">
                  <c:v>1998</c:v>
                </c:pt>
                <c:pt idx="2424">
                  <c:v>1998</c:v>
                </c:pt>
                <c:pt idx="2425">
                  <c:v>1998</c:v>
                </c:pt>
                <c:pt idx="2426">
                  <c:v>1998</c:v>
                </c:pt>
                <c:pt idx="2427">
                  <c:v>1998</c:v>
                </c:pt>
                <c:pt idx="2428">
                  <c:v>1998</c:v>
                </c:pt>
                <c:pt idx="2429">
                  <c:v>1998</c:v>
                </c:pt>
                <c:pt idx="2430">
                  <c:v>1998</c:v>
                </c:pt>
                <c:pt idx="2431">
                  <c:v>1998</c:v>
                </c:pt>
                <c:pt idx="2432">
                  <c:v>1998</c:v>
                </c:pt>
                <c:pt idx="2433">
                  <c:v>1998</c:v>
                </c:pt>
                <c:pt idx="2434">
                  <c:v>1998</c:v>
                </c:pt>
                <c:pt idx="2435">
                  <c:v>1998</c:v>
                </c:pt>
                <c:pt idx="2436">
                  <c:v>1998</c:v>
                </c:pt>
                <c:pt idx="2437">
                  <c:v>1998</c:v>
                </c:pt>
                <c:pt idx="2438">
                  <c:v>1998</c:v>
                </c:pt>
                <c:pt idx="2439">
                  <c:v>1998</c:v>
                </c:pt>
                <c:pt idx="2440">
                  <c:v>1998</c:v>
                </c:pt>
                <c:pt idx="2441">
                  <c:v>1998</c:v>
                </c:pt>
                <c:pt idx="2442">
                  <c:v>1998</c:v>
                </c:pt>
                <c:pt idx="2443">
                  <c:v>1998</c:v>
                </c:pt>
                <c:pt idx="2444">
                  <c:v>1998</c:v>
                </c:pt>
                <c:pt idx="2445">
                  <c:v>1998</c:v>
                </c:pt>
                <c:pt idx="2446">
                  <c:v>1998</c:v>
                </c:pt>
                <c:pt idx="2447">
                  <c:v>1998</c:v>
                </c:pt>
                <c:pt idx="2448">
                  <c:v>1998</c:v>
                </c:pt>
                <c:pt idx="2449">
                  <c:v>1998</c:v>
                </c:pt>
                <c:pt idx="2450">
                  <c:v>1998</c:v>
                </c:pt>
                <c:pt idx="2451">
                  <c:v>1998</c:v>
                </c:pt>
                <c:pt idx="2452">
                  <c:v>1998</c:v>
                </c:pt>
                <c:pt idx="2453">
                  <c:v>1998</c:v>
                </c:pt>
                <c:pt idx="2454">
                  <c:v>1998</c:v>
                </c:pt>
                <c:pt idx="2455">
                  <c:v>1998</c:v>
                </c:pt>
                <c:pt idx="2456">
                  <c:v>1998</c:v>
                </c:pt>
                <c:pt idx="2457">
                  <c:v>1998</c:v>
                </c:pt>
                <c:pt idx="2458">
                  <c:v>1998</c:v>
                </c:pt>
                <c:pt idx="2459">
                  <c:v>1998</c:v>
                </c:pt>
                <c:pt idx="2460">
                  <c:v>1998</c:v>
                </c:pt>
                <c:pt idx="2461">
                  <c:v>1998</c:v>
                </c:pt>
                <c:pt idx="2462">
                  <c:v>1998</c:v>
                </c:pt>
                <c:pt idx="2463">
                  <c:v>1998</c:v>
                </c:pt>
                <c:pt idx="2464">
                  <c:v>1998</c:v>
                </c:pt>
                <c:pt idx="2465">
                  <c:v>1998</c:v>
                </c:pt>
                <c:pt idx="2466">
                  <c:v>1998</c:v>
                </c:pt>
                <c:pt idx="2467">
                  <c:v>1998</c:v>
                </c:pt>
                <c:pt idx="2468">
                  <c:v>1998</c:v>
                </c:pt>
                <c:pt idx="2469">
                  <c:v>1998</c:v>
                </c:pt>
                <c:pt idx="2470">
                  <c:v>1998</c:v>
                </c:pt>
                <c:pt idx="2471">
                  <c:v>1998</c:v>
                </c:pt>
                <c:pt idx="2472">
                  <c:v>1998</c:v>
                </c:pt>
                <c:pt idx="2473">
                  <c:v>1998</c:v>
                </c:pt>
                <c:pt idx="2474">
                  <c:v>1998</c:v>
                </c:pt>
                <c:pt idx="2475">
                  <c:v>1998</c:v>
                </c:pt>
                <c:pt idx="2476">
                  <c:v>1998</c:v>
                </c:pt>
                <c:pt idx="2477">
                  <c:v>1998</c:v>
                </c:pt>
                <c:pt idx="2478">
                  <c:v>1998</c:v>
                </c:pt>
                <c:pt idx="2479">
                  <c:v>1998</c:v>
                </c:pt>
                <c:pt idx="2480">
                  <c:v>1998</c:v>
                </c:pt>
                <c:pt idx="2481">
                  <c:v>1998</c:v>
                </c:pt>
                <c:pt idx="2482">
                  <c:v>1998</c:v>
                </c:pt>
                <c:pt idx="2483">
                  <c:v>1998</c:v>
                </c:pt>
                <c:pt idx="2484">
                  <c:v>1998</c:v>
                </c:pt>
                <c:pt idx="2485">
                  <c:v>1998</c:v>
                </c:pt>
                <c:pt idx="2486">
                  <c:v>1998</c:v>
                </c:pt>
                <c:pt idx="2487">
                  <c:v>1998</c:v>
                </c:pt>
                <c:pt idx="2488">
                  <c:v>1998</c:v>
                </c:pt>
                <c:pt idx="2489">
                  <c:v>1998</c:v>
                </c:pt>
                <c:pt idx="2490">
                  <c:v>1998</c:v>
                </c:pt>
                <c:pt idx="2491">
                  <c:v>1998</c:v>
                </c:pt>
                <c:pt idx="2492">
                  <c:v>1998</c:v>
                </c:pt>
                <c:pt idx="2493">
                  <c:v>1998</c:v>
                </c:pt>
                <c:pt idx="2494">
                  <c:v>1998</c:v>
                </c:pt>
                <c:pt idx="2495">
                  <c:v>1998</c:v>
                </c:pt>
                <c:pt idx="2496">
                  <c:v>1998</c:v>
                </c:pt>
                <c:pt idx="2497">
                  <c:v>1998</c:v>
                </c:pt>
                <c:pt idx="2498">
                  <c:v>1998</c:v>
                </c:pt>
                <c:pt idx="2499">
                  <c:v>1998</c:v>
                </c:pt>
                <c:pt idx="2500">
                  <c:v>1998</c:v>
                </c:pt>
                <c:pt idx="2501">
                  <c:v>1998</c:v>
                </c:pt>
                <c:pt idx="2502">
                  <c:v>1998</c:v>
                </c:pt>
                <c:pt idx="2503">
                  <c:v>1998</c:v>
                </c:pt>
                <c:pt idx="2504">
                  <c:v>1998</c:v>
                </c:pt>
                <c:pt idx="2505">
                  <c:v>1998</c:v>
                </c:pt>
                <c:pt idx="2506">
                  <c:v>1998</c:v>
                </c:pt>
                <c:pt idx="2507">
                  <c:v>1998</c:v>
                </c:pt>
                <c:pt idx="2508">
                  <c:v>1998</c:v>
                </c:pt>
                <c:pt idx="2509">
                  <c:v>1998</c:v>
                </c:pt>
                <c:pt idx="2510">
                  <c:v>1998</c:v>
                </c:pt>
                <c:pt idx="2511">
                  <c:v>1998</c:v>
                </c:pt>
                <c:pt idx="2512">
                  <c:v>1998</c:v>
                </c:pt>
                <c:pt idx="2513">
                  <c:v>1998</c:v>
                </c:pt>
                <c:pt idx="2514">
                  <c:v>1998</c:v>
                </c:pt>
                <c:pt idx="2515">
                  <c:v>1998</c:v>
                </c:pt>
                <c:pt idx="2516">
                  <c:v>1998</c:v>
                </c:pt>
                <c:pt idx="2517">
                  <c:v>1998</c:v>
                </c:pt>
                <c:pt idx="2518">
                  <c:v>1998</c:v>
                </c:pt>
                <c:pt idx="2519">
                  <c:v>1998</c:v>
                </c:pt>
                <c:pt idx="2520">
                  <c:v>1998</c:v>
                </c:pt>
                <c:pt idx="2521">
                  <c:v>1998</c:v>
                </c:pt>
                <c:pt idx="2522">
                  <c:v>1998</c:v>
                </c:pt>
                <c:pt idx="2523">
                  <c:v>1998</c:v>
                </c:pt>
                <c:pt idx="2524">
                  <c:v>1998</c:v>
                </c:pt>
                <c:pt idx="2525">
                  <c:v>1998</c:v>
                </c:pt>
                <c:pt idx="2526">
                  <c:v>1998</c:v>
                </c:pt>
                <c:pt idx="2527">
                  <c:v>1998</c:v>
                </c:pt>
                <c:pt idx="2528">
                  <c:v>1998</c:v>
                </c:pt>
                <c:pt idx="2529">
                  <c:v>1998</c:v>
                </c:pt>
                <c:pt idx="2530">
                  <c:v>1998</c:v>
                </c:pt>
                <c:pt idx="2531">
                  <c:v>1998</c:v>
                </c:pt>
                <c:pt idx="2532">
                  <c:v>1998</c:v>
                </c:pt>
                <c:pt idx="2533">
                  <c:v>1998</c:v>
                </c:pt>
                <c:pt idx="2534">
                  <c:v>1998</c:v>
                </c:pt>
                <c:pt idx="2535">
                  <c:v>1998</c:v>
                </c:pt>
                <c:pt idx="2536">
                  <c:v>1998</c:v>
                </c:pt>
                <c:pt idx="2537">
                  <c:v>1998</c:v>
                </c:pt>
                <c:pt idx="2538">
                  <c:v>1998</c:v>
                </c:pt>
                <c:pt idx="2539">
                  <c:v>1998</c:v>
                </c:pt>
                <c:pt idx="2540">
                  <c:v>1998</c:v>
                </c:pt>
                <c:pt idx="2541">
                  <c:v>1998</c:v>
                </c:pt>
                <c:pt idx="2542">
                  <c:v>1998</c:v>
                </c:pt>
                <c:pt idx="2543">
                  <c:v>1998</c:v>
                </c:pt>
                <c:pt idx="2544">
                  <c:v>1998</c:v>
                </c:pt>
                <c:pt idx="2545">
                  <c:v>1998</c:v>
                </c:pt>
                <c:pt idx="2546">
                  <c:v>1998</c:v>
                </c:pt>
                <c:pt idx="2547">
                  <c:v>1998</c:v>
                </c:pt>
                <c:pt idx="2548">
                  <c:v>1998</c:v>
                </c:pt>
                <c:pt idx="2549">
                  <c:v>1998</c:v>
                </c:pt>
                <c:pt idx="2550">
                  <c:v>1998</c:v>
                </c:pt>
                <c:pt idx="2551">
                  <c:v>1998</c:v>
                </c:pt>
                <c:pt idx="2552">
                  <c:v>1998</c:v>
                </c:pt>
                <c:pt idx="2553">
                  <c:v>1998</c:v>
                </c:pt>
                <c:pt idx="2554">
                  <c:v>1998</c:v>
                </c:pt>
                <c:pt idx="2555">
                  <c:v>1998</c:v>
                </c:pt>
                <c:pt idx="2556">
                  <c:v>1998</c:v>
                </c:pt>
                <c:pt idx="2557">
                  <c:v>1998</c:v>
                </c:pt>
                <c:pt idx="2558">
                  <c:v>1998</c:v>
                </c:pt>
                <c:pt idx="2559">
                  <c:v>1998</c:v>
                </c:pt>
                <c:pt idx="2560">
                  <c:v>1998</c:v>
                </c:pt>
                <c:pt idx="2561">
                  <c:v>1998</c:v>
                </c:pt>
                <c:pt idx="2562">
                  <c:v>1998</c:v>
                </c:pt>
                <c:pt idx="2563">
                  <c:v>1998</c:v>
                </c:pt>
                <c:pt idx="2564">
                  <c:v>1998</c:v>
                </c:pt>
                <c:pt idx="2565">
                  <c:v>1998</c:v>
                </c:pt>
                <c:pt idx="2566">
                  <c:v>1998</c:v>
                </c:pt>
                <c:pt idx="2567">
                  <c:v>1998</c:v>
                </c:pt>
                <c:pt idx="2568">
                  <c:v>1998</c:v>
                </c:pt>
                <c:pt idx="2569">
                  <c:v>1998</c:v>
                </c:pt>
                <c:pt idx="2570">
                  <c:v>1998</c:v>
                </c:pt>
                <c:pt idx="2571">
                  <c:v>1998</c:v>
                </c:pt>
                <c:pt idx="2572">
                  <c:v>1998</c:v>
                </c:pt>
                <c:pt idx="2573">
                  <c:v>1998</c:v>
                </c:pt>
                <c:pt idx="2574">
                  <c:v>1998</c:v>
                </c:pt>
                <c:pt idx="2575">
                  <c:v>1998</c:v>
                </c:pt>
                <c:pt idx="2576">
                  <c:v>1998</c:v>
                </c:pt>
                <c:pt idx="2577">
                  <c:v>1998</c:v>
                </c:pt>
                <c:pt idx="2578">
                  <c:v>1998</c:v>
                </c:pt>
                <c:pt idx="2579">
                  <c:v>1998</c:v>
                </c:pt>
                <c:pt idx="2580">
                  <c:v>1998</c:v>
                </c:pt>
                <c:pt idx="2581">
                  <c:v>1998</c:v>
                </c:pt>
                <c:pt idx="2582">
                  <c:v>1998</c:v>
                </c:pt>
                <c:pt idx="2583">
                  <c:v>1998</c:v>
                </c:pt>
                <c:pt idx="2584">
                  <c:v>1998</c:v>
                </c:pt>
                <c:pt idx="2585">
                  <c:v>1998</c:v>
                </c:pt>
                <c:pt idx="2586">
                  <c:v>1998</c:v>
                </c:pt>
                <c:pt idx="2587">
                  <c:v>1998</c:v>
                </c:pt>
                <c:pt idx="2588">
                  <c:v>1998</c:v>
                </c:pt>
                <c:pt idx="2589">
                  <c:v>1998</c:v>
                </c:pt>
                <c:pt idx="2590">
                  <c:v>1998</c:v>
                </c:pt>
                <c:pt idx="2591">
                  <c:v>1998</c:v>
                </c:pt>
                <c:pt idx="2592">
                  <c:v>1999</c:v>
                </c:pt>
                <c:pt idx="2593">
                  <c:v>1999</c:v>
                </c:pt>
                <c:pt idx="2594">
                  <c:v>1999</c:v>
                </c:pt>
                <c:pt idx="2595">
                  <c:v>1999</c:v>
                </c:pt>
                <c:pt idx="2596">
                  <c:v>1999</c:v>
                </c:pt>
                <c:pt idx="2597">
                  <c:v>1999</c:v>
                </c:pt>
                <c:pt idx="2598">
                  <c:v>1999</c:v>
                </c:pt>
                <c:pt idx="2599">
                  <c:v>1999</c:v>
                </c:pt>
                <c:pt idx="2600">
                  <c:v>1999</c:v>
                </c:pt>
                <c:pt idx="2601">
                  <c:v>1999</c:v>
                </c:pt>
                <c:pt idx="2602">
                  <c:v>1999</c:v>
                </c:pt>
                <c:pt idx="2603">
                  <c:v>1999</c:v>
                </c:pt>
                <c:pt idx="2604">
                  <c:v>1999</c:v>
                </c:pt>
                <c:pt idx="2605">
                  <c:v>1999</c:v>
                </c:pt>
                <c:pt idx="2606">
                  <c:v>1999</c:v>
                </c:pt>
                <c:pt idx="2607">
                  <c:v>1999</c:v>
                </c:pt>
                <c:pt idx="2608">
                  <c:v>1999</c:v>
                </c:pt>
                <c:pt idx="2609">
                  <c:v>1999</c:v>
                </c:pt>
                <c:pt idx="2610">
                  <c:v>1999</c:v>
                </c:pt>
                <c:pt idx="2611">
                  <c:v>1999</c:v>
                </c:pt>
                <c:pt idx="2612">
                  <c:v>1999</c:v>
                </c:pt>
                <c:pt idx="2613">
                  <c:v>1999</c:v>
                </c:pt>
                <c:pt idx="2614">
                  <c:v>1999</c:v>
                </c:pt>
                <c:pt idx="2615">
                  <c:v>1999</c:v>
                </c:pt>
                <c:pt idx="2616">
                  <c:v>1999</c:v>
                </c:pt>
                <c:pt idx="2617">
                  <c:v>1999</c:v>
                </c:pt>
                <c:pt idx="2618">
                  <c:v>1999</c:v>
                </c:pt>
                <c:pt idx="2619">
                  <c:v>1999</c:v>
                </c:pt>
                <c:pt idx="2620">
                  <c:v>1999</c:v>
                </c:pt>
                <c:pt idx="2621">
                  <c:v>1999</c:v>
                </c:pt>
                <c:pt idx="2622">
                  <c:v>1999</c:v>
                </c:pt>
                <c:pt idx="2623">
                  <c:v>1999</c:v>
                </c:pt>
                <c:pt idx="2624">
                  <c:v>1999</c:v>
                </c:pt>
                <c:pt idx="2625">
                  <c:v>1999</c:v>
                </c:pt>
                <c:pt idx="2626">
                  <c:v>1999</c:v>
                </c:pt>
                <c:pt idx="2627">
                  <c:v>1999</c:v>
                </c:pt>
                <c:pt idx="2628">
                  <c:v>1999</c:v>
                </c:pt>
                <c:pt idx="2629">
                  <c:v>1999</c:v>
                </c:pt>
                <c:pt idx="2630">
                  <c:v>1999</c:v>
                </c:pt>
                <c:pt idx="2631">
                  <c:v>1999</c:v>
                </c:pt>
                <c:pt idx="2632">
                  <c:v>1999</c:v>
                </c:pt>
                <c:pt idx="2633">
                  <c:v>1999</c:v>
                </c:pt>
                <c:pt idx="2634">
                  <c:v>1999</c:v>
                </c:pt>
                <c:pt idx="2635">
                  <c:v>1999</c:v>
                </c:pt>
                <c:pt idx="2636">
                  <c:v>1999</c:v>
                </c:pt>
                <c:pt idx="2637">
                  <c:v>1999</c:v>
                </c:pt>
                <c:pt idx="2638">
                  <c:v>1999</c:v>
                </c:pt>
                <c:pt idx="2639">
                  <c:v>1999</c:v>
                </c:pt>
                <c:pt idx="2640">
                  <c:v>1999</c:v>
                </c:pt>
                <c:pt idx="2641">
                  <c:v>1999</c:v>
                </c:pt>
                <c:pt idx="2642">
                  <c:v>1999</c:v>
                </c:pt>
                <c:pt idx="2643">
                  <c:v>1999</c:v>
                </c:pt>
                <c:pt idx="2644">
                  <c:v>1999</c:v>
                </c:pt>
                <c:pt idx="2645">
                  <c:v>1999</c:v>
                </c:pt>
                <c:pt idx="2646">
                  <c:v>1999</c:v>
                </c:pt>
                <c:pt idx="2647">
                  <c:v>1999</c:v>
                </c:pt>
                <c:pt idx="2648">
                  <c:v>1999</c:v>
                </c:pt>
                <c:pt idx="2649">
                  <c:v>1999</c:v>
                </c:pt>
                <c:pt idx="2650">
                  <c:v>1999</c:v>
                </c:pt>
                <c:pt idx="2651">
                  <c:v>1999</c:v>
                </c:pt>
                <c:pt idx="2652">
                  <c:v>1999</c:v>
                </c:pt>
                <c:pt idx="2653">
                  <c:v>1999</c:v>
                </c:pt>
                <c:pt idx="2654">
                  <c:v>1999</c:v>
                </c:pt>
                <c:pt idx="2655">
                  <c:v>1999</c:v>
                </c:pt>
                <c:pt idx="2656">
                  <c:v>1999</c:v>
                </c:pt>
                <c:pt idx="2657">
                  <c:v>1999</c:v>
                </c:pt>
                <c:pt idx="2658">
                  <c:v>1999</c:v>
                </c:pt>
                <c:pt idx="2659">
                  <c:v>1999</c:v>
                </c:pt>
                <c:pt idx="2660">
                  <c:v>1999</c:v>
                </c:pt>
                <c:pt idx="2661">
                  <c:v>1999</c:v>
                </c:pt>
                <c:pt idx="2662">
                  <c:v>1999</c:v>
                </c:pt>
                <c:pt idx="2663">
                  <c:v>1999</c:v>
                </c:pt>
                <c:pt idx="2664">
                  <c:v>1999</c:v>
                </c:pt>
                <c:pt idx="2665">
                  <c:v>1999</c:v>
                </c:pt>
                <c:pt idx="2666">
                  <c:v>1999</c:v>
                </c:pt>
                <c:pt idx="2667">
                  <c:v>1999</c:v>
                </c:pt>
                <c:pt idx="2668">
                  <c:v>1999</c:v>
                </c:pt>
                <c:pt idx="2669">
                  <c:v>1999</c:v>
                </c:pt>
                <c:pt idx="2670">
                  <c:v>1999</c:v>
                </c:pt>
                <c:pt idx="2671">
                  <c:v>1999</c:v>
                </c:pt>
                <c:pt idx="2672">
                  <c:v>1999</c:v>
                </c:pt>
                <c:pt idx="2673">
                  <c:v>1999</c:v>
                </c:pt>
                <c:pt idx="2674">
                  <c:v>1999</c:v>
                </c:pt>
                <c:pt idx="2675">
                  <c:v>1999</c:v>
                </c:pt>
                <c:pt idx="2676">
                  <c:v>1999</c:v>
                </c:pt>
                <c:pt idx="2677">
                  <c:v>1999</c:v>
                </c:pt>
                <c:pt idx="2678">
                  <c:v>1999</c:v>
                </c:pt>
                <c:pt idx="2679">
                  <c:v>1999</c:v>
                </c:pt>
                <c:pt idx="2680">
                  <c:v>1999</c:v>
                </c:pt>
                <c:pt idx="2681">
                  <c:v>1999</c:v>
                </c:pt>
                <c:pt idx="2682">
                  <c:v>1999</c:v>
                </c:pt>
                <c:pt idx="2683">
                  <c:v>1999</c:v>
                </c:pt>
                <c:pt idx="2684">
                  <c:v>1999</c:v>
                </c:pt>
                <c:pt idx="2685">
                  <c:v>1999</c:v>
                </c:pt>
                <c:pt idx="2686">
                  <c:v>1999</c:v>
                </c:pt>
                <c:pt idx="2687">
                  <c:v>1999</c:v>
                </c:pt>
                <c:pt idx="2688">
                  <c:v>1999</c:v>
                </c:pt>
                <c:pt idx="2689">
                  <c:v>1999</c:v>
                </c:pt>
                <c:pt idx="2690">
                  <c:v>1999</c:v>
                </c:pt>
                <c:pt idx="2691">
                  <c:v>1999</c:v>
                </c:pt>
                <c:pt idx="2692">
                  <c:v>1999</c:v>
                </c:pt>
                <c:pt idx="2693">
                  <c:v>1999</c:v>
                </c:pt>
                <c:pt idx="2694">
                  <c:v>1999</c:v>
                </c:pt>
                <c:pt idx="2695">
                  <c:v>1999</c:v>
                </c:pt>
                <c:pt idx="2696">
                  <c:v>1999</c:v>
                </c:pt>
                <c:pt idx="2697">
                  <c:v>1999</c:v>
                </c:pt>
                <c:pt idx="2698">
                  <c:v>1999</c:v>
                </c:pt>
                <c:pt idx="2699">
                  <c:v>1999</c:v>
                </c:pt>
                <c:pt idx="2700">
                  <c:v>1999</c:v>
                </c:pt>
                <c:pt idx="2701">
                  <c:v>1999</c:v>
                </c:pt>
                <c:pt idx="2702">
                  <c:v>1999</c:v>
                </c:pt>
                <c:pt idx="2703">
                  <c:v>1999</c:v>
                </c:pt>
                <c:pt idx="2704">
                  <c:v>1999</c:v>
                </c:pt>
                <c:pt idx="2705">
                  <c:v>1999</c:v>
                </c:pt>
                <c:pt idx="2706">
                  <c:v>1999</c:v>
                </c:pt>
                <c:pt idx="2707">
                  <c:v>1999</c:v>
                </c:pt>
                <c:pt idx="2708">
                  <c:v>1999</c:v>
                </c:pt>
                <c:pt idx="2709">
                  <c:v>1999</c:v>
                </c:pt>
                <c:pt idx="2710">
                  <c:v>1999</c:v>
                </c:pt>
                <c:pt idx="2711">
                  <c:v>1999</c:v>
                </c:pt>
                <c:pt idx="2712">
                  <c:v>1999</c:v>
                </c:pt>
                <c:pt idx="2713">
                  <c:v>1999</c:v>
                </c:pt>
                <c:pt idx="2714">
                  <c:v>1999</c:v>
                </c:pt>
                <c:pt idx="2715">
                  <c:v>1999</c:v>
                </c:pt>
                <c:pt idx="2716">
                  <c:v>1999</c:v>
                </c:pt>
                <c:pt idx="2717">
                  <c:v>1999</c:v>
                </c:pt>
                <c:pt idx="2718">
                  <c:v>1999</c:v>
                </c:pt>
                <c:pt idx="2719">
                  <c:v>1999</c:v>
                </c:pt>
                <c:pt idx="2720">
                  <c:v>1999</c:v>
                </c:pt>
                <c:pt idx="2721">
                  <c:v>1999</c:v>
                </c:pt>
                <c:pt idx="2722">
                  <c:v>1999</c:v>
                </c:pt>
                <c:pt idx="2723">
                  <c:v>1999</c:v>
                </c:pt>
                <c:pt idx="2724">
                  <c:v>1999</c:v>
                </c:pt>
                <c:pt idx="2725">
                  <c:v>1999</c:v>
                </c:pt>
                <c:pt idx="2726">
                  <c:v>1999</c:v>
                </c:pt>
                <c:pt idx="2727">
                  <c:v>1999</c:v>
                </c:pt>
                <c:pt idx="2728">
                  <c:v>1999</c:v>
                </c:pt>
                <c:pt idx="2729">
                  <c:v>1999</c:v>
                </c:pt>
                <c:pt idx="2730">
                  <c:v>1999</c:v>
                </c:pt>
                <c:pt idx="2731">
                  <c:v>1999</c:v>
                </c:pt>
                <c:pt idx="2732">
                  <c:v>1999</c:v>
                </c:pt>
                <c:pt idx="2733">
                  <c:v>1999</c:v>
                </c:pt>
                <c:pt idx="2734">
                  <c:v>1999</c:v>
                </c:pt>
                <c:pt idx="2735">
                  <c:v>1999</c:v>
                </c:pt>
                <c:pt idx="2736">
                  <c:v>1999</c:v>
                </c:pt>
                <c:pt idx="2737">
                  <c:v>1999</c:v>
                </c:pt>
                <c:pt idx="2738">
                  <c:v>1999</c:v>
                </c:pt>
                <c:pt idx="2739">
                  <c:v>1999</c:v>
                </c:pt>
                <c:pt idx="2740">
                  <c:v>1999</c:v>
                </c:pt>
                <c:pt idx="2741">
                  <c:v>1999</c:v>
                </c:pt>
                <c:pt idx="2742">
                  <c:v>1999</c:v>
                </c:pt>
                <c:pt idx="2743">
                  <c:v>1999</c:v>
                </c:pt>
                <c:pt idx="2744">
                  <c:v>1999</c:v>
                </c:pt>
                <c:pt idx="2745">
                  <c:v>1999</c:v>
                </c:pt>
                <c:pt idx="2746">
                  <c:v>1999</c:v>
                </c:pt>
                <c:pt idx="2747">
                  <c:v>1999</c:v>
                </c:pt>
                <c:pt idx="2748">
                  <c:v>1999</c:v>
                </c:pt>
                <c:pt idx="2749">
                  <c:v>1999</c:v>
                </c:pt>
                <c:pt idx="2750">
                  <c:v>1999</c:v>
                </c:pt>
                <c:pt idx="2751">
                  <c:v>1999</c:v>
                </c:pt>
                <c:pt idx="2752">
                  <c:v>1999</c:v>
                </c:pt>
                <c:pt idx="2753">
                  <c:v>1999</c:v>
                </c:pt>
                <c:pt idx="2754">
                  <c:v>1999</c:v>
                </c:pt>
                <c:pt idx="2755">
                  <c:v>1999</c:v>
                </c:pt>
                <c:pt idx="2756">
                  <c:v>1999</c:v>
                </c:pt>
                <c:pt idx="2757">
                  <c:v>1999</c:v>
                </c:pt>
                <c:pt idx="2758">
                  <c:v>1999</c:v>
                </c:pt>
                <c:pt idx="2759">
                  <c:v>1999</c:v>
                </c:pt>
                <c:pt idx="2760">
                  <c:v>1999</c:v>
                </c:pt>
                <c:pt idx="2761">
                  <c:v>1999</c:v>
                </c:pt>
                <c:pt idx="2762">
                  <c:v>1999</c:v>
                </c:pt>
                <c:pt idx="2763">
                  <c:v>1999</c:v>
                </c:pt>
                <c:pt idx="2764">
                  <c:v>1999</c:v>
                </c:pt>
                <c:pt idx="2765">
                  <c:v>1999</c:v>
                </c:pt>
                <c:pt idx="2766">
                  <c:v>1999</c:v>
                </c:pt>
                <c:pt idx="2767">
                  <c:v>1999</c:v>
                </c:pt>
                <c:pt idx="2768">
                  <c:v>1999</c:v>
                </c:pt>
                <c:pt idx="2769">
                  <c:v>1999</c:v>
                </c:pt>
                <c:pt idx="2770">
                  <c:v>1999</c:v>
                </c:pt>
                <c:pt idx="2771">
                  <c:v>1999</c:v>
                </c:pt>
                <c:pt idx="2772">
                  <c:v>1999</c:v>
                </c:pt>
                <c:pt idx="2773">
                  <c:v>1999</c:v>
                </c:pt>
                <c:pt idx="2774">
                  <c:v>1999</c:v>
                </c:pt>
                <c:pt idx="2775">
                  <c:v>1999</c:v>
                </c:pt>
                <c:pt idx="2776">
                  <c:v>1999</c:v>
                </c:pt>
                <c:pt idx="2777">
                  <c:v>1999</c:v>
                </c:pt>
                <c:pt idx="2778">
                  <c:v>1999</c:v>
                </c:pt>
                <c:pt idx="2779">
                  <c:v>1999</c:v>
                </c:pt>
                <c:pt idx="2780">
                  <c:v>1999</c:v>
                </c:pt>
                <c:pt idx="2781">
                  <c:v>1999</c:v>
                </c:pt>
                <c:pt idx="2782">
                  <c:v>1999</c:v>
                </c:pt>
                <c:pt idx="2783">
                  <c:v>1999</c:v>
                </c:pt>
                <c:pt idx="2784">
                  <c:v>1999</c:v>
                </c:pt>
                <c:pt idx="2785">
                  <c:v>1999</c:v>
                </c:pt>
                <c:pt idx="2786">
                  <c:v>1999</c:v>
                </c:pt>
                <c:pt idx="2787">
                  <c:v>1999</c:v>
                </c:pt>
                <c:pt idx="2788">
                  <c:v>1999</c:v>
                </c:pt>
                <c:pt idx="2789">
                  <c:v>1999</c:v>
                </c:pt>
                <c:pt idx="2790">
                  <c:v>1999</c:v>
                </c:pt>
                <c:pt idx="2791">
                  <c:v>1999</c:v>
                </c:pt>
                <c:pt idx="2792">
                  <c:v>1999</c:v>
                </c:pt>
                <c:pt idx="2793">
                  <c:v>1999</c:v>
                </c:pt>
                <c:pt idx="2794">
                  <c:v>1999</c:v>
                </c:pt>
                <c:pt idx="2795">
                  <c:v>1999</c:v>
                </c:pt>
                <c:pt idx="2796">
                  <c:v>1999</c:v>
                </c:pt>
                <c:pt idx="2797">
                  <c:v>1999</c:v>
                </c:pt>
                <c:pt idx="2798">
                  <c:v>1999</c:v>
                </c:pt>
                <c:pt idx="2799">
                  <c:v>1999</c:v>
                </c:pt>
                <c:pt idx="2800">
                  <c:v>1999</c:v>
                </c:pt>
                <c:pt idx="2801">
                  <c:v>1999</c:v>
                </c:pt>
                <c:pt idx="2802">
                  <c:v>1999</c:v>
                </c:pt>
                <c:pt idx="2803">
                  <c:v>1999</c:v>
                </c:pt>
                <c:pt idx="2804">
                  <c:v>1999</c:v>
                </c:pt>
                <c:pt idx="2805">
                  <c:v>1999</c:v>
                </c:pt>
                <c:pt idx="2806">
                  <c:v>1999</c:v>
                </c:pt>
                <c:pt idx="2807">
                  <c:v>1999</c:v>
                </c:pt>
                <c:pt idx="2808">
                  <c:v>1999</c:v>
                </c:pt>
                <c:pt idx="2809">
                  <c:v>1999</c:v>
                </c:pt>
                <c:pt idx="2810">
                  <c:v>1999</c:v>
                </c:pt>
                <c:pt idx="2811">
                  <c:v>1999</c:v>
                </c:pt>
                <c:pt idx="2812">
                  <c:v>1999</c:v>
                </c:pt>
                <c:pt idx="2813">
                  <c:v>1999</c:v>
                </c:pt>
                <c:pt idx="2814">
                  <c:v>1999</c:v>
                </c:pt>
                <c:pt idx="2815">
                  <c:v>1999</c:v>
                </c:pt>
                <c:pt idx="2816">
                  <c:v>1999</c:v>
                </c:pt>
                <c:pt idx="2817">
                  <c:v>1999</c:v>
                </c:pt>
                <c:pt idx="2818">
                  <c:v>1999</c:v>
                </c:pt>
                <c:pt idx="2819">
                  <c:v>1999</c:v>
                </c:pt>
                <c:pt idx="2820">
                  <c:v>1999</c:v>
                </c:pt>
                <c:pt idx="2821">
                  <c:v>1999</c:v>
                </c:pt>
                <c:pt idx="2822">
                  <c:v>1999</c:v>
                </c:pt>
                <c:pt idx="2823">
                  <c:v>1999</c:v>
                </c:pt>
                <c:pt idx="2824">
                  <c:v>1999</c:v>
                </c:pt>
                <c:pt idx="2825">
                  <c:v>1999</c:v>
                </c:pt>
                <c:pt idx="2826">
                  <c:v>1999</c:v>
                </c:pt>
                <c:pt idx="2827">
                  <c:v>1999</c:v>
                </c:pt>
                <c:pt idx="2828">
                  <c:v>1999</c:v>
                </c:pt>
                <c:pt idx="2829">
                  <c:v>1999</c:v>
                </c:pt>
                <c:pt idx="2830">
                  <c:v>1999</c:v>
                </c:pt>
                <c:pt idx="2831">
                  <c:v>1999</c:v>
                </c:pt>
                <c:pt idx="2832">
                  <c:v>1999</c:v>
                </c:pt>
                <c:pt idx="2833">
                  <c:v>1999</c:v>
                </c:pt>
                <c:pt idx="2834">
                  <c:v>1999</c:v>
                </c:pt>
                <c:pt idx="2835">
                  <c:v>1999</c:v>
                </c:pt>
                <c:pt idx="2836">
                  <c:v>1999</c:v>
                </c:pt>
                <c:pt idx="2837">
                  <c:v>1999</c:v>
                </c:pt>
                <c:pt idx="2838">
                  <c:v>1999</c:v>
                </c:pt>
                <c:pt idx="2839">
                  <c:v>1999</c:v>
                </c:pt>
                <c:pt idx="2840">
                  <c:v>1999</c:v>
                </c:pt>
                <c:pt idx="2841">
                  <c:v>1999</c:v>
                </c:pt>
                <c:pt idx="2842">
                  <c:v>1999</c:v>
                </c:pt>
                <c:pt idx="2843">
                  <c:v>1999</c:v>
                </c:pt>
                <c:pt idx="2844">
                  <c:v>1999</c:v>
                </c:pt>
                <c:pt idx="2845">
                  <c:v>1999</c:v>
                </c:pt>
                <c:pt idx="2846">
                  <c:v>1999</c:v>
                </c:pt>
                <c:pt idx="2847">
                  <c:v>1999</c:v>
                </c:pt>
                <c:pt idx="2848">
                  <c:v>1999</c:v>
                </c:pt>
                <c:pt idx="2849">
                  <c:v>1999</c:v>
                </c:pt>
                <c:pt idx="2850">
                  <c:v>1999</c:v>
                </c:pt>
                <c:pt idx="2851">
                  <c:v>1999</c:v>
                </c:pt>
                <c:pt idx="2852">
                  <c:v>1999</c:v>
                </c:pt>
                <c:pt idx="2853">
                  <c:v>1999</c:v>
                </c:pt>
                <c:pt idx="2854">
                  <c:v>1999</c:v>
                </c:pt>
                <c:pt idx="2855">
                  <c:v>1999</c:v>
                </c:pt>
                <c:pt idx="2856">
                  <c:v>1999</c:v>
                </c:pt>
                <c:pt idx="2857">
                  <c:v>1999</c:v>
                </c:pt>
                <c:pt idx="2858">
                  <c:v>1999</c:v>
                </c:pt>
                <c:pt idx="2859">
                  <c:v>1999</c:v>
                </c:pt>
                <c:pt idx="2860">
                  <c:v>1999</c:v>
                </c:pt>
                <c:pt idx="2861">
                  <c:v>1999</c:v>
                </c:pt>
                <c:pt idx="2862">
                  <c:v>1999</c:v>
                </c:pt>
                <c:pt idx="2863">
                  <c:v>1999</c:v>
                </c:pt>
                <c:pt idx="2864">
                  <c:v>1999</c:v>
                </c:pt>
                <c:pt idx="2865">
                  <c:v>1999</c:v>
                </c:pt>
                <c:pt idx="2866">
                  <c:v>1999</c:v>
                </c:pt>
                <c:pt idx="2867">
                  <c:v>1999</c:v>
                </c:pt>
                <c:pt idx="2868">
                  <c:v>1999</c:v>
                </c:pt>
                <c:pt idx="2869">
                  <c:v>1999</c:v>
                </c:pt>
                <c:pt idx="2870">
                  <c:v>1999</c:v>
                </c:pt>
                <c:pt idx="2871">
                  <c:v>1999</c:v>
                </c:pt>
                <c:pt idx="2872">
                  <c:v>1999</c:v>
                </c:pt>
                <c:pt idx="2873">
                  <c:v>1999</c:v>
                </c:pt>
                <c:pt idx="2874">
                  <c:v>1999</c:v>
                </c:pt>
                <c:pt idx="2875">
                  <c:v>1999</c:v>
                </c:pt>
                <c:pt idx="2876">
                  <c:v>1999</c:v>
                </c:pt>
                <c:pt idx="2877">
                  <c:v>1999</c:v>
                </c:pt>
                <c:pt idx="2878">
                  <c:v>1999</c:v>
                </c:pt>
                <c:pt idx="2879">
                  <c:v>1999</c:v>
                </c:pt>
                <c:pt idx="2880">
                  <c:v>1999</c:v>
                </c:pt>
                <c:pt idx="2881">
                  <c:v>1999</c:v>
                </c:pt>
                <c:pt idx="2882">
                  <c:v>1999</c:v>
                </c:pt>
                <c:pt idx="2883">
                  <c:v>1999</c:v>
                </c:pt>
                <c:pt idx="2884">
                  <c:v>1999</c:v>
                </c:pt>
                <c:pt idx="2885">
                  <c:v>1999</c:v>
                </c:pt>
                <c:pt idx="2886">
                  <c:v>1999</c:v>
                </c:pt>
                <c:pt idx="2887">
                  <c:v>1999</c:v>
                </c:pt>
                <c:pt idx="2888">
                  <c:v>1999</c:v>
                </c:pt>
                <c:pt idx="2889">
                  <c:v>1999</c:v>
                </c:pt>
                <c:pt idx="2890">
                  <c:v>1999</c:v>
                </c:pt>
                <c:pt idx="2891">
                  <c:v>1999</c:v>
                </c:pt>
                <c:pt idx="2892">
                  <c:v>1999</c:v>
                </c:pt>
                <c:pt idx="2893">
                  <c:v>1999</c:v>
                </c:pt>
                <c:pt idx="2894">
                  <c:v>1999</c:v>
                </c:pt>
                <c:pt idx="2895">
                  <c:v>1999</c:v>
                </c:pt>
                <c:pt idx="2896">
                  <c:v>1999</c:v>
                </c:pt>
                <c:pt idx="2897">
                  <c:v>1999</c:v>
                </c:pt>
                <c:pt idx="2898">
                  <c:v>1999</c:v>
                </c:pt>
                <c:pt idx="2899">
                  <c:v>1999</c:v>
                </c:pt>
                <c:pt idx="2900">
                  <c:v>1999</c:v>
                </c:pt>
                <c:pt idx="2901">
                  <c:v>1999</c:v>
                </c:pt>
                <c:pt idx="2902">
                  <c:v>1999</c:v>
                </c:pt>
                <c:pt idx="2903">
                  <c:v>1999</c:v>
                </c:pt>
                <c:pt idx="2904">
                  <c:v>1999</c:v>
                </c:pt>
                <c:pt idx="2905">
                  <c:v>1999</c:v>
                </c:pt>
                <c:pt idx="2906">
                  <c:v>1999</c:v>
                </c:pt>
                <c:pt idx="2907">
                  <c:v>1999</c:v>
                </c:pt>
                <c:pt idx="2908">
                  <c:v>1999</c:v>
                </c:pt>
                <c:pt idx="2909">
                  <c:v>1999</c:v>
                </c:pt>
                <c:pt idx="2910">
                  <c:v>1999</c:v>
                </c:pt>
                <c:pt idx="2911">
                  <c:v>1999</c:v>
                </c:pt>
                <c:pt idx="2912">
                  <c:v>1999</c:v>
                </c:pt>
                <c:pt idx="2913">
                  <c:v>1999</c:v>
                </c:pt>
                <c:pt idx="2914">
                  <c:v>1999</c:v>
                </c:pt>
                <c:pt idx="2915">
                  <c:v>1999</c:v>
                </c:pt>
                <c:pt idx="2916">
                  <c:v>1999</c:v>
                </c:pt>
                <c:pt idx="2917">
                  <c:v>1999</c:v>
                </c:pt>
                <c:pt idx="2918">
                  <c:v>1999</c:v>
                </c:pt>
                <c:pt idx="2919">
                  <c:v>1999</c:v>
                </c:pt>
                <c:pt idx="2920">
                  <c:v>1999</c:v>
                </c:pt>
                <c:pt idx="2921">
                  <c:v>1999</c:v>
                </c:pt>
                <c:pt idx="2922">
                  <c:v>1999</c:v>
                </c:pt>
                <c:pt idx="2923">
                  <c:v>1999</c:v>
                </c:pt>
                <c:pt idx="2924">
                  <c:v>1999</c:v>
                </c:pt>
                <c:pt idx="2925">
                  <c:v>1999</c:v>
                </c:pt>
                <c:pt idx="2926">
                  <c:v>1999</c:v>
                </c:pt>
                <c:pt idx="2927">
                  <c:v>1999</c:v>
                </c:pt>
                <c:pt idx="2928">
                  <c:v>1999</c:v>
                </c:pt>
                <c:pt idx="2929">
                  <c:v>1999</c:v>
                </c:pt>
                <c:pt idx="2930">
                  <c:v>1999</c:v>
                </c:pt>
                <c:pt idx="2931">
                  <c:v>1999</c:v>
                </c:pt>
                <c:pt idx="2932">
                  <c:v>1999</c:v>
                </c:pt>
                <c:pt idx="2933">
                  <c:v>1999</c:v>
                </c:pt>
                <c:pt idx="2934">
                  <c:v>1999</c:v>
                </c:pt>
                <c:pt idx="2935">
                  <c:v>1999</c:v>
                </c:pt>
                <c:pt idx="2936">
                  <c:v>1999</c:v>
                </c:pt>
                <c:pt idx="2937">
                  <c:v>1999</c:v>
                </c:pt>
                <c:pt idx="2938">
                  <c:v>1999</c:v>
                </c:pt>
                <c:pt idx="2939">
                  <c:v>1999</c:v>
                </c:pt>
                <c:pt idx="2940">
                  <c:v>1999</c:v>
                </c:pt>
                <c:pt idx="2941">
                  <c:v>1999</c:v>
                </c:pt>
                <c:pt idx="2942">
                  <c:v>1999</c:v>
                </c:pt>
                <c:pt idx="2943">
                  <c:v>1999</c:v>
                </c:pt>
                <c:pt idx="2944">
                  <c:v>1999</c:v>
                </c:pt>
                <c:pt idx="2945">
                  <c:v>1999</c:v>
                </c:pt>
                <c:pt idx="2946">
                  <c:v>1999</c:v>
                </c:pt>
                <c:pt idx="2947">
                  <c:v>1999</c:v>
                </c:pt>
                <c:pt idx="2948">
                  <c:v>1999</c:v>
                </c:pt>
                <c:pt idx="2949">
                  <c:v>1999</c:v>
                </c:pt>
                <c:pt idx="2950">
                  <c:v>1999</c:v>
                </c:pt>
                <c:pt idx="2951">
                  <c:v>1999</c:v>
                </c:pt>
                <c:pt idx="2952">
                  <c:v>1999</c:v>
                </c:pt>
                <c:pt idx="2953">
                  <c:v>1999</c:v>
                </c:pt>
                <c:pt idx="2954">
                  <c:v>1999</c:v>
                </c:pt>
                <c:pt idx="2955">
                  <c:v>1999</c:v>
                </c:pt>
                <c:pt idx="2956">
                  <c:v>1999</c:v>
                </c:pt>
                <c:pt idx="2957">
                  <c:v>2000</c:v>
                </c:pt>
                <c:pt idx="2958">
                  <c:v>2000</c:v>
                </c:pt>
                <c:pt idx="2959">
                  <c:v>2000</c:v>
                </c:pt>
                <c:pt idx="2960">
                  <c:v>2000</c:v>
                </c:pt>
                <c:pt idx="2961">
                  <c:v>2000</c:v>
                </c:pt>
                <c:pt idx="2962">
                  <c:v>2000</c:v>
                </c:pt>
                <c:pt idx="2963">
                  <c:v>2000</c:v>
                </c:pt>
                <c:pt idx="2964">
                  <c:v>2000</c:v>
                </c:pt>
                <c:pt idx="2965">
                  <c:v>2000</c:v>
                </c:pt>
                <c:pt idx="2966">
                  <c:v>2000</c:v>
                </c:pt>
                <c:pt idx="2967">
                  <c:v>2000</c:v>
                </c:pt>
                <c:pt idx="2968">
                  <c:v>2000</c:v>
                </c:pt>
                <c:pt idx="2969">
                  <c:v>2000</c:v>
                </c:pt>
                <c:pt idx="2970">
                  <c:v>2000</c:v>
                </c:pt>
                <c:pt idx="2971">
                  <c:v>2000</c:v>
                </c:pt>
                <c:pt idx="2972">
                  <c:v>2000</c:v>
                </c:pt>
                <c:pt idx="2973">
                  <c:v>2000</c:v>
                </c:pt>
                <c:pt idx="2974">
                  <c:v>2000</c:v>
                </c:pt>
                <c:pt idx="2975">
                  <c:v>2000</c:v>
                </c:pt>
                <c:pt idx="2976">
                  <c:v>2000</c:v>
                </c:pt>
                <c:pt idx="2977">
                  <c:v>2000</c:v>
                </c:pt>
                <c:pt idx="2978">
                  <c:v>2000</c:v>
                </c:pt>
                <c:pt idx="2979">
                  <c:v>2000</c:v>
                </c:pt>
                <c:pt idx="2980">
                  <c:v>2000</c:v>
                </c:pt>
                <c:pt idx="2981">
                  <c:v>2000</c:v>
                </c:pt>
                <c:pt idx="2982">
                  <c:v>2000</c:v>
                </c:pt>
                <c:pt idx="2983">
                  <c:v>2000</c:v>
                </c:pt>
                <c:pt idx="2984">
                  <c:v>2000</c:v>
                </c:pt>
                <c:pt idx="2985">
                  <c:v>2000</c:v>
                </c:pt>
                <c:pt idx="2986">
                  <c:v>2000</c:v>
                </c:pt>
                <c:pt idx="2987">
                  <c:v>2000</c:v>
                </c:pt>
                <c:pt idx="2988">
                  <c:v>2000</c:v>
                </c:pt>
                <c:pt idx="2989">
                  <c:v>2000</c:v>
                </c:pt>
                <c:pt idx="2990">
                  <c:v>2000</c:v>
                </c:pt>
                <c:pt idx="2991">
                  <c:v>2000</c:v>
                </c:pt>
                <c:pt idx="2992">
                  <c:v>2000</c:v>
                </c:pt>
                <c:pt idx="2993">
                  <c:v>2000</c:v>
                </c:pt>
                <c:pt idx="2994">
                  <c:v>2000</c:v>
                </c:pt>
                <c:pt idx="2995">
                  <c:v>2000</c:v>
                </c:pt>
                <c:pt idx="2996">
                  <c:v>2000</c:v>
                </c:pt>
                <c:pt idx="2997">
                  <c:v>2000</c:v>
                </c:pt>
                <c:pt idx="2998">
                  <c:v>2000</c:v>
                </c:pt>
                <c:pt idx="2999">
                  <c:v>2000</c:v>
                </c:pt>
                <c:pt idx="3000">
                  <c:v>2000</c:v>
                </c:pt>
                <c:pt idx="3001">
                  <c:v>2000</c:v>
                </c:pt>
                <c:pt idx="3002">
                  <c:v>2000</c:v>
                </c:pt>
                <c:pt idx="3003">
                  <c:v>2000</c:v>
                </c:pt>
                <c:pt idx="3004">
                  <c:v>2000</c:v>
                </c:pt>
                <c:pt idx="3005">
                  <c:v>2000</c:v>
                </c:pt>
                <c:pt idx="3006">
                  <c:v>2000</c:v>
                </c:pt>
                <c:pt idx="3007">
                  <c:v>2000</c:v>
                </c:pt>
                <c:pt idx="3008">
                  <c:v>2000</c:v>
                </c:pt>
                <c:pt idx="3009">
                  <c:v>2000</c:v>
                </c:pt>
                <c:pt idx="3010">
                  <c:v>2000</c:v>
                </c:pt>
                <c:pt idx="3011">
                  <c:v>2000</c:v>
                </c:pt>
                <c:pt idx="3012">
                  <c:v>2000</c:v>
                </c:pt>
                <c:pt idx="3013">
                  <c:v>2000</c:v>
                </c:pt>
                <c:pt idx="3014">
                  <c:v>2000</c:v>
                </c:pt>
                <c:pt idx="3015">
                  <c:v>2000</c:v>
                </c:pt>
                <c:pt idx="3016">
                  <c:v>2000</c:v>
                </c:pt>
                <c:pt idx="3017">
                  <c:v>2000</c:v>
                </c:pt>
                <c:pt idx="3018">
                  <c:v>2000</c:v>
                </c:pt>
                <c:pt idx="3019">
                  <c:v>2000</c:v>
                </c:pt>
                <c:pt idx="3020">
                  <c:v>2000</c:v>
                </c:pt>
                <c:pt idx="3021">
                  <c:v>2000</c:v>
                </c:pt>
                <c:pt idx="3022">
                  <c:v>2000</c:v>
                </c:pt>
                <c:pt idx="3023">
                  <c:v>2000</c:v>
                </c:pt>
                <c:pt idx="3024">
                  <c:v>2000</c:v>
                </c:pt>
                <c:pt idx="3025">
                  <c:v>2000</c:v>
                </c:pt>
                <c:pt idx="3026">
                  <c:v>2000</c:v>
                </c:pt>
                <c:pt idx="3027">
                  <c:v>2000</c:v>
                </c:pt>
                <c:pt idx="3028">
                  <c:v>2000</c:v>
                </c:pt>
                <c:pt idx="3029">
                  <c:v>2000</c:v>
                </c:pt>
                <c:pt idx="3030">
                  <c:v>2000</c:v>
                </c:pt>
                <c:pt idx="3031">
                  <c:v>2000</c:v>
                </c:pt>
                <c:pt idx="3032">
                  <c:v>2000</c:v>
                </c:pt>
                <c:pt idx="3033">
                  <c:v>2000</c:v>
                </c:pt>
                <c:pt idx="3034">
                  <c:v>2000</c:v>
                </c:pt>
                <c:pt idx="3035">
                  <c:v>2000</c:v>
                </c:pt>
                <c:pt idx="3036">
                  <c:v>2000</c:v>
                </c:pt>
                <c:pt idx="3037">
                  <c:v>2000</c:v>
                </c:pt>
                <c:pt idx="3038">
                  <c:v>2000</c:v>
                </c:pt>
                <c:pt idx="3039">
                  <c:v>2000</c:v>
                </c:pt>
                <c:pt idx="3040">
                  <c:v>2000</c:v>
                </c:pt>
                <c:pt idx="3041">
                  <c:v>2000</c:v>
                </c:pt>
                <c:pt idx="3042">
                  <c:v>2000</c:v>
                </c:pt>
                <c:pt idx="3043">
                  <c:v>2000</c:v>
                </c:pt>
                <c:pt idx="3044">
                  <c:v>2000</c:v>
                </c:pt>
                <c:pt idx="3045">
                  <c:v>2000</c:v>
                </c:pt>
                <c:pt idx="3046">
                  <c:v>2000</c:v>
                </c:pt>
                <c:pt idx="3047">
                  <c:v>2000</c:v>
                </c:pt>
                <c:pt idx="3048">
                  <c:v>2000</c:v>
                </c:pt>
                <c:pt idx="3049">
                  <c:v>2000</c:v>
                </c:pt>
                <c:pt idx="3050">
                  <c:v>2000</c:v>
                </c:pt>
                <c:pt idx="3051">
                  <c:v>2000</c:v>
                </c:pt>
                <c:pt idx="3052">
                  <c:v>2000</c:v>
                </c:pt>
                <c:pt idx="3053">
                  <c:v>2000</c:v>
                </c:pt>
                <c:pt idx="3054">
                  <c:v>2000</c:v>
                </c:pt>
                <c:pt idx="3055">
                  <c:v>2000</c:v>
                </c:pt>
                <c:pt idx="3056">
                  <c:v>2000</c:v>
                </c:pt>
                <c:pt idx="3057">
                  <c:v>2000</c:v>
                </c:pt>
                <c:pt idx="3058">
                  <c:v>2000</c:v>
                </c:pt>
                <c:pt idx="3059">
                  <c:v>2000</c:v>
                </c:pt>
                <c:pt idx="3060">
                  <c:v>2000</c:v>
                </c:pt>
                <c:pt idx="3061">
                  <c:v>2000</c:v>
                </c:pt>
                <c:pt idx="3062">
                  <c:v>2000</c:v>
                </c:pt>
                <c:pt idx="3063">
                  <c:v>2000</c:v>
                </c:pt>
                <c:pt idx="3064">
                  <c:v>2000</c:v>
                </c:pt>
                <c:pt idx="3065">
                  <c:v>2000</c:v>
                </c:pt>
                <c:pt idx="3066">
                  <c:v>2000</c:v>
                </c:pt>
                <c:pt idx="3067">
                  <c:v>2000</c:v>
                </c:pt>
                <c:pt idx="3068">
                  <c:v>2000</c:v>
                </c:pt>
                <c:pt idx="3069">
                  <c:v>2000</c:v>
                </c:pt>
                <c:pt idx="3070">
                  <c:v>2000</c:v>
                </c:pt>
                <c:pt idx="3071">
                  <c:v>2000</c:v>
                </c:pt>
                <c:pt idx="3072">
                  <c:v>2000</c:v>
                </c:pt>
                <c:pt idx="3073">
                  <c:v>2000</c:v>
                </c:pt>
                <c:pt idx="3074">
                  <c:v>2000</c:v>
                </c:pt>
                <c:pt idx="3075">
                  <c:v>2000</c:v>
                </c:pt>
                <c:pt idx="3076">
                  <c:v>2000</c:v>
                </c:pt>
                <c:pt idx="3077">
                  <c:v>2000</c:v>
                </c:pt>
                <c:pt idx="3078">
                  <c:v>2000</c:v>
                </c:pt>
                <c:pt idx="3079">
                  <c:v>2000</c:v>
                </c:pt>
                <c:pt idx="3080">
                  <c:v>2000</c:v>
                </c:pt>
                <c:pt idx="3081">
                  <c:v>2000</c:v>
                </c:pt>
                <c:pt idx="3082">
                  <c:v>2000</c:v>
                </c:pt>
                <c:pt idx="3083">
                  <c:v>2000</c:v>
                </c:pt>
                <c:pt idx="3084">
                  <c:v>2000</c:v>
                </c:pt>
                <c:pt idx="3085">
                  <c:v>2000</c:v>
                </c:pt>
                <c:pt idx="3086">
                  <c:v>2000</c:v>
                </c:pt>
                <c:pt idx="3087">
                  <c:v>2000</c:v>
                </c:pt>
                <c:pt idx="3088">
                  <c:v>2000</c:v>
                </c:pt>
                <c:pt idx="3089">
                  <c:v>2000</c:v>
                </c:pt>
                <c:pt idx="3090">
                  <c:v>2000</c:v>
                </c:pt>
                <c:pt idx="3091">
                  <c:v>2000</c:v>
                </c:pt>
                <c:pt idx="3092">
                  <c:v>2000</c:v>
                </c:pt>
                <c:pt idx="3093">
                  <c:v>2000</c:v>
                </c:pt>
                <c:pt idx="3094">
                  <c:v>2000</c:v>
                </c:pt>
                <c:pt idx="3095">
                  <c:v>2000</c:v>
                </c:pt>
                <c:pt idx="3096">
                  <c:v>2000</c:v>
                </c:pt>
                <c:pt idx="3097">
                  <c:v>2000</c:v>
                </c:pt>
                <c:pt idx="3098">
                  <c:v>2000</c:v>
                </c:pt>
                <c:pt idx="3099">
                  <c:v>2000</c:v>
                </c:pt>
                <c:pt idx="3100">
                  <c:v>2000</c:v>
                </c:pt>
                <c:pt idx="3101">
                  <c:v>2000</c:v>
                </c:pt>
                <c:pt idx="3102">
                  <c:v>2000</c:v>
                </c:pt>
                <c:pt idx="3103">
                  <c:v>2000</c:v>
                </c:pt>
                <c:pt idx="3104">
                  <c:v>2000</c:v>
                </c:pt>
                <c:pt idx="3105">
                  <c:v>2000</c:v>
                </c:pt>
                <c:pt idx="3106">
                  <c:v>2000</c:v>
                </c:pt>
                <c:pt idx="3107">
                  <c:v>2000</c:v>
                </c:pt>
                <c:pt idx="3108">
                  <c:v>2000</c:v>
                </c:pt>
                <c:pt idx="3109">
                  <c:v>2000</c:v>
                </c:pt>
                <c:pt idx="3110">
                  <c:v>2000</c:v>
                </c:pt>
                <c:pt idx="3111">
                  <c:v>2000</c:v>
                </c:pt>
                <c:pt idx="3112">
                  <c:v>2000</c:v>
                </c:pt>
                <c:pt idx="3113">
                  <c:v>2000</c:v>
                </c:pt>
                <c:pt idx="3114">
                  <c:v>2000</c:v>
                </c:pt>
                <c:pt idx="3115">
                  <c:v>2000</c:v>
                </c:pt>
                <c:pt idx="3116">
                  <c:v>2000</c:v>
                </c:pt>
                <c:pt idx="3117">
                  <c:v>2000</c:v>
                </c:pt>
                <c:pt idx="3118">
                  <c:v>2000</c:v>
                </c:pt>
                <c:pt idx="3119">
                  <c:v>2000</c:v>
                </c:pt>
                <c:pt idx="3120">
                  <c:v>2000</c:v>
                </c:pt>
                <c:pt idx="3121">
                  <c:v>2000</c:v>
                </c:pt>
                <c:pt idx="3122">
                  <c:v>2000</c:v>
                </c:pt>
                <c:pt idx="3123">
                  <c:v>2000</c:v>
                </c:pt>
                <c:pt idx="3124">
                  <c:v>2000</c:v>
                </c:pt>
                <c:pt idx="3125">
                  <c:v>2000</c:v>
                </c:pt>
                <c:pt idx="3126">
                  <c:v>2000</c:v>
                </c:pt>
                <c:pt idx="3127">
                  <c:v>2000</c:v>
                </c:pt>
                <c:pt idx="3128">
                  <c:v>2000</c:v>
                </c:pt>
                <c:pt idx="3129">
                  <c:v>2000</c:v>
                </c:pt>
                <c:pt idx="3130">
                  <c:v>2000</c:v>
                </c:pt>
                <c:pt idx="3131">
                  <c:v>2000</c:v>
                </c:pt>
                <c:pt idx="3132">
                  <c:v>2000</c:v>
                </c:pt>
                <c:pt idx="3133">
                  <c:v>2000</c:v>
                </c:pt>
                <c:pt idx="3134">
                  <c:v>2000</c:v>
                </c:pt>
                <c:pt idx="3135">
                  <c:v>2000</c:v>
                </c:pt>
                <c:pt idx="3136">
                  <c:v>2000</c:v>
                </c:pt>
                <c:pt idx="3137">
                  <c:v>2000</c:v>
                </c:pt>
                <c:pt idx="3138">
                  <c:v>2000</c:v>
                </c:pt>
                <c:pt idx="3139">
                  <c:v>2000</c:v>
                </c:pt>
                <c:pt idx="3140">
                  <c:v>2000</c:v>
                </c:pt>
                <c:pt idx="3141">
                  <c:v>2000</c:v>
                </c:pt>
                <c:pt idx="3142">
                  <c:v>2000</c:v>
                </c:pt>
                <c:pt idx="3143">
                  <c:v>2000</c:v>
                </c:pt>
                <c:pt idx="3144">
                  <c:v>2000</c:v>
                </c:pt>
                <c:pt idx="3145">
                  <c:v>2000</c:v>
                </c:pt>
                <c:pt idx="3146">
                  <c:v>2000</c:v>
                </c:pt>
                <c:pt idx="3147">
                  <c:v>2000</c:v>
                </c:pt>
                <c:pt idx="3148">
                  <c:v>2000</c:v>
                </c:pt>
                <c:pt idx="3149">
                  <c:v>2000</c:v>
                </c:pt>
                <c:pt idx="3150">
                  <c:v>2000</c:v>
                </c:pt>
                <c:pt idx="3151">
                  <c:v>2000</c:v>
                </c:pt>
                <c:pt idx="3152">
                  <c:v>2000</c:v>
                </c:pt>
                <c:pt idx="3153">
                  <c:v>2000</c:v>
                </c:pt>
                <c:pt idx="3154">
                  <c:v>2000</c:v>
                </c:pt>
                <c:pt idx="3155">
                  <c:v>2000</c:v>
                </c:pt>
                <c:pt idx="3156">
                  <c:v>2000</c:v>
                </c:pt>
                <c:pt idx="3157">
                  <c:v>2000</c:v>
                </c:pt>
                <c:pt idx="3158">
                  <c:v>2000</c:v>
                </c:pt>
                <c:pt idx="3159">
                  <c:v>2000</c:v>
                </c:pt>
                <c:pt idx="3160">
                  <c:v>2000</c:v>
                </c:pt>
                <c:pt idx="3161">
                  <c:v>2000</c:v>
                </c:pt>
                <c:pt idx="3162">
                  <c:v>2000</c:v>
                </c:pt>
                <c:pt idx="3163">
                  <c:v>2000</c:v>
                </c:pt>
                <c:pt idx="3164">
                  <c:v>2000</c:v>
                </c:pt>
                <c:pt idx="3165">
                  <c:v>2000</c:v>
                </c:pt>
                <c:pt idx="3166">
                  <c:v>2000</c:v>
                </c:pt>
                <c:pt idx="3167">
                  <c:v>2000</c:v>
                </c:pt>
                <c:pt idx="3168">
                  <c:v>2000</c:v>
                </c:pt>
                <c:pt idx="3169">
                  <c:v>2000</c:v>
                </c:pt>
                <c:pt idx="3170">
                  <c:v>2000</c:v>
                </c:pt>
                <c:pt idx="3171">
                  <c:v>2000</c:v>
                </c:pt>
                <c:pt idx="3172">
                  <c:v>2000</c:v>
                </c:pt>
                <c:pt idx="3173">
                  <c:v>2000</c:v>
                </c:pt>
                <c:pt idx="3174">
                  <c:v>2000</c:v>
                </c:pt>
                <c:pt idx="3175">
                  <c:v>2000</c:v>
                </c:pt>
                <c:pt idx="3176">
                  <c:v>2000</c:v>
                </c:pt>
                <c:pt idx="3177">
                  <c:v>2000</c:v>
                </c:pt>
                <c:pt idx="3178">
                  <c:v>2000</c:v>
                </c:pt>
                <c:pt idx="3179">
                  <c:v>2000</c:v>
                </c:pt>
                <c:pt idx="3180">
                  <c:v>2000</c:v>
                </c:pt>
                <c:pt idx="3181">
                  <c:v>2000</c:v>
                </c:pt>
                <c:pt idx="3182">
                  <c:v>2000</c:v>
                </c:pt>
                <c:pt idx="3183">
                  <c:v>2000</c:v>
                </c:pt>
                <c:pt idx="3184">
                  <c:v>2000</c:v>
                </c:pt>
                <c:pt idx="3185">
                  <c:v>2000</c:v>
                </c:pt>
                <c:pt idx="3186">
                  <c:v>2000</c:v>
                </c:pt>
                <c:pt idx="3187">
                  <c:v>2000</c:v>
                </c:pt>
                <c:pt idx="3188">
                  <c:v>2000</c:v>
                </c:pt>
                <c:pt idx="3189">
                  <c:v>2000</c:v>
                </c:pt>
                <c:pt idx="3190">
                  <c:v>2000</c:v>
                </c:pt>
                <c:pt idx="3191">
                  <c:v>2000</c:v>
                </c:pt>
                <c:pt idx="3192">
                  <c:v>2000</c:v>
                </c:pt>
                <c:pt idx="3193">
                  <c:v>2000</c:v>
                </c:pt>
                <c:pt idx="3194">
                  <c:v>2000</c:v>
                </c:pt>
                <c:pt idx="3195">
                  <c:v>2000</c:v>
                </c:pt>
                <c:pt idx="3196">
                  <c:v>2000</c:v>
                </c:pt>
                <c:pt idx="3197">
                  <c:v>2000</c:v>
                </c:pt>
                <c:pt idx="3198">
                  <c:v>2000</c:v>
                </c:pt>
                <c:pt idx="3199">
                  <c:v>2000</c:v>
                </c:pt>
                <c:pt idx="3200">
                  <c:v>2000</c:v>
                </c:pt>
                <c:pt idx="3201">
                  <c:v>2000</c:v>
                </c:pt>
                <c:pt idx="3202">
                  <c:v>2000</c:v>
                </c:pt>
                <c:pt idx="3203">
                  <c:v>2000</c:v>
                </c:pt>
                <c:pt idx="3204">
                  <c:v>2000</c:v>
                </c:pt>
                <c:pt idx="3205">
                  <c:v>2000</c:v>
                </c:pt>
                <c:pt idx="3206">
                  <c:v>2000</c:v>
                </c:pt>
                <c:pt idx="3207">
                  <c:v>2000</c:v>
                </c:pt>
                <c:pt idx="3208">
                  <c:v>2000</c:v>
                </c:pt>
                <c:pt idx="3209">
                  <c:v>2000</c:v>
                </c:pt>
                <c:pt idx="3210">
                  <c:v>2000</c:v>
                </c:pt>
                <c:pt idx="3211">
                  <c:v>2000</c:v>
                </c:pt>
                <c:pt idx="3212">
                  <c:v>2000</c:v>
                </c:pt>
                <c:pt idx="3213">
                  <c:v>2000</c:v>
                </c:pt>
                <c:pt idx="3214">
                  <c:v>2000</c:v>
                </c:pt>
                <c:pt idx="3215">
                  <c:v>2000</c:v>
                </c:pt>
                <c:pt idx="3216">
                  <c:v>2000</c:v>
                </c:pt>
                <c:pt idx="3217">
                  <c:v>2000</c:v>
                </c:pt>
                <c:pt idx="3218">
                  <c:v>2000</c:v>
                </c:pt>
                <c:pt idx="3219">
                  <c:v>2000</c:v>
                </c:pt>
                <c:pt idx="3220">
                  <c:v>2000</c:v>
                </c:pt>
                <c:pt idx="3221">
                  <c:v>2000</c:v>
                </c:pt>
                <c:pt idx="3222">
                  <c:v>2000</c:v>
                </c:pt>
                <c:pt idx="3223">
                  <c:v>2000</c:v>
                </c:pt>
                <c:pt idx="3224">
                  <c:v>2000</c:v>
                </c:pt>
                <c:pt idx="3225">
                  <c:v>2000</c:v>
                </c:pt>
                <c:pt idx="3226">
                  <c:v>2000</c:v>
                </c:pt>
                <c:pt idx="3227">
                  <c:v>2000</c:v>
                </c:pt>
                <c:pt idx="3228">
                  <c:v>2000</c:v>
                </c:pt>
                <c:pt idx="3229">
                  <c:v>2000</c:v>
                </c:pt>
                <c:pt idx="3230">
                  <c:v>2000</c:v>
                </c:pt>
                <c:pt idx="3231">
                  <c:v>2000</c:v>
                </c:pt>
                <c:pt idx="3232">
                  <c:v>2000</c:v>
                </c:pt>
                <c:pt idx="3233">
                  <c:v>2000</c:v>
                </c:pt>
                <c:pt idx="3234">
                  <c:v>2000</c:v>
                </c:pt>
                <c:pt idx="3235">
                  <c:v>2000</c:v>
                </c:pt>
                <c:pt idx="3236">
                  <c:v>2000</c:v>
                </c:pt>
                <c:pt idx="3237">
                  <c:v>2000</c:v>
                </c:pt>
                <c:pt idx="3238">
                  <c:v>2000</c:v>
                </c:pt>
                <c:pt idx="3239">
                  <c:v>2000</c:v>
                </c:pt>
                <c:pt idx="3240">
                  <c:v>2000</c:v>
                </c:pt>
                <c:pt idx="3241">
                  <c:v>2000</c:v>
                </c:pt>
                <c:pt idx="3242">
                  <c:v>2000</c:v>
                </c:pt>
                <c:pt idx="3243">
                  <c:v>2000</c:v>
                </c:pt>
                <c:pt idx="3244">
                  <c:v>2000</c:v>
                </c:pt>
                <c:pt idx="3245">
                  <c:v>2000</c:v>
                </c:pt>
                <c:pt idx="3246">
                  <c:v>2000</c:v>
                </c:pt>
                <c:pt idx="3247">
                  <c:v>2000</c:v>
                </c:pt>
                <c:pt idx="3248">
                  <c:v>2000</c:v>
                </c:pt>
                <c:pt idx="3249">
                  <c:v>2000</c:v>
                </c:pt>
                <c:pt idx="3250">
                  <c:v>2000</c:v>
                </c:pt>
                <c:pt idx="3251">
                  <c:v>2000</c:v>
                </c:pt>
                <c:pt idx="3252">
                  <c:v>2000</c:v>
                </c:pt>
                <c:pt idx="3253">
                  <c:v>2000</c:v>
                </c:pt>
                <c:pt idx="3254">
                  <c:v>2000</c:v>
                </c:pt>
                <c:pt idx="3255">
                  <c:v>2000</c:v>
                </c:pt>
                <c:pt idx="3256">
                  <c:v>2000</c:v>
                </c:pt>
                <c:pt idx="3257">
                  <c:v>2000</c:v>
                </c:pt>
                <c:pt idx="3258">
                  <c:v>2000</c:v>
                </c:pt>
                <c:pt idx="3259">
                  <c:v>2000</c:v>
                </c:pt>
                <c:pt idx="3260">
                  <c:v>2000</c:v>
                </c:pt>
                <c:pt idx="3261">
                  <c:v>2000</c:v>
                </c:pt>
                <c:pt idx="3262">
                  <c:v>2000</c:v>
                </c:pt>
                <c:pt idx="3263">
                  <c:v>2000</c:v>
                </c:pt>
                <c:pt idx="3264">
                  <c:v>2000</c:v>
                </c:pt>
                <c:pt idx="3265">
                  <c:v>2000</c:v>
                </c:pt>
                <c:pt idx="3266">
                  <c:v>2000</c:v>
                </c:pt>
                <c:pt idx="3267">
                  <c:v>2000</c:v>
                </c:pt>
                <c:pt idx="3268">
                  <c:v>2000</c:v>
                </c:pt>
                <c:pt idx="3269">
                  <c:v>2000</c:v>
                </c:pt>
                <c:pt idx="3270">
                  <c:v>2000</c:v>
                </c:pt>
                <c:pt idx="3271">
                  <c:v>2000</c:v>
                </c:pt>
                <c:pt idx="3272">
                  <c:v>2000</c:v>
                </c:pt>
                <c:pt idx="3273">
                  <c:v>2000</c:v>
                </c:pt>
                <c:pt idx="3274">
                  <c:v>2000</c:v>
                </c:pt>
                <c:pt idx="3275">
                  <c:v>2000</c:v>
                </c:pt>
                <c:pt idx="3276">
                  <c:v>2000</c:v>
                </c:pt>
                <c:pt idx="3277">
                  <c:v>2000</c:v>
                </c:pt>
                <c:pt idx="3278">
                  <c:v>2000</c:v>
                </c:pt>
                <c:pt idx="3279">
                  <c:v>2000</c:v>
                </c:pt>
                <c:pt idx="3280">
                  <c:v>2000</c:v>
                </c:pt>
                <c:pt idx="3281">
                  <c:v>2000</c:v>
                </c:pt>
                <c:pt idx="3282">
                  <c:v>2000</c:v>
                </c:pt>
                <c:pt idx="3283">
                  <c:v>2000</c:v>
                </c:pt>
                <c:pt idx="3284">
                  <c:v>2000</c:v>
                </c:pt>
                <c:pt idx="3285">
                  <c:v>2000</c:v>
                </c:pt>
                <c:pt idx="3286">
                  <c:v>2000</c:v>
                </c:pt>
                <c:pt idx="3287">
                  <c:v>2000</c:v>
                </c:pt>
                <c:pt idx="3288">
                  <c:v>2000</c:v>
                </c:pt>
                <c:pt idx="3289">
                  <c:v>2000</c:v>
                </c:pt>
                <c:pt idx="3290">
                  <c:v>2000</c:v>
                </c:pt>
                <c:pt idx="3291">
                  <c:v>2000</c:v>
                </c:pt>
                <c:pt idx="3292">
                  <c:v>2000</c:v>
                </c:pt>
                <c:pt idx="3293">
                  <c:v>2000</c:v>
                </c:pt>
                <c:pt idx="3294">
                  <c:v>2000</c:v>
                </c:pt>
                <c:pt idx="3295">
                  <c:v>2000</c:v>
                </c:pt>
                <c:pt idx="3296">
                  <c:v>2000</c:v>
                </c:pt>
                <c:pt idx="3297">
                  <c:v>2000</c:v>
                </c:pt>
                <c:pt idx="3298">
                  <c:v>2000</c:v>
                </c:pt>
                <c:pt idx="3299">
                  <c:v>2000</c:v>
                </c:pt>
                <c:pt idx="3300">
                  <c:v>2000</c:v>
                </c:pt>
                <c:pt idx="3301">
                  <c:v>2000</c:v>
                </c:pt>
                <c:pt idx="3302">
                  <c:v>2000</c:v>
                </c:pt>
                <c:pt idx="3303">
                  <c:v>2000</c:v>
                </c:pt>
                <c:pt idx="3304">
                  <c:v>2000</c:v>
                </c:pt>
                <c:pt idx="3305">
                  <c:v>2000</c:v>
                </c:pt>
                <c:pt idx="3306">
                  <c:v>2000</c:v>
                </c:pt>
                <c:pt idx="3307">
                  <c:v>2000</c:v>
                </c:pt>
                <c:pt idx="3308">
                  <c:v>2000</c:v>
                </c:pt>
                <c:pt idx="3309">
                  <c:v>2000</c:v>
                </c:pt>
                <c:pt idx="3310">
                  <c:v>2000</c:v>
                </c:pt>
                <c:pt idx="3311">
                  <c:v>2000</c:v>
                </c:pt>
                <c:pt idx="3312">
                  <c:v>2000</c:v>
                </c:pt>
                <c:pt idx="3313">
                  <c:v>2000</c:v>
                </c:pt>
                <c:pt idx="3314">
                  <c:v>2000</c:v>
                </c:pt>
                <c:pt idx="3315">
                  <c:v>2000</c:v>
                </c:pt>
                <c:pt idx="3316">
                  <c:v>2000</c:v>
                </c:pt>
                <c:pt idx="3317">
                  <c:v>2000</c:v>
                </c:pt>
                <c:pt idx="3318">
                  <c:v>2000</c:v>
                </c:pt>
                <c:pt idx="3319">
                  <c:v>2000</c:v>
                </c:pt>
                <c:pt idx="3320">
                  <c:v>2000</c:v>
                </c:pt>
                <c:pt idx="3321">
                  <c:v>2000</c:v>
                </c:pt>
                <c:pt idx="3322">
                  <c:v>2000</c:v>
                </c:pt>
                <c:pt idx="3323">
                  <c:v>2001</c:v>
                </c:pt>
                <c:pt idx="3324">
                  <c:v>2001</c:v>
                </c:pt>
                <c:pt idx="3325">
                  <c:v>2001</c:v>
                </c:pt>
                <c:pt idx="3326">
                  <c:v>2001</c:v>
                </c:pt>
                <c:pt idx="3327">
                  <c:v>2001</c:v>
                </c:pt>
                <c:pt idx="3328">
                  <c:v>2001</c:v>
                </c:pt>
                <c:pt idx="3329">
                  <c:v>2001</c:v>
                </c:pt>
                <c:pt idx="3330">
                  <c:v>2001</c:v>
                </c:pt>
                <c:pt idx="3331">
                  <c:v>2001</c:v>
                </c:pt>
                <c:pt idx="3332">
                  <c:v>2001</c:v>
                </c:pt>
                <c:pt idx="3333">
                  <c:v>2001</c:v>
                </c:pt>
                <c:pt idx="3334">
                  <c:v>2001</c:v>
                </c:pt>
                <c:pt idx="3335">
                  <c:v>2001</c:v>
                </c:pt>
                <c:pt idx="3336">
                  <c:v>2001</c:v>
                </c:pt>
                <c:pt idx="3337">
                  <c:v>2001</c:v>
                </c:pt>
                <c:pt idx="3338">
                  <c:v>2001</c:v>
                </c:pt>
                <c:pt idx="3339">
                  <c:v>2001</c:v>
                </c:pt>
                <c:pt idx="3340">
                  <c:v>2001</c:v>
                </c:pt>
                <c:pt idx="3341">
                  <c:v>2001</c:v>
                </c:pt>
                <c:pt idx="3342">
                  <c:v>2001</c:v>
                </c:pt>
                <c:pt idx="3343">
                  <c:v>2001</c:v>
                </c:pt>
                <c:pt idx="3344">
                  <c:v>2001</c:v>
                </c:pt>
                <c:pt idx="3345">
                  <c:v>2001</c:v>
                </c:pt>
                <c:pt idx="3346">
                  <c:v>2001</c:v>
                </c:pt>
                <c:pt idx="3347">
                  <c:v>2001</c:v>
                </c:pt>
                <c:pt idx="3348">
                  <c:v>2001</c:v>
                </c:pt>
                <c:pt idx="3349">
                  <c:v>2001</c:v>
                </c:pt>
                <c:pt idx="3350">
                  <c:v>2001</c:v>
                </c:pt>
                <c:pt idx="3351">
                  <c:v>2001</c:v>
                </c:pt>
                <c:pt idx="3352">
                  <c:v>2001</c:v>
                </c:pt>
                <c:pt idx="3353">
                  <c:v>2001</c:v>
                </c:pt>
                <c:pt idx="3354">
                  <c:v>2001</c:v>
                </c:pt>
                <c:pt idx="3355">
                  <c:v>2001</c:v>
                </c:pt>
                <c:pt idx="3356">
                  <c:v>2001</c:v>
                </c:pt>
                <c:pt idx="3357">
                  <c:v>2001</c:v>
                </c:pt>
                <c:pt idx="3358">
                  <c:v>2001</c:v>
                </c:pt>
                <c:pt idx="3359">
                  <c:v>2001</c:v>
                </c:pt>
                <c:pt idx="3360">
                  <c:v>2001</c:v>
                </c:pt>
                <c:pt idx="3361">
                  <c:v>2001</c:v>
                </c:pt>
                <c:pt idx="3362">
                  <c:v>2001</c:v>
                </c:pt>
                <c:pt idx="3363">
                  <c:v>2001</c:v>
                </c:pt>
                <c:pt idx="3364">
                  <c:v>2001</c:v>
                </c:pt>
                <c:pt idx="3365">
                  <c:v>2001</c:v>
                </c:pt>
                <c:pt idx="3366">
                  <c:v>2001</c:v>
                </c:pt>
                <c:pt idx="3367">
                  <c:v>2001</c:v>
                </c:pt>
                <c:pt idx="3368">
                  <c:v>2001</c:v>
                </c:pt>
                <c:pt idx="3369">
                  <c:v>2001</c:v>
                </c:pt>
                <c:pt idx="3370">
                  <c:v>2001</c:v>
                </c:pt>
                <c:pt idx="3371">
                  <c:v>2001</c:v>
                </c:pt>
                <c:pt idx="3372">
                  <c:v>2001</c:v>
                </c:pt>
                <c:pt idx="3373">
                  <c:v>2001</c:v>
                </c:pt>
                <c:pt idx="3374">
                  <c:v>2001</c:v>
                </c:pt>
                <c:pt idx="3375">
                  <c:v>2001</c:v>
                </c:pt>
                <c:pt idx="3376">
                  <c:v>2001</c:v>
                </c:pt>
                <c:pt idx="3377">
                  <c:v>2001</c:v>
                </c:pt>
                <c:pt idx="3378">
                  <c:v>2001</c:v>
                </c:pt>
                <c:pt idx="3379">
                  <c:v>2001</c:v>
                </c:pt>
                <c:pt idx="3380">
                  <c:v>2001</c:v>
                </c:pt>
                <c:pt idx="3381">
                  <c:v>2001</c:v>
                </c:pt>
                <c:pt idx="3382">
                  <c:v>2001</c:v>
                </c:pt>
                <c:pt idx="3383">
                  <c:v>2001</c:v>
                </c:pt>
                <c:pt idx="3384">
                  <c:v>2001</c:v>
                </c:pt>
                <c:pt idx="3385">
                  <c:v>2001</c:v>
                </c:pt>
                <c:pt idx="3386">
                  <c:v>2001</c:v>
                </c:pt>
                <c:pt idx="3387">
                  <c:v>2001</c:v>
                </c:pt>
                <c:pt idx="3388">
                  <c:v>2001</c:v>
                </c:pt>
                <c:pt idx="3389">
                  <c:v>2001</c:v>
                </c:pt>
                <c:pt idx="3390">
                  <c:v>2001</c:v>
                </c:pt>
                <c:pt idx="3391">
                  <c:v>2001</c:v>
                </c:pt>
                <c:pt idx="3392">
                  <c:v>2001</c:v>
                </c:pt>
                <c:pt idx="3393">
                  <c:v>2001</c:v>
                </c:pt>
                <c:pt idx="3394">
                  <c:v>2001</c:v>
                </c:pt>
                <c:pt idx="3395">
                  <c:v>2001</c:v>
                </c:pt>
                <c:pt idx="3396">
                  <c:v>2001</c:v>
                </c:pt>
                <c:pt idx="3397">
                  <c:v>2001</c:v>
                </c:pt>
                <c:pt idx="3398">
                  <c:v>2001</c:v>
                </c:pt>
                <c:pt idx="3399">
                  <c:v>2001</c:v>
                </c:pt>
                <c:pt idx="3400">
                  <c:v>2001</c:v>
                </c:pt>
                <c:pt idx="3401">
                  <c:v>2001</c:v>
                </c:pt>
                <c:pt idx="3402">
                  <c:v>2001</c:v>
                </c:pt>
                <c:pt idx="3403">
                  <c:v>2001</c:v>
                </c:pt>
                <c:pt idx="3404">
                  <c:v>2001</c:v>
                </c:pt>
                <c:pt idx="3405">
                  <c:v>2001</c:v>
                </c:pt>
                <c:pt idx="3406">
                  <c:v>2001</c:v>
                </c:pt>
                <c:pt idx="3407">
                  <c:v>2001</c:v>
                </c:pt>
                <c:pt idx="3408">
                  <c:v>2001</c:v>
                </c:pt>
                <c:pt idx="3409">
                  <c:v>2001</c:v>
                </c:pt>
                <c:pt idx="3410">
                  <c:v>2001</c:v>
                </c:pt>
                <c:pt idx="3411">
                  <c:v>2001</c:v>
                </c:pt>
                <c:pt idx="3412">
                  <c:v>2001</c:v>
                </c:pt>
                <c:pt idx="3413">
                  <c:v>2001</c:v>
                </c:pt>
                <c:pt idx="3414">
                  <c:v>2001</c:v>
                </c:pt>
                <c:pt idx="3415">
                  <c:v>2001</c:v>
                </c:pt>
                <c:pt idx="3416">
                  <c:v>2001</c:v>
                </c:pt>
                <c:pt idx="3417">
                  <c:v>2001</c:v>
                </c:pt>
                <c:pt idx="3418">
                  <c:v>2001</c:v>
                </c:pt>
                <c:pt idx="3419">
                  <c:v>2001</c:v>
                </c:pt>
                <c:pt idx="3420">
                  <c:v>2001</c:v>
                </c:pt>
                <c:pt idx="3421">
                  <c:v>2001</c:v>
                </c:pt>
                <c:pt idx="3422">
                  <c:v>2001</c:v>
                </c:pt>
                <c:pt idx="3423">
                  <c:v>2001</c:v>
                </c:pt>
                <c:pt idx="3424">
                  <c:v>2001</c:v>
                </c:pt>
                <c:pt idx="3425">
                  <c:v>2001</c:v>
                </c:pt>
                <c:pt idx="3426">
                  <c:v>2001</c:v>
                </c:pt>
                <c:pt idx="3427">
                  <c:v>2001</c:v>
                </c:pt>
                <c:pt idx="3428">
                  <c:v>2001</c:v>
                </c:pt>
                <c:pt idx="3429">
                  <c:v>2001</c:v>
                </c:pt>
                <c:pt idx="3430">
                  <c:v>2001</c:v>
                </c:pt>
                <c:pt idx="3431">
                  <c:v>2001</c:v>
                </c:pt>
                <c:pt idx="3432">
                  <c:v>2001</c:v>
                </c:pt>
                <c:pt idx="3433">
                  <c:v>2001</c:v>
                </c:pt>
                <c:pt idx="3434">
                  <c:v>2001</c:v>
                </c:pt>
                <c:pt idx="3435">
                  <c:v>2001</c:v>
                </c:pt>
                <c:pt idx="3436">
                  <c:v>2001</c:v>
                </c:pt>
                <c:pt idx="3437">
                  <c:v>2001</c:v>
                </c:pt>
                <c:pt idx="3438">
                  <c:v>2001</c:v>
                </c:pt>
                <c:pt idx="3439">
                  <c:v>2001</c:v>
                </c:pt>
                <c:pt idx="3440">
                  <c:v>2001</c:v>
                </c:pt>
                <c:pt idx="3441">
                  <c:v>2001</c:v>
                </c:pt>
                <c:pt idx="3442">
                  <c:v>2001</c:v>
                </c:pt>
                <c:pt idx="3443">
                  <c:v>2001</c:v>
                </c:pt>
                <c:pt idx="3444">
                  <c:v>2001</c:v>
                </c:pt>
                <c:pt idx="3445">
                  <c:v>2001</c:v>
                </c:pt>
                <c:pt idx="3446">
                  <c:v>2001</c:v>
                </c:pt>
                <c:pt idx="3447">
                  <c:v>2001</c:v>
                </c:pt>
                <c:pt idx="3448">
                  <c:v>2001</c:v>
                </c:pt>
                <c:pt idx="3449">
                  <c:v>2001</c:v>
                </c:pt>
                <c:pt idx="3450">
                  <c:v>2001</c:v>
                </c:pt>
                <c:pt idx="3451">
                  <c:v>2001</c:v>
                </c:pt>
                <c:pt idx="3452">
                  <c:v>2001</c:v>
                </c:pt>
                <c:pt idx="3453">
                  <c:v>2001</c:v>
                </c:pt>
                <c:pt idx="3454">
                  <c:v>2001</c:v>
                </c:pt>
                <c:pt idx="3455">
                  <c:v>2001</c:v>
                </c:pt>
                <c:pt idx="3456">
                  <c:v>2001</c:v>
                </c:pt>
                <c:pt idx="3457">
                  <c:v>2001</c:v>
                </c:pt>
                <c:pt idx="3458">
                  <c:v>2001</c:v>
                </c:pt>
                <c:pt idx="3459">
                  <c:v>2001</c:v>
                </c:pt>
                <c:pt idx="3460">
                  <c:v>2001</c:v>
                </c:pt>
                <c:pt idx="3461">
                  <c:v>2001</c:v>
                </c:pt>
                <c:pt idx="3462">
                  <c:v>2001</c:v>
                </c:pt>
                <c:pt idx="3463">
                  <c:v>2001</c:v>
                </c:pt>
                <c:pt idx="3464">
                  <c:v>2001</c:v>
                </c:pt>
                <c:pt idx="3465">
                  <c:v>2001</c:v>
                </c:pt>
                <c:pt idx="3466">
                  <c:v>2001</c:v>
                </c:pt>
                <c:pt idx="3467">
                  <c:v>2001</c:v>
                </c:pt>
                <c:pt idx="3468">
                  <c:v>2001</c:v>
                </c:pt>
                <c:pt idx="3469">
                  <c:v>2001</c:v>
                </c:pt>
                <c:pt idx="3470">
                  <c:v>2001</c:v>
                </c:pt>
                <c:pt idx="3471">
                  <c:v>2001</c:v>
                </c:pt>
                <c:pt idx="3472">
                  <c:v>2001</c:v>
                </c:pt>
                <c:pt idx="3473">
                  <c:v>2001</c:v>
                </c:pt>
                <c:pt idx="3474">
                  <c:v>2001</c:v>
                </c:pt>
                <c:pt idx="3475">
                  <c:v>2001</c:v>
                </c:pt>
                <c:pt idx="3476">
                  <c:v>2001</c:v>
                </c:pt>
                <c:pt idx="3477">
                  <c:v>2001</c:v>
                </c:pt>
                <c:pt idx="3478">
                  <c:v>2001</c:v>
                </c:pt>
                <c:pt idx="3479">
                  <c:v>2001</c:v>
                </c:pt>
                <c:pt idx="3480">
                  <c:v>2001</c:v>
                </c:pt>
                <c:pt idx="3481">
                  <c:v>2001</c:v>
                </c:pt>
                <c:pt idx="3482">
                  <c:v>2001</c:v>
                </c:pt>
                <c:pt idx="3483">
                  <c:v>2001</c:v>
                </c:pt>
                <c:pt idx="3484">
                  <c:v>2001</c:v>
                </c:pt>
                <c:pt idx="3485">
                  <c:v>2001</c:v>
                </c:pt>
                <c:pt idx="3486">
                  <c:v>2001</c:v>
                </c:pt>
                <c:pt idx="3487">
                  <c:v>2001</c:v>
                </c:pt>
                <c:pt idx="3488">
                  <c:v>2001</c:v>
                </c:pt>
                <c:pt idx="3489">
                  <c:v>2001</c:v>
                </c:pt>
                <c:pt idx="3490">
                  <c:v>2001</c:v>
                </c:pt>
                <c:pt idx="3491">
                  <c:v>2001</c:v>
                </c:pt>
                <c:pt idx="3492">
                  <c:v>2001</c:v>
                </c:pt>
                <c:pt idx="3493">
                  <c:v>2001</c:v>
                </c:pt>
                <c:pt idx="3494">
                  <c:v>2001</c:v>
                </c:pt>
                <c:pt idx="3495">
                  <c:v>2001</c:v>
                </c:pt>
                <c:pt idx="3496">
                  <c:v>2001</c:v>
                </c:pt>
                <c:pt idx="3497">
                  <c:v>2001</c:v>
                </c:pt>
                <c:pt idx="3498">
                  <c:v>2001</c:v>
                </c:pt>
                <c:pt idx="3499">
                  <c:v>2001</c:v>
                </c:pt>
                <c:pt idx="3500">
                  <c:v>2001</c:v>
                </c:pt>
                <c:pt idx="3501">
                  <c:v>2001</c:v>
                </c:pt>
                <c:pt idx="3502">
                  <c:v>2001</c:v>
                </c:pt>
                <c:pt idx="3503">
                  <c:v>2001</c:v>
                </c:pt>
                <c:pt idx="3504">
                  <c:v>2001</c:v>
                </c:pt>
                <c:pt idx="3505">
                  <c:v>2001</c:v>
                </c:pt>
                <c:pt idx="3506">
                  <c:v>2001</c:v>
                </c:pt>
                <c:pt idx="3507">
                  <c:v>2001</c:v>
                </c:pt>
                <c:pt idx="3508">
                  <c:v>2001</c:v>
                </c:pt>
                <c:pt idx="3509">
                  <c:v>2001</c:v>
                </c:pt>
                <c:pt idx="3510">
                  <c:v>2001</c:v>
                </c:pt>
                <c:pt idx="3511">
                  <c:v>2001</c:v>
                </c:pt>
                <c:pt idx="3512">
                  <c:v>2001</c:v>
                </c:pt>
                <c:pt idx="3513">
                  <c:v>2001</c:v>
                </c:pt>
                <c:pt idx="3514">
                  <c:v>2001</c:v>
                </c:pt>
                <c:pt idx="3515">
                  <c:v>2001</c:v>
                </c:pt>
                <c:pt idx="3516">
                  <c:v>2001</c:v>
                </c:pt>
                <c:pt idx="3517">
                  <c:v>2001</c:v>
                </c:pt>
                <c:pt idx="3518">
                  <c:v>2001</c:v>
                </c:pt>
                <c:pt idx="3519">
                  <c:v>2001</c:v>
                </c:pt>
                <c:pt idx="3520">
                  <c:v>2001</c:v>
                </c:pt>
                <c:pt idx="3521">
                  <c:v>2001</c:v>
                </c:pt>
                <c:pt idx="3522">
                  <c:v>2001</c:v>
                </c:pt>
                <c:pt idx="3523">
                  <c:v>2001</c:v>
                </c:pt>
                <c:pt idx="3524">
                  <c:v>2001</c:v>
                </c:pt>
                <c:pt idx="3525">
                  <c:v>2001</c:v>
                </c:pt>
                <c:pt idx="3526">
                  <c:v>2001</c:v>
                </c:pt>
                <c:pt idx="3527">
                  <c:v>2001</c:v>
                </c:pt>
                <c:pt idx="3528">
                  <c:v>2001</c:v>
                </c:pt>
                <c:pt idx="3529">
                  <c:v>2001</c:v>
                </c:pt>
                <c:pt idx="3530">
                  <c:v>2001</c:v>
                </c:pt>
                <c:pt idx="3531">
                  <c:v>2001</c:v>
                </c:pt>
                <c:pt idx="3532">
                  <c:v>2001</c:v>
                </c:pt>
                <c:pt idx="3533">
                  <c:v>2001</c:v>
                </c:pt>
                <c:pt idx="3534">
                  <c:v>2001</c:v>
                </c:pt>
                <c:pt idx="3535">
                  <c:v>2001</c:v>
                </c:pt>
                <c:pt idx="3536">
                  <c:v>2001</c:v>
                </c:pt>
                <c:pt idx="3537">
                  <c:v>2001</c:v>
                </c:pt>
                <c:pt idx="3538">
                  <c:v>2001</c:v>
                </c:pt>
                <c:pt idx="3539">
                  <c:v>2001</c:v>
                </c:pt>
                <c:pt idx="3540">
                  <c:v>2001</c:v>
                </c:pt>
                <c:pt idx="3541">
                  <c:v>2001</c:v>
                </c:pt>
                <c:pt idx="3542">
                  <c:v>2001</c:v>
                </c:pt>
                <c:pt idx="3543">
                  <c:v>2001</c:v>
                </c:pt>
                <c:pt idx="3544">
                  <c:v>2001</c:v>
                </c:pt>
                <c:pt idx="3545">
                  <c:v>2001</c:v>
                </c:pt>
                <c:pt idx="3546">
                  <c:v>2001</c:v>
                </c:pt>
                <c:pt idx="3547">
                  <c:v>2001</c:v>
                </c:pt>
                <c:pt idx="3548">
                  <c:v>2001</c:v>
                </c:pt>
                <c:pt idx="3549">
                  <c:v>2001</c:v>
                </c:pt>
                <c:pt idx="3550">
                  <c:v>2001</c:v>
                </c:pt>
                <c:pt idx="3551">
                  <c:v>2001</c:v>
                </c:pt>
                <c:pt idx="3552">
                  <c:v>2001</c:v>
                </c:pt>
                <c:pt idx="3553">
                  <c:v>2001</c:v>
                </c:pt>
                <c:pt idx="3554">
                  <c:v>2001</c:v>
                </c:pt>
                <c:pt idx="3555">
                  <c:v>2001</c:v>
                </c:pt>
                <c:pt idx="3556">
                  <c:v>2001</c:v>
                </c:pt>
                <c:pt idx="3557">
                  <c:v>2001</c:v>
                </c:pt>
                <c:pt idx="3558">
                  <c:v>2001</c:v>
                </c:pt>
                <c:pt idx="3559">
                  <c:v>2001</c:v>
                </c:pt>
                <c:pt idx="3560">
                  <c:v>2001</c:v>
                </c:pt>
                <c:pt idx="3561">
                  <c:v>2001</c:v>
                </c:pt>
                <c:pt idx="3562">
                  <c:v>2001</c:v>
                </c:pt>
                <c:pt idx="3563">
                  <c:v>2001</c:v>
                </c:pt>
                <c:pt idx="3564">
                  <c:v>2001</c:v>
                </c:pt>
                <c:pt idx="3565">
                  <c:v>2001</c:v>
                </c:pt>
                <c:pt idx="3566">
                  <c:v>2001</c:v>
                </c:pt>
                <c:pt idx="3567">
                  <c:v>2001</c:v>
                </c:pt>
                <c:pt idx="3568">
                  <c:v>2001</c:v>
                </c:pt>
                <c:pt idx="3569">
                  <c:v>2001</c:v>
                </c:pt>
                <c:pt idx="3570">
                  <c:v>2001</c:v>
                </c:pt>
                <c:pt idx="3571">
                  <c:v>2001</c:v>
                </c:pt>
                <c:pt idx="3572">
                  <c:v>2001</c:v>
                </c:pt>
                <c:pt idx="3573">
                  <c:v>2001</c:v>
                </c:pt>
                <c:pt idx="3574">
                  <c:v>2001</c:v>
                </c:pt>
                <c:pt idx="3575">
                  <c:v>2001</c:v>
                </c:pt>
                <c:pt idx="3576">
                  <c:v>2001</c:v>
                </c:pt>
                <c:pt idx="3577">
                  <c:v>2001</c:v>
                </c:pt>
                <c:pt idx="3578">
                  <c:v>2001</c:v>
                </c:pt>
                <c:pt idx="3579">
                  <c:v>2001</c:v>
                </c:pt>
                <c:pt idx="3580">
                  <c:v>2001</c:v>
                </c:pt>
                <c:pt idx="3581">
                  <c:v>2001</c:v>
                </c:pt>
                <c:pt idx="3582">
                  <c:v>2001</c:v>
                </c:pt>
                <c:pt idx="3583">
                  <c:v>2001</c:v>
                </c:pt>
                <c:pt idx="3584">
                  <c:v>2001</c:v>
                </c:pt>
                <c:pt idx="3585">
                  <c:v>2001</c:v>
                </c:pt>
                <c:pt idx="3586">
                  <c:v>2001</c:v>
                </c:pt>
                <c:pt idx="3587">
                  <c:v>2001</c:v>
                </c:pt>
                <c:pt idx="3588">
                  <c:v>2001</c:v>
                </c:pt>
                <c:pt idx="3589">
                  <c:v>2001</c:v>
                </c:pt>
                <c:pt idx="3590">
                  <c:v>2001</c:v>
                </c:pt>
                <c:pt idx="3591">
                  <c:v>2001</c:v>
                </c:pt>
                <c:pt idx="3592">
                  <c:v>2001</c:v>
                </c:pt>
                <c:pt idx="3593">
                  <c:v>2001</c:v>
                </c:pt>
                <c:pt idx="3594">
                  <c:v>2001</c:v>
                </c:pt>
                <c:pt idx="3595">
                  <c:v>2001</c:v>
                </c:pt>
                <c:pt idx="3596">
                  <c:v>2001</c:v>
                </c:pt>
                <c:pt idx="3597">
                  <c:v>2001</c:v>
                </c:pt>
                <c:pt idx="3598">
                  <c:v>2001</c:v>
                </c:pt>
                <c:pt idx="3599">
                  <c:v>2001</c:v>
                </c:pt>
                <c:pt idx="3600">
                  <c:v>2001</c:v>
                </c:pt>
                <c:pt idx="3601">
                  <c:v>2001</c:v>
                </c:pt>
                <c:pt idx="3602">
                  <c:v>2001</c:v>
                </c:pt>
                <c:pt idx="3603">
                  <c:v>2001</c:v>
                </c:pt>
                <c:pt idx="3604">
                  <c:v>2001</c:v>
                </c:pt>
                <c:pt idx="3605">
                  <c:v>2001</c:v>
                </c:pt>
                <c:pt idx="3606">
                  <c:v>2001</c:v>
                </c:pt>
                <c:pt idx="3607">
                  <c:v>2001</c:v>
                </c:pt>
                <c:pt idx="3608">
                  <c:v>2001</c:v>
                </c:pt>
                <c:pt idx="3609">
                  <c:v>2001</c:v>
                </c:pt>
                <c:pt idx="3610">
                  <c:v>2001</c:v>
                </c:pt>
                <c:pt idx="3611">
                  <c:v>2001</c:v>
                </c:pt>
                <c:pt idx="3612">
                  <c:v>2001</c:v>
                </c:pt>
                <c:pt idx="3613">
                  <c:v>2001</c:v>
                </c:pt>
                <c:pt idx="3614">
                  <c:v>2001</c:v>
                </c:pt>
                <c:pt idx="3615">
                  <c:v>2001</c:v>
                </c:pt>
                <c:pt idx="3616">
                  <c:v>2001</c:v>
                </c:pt>
                <c:pt idx="3617">
                  <c:v>2001</c:v>
                </c:pt>
                <c:pt idx="3618">
                  <c:v>2001</c:v>
                </c:pt>
                <c:pt idx="3619">
                  <c:v>2001</c:v>
                </c:pt>
                <c:pt idx="3620">
                  <c:v>2001</c:v>
                </c:pt>
                <c:pt idx="3621">
                  <c:v>2001</c:v>
                </c:pt>
                <c:pt idx="3622">
                  <c:v>2001</c:v>
                </c:pt>
                <c:pt idx="3623">
                  <c:v>2001</c:v>
                </c:pt>
                <c:pt idx="3624">
                  <c:v>2001</c:v>
                </c:pt>
                <c:pt idx="3625">
                  <c:v>2001</c:v>
                </c:pt>
                <c:pt idx="3626">
                  <c:v>2001</c:v>
                </c:pt>
                <c:pt idx="3627">
                  <c:v>2001</c:v>
                </c:pt>
                <c:pt idx="3628">
                  <c:v>2001</c:v>
                </c:pt>
                <c:pt idx="3629">
                  <c:v>2001</c:v>
                </c:pt>
                <c:pt idx="3630">
                  <c:v>2001</c:v>
                </c:pt>
                <c:pt idx="3631">
                  <c:v>2001</c:v>
                </c:pt>
                <c:pt idx="3632">
                  <c:v>2001</c:v>
                </c:pt>
                <c:pt idx="3633">
                  <c:v>2001</c:v>
                </c:pt>
                <c:pt idx="3634">
                  <c:v>2001</c:v>
                </c:pt>
                <c:pt idx="3635">
                  <c:v>2001</c:v>
                </c:pt>
                <c:pt idx="3636">
                  <c:v>2001</c:v>
                </c:pt>
                <c:pt idx="3637">
                  <c:v>2001</c:v>
                </c:pt>
                <c:pt idx="3638">
                  <c:v>2001</c:v>
                </c:pt>
                <c:pt idx="3639">
                  <c:v>2001</c:v>
                </c:pt>
                <c:pt idx="3640">
                  <c:v>2001</c:v>
                </c:pt>
                <c:pt idx="3641">
                  <c:v>2001</c:v>
                </c:pt>
                <c:pt idx="3642">
                  <c:v>2001</c:v>
                </c:pt>
                <c:pt idx="3643">
                  <c:v>2001</c:v>
                </c:pt>
                <c:pt idx="3644">
                  <c:v>2001</c:v>
                </c:pt>
                <c:pt idx="3645">
                  <c:v>2001</c:v>
                </c:pt>
                <c:pt idx="3646">
                  <c:v>2001</c:v>
                </c:pt>
                <c:pt idx="3647">
                  <c:v>2001</c:v>
                </c:pt>
                <c:pt idx="3648">
                  <c:v>2001</c:v>
                </c:pt>
                <c:pt idx="3649">
                  <c:v>2001</c:v>
                </c:pt>
                <c:pt idx="3650">
                  <c:v>2001</c:v>
                </c:pt>
                <c:pt idx="3651">
                  <c:v>2001</c:v>
                </c:pt>
                <c:pt idx="3652">
                  <c:v>2001</c:v>
                </c:pt>
                <c:pt idx="3653">
                  <c:v>2001</c:v>
                </c:pt>
                <c:pt idx="3654">
                  <c:v>2001</c:v>
                </c:pt>
                <c:pt idx="3655">
                  <c:v>2001</c:v>
                </c:pt>
                <c:pt idx="3656">
                  <c:v>2001</c:v>
                </c:pt>
                <c:pt idx="3657">
                  <c:v>2001</c:v>
                </c:pt>
                <c:pt idx="3658">
                  <c:v>2001</c:v>
                </c:pt>
                <c:pt idx="3659">
                  <c:v>2001</c:v>
                </c:pt>
                <c:pt idx="3660">
                  <c:v>2001</c:v>
                </c:pt>
                <c:pt idx="3661">
                  <c:v>2001</c:v>
                </c:pt>
                <c:pt idx="3662">
                  <c:v>2001</c:v>
                </c:pt>
                <c:pt idx="3663">
                  <c:v>2001</c:v>
                </c:pt>
                <c:pt idx="3664">
                  <c:v>2001</c:v>
                </c:pt>
                <c:pt idx="3665">
                  <c:v>2001</c:v>
                </c:pt>
                <c:pt idx="3666">
                  <c:v>2001</c:v>
                </c:pt>
                <c:pt idx="3667">
                  <c:v>2001</c:v>
                </c:pt>
                <c:pt idx="3668">
                  <c:v>2001</c:v>
                </c:pt>
                <c:pt idx="3669">
                  <c:v>2001</c:v>
                </c:pt>
                <c:pt idx="3670">
                  <c:v>2001</c:v>
                </c:pt>
                <c:pt idx="3671">
                  <c:v>2001</c:v>
                </c:pt>
                <c:pt idx="3672">
                  <c:v>2001</c:v>
                </c:pt>
                <c:pt idx="3673">
                  <c:v>2001</c:v>
                </c:pt>
                <c:pt idx="3674">
                  <c:v>2001</c:v>
                </c:pt>
                <c:pt idx="3675">
                  <c:v>2001</c:v>
                </c:pt>
                <c:pt idx="3676">
                  <c:v>2001</c:v>
                </c:pt>
                <c:pt idx="3677">
                  <c:v>2001</c:v>
                </c:pt>
                <c:pt idx="3678">
                  <c:v>2001</c:v>
                </c:pt>
                <c:pt idx="3679">
                  <c:v>2001</c:v>
                </c:pt>
                <c:pt idx="3680">
                  <c:v>2001</c:v>
                </c:pt>
                <c:pt idx="3681">
                  <c:v>2001</c:v>
                </c:pt>
                <c:pt idx="3682">
                  <c:v>2001</c:v>
                </c:pt>
                <c:pt idx="3683">
                  <c:v>2001</c:v>
                </c:pt>
                <c:pt idx="3684">
                  <c:v>2001</c:v>
                </c:pt>
                <c:pt idx="3685">
                  <c:v>2001</c:v>
                </c:pt>
                <c:pt idx="3686">
                  <c:v>2001</c:v>
                </c:pt>
                <c:pt idx="3687">
                  <c:v>2001</c:v>
                </c:pt>
                <c:pt idx="3688">
                  <c:v>2002</c:v>
                </c:pt>
                <c:pt idx="3689">
                  <c:v>2002</c:v>
                </c:pt>
                <c:pt idx="3690">
                  <c:v>2002</c:v>
                </c:pt>
                <c:pt idx="3691">
                  <c:v>2002</c:v>
                </c:pt>
                <c:pt idx="3692">
                  <c:v>2002</c:v>
                </c:pt>
                <c:pt idx="3693">
                  <c:v>2002</c:v>
                </c:pt>
                <c:pt idx="3694">
                  <c:v>2002</c:v>
                </c:pt>
                <c:pt idx="3695">
                  <c:v>2002</c:v>
                </c:pt>
                <c:pt idx="3696">
                  <c:v>2002</c:v>
                </c:pt>
                <c:pt idx="3697">
                  <c:v>2002</c:v>
                </c:pt>
                <c:pt idx="3698">
                  <c:v>2002</c:v>
                </c:pt>
                <c:pt idx="3699">
                  <c:v>2002</c:v>
                </c:pt>
                <c:pt idx="3700">
                  <c:v>2002</c:v>
                </c:pt>
                <c:pt idx="3701">
                  <c:v>2002</c:v>
                </c:pt>
                <c:pt idx="3702">
                  <c:v>2002</c:v>
                </c:pt>
                <c:pt idx="3703">
                  <c:v>2002</c:v>
                </c:pt>
                <c:pt idx="3704">
                  <c:v>2002</c:v>
                </c:pt>
                <c:pt idx="3705">
                  <c:v>2002</c:v>
                </c:pt>
                <c:pt idx="3706">
                  <c:v>2002</c:v>
                </c:pt>
                <c:pt idx="3707">
                  <c:v>2002</c:v>
                </c:pt>
                <c:pt idx="3708">
                  <c:v>2002</c:v>
                </c:pt>
                <c:pt idx="3709">
                  <c:v>2002</c:v>
                </c:pt>
                <c:pt idx="3710">
                  <c:v>2002</c:v>
                </c:pt>
                <c:pt idx="3711">
                  <c:v>2002</c:v>
                </c:pt>
                <c:pt idx="3712">
                  <c:v>2002</c:v>
                </c:pt>
                <c:pt idx="3713">
                  <c:v>2002</c:v>
                </c:pt>
                <c:pt idx="3714">
                  <c:v>2002</c:v>
                </c:pt>
                <c:pt idx="3715">
                  <c:v>2002</c:v>
                </c:pt>
                <c:pt idx="3716">
                  <c:v>2002</c:v>
                </c:pt>
                <c:pt idx="3717">
                  <c:v>2002</c:v>
                </c:pt>
                <c:pt idx="3718">
                  <c:v>2002</c:v>
                </c:pt>
                <c:pt idx="3719">
                  <c:v>2002</c:v>
                </c:pt>
                <c:pt idx="3720">
                  <c:v>2002</c:v>
                </c:pt>
                <c:pt idx="3721">
                  <c:v>2002</c:v>
                </c:pt>
                <c:pt idx="3722">
                  <c:v>2002</c:v>
                </c:pt>
                <c:pt idx="3723">
                  <c:v>2002</c:v>
                </c:pt>
                <c:pt idx="3724">
                  <c:v>2002</c:v>
                </c:pt>
                <c:pt idx="3725">
                  <c:v>2002</c:v>
                </c:pt>
                <c:pt idx="3726">
                  <c:v>2002</c:v>
                </c:pt>
                <c:pt idx="3727">
                  <c:v>2002</c:v>
                </c:pt>
                <c:pt idx="3728">
                  <c:v>2002</c:v>
                </c:pt>
                <c:pt idx="3729">
                  <c:v>2002</c:v>
                </c:pt>
                <c:pt idx="3730">
                  <c:v>2002</c:v>
                </c:pt>
                <c:pt idx="3731">
                  <c:v>2002</c:v>
                </c:pt>
                <c:pt idx="3732">
                  <c:v>2002</c:v>
                </c:pt>
                <c:pt idx="3733">
                  <c:v>2002</c:v>
                </c:pt>
                <c:pt idx="3734">
                  <c:v>2002</c:v>
                </c:pt>
                <c:pt idx="3735">
                  <c:v>2002</c:v>
                </c:pt>
                <c:pt idx="3736">
                  <c:v>2002</c:v>
                </c:pt>
                <c:pt idx="3737">
                  <c:v>2002</c:v>
                </c:pt>
                <c:pt idx="3738">
                  <c:v>2002</c:v>
                </c:pt>
                <c:pt idx="3739">
                  <c:v>2002</c:v>
                </c:pt>
                <c:pt idx="3740">
                  <c:v>2002</c:v>
                </c:pt>
                <c:pt idx="3741">
                  <c:v>2002</c:v>
                </c:pt>
                <c:pt idx="3742">
                  <c:v>2002</c:v>
                </c:pt>
                <c:pt idx="3743">
                  <c:v>2002</c:v>
                </c:pt>
                <c:pt idx="3744">
                  <c:v>2002</c:v>
                </c:pt>
                <c:pt idx="3745">
                  <c:v>2002</c:v>
                </c:pt>
                <c:pt idx="3746">
                  <c:v>2002</c:v>
                </c:pt>
                <c:pt idx="3747">
                  <c:v>2002</c:v>
                </c:pt>
                <c:pt idx="3748">
                  <c:v>2002</c:v>
                </c:pt>
                <c:pt idx="3749">
                  <c:v>2002</c:v>
                </c:pt>
                <c:pt idx="3750">
                  <c:v>2002</c:v>
                </c:pt>
                <c:pt idx="3751">
                  <c:v>2002</c:v>
                </c:pt>
                <c:pt idx="3752">
                  <c:v>2002</c:v>
                </c:pt>
                <c:pt idx="3753">
                  <c:v>2002</c:v>
                </c:pt>
                <c:pt idx="3754">
                  <c:v>2002</c:v>
                </c:pt>
                <c:pt idx="3755">
                  <c:v>2002</c:v>
                </c:pt>
                <c:pt idx="3756">
                  <c:v>2002</c:v>
                </c:pt>
                <c:pt idx="3757">
                  <c:v>2002</c:v>
                </c:pt>
                <c:pt idx="3758">
                  <c:v>2002</c:v>
                </c:pt>
                <c:pt idx="3759">
                  <c:v>2002</c:v>
                </c:pt>
                <c:pt idx="3760">
                  <c:v>2002</c:v>
                </c:pt>
                <c:pt idx="3761">
                  <c:v>2002</c:v>
                </c:pt>
                <c:pt idx="3762">
                  <c:v>2002</c:v>
                </c:pt>
                <c:pt idx="3763">
                  <c:v>2002</c:v>
                </c:pt>
                <c:pt idx="3764">
                  <c:v>2002</c:v>
                </c:pt>
                <c:pt idx="3765">
                  <c:v>2002</c:v>
                </c:pt>
                <c:pt idx="3766">
                  <c:v>2002</c:v>
                </c:pt>
                <c:pt idx="3767">
                  <c:v>2002</c:v>
                </c:pt>
                <c:pt idx="3768">
                  <c:v>2002</c:v>
                </c:pt>
                <c:pt idx="3769">
                  <c:v>2002</c:v>
                </c:pt>
                <c:pt idx="3770">
                  <c:v>2002</c:v>
                </c:pt>
                <c:pt idx="3771">
                  <c:v>2002</c:v>
                </c:pt>
                <c:pt idx="3772">
                  <c:v>2002</c:v>
                </c:pt>
                <c:pt idx="3773">
                  <c:v>2002</c:v>
                </c:pt>
                <c:pt idx="3774">
                  <c:v>2002</c:v>
                </c:pt>
                <c:pt idx="3775">
                  <c:v>2002</c:v>
                </c:pt>
                <c:pt idx="3776">
                  <c:v>2002</c:v>
                </c:pt>
                <c:pt idx="3777">
                  <c:v>2002</c:v>
                </c:pt>
                <c:pt idx="3778">
                  <c:v>2002</c:v>
                </c:pt>
                <c:pt idx="3779">
                  <c:v>2002</c:v>
                </c:pt>
                <c:pt idx="3780">
                  <c:v>2002</c:v>
                </c:pt>
                <c:pt idx="3781">
                  <c:v>2002</c:v>
                </c:pt>
                <c:pt idx="3782">
                  <c:v>2002</c:v>
                </c:pt>
                <c:pt idx="3783">
                  <c:v>2002</c:v>
                </c:pt>
                <c:pt idx="3784">
                  <c:v>2002</c:v>
                </c:pt>
                <c:pt idx="3785">
                  <c:v>2002</c:v>
                </c:pt>
                <c:pt idx="3786">
                  <c:v>2002</c:v>
                </c:pt>
                <c:pt idx="3787">
                  <c:v>2002</c:v>
                </c:pt>
                <c:pt idx="3788">
                  <c:v>2002</c:v>
                </c:pt>
                <c:pt idx="3789">
                  <c:v>2002</c:v>
                </c:pt>
                <c:pt idx="3790">
                  <c:v>2002</c:v>
                </c:pt>
                <c:pt idx="3791">
                  <c:v>2002</c:v>
                </c:pt>
                <c:pt idx="3792">
                  <c:v>2002</c:v>
                </c:pt>
                <c:pt idx="3793">
                  <c:v>2002</c:v>
                </c:pt>
                <c:pt idx="3794">
                  <c:v>2002</c:v>
                </c:pt>
                <c:pt idx="3795">
                  <c:v>2002</c:v>
                </c:pt>
                <c:pt idx="3796">
                  <c:v>2002</c:v>
                </c:pt>
                <c:pt idx="3797">
                  <c:v>2002</c:v>
                </c:pt>
                <c:pt idx="3798">
                  <c:v>2002</c:v>
                </c:pt>
                <c:pt idx="3799">
                  <c:v>2002</c:v>
                </c:pt>
                <c:pt idx="3800">
                  <c:v>2002</c:v>
                </c:pt>
                <c:pt idx="3801">
                  <c:v>2002</c:v>
                </c:pt>
                <c:pt idx="3802">
                  <c:v>2002</c:v>
                </c:pt>
                <c:pt idx="3803">
                  <c:v>2002</c:v>
                </c:pt>
                <c:pt idx="3804">
                  <c:v>2002</c:v>
                </c:pt>
                <c:pt idx="3805">
                  <c:v>2002</c:v>
                </c:pt>
                <c:pt idx="3806">
                  <c:v>2002</c:v>
                </c:pt>
                <c:pt idx="3807">
                  <c:v>2002</c:v>
                </c:pt>
                <c:pt idx="3808">
                  <c:v>2002</c:v>
                </c:pt>
                <c:pt idx="3809">
                  <c:v>2002</c:v>
                </c:pt>
                <c:pt idx="3810">
                  <c:v>2002</c:v>
                </c:pt>
                <c:pt idx="3811">
                  <c:v>2002</c:v>
                </c:pt>
                <c:pt idx="3812">
                  <c:v>2002</c:v>
                </c:pt>
                <c:pt idx="3813">
                  <c:v>2002</c:v>
                </c:pt>
                <c:pt idx="3814">
                  <c:v>2002</c:v>
                </c:pt>
                <c:pt idx="3815">
                  <c:v>2002</c:v>
                </c:pt>
                <c:pt idx="3816">
                  <c:v>2002</c:v>
                </c:pt>
                <c:pt idx="3817">
                  <c:v>2002</c:v>
                </c:pt>
                <c:pt idx="3818">
                  <c:v>2002</c:v>
                </c:pt>
                <c:pt idx="3819">
                  <c:v>2002</c:v>
                </c:pt>
                <c:pt idx="3820">
                  <c:v>2002</c:v>
                </c:pt>
                <c:pt idx="3821">
                  <c:v>2002</c:v>
                </c:pt>
                <c:pt idx="3822">
                  <c:v>2002</c:v>
                </c:pt>
                <c:pt idx="3823">
                  <c:v>2002</c:v>
                </c:pt>
                <c:pt idx="3824">
                  <c:v>2002</c:v>
                </c:pt>
                <c:pt idx="3825">
                  <c:v>2002</c:v>
                </c:pt>
                <c:pt idx="3826">
                  <c:v>2002</c:v>
                </c:pt>
                <c:pt idx="3827">
                  <c:v>2002</c:v>
                </c:pt>
                <c:pt idx="3828">
                  <c:v>2002</c:v>
                </c:pt>
                <c:pt idx="3829">
                  <c:v>2002</c:v>
                </c:pt>
                <c:pt idx="3830">
                  <c:v>2002</c:v>
                </c:pt>
                <c:pt idx="3831">
                  <c:v>2002</c:v>
                </c:pt>
                <c:pt idx="3832">
                  <c:v>2002</c:v>
                </c:pt>
                <c:pt idx="3833">
                  <c:v>2002</c:v>
                </c:pt>
                <c:pt idx="3834">
                  <c:v>2002</c:v>
                </c:pt>
                <c:pt idx="3835">
                  <c:v>2002</c:v>
                </c:pt>
                <c:pt idx="3836">
                  <c:v>2002</c:v>
                </c:pt>
                <c:pt idx="3837">
                  <c:v>2002</c:v>
                </c:pt>
                <c:pt idx="3838">
                  <c:v>2002</c:v>
                </c:pt>
                <c:pt idx="3839">
                  <c:v>2002</c:v>
                </c:pt>
                <c:pt idx="3840">
                  <c:v>2002</c:v>
                </c:pt>
                <c:pt idx="3841">
                  <c:v>2002</c:v>
                </c:pt>
                <c:pt idx="3842">
                  <c:v>2002</c:v>
                </c:pt>
                <c:pt idx="3843">
                  <c:v>2002</c:v>
                </c:pt>
                <c:pt idx="3844">
                  <c:v>2002</c:v>
                </c:pt>
                <c:pt idx="3845">
                  <c:v>2002</c:v>
                </c:pt>
                <c:pt idx="3846">
                  <c:v>2002</c:v>
                </c:pt>
                <c:pt idx="3847">
                  <c:v>2002</c:v>
                </c:pt>
                <c:pt idx="3848">
                  <c:v>2002</c:v>
                </c:pt>
                <c:pt idx="3849">
                  <c:v>2002</c:v>
                </c:pt>
                <c:pt idx="3850">
                  <c:v>2002</c:v>
                </c:pt>
                <c:pt idx="3851">
                  <c:v>2002</c:v>
                </c:pt>
                <c:pt idx="3852">
                  <c:v>2002</c:v>
                </c:pt>
                <c:pt idx="3853">
                  <c:v>2002</c:v>
                </c:pt>
                <c:pt idx="3854">
                  <c:v>2002</c:v>
                </c:pt>
                <c:pt idx="3855">
                  <c:v>2002</c:v>
                </c:pt>
                <c:pt idx="3856">
                  <c:v>2002</c:v>
                </c:pt>
                <c:pt idx="3857">
                  <c:v>2002</c:v>
                </c:pt>
                <c:pt idx="3858">
                  <c:v>2002</c:v>
                </c:pt>
                <c:pt idx="3859">
                  <c:v>2002</c:v>
                </c:pt>
                <c:pt idx="3860">
                  <c:v>2002</c:v>
                </c:pt>
                <c:pt idx="3861">
                  <c:v>2002</c:v>
                </c:pt>
                <c:pt idx="3862">
                  <c:v>2002</c:v>
                </c:pt>
                <c:pt idx="3863">
                  <c:v>2002</c:v>
                </c:pt>
                <c:pt idx="3864">
                  <c:v>2002</c:v>
                </c:pt>
                <c:pt idx="3865">
                  <c:v>2002</c:v>
                </c:pt>
                <c:pt idx="3866">
                  <c:v>2002</c:v>
                </c:pt>
                <c:pt idx="3867">
                  <c:v>2002</c:v>
                </c:pt>
                <c:pt idx="3868">
                  <c:v>2002</c:v>
                </c:pt>
                <c:pt idx="3869">
                  <c:v>2002</c:v>
                </c:pt>
                <c:pt idx="3870">
                  <c:v>2002</c:v>
                </c:pt>
                <c:pt idx="3871">
                  <c:v>2002</c:v>
                </c:pt>
                <c:pt idx="3872">
                  <c:v>2002</c:v>
                </c:pt>
                <c:pt idx="3873">
                  <c:v>2002</c:v>
                </c:pt>
                <c:pt idx="3874">
                  <c:v>2002</c:v>
                </c:pt>
                <c:pt idx="3875">
                  <c:v>2002</c:v>
                </c:pt>
                <c:pt idx="3876">
                  <c:v>2002</c:v>
                </c:pt>
                <c:pt idx="3877">
                  <c:v>2002</c:v>
                </c:pt>
                <c:pt idx="3878">
                  <c:v>2002</c:v>
                </c:pt>
                <c:pt idx="3879">
                  <c:v>2002</c:v>
                </c:pt>
                <c:pt idx="3880">
                  <c:v>2002</c:v>
                </c:pt>
                <c:pt idx="3881">
                  <c:v>2002</c:v>
                </c:pt>
                <c:pt idx="3882">
                  <c:v>2002</c:v>
                </c:pt>
                <c:pt idx="3883">
                  <c:v>2002</c:v>
                </c:pt>
                <c:pt idx="3884">
                  <c:v>2002</c:v>
                </c:pt>
                <c:pt idx="3885">
                  <c:v>2002</c:v>
                </c:pt>
                <c:pt idx="3886">
                  <c:v>2002</c:v>
                </c:pt>
                <c:pt idx="3887">
                  <c:v>2002</c:v>
                </c:pt>
                <c:pt idx="3888">
                  <c:v>2002</c:v>
                </c:pt>
                <c:pt idx="3889">
                  <c:v>2002</c:v>
                </c:pt>
                <c:pt idx="3890">
                  <c:v>2002</c:v>
                </c:pt>
                <c:pt idx="3891">
                  <c:v>2002</c:v>
                </c:pt>
                <c:pt idx="3892">
                  <c:v>2002</c:v>
                </c:pt>
                <c:pt idx="3893">
                  <c:v>2002</c:v>
                </c:pt>
                <c:pt idx="3894">
                  <c:v>2002</c:v>
                </c:pt>
                <c:pt idx="3895">
                  <c:v>2002</c:v>
                </c:pt>
                <c:pt idx="3896">
                  <c:v>2002</c:v>
                </c:pt>
                <c:pt idx="3897">
                  <c:v>2002</c:v>
                </c:pt>
                <c:pt idx="3898">
                  <c:v>2002</c:v>
                </c:pt>
                <c:pt idx="3899">
                  <c:v>2002</c:v>
                </c:pt>
                <c:pt idx="3900">
                  <c:v>2002</c:v>
                </c:pt>
                <c:pt idx="3901">
                  <c:v>2002</c:v>
                </c:pt>
                <c:pt idx="3902">
                  <c:v>2002</c:v>
                </c:pt>
                <c:pt idx="3903">
                  <c:v>2002</c:v>
                </c:pt>
                <c:pt idx="3904">
                  <c:v>2002</c:v>
                </c:pt>
                <c:pt idx="3905">
                  <c:v>2002</c:v>
                </c:pt>
                <c:pt idx="3906">
                  <c:v>2002</c:v>
                </c:pt>
                <c:pt idx="3907">
                  <c:v>2002</c:v>
                </c:pt>
                <c:pt idx="3908">
                  <c:v>2002</c:v>
                </c:pt>
                <c:pt idx="3909">
                  <c:v>2002</c:v>
                </c:pt>
                <c:pt idx="3910">
                  <c:v>2002</c:v>
                </c:pt>
                <c:pt idx="3911">
                  <c:v>2002</c:v>
                </c:pt>
                <c:pt idx="3912">
                  <c:v>2002</c:v>
                </c:pt>
                <c:pt idx="3913">
                  <c:v>2002</c:v>
                </c:pt>
                <c:pt idx="3914">
                  <c:v>2002</c:v>
                </c:pt>
                <c:pt idx="3915">
                  <c:v>2002</c:v>
                </c:pt>
                <c:pt idx="3916">
                  <c:v>2002</c:v>
                </c:pt>
                <c:pt idx="3917">
                  <c:v>2002</c:v>
                </c:pt>
                <c:pt idx="3918">
                  <c:v>2002</c:v>
                </c:pt>
                <c:pt idx="3919">
                  <c:v>2002</c:v>
                </c:pt>
                <c:pt idx="3920">
                  <c:v>2002</c:v>
                </c:pt>
                <c:pt idx="3921">
                  <c:v>2002</c:v>
                </c:pt>
                <c:pt idx="3922">
                  <c:v>2002</c:v>
                </c:pt>
                <c:pt idx="3923">
                  <c:v>2002</c:v>
                </c:pt>
                <c:pt idx="3924">
                  <c:v>2002</c:v>
                </c:pt>
                <c:pt idx="3925">
                  <c:v>2002</c:v>
                </c:pt>
                <c:pt idx="3926">
                  <c:v>2002</c:v>
                </c:pt>
                <c:pt idx="3927">
                  <c:v>2002</c:v>
                </c:pt>
                <c:pt idx="3928">
                  <c:v>2002</c:v>
                </c:pt>
                <c:pt idx="3929">
                  <c:v>2002</c:v>
                </c:pt>
                <c:pt idx="3930">
                  <c:v>2002</c:v>
                </c:pt>
                <c:pt idx="3931">
                  <c:v>2002</c:v>
                </c:pt>
                <c:pt idx="3932">
                  <c:v>2002</c:v>
                </c:pt>
                <c:pt idx="3933">
                  <c:v>2002</c:v>
                </c:pt>
                <c:pt idx="3934">
                  <c:v>2002</c:v>
                </c:pt>
                <c:pt idx="3935">
                  <c:v>2002</c:v>
                </c:pt>
                <c:pt idx="3936">
                  <c:v>2002</c:v>
                </c:pt>
                <c:pt idx="3937">
                  <c:v>2002</c:v>
                </c:pt>
                <c:pt idx="3938">
                  <c:v>2002</c:v>
                </c:pt>
                <c:pt idx="3939">
                  <c:v>2002</c:v>
                </c:pt>
                <c:pt idx="3940">
                  <c:v>2002</c:v>
                </c:pt>
                <c:pt idx="3941">
                  <c:v>2002</c:v>
                </c:pt>
                <c:pt idx="3942">
                  <c:v>2002</c:v>
                </c:pt>
                <c:pt idx="3943">
                  <c:v>2002</c:v>
                </c:pt>
                <c:pt idx="3944">
                  <c:v>2002</c:v>
                </c:pt>
                <c:pt idx="3945">
                  <c:v>2002</c:v>
                </c:pt>
                <c:pt idx="3946">
                  <c:v>2002</c:v>
                </c:pt>
                <c:pt idx="3947">
                  <c:v>2002</c:v>
                </c:pt>
                <c:pt idx="3948">
                  <c:v>2002</c:v>
                </c:pt>
                <c:pt idx="3949">
                  <c:v>2002</c:v>
                </c:pt>
                <c:pt idx="3950">
                  <c:v>2002</c:v>
                </c:pt>
                <c:pt idx="3951">
                  <c:v>2002</c:v>
                </c:pt>
                <c:pt idx="3952">
                  <c:v>2002</c:v>
                </c:pt>
                <c:pt idx="3953">
                  <c:v>2002</c:v>
                </c:pt>
                <c:pt idx="3954">
                  <c:v>2002</c:v>
                </c:pt>
                <c:pt idx="3955">
                  <c:v>2002</c:v>
                </c:pt>
                <c:pt idx="3956">
                  <c:v>2002</c:v>
                </c:pt>
                <c:pt idx="3957">
                  <c:v>2002</c:v>
                </c:pt>
                <c:pt idx="3958">
                  <c:v>2002</c:v>
                </c:pt>
                <c:pt idx="3959">
                  <c:v>2002</c:v>
                </c:pt>
                <c:pt idx="3960">
                  <c:v>2002</c:v>
                </c:pt>
                <c:pt idx="3961">
                  <c:v>2002</c:v>
                </c:pt>
                <c:pt idx="3962">
                  <c:v>2002</c:v>
                </c:pt>
                <c:pt idx="3963">
                  <c:v>2002</c:v>
                </c:pt>
                <c:pt idx="3964">
                  <c:v>2002</c:v>
                </c:pt>
                <c:pt idx="3965">
                  <c:v>2002</c:v>
                </c:pt>
                <c:pt idx="3966">
                  <c:v>2002</c:v>
                </c:pt>
                <c:pt idx="3967">
                  <c:v>2002</c:v>
                </c:pt>
                <c:pt idx="3968">
                  <c:v>2002</c:v>
                </c:pt>
                <c:pt idx="3969">
                  <c:v>2002</c:v>
                </c:pt>
                <c:pt idx="3970">
                  <c:v>2002</c:v>
                </c:pt>
                <c:pt idx="3971">
                  <c:v>2002</c:v>
                </c:pt>
                <c:pt idx="3972">
                  <c:v>2002</c:v>
                </c:pt>
                <c:pt idx="3973">
                  <c:v>2002</c:v>
                </c:pt>
                <c:pt idx="3974">
                  <c:v>2002</c:v>
                </c:pt>
                <c:pt idx="3975">
                  <c:v>2002</c:v>
                </c:pt>
                <c:pt idx="3976">
                  <c:v>2002</c:v>
                </c:pt>
                <c:pt idx="3977">
                  <c:v>2002</c:v>
                </c:pt>
                <c:pt idx="3978">
                  <c:v>2002</c:v>
                </c:pt>
                <c:pt idx="3979">
                  <c:v>2002</c:v>
                </c:pt>
                <c:pt idx="3980">
                  <c:v>2002</c:v>
                </c:pt>
                <c:pt idx="3981">
                  <c:v>2002</c:v>
                </c:pt>
                <c:pt idx="3982">
                  <c:v>2002</c:v>
                </c:pt>
                <c:pt idx="3983">
                  <c:v>2002</c:v>
                </c:pt>
                <c:pt idx="3984">
                  <c:v>2002</c:v>
                </c:pt>
                <c:pt idx="3985">
                  <c:v>2002</c:v>
                </c:pt>
                <c:pt idx="3986">
                  <c:v>2002</c:v>
                </c:pt>
                <c:pt idx="3987">
                  <c:v>2002</c:v>
                </c:pt>
                <c:pt idx="3988">
                  <c:v>2002</c:v>
                </c:pt>
                <c:pt idx="3989">
                  <c:v>2002</c:v>
                </c:pt>
                <c:pt idx="3990">
                  <c:v>2002</c:v>
                </c:pt>
                <c:pt idx="3991">
                  <c:v>2002</c:v>
                </c:pt>
                <c:pt idx="3992">
                  <c:v>2002</c:v>
                </c:pt>
                <c:pt idx="3993">
                  <c:v>2002</c:v>
                </c:pt>
                <c:pt idx="3994">
                  <c:v>2002</c:v>
                </c:pt>
                <c:pt idx="3995">
                  <c:v>2002</c:v>
                </c:pt>
                <c:pt idx="3996">
                  <c:v>2002</c:v>
                </c:pt>
                <c:pt idx="3997">
                  <c:v>2002</c:v>
                </c:pt>
                <c:pt idx="3998">
                  <c:v>2002</c:v>
                </c:pt>
                <c:pt idx="3999">
                  <c:v>2002</c:v>
                </c:pt>
                <c:pt idx="4000">
                  <c:v>2002</c:v>
                </c:pt>
                <c:pt idx="4001">
                  <c:v>2002</c:v>
                </c:pt>
                <c:pt idx="4002">
                  <c:v>2002</c:v>
                </c:pt>
                <c:pt idx="4003">
                  <c:v>2002</c:v>
                </c:pt>
                <c:pt idx="4004">
                  <c:v>2002</c:v>
                </c:pt>
                <c:pt idx="4005">
                  <c:v>2002</c:v>
                </c:pt>
                <c:pt idx="4006">
                  <c:v>2002</c:v>
                </c:pt>
                <c:pt idx="4007">
                  <c:v>2002</c:v>
                </c:pt>
                <c:pt idx="4008">
                  <c:v>2002</c:v>
                </c:pt>
                <c:pt idx="4009">
                  <c:v>2002</c:v>
                </c:pt>
                <c:pt idx="4010">
                  <c:v>2002</c:v>
                </c:pt>
                <c:pt idx="4011">
                  <c:v>2002</c:v>
                </c:pt>
                <c:pt idx="4012">
                  <c:v>2002</c:v>
                </c:pt>
                <c:pt idx="4013">
                  <c:v>2002</c:v>
                </c:pt>
                <c:pt idx="4014">
                  <c:v>2002</c:v>
                </c:pt>
                <c:pt idx="4015">
                  <c:v>2002</c:v>
                </c:pt>
                <c:pt idx="4016">
                  <c:v>2002</c:v>
                </c:pt>
                <c:pt idx="4017">
                  <c:v>2002</c:v>
                </c:pt>
                <c:pt idx="4018">
                  <c:v>2002</c:v>
                </c:pt>
                <c:pt idx="4019">
                  <c:v>2002</c:v>
                </c:pt>
                <c:pt idx="4020">
                  <c:v>2002</c:v>
                </c:pt>
                <c:pt idx="4021">
                  <c:v>2002</c:v>
                </c:pt>
                <c:pt idx="4022">
                  <c:v>2002</c:v>
                </c:pt>
                <c:pt idx="4023">
                  <c:v>2002</c:v>
                </c:pt>
                <c:pt idx="4024">
                  <c:v>2002</c:v>
                </c:pt>
                <c:pt idx="4025">
                  <c:v>2002</c:v>
                </c:pt>
                <c:pt idx="4026">
                  <c:v>2002</c:v>
                </c:pt>
                <c:pt idx="4027">
                  <c:v>2002</c:v>
                </c:pt>
                <c:pt idx="4028">
                  <c:v>2002</c:v>
                </c:pt>
                <c:pt idx="4029">
                  <c:v>2002</c:v>
                </c:pt>
                <c:pt idx="4030">
                  <c:v>2002</c:v>
                </c:pt>
                <c:pt idx="4031">
                  <c:v>2002</c:v>
                </c:pt>
                <c:pt idx="4032">
                  <c:v>2002</c:v>
                </c:pt>
                <c:pt idx="4033">
                  <c:v>2002</c:v>
                </c:pt>
                <c:pt idx="4034">
                  <c:v>2002</c:v>
                </c:pt>
                <c:pt idx="4035">
                  <c:v>2002</c:v>
                </c:pt>
                <c:pt idx="4036">
                  <c:v>2002</c:v>
                </c:pt>
                <c:pt idx="4037">
                  <c:v>2002</c:v>
                </c:pt>
                <c:pt idx="4038">
                  <c:v>2002</c:v>
                </c:pt>
                <c:pt idx="4039">
                  <c:v>2002</c:v>
                </c:pt>
                <c:pt idx="4040">
                  <c:v>2002</c:v>
                </c:pt>
                <c:pt idx="4041">
                  <c:v>2002</c:v>
                </c:pt>
                <c:pt idx="4042">
                  <c:v>2002</c:v>
                </c:pt>
                <c:pt idx="4043">
                  <c:v>2002</c:v>
                </c:pt>
                <c:pt idx="4044">
                  <c:v>2002</c:v>
                </c:pt>
                <c:pt idx="4045">
                  <c:v>2002</c:v>
                </c:pt>
                <c:pt idx="4046">
                  <c:v>2002</c:v>
                </c:pt>
                <c:pt idx="4047">
                  <c:v>2002</c:v>
                </c:pt>
                <c:pt idx="4048">
                  <c:v>2002</c:v>
                </c:pt>
                <c:pt idx="4049">
                  <c:v>2002</c:v>
                </c:pt>
                <c:pt idx="4050">
                  <c:v>2002</c:v>
                </c:pt>
                <c:pt idx="4051">
                  <c:v>2002</c:v>
                </c:pt>
                <c:pt idx="4052">
                  <c:v>2002</c:v>
                </c:pt>
                <c:pt idx="4053">
                  <c:v>2003</c:v>
                </c:pt>
                <c:pt idx="4054">
                  <c:v>2003</c:v>
                </c:pt>
                <c:pt idx="4055">
                  <c:v>2003</c:v>
                </c:pt>
                <c:pt idx="4056">
                  <c:v>2003</c:v>
                </c:pt>
                <c:pt idx="4057">
                  <c:v>2003</c:v>
                </c:pt>
                <c:pt idx="4058">
                  <c:v>2003</c:v>
                </c:pt>
                <c:pt idx="4059">
                  <c:v>2003</c:v>
                </c:pt>
                <c:pt idx="4060">
                  <c:v>2003</c:v>
                </c:pt>
                <c:pt idx="4061">
                  <c:v>2003</c:v>
                </c:pt>
                <c:pt idx="4062">
                  <c:v>2003</c:v>
                </c:pt>
                <c:pt idx="4063">
                  <c:v>2003</c:v>
                </c:pt>
                <c:pt idx="4064">
                  <c:v>2003</c:v>
                </c:pt>
                <c:pt idx="4065">
                  <c:v>2003</c:v>
                </c:pt>
                <c:pt idx="4066">
                  <c:v>2003</c:v>
                </c:pt>
                <c:pt idx="4067">
                  <c:v>2003</c:v>
                </c:pt>
                <c:pt idx="4068">
                  <c:v>2003</c:v>
                </c:pt>
                <c:pt idx="4069">
                  <c:v>2003</c:v>
                </c:pt>
                <c:pt idx="4070">
                  <c:v>2003</c:v>
                </c:pt>
                <c:pt idx="4071">
                  <c:v>2003</c:v>
                </c:pt>
                <c:pt idx="4072">
                  <c:v>2003</c:v>
                </c:pt>
                <c:pt idx="4073">
                  <c:v>2003</c:v>
                </c:pt>
                <c:pt idx="4074">
                  <c:v>2003</c:v>
                </c:pt>
                <c:pt idx="4075">
                  <c:v>2003</c:v>
                </c:pt>
                <c:pt idx="4076">
                  <c:v>2003</c:v>
                </c:pt>
                <c:pt idx="4077">
                  <c:v>2003</c:v>
                </c:pt>
                <c:pt idx="4078">
                  <c:v>2003</c:v>
                </c:pt>
                <c:pt idx="4079">
                  <c:v>2003</c:v>
                </c:pt>
                <c:pt idx="4080">
                  <c:v>2003</c:v>
                </c:pt>
                <c:pt idx="4081">
                  <c:v>2003</c:v>
                </c:pt>
                <c:pt idx="4082">
                  <c:v>2003</c:v>
                </c:pt>
                <c:pt idx="4083">
                  <c:v>2003</c:v>
                </c:pt>
                <c:pt idx="4084">
                  <c:v>2003</c:v>
                </c:pt>
                <c:pt idx="4085">
                  <c:v>2003</c:v>
                </c:pt>
                <c:pt idx="4086">
                  <c:v>2003</c:v>
                </c:pt>
                <c:pt idx="4087">
                  <c:v>2003</c:v>
                </c:pt>
                <c:pt idx="4088">
                  <c:v>2003</c:v>
                </c:pt>
                <c:pt idx="4089">
                  <c:v>2003</c:v>
                </c:pt>
                <c:pt idx="4090">
                  <c:v>2003</c:v>
                </c:pt>
                <c:pt idx="4091">
                  <c:v>2003</c:v>
                </c:pt>
                <c:pt idx="4092">
                  <c:v>2003</c:v>
                </c:pt>
                <c:pt idx="4093">
                  <c:v>2003</c:v>
                </c:pt>
                <c:pt idx="4094">
                  <c:v>2003</c:v>
                </c:pt>
                <c:pt idx="4095">
                  <c:v>2003</c:v>
                </c:pt>
                <c:pt idx="4096">
                  <c:v>2003</c:v>
                </c:pt>
                <c:pt idx="4097">
                  <c:v>2003</c:v>
                </c:pt>
                <c:pt idx="4098">
                  <c:v>2003</c:v>
                </c:pt>
                <c:pt idx="4099">
                  <c:v>2003</c:v>
                </c:pt>
                <c:pt idx="4100">
                  <c:v>2003</c:v>
                </c:pt>
                <c:pt idx="4101">
                  <c:v>2003</c:v>
                </c:pt>
                <c:pt idx="4102">
                  <c:v>2003</c:v>
                </c:pt>
                <c:pt idx="4103">
                  <c:v>2003</c:v>
                </c:pt>
                <c:pt idx="4104">
                  <c:v>2003</c:v>
                </c:pt>
                <c:pt idx="4105">
                  <c:v>2003</c:v>
                </c:pt>
                <c:pt idx="4106">
                  <c:v>2003</c:v>
                </c:pt>
                <c:pt idx="4107">
                  <c:v>2003</c:v>
                </c:pt>
                <c:pt idx="4108">
                  <c:v>2003</c:v>
                </c:pt>
                <c:pt idx="4109">
                  <c:v>2003</c:v>
                </c:pt>
                <c:pt idx="4110">
                  <c:v>2003</c:v>
                </c:pt>
                <c:pt idx="4111">
                  <c:v>2003</c:v>
                </c:pt>
                <c:pt idx="4112">
                  <c:v>2003</c:v>
                </c:pt>
                <c:pt idx="4113">
                  <c:v>2003</c:v>
                </c:pt>
                <c:pt idx="4114">
                  <c:v>2003</c:v>
                </c:pt>
                <c:pt idx="4115">
                  <c:v>2003</c:v>
                </c:pt>
                <c:pt idx="4116">
                  <c:v>2003</c:v>
                </c:pt>
                <c:pt idx="4117">
                  <c:v>2003</c:v>
                </c:pt>
                <c:pt idx="4118">
                  <c:v>2003</c:v>
                </c:pt>
                <c:pt idx="4119">
                  <c:v>2003</c:v>
                </c:pt>
                <c:pt idx="4120">
                  <c:v>2003</c:v>
                </c:pt>
                <c:pt idx="4121">
                  <c:v>2003</c:v>
                </c:pt>
                <c:pt idx="4122">
                  <c:v>2003</c:v>
                </c:pt>
                <c:pt idx="4123">
                  <c:v>2003</c:v>
                </c:pt>
                <c:pt idx="4124">
                  <c:v>2003</c:v>
                </c:pt>
                <c:pt idx="4125">
                  <c:v>2003</c:v>
                </c:pt>
                <c:pt idx="4126">
                  <c:v>2003</c:v>
                </c:pt>
                <c:pt idx="4127">
                  <c:v>2003</c:v>
                </c:pt>
                <c:pt idx="4128">
                  <c:v>2003</c:v>
                </c:pt>
                <c:pt idx="4129">
                  <c:v>2003</c:v>
                </c:pt>
                <c:pt idx="4130">
                  <c:v>2003</c:v>
                </c:pt>
                <c:pt idx="4131">
                  <c:v>2003</c:v>
                </c:pt>
                <c:pt idx="4132">
                  <c:v>2003</c:v>
                </c:pt>
                <c:pt idx="4133">
                  <c:v>2003</c:v>
                </c:pt>
                <c:pt idx="4134">
                  <c:v>2003</c:v>
                </c:pt>
                <c:pt idx="4135">
                  <c:v>2003</c:v>
                </c:pt>
                <c:pt idx="4136">
                  <c:v>2003</c:v>
                </c:pt>
                <c:pt idx="4137">
                  <c:v>2003</c:v>
                </c:pt>
                <c:pt idx="4138">
                  <c:v>2003</c:v>
                </c:pt>
                <c:pt idx="4139">
                  <c:v>2003</c:v>
                </c:pt>
                <c:pt idx="4140">
                  <c:v>2003</c:v>
                </c:pt>
                <c:pt idx="4141">
                  <c:v>2003</c:v>
                </c:pt>
                <c:pt idx="4142">
                  <c:v>2003</c:v>
                </c:pt>
                <c:pt idx="4143">
                  <c:v>2003</c:v>
                </c:pt>
                <c:pt idx="4144">
                  <c:v>2003</c:v>
                </c:pt>
                <c:pt idx="4145">
                  <c:v>2003</c:v>
                </c:pt>
                <c:pt idx="4146">
                  <c:v>2003</c:v>
                </c:pt>
                <c:pt idx="4147">
                  <c:v>2003</c:v>
                </c:pt>
                <c:pt idx="4148">
                  <c:v>2003</c:v>
                </c:pt>
                <c:pt idx="4149">
                  <c:v>2003</c:v>
                </c:pt>
                <c:pt idx="4150">
                  <c:v>2003</c:v>
                </c:pt>
                <c:pt idx="4151">
                  <c:v>2003</c:v>
                </c:pt>
                <c:pt idx="4152">
                  <c:v>2003</c:v>
                </c:pt>
                <c:pt idx="4153">
                  <c:v>2003</c:v>
                </c:pt>
                <c:pt idx="4154">
                  <c:v>2003</c:v>
                </c:pt>
                <c:pt idx="4155">
                  <c:v>2003</c:v>
                </c:pt>
                <c:pt idx="4156">
                  <c:v>2003</c:v>
                </c:pt>
                <c:pt idx="4157">
                  <c:v>2003</c:v>
                </c:pt>
                <c:pt idx="4158">
                  <c:v>2003</c:v>
                </c:pt>
                <c:pt idx="4159">
                  <c:v>2003</c:v>
                </c:pt>
                <c:pt idx="4160">
                  <c:v>2003</c:v>
                </c:pt>
                <c:pt idx="4161">
                  <c:v>2003</c:v>
                </c:pt>
                <c:pt idx="4162">
                  <c:v>2003</c:v>
                </c:pt>
                <c:pt idx="4163">
                  <c:v>2003</c:v>
                </c:pt>
                <c:pt idx="4164">
                  <c:v>2003</c:v>
                </c:pt>
                <c:pt idx="4165">
                  <c:v>2003</c:v>
                </c:pt>
                <c:pt idx="4166">
                  <c:v>2003</c:v>
                </c:pt>
                <c:pt idx="4167">
                  <c:v>2003</c:v>
                </c:pt>
                <c:pt idx="4168">
                  <c:v>2003</c:v>
                </c:pt>
                <c:pt idx="4169">
                  <c:v>2003</c:v>
                </c:pt>
                <c:pt idx="4170">
                  <c:v>2003</c:v>
                </c:pt>
                <c:pt idx="4171">
                  <c:v>2003</c:v>
                </c:pt>
                <c:pt idx="4172">
                  <c:v>2003</c:v>
                </c:pt>
                <c:pt idx="4173">
                  <c:v>2003</c:v>
                </c:pt>
                <c:pt idx="4174">
                  <c:v>2003</c:v>
                </c:pt>
                <c:pt idx="4175">
                  <c:v>2003</c:v>
                </c:pt>
                <c:pt idx="4176">
                  <c:v>2003</c:v>
                </c:pt>
                <c:pt idx="4177">
                  <c:v>2003</c:v>
                </c:pt>
                <c:pt idx="4178">
                  <c:v>2003</c:v>
                </c:pt>
                <c:pt idx="4179">
                  <c:v>2003</c:v>
                </c:pt>
                <c:pt idx="4180">
                  <c:v>2003</c:v>
                </c:pt>
                <c:pt idx="4181">
                  <c:v>2003</c:v>
                </c:pt>
                <c:pt idx="4182">
                  <c:v>2003</c:v>
                </c:pt>
                <c:pt idx="4183">
                  <c:v>2003</c:v>
                </c:pt>
                <c:pt idx="4184">
                  <c:v>2003</c:v>
                </c:pt>
                <c:pt idx="4185">
                  <c:v>2003</c:v>
                </c:pt>
                <c:pt idx="4186">
                  <c:v>2003</c:v>
                </c:pt>
                <c:pt idx="4187">
                  <c:v>2003</c:v>
                </c:pt>
                <c:pt idx="4188">
                  <c:v>2003</c:v>
                </c:pt>
                <c:pt idx="4189">
                  <c:v>2003</c:v>
                </c:pt>
                <c:pt idx="4190">
                  <c:v>2003</c:v>
                </c:pt>
                <c:pt idx="4191">
                  <c:v>2003</c:v>
                </c:pt>
                <c:pt idx="4192">
                  <c:v>2003</c:v>
                </c:pt>
                <c:pt idx="4193">
                  <c:v>2003</c:v>
                </c:pt>
                <c:pt idx="4194">
                  <c:v>2003</c:v>
                </c:pt>
                <c:pt idx="4195">
                  <c:v>2003</c:v>
                </c:pt>
                <c:pt idx="4196">
                  <c:v>2003</c:v>
                </c:pt>
                <c:pt idx="4197">
                  <c:v>2003</c:v>
                </c:pt>
                <c:pt idx="4198">
                  <c:v>2003</c:v>
                </c:pt>
                <c:pt idx="4199">
                  <c:v>2003</c:v>
                </c:pt>
                <c:pt idx="4200">
                  <c:v>2003</c:v>
                </c:pt>
                <c:pt idx="4201">
                  <c:v>2003</c:v>
                </c:pt>
                <c:pt idx="4202">
                  <c:v>2003</c:v>
                </c:pt>
                <c:pt idx="4203">
                  <c:v>2003</c:v>
                </c:pt>
                <c:pt idx="4204">
                  <c:v>2003</c:v>
                </c:pt>
                <c:pt idx="4205">
                  <c:v>2003</c:v>
                </c:pt>
                <c:pt idx="4206">
                  <c:v>2003</c:v>
                </c:pt>
                <c:pt idx="4207">
                  <c:v>2003</c:v>
                </c:pt>
                <c:pt idx="4208">
                  <c:v>2003</c:v>
                </c:pt>
                <c:pt idx="4209">
                  <c:v>2003</c:v>
                </c:pt>
                <c:pt idx="4210">
                  <c:v>2003</c:v>
                </c:pt>
                <c:pt idx="4211">
                  <c:v>2003</c:v>
                </c:pt>
                <c:pt idx="4212">
                  <c:v>2003</c:v>
                </c:pt>
                <c:pt idx="4213">
                  <c:v>2003</c:v>
                </c:pt>
                <c:pt idx="4214">
                  <c:v>2003</c:v>
                </c:pt>
                <c:pt idx="4215">
                  <c:v>2003</c:v>
                </c:pt>
                <c:pt idx="4216">
                  <c:v>2003</c:v>
                </c:pt>
                <c:pt idx="4217">
                  <c:v>2003</c:v>
                </c:pt>
                <c:pt idx="4218">
                  <c:v>2003</c:v>
                </c:pt>
                <c:pt idx="4219">
                  <c:v>2003</c:v>
                </c:pt>
                <c:pt idx="4220">
                  <c:v>2003</c:v>
                </c:pt>
                <c:pt idx="4221">
                  <c:v>2003</c:v>
                </c:pt>
                <c:pt idx="4222">
                  <c:v>2003</c:v>
                </c:pt>
                <c:pt idx="4223">
                  <c:v>2003</c:v>
                </c:pt>
                <c:pt idx="4224">
                  <c:v>2003</c:v>
                </c:pt>
                <c:pt idx="4225">
                  <c:v>2003</c:v>
                </c:pt>
                <c:pt idx="4226">
                  <c:v>2003</c:v>
                </c:pt>
                <c:pt idx="4227">
                  <c:v>2003</c:v>
                </c:pt>
                <c:pt idx="4228">
                  <c:v>2003</c:v>
                </c:pt>
                <c:pt idx="4229">
                  <c:v>2003</c:v>
                </c:pt>
                <c:pt idx="4230">
                  <c:v>2003</c:v>
                </c:pt>
                <c:pt idx="4231">
                  <c:v>2003</c:v>
                </c:pt>
                <c:pt idx="4232">
                  <c:v>2003</c:v>
                </c:pt>
                <c:pt idx="4233">
                  <c:v>2003</c:v>
                </c:pt>
                <c:pt idx="4234">
                  <c:v>2003</c:v>
                </c:pt>
                <c:pt idx="4235">
                  <c:v>2003</c:v>
                </c:pt>
                <c:pt idx="4236">
                  <c:v>2003</c:v>
                </c:pt>
                <c:pt idx="4237">
                  <c:v>2003</c:v>
                </c:pt>
                <c:pt idx="4238">
                  <c:v>2003</c:v>
                </c:pt>
                <c:pt idx="4239">
                  <c:v>2003</c:v>
                </c:pt>
                <c:pt idx="4240">
                  <c:v>2003</c:v>
                </c:pt>
                <c:pt idx="4241">
                  <c:v>2003</c:v>
                </c:pt>
                <c:pt idx="4242">
                  <c:v>2003</c:v>
                </c:pt>
                <c:pt idx="4243">
                  <c:v>2003</c:v>
                </c:pt>
                <c:pt idx="4244">
                  <c:v>2003</c:v>
                </c:pt>
                <c:pt idx="4245">
                  <c:v>2003</c:v>
                </c:pt>
                <c:pt idx="4246">
                  <c:v>2003</c:v>
                </c:pt>
                <c:pt idx="4247">
                  <c:v>2003</c:v>
                </c:pt>
                <c:pt idx="4248">
                  <c:v>2003</c:v>
                </c:pt>
                <c:pt idx="4249">
                  <c:v>2003</c:v>
                </c:pt>
                <c:pt idx="4250">
                  <c:v>2003</c:v>
                </c:pt>
                <c:pt idx="4251">
                  <c:v>2003</c:v>
                </c:pt>
                <c:pt idx="4252">
                  <c:v>2003</c:v>
                </c:pt>
                <c:pt idx="4253">
                  <c:v>2003</c:v>
                </c:pt>
                <c:pt idx="4254">
                  <c:v>2003</c:v>
                </c:pt>
                <c:pt idx="4255">
                  <c:v>2003</c:v>
                </c:pt>
                <c:pt idx="4256">
                  <c:v>2003</c:v>
                </c:pt>
                <c:pt idx="4257">
                  <c:v>2003</c:v>
                </c:pt>
                <c:pt idx="4258">
                  <c:v>2003</c:v>
                </c:pt>
                <c:pt idx="4259">
                  <c:v>2003</c:v>
                </c:pt>
                <c:pt idx="4260">
                  <c:v>2003</c:v>
                </c:pt>
                <c:pt idx="4261">
                  <c:v>2003</c:v>
                </c:pt>
                <c:pt idx="4262">
                  <c:v>2003</c:v>
                </c:pt>
                <c:pt idx="4263">
                  <c:v>2003</c:v>
                </c:pt>
                <c:pt idx="4264">
                  <c:v>2003</c:v>
                </c:pt>
                <c:pt idx="4265">
                  <c:v>2003</c:v>
                </c:pt>
                <c:pt idx="4266">
                  <c:v>2003</c:v>
                </c:pt>
                <c:pt idx="4267">
                  <c:v>2003</c:v>
                </c:pt>
                <c:pt idx="4268">
                  <c:v>2003</c:v>
                </c:pt>
                <c:pt idx="4269">
                  <c:v>2003</c:v>
                </c:pt>
                <c:pt idx="4270">
                  <c:v>2003</c:v>
                </c:pt>
                <c:pt idx="4271">
                  <c:v>2003</c:v>
                </c:pt>
                <c:pt idx="4272">
                  <c:v>2003</c:v>
                </c:pt>
                <c:pt idx="4273">
                  <c:v>2003</c:v>
                </c:pt>
                <c:pt idx="4274">
                  <c:v>2003</c:v>
                </c:pt>
                <c:pt idx="4275">
                  <c:v>2003</c:v>
                </c:pt>
                <c:pt idx="4276">
                  <c:v>2003</c:v>
                </c:pt>
                <c:pt idx="4277">
                  <c:v>2003</c:v>
                </c:pt>
                <c:pt idx="4278">
                  <c:v>2003</c:v>
                </c:pt>
                <c:pt idx="4279">
                  <c:v>2003</c:v>
                </c:pt>
                <c:pt idx="4280">
                  <c:v>2003</c:v>
                </c:pt>
                <c:pt idx="4281">
                  <c:v>2003</c:v>
                </c:pt>
                <c:pt idx="4282">
                  <c:v>2003</c:v>
                </c:pt>
                <c:pt idx="4283">
                  <c:v>2003</c:v>
                </c:pt>
                <c:pt idx="4284">
                  <c:v>2003</c:v>
                </c:pt>
                <c:pt idx="4285">
                  <c:v>2003</c:v>
                </c:pt>
                <c:pt idx="4286">
                  <c:v>2003</c:v>
                </c:pt>
                <c:pt idx="4287">
                  <c:v>2003</c:v>
                </c:pt>
                <c:pt idx="4288">
                  <c:v>2003</c:v>
                </c:pt>
                <c:pt idx="4289">
                  <c:v>2003</c:v>
                </c:pt>
                <c:pt idx="4290">
                  <c:v>2003</c:v>
                </c:pt>
                <c:pt idx="4291">
                  <c:v>2003</c:v>
                </c:pt>
                <c:pt idx="4292">
                  <c:v>2003</c:v>
                </c:pt>
                <c:pt idx="4293">
                  <c:v>2003</c:v>
                </c:pt>
                <c:pt idx="4294">
                  <c:v>2003</c:v>
                </c:pt>
                <c:pt idx="4295">
                  <c:v>2003</c:v>
                </c:pt>
                <c:pt idx="4296">
                  <c:v>2003</c:v>
                </c:pt>
                <c:pt idx="4297">
                  <c:v>2003</c:v>
                </c:pt>
                <c:pt idx="4298">
                  <c:v>2003</c:v>
                </c:pt>
                <c:pt idx="4299">
                  <c:v>2003</c:v>
                </c:pt>
                <c:pt idx="4300">
                  <c:v>2003</c:v>
                </c:pt>
                <c:pt idx="4301">
                  <c:v>2003</c:v>
                </c:pt>
                <c:pt idx="4302">
                  <c:v>2003</c:v>
                </c:pt>
                <c:pt idx="4303">
                  <c:v>2003</c:v>
                </c:pt>
                <c:pt idx="4304">
                  <c:v>2003</c:v>
                </c:pt>
                <c:pt idx="4305">
                  <c:v>2003</c:v>
                </c:pt>
                <c:pt idx="4306">
                  <c:v>2003</c:v>
                </c:pt>
                <c:pt idx="4307">
                  <c:v>2003</c:v>
                </c:pt>
                <c:pt idx="4308">
                  <c:v>2003</c:v>
                </c:pt>
                <c:pt idx="4309">
                  <c:v>2003</c:v>
                </c:pt>
                <c:pt idx="4310">
                  <c:v>2003</c:v>
                </c:pt>
                <c:pt idx="4311">
                  <c:v>2003</c:v>
                </c:pt>
                <c:pt idx="4312">
                  <c:v>2003</c:v>
                </c:pt>
                <c:pt idx="4313">
                  <c:v>2003</c:v>
                </c:pt>
                <c:pt idx="4314">
                  <c:v>2003</c:v>
                </c:pt>
                <c:pt idx="4315">
                  <c:v>2003</c:v>
                </c:pt>
                <c:pt idx="4316">
                  <c:v>2003</c:v>
                </c:pt>
                <c:pt idx="4317">
                  <c:v>2003</c:v>
                </c:pt>
                <c:pt idx="4318">
                  <c:v>2003</c:v>
                </c:pt>
                <c:pt idx="4319">
                  <c:v>2003</c:v>
                </c:pt>
                <c:pt idx="4320">
                  <c:v>2003</c:v>
                </c:pt>
                <c:pt idx="4321">
                  <c:v>2003</c:v>
                </c:pt>
                <c:pt idx="4322">
                  <c:v>2003</c:v>
                </c:pt>
                <c:pt idx="4323">
                  <c:v>2003</c:v>
                </c:pt>
                <c:pt idx="4324">
                  <c:v>2003</c:v>
                </c:pt>
                <c:pt idx="4325">
                  <c:v>2003</c:v>
                </c:pt>
                <c:pt idx="4326">
                  <c:v>2003</c:v>
                </c:pt>
                <c:pt idx="4327">
                  <c:v>2003</c:v>
                </c:pt>
                <c:pt idx="4328">
                  <c:v>2003</c:v>
                </c:pt>
                <c:pt idx="4329">
                  <c:v>2003</c:v>
                </c:pt>
                <c:pt idx="4330">
                  <c:v>2003</c:v>
                </c:pt>
                <c:pt idx="4331">
                  <c:v>2003</c:v>
                </c:pt>
                <c:pt idx="4332">
                  <c:v>2003</c:v>
                </c:pt>
                <c:pt idx="4333">
                  <c:v>2003</c:v>
                </c:pt>
                <c:pt idx="4334">
                  <c:v>2003</c:v>
                </c:pt>
                <c:pt idx="4335">
                  <c:v>2003</c:v>
                </c:pt>
                <c:pt idx="4336">
                  <c:v>2003</c:v>
                </c:pt>
                <c:pt idx="4337">
                  <c:v>2003</c:v>
                </c:pt>
                <c:pt idx="4338">
                  <c:v>2003</c:v>
                </c:pt>
                <c:pt idx="4339">
                  <c:v>2003</c:v>
                </c:pt>
                <c:pt idx="4340">
                  <c:v>2003</c:v>
                </c:pt>
                <c:pt idx="4341">
                  <c:v>2003</c:v>
                </c:pt>
                <c:pt idx="4342">
                  <c:v>2003</c:v>
                </c:pt>
                <c:pt idx="4343">
                  <c:v>2003</c:v>
                </c:pt>
                <c:pt idx="4344">
                  <c:v>2003</c:v>
                </c:pt>
                <c:pt idx="4345">
                  <c:v>2003</c:v>
                </c:pt>
                <c:pt idx="4346">
                  <c:v>2003</c:v>
                </c:pt>
                <c:pt idx="4347">
                  <c:v>2003</c:v>
                </c:pt>
                <c:pt idx="4348">
                  <c:v>2003</c:v>
                </c:pt>
                <c:pt idx="4349">
                  <c:v>2003</c:v>
                </c:pt>
                <c:pt idx="4350">
                  <c:v>2003</c:v>
                </c:pt>
                <c:pt idx="4351">
                  <c:v>2003</c:v>
                </c:pt>
                <c:pt idx="4352">
                  <c:v>2003</c:v>
                </c:pt>
                <c:pt idx="4353">
                  <c:v>2003</c:v>
                </c:pt>
                <c:pt idx="4354">
                  <c:v>2003</c:v>
                </c:pt>
                <c:pt idx="4355">
                  <c:v>2003</c:v>
                </c:pt>
                <c:pt idx="4356">
                  <c:v>2003</c:v>
                </c:pt>
                <c:pt idx="4357">
                  <c:v>2003</c:v>
                </c:pt>
                <c:pt idx="4358">
                  <c:v>2003</c:v>
                </c:pt>
                <c:pt idx="4359">
                  <c:v>2003</c:v>
                </c:pt>
                <c:pt idx="4360">
                  <c:v>2003</c:v>
                </c:pt>
                <c:pt idx="4361">
                  <c:v>2003</c:v>
                </c:pt>
                <c:pt idx="4362">
                  <c:v>2003</c:v>
                </c:pt>
                <c:pt idx="4363">
                  <c:v>2003</c:v>
                </c:pt>
                <c:pt idx="4364">
                  <c:v>2003</c:v>
                </c:pt>
                <c:pt idx="4365">
                  <c:v>2003</c:v>
                </c:pt>
                <c:pt idx="4366">
                  <c:v>2003</c:v>
                </c:pt>
                <c:pt idx="4367">
                  <c:v>2003</c:v>
                </c:pt>
                <c:pt idx="4368">
                  <c:v>2003</c:v>
                </c:pt>
                <c:pt idx="4369">
                  <c:v>2003</c:v>
                </c:pt>
                <c:pt idx="4370">
                  <c:v>2003</c:v>
                </c:pt>
                <c:pt idx="4371">
                  <c:v>2003</c:v>
                </c:pt>
                <c:pt idx="4372">
                  <c:v>2003</c:v>
                </c:pt>
                <c:pt idx="4373">
                  <c:v>2003</c:v>
                </c:pt>
                <c:pt idx="4374">
                  <c:v>2003</c:v>
                </c:pt>
                <c:pt idx="4375">
                  <c:v>2003</c:v>
                </c:pt>
                <c:pt idx="4376">
                  <c:v>2003</c:v>
                </c:pt>
                <c:pt idx="4377">
                  <c:v>2003</c:v>
                </c:pt>
                <c:pt idx="4378">
                  <c:v>2003</c:v>
                </c:pt>
                <c:pt idx="4379">
                  <c:v>2003</c:v>
                </c:pt>
                <c:pt idx="4380">
                  <c:v>2003</c:v>
                </c:pt>
                <c:pt idx="4381">
                  <c:v>2003</c:v>
                </c:pt>
                <c:pt idx="4382">
                  <c:v>2003</c:v>
                </c:pt>
                <c:pt idx="4383">
                  <c:v>2003</c:v>
                </c:pt>
                <c:pt idx="4384">
                  <c:v>2003</c:v>
                </c:pt>
                <c:pt idx="4385">
                  <c:v>2003</c:v>
                </c:pt>
                <c:pt idx="4386">
                  <c:v>2003</c:v>
                </c:pt>
                <c:pt idx="4387">
                  <c:v>2003</c:v>
                </c:pt>
                <c:pt idx="4388">
                  <c:v>2003</c:v>
                </c:pt>
                <c:pt idx="4389">
                  <c:v>2003</c:v>
                </c:pt>
                <c:pt idx="4390">
                  <c:v>2003</c:v>
                </c:pt>
                <c:pt idx="4391">
                  <c:v>2003</c:v>
                </c:pt>
                <c:pt idx="4392">
                  <c:v>2003</c:v>
                </c:pt>
                <c:pt idx="4393">
                  <c:v>2003</c:v>
                </c:pt>
                <c:pt idx="4394">
                  <c:v>2003</c:v>
                </c:pt>
                <c:pt idx="4395">
                  <c:v>2003</c:v>
                </c:pt>
                <c:pt idx="4396">
                  <c:v>2003</c:v>
                </c:pt>
                <c:pt idx="4397">
                  <c:v>2003</c:v>
                </c:pt>
                <c:pt idx="4398">
                  <c:v>2003</c:v>
                </c:pt>
                <c:pt idx="4399">
                  <c:v>2003</c:v>
                </c:pt>
                <c:pt idx="4400">
                  <c:v>2003</c:v>
                </c:pt>
                <c:pt idx="4401">
                  <c:v>2003</c:v>
                </c:pt>
                <c:pt idx="4402">
                  <c:v>2003</c:v>
                </c:pt>
                <c:pt idx="4403">
                  <c:v>2003</c:v>
                </c:pt>
                <c:pt idx="4404">
                  <c:v>2003</c:v>
                </c:pt>
                <c:pt idx="4405">
                  <c:v>2003</c:v>
                </c:pt>
                <c:pt idx="4406">
                  <c:v>2003</c:v>
                </c:pt>
                <c:pt idx="4407">
                  <c:v>2003</c:v>
                </c:pt>
                <c:pt idx="4408">
                  <c:v>2003</c:v>
                </c:pt>
                <c:pt idx="4409">
                  <c:v>2003</c:v>
                </c:pt>
                <c:pt idx="4410">
                  <c:v>2003</c:v>
                </c:pt>
                <c:pt idx="4411">
                  <c:v>2003</c:v>
                </c:pt>
                <c:pt idx="4412">
                  <c:v>2003</c:v>
                </c:pt>
                <c:pt idx="4413">
                  <c:v>2003</c:v>
                </c:pt>
                <c:pt idx="4414">
                  <c:v>2003</c:v>
                </c:pt>
                <c:pt idx="4415">
                  <c:v>2003</c:v>
                </c:pt>
                <c:pt idx="4416">
                  <c:v>2003</c:v>
                </c:pt>
                <c:pt idx="4417">
                  <c:v>2003</c:v>
                </c:pt>
                <c:pt idx="4418">
                  <c:v>2004</c:v>
                </c:pt>
                <c:pt idx="4419">
                  <c:v>2004</c:v>
                </c:pt>
                <c:pt idx="4420">
                  <c:v>2004</c:v>
                </c:pt>
                <c:pt idx="4421">
                  <c:v>2004</c:v>
                </c:pt>
                <c:pt idx="4422">
                  <c:v>2004</c:v>
                </c:pt>
                <c:pt idx="4423">
                  <c:v>2004</c:v>
                </c:pt>
                <c:pt idx="4424">
                  <c:v>2004</c:v>
                </c:pt>
                <c:pt idx="4425">
                  <c:v>2004</c:v>
                </c:pt>
                <c:pt idx="4426">
                  <c:v>2004</c:v>
                </c:pt>
                <c:pt idx="4427">
                  <c:v>2004</c:v>
                </c:pt>
                <c:pt idx="4428">
                  <c:v>2004</c:v>
                </c:pt>
                <c:pt idx="4429">
                  <c:v>2004</c:v>
                </c:pt>
                <c:pt idx="4430">
                  <c:v>2004</c:v>
                </c:pt>
                <c:pt idx="4431">
                  <c:v>2004</c:v>
                </c:pt>
                <c:pt idx="4432">
                  <c:v>2004</c:v>
                </c:pt>
                <c:pt idx="4433">
                  <c:v>2004</c:v>
                </c:pt>
                <c:pt idx="4434">
                  <c:v>2004</c:v>
                </c:pt>
                <c:pt idx="4435">
                  <c:v>2004</c:v>
                </c:pt>
                <c:pt idx="4436">
                  <c:v>2004</c:v>
                </c:pt>
                <c:pt idx="4437">
                  <c:v>2004</c:v>
                </c:pt>
                <c:pt idx="4438">
                  <c:v>2004</c:v>
                </c:pt>
                <c:pt idx="4439">
                  <c:v>2004</c:v>
                </c:pt>
                <c:pt idx="4440">
                  <c:v>2004</c:v>
                </c:pt>
                <c:pt idx="4441">
                  <c:v>2004</c:v>
                </c:pt>
                <c:pt idx="4442">
                  <c:v>2004</c:v>
                </c:pt>
                <c:pt idx="4443">
                  <c:v>2004</c:v>
                </c:pt>
                <c:pt idx="4444">
                  <c:v>2004</c:v>
                </c:pt>
                <c:pt idx="4445">
                  <c:v>2004</c:v>
                </c:pt>
                <c:pt idx="4446">
                  <c:v>2004</c:v>
                </c:pt>
                <c:pt idx="4447">
                  <c:v>2004</c:v>
                </c:pt>
                <c:pt idx="4448">
                  <c:v>2004</c:v>
                </c:pt>
                <c:pt idx="4449">
                  <c:v>2004</c:v>
                </c:pt>
                <c:pt idx="4450">
                  <c:v>2004</c:v>
                </c:pt>
                <c:pt idx="4451">
                  <c:v>2004</c:v>
                </c:pt>
                <c:pt idx="4452">
                  <c:v>2004</c:v>
                </c:pt>
                <c:pt idx="4453">
                  <c:v>2004</c:v>
                </c:pt>
                <c:pt idx="4454">
                  <c:v>2004</c:v>
                </c:pt>
                <c:pt idx="4455">
                  <c:v>2004</c:v>
                </c:pt>
                <c:pt idx="4456">
                  <c:v>2004</c:v>
                </c:pt>
                <c:pt idx="4457">
                  <c:v>2004</c:v>
                </c:pt>
                <c:pt idx="4458">
                  <c:v>2004</c:v>
                </c:pt>
                <c:pt idx="4459">
                  <c:v>2004</c:v>
                </c:pt>
                <c:pt idx="4460">
                  <c:v>2004</c:v>
                </c:pt>
                <c:pt idx="4461">
                  <c:v>2004</c:v>
                </c:pt>
                <c:pt idx="4462">
                  <c:v>2004</c:v>
                </c:pt>
                <c:pt idx="4463">
                  <c:v>2004</c:v>
                </c:pt>
                <c:pt idx="4464">
                  <c:v>2004</c:v>
                </c:pt>
                <c:pt idx="4465">
                  <c:v>2004</c:v>
                </c:pt>
                <c:pt idx="4466">
                  <c:v>2004</c:v>
                </c:pt>
                <c:pt idx="4467">
                  <c:v>2004</c:v>
                </c:pt>
                <c:pt idx="4468">
                  <c:v>2004</c:v>
                </c:pt>
                <c:pt idx="4469">
                  <c:v>2004</c:v>
                </c:pt>
                <c:pt idx="4470">
                  <c:v>2004</c:v>
                </c:pt>
                <c:pt idx="4471">
                  <c:v>2004</c:v>
                </c:pt>
                <c:pt idx="4472">
                  <c:v>2004</c:v>
                </c:pt>
                <c:pt idx="4473">
                  <c:v>2004</c:v>
                </c:pt>
                <c:pt idx="4474">
                  <c:v>2004</c:v>
                </c:pt>
                <c:pt idx="4475">
                  <c:v>2004</c:v>
                </c:pt>
                <c:pt idx="4476">
                  <c:v>2004</c:v>
                </c:pt>
                <c:pt idx="4477">
                  <c:v>2004</c:v>
                </c:pt>
                <c:pt idx="4478">
                  <c:v>2004</c:v>
                </c:pt>
                <c:pt idx="4479">
                  <c:v>2004</c:v>
                </c:pt>
                <c:pt idx="4480">
                  <c:v>2004</c:v>
                </c:pt>
                <c:pt idx="4481">
                  <c:v>2004</c:v>
                </c:pt>
                <c:pt idx="4482">
                  <c:v>2004</c:v>
                </c:pt>
                <c:pt idx="4483">
                  <c:v>2004</c:v>
                </c:pt>
                <c:pt idx="4484">
                  <c:v>2004</c:v>
                </c:pt>
                <c:pt idx="4485">
                  <c:v>2004</c:v>
                </c:pt>
                <c:pt idx="4486">
                  <c:v>2004</c:v>
                </c:pt>
                <c:pt idx="4487">
                  <c:v>2004</c:v>
                </c:pt>
                <c:pt idx="4488">
                  <c:v>2004</c:v>
                </c:pt>
                <c:pt idx="4489">
                  <c:v>2004</c:v>
                </c:pt>
                <c:pt idx="4490">
                  <c:v>2004</c:v>
                </c:pt>
                <c:pt idx="4491">
                  <c:v>2004</c:v>
                </c:pt>
                <c:pt idx="4492">
                  <c:v>2004</c:v>
                </c:pt>
                <c:pt idx="4493">
                  <c:v>2004</c:v>
                </c:pt>
                <c:pt idx="4494">
                  <c:v>2004</c:v>
                </c:pt>
                <c:pt idx="4495">
                  <c:v>2004</c:v>
                </c:pt>
                <c:pt idx="4496">
                  <c:v>2004</c:v>
                </c:pt>
                <c:pt idx="4497">
                  <c:v>2004</c:v>
                </c:pt>
                <c:pt idx="4498">
                  <c:v>2004</c:v>
                </c:pt>
                <c:pt idx="4499">
                  <c:v>2004</c:v>
                </c:pt>
                <c:pt idx="4500">
                  <c:v>2004</c:v>
                </c:pt>
                <c:pt idx="4501">
                  <c:v>2004</c:v>
                </c:pt>
                <c:pt idx="4502">
                  <c:v>2004</c:v>
                </c:pt>
                <c:pt idx="4503">
                  <c:v>2004</c:v>
                </c:pt>
                <c:pt idx="4504">
                  <c:v>2004</c:v>
                </c:pt>
                <c:pt idx="4505">
                  <c:v>2004</c:v>
                </c:pt>
                <c:pt idx="4506">
                  <c:v>2004</c:v>
                </c:pt>
                <c:pt idx="4507">
                  <c:v>2004</c:v>
                </c:pt>
                <c:pt idx="4508">
                  <c:v>2004</c:v>
                </c:pt>
                <c:pt idx="4509">
                  <c:v>2004</c:v>
                </c:pt>
                <c:pt idx="4510">
                  <c:v>2004</c:v>
                </c:pt>
                <c:pt idx="4511">
                  <c:v>2004</c:v>
                </c:pt>
                <c:pt idx="4512">
                  <c:v>2004</c:v>
                </c:pt>
                <c:pt idx="4513">
                  <c:v>2004</c:v>
                </c:pt>
                <c:pt idx="4514">
                  <c:v>2004</c:v>
                </c:pt>
                <c:pt idx="4515">
                  <c:v>2004</c:v>
                </c:pt>
                <c:pt idx="4516">
                  <c:v>2004</c:v>
                </c:pt>
                <c:pt idx="4517">
                  <c:v>2004</c:v>
                </c:pt>
                <c:pt idx="4518">
                  <c:v>2004</c:v>
                </c:pt>
                <c:pt idx="4519">
                  <c:v>2004</c:v>
                </c:pt>
                <c:pt idx="4520">
                  <c:v>2004</c:v>
                </c:pt>
                <c:pt idx="4521">
                  <c:v>2004</c:v>
                </c:pt>
                <c:pt idx="4522">
                  <c:v>2004</c:v>
                </c:pt>
                <c:pt idx="4523">
                  <c:v>2004</c:v>
                </c:pt>
                <c:pt idx="4524">
                  <c:v>2004</c:v>
                </c:pt>
                <c:pt idx="4525">
                  <c:v>2004</c:v>
                </c:pt>
                <c:pt idx="4526">
                  <c:v>2004</c:v>
                </c:pt>
                <c:pt idx="4527">
                  <c:v>2004</c:v>
                </c:pt>
                <c:pt idx="4528">
                  <c:v>2004</c:v>
                </c:pt>
                <c:pt idx="4529">
                  <c:v>2004</c:v>
                </c:pt>
                <c:pt idx="4530">
                  <c:v>2004</c:v>
                </c:pt>
                <c:pt idx="4531">
                  <c:v>2004</c:v>
                </c:pt>
                <c:pt idx="4532">
                  <c:v>2004</c:v>
                </c:pt>
                <c:pt idx="4533">
                  <c:v>2004</c:v>
                </c:pt>
                <c:pt idx="4534">
                  <c:v>2004</c:v>
                </c:pt>
                <c:pt idx="4535">
                  <c:v>2004</c:v>
                </c:pt>
                <c:pt idx="4536">
                  <c:v>2004</c:v>
                </c:pt>
                <c:pt idx="4537">
                  <c:v>2004</c:v>
                </c:pt>
                <c:pt idx="4538">
                  <c:v>2004</c:v>
                </c:pt>
                <c:pt idx="4539">
                  <c:v>2004</c:v>
                </c:pt>
                <c:pt idx="4540">
                  <c:v>2004</c:v>
                </c:pt>
                <c:pt idx="4541">
                  <c:v>2004</c:v>
                </c:pt>
                <c:pt idx="4542">
                  <c:v>2004</c:v>
                </c:pt>
                <c:pt idx="4543">
                  <c:v>2004</c:v>
                </c:pt>
                <c:pt idx="4544">
                  <c:v>2004</c:v>
                </c:pt>
                <c:pt idx="4545">
                  <c:v>2004</c:v>
                </c:pt>
                <c:pt idx="4546">
                  <c:v>2004</c:v>
                </c:pt>
                <c:pt idx="4547">
                  <c:v>2004</c:v>
                </c:pt>
                <c:pt idx="4548">
                  <c:v>2004</c:v>
                </c:pt>
                <c:pt idx="4549">
                  <c:v>2004</c:v>
                </c:pt>
                <c:pt idx="4550">
                  <c:v>2004</c:v>
                </c:pt>
                <c:pt idx="4551">
                  <c:v>2004</c:v>
                </c:pt>
                <c:pt idx="4552">
                  <c:v>2004</c:v>
                </c:pt>
                <c:pt idx="4553">
                  <c:v>2004</c:v>
                </c:pt>
                <c:pt idx="4554">
                  <c:v>2004</c:v>
                </c:pt>
                <c:pt idx="4555">
                  <c:v>2004</c:v>
                </c:pt>
                <c:pt idx="4556">
                  <c:v>2004</c:v>
                </c:pt>
                <c:pt idx="4557">
                  <c:v>2004</c:v>
                </c:pt>
                <c:pt idx="4558">
                  <c:v>2004</c:v>
                </c:pt>
                <c:pt idx="4559">
                  <c:v>2004</c:v>
                </c:pt>
                <c:pt idx="4560">
                  <c:v>2004</c:v>
                </c:pt>
                <c:pt idx="4561">
                  <c:v>2004</c:v>
                </c:pt>
                <c:pt idx="4562">
                  <c:v>2004</c:v>
                </c:pt>
                <c:pt idx="4563">
                  <c:v>2004</c:v>
                </c:pt>
                <c:pt idx="4564">
                  <c:v>2004</c:v>
                </c:pt>
                <c:pt idx="4565">
                  <c:v>2004</c:v>
                </c:pt>
                <c:pt idx="4566">
                  <c:v>2004</c:v>
                </c:pt>
                <c:pt idx="4567">
                  <c:v>2004</c:v>
                </c:pt>
                <c:pt idx="4568">
                  <c:v>2004</c:v>
                </c:pt>
                <c:pt idx="4569">
                  <c:v>2004</c:v>
                </c:pt>
                <c:pt idx="4570">
                  <c:v>2004</c:v>
                </c:pt>
                <c:pt idx="4571">
                  <c:v>2004</c:v>
                </c:pt>
                <c:pt idx="4572">
                  <c:v>2004</c:v>
                </c:pt>
                <c:pt idx="4573">
                  <c:v>2004</c:v>
                </c:pt>
                <c:pt idx="4574">
                  <c:v>2004</c:v>
                </c:pt>
                <c:pt idx="4575">
                  <c:v>2004</c:v>
                </c:pt>
                <c:pt idx="4576">
                  <c:v>2004</c:v>
                </c:pt>
                <c:pt idx="4577">
                  <c:v>2004</c:v>
                </c:pt>
                <c:pt idx="4578">
                  <c:v>2004</c:v>
                </c:pt>
                <c:pt idx="4579">
                  <c:v>2004</c:v>
                </c:pt>
                <c:pt idx="4580">
                  <c:v>2004</c:v>
                </c:pt>
                <c:pt idx="4581">
                  <c:v>2004</c:v>
                </c:pt>
                <c:pt idx="4582">
                  <c:v>2004</c:v>
                </c:pt>
                <c:pt idx="4583">
                  <c:v>2004</c:v>
                </c:pt>
                <c:pt idx="4584">
                  <c:v>2004</c:v>
                </c:pt>
                <c:pt idx="4585">
                  <c:v>2004</c:v>
                </c:pt>
                <c:pt idx="4586">
                  <c:v>2004</c:v>
                </c:pt>
                <c:pt idx="4587">
                  <c:v>2004</c:v>
                </c:pt>
                <c:pt idx="4588">
                  <c:v>2004</c:v>
                </c:pt>
                <c:pt idx="4589">
                  <c:v>2004</c:v>
                </c:pt>
                <c:pt idx="4590">
                  <c:v>2004</c:v>
                </c:pt>
                <c:pt idx="4591">
                  <c:v>2004</c:v>
                </c:pt>
                <c:pt idx="4592">
                  <c:v>2004</c:v>
                </c:pt>
                <c:pt idx="4593">
                  <c:v>2004</c:v>
                </c:pt>
                <c:pt idx="4594">
                  <c:v>2004</c:v>
                </c:pt>
                <c:pt idx="4595">
                  <c:v>2004</c:v>
                </c:pt>
                <c:pt idx="4596">
                  <c:v>2004</c:v>
                </c:pt>
                <c:pt idx="4597">
                  <c:v>2004</c:v>
                </c:pt>
                <c:pt idx="4598">
                  <c:v>2004</c:v>
                </c:pt>
                <c:pt idx="4599">
                  <c:v>2004</c:v>
                </c:pt>
                <c:pt idx="4600">
                  <c:v>2004</c:v>
                </c:pt>
                <c:pt idx="4601">
                  <c:v>2004</c:v>
                </c:pt>
                <c:pt idx="4602">
                  <c:v>2004</c:v>
                </c:pt>
                <c:pt idx="4603">
                  <c:v>2004</c:v>
                </c:pt>
                <c:pt idx="4604">
                  <c:v>2004</c:v>
                </c:pt>
                <c:pt idx="4605">
                  <c:v>2004</c:v>
                </c:pt>
                <c:pt idx="4606">
                  <c:v>2004</c:v>
                </c:pt>
                <c:pt idx="4607">
                  <c:v>2004</c:v>
                </c:pt>
                <c:pt idx="4608">
                  <c:v>2004</c:v>
                </c:pt>
                <c:pt idx="4609">
                  <c:v>2004</c:v>
                </c:pt>
                <c:pt idx="4610">
                  <c:v>2004</c:v>
                </c:pt>
                <c:pt idx="4611">
                  <c:v>2004</c:v>
                </c:pt>
                <c:pt idx="4612">
                  <c:v>2004</c:v>
                </c:pt>
                <c:pt idx="4613">
                  <c:v>2004</c:v>
                </c:pt>
                <c:pt idx="4614">
                  <c:v>2004</c:v>
                </c:pt>
                <c:pt idx="4615">
                  <c:v>2004</c:v>
                </c:pt>
                <c:pt idx="4616">
                  <c:v>2004</c:v>
                </c:pt>
                <c:pt idx="4617">
                  <c:v>2004</c:v>
                </c:pt>
                <c:pt idx="4618">
                  <c:v>2004</c:v>
                </c:pt>
                <c:pt idx="4619">
                  <c:v>2004</c:v>
                </c:pt>
                <c:pt idx="4620">
                  <c:v>2004</c:v>
                </c:pt>
                <c:pt idx="4621">
                  <c:v>2004</c:v>
                </c:pt>
                <c:pt idx="4622">
                  <c:v>2004</c:v>
                </c:pt>
                <c:pt idx="4623">
                  <c:v>2004</c:v>
                </c:pt>
                <c:pt idx="4624">
                  <c:v>2004</c:v>
                </c:pt>
                <c:pt idx="4625">
                  <c:v>2004</c:v>
                </c:pt>
                <c:pt idx="4626">
                  <c:v>2004</c:v>
                </c:pt>
                <c:pt idx="4627">
                  <c:v>2004</c:v>
                </c:pt>
                <c:pt idx="4628">
                  <c:v>2004</c:v>
                </c:pt>
                <c:pt idx="4629">
                  <c:v>2004</c:v>
                </c:pt>
                <c:pt idx="4630">
                  <c:v>2004</c:v>
                </c:pt>
                <c:pt idx="4631">
                  <c:v>2004</c:v>
                </c:pt>
                <c:pt idx="4632">
                  <c:v>2004</c:v>
                </c:pt>
                <c:pt idx="4633">
                  <c:v>2004</c:v>
                </c:pt>
                <c:pt idx="4634">
                  <c:v>2004</c:v>
                </c:pt>
                <c:pt idx="4635">
                  <c:v>2004</c:v>
                </c:pt>
                <c:pt idx="4636">
                  <c:v>2004</c:v>
                </c:pt>
                <c:pt idx="4637">
                  <c:v>2004</c:v>
                </c:pt>
                <c:pt idx="4638">
                  <c:v>2004</c:v>
                </c:pt>
                <c:pt idx="4639">
                  <c:v>2004</c:v>
                </c:pt>
                <c:pt idx="4640">
                  <c:v>2004</c:v>
                </c:pt>
                <c:pt idx="4641">
                  <c:v>2004</c:v>
                </c:pt>
                <c:pt idx="4642">
                  <c:v>2004</c:v>
                </c:pt>
                <c:pt idx="4643">
                  <c:v>2004</c:v>
                </c:pt>
                <c:pt idx="4644">
                  <c:v>2004</c:v>
                </c:pt>
                <c:pt idx="4645">
                  <c:v>2004</c:v>
                </c:pt>
                <c:pt idx="4646">
                  <c:v>2004</c:v>
                </c:pt>
                <c:pt idx="4647">
                  <c:v>2004</c:v>
                </c:pt>
                <c:pt idx="4648">
                  <c:v>2004</c:v>
                </c:pt>
                <c:pt idx="4649">
                  <c:v>2004</c:v>
                </c:pt>
                <c:pt idx="4650">
                  <c:v>2004</c:v>
                </c:pt>
                <c:pt idx="4651">
                  <c:v>2004</c:v>
                </c:pt>
                <c:pt idx="4652">
                  <c:v>2004</c:v>
                </c:pt>
                <c:pt idx="4653">
                  <c:v>2004</c:v>
                </c:pt>
                <c:pt idx="4654">
                  <c:v>2004</c:v>
                </c:pt>
                <c:pt idx="4655">
                  <c:v>2004</c:v>
                </c:pt>
                <c:pt idx="4656">
                  <c:v>2004</c:v>
                </c:pt>
                <c:pt idx="4657">
                  <c:v>2004</c:v>
                </c:pt>
                <c:pt idx="4658">
                  <c:v>2004</c:v>
                </c:pt>
                <c:pt idx="4659">
                  <c:v>2004</c:v>
                </c:pt>
                <c:pt idx="4660">
                  <c:v>2004</c:v>
                </c:pt>
                <c:pt idx="4661">
                  <c:v>2004</c:v>
                </c:pt>
                <c:pt idx="4662">
                  <c:v>2004</c:v>
                </c:pt>
                <c:pt idx="4663">
                  <c:v>2004</c:v>
                </c:pt>
                <c:pt idx="4664">
                  <c:v>2004</c:v>
                </c:pt>
                <c:pt idx="4665">
                  <c:v>2004</c:v>
                </c:pt>
                <c:pt idx="4666">
                  <c:v>2004</c:v>
                </c:pt>
                <c:pt idx="4667">
                  <c:v>2004</c:v>
                </c:pt>
                <c:pt idx="4668">
                  <c:v>2004</c:v>
                </c:pt>
                <c:pt idx="4669">
                  <c:v>2004</c:v>
                </c:pt>
                <c:pt idx="4670">
                  <c:v>2004</c:v>
                </c:pt>
                <c:pt idx="4671">
                  <c:v>2004</c:v>
                </c:pt>
                <c:pt idx="4672">
                  <c:v>2004</c:v>
                </c:pt>
                <c:pt idx="4673">
                  <c:v>2004</c:v>
                </c:pt>
                <c:pt idx="4674">
                  <c:v>2004</c:v>
                </c:pt>
                <c:pt idx="4675">
                  <c:v>2004</c:v>
                </c:pt>
                <c:pt idx="4676">
                  <c:v>2004</c:v>
                </c:pt>
                <c:pt idx="4677">
                  <c:v>2004</c:v>
                </c:pt>
                <c:pt idx="4678">
                  <c:v>2004</c:v>
                </c:pt>
                <c:pt idx="4679">
                  <c:v>2004</c:v>
                </c:pt>
                <c:pt idx="4680">
                  <c:v>2004</c:v>
                </c:pt>
                <c:pt idx="4681">
                  <c:v>2004</c:v>
                </c:pt>
                <c:pt idx="4682">
                  <c:v>2004</c:v>
                </c:pt>
                <c:pt idx="4683">
                  <c:v>2004</c:v>
                </c:pt>
                <c:pt idx="4684">
                  <c:v>2004</c:v>
                </c:pt>
                <c:pt idx="4685">
                  <c:v>2004</c:v>
                </c:pt>
                <c:pt idx="4686">
                  <c:v>2004</c:v>
                </c:pt>
                <c:pt idx="4687">
                  <c:v>2004</c:v>
                </c:pt>
                <c:pt idx="4688">
                  <c:v>2004</c:v>
                </c:pt>
                <c:pt idx="4689">
                  <c:v>2004</c:v>
                </c:pt>
                <c:pt idx="4690">
                  <c:v>2004</c:v>
                </c:pt>
                <c:pt idx="4691">
                  <c:v>2004</c:v>
                </c:pt>
                <c:pt idx="4692">
                  <c:v>2004</c:v>
                </c:pt>
                <c:pt idx="4693">
                  <c:v>2004</c:v>
                </c:pt>
                <c:pt idx="4694">
                  <c:v>2004</c:v>
                </c:pt>
                <c:pt idx="4695">
                  <c:v>2004</c:v>
                </c:pt>
                <c:pt idx="4696">
                  <c:v>2004</c:v>
                </c:pt>
                <c:pt idx="4697">
                  <c:v>2004</c:v>
                </c:pt>
                <c:pt idx="4698">
                  <c:v>2004</c:v>
                </c:pt>
                <c:pt idx="4699">
                  <c:v>2004</c:v>
                </c:pt>
                <c:pt idx="4700">
                  <c:v>2004</c:v>
                </c:pt>
                <c:pt idx="4701">
                  <c:v>2004</c:v>
                </c:pt>
                <c:pt idx="4702">
                  <c:v>2004</c:v>
                </c:pt>
                <c:pt idx="4703">
                  <c:v>2004</c:v>
                </c:pt>
                <c:pt idx="4704">
                  <c:v>2004</c:v>
                </c:pt>
                <c:pt idx="4705">
                  <c:v>2004</c:v>
                </c:pt>
                <c:pt idx="4706">
                  <c:v>2004</c:v>
                </c:pt>
                <c:pt idx="4707">
                  <c:v>2004</c:v>
                </c:pt>
                <c:pt idx="4708">
                  <c:v>2004</c:v>
                </c:pt>
                <c:pt idx="4709">
                  <c:v>2004</c:v>
                </c:pt>
                <c:pt idx="4710">
                  <c:v>2004</c:v>
                </c:pt>
                <c:pt idx="4711">
                  <c:v>2004</c:v>
                </c:pt>
                <c:pt idx="4712">
                  <c:v>2004</c:v>
                </c:pt>
                <c:pt idx="4713">
                  <c:v>2004</c:v>
                </c:pt>
                <c:pt idx="4714">
                  <c:v>2004</c:v>
                </c:pt>
                <c:pt idx="4715">
                  <c:v>2004</c:v>
                </c:pt>
                <c:pt idx="4716">
                  <c:v>2004</c:v>
                </c:pt>
                <c:pt idx="4717">
                  <c:v>2004</c:v>
                </c:pt>
                <c:pt idx="4718">
                  <c:v>2004</c:v>
                </c:pt>
                <c:pt idx="4719">
                  <c:v>2004</c:v>
                </c:pt>
                <c:pt idx="4720">
                  <c:v>2004</c:v>
                </c:pt>
                <c:pt idx="4721">
                  <c:v>2004</c:v>
                </c:pt>
                <c:pt idx="4722">
                  <c:v>2004</c:v>
                </c:pt>
                <c:pt idx="4723">
                  <c:v>2004</c:v>
                </c:pt>
                <c:pt idx="4724">
                  <c:v>2004</c:v>
                </c:pt>
                <c:pt idx="4725">
                  <c:v>2004</c:v>
                </c:pt>
                <c:pt idx="4726">
                  <c:v>2004</c:v>
                </c:pt>
                <c:pt idx="4727">
                  <c:v>2004</c:v>
                </c:pt>
                <c:pt idx="4728">
                  <c:v>2004</c:v>
                </c:pt>
                <c:pt idx="4729">
                  <c:v>2004</c:v>
                </c:pt>
                <c:pt idx="4730">
                  <c:v>2004</c:v>
                </c:pt>
                <c:pt idx="4731">
                  <c:v>2004</c:v>
                </c:pt>
                <c:pt idx="4732">
                  <c:v>2004</c:v>
                </c:pt>
                <c:pt idx="4733">
                  <c:v>2004</c:v>
                </c:pt>
                <c:pt idx="4734">
                  <c:v>2004</c:v>
                </c:pt>
                <c:pt idx="4735">
                  <c:v>2004</c:v>
                </c:pt>
                <c:pt idx="4736">
                  <c:v>2004</c:v>
                </c:pt>
                <c:pt idx="4737">
                  <c:v>2004</c:v>
                </c:pt>
                <c:pt idx="4738">
                  <c:v>2004</c:v>
                </c:pt>
                <c:pt idx="4739">
                  <c:v>2004</c:v>
                </c:pt>
                <c:pt idx="4740">
                  <c:v>2004</c:v>
                </c:pt>
                <c:pt idx="4741">
                  <c:v>2004</c:v>
                </c:pt>
                <c:pt idx="4742">
                  <c:v>2004</c:v>
                </c:pt>
                <c:pt idx="4743">
                  <c:v>2004</c:v>
                </c:pt>
                <c:pt idx="4744">
                  <c:v>2004</c:v>
                </c:pt>
                <c:pt idx="4745">
                  <c:v>2004</c:v>
                </c:pt>
                <c:pt idx="4746">
                  <c:v>2004</c:v>
                </c:pt>
                <c:pt idx="4747">
                  <c:v>2004</c:v>
                </c:pt>
                <c:pt idx="4748">
                  <c:v>2004</c:v>
                </c:pt>
                <c:pt idx="4749">
                  <c:v>2004</c:v>
                </c:pt>
                <c:pt idx="4750">
                  <c:v>2004</c:v>
                </c:pt>
                <c:pt idx="4751">
                  <c:v>2004</c:v>
                </c:pt>
                <c:pt idx="4752">
                  <c:v>2004</c:v>
                </c:pt>
                <c:pt idx="4753">
                  <c:v>2004</c:v>
                </c:pt>
                <c:pt idx="4754">
                  <c:v>2004</c:v>
                </c:pt>
                <c:pt idx="4755">
                  <c:v>2004</c:v>
                </c:pt>
                <c:pt idx="4756">
                  <c:v>2004</c:v>
                </c:pt>
                <c:pt idx="4757">
                  <c:v>2004</c:v>
                </c:pt>
                <c:pt idx="4758">
                  <c:v>2004</c:v>
                </c:pt>
                <c:pt idx="4759">
                  <c:v>2004</c:v>
                </c:pt>
                <c:pt idx="4760">
                  <c:v>2004</c:v>
                </c:pt>
                <c:pt idx="4761">
                  <c:v>2004</c:v>
                </c:pt>
                <c:pt idx="4762">
                  <c:v>2004</c:v>
                </c:pt>
                <c:pt idx="4763">
                  <c:v>2004</c:v>
                </c:pt>
                <c:pt idx="4764">
                  <c:v>2004</c:v>
                </c:pt>
                <c:pt idx="4765">
                  <c:v>2004</c:v>
                </c:pt>
                <c:pt idx="4766">
                  <c:v>2004</c:v>
                </c:pt>
                <c:pt idx="4767">
                  <c:v>2004</c:v>
                </c:pt>
                <c:pt idx="4768">
                  <c:v>2004</c:v>
                </c:pt>
                <c:pt idx="4769">
                  <c:v>2004</c:v>
                </c:pt>
                <c:pt idx="4770">
                  <c:v>2004</c:v>
                </c:pt>
                <c:pt idx="4771">
                  <c:v>2004</c:v>
                </c:pt>
                <c:pt idx="4772">
                  <c:v>2004</c:v>
                </c:pt>
                <c:pt idx="4773">
                  <c:v>2004</c:v>
                </c:pt>
                <c:pt idx="4774">
                  <c:v>2004</c:v>
                </c:pt>
                <c:pt idx="4775">
                  <c:v>2004</c:v>
                </c:pt>
                <c:pt idx="4776">
                  <c:v>2004</c:v>
                </c:pt>
                <c:pt idx="4777">
                  <c:v>2004</c:v>
                </c:pt>
                <c:pt idx="4778">
                  <c:v>2004</c:v>
                </c:pt>
                <c:pt idx="4779">
                  <c:v>2004</c:v>
                </c:pt>
                <c:pt idx="4780">
                  <c:v>2004</c:v>
                </c:pt>
                <c:pt idx="4781">
                  <c:v>2004</c:v>
                </c:pt>
                <c:pt idx="4782">
                  <c:v>2004</c:v>
                </c:pt>
                <c:pt idx="4783">
                  <c:v>2004</c:v>
                </c:pt>
                <c:pt idx="4784">
                  <c:v>2005</c:v>
                </c:pt>
                <c:pt idx="4785">
                  <c:v>2005</c:v>
                </c:pt>
                <c:pt idx="4786">
                  <c:v>2005</c:v>
                </c:pt>
                <c:pt idx="4787">
                  <c:v>2005</c:v>
                </c:pt>
                <c:pt idx="4788">
                  <c:v>2005</c:v>
                </c:pt>
                <c:pt idx="4789">
                  <c:v>2005</c:v>
                </c:pt>
                <c:pt idx="4790">
                  <c:v>2005</c:v>
                </c:pt>
                <c:pt idx="4791">
                  <c:v>2005</c:v>
                </c:pt>
                <c:pt idx="4792">
                  <c:v>2005</c:v>
                </c:pt>
                <c:pt idx="4793">
                  <c:v>2005</c:v>
                </c:pt>
                <c:pt idx="4794">
                  <c:v>2005</c:v>
                </c:pt>
                <c:pt idx="4795">
                  <c:v>2005</c:v>
                </c:pt>
                <c:pt idx="4796">
                  <c:v>2005</c:v>
                </c:pt>
                <c:pt idx="4797">
                  <c:v>2005</c:v>
                </c:pt>
                <c:pt idx="4798">
                  <c:v>2005</c:v>
                </c:pt>
                <c:pt idx="4799">
                  <c:v>2005</c:v>
                </c:pt>
                <c:pt idx="4800">
                  <c:v>2005</c:v>
                </c:pt>
                <c:pt idx="4801">
                  <c:v>2005</c:v>
                </c:pt>
                <c:pt idx="4802">
                  <c:v>2005</c:v>
                </c:pt>
                <c:pt idx="4803">
                  <c:v>2005</c:v>
                </c:pt>
                <c:pt idx="4804">
                  <c:v>2005</c:v>
                </c:pt>
                <c:pt idx="4805">
                  <c:v>2005</c:v>
                </c:pt>
                <c:pt idx="4806">
                  <c:v>2005</c:v>
                </c:pt>
                <c:pt idx="4807">
                  <c:v>2005</c:v>
                </c:pt>
                <c:pt idx="4808">
                  <c:v>2005</c:v>
                </c:pt>
                <c:pt idx="4809">
                  <c:v>2005</c:v>
                </c:pt>
                <c:pt idx="4810">
                  <c:v>2005</c:v>
                </c:pt>
                <c:pt idx="4811">
                  <c:v>2005</c:v>
                </c:pt>
                <c:pt idx="4812">
                  <c:v>2005</c:v>
                </c:pt>
                <c:pt idx="4813">
                  <c:v>2005</c:v>
                </c:pt>
                <c:pt idx="4814">
                  <c:v>2005</c:v>
                </c:pt>
                <c:pt idx="4815">
                  <c:v>2005</c:v>
                </c:pt>
                <c:pt idx="4816">
                  <c:v>2005</c:v>
                </c:pt>
                <c:pt idx="4817">
                  <c:v>2005</c:v>
                </c:pt>
                <c:pt idx="4818">
                  <c:v>2005</c:v>
                </c:pt>
                <c:pt idx="4819">
                  <c:v>2005</c:v>
                </c:pt>
                <c:pt idx="4820">
                  <c:v>2005</c:v>
                </c:pt>
                <c:pt idx="4821">
                  <c:v>2005</c:v>
                </c:pt>
                <c:pt idx="4822">
                  <c:v>2005</c:v>
                </c:pt>
                <c:pt idx="4823">
                  <c:v>2005</c:v>
                </c:pt>
                <c:pt idx="4824">
                  <c:v>2005</c:v>
                </c:pt>
                <c:pt idx="4825">
                  <c:v>2005</c:v>
                </c:pt>
                <c:pt idx="4826">
                  <c:v>2005</c:v>
                </c:pt>
                <c:pt idx="4827">
                  <c:v>2005</c:v>
                </c:pt>
                <c:pt idx="4828">
                  <c:v>2005</c:v>
                </c:pt>
                <c:pt idx="4829">
                  <c:v>2005</c:v>
                </c:pt>
                <c:pt idx="4830">
                  <c:v>2005</c:v>
                </c:pt>
                <c:pt idx="4831">
                  <c:v>2005</c:v>
                </c:pt>
                <c:pt idx="4832">
                  <c:v>2005</c:v>
                </c:pt>
                <c:pt idx="4833">
                  <c:v>2005</c:v>
                </c:pt>
                <c:pt idx="4834">
                  <c:v>2005</c:v>
                </c:pt>
                <c:pt idx="4835">
                  <c:v>2005</c:v>
                </c:pt>
                <c:pt idx="4836">
                  <c:v>2005</c:v>
                </c:pt>
                <c:pt idx="4837">
                  <c:v>2005</c:v>
                </c:pt>
                <c:pt idx="4838">
                  <c:v>2005</c:v>
                </c:pt>
                <c:pt idx="4839">
                  <c:v>2005</c:v>
                </c:pt>
                <c:pt idx="4840">
                  <c:v>2005</c:v>
                </c:pt>
                <c:pt idx="4841">
                  <c:v>2005</c:v>
                </c:pt>
                <c:pt idx="4842">
                  <c:v>2005</c:v>
                </c:pt>
                <c:pt idx="4843">
                  <c:v>2005</c:v>
                </c:pt>
                <c:pt idx="4844">
                  <c:v>2005</c:v>
                </c:pt>
                <c:pt idx="4845">
                  <c:v>2005</c:v>
                </c:pt>
                <c:pt idx="4846">
                  <c:v>2005</c:v>
                </c:pt>
                <c:pt idx="4847">
                  <c:v>2005</c:v>
                </c:pt>
                <c:pt idx="4848">
                  <c:v>2005</c:v>
                </c:pt>
                <c:pt idx="4849">
                  <c:v>2005</c:v>
                </c:pt>
                <c:pt idx="4850">
                  <c:v>2005</c:v>
                </c:pt>
                <c:pt idx="4851">
                  <c:v>2005</c:v>
                </c:pt>
                <c:pt idx="4852">
                  <c:v>2005</c:v>
                </c:pt>
                <c:pt idx="4853">
                  <c:v>2005</c:v>
                </c:pt>
                <c:pt idx="4854">
                  <c:v>2005</c:v>
                </c:pt>
                <c:pt idx="4855">
                  <c:v>2005</c:v>
                </c:pt>
                <c:pt idx="4856">
                  <c:v>2005</c:v>
                </c:pt>
                <c:pt idx="4857">
                  <c:v>2005</c:v>
                </c:pt>
                <c:pt idx="4858">
                  <c:v>2005</c:v>
                </c:pt>
                <c:pt idx="4859">
                  <c:v>2005</c:v>
                </c:pt>
                <c:pt idx="4860">
                  <c:v>2005</c:v>
                </c:pt>
                <c:pt idx="4861">
                  <c:v>2005</c:v>
                </c:pt>
                <c:pt idx="4862">
                  <c:v>2005</c:v>
                </c:pt>
                <c:pt idx="4863">
                  <c:v>2005</c:v>
                </c:pt>
                <c:pt idx="4864">
                  <c:v>2005</c:v>
                </c:pt>
                <c:pt idx="4865">
                  <c:v>2005</c:v>
                </c:pt>
                <c:pt idx="4866">
                  <c:v>2005</c:v>
                </c:pt>
                <c:pt idx="4867">
                  <c:v>2005</c:v>
                </c:pt>
                <c:pt idx="4868">
                  <c:v>2005</c:v>
                </c:pt>
                <c:pt idx="4869">
                  <c:v>2005</c:v>
                </c:pt>
                <c:pt idx="4870">
                  <c:v>2005</c:v>
                </c:pt>
                <c:pt idx="4871">
                  <c:v>2005</c:v>
                </c:pt>
                <c:pt idx="4872">
                  <c:v>2005</c:v>
                </c:pt>
                <c:pt idx="4873">
                  <c:v>2005</c:v>
                </c:pt>
                <c:pt idx="4874">
                  <c:v>2005</c:v>
                </c:pt>
                <c:pt idx="4875">
                  <c:v>2005</c:v>
                </c:pt>
                <c:pt idx="4876">
                  <c:v>2005</c:v>
                </c:pt>
                <c:pt idx="4877">
                  <c:v>2005</c:v>
                </c:pt>
                <c:pt idx="4878">
                  <c:v>2005</c:v>
                </c:pt>
                <c:pt idx="4879">
                  <c:v>2005</c:v>
                </c:pt>
                <c:pt idx="4880">
                  <c:v>2005</c:v>
                </c:pt>
                <c:pt idx="4881">
                  <c:v>2005</c:v>
                </c:pt>
                <c:pt idx="4882">
                  <c:v>2005</c:v>
                </c:pt>
                <c:pt idx="4883">
                  <c:v>2005</c:v>
                </c:pt>
                <c:pt idx="4884">
                  <c:v>2005</c:v>
                </c:pt>
                <c:pt idx="4885">
                  <c:v>2005</c:v>
                </c:pt>
                <c:pt idx="4886">
                  <c:v>2005</c:v>
                </c:pt>
                <c:pt idx="4887">
                  <c:v>2005</c:v>
                </c:pt>
                <c:pt idx="4888">
                  <c:v>2005</c:v>
                </c:pt>
                <c:pt idx="4889">
                  <c:v>2005</c:v>
                </c:pt>
                <c:pt idx="4890">
                  <c:v>2005</c:v>
                </c:pt>
                <c:pt idx="4891">
                  <c:v>2005</c:v>
                </c:pt>
                <c:pt idx="4892">
                  <c:v>2005</c:v>
                </c:pt>
                <c:pt idx="4893">
                  <c:v>2005</c:v>
                </c:pt>
                <c:pt idx="4894">
                  <c:v>2005</c:v>
                </c:pt>
                <c:pt idx="4895">
                  <c:v>2005</c:v>
                </c:pt>
                <c:pt idx="4896">
                  <c:v>2005</c:v>
                </c:pt>
                <c:pt idx="4897">
                  <c:v>2005</c:v>
                </c:pt>
                <c:pt idx="4898">
                  <c:v>2005</c:v>
                </c:pt>
                <c:pt idx="4899">
                  <c:v>2005</c:v>
                </c:pt>
                <c:pt idx="4900">
                  <c:v>2005</c:v>
                </c:pt>
                <c:pt idx="4901">
                  <c:v>2005</c:v>
                </c:pt>
                <c:pt idx="4902">
                  <c:v>2005</c:v>
                </c:pt>
                <c:pt idx="4903">
                  <c:v>2005</c:v>
                </c:pt>
                <c:pt idx="4904">
                  <c:v>2005</c:v>
                </c:pt>
                <c:pt idx="4905">
                  <c:v>2005</c:v>
                </c:pt>
                <c:pt idx="4906">
                  <c:v>2005</c:v>
                </c:pt>
                <c:pt idx="4907">
                  <c:v>2005</c:v>
                </c:pt>
                <c:pt idx="4908">
                  <c:v>2005</c:v>
                </c:pt>
                <c:pt idx="4909">
                  <c:v>2005</c:v>
                </c:pt>
                <c:pt idx="4910">
                  <c:v>2005</c:v>
                </c:pt>
                <c:pt idx="4911">
                  <c:v>2005</c:v>
                </c:pt>
                <c:pt idx="4912">
                  <c:v>2005</c:v>
                </c:pt>
                <c:pt idx="4913">
                  <c:v>2005</c:v>
                </c:pt>
                <c:pt idx="4914">
                  <c:v>2005</c:v>
                </c:pt>
                <c:pt idx="4915">
                  <c:v>2005</c:v>
                </c:pt>
                <c:pt idx="4916">
                  <c:v>2005</c:v>
                </c:pt>
                <c:pt idx="4917">
                  <c:v>2005</c:v>
                </c:pt>
                <c:pt idx="4918">
                  <c:v>2005</c:v>
                </c:pt>
                <c:pt idx="4919">
                  <c:v>2005</c:v>
                </c:pt>
                <c:pt idx="4920">
                  <c:v>2005</c:v>
                </c:pt>
                <c:pt idx="4921">
                  <c:v>2005</c:v>
                </c:pt>
                <c:pt idx="4922">
                  <c:v>2005</c:v>
                </c:pt>
                <c:pt idx="4923">
                  <c:v>2005</c:v>
                </c:pt>
                <c:pt idx="4924">
                  <c:v>2005</c:v>
                </c:pt>
                <c:pt idx="4925">
                  <c:v>2005</c:v>
                </c:pt>
                <c:pt idx="4926">
                  <c:v>2005</c:v>
                </c:pt>
                <c:pt idx="4927">
                  <c:v>2005</c:v>
                </c:pt>
                <c:pt idx="4928">
                  <c:v>2005</c:v>
                </c:pt>
                <c:pt idx="4929">
                  <c:v>2005</c:v>
                </c:pt>
                <c:pt idx="4930">
                  <c:v>2005</c:v>
                </c:pt>
                <c:pt idx="4931">
                  <c:v>2005</c:v>
                </c:pt>
                <c:pt idx="4932">
                  <c:v>2005</c:v>
                </c:pt>
                <c:pt idx="4933">
                  <c:v>2005</c:v>
                </c:pt>
                <c:pt idx="4934">
                  <c:v>2005</c:v>
                </c:pt>
                <c:pt idx="4935">
                  <c:v>2005</c:v>
                </c:pt>
                <c:pt idx="4936">
                  <c:v>2005</c:v>
                </c:pt>
                <c:pt idx="4937">
                  <c:v>2005</c:v>
                </c:pt>
                <c:pt idx="4938">
                  <c:v>2005</c:v>
                </c:pt>
                <c:pt idx="4939">
                  <c:v>2005</c:v>
                </c:pt>
                <c:pt idx="4940">
                  <c:v>2005</c:v>
                </c:pt>
                <c:pt idx="4941">
                  <c:v>2005</c:v>
                </c:pt>
                <c:pt idx="4942">
                  <c:v>2005</c:v>
                </c:pt>
                <c:pt idx="4943">
                  <c:v>2005</c:v>
                </c:pt>
                <c:pt idx="4944">
                  <c:v>2005</c:v>
                </c:pt>
                <c:pt idx="4945">
                  <c:v>2005</c:v>
                </c:pt>
                <c:pt idx="4946">
                  <c:v>2005</c:v>
                </c:pt>
                <c:pt idx="4947">
                  <c:v>2005</c:v>
                </c:pt>
                <c:pt idx="4948">
                  <c:v>2005</c:v>
                </c:pt>
                <c:pt idx="4949">
                  <c:v>2005</c:v>
                </c:pt>
                <c:pt idx="4950">
                  <c:v>2005</c:v>
                </c:pt>
                <c:pt idx="4951">
                  <c:v>2005</c:v>
                </c:pt>
                <c:pt idx="4952">
                  <c:v>2005</c:v>
                </c:pt>
                <c:pt idx="4953">
                  <c:v>2005</c:v>
                </c:pt>
                <c:pt idx="4954">
                  <c:v>2005</c:v>
                </c:pt>
                <c:pt idx="4955">
                  <c:v>2005</c:v>
                </c:pt>
                <c:pt idx="4956">
                  <c:v>2005</c:v>
                </c:pt>
                <c:pt idx="4957">
                  <c:v>2005</c:v>
                </c:pt>
                <c:pt idx="4958">
                  <c:v>2005</c:v>
                </c:pt>
                <c:pt idx="4959">
                  <c:v>2005</c:v>
                </c:pt>
                <c:pt idx="4960">
                  <c:v>2005</c:v>
                </c:pt>
                <c:pt idx="4961">
                  <c:v>2005</c:v>
                </c:pt>
                <c:pt idx="4962">
                  <c:v>2005</c:v>
                </c:pt>
                <c:pt idx="4963">
                  <c:v>2005</c:v>
                </c:pt>
                <c:pt idx="4964">
                  <c:v>2005</c:v>
                </c:pt>
                <c:pt idx="4965">
                  <c:v>2005</c:v>
                </c:pt>
                <c:pt idx="4966">
                  <c:v>2005</c:v>
                </c:pt>
                <c:pt idx="4967">
                  <c:v>2005</c:v>
                </c:pt>
                <c:pt idx="4968">
                  <c:v>2005</c:v>
                </c:pt>
                <c:pt idx="4969">
                  <c:v>2005</c:v>
                </c:pt>
                <c:pt idx="4970">
                  <c:v>2005</c:v>
                </c:pt>
                <c:pt idx="4971">
                  <c:v>2005</c:v>
                </c:pt>
                <c:pt idx="4972">
                  <c:v>2005</c:v>
                </c:pt>
                <c:pt idx="4973">
                  <c:v>2005</c:v>
                </c:pt>
                <c:pt idx="4974">
                  <c:v>2005</c:v>
                </c:pt>
                <c:pt idx="4975">
                  <c:v>2005</c:v>
                </c:pt>
                <c:pt idx="4976">
                  <c:v>2005</c:v>
                </c:pt>
                <c:pt idx="4977">
                  <c:v>2005</c:v>
                </c:pt>
                <c:pt idx="4978">
                  <c:v>2005</c:v>
                </c:pt>
                <c:pt idx="4979">
                  <c:v>2005</c:v>
                </c:pt>
                <c:pt idx="4980">
                  <c:v>2005</c:v>
                </c:pt>
                <c:pt idx="4981">
                  <c:v>2005</c:v>
                </c:pt>
                <c:pt idx="4982">
                  <c:v>2005</c:v>
                </c:pt>
                <c:pt idx="4983">
                  <c:v>2005</c:v>
                </c:pt>
                <c:pt idx="4984">
                  <c:v>2005</c:v>
                </c:pt>
                <c:pt idx="4985">
                  <c:v>2005</c:v>
                </c:pt>
                <c:pt idx="4986">
                  <c:v>2005</c:v>
                </c:pt>
                <c:pt idx="4987">
                  <c:v>2005</c:v>
                </c:pt>
                <c:pt idx="4988">
                  <c:v>2005</c:v>
                </c:pt>
                <c:pt idx="4989">
                  <c:v>2005</c:v>
                </c:pt>
                <c:pt idx="4990">
                  <c:v>2005</c:v>
                </c:pt>
                <c:pt idx="4991">
                  <c:v>2005</c:v>
                </c:pt>
                <c:pt idx="4992">
                  <c:v>2005</c:v>
                </c:pt>
                <c:pt idx="4993">
                  <c:v>2005</c:v>
                </c:pt>
                <c:pt idx="4994">
                  <c:v>2005</c:v>
                </c:pt>
                <c:pt idx="4995">
                  <c:v>2005</c:v>
                </c:pt>
                <c:pt idx="4996">
                  <c:v>2005</c:v>
                </c:pt>
                <c:pt idx="4997">
                  <c:v>2005</c:v>
                </c:pt>
                <c:pt idx="4998">
                  <c:v>2005</c:v>
                </c:pt>
                <c:pt idx="4999">
                  <c:v>2005</c:v>
                </c:pt>
                <c:pt idx="5000">
                  <c:v>2005</c:v>
                </c:pt>
                <c:pt idx="5001">
                  <c:v>2005</c:v>
                </c:pt>
                <c:pt idx="5002">
                  <c:v>2005</c:v>
                </c:pt>
                <c:pt idx="5003">
                  <c:v>2005</c:v>
                </c:pt>
                <c:pt idx="5004">
                  <c:v>2005</c:v>
                </c:pt>
                <c:pt idx="5005">
                  <c:v>2005</c:v>
                </c:pt>
                <c:pt idx="5006">
                  <c:v>2005</c:v>
                </c:pt>
                <c:pt idx="5007">
                  <c:v>2005</c:v>
                </c:pt>
                <c:pt idx="5008">
                  <c:v>2005</c:v>
                </c:pt>
                <c:pt idx="5009">
                  <c:v>2005</c:v>
                </c:pt>
                <c:pt idx="5010">
                  <c:v>2005</c:v>
                </c:pt>
                <c:pt idx="5011">
                  <c:v>2005</c:v>
                </c:pt>
                <c:pt idx="5012">
                  <c:v>2005</c:v>
                </c:pt>
                <c:pt idx="5013">
                  <c:v>2005</c:v>
                </c:pt>
                <c:pt idx="5014">
                  <c:v>2005</c:v>
                </c:pt>
                <c:pt idx="5015">
                  <c:v>2005</c:v>
                </c:pt>
                <c:pt idx="5016">
                  <c:v>2005</c:v>
                </c:pt>
                <c:pt idx="5017">
                  <c:v>2005</c:v>
                </c:pt>
                <c:pt idx="5018">
                  <c:v>2005</c:v>
                </c:pt>
                <c:pt idx="5019">
                  <c:v>2005</c:v>
                </c:pt>
                <c:pt idx="5020">
                  <c:v>2005</c:v>
                </c:pt>
                <c:pt idx="5021">
                  <c:v>2005</c:v>
                </c:pt>
                <c:pt idx="5022">
                  <c:v>2005</c:v>
                </c:pt>
                <c:pt idx="5023">
                  <c:v>2005</c:v>
                </c:pt>
                <c:pt idx="5024">
                  <c:v>2005</c:v>
                </c:pt>
                <c:pt idx="5025">
                  <c:v>2005</c:v>
                </c:pt>
                <c:pt idx="5026">
                  <c:v>2005</c:v>
                </c:pt>
                <c:pt idx="5027">
                  <c:v>2005</c:v>
                </c:pt>
                <c:pt idx="5028">
                  <c:v>2005</c:v>
                </c:pt>
                <c:pt idx="5029">
                  <c:v>2005</c:v>
                </c:pt>
                <c:pt idx="5030">
                  <c:v>2005</c:v>
                </c:pt>
                <c:pt idx="5031">
                  <c:v>2005</c:v>
                </c:pt>
                <c:pt idx="5032">
                  <c:v>2005</c:v>
                </c:pt>
                <c:pt idx="5033">
                  <c:v>2005</c:v>
                </c:pt>
                <c:pt idx="5034">
                  <c:v>2005</c:v>
                </c:pt>
                <c:pt idx="5035">
                  <c:v>2005</c:v>
                </c:pt>
                <c:pt idx="5036">
                  <c:v>2005</c:v>
                </c:pt>
                <c:pt idx="5037">
                  <c:v>2005</c:v>
                </c:pt>
                <c:pt idx="5038">
                  <c:v>2005</c:v>
                </c:pt>
                <c:pt idx="5039">
                  <c:v>2005</c:v>
                </c:pt>
                <c:pt idx="5040">
                  <c:v>2005</c:v>
                </c:pt>
                <c:pt idx="5041">
                  <c:v>2005</c:v>
                </c:pt>
                <c:pt idx="5042">
                  <c:v>2005</c:v>
                </c:pt>
                <c:pt idx="5043">
                  <c:v>2005</c:v>
                </c:pt>
                <c:pt idx="5044">
                  <c:v>2005</c:v>
                </c:pt>
                <c:pt idx="5045">
                  <c:v>2005</c:v>
                </c:pt>
                <c:pt idx="5046">
                  <c:v>2005</c:v>
                </c:pt>
                <c:pt idx="5047">
                  <c:v>2005</c:v>
                </c:pt>
                <c:pt idx="5048">
                  <c:v>2005</c:v>
                </c:pt>
                <c:pt idx="5049">
                  <c:v>2005</c:v>
                </c:pt>
                <c:pt idx="5050">
                  <c:v>2005</c:v>
                </c:pt>
                <c:pt idx="5051">
                  <c:v>2005</c:v>
                </c:pt>
                <c:pt idx="5052">
                  <c:v>2005</c:v>
                </c:pt>
                <c:pt idx="5053">
                  <c:v>2005</c:v>
                </c:pt>
                <c:pt idx="5054">
                  <c:v>2005</c:v>
                </c:pt>
                <c:pt idx="5055">
                  <c:v>2005</c:v>
                </c:pt>
                <c:pt idx="5056">
                  <c:v>2005</c:v>
                </c:pt>
                <c:pt idx="5057">
                  <c:v>2005</c:v>
                </c:pt>
                <c:pt idx="5058">
                  <c:v>2005</c:v>
                </c:pt>
                <c:pt idx="5059">
                  <c:v>2005</c:v>
                </c:pt>
                <c:pt idx="5060">
                  <c:v>2005</c:v>
                </c:pt>
                <c:pt idx="5061">
                  <c:v>2005</c:v>
                </c:pt>
                <c:pt idx="5062">
                  <c:v>2005</c:v>
                </c:pt>
                <c:pt idx="5063">
                  <c:v>2005</c:v>
                </c:pt>
                <c:pt idx="5064">
                  <c:v>2005</c:v>
                </c:pt>
                <c:pt idx="5065">
                  <c:v>2005</c:v>
                </c:pt>
                <c:pt idx="5066">
                  <c:v>2005</c:v>
                </c:pt>
                <c:pt idx="5067">
                  <c:v>2005</c:v>
                </c:pt>
                <c:pt idx="5068">
                  <c:v>2005</c:v>
                </c:pt>
                <c:pt idx="5069">
                  <c:v>2005</c:v>
                </c:pt>
                <c:pt idx="5070">
                  <c:v>2005</c:v>
                </c:pt>
                <c:pt idx="5071">
                  <c:v>2005</c:v>
                </c:pt>
                <c:pt idx="5072">
                  <c:v>2005</c:v>
                </c:pt>
                <c:pt idx="5073">
                  <c:v>2005</c:v>
                </c:pt>
                <c:pt idx="5074">
                  <c:v>2005</c:v>
                </c:pt>
                <c:pt idx="5075">
                  <c:v>2005</c:v>
                </c:pt>
                <c:pt idx="5076">
                  <c:v>2005</c:v>
                </c:pt>
                <c:pt idx="5077">
                  <c:v>2005</c:v>
                </c:pt>
                <c:pt idx="5078">
                  <c:v>2005</c:v>
                </c:pt>
                <c:pt idx="5079">
                  <c:v>2005</c:v>
                </c:pt>
                <c:pt idx="5080">
                  <c:v>2005</c:v>
                </c:pt>
                <c:pt idx="5081">
                  <c:v>2005</c:v>
                </c:pt>
                <c:pt idx="5082">
                  <c:v>2005</c:v>
                </c:pt>
                <c:pt idx="5083">
                  <c:v>2005</c:v>
                </c:pt>
                <c:pt idx="5084">
                  <c:v>2005</c:v>
                </c:pt>
                <c:pt idx="5085">
                  <c:v>2005</c:v>
                </c:pt>
                <c:pt idx="5086">
                  <c:v>2005</c:v>
                </c:pt>
                <c:pt idx="5087">
                  <c:v>2005</c:v>
                </c:pt>
                <c:pt idx="5088">
                  <c:v>2005</c:v>
                </c:pt>
                <c:pt idx="5089">
                  <c:v>2005</c:v>
                </c:pt>
                <c:pt idx="5090">
                  <c:v>2005</c:v>
                </c:pt>
                <c:pt idx="5091">
                  <c:v>2005</c:v>
                </c:pt>
                <c:pt idx="5092">
                  <c:v>2005</c:v>
                </c:pt>
                <c:pt idx="5093">
                  <c:v>2005</c:v>
                </c:pt>
                <c:pt idx="5094">
                  <c:v>2005</c:v>
                </c:pt>
                <c:pt idx="5095">
                  <c:v>2005</c:v>
                </c:pt>
                <c:pt idx="5096">
                  <c:v>2005</c:v>
                </c:pt>
                <c:pt idx="5097">
                  <c:v>2005</c:v>
                </c:pt>
                <c:pt idx="5098">
                  <c:v>2005</c:v>
                </c:pt>
                <c:pt idx="5099">
                  <c:v>2005</c:v>
                </c:pt>
                <c:pt idx="5100">
                  <c:v>2005</c:v>
                </c:pt>
                <c:pt idx="5101">
                  <c:v>2005</c:v>
                </c:pt>
                <c:pt idx="5102">
                  <c:v>2005</c:v>
                </c:pt>
                <c:pt idx="5103">
                  <c:v>2005</c:v>
                </c:pt>
                <c:pt idx="5104">
                  <c:v>2005</c:v>
                </c:pt>
                <c:pt idx="5105">
                  <c:v>2005</c:v>
                </c:pt>
                <c:pt idx="5106">
                  <c:v>2005</c:v>
                </c:pt>
                <c:pt idx="5107">
                  <c:v>2005</c:v>
                </c:pt>
                <c:pt idx="5108">
                  <c:v>2005</c:v>
                </c:pt>
                <c:pt idx="5109">
                  <c:v>2005</c:v>
                </c:pt>
                <c:pt idx="5110">
                  <c:v>2005</c:v>
                </c:pt>
                <c:pt idx="5111">
                  <c:v>2005</c:v>
                </c:pt>
                <c:pt idx="5112">
                  <c:v>2005</c:v>
                </c:pt>
                <c:pt idx="5113">
                  <c:v>2005</c:v>
                </c:pt>
                <c:pt idx="5114">
                  <c:v>2005</c:v>
                </c:pt>
                <c:pt idx="5115">
                  <c:v>2005</c:v>
                </c:pt>
                <c:pt idx="5116">
                  <c:v>2005</c:v>
                </c:pt>
                <c:pt idx="5117">
                  <c:v>2005</c:v>
                </c:pt>
                <c:pt idx="5118">
                  <c:v>2005</c:v>
                </c:pt>
                <c:pt idx="5119">
                  <c:v>2005</c:v>
                </c:pt>
                <c:pt idx="5120">
                  <c:v>2005</c:v>
                </c:pt>
                <c:pt idx="5121">
                  <c:v>2005</c:v>
                </c:pt>
                <c:pt idx="5122">
                  <c:v>2005</c:v>
                </c:pt>
                <c:pt idx="5123">
                  <c:v>2005</c:v>
                </c:pt>
                <c:pt idx="5124">
                  <c:v>2005</c:v>
                </c:pt>
                <c:pt idx="5125">
                  <c:v>2005</c:v>
                </c:pt>
                <c:pt idx="5126">
                  <c:v>2005</c:v>
                </c:pt>
                <c:pt idx="5127">
                  <c:v>2005</c:v>
                </c:pt>
                <c:pt idx="5128">
                  <c:v>2005</c:v>
                </c:pt>
                <c:pt idx="5129">
                  <c:v>2005</c:v>
                </c:pt>
                <c:pt idx="5130">
                  <c:v>2005</c:v>
                </c:pt>
                <c:pt idx="5131">
                  <c:v>2005</c:v>
                </c:pt>
                <c:pt idx="5132">
                  <c:v>2005</c:v>
                </c:pt>
                <c:pt idx="5133">
                  <c:v>2005</c:v>
                </c:pt>
                <c:pt idx="5134">
                  <c:v>2005</c:v>
                </c:pt>
                <c:pt idx="5135">
                  <c:v>2005</c:v>
                </c:pt>
                <c:pt idx="5136">
                  <c:v>2005</c:v>
                </c:pt>
                <c:pt idx="5137">
                  <c:v>2005</c:v>
                </c:pt>
                <c:pt idx="5138">
                  <c:v>2005</c:v>
                </c:pt>
                <c:pt idx="5139">
                  <c:v>2005</c:v>
                </c:pt>
                <c:pt idx="5140">
                  <c:v>2005</c:v>
                </c:pt>
                <c:pt idx="5141">
                  <c:v>2005</c:v>
                </c:pt>
                <c:pt idx="5142">
                  <c:v>2005</c:v>
                </c:pt>
                <c:pt idx="5143">
                  <c:v>2005</c:v>
                </c:pt>
                <c:pt idx="5144">
                  <c:v>2005</c:v>
                </c:pt>
                <c:pt idx="5145">
                  <c:v>2005</c:v>
                </c:pt>
                <c:pt idx="5146">
                  <c:v>2005</c:v>
                </c:pt>
                <c:pt idx="5147">
                  <c:v>2005</c:v>
                </c:pt>
                <c:pt idx="5148">
                  <c:v>2005</c:v>
                </c:pt>
                <c:pt idx="5149">
                  <c:v>2006</c:v>
                </c:pt>
                <c:pt idx="5150">
                  <c:v>2006</c:v>
                </c:pt>
                <c:pt idx="5151">
                  <c:v>2006</c:v>
                </c:pt>
                <c:pt idx="5152">
                  <c:v>2006</c:v>
                </c:pt>
                <c:pt idx="5153">
                  <c:v>2006</c:v>
                </c:pt>
                <c:pt idx="5154">
                  <c:v>2006</c:v>
                </c:pt>
                <c:pt idx="5155">
                  <c:v>2006</c:v>
                </c:pt>
                <c:pt idx="5156">
                  <c:v>2006</c:v>
                </c:pt>
                <c:pt idx="5157">
                  <c:v>2006</c:v>
                </c:pt>
                <c:pt idx="5158">
                  <c:v>2006</c:v>
                </c:pt>
                <c:pt idx="5159">
                  <c:v>2006</c:v>
                </c:pt>
                <c:pt idx="5160">
                  <c:v>2006</c:v>
                </c:pt>
                <c:pt idx="5161">
                  <c:v>2006</c:v>
                </c:pt>
                <c:pt idx="5162">
                  <c:v>2006</c:v>
                </c:pt>
                <c:pt idx="5163">
                  <c:v>2006</c:v>
                </c:pt>
                <c:pt idx="5164">
                  <c:v>2006</c:v>
                </c:pt>
                <c:pt idx="5165">
                  <c:v>2006</c:v>
                </c:pt>
                <c:pt idx="5166">
                  <c:v>2006</c:v>
                </c:pt>
                <c:pt idx="5167">
                  <c:v>2006</c:v>
                </c:pt>
                <c:pt idx="5168">
                  <c:v>2006</c:v>
                </c:pt>
                <c:pt idx="5169">
                  <c:v>2006</c:v>
                </c:pt>
                <c:pt idx="5170">
                  <c:v>2006</c:v>
                </c:pt>
                <c:pt idx="5171">
                  <c:v>2006</c:v>
                </c:pt>
                <c:pt idx="5172">
                  <c:v>2006</c:v>
                </c:pt>
                <c:pt idx="5173">
                  <c:v>2006</c:v>
                </c:pt>
                <c:pt idx="5174">
                  <c:v>2006</c:v>
                </c:pt>
                <c:pt idx="5175">
                  <c:v>2006</c:v>
                </c:pt>
                <c:pt idx="5176">
                  <c:v>2006</c:v>
                </c:pt>
                <c:pt idx="5177">
                  <c:v>2006</c:v>
                </c:pt>
                <c:pt idx="5178">
                  <c:v>2006</c:v>
                </c:pt>
                <c:pt idx="5179">
                  <c:v>2006</c:v>
                </c:pt>
                <c:pt idx="5180">
                  <c:v>2006</c:v>
                </c:pt>
                <c:pt idx="5181">
                  <c:v>2006</c:v>
                </c:pt>
                <c:pt idx="5182">
                  <c:v>2006</c:v>
                </c:pt>
                <c:pt idx="5183">
                  <c:v>2006</c:v>
                </c:pt>
                <c:pt idx="5184">
                  <c:v>2006</c:v>
                </c:pt>
                <c:pt idx="5185">
                  <c:v>2006</c:v>
                </c:pt>
                <c:pt idx="5186">
                  <c:v>2006</c:v>
                </c:pt>
                <c:pt idx="5187">
                  <c:v>2006</c:v>
                </c:pt>
                <c:pt idx="5188">
                  <c:v>2006</c:v>
                </c:pt>
                <c:pt idx="5189">
                  <c:v>2006</c:v>
                </c:pt>
                <c:pt idx="5190">
                  <c:v>2006</c:v>
                </c:pt>
                <c:pt idx="5191">
                  <c:v>2006</c:v>
                </c:pt>
                <c:pt idx="5192">
                  <c:v>2006</c:v>
                </c:pt>
                <c:pt idx="5193">
                  <c:v>2006</c:v>
                </c:pt>
                <c:pt idx="5194">
                  <c:v>2006</c:v>
                </c:pt>
                <c:pt idx="5195">
                  <c:v>2006</c:v>
                </c:pt>
                <c:pt idx="5196">
                  <c:v>2006</c:v>
                </c:pt>
                <c:pt idx="5197">
                  <c:v>2006</c:v>
                </c:pt>
                <c:pt idx="5198">
                  <c:v>2006</c:v>
                </c:pt>
                <c:pt idx="5199">
                  <c:v>2006</c:v>
                </c:pt>
                <c:pt idx="5200">
                  <c:v>2006</c:v>
                </c:pt>
                <c:pt idx="5201">
                  <c:v>2006</c:v>
                </c:pt>
                <c:pt idx="5202">
                  <c:v>2006</c:v>
                </c:pt>
                <c:pt idx="5203">
                  <c:v>2006</c:v>
                </c:pt>
                <c:pt idx="5204">
                  <c:v>2006</c:v>
                </c:pt>
                <c:pt idx="5205">
                  <c:v>2006</c:v>
                </c:pt>
                <c:pt idx="5206">
                  <c:v>2006</c:v>
                </c:pt>
                <c:pt idx="5207">
                  <c:v>2006</c:v>
                </c:pt>
                <c:pt idx="5208">
                  <c:v>2006</c:v>
                </c:pt>
                <c:pt idx="5209">
                  <c:v>2006</c:v>
                </c:pt>
                <c:pt idx="5210">
                  <c:v>2006</c:v>
                </c:pt>
                <c:pt idx="5211">
                  <c:v>2006</c:v>
                </c:pt>
                <c:pt idx="5212">
                  <c:v>2006</c:v>
                </c:pt>
                <c:pt idx="5213">
                  <c:v>2006</c:v>
                </c:pt>
                <c:pt idx="5214">
                  <c:v>2006</c:v>
                </c:pt>
                <c:pt idx="5215">
                  <c:v>2006</c:v>
                </c:pt>
                <c:pt idx="5216">
                  <c:v>2006</c:v>
                </c:pt>
                <c:pt idx="5217">
                  <c:v>2006</c:v>
                </c:pt>
                <c:pt idx="5218">
                  <c:v>2006</c:v>
                </c:pt>
                <c:pt idx="5219">
                  <c:v>2006</c:v>
                </c:pt>
                <c:pt idx="5220">
                  <c:v>2006</c:v>
                </c:pt>
                <c:pt idx="5221">
                  <c:v>2006</c:v>
                </c:pt>
                <c:pt idx="5222">
                  <c:v>2006</c:v>
                </c:pt>
                <c:pt idx="5223">
                  <c:v>2006</c:v>
                </c:pt>
                <c:pt idx="5224">
                  <c:v>2006</c:v>
                </c:pt>
                <c:pt idx="5225">
                  <c:v>2006</c:v>
                </c:pt>
                <c:pt idx="5226">
                  <c:v>2006</c:v>
                </c:pt>
                <c:pt idx="5227">
                  <c:v>2006</c:v>
                </c:pt>
                <c:pt idx="5228">
                  <c:v>2006</c:v>
                </c:pt>
                <c:pt idx="5229">
                  <c:v>2006</c:v>
                </c:pt>
                <c:pt idx="5230">
                  <c:v>2006</c:v>
                </c:pt>
                <c:pt idx="5231">
                  <c:v>2006</c:v>
                </c:pt>
                <c:pt idx="5232">
                  <c:v>2006</c:v>
                </c:pt>
                <c:pt idx="5233">
                  <c:v>2006</c:v>
                </c:pt>
                <c:pt idx="5234">
                  <c:v>2006</c:v>
                </c:pt>
                <c:pt idx="5235">
                  <c:v>2006</c:v>
                </c:pt>
                <c:pt idx="5236">
                  <c:v>2006</c:v>
                </c:pt>
                <c:pt idx="5237">
                  <c:v>2006</c:v>
                </c:pt>
                <c:pt idx="5238">
                  <c:v>2006</c:v>
                </c:pt>
                <c:pt idx="5239">
                  <c:v>2006</c:v>
                </c:pt>
                <c:pt idx="5240">
                  <c:v>2006</c:v>
                </c:pt>
                <c:pt idx="5241">
                  <c:v>2006</c:v>
                </c:pt>
                <c:pt idx="5242">
                  <c:v>2006</c:v>
                </c:pt>
                <c:pt idx="5243">
                  <c:v>2006</c:v>
                </c:pt>
                <c:pt idx="5244">
                  <c:v>2006</c:v>
                </c:pt>
                <c:pt idx="5245">
                  <c:v>2006</c:v>
                </c:pt>
                <c:pt idx="5246">
                  <c:v>2006</c:v>
                </c:pt>
                <c:pt idx="5247">
                  <c:v>2006</c:v>
                </c:pt>
                <c:pt idx="5248">
                  <c:v>2006</c:v>
                </c:pt>
                <c:pt idx="5249">
                  <c:v>2006</c:v>
                </c:pt>
                <c:pt idx="5250">
                  <c:v>2006</c:v>
                </c:pt>
                <c:pt idx="5251">
                  <c:v>2006</c:v>
                </c:pt>
                <c:pt idx="5252">
                  <c:v>2006</c:v>
                </c:pt>
                <c:pt idx="5253">
                  <c:v>2006</c:v>
                </c:pt>
                <c:pt idx="5254">
                  <c:v>2006</c:v>
                </c:pt>
                <c:pt idx="5255">
                  <c:v>2006</c:v>
                </c:pt>
                <c:pt idx="5256">
                  <c:v>2006</c:v>
                </c:pt>
                <c:pt idx="5257">
                  <c:v>2006</c:v>
                </c:pt>
                <c:pt idx="5258">
                  <c:v>2006</c:v>
                </c:pt>
                <c:pt idx="5259">
                  <c:v>2006</c:v>
                </c:pt>
                <c:pt idx="5260">
                  <c:v>2006</c:v>
                </c:pt>
                <c:pt idx="5261">
                  <c:v>2006</c:v>
                </c:pt>
                <c:pt idx="5262">
                  <c:v>2006</c:v>
                </c:pt>
                <c:pt idx="5263">
                  <c:v>2006</c:v>
                </c:pt>
                <c:pt idx="5264">
                  <c:v>2006</c:v>
                </c:pt>
                <c:pt idx="5265">
                  <c:v>2006</c:v>
                </c:pt>
                <c:pt idx="5266">
                  <c:v>2006</c:v>
                </c:pt>
                <c:pt idx="5267">
                  <c:v>2006</c:v>
                </c:pt>
                <c:pt idx="5268">
                  <c:v>2006</c:v>
                </c:pt>
                <c:pt idx="5269">
                  <c:v>2006</c:v>
                </c:pt>
                <c:pt idx="5270">
                  <c:v>2006</c:v>
                </c:pt>
                <c:pt idx="5271">
                  <c:v>2006</c:v>
                </c:pt>
                <c:pt idx="5272">
                  <c:v>2006</c:v>
                </c:pt>
                <c:pt idx="5273">
                  <c:v>2006</c:v>
                </c:pt>
                <c:pt idx="5274">
                  <c:v>2006</c:v>
                </c:pt>
                <c:pt idx="5275">
                  <c:v>2006</c:v>
                </c:pt>
                <c:pt idx="5276">
                  <c:v>2006</c:v>
                </c:pt>
                <c:pt idx="5277">
                  <c:v>2006</c:v>
                </c:pt>
                <c:pt idx="5278">
                  <c:v>2006</c:v>
                </c:pt>
                <c:pt idx="5279">
                  <c:v>2006</c:v>
                </c:pt>
                <c:pt idx="5280">
                  <c:v>2006</c:v>
                </c:pt>
                <c:pt idx="5281">
                  <c:v>2006</c:v>
                </c:pt>
                <c:pt idx="5282">
                  <c:v>2006</c:v>
                </c:pt>
                <c:pt idx="5283">
                  <c:v>2006</c:v>
                </c:pt>
                <c:pt idx="5284">
                  <c:v>2006</c:v>
                </c:pt>
                <c:pt idx="5285">
                  <c:v>2006</c:v>
                </c:pt>
                <c:pt idx="5286">
                  <c:v>2006</c:v>
                </c:pt>
                <c:pt idx="5287">
                  <c:v>2006</c:v>
                </c:pt>
                <c:pt idx="5288">
                  <c:v>2006</c:v>
                </c:pt>
                <c:pt idx="5289">
                  <c:v>2006</c:v>
                </c:pt>
                <c:pt idx="5290">
                  <c:v>2006</c:v>
                </c:pt>
                <c:pt idx="5291">
                  <c:v>2006</c:v>
                </c:pt>
                <c:pt idx="5292">
                  <c:v>2006</c:v>
                </c:pt>
                <c:pt idx="5293">
                  <c:v>2006</c:v>
                </c:pt>
                <c:pt idx="5294">
                  <c:v>2006</c:v>
                </c:pt>
                <c:pt idx="5295">
                  <c:v>2006</c:v>
                </c:pt>
                <c:pt idx="5296">
                  <c:v>2006</c:v>
                </c:pt>
                <c:pt idx="5297">
                  <c:v>2006</c:v>
                </c:pt>
                <c:pt idx="5298">
                  <c:v>2006</c:v>
                </c:pt>
                <c:pt idx="5299">
                  <c:v>2006</c:v>
                </c:pt>
                <c:pt idx="5300">
                  <c:v>2006</c:v>
                </c:pt>
                <c:pt idx="5301">
                  <c:v>2006</c:v>
                </c:pt>
                <c:pt idx="5302">
                  <c:v>2006</c:v>
                </c:pt>
                <c:pt idx="5303">
                  <c:v>2006</c:v>
                </c:pt>
                <c:pt idx="5304">
                  <c:v>2006</c:v>
                </c:pt>
                <c:pt idx="5305">
                  <c:v>2006</c:v>
                </c:pt>
                <c:pt idx="5306">
                  <c:v>2006</c:v>
                </c:pt>
                <c:pt idx="5307">
                  <c:v>2006</c:v>
                </c:pt>
                <c:pt idx="5308">
                  <c:v>2006</c:v>
                </c:pt>
                <c:pt idx="5309">
                  <c:v>2006</c:v>
                </c:pt>
                <c:pt idx="5310">
                  <c:v>2006</c:v>
                </c:pt>
                <c:pt idx="5311">
                  <c:v>2006</c:v>
                </c:pt>
                <c:pt idx="5312">
                  <c:v>2006</c:v>
                </c:pt>
                <c:pt idx="5313">
                  <c:v>2006</c:v>
                </c:pt>
                <c:pt idx="5314">
                  <c:v>2006</c:v>
                </c:pt>
                <c:pt idx="5315">
                  <c:v>2006</c:v>
                </c:pt>
                <c:pt idx="5316">
                  <c:v>2006</c:v>
                </c:pt>
                <c:pt idx="5317">
                  <c:v>2006</c:v>
                </c:pt>
                <c:pt idx="5318">
                  <c:v>2006</c:v>
                </c:pt>
                <c:pt idx="5319">
                  <c:v>2006</c:v>
                </c:pt>
                <c:pt idx="5320">
                  <c:v>2006</c:v>
                </c:pt>
                <c:pt idx="5321">
                  <c:v>2006</c:v>
                </c:pt>
                <c:pt idx="5322">
                  <c:v>2006</c:v>
                </c:pt>
                <c:pt idx="5323">
                  <c:v>2006</c:v>
                </c:pt>
                <c:pt idx="5324">
                  <c:v>2006</c:v>
                </c:pt>
                <c:pt idx="5325">
                  <c:v>2006</c:v>
                </c:pt>
                <c:pt idx="5326">
                  <c:v>2006</c:v>
                </c:pt>
                <c:pt idx="5327">
                  <c:v>2006</c:v>
                </c:pt>
                <c:pt idx="5328">
                  <c:v>2006</c:v>
                </c:pt>
                <c:pt idx="5329">
                  <c:v>2006</c:v>
                </c:pt>
                <c:pt idx="5330">
                  <c:v>2006</c:v>
                </c:pt>
                <c:pt idx="5331">
                  <c:v>2006</c:v>
                </c:pt>
                <c:pt idx="5332">
                  <c:v>2006</c:v>
                </c:pt>
                <c:pt idx="5333">
                  <c:v>2006</c:v>
                </c:pt>
                <c:pt idx="5334">
                  <c:v>2006</c:v>
                </c:pt>
                <c:pt idx="5335">
                  <c:v>2006</c:v>
                </c:pt>
                <c:pt idx="5336">
                  <c:v>2006</c:v>
                </c:pt>
                <c:pt idx="5337">
                  <c:v>2006</c:v>
                </c:pt>
                <c:pt idx="5338">
                  <c:v>2006</c:v>
                </c:pt>
                <c:pt idx="5339">
                  <c:v>2006</c:v>
                </c:pt>
                <c:pt idx="5340">
                  <c:v>2006</c:v>
                </c:pt>
                <c:pt idx="5341">
                  <c:v>2006</c:v>
                </c:pt>
                <c:pt idx="5342">
                  <c:v>2006</c:v>
                </c:pt>
                <c:pt idx="5343">
                  <c:v>2006</c:v>
                </c:pt>
                <c:pt idx="5344">
                  <c:v>2006</c:v>
                </c:pt>
                <c:pt idx="5345">
                  <c:v>2006</c:v>
                </c:pt>
                <c:pt idx="5346">
                  <c:v>2006</c:v>
                </c:pt>
                <c:pt idx="5347">
                  <c:v>2006</c:v>
                </c:pt>
                <c:pt idx="5348">
                  <c:v>2006</c:v>
                </c:pt>
                <c:pt idx="5349">
                  <c:v>2006</c:v>
                </c:pt>
                <c:pt idx="5350">
                  <c:v>2006</c:v>
                </c:pt>
                <c:pt idx="5351">
                  <c:v>2006</c:v>
                </c:pt>
                <c:pt idx="5352">
                  <c:v>2006</c:v>
                </c:pt>
                <c:pt idx="5353">
                  <c:v>2006</c:v>
                </c:pt>
                <c:pt idx="5354">
                  <c:v>2006</c:v>
                </c:pt>
                <c:pt idx="5355">
                  <c:v>2006</c:v>
                </c:pt>
                <c:pt idx="5356">
                  <c:v>2006</c:v>
                </c:pt>
                <c:pt idx="5357">
                  <c:v>2006</c:v>
                </c:pt>
                <c:pt idx="5358">
                  <c:v>2006</c:v>
                </c:pt>
                <c:pt idx="5359">
                  <c:v>2006</c:v>
                </c:pt>
                <c:pt idx="5360">
                  <c:v>2006</c:v>
                </c:pt>
                <c:pt idx="5361">
                  <c:v>2006</c:v>
                </c:pt>
                <c:pt idx="5362">
                  <c:v>2006</c:v>
                </c:pt>
                <c:pt idx="5363">
                  <c:v>2006</c:v>
                </c:pt>
                <c:pt idx="5364">
                  <c:v>2006</c:v>
                </c:pt>
                <c:pt idx="5365">
                  <c:v>2006</c:v>
                </c:pt>
                <c:pt idx="5366">
                  <c:v>2006</c:v>
                </c:pt>
                <c:pt idx="5367">
                  <c:v>2006</c:v>
                </c:pt>
                <c:pt idx="5368">
                  <c:v>2006</c:v>
                </c:pt>
                <c:pt idx="5369">
                  <c:v>2006</c:v>
                </c:pt>
                <c:pt idx="5370">
                  <c:v>2006</c:v>
                </c:pt>
                <c:pt idx="5371">
                  <c:v>2006</c:v>
                </c:pt>
                <c:pt idx="5372">
                  <c:v>2006</c:v>
                </c:pt>
                <c:pt idx="5373">
                  <c:v>2006</c:v>
                </c:pt>
                <c:pt idx="5374">
                  <c:v>2006</c:v>
                </c:pt>
                <c:pt idx="5375">
                  <c:v>2006</c:v>
                </c:pt>
                <c:pt idx="5376">
                  <c:v>2006</c:v>
                </c:pt>
                <c:pt idx="5377">
                  <c:v>2006</c:v>
                </c:pt>
                <c:pt idx="5378">
                  <c:v>2006</c:v>
                </c:pt>
                <c:pt idx="5379">
                  <c:v>2006</c:v>
                </c:pt>
                <c:pt idx="5380">
                  <c:v>2006</c:v>
                </c:pt>
                <c:pt idx="5381">
                  <c:v>2006</c:v>
                </c:pt>
                <c:pt idx="5382">
                  <c:v>2006</c:v>
                </c:pt>
                <c:pt idx="5383">
                  <c:v>2006</c:v>
                </c:pt>
                <c:pt idx="5384">
                  <c:v>2006</c:v>
                </c:pt>
                <c:pt idx="5385">
                  <c:v>2006</c:v>
                </c:pt>
                <c:pt idx="5386">
                  <c:v>2006</c:v>
                </c:pt>
                <c:pt idx="5387">
                  <c:v>2006</c:v>
                </c:pt>
                <c:pt idx="5388">
                  <c:v>2006</c:v>
                </c:pt>
                <c:pt idx="5389">
                  <c:v>2006</c:v>
                </c:pt>
                <c:pt idx="5390">
                  <c:v>2006</c:v>
                </c:pt>
                <c:pt idx="5391">
                  <c:v>2006</c:v>
                </c:pt>
                <c:pt idx="5392">
                  <c:v>2006</c:v>
                </c:pt>
                <c:pt idx="5393">
                  <c:v>2006</c:v>
                </c:pt>
                <c:pt idx="5394">
                  <c:v>2006</c:v>
                </c:pt>
                <c:pt idx="5395">
                  <c:v>2006</c:v>
                </c:pt>
                <c:pt idx="5396">
                  <c:v>2006</c:v>
                </c:pt>
                <c:pt idx="5397">
                  <c:v>2006</c:v>
                </c:pt>
                <c:pt idx="5398">
                  <c:v>2006</c:v>
                </c:pt>
                <c:pt idx="5399">
                  <c:v>2006</c:v>
                </c:pt>
                <c:pt idx="5400">
                  <c:v>2006</c:v>
                </c:pt>
                <c:pt idx="5401">
                  <c:v>2006</c:v>
                </c:pt>
                <c:pt idx="5402">
                  <c:v>2006</c:v>
                </c:pt>
                <c:pt idx="5403">
                  <c:v>2006</c:v>
                </c:pt>
                <c:pt idx="5404">
                  <c:v>2006</c:v>
                </c:pt>
                <c:pt idx="5405">
                  <c:v>2006</c:v>
                </c:pt>
                <c:pt idx="5406">
                  <c:v>2006</c:v>
                </c:pt>
                <c:pt idx="5407">
                  <c:v>2006</c:v>
                </c:pt>
                <c:pt idx="5408">
                  <c:v>2006</c:v>
                </c:pt>
                <c:pt idx="5409">
                  <c:v>2006</c:v>
                </c:pt>
                <c:pt idx="5410">
                  <c:v>2006</c:v>
                </c:pt>
                <c:pt idx="5411">
                  <c:v>2006</c:v>
                </c:pt>
                <c:pt idx="5412">
                  <c:v>2006</c:v>
                </c:pt>
                <c:pt idx="5413">
                  <c:v>2006</c:v>
                </c:pt>
                <c:pt idx="5414">
                  <c:v>2006</c:v>
                </c:pt>
                <c:pt idx="5415">
                  <c:v>2006</c:v>
                </c:pt>
                <c:pt idx="5416">
                  <c:v>2006</c:v>
                </c:pt>
                <c:pt idx="5417">
                  <c:v>2006</c:v>
                </c:pt>
                <c:pt idx="5418">
                  <c:v>2006</c:v>
                </c:pt>
                <c:pt idx="5419">
                  <c:v>2006</c:v>
                </c:pt>
                <c:pt idx="5420">
                  <c:v>2006</c:v>
                </c:pt>
                <c:pt idx="5421">
                  <c:v>2006</c:v>
                </c:pt>
                <c:pt idx="5422">
                  <c:v>2006</c:v>
                </c:pt>
                <c:pt idx="5423">
                  <c:v>2006</c:v>
                </c:pt>
                <c:pt idx="5424">
                  <c:v>2006</c:v>
                </c:pt>
                <c:pt idx="5425">
                  <c:v>2006</c:v>
                </c:pt>
                <c:pt idx="5426">
                  <c:v>2006</c:v>
                </c:pt>
                <c:pt idx="5427">
                  <c:v>2006</c:v>
                </c:pt>
                <c:pt idx="5428">
                  <c:v>2006</c:v>
                </c:pt>
                <c:pt idx="5429">
                  <c:v>2006</c:v>
                </c:pt>
                <c:pt idx="5430">
                  <c:v>2006</c:v>
                </c:pt>
                <c:pt idx="5431">
                  <c:v>2006</c:v>
                </c:pt>
                <c:pt idx="5432">
                  <c:v>2006</c:v>
                </c:pt>
                <c:pt idx="5433">
                  <c:v>2006</c:v>
                </c:pt>
                <c:pt idx="5434">
                  <c:v>2006</c:v>
                </c:pt>
                <c:pt idx="5435">
                  <c:v>2006</c:v>
                </c:pt>
                <c:pt idx="5436">
                  <c:v>2006</c:v>
                </c:pt>
                <c:pt idx="5437">
                  <c:v>2006</c:v>
                </c:pt>
                <c:pt idx="5438">
                  <c:v>2006</c:v>
                </c:pt>
                <c:pt idx="5439">
                  <c:v>2006</c:v>
                </c:pt>
                <c:pt idx="5440">
                  <c:v>2006</c:v>
                </c:pt>
                <c:pt idx="5441">
                  <c:v>2006</c:v>
                </c:pt>
                <c:pt idx="5442">
                  <c:v>2006</c:v>
                </c:pt>
                <c:pt idx="5443">
                  <c:v>2006</c:v>
                </c:pt>
                <c:pt idx="5444">
                  <c:v>2006</c:v>
                </c:pt>
                <c:pt idx="5445">
                  <c:v>2006</c:v>
                </c:pt>
                <c:pt idx="5446">
                  <c:v>2006</c:v>
                </c:pt>
                <c:pt idx="5447">
                  <c:v>2006</c:v>
                </c:pt>
                <c:pt idx="5448">
                  <c:v>2006</c:v>
                </c:pt>
                <c:pt idx="5449">
                  <c:v>2006</c:v>
                </c:pt>
                <c:pt idx="5450">
                  <c:v>2006</c:v>
                </c:pt>
                <c:pt idx="5451">
                  <c:v>2006</c:v>
                </c:pt>
                <c:pt idx="5452">
                  <c:v>2006</c:v>
                </c:pt>
                <c:pt idx="5453">
                  <c:v>2006</c:v>
                </c:pt>
                <c:pt idx="5454">
                  <c:v>2006</c:v>
                </c:pt>
                <c:pt idx="5455">
                  <c:v>2006</c:v>
                </c:pt>
                <c:pt idx="5456">
                  <c:v>2006</c:v>
                </c:pt>
                <c:pt idx="5457">
                  <c:v>2006</c:v>
                </c:pt>
                <c:pt idx="5458">
                  <c:v>2006</c:v>
                </c:pt>
                <c:pt idx="5459">
                  <c:v>2006</c:v>
                </c:pt>
                <c:pt idx="5460">
                  <c:v>2006</c:v>
                </c:pt>
                <c:pt idx="5461">
                  <c:v>2006</c:v>
                </c:pt>
                <c:pt idx="5462">
                  <c:v>2006</c:v>
                </c:pt>
                <c:pt idx="5463">
                  <c:v>2006</c:v>
                </c:pt>
                <c:pt idx="5464">
                  <c:v>2006</c:v>
                </c:pt>
                <c:pt idx="5465">
                  <c:v>2006</c:v>
                </c:pt>
                <c:pt idx="5466">
                  <c:v>2006</c:v>
                </c:pt>
                <c:pt idx="5467">
                  <c:v>2006</c:v>
                </c:pt>
                <c:pt idx="5468">
                  <c:v>2006</c:v>
                </c:pt>
                <c:pt idx="5469">
                  <c:v>2006</c:v>
                </c:pt>
                <c:pt idx="5470">
                  <c:v>2006</c:v>
                </c:pt>
                <c:pt idx="5471">
                  <c:v>2006</c:v>
                </c:pt>
                <c:pt idx="5472">
                  <c:v>2006</c:v>
                </c:pt>
                <c:pt idx="5473">
                  <c:v>2006</c:v>
                </c:pt>
                <c:pt idx="5474">
                  <c:v>2006</c:v>
                </c:pt>
                <c:pt idx="5475">
                  <c:v>2006</c:v>
                </c:pt>
                <c:pt idx="5476">
                  <c:v>2006</c:v>
                </c:pt>
                <c:pt idx="5477">
                  <c:v>2006</c:v>
                </c:pt>
                <c:pt idx="5478">
                  <c:v>2006</c:v>
                </c:pt>
                <c:pt idx="5479">
                  <c:v>2006</c:v>
                </c:pt>
                <c:pt idx="5480">
                  <c:v>2006</c:v>
                </c:pt>
                <c:pt idx="5481">
                  <c:v>2006</c:v>
                </c:pt>
                <c:pt idx="5482">
                  <c:v>2006</c:v>
                </c:pt>
                <c:pt idx="5483">
                  <c:v>2006</c:v>
                </c:pt>
                <c:pt idx="5484">
                  <c:v>2006</c:v>
                </c:pt>
                <c:pt idx="5485">
                  <c:v>2006</c:v>
                </c:pt>
                <c:pt idx="5486">
                  <c:v>2006</c:v>
                </c:pt>
                <c:pt idx="5487">
                  <c:v>2006</c:v>
                </c:pt>
                <c:pt idx="5488">
                  <c:v>2006</c:v>
                </c:pt>
                <c:pt idx="5489">
                  <c:v>2006</c:v>
                </c:pt>
                <c:pt idx="5490">
                  <c:v>2006</c:v>
                </c:pt>
                <c:pt idx="5491">
                  <c:v>2006</c:v>
                </c:pt>
                <c:pt idx="5492">
                  <c:v>2006</c:v>
                </c:pt>
                <c:pt idx="5493">
                  <c:v>2006</c:v>
                </c:pt>
                <c:pt idx="5494">
                  <c:v>2006</c:v>
                </c:pt>
                <c:pt idx="5495">
                  <c:v>2006</c:v>
                </c:pt>
                <c:pt idx="5496">
                  <c:v>2006</c:v>
                </c:pt>
                <c:pt idx="5497">
                  <c:v>2006</c:v>
                </c:pt>
                <c:pt idx="5498">
                  <c:v>2006</c:v>
                </c:pt>
                <c:pt idx="5499">
                  <c:v>2006</c:v>
                </c:pt>
                <c:pt idx="5500">
                  <c:v>2006</c:v>
                </c:pt>
                <c:pt idx="5501">
                  <c:v>2006</c:v>
                </c:pt>
                <c:pt idx="5502">
                  <c:v>2006</c:v>
                </c:pt>
                <c:pt idx="5503">
                  <c:v>2006</c:v>
                </c:pt>
                <c:pt idx="5504">
                  <c:v>2006</c:v>
                </c:pt>
                <c:pt idx="5505">
                  <c:v>2006</c:v>
                </c:pt>
                <c:pt idx="5506">
                  <c:v>2006</c:v>
                </c:pt>
                <c:pt idx="5507">
                  <c:v>2006</c:v>
                </c:pt>
                <c:pt idx="5508">
                  <c:v>2006</c:v>
                </c:pt>
                <c:pt idx="5509">
                  <c:v>2006</c:v>
                </c:pt>
                <c:pt idx="5510">
                  <c:v>2006</c:v>
                </c:pt>
                <c:pt idx="5511">
                  <c:v>2006</c:v>
                </c:pt>
                <c:pt idx="5512">
                  <c:v>2006</c:v>
                </c:pt>
                <c:pt idx="5513">
                  <c:v>2006</c:v>
                </c:pt>
                <c:pt idx="5514">
                  <c:v>2007</c:v>
                </c:pt>
                <c:pt idx="5515">
                  <c:v>2007</c:v>
                </c:pt>
                <c:pt idx="5516">
                  <c:v>2007</c:v>
                </c:pt>
                <c:pt idx="5517">
                  <c:v>2007</c:v>
                </c:pt>
                <c:pt idx="5518">
                  <c:v>2007</c:v>
                </c:pt>
                <c:pt idx="5519">
                  <c:v>2007</c:v>
                </c:pt>
                <c:pt idx="5520">
                  <c:v>2007</c:v>
                </c:pt>
                <c:pt idx="5521">
                  <c:v>2007</c:v>
                </c:pt>
                <c:pt idx="5522">
                  <c:v>2007</c:v>
                </c:pt>
                <c:pt idx="5523">
                  <c:v>2007</c:v>
                </c:pt>
                <c:pt idx="5524">
                  <c:v>2007</c:v>
                </c:pt>
                <c:pt idx="5525">
                  <c:v>2007</c:v>
                </c:pt>
                <c:pt idx="5526">
                  <c:v>2007</c:v>
                </c:pt>
                <c:pt idx="5527">
                  <c:v>2007</c:v>
                </c:pt>
                <c:pt idx="5528">
                  <c:v>2007</c:v>
                </c:pt>
                <c:pt idx="5529">
                  <c:v>2007</c:v>
                </c:pt>
                <c:pt idx="5530">
                  <c:v>2007</c:v>
                </c:pt>
                <c:pt idx="5531">
                  <c:v>2007</c:v>
                </c:pt>
                <c:pt idx="5532">
                  <c:v>2007</c:v>
                </c:pt>
                <c:pt idx="5533">
                  <c:v>2007</c:v>
                </c:pt>
                <c:pt idx="5534">
                  <c:v>2007</c:v>
                </c:pt>
                <c:pt idx="5535">
                  <c:v>2007</c:v>
                </c:pt>
                <c:pt idx="5536">
                  <c:v>2007</c:v>
                </c:pt>
                <c:pt idx="5537">
                  <c:v>2007</c:v>
                </c:pt>
                <c:pt idx="5538">
                  <c:v>2007</c:v>
                </c:pt>
                <c:pt idx="5539">
                  <c:v>2007</c:v>
                </c:pt>
                <c:pt idx="5540">
                  <c:v>2007</c:v>
                </c:pt>
                <c:pt idx="5541">
                  <c:v>2007</c:v>
                </c:pt>
                <c:pt idx="5542">
                  <c:v>2007</c:v>
                </c:pt>
                <c:pt idx="5543">
                  <c:v>2007</c:v>
                </c:pt>
                <c:pt idx="5544">
                  <c:v>2007</c:v>
                </c:pt>
                <c:pt idx="5545">
                  <c:v>2007</c:v>
                </c:pt>
                <c:pt idx="5546">
                  <c:v>2007</c:v>
                </c:pt>
                <c:pt idx="5547">
                  <c:v>2007</c:v>
                </c:pt>
                <c:pt idx="5548">
                  <c:v>2007</c:v>
                </c:pt>
                <c:pt idx="5549">
                  <c:v>2007</c:v>
                </c:pt>
                <c:pt idx="5550">
                  <c:v>2007</c:v>
                </c:pt>
                <c:pt idx="5551">
                  <c:v>2007</c:v>
                </c:pt>
                <c:pt idx="5552">
                  <c:v>2007</c:v>
                </c:pt>
                <c:pt idx="5553">
                  <c:v>2007</c:v>
                </c:pt>
                <c:pt idx="5554">
                  <c:v>2007</c:v>
                </c:pt>
                <c:pt idx="5555">
                  <c:v>2007</c:v>
                </c:pt>
                <c:pt idx="5556">
                  <c:v>2007</c:v>
                </c:pt>
                <c:pt idx="5557">
                  <c:v>2007</c:v>
                </c:pt>
                <c:pt idx="5558">
                  <c:v>2007</c:v>
                </c:pt>
                <c:pt idx="5559">
                  <c:v>2007</c:v>
                </c:pt>
                <c:pt idx="5560">
                  <c:v>2007</c:v>
                </c:pt>
                <c:pt idx="5561">
                  <c:v>2007</c:v>
                </c:pt>
                <c:pt idx="5562">
                  <c:v>2007</c:v>
                </c:pt>
                <c:pt idx="5563">
                  <c:v>2007</c:v>
                </c:pt>
                <c:pt idx="5564">
                  <c:v>2007</c:v>
                </c:pt>
                <c:pt idx="5565">
                  <c:v>2007</c:v>
                </c:pt>
                <c:pt idx="5566">
                  <c:v>2007</c:v>
                </c:pt>
                <c:pt idx="5567">
                  <c:v>2007</c:v>
                </c:pt>
                <c:pt idx="5568">
                  <c:v>2007</c:v>
                </c:pt>
                <c:pt idx="5569">
                  <c:v>2007</c:v>
                </c:pt>
                <c:pt idx="5570">
                  <c:v>2007</c:v>
                </c:pt>
                <c:pt idx="5571">
                  <c:v>2007</c:v>
                </c:pt>
                <c:pt idx="5572">
                  <c:v>2007</c:v>
                </c:pt>
                <c:pt idx="5573">
                  <c:v>2007</c:v>
                </c:pt>
                <c:pt idx="5574">
                  <c:v>2007</c:v>
                </c:pt>
                <c:pt idx="5575">
                  <c:v>2007</c:v>
                </c:pt>
                <c:pt idx="5576">
                  <c:v>2007</c:v>
                </c:pt>
                <c:pt idx="5577">
                  <c:v>2007</c:v>
                </c:pt>
                <c:pt idx="5578">
                  <c:v>2007</c:v>
                </c:pt>
                <c:pt idx="5579">
                  <c:v>2007</c:v>
                </c:pt>
                <c:pt idx="5580">
                  <c:v>2007</c:v>
                </c:pt>
                <c:pt idx="5581">
                  <c:v>2007</c:v>
                </c:pt>
                <c:pt idx="5582">
                  <c:v>2007</c:v>
                </c:pt>
                <c:pt idx="5583">
                  <c:v>2007</c:v>
                </c:pt>
                <c:pt idx="5584">
                  <c:v>2007</c:v>
                </c:pt>
                <c:pt idx="5585">
                  <c:v>2007</c:v>
                </c:pt>
                <c:pt idx="5586">
                  <c:v>2007</c:v>
                </c:pt>
                <c:pt idx="5587">
                  <c:v>2007</c:v>
                </c:pt>
                <c:pt idx="5588">
                  <c:v>2007</c:v>
                </c:pt>
                <c:pt idx="5589">
                  <c:v>2007</c:v>
                </c:pt>
                <c:pt idx="5590">
                  <c:v>2007</c:v>
                </c:pt>
                <c:pt idx="5591">
                  <c:v>2007</c:v>
                </c:pt>
                <c:pt idx="5592">
                  <c:v>2007</c:v>
                </c:pt>
                <c:pt idx="5593">
                  <c:v>2007</c:v>
                </c:pt>
                <c:pt idx="5594">
                  <c:v>2007</c:v>
                </c:pt>
                <c:pt idx="5595">
                  <c:v>2007</c:v>
                </c:pt>
                <c:pt idx="5596">
                  <c:v>2007</c:v>
                </c:pt>
                <c:pt idx="5597">
                  <c:v>2007</c:v>
                </c:pt>
                <c:pt idx="5598">
                  <c:v>2007</c:v>
                </c:pt>
                <c:pt idx="5599">
                  <c:v>2007</c:v>
                </c:pt>
                <c:pt idx="5600">
                  <c:v>2007</c:v>
                </c:pt>
                <c:pt idx="5601">
                  <c:v>2007</c:v>
                </c:pt>
                <c:pt idx="5602">
                  <c:v>2007</c:v>
                </c:pt>
                <c:pt idx="5603">
                  <c:v>2007</c:v>
                </c:pt>
                <c:pt idx="5604">
                  <c:v>2007</c:v>
                </c:pt>
                <c:pt idx="5605">
                  <c:v>2007</c:v>
                </c:pt>
                <c:pt idx="5606">
                  <c:v>2007</c:v>
                </c:pt>
                <c:pt idx="5607">
                  <c:v>2007</c:v>
                </c:pt>
                <c:pt idx="5608">
                  <c:v>2007</c:v>
                </c:pt>
                <c:pt idx="5609">
                  <c:v>2007</c:v>
                </c:pt>
                <c:pt idx="5610">
                  <c:v>2007</c:v>
                </c:pt>
                <c:pt idx="5611">
                  <c:v>2007</c:v>
                </c:pt>
                <c:pt idx="5612">
                  <c:v>2007</c:v>
                </c:pt>
                <c:pt idx="5613">
                  <c:v>2007</c:v>
                </c:pt>
                <c:pt idx="5614">
                  <c:v>2007</c:v>
                </c:pt>
                <c:pt idx="5615">
                  <c:v>2007</c:v>
                </c:pt>
                <c:pt idx="5616">
                  <c:v>2007</c:v>
                </c:pt>
                <c:pt idx="5617">
                  <c:v>2007</c:v>
                </c:pt>
                <c:pt idx="5618">
                  <c:v>2007</c:v>
                </c:pt>
                <c:pt idx="5619">
                  <c:v>2007</c:v>
                </c:pt>
                <c:pt idx="5620">
                  <c:v>2007</c:v>
                </c:pt>
                <c:pt idx="5621">
                  <c:v>2007</c:v>
                </c:pt>
                <c:pt idx="5622">
                  <c:v>2007</c:v>
                </c:pt>
                <c:pt idx="5623">
                  <c:v>2007</c:v>
                </c:pt>
                <c:pt idx="5624">
                  <c:v>2007</c:v>
                </c:pt>
                <c:pt idx="5625">
                  <c:v>2007</c:v>
                </c:pt>
                <c:pt idx="5626">
                  <c:v>2007</c:v>
                </c:pt>
                <c:pt idx="5627">
                  <c:v>2007</c:v>
                </c:pt>
                <c:pt idx="5628">
                  <c:v>2007</c:v>
                </c:pt>
                <c:pt idx="5629">
                  <c:v>2007</c:v>
                </c:pt>
                <c:pt idx="5630">
                  <c:v>2007</c:v>
                </c:pt>
                <c:pt idx="5631">
                  <c:v>2007</c:v>
                </c:pt>
                <c:pt idx="5632">
                  <c:v>2007</c:v>
                </c:pt>
                <c:pt idx="5633">
                  <c:v>2007</c:v>
                </c:pt>
                <c:pt idx="5634">
                  <c:v>2007</c:v>
                </c:pt>
                <c:pt idx="5635">
                  <c:v>2007</c:v>
                </c:pt>
                <c:pt idx="5636">
                  <c:v>2007</c:v>
                </c:pt>
                <c:pt idx="5637">
                  <c:v>2007</c:v>
                </c:pt>
                <c:pt idx="5638">
                  <c:v>2007</c:v>
                </c:pt>
                <c:pt idx="5639">
                  <c:v>2007</c:v>
                </c:pt>
                <c:pt idx="5640">
                  <c:v>2007</c:v>
                </c:pt>
                <c:pt idx="5641">
                  <c:v>2007</c:v>
                </c:pt>
                <c:pt idx="5642">
                  <c:v>2007</c:v>
                </c:pt>
                <c:pt idx="5643">
                  <c:v>2007</c:v>
                </c:pt>
                <c:pt idx="5644">
                  <c:v>2007</c:v>
                </c:pt>
                <c:pt idx="5645">
                  <c:v>2007</c:v>
                </c:pt>
                <c:pt idx="5646">
                  <c:v>2007</c:v>
                </c:pt>
                <c:pt idx="5647">
                  <c:v>2007</c:v>
                </c:pt>
                <c:pt idx="5648">
                  <c:v>2007</c:v>
                </c:pt>
                <c:pt idx="5649">
                  <c:v>2007</c:v>
                </c:pt>
                <c:pt idx="5650">
                  <c:v>2007</c:v>
                </c:pt>
                <c:pt idx="5651">
                  <c:v>2007</c:v>
                </c:pt>
                <c:pt idx="5652">
                  <c:v>2007</c:v>
                </c:pt>
                <c:pt idx="5653">
                  <c:v>2007</c:v>
                </c:pt>
                <c:pt idx="5654">
                  <c:v>2007</c:v>
                </c:pt>
                <c:pt idx="5655">
                  <c:v>2007</c:v>
                </c:pt>
                <c:pt idx="5656">
                  <c:v>2007</c:v>
                </c:pt>
                <c:pt idx="5657">
                  <c:v>2007</c:v>
                </c:pt>
                <c:pt idx="5658">
                  <c:v>2007</c:v>
                </c:pt>
                <c:pt idx="5659">
                  <c:v>2007</c:v>
                </c:pt>
                <c:pt idx="5660">
                  <c:v>2007</c:v>
                </c:pt>
                <c:pt idx="5661">
                  <c:v>2007</c:v>
                </c:pt>
                <c:pt idx="5662">
                  <c:v>2007</c:v>
                </c:pt>
                <c:pt idx="5663">
                  <c:v>2007</c:v>
                </c:pt>
                <c:pt idx="5664">
                  <c:v>2007</c:v>
                </c:pt>
                <c:pt idx="5665">
                  <c:v>2007</c:v>
                </c:pt>
                <c:pt idx="5666">
                  <c:v>2007</c:v>
                </c:pt>
                <c:pt idx="5667">
                  <c:v>2007</c:v>
                </c:pt>
                <c:pt idx="5668">
                  <c:v>2007</c:v>
                </c:pt>
                <c:pt idx="5669">
                  <c:v>2007</c:v>
                </c:pt>
                <c:pt idx="5670">
                  <c:v>2007</c:v>
                </c:pt>
                <c:pt idx="5671">
                  <c:v>2007</c:v>
                </c:pt>
                <c:pt idx="5672">
                  <c:v>2007</c:v>
                </c:pt>
                <c:pt idx="5673">
                  <c:v>2007</c:v>
                </c:pt>
                <c:pt idx="5674">
                  <c:v>2007</c:v>
                </c:pt>
                <c:pt idx="5675">
                  <c:v>2007</c:v>
                </c:pt>
                <c:pt idx="5676">
                  <c:v>2007</c:v>
                </c:pt>
                <c:pt idx="5677">
                  <c:v>2007</c:v>
                </c:pt>
                <c:pt idx="5678">
                  <c:v>2007</c:v>
                </c:pt>
                <c:pt idx="5679">
                  <c:v>2007</c:v>
                </c:pt>
                <c:pt idx="5680">
                  <c:v>2007</c:v>
                </c:pt>
                <c:pt idx="5681">
                  <c:v>2007</c:v>
                </c:pt>
                <c:pt idx="5682">
                  <c:v>2007</c:v>
                </c:pt>
                <c:pt idx="5683">
                  <c:v>2007</c:v>
                </c:pt>
                <c:pt idx="5684">
                  <c:v>2007</c:v>
                </c:pt>
                <c:pt idx="5685">
                  <c:v>2007</c:v>
                </c:pt>
                <c:pt idx="5686">
                  <c:v>2007</c:v>
                </c:pt>
                <c:pt idx="5687">
                  <c:v>2007</c:v>
                </c:pt>
                <c:pt idx="5688">
                  <c:v>2007</c:v>
                </c:pt>
                <c:pt idx="5689">
                  <c:v>2007</c:v>
                </c:pt>
                <c:pt idx="5690">
                  <c:v>2007</c:v>
                </c:pt>
                <c:pt idx="5691">
                  <c:v>2007</c:v>
                </c:pt>
                <c:pt idx="5692">
                  <c:v>2007</c:v>
                </c:pt>
                <c:pt idx="5693">
                  <c:v>2007</c:v>
                </c:pt>
                <c:pt idx="5694">
                  <c:v>2007</c:v>
                </c:pt>
                <c:pt idx="5695">
                  <c:v>2007</c:v>
                </c:pt>
                <c:pt idx="5696">
                  <c:v>2007</c:v>
                </c:pt>
                <c:pt idx="5697">
                  <c:v>2007</c:v>
                </c:pt>
                <c:pt idx="5698">
                  <c:v>2007</c:v>
                </c:pt>
                <c:pt idx="5699">
                  <c:v>2007</c:v>
                </c:pt>
                <c:pt idx="5700">
                  <c:v>2007</c:v>
                </c:pt>
                <c:pt idx="5701">
                  <c:v>2007</c:v>
                </c:pt>
                <c:pt idx="5702">
                  <c:v>2007</c:v>
                </c:pt>
                <c:pt idx="5703">
                  <c:v>2007</c:v>
                </c:pt>
                <c:pt idx="5704">
                  <c:v>2007</c:v>
                </c:pt>
                <c:pt idx="5705">
                  <c:v>2007</c:v>
                </c:pt>
                <c:pt idx="5706">
                  <c:v>2007</c:v>
                </c:pt>
                <c:pt idx="5707">
                  <c:v>2007</c:v>
                </c:pt>
                <c:pt idx="5708">
                  <c:v>2007</c:v>
                </c:pt>
                <c:pt idx="5709">
                  <c:v>2007</c:v>
                </c:pt>
                <c:pt idx="5710">
                  <c:v>2007</c:v>
                </c:pt>
                <c:pt idx="5711">
                  <c:v>2007</c:v>
                </c:pt>
                <c:pt idx="5712">
                  <c:v>2007</c:v>
                </c:pt>
                <c:pt idx="5713">
                  <c:v>2007</c:v>
                </c:pt>
                <c:pt idx="5714">
                  <c:v>2007</c:v>
                </c:pt>
                <c:pt idx="5715">
                  <c:v>2007</c:v>
                </c:pt>
                <c:pt idx="5716">
                  <c:v>2007</c:v>
                </c:pt>
                <c:pt idx="5717">
                  <c:v>2007</c:v>
                </c:pt>
                <c:pt idx="5718">
                  <c:v>2007</c:v>
                </c:pt>
                <c:pt idx="5719">
                  <c:v>2007</c:v>
                </c:pt>
                <c:pt idx="5720">
                  <c:v>2007</c:v>
                </c:pt>
                <c:pt idx="5721">
                  <c:v>2007</c:v>
                </c:pt>
                <c:pt idx="5722">
                  <c:v>2007</c:v>
                </c:pt>
                <c:pt idx="5723">
                  <c:v>2007</c:v>
                </c:pt>
                <c:pt idx="5724">
                  <c:v>2007</c:v>
                </c:pt>
                <c:pt idx="5725">
                  <c:v>2007</c:v>
                </c:pt>
                <c:pt idx="5726">
                  <c:v>2007</c:v>
                </c:pt>
                <c:pt idx="5727">
                  <c:v>2007</c:v>
                </c:pt>
                <c:pt idx="5728">
                  <c:v>2007</c:v>
                </c:pt>
                <c:pt idx="5729">
                  <c:v>2007</c:v>
                </c:pt>
                <c:pt idx="5730">
                  <c:v>2007</c:v>
                </c:pt>
                <c:pt idx="5731">
                  <c:v>2007</c:v>
                </c:pt>
                <c:pt idx="5732">
                  <c:v>2007</c:v>
                </c:pt>
                <c:pt idx="5733">
                  <c:v>2007</c:v>
                </c:pt>
                <c:pt idx="5734">
                  <c:v>2007</c:v>
                </c:pt>
                <c:pt idx="5735">
                  <c:v>2007</c:v>
                </c:pt>
                <c:pt idx="5736">
                  <c:v>2007</c:v>
                </c:pt>
                <c:pt idx="5737">
                  <c:v>2007</c:v>
                </c:pt>
                <c:pt idx="5738">
                  <c:v>2007</c:v>
                </c:pt>
                <c:pt idx="5739">
                  <c:v>2007</c:v>
                </c:pt>
                <c:pt idx="5740">
                  <c:v>2007</c:v>
                </c:pt>
                <c:pt idx="5741">
                  <c:v>2007</c:v>
                </c:pt>
                <c:pt idx="5742">
                  <c:v>2007</c:v>
                </c:pt>
                <c:pt idx="5743">
                  <c:v>2007</c:v>
                </c:pt>
                <c:pt idx="5744">
                  <c:v>2007</c:v>
                </c:pt>
                <c:pt idx="5745">
                  <c:v>2007</c:v>
                </c:pt>
                <c:pt idx="5746">
                  <c:v>2007</c:v>
                </c:pt>
                <c:pt idx="5747">
                  <c:v>2007</c:v>
                </c:pt>
                <c:pt idx="5748">
                  <c:v>2007</c:v>
                </c:pt>
                <c:pt idx="5749">
                  <c:v>2007</c:v>
                </c:pt>
                <c:pt idx="5750">
                  <c:v>2007</c:v>
                </c:pt>
                <c:pt idx="5751">
                  <c:v>2007</c:v>
                </c:pt>
                <c:pt idx="5752">
                  <c:v>2007</c:v>
                </c:pt>
                <c:pt idx="5753">
                  <c:v>2007</c:v>
                </c:pt>
                <c:pt idx="5754">
                  <c:v>2007</c:v>
                </c:pt>
                <c:pt idx="5755">
                  <c:v>2007</c:v>
                </c:pt>
                <c:pt idx="5756">
                  <c:v>2007</c:v>
                </c:pt>
                <c:pt idx="5757">
                  <c:v>2007</c:v>
                </c:pt>
                <c:pt idx="5758">
                  <c:v>2007</c:v>
                </c:pt>
                <c:pt idx="5759">
                  <c:v>2007</c:v>
                </c:pt>
                <c:pt idx="5760">
                  <c:v>2007</c:v>
                </c:pt>
                <c:pt idx="5761">
                  <c:v>2007</c:v>
                </c:pt>
                <c:pt idx="5762">
                  <c:v>2007</c:v>
                </c:pt>
                <c:pt idx="5763">
                  <c:v>2007</c:v>
                </c:pt>
                <c:pt idx="5764">
                  <c:v>2007</c:v>
                </c:pt>
                <c:pt idx="5765">
                  <c:v>2007</c:v>
                </c:pt>
                <c:pt idx="5766">
                  <c:v>2007</c:v>
                </c:pt>
                <c:pt idx="5767">
                  <c:v>2007</c:v>
                </c:pt>
                <c:pt idx="5768">
                  <c:v>2007</c:v>
                </c:pt>
                <c:pt idx="5769">
                  <c:v>2007</c:v>
                </c:pt>
                <c:pt idx="5770">
                  <c:v>2007</c:v>
                </c:pt>
                <c:pt idx="5771">
                  <c:v>2007</c:v>
                </c:pt>
                <c:pt idx="5772">
                  <c:v>2007</c:v>
                </c:pt>
                <c:pt idx="5773">
                  <c:v>2007</c:v>
                </c:pt>
                <c:pt idx="5774">
                  <c:v>2007</c:v>
                </c:pt>
                <c:pt idx="5775">
                  <c:v>2007</c:v>
                </c:pt>
                <c:pt idx="5776">
                  <c:v>2007</c:v>
                </c:pt>
                <c:pt idx="5777">
                  <c:v>2007</c:v>
                </c:pt>
                <c:pt idx="5778">
                  <c:v>2007</c:v>
                </c:pt>
                <c:pt idx="5779">
                  <c:v>2007</c:v>
                </c:pt>
                <c:pt idx="5780">
                  <c:v>2007</c:v>
                </c:pt>
                <c:pt idx="5781">
                  <c:v>2007</c:v>
                </c:pt>
                <c:pt idx="5782">
                  <c:v>2007</c:v>
                </c:pt>
                <c:pt idx="5783">
                  <c:v>2007</c:v>
                </c:pt>
                <c:pt idx="5784">
                  <c:v>2007</c:v>
                </c:pt>
                <c:pt idx="5785">
                  <c:v>2007</c:v>
                </c:pt>
                <c:pt idx="5786">
                  <c:v>2007</c:v>
                </c:pt>
                <c:pt idx="5787">
                  <c:v>2007</c:v>
                </c:pt>
                <c:pt idx="5788">
                  <c:v>2007</c:v>
                </c:pt>
                <c:pt idx="5789">
                  <c:v>2007</c:v>
                </c:pt>
                <c:pt idx="5790">
                  <c:v>2007</c:v>
                </c:pt>
                <c:pt idx="5791">
                  <c:v>2007</c:v>
                </c:pt>
                <c:pt idx="5792">
                  <c:v>2007</c:v>
                </c:pt>
                <c:pt idx="5793">
                  <c:v>2007</c:v>
                </c:pt>
                <c:pt idx="5794">
                  <c:v>2007</c:v>
                </c:pt>
                <c:pt idx="5795">
                  <c:v>2007</c:v>
                </c:pt>
                <c:pt idx="5796">
                  <c:v>2007</c:v>
                </c:pt>
                <c:pt idx="5797">
                  <c:v>2007</c:v>
                </c:pt>
                <c:pt idx="5798">
                  <c:v>2007</c:v>
                </c:pt>
                <c:pt idx="5799">
                  <c:v>2007</c:v>
                </c:pt>
                <c:pt idx="5800">
                  <c:v>2007</c:v>
                </c:pt>
                <c:pt idx="5801">
                  <c:v>2007</c:v>
                </c:pt>
                <c:pt idx="5802">
                  <c:v>2007</c:v>
                </c:pt>
                <c:pt idx="5803">
                  <c:v>2007</c:v>
                </c:pt>
                <c:pt idx="5804">
                  <c:v>2007</c:v>
                </c:pt>
                <c:pt idx="5805">
                  <c:v>2007</c:v>
                </c:pt>
                <c:pt idx="5806">
                  <c:v>2007</c:v>
                </c:pt>
                <c:pt idx="5807">
                  <c:v>2007</c:v>
                </c:pt>
                <c:pt idx="5808">
                  <c:v>2007</c:v>
                </c:pt>
                <c:pt idx="5809">
                  <c:v>2007</c:v>
                </c:pt>
                <c:pt idx="5810">
                  <c:v>2007</c:v>
                </c:pt>
                <c:pt idx="5811">
                  <c:v>2007</c:v>
                </c:pt>
                <c:pt idx="5812">
                  <c:v>2007</c:v>
                </c:pt>
                <c:pt idx="5813">
                  <c:v>2007</c:v>
                </c:pt>
                <c:pt idx="5814">
                  <c:v>2007</c:v>
                </c:pt>
                <c:pt idx="5815">
                  <c:v>2007</c:v>
                </c:pt>
                <c:pt idx="5816">
                  <c:v>2007</c:v>
                </c:pt>
                <c:pt idx="5817">
                  <c:v>2007</c:v>
                </c:pt>
                <c:pt idx="5818">
                  <c:v>2007</c:v>
                </c:pt>
                <c:pt idx="5819">
                  <c:v>2007</c:v>
                </c:pt>
                <c:pt idx="5820">
                  <c:v>2007</c:v>
                </c:pt>
                <c:pt idx="5821">
                  <c:v>2007</c:v>
                </c:pt>
                <c:pt idx="5822">
                  <c:v>2007</c:v>
                </c:pt>
                <c:pt idx="5823">
                  <c:v>2007</c:v>
                </c:pt>
                <c:pt idx="5824">
                  <c:v>2007</c:v>
                </c:pt>
                <c:pt idx="5825">
                  <c:v>2007</c:v>
                </c:pt>
                <c:pt idx="5826">
                  <c:v>2007</c:v>
                </c:pt>
                <c:pt idx="5827">
                  <c:v>2007</c:v>
                </c:pt>
                <c:pt idx="5828">
                  <c:v>2007</c:v>
                </c:pt>
                <c:pt idx="5829">
                  <c:v>2007</c:v>
                </c:pt>
                <c:pt idx="5830">
                  <c:v>2007</c:v>
                </c:pt>
                <c:pt idx="5831">
                  <c:v>2007</c:v>
                </c:pt>
                <c:pt idx="5832">
                  <c:v>2007</c:v>
                </c:pt>
                <c:pt idx="5833">
                  <c:v>2007</c:v>
                </c:pt>
                <c:pt idx="5834">
                  <c:v>2007</c:v>
                </c:pt>
                <c:pt idx="5835">
                  <c:v>2007</c:v>
                </c:pt>
                <c:pt idx="5836">
                  <c:v>2007</c:v>
                </c:pt>
                <c:pt idx="5837">
                  <c:v>2007</c:v>
                </c:pt>
                <c:pt idx="5838">
                  <c:v>2007</c:v>
                </c:pt>
                <c:pt idx="5839">
                  <c:v>2007</c:v>
                </c:pt>
                <c:pt idx="5840">
                  <c:v>2007</c:v>
                </c:pt>
                <c:pt idx="5841">
                  <c:v>2007</c:v>
                </c:pt>
                <c:pt idx="5842">
                  <c:v>2007</c:v>
                </c:pt>
                <c:pt idx="5843">
                  <c:v>2007</c:v>
                </c:pt>
                <c:pt idx="5844">
                  <c:v>2007</c:v>
                </c:pt>
                <c:pt idx="5845">
                  <c:v>2007</c:v>
                </c:pt>
                <c:pt idx="5846">
                  <c:v>2007</c:v>
                </c:pt>
                <c:pt idx="5847">
                  <c:v>2007</c:v>
                </c:pt>
                <c:pt idx="5848">
                  <c:v>2007</c:v>
                </c:pt>
                <c:pt idx="5849">
                  <c:v>2007</c:v>
                </c:pt>
                <c:pt idx="5850">
                  <c:v>2007</c:v>
                </c:pt>
                <c:pt idx="5851">
                  <c:v>2007</c:v>
                </c:pt>
                <c:pt idx="5852">
                  <c:v>2007</c:v>
                </c:pt>
                <c:pt idx="5853">
                  <c:v>2007</c:v>
                </c:pt>
                <c:pt idx="5854">
                  <c:v>2007</c:v>
                </c:pt>
                <c:pt idx="5855">
                  <c:v>2007</c:v>
                </c:pt>
                <c:pt idx="5856">
                  <c:v>2007</c:v>
                </c:pt>
                <c:pt idx="5857">
                  <c:v>2007</c:v>
                </c:pt>
                <c:pt idx="5858">
                  <c:v>2007</c:v>
                </c:pt>
                <c:pt idx="5859">
                  <c:v>2007</c:v>
                </c:pt>
                <c:pt idx="5860">
                  <c:v>2007</c:v>
                </c:pt>
                <c:pt idx="5861">
                  <c:v>2007</c:v>
                </c:pt>
                <c:pt idx="5862">
                  <c:v>2007</c:v>
                </c:pt>
                <c:pt idx="5863">
                  <c:v>2007</c:v>
                </c:pt>
                <c:pt idx="5864">
                  <c:v>2007</c:v>
                </c:pt>
                <c:pt idx="5865">
                  <c:v>2007</c:v>
                </c:pt>
                <c:pt idx="5866">
                  <c:v>2007</c:v>
                </c:pt>
                <c:pt idx="5867">
                  <c:v>2007</c:v>
                </c:pt>
                <c:pt idx="5868">
                  <c:v>2007</c:v>
                </c:pt>
                <c:pt idx="5869">
                  <c:v>2007</c:v>
                </c:pt>
                <c:pt idx="5870">
                  <c:v>2007</c:v>
                </c:pt>
                <c:pt idx="5871">
                  <c:v>2007</c:v>
                </c:pt>
                <c:pt idx="5872">
                  <c:v>2007</c:v>
                </c:pt>
                <c:pt idx="5873">
                  <c:v>2007</c:v>
                </c:pt>
                <c:pt idx="5874">
                  <c:v>2007</c:v>
                </c:pt>
                <c:pt idx="5875">
                  <c:v>2007</c:v>
                </c:pt>
                <c:pt idx="5876">
                  <c:v>2007</c:v>
                </c:pt>
                <c:pt idx="5877">
                  <c:v>2007</c:v>
                </c:pt>
                <c:pt idx="5878">
                  <c:v>2007</c:v>
                </c:pt>
                <c:pt idx="5879">
                  <c:v>2008</c:v>
                </c:pt>
                <c:pt idx="5880">
                  <c:v>2008</c:v>
                </c:pt>
                <c:pt idx="5881">
                  <c:v>2008</c:v>
                </c:pt>
                <c:pt idx="5882">
                  <c:v>2008</c:v>
                </c:pt>
                <c:pt idx="5883">
                  <c:v>2008</c:v>
                </c:pt>
                <c:pt idx="5884">
                  <c:v>2008</c:v>
                </c:pt>
                <c:pt idx="5885">
                  <c:v>2008</c:v>
                </c:pt>
                <c:pt idx="5886">
                  <c:v>2008</c:v>
                </c:pt>
                <c:pt idx="5887">
                  <c:v>2008</c:v>
                </c:pt>
                <c:pt idx="5888">
                  <c:v>2008</c:v>
                </c:pt>
                <c:pt idx="5889">
                  <c:v>2008</c:v>
                </c:pt>
                <c:pt idx="5890">
                  <c:v>2008</c:v>
                </c:pt>
                <c:pt idx="5891">
                  <c:v>2008</c:v>
                </c:pt>
                <c:pt idx="5892">
                  <c:v>2008</c:v>
                </c:pt>
                <c:pt idx="5893">
                  <c:v>2008</c:v>
                </c:pt>
                <c:pt idx="5894">
                  <c:v>2008</c:v>
                </c:pt>
                <c:pt idx="5895">
                  <c:v>2008</c:v>
                </c:pt>
                <c:pt idx="5896">
                  <c:v>2008</c:v>
                </c:pt>
                <c:pt idx="5897">
                  <c:v>2008</c:v>
                </c:pt>
                <c:pt idx="5898">
                  <c:v>2008</c:v>
                </c:pt>
                <c:pt idx="5899">
                  <c:v>2008</c:v>
                </c:pt>
                <c:pt idx="5900">
                  <c:v>2008</c:v>
                </c:pt>
                <c:pt idx="5901">
                  <c:v>2008</c:v>
                </c:pt>
                <c:pt idx="5902">
                  <c:v>2008</c:v>
                </c:pt>
                <c:pt idx="5903">
                  <c:v>2008</c:v>
                </c:pt>
                <c:pt idx="5904">
                  <c:v>2008</c:v>
                </c:pt>
                <c:pt idx="5905">
                  <c:v>2008</c:v>
                </c:pt>
                <c:pt idx="5906">
                  <c:v>2008</c:v>
                </c:pt>
                <c:pt idx="5907">
                  <c:v>2008</c:v>
                </c:pt>
                <c:pt idx="5908">
                  <c:v>2008</c:v>
                </c:pt>
                <c:pt idx="5909">
                  <c:v>2008</c:v>
                </c:pt>
                <c:pt idx="5910">
                  <c:v>2008</c:v>
                </c:pt>
                <c:pt idx="5911">
                  <c:v>2008</c:v>
                </c:pt>
                <c:pt idx="5912">
                  <c:v>2008</c:v>
                </c:pt>
                <c:pt idx="5913">
                  <c:v>2008</c:v>
                </c:pt>
                <c:pt idx="5914">
                  <c:v>2008</c:v>
                </c:pt>
                <c:pt idx="5915">
                  <c:v>2008</c:v>
                </c:pt>
                <c:pt idx="5916">
                  <c:v>2008</c:v>
                </c:pt>
                <c:pt idx="5917">
                  <c:v>2008</c:v>
                </c:pt>
                <c:pt idx="5918">
                  <c:v>2008</c:v>
                </c:pt>
                <c:pt idx="5919">
                  <c:v>2008</c:v>
                </c:pt>
                <c:pt idx="5920">
                  <c:v>2008</c:v>
                </c:pt>
                <c:pt idx="5921">
                  <c:v>2008</c:v>
                </c:pt>
                <c:pt idx="5922">
                  <c:v>2008</c:v>
                </c:pt>
                <c:pt idx="5923">
                  <c:v>2008</c:v>
                </c:pt>
                <c:pt idx="5924">
                  <c:v>2008</c:v>
                </c:pt>
                <c:pt idx="5925">
                  <c:v>2008</c:v>
                </c:pt>
                <c:pt idx="5926">
                  <c:v>2008</c:v>
                </c:pt>
                <c:pt idx="5927">
                  <c:v>2008</c:v>
                </c:pt>
                <c:pt idx="5928">
                  <c:v>2008</c:v>
                </c:pt>
                <c:pt idx="5929">
                  <c:v>2008</c:v>
                </c:pt>
                <c:pt idx="5930">
                  <c:v>2008</c:v>
                </c:pt>
                <c:pt idx="5931">
                  <c:v>2008</c:v>
                </c:pt>
                <c:pt idx="5932">
                  <c:v>2008</c:v>
                </c:pt>
                <c:pt idx="5933">
                  <c:v>2008</c:v>
                </c:pt>
                <c:pt idx="5934">
                  <c:v>2008</c:v>
                </c:pt>
                <c:pt idx="5935">
                  <c:v>2008</c:v>
                </c:pt>
                <c:pt idx="5936">
                  <c:v>2008</c:v>
                </c:pt>
                <c:pt idx="5937">
                  <c:v>2008</c:v>
                </c:pt>
                <c:pt idx="5938">
                  <c:v>2008</c:v>
                </c:pt>
                <c:pt idx="5939">
                  <c:v>2008</c:v>
                </c:pt>
                <c:pt idx="5940">
                  <c:v>2008</c:v>
                </c:pt>
                <c:pt idx="5941">
                  <c:v>2008</c:v>
                </c:pt>
                <c:pt idx="5942">
                  <c:v>2008</c:v>
                </c:pt>
                <c:pt idx="5943">
                  <c:v>2008</c:v>
                </c:pt>
                <c:pt idx="5944">
                  <c:v>2008</c:v>
                </c:pt>
                <c:pt idx="5945">
                  <c:v>2008</c:v>
                </c:pt>
                <c:pt idx="5946">
                  <c:v>2008</c:v>
                </c:pt>
                <c:pt idx="5947">
                  <c:v>2008</c:v>
                </c:pt>
                <c:pt idx="5948">
                  <c:v>2008</c:v>
                </c:pt>
                <c:pt idx="5949">
                  <c:v>2008</c:v>
                </c:pt>
                <c:pt idx="5950">
                  <c:v>2008</c:v>
                </c:pt>
                <c:pt idx="5951">
                  <c:v>2008</c:v>
                </c:pt>
                <c:pt idx="5952">
                  <c:v>2008</c:v>
                </c:pt>
                <c:pt idx="5953">
                  <c:v>2008</c:v>
                </c:pt>
                <c:pt idx="5954">
                  <c:v>2008</c:v>
                </c:pt>
                <c:pt idx="5955">
                  <c:v>2008</c:v>
                </c:pt>
                <c:pt idx="5956">
                  <c:v>2008</c:v>
                </c:pt>
                <c:pt idx="5957">
                  <c:v>2008</c:v>
                </c:pt>
                <c:pt idx="5958">
                  <c:v>2008</c:v>
                </c:pt>
                <c:pt idx="5959">
                  <c:v>2008</c:v>
                </c:pt>
                <c:pt idx="5960">
                  <c:v>2008</c:v>
                </c:pt>
                <c:pt idx="5961">
                  <c:v>2008</c:v>
                </c:pt>
                <c:pt idx="5962">
                  <c:v>2008</c:v>
                </c:pt>
                <c:pt idx="5963">
                  <c:v>2008</c:v>
                </c:pt>
                <c:pt idx="5964">
                  <c:v>2008</c:v>
                </c:pt>
                <c:pt idx="5965">
                  <c:v>2008</c:v>
                </c:pt>
                <c:pt idx="5966">
                  <c:v>2008</c:v>
                </c:pt>
                <c:pt idx="5967">
                  <c:v>2008</c:v>
                </c:pt>
                <c:pt idx="5968">
                  <c:v>2008</c:v>
                </c:pt>
                <c:pt idx="5969">
                  <c:v>2008</c:v>
                </c:pt>
                <c:pt idx="5970">
                  <c:v>2008</c:v>
                </c:pt>
                <c:pt idx="5971">
                  <c:v>2008</c:v>
                </c:pt>
                <c:pt idx="5972">
                  <c:v>2008</c:v>
                </c:pt>
                <c:pt idx="5973">
                  <c:v>2008</c:v>
                </c:pt>
                <c:pt idx="5974">
                  <c:v>2008</c:v>
                </c:pt>
                <c:pt idx="5975">
                  <c:v>2008</c:v>
                </c:pt>
                <c:pt idx="5976">
                  <c:v>2008</c:v>
                </c:pt>
                <c:pt idx="5977">
                  <c:v>2008</c:v>
                </c:pt>
                <c:pt idx="5978">
                  <c:v>2008</c:v>
                </c:pt>
                <c:pt idx="5979">
                  <c:v>2008</c:v>
                </c:pt>
                <c:pt idx="5980">
                  <c:v>2008</c:v>
                </c:pt>
                <c:pt idx="5981">
                  <c:v>2008</c:v>
                </c:pt>
                <c:pt idx="5982">
                  <c:v>2008</c:v>
                </c:pt>
                <c:pt idx="5983">
                  <c:v>2008</c:v>
                </c:pt>
                <c:pt idx="5984">
                  <c:v>2008</c:v>
                </c:pt>
                <c:pt idx="5985">
                  <c:v>2008</c:v>
                </c:pt>
                <c:pt idx="5986">
                  <c:v>2008</c:v>
                </c:pt>
                <c:pt idx="5987">
                  <c:v>2008</c:v>
                </c:pt>
                <c:pt idx="5988">
                  <c:v>2008</c:v>
                </c:pt>
                <c:pt idx="5989">
                  <c:v>2008</c:v>
                </c:pt>
                <c:pt idx="5990">
                  <c:v>2008</c:v>
                </c:pt>
                <c:pt idx="5991">
                  <c:v>2008</c:v>
                </c:pt>
                <c:pt idx="5992">
                  <c:v>2008</c:v>
                </c:pt>
                <c:pt idx="5993">
                  <c:v>2008</c:v>
                </c:pt>
                <c:pt idx="5994">
                  <c:v>2008</c:v>
                </c:pt>
                <c:pt idx="5995">
                  <c:v>2008</c:v>
                </c:pt>
                <c:pt idx="5996">
                  <c:v>2008</c:v>
                </c:pt>
                <c:pt idx="5997">
                  <c:v>2008</c:v>
                </c:pt>
                <c:pt idx="5998">
                  <c:v>2008</c:v>
                </c:pt>
                <c:pt idx="5999">
                  <c:v>2008</c:v>
                </c:pt>
                <c:pt idx="6000">
                  <c:v>2008</c:v>
                </c:pt>
                <c:pt idx="6001">
                  <c:v>2008</c:v>
                </c:pt>
                <c:pt idx="6002">
                  <c:v>2008</c:v>
                </c:pt>
                <c:pt idx="6003">
                  <c:v>2008</c:v>
                </c:pt>
                <c:pt idx="6004">
                  <c:v>2008</c:v>
                </c:pt>
                <c:pt idx="6005">
                  <c:v>2008</c:v>
                </c:pt>
                <c:pt idx="6006">
                  <c:v>2008</c:v>
                </c:pt>
                <c:pt idx="6007">
                  <c:v>2008</c:v>
                </c:pt>
                <c:pt idx="6008">
                  <c:v>2008</c:v>
                </c:pt>
                <c:pt idx="6009">
                  <c:v>2008</c:v>
                </c:pt>
                <c:pt idx="6010">
                  <c:v>2008</c:v>
                </c:pt>
                <c:pt idx="6011">
                  <c:v>2008</c:v>
                </c:pt>
                <c:pt idx="6012">
                  <c:v>2008</c:v>
                </c:pt>
                <c:pt idx="6013">
                  <c:v>2008</c:v>
                </c:pt>
                <c:pt idx="6014">
                  <c:v>2008</c:v>
                </c:pt>
                <c:pt idx="6015">
                  <c:v>2008</c:v>
                </c:pt>
                <c:pt idx="6016">
                  <c:v>2008</c:v>
                </c:pt>
                <c:pt idx="6017">
                  <c:v>2008</c:v>
                </c:pt>
                <c:pt idx="6018">
                  <c:v>2008</c:v>
                </c:pt>
                <c:pt idx="6019">
                  <c:v>2008</c:v>
                </c:pt>
                <c:pt idx="6020">
                  <c:v>2008</c:v>
                </c:pt>
                <c:pt idx="6021">
                  <c:v>2008</c:v>
                </c:pt>
                <c:pt idx="6022">
                  <c:v>2008</c:v>
                </c:pt>
                <c:pt idx="6023">
                  <c:v>2008</c:v>
                </c:pt>
                <c:pt idx="6024">
                  <c:v>2008</c:v>
                </c:pt>
                <c:pt idx="6025">
                  <c:v>2008</c:v>
                </c:pt>
                <c:pt idx="6026">
                  <c:v>2008</c:v>
                </c:pt>
                <c:pt idx="6027">
                  <c:v>2008</c:v>
                </c:pt>
                <c:pt idx="6028">
                  <c:v>2008</c:v>
                </c:pt>
                <c:pt idx="6029">
                  <c:v>2008</c:v>
                </c:pt>
                <c:pt idx="6030">
                  <c:v>2008</c:v>
                </c:pt>
                <c:pt idx="6031">
                  <c:v>2008</c:v>
                </c:pt>
                <c:pt idx="6032">
                  <c:v>2008</c:v>
                </c:pt>
                <c:pt idx="6033">
                  <c:v>2008</c:v>
                </c:pt>
                <c:pt idx="6034">
                  <c:v>2008</c:v>
                </c:pt>
                <c:pt idx="6035">
                  <c:v>2008</c:v>
                </c:pt>
                <c:pt idx="6036">
                  <c:v>2008</c:v>
                </c:pt>
                <c:pt idx="6037">
                  <c:v>2008</c:v>
                </c:pt>
                <c:pt idx="6038">
                  <c:v>2008</c:v>
                </c:pt>
                <c:pt idx="6039">
                  <c:v>2008</c:v>
                </c:pt>
                <c:pt idx="6040">
                  <c:v>2008</c:v>
                </c:pt>
                <c:pt idx="6041">
                  <c:v>2008</c:v>
                </c:pt>
                <c:pt idx="6042">
                  <c:v>2008</c:v>
                </c:pt>
                <c:pt idx="6043">
                  <c:v>2008</c:v>
                </c:pt>
                <c:pt idx="6044">
                  <c:v>2008</c:v>
                </c:pt>
                <c:pt idx="6045">
                  <c:v>2008</c:v>
                </c:pt>
                <c:pt idx="6046">
                  <c:v>2008</c:v>
                </c:pt>
                <c:pt idx="6047">
                  <c:v>2008</c:v>
                </c:pt>
                <c:pt idx="6048">
                  <c:v>2008</c:v>
                </c:pt>
                <c:pt idx="6049">
                  <c:v>2008</c:v>
                </c:pt>
                <c:pt idx="6050">
                  <c:v>2008</c:v>
                </c:pt>
                <c:pt idx="6051">
                  <c:v>2008</c:v>
                </c:pt>
                <c:pt idx="6052">
                  <c:v>2008</c:v>
                </c:pt>
                <c:pt idx="6053">
                  <c:v>2008</c:v>
                </c:pt>
                <c:pt idx="6054">
                  <c:v>2008</c:v>
                </c:pt>
                <c:pt idx="6055">
                  <c:v>2008</c:v>
                </c:pt>
                <c:pt idx="6056">
                  <c:v>2008</c:v>
                </c:pt>
                <c:pt idx="6057">
                  <c:v>2008</c:v>
                </c:pt>
                <c:pt idx="6058">
                  <c:v>2008</c:v>
                </c:pt>
                <c:pt idx="6059">
                  <c:v>2008</c:v>
                </c:pt>
                <c:pt idx="6060">
                  <c:v>2008</c:v>
                </c:pt>
                <c:pt idx="6061">
                  <c:v>2008</c:v>
                </c:pt>
                <c:pt idx="6062">
                  <c:v>2008</c:v>
                </c:pt>
                <c:pt idx="6063">
                  <c:v>2008</c:v>
                </c:pt>
                <c:pt idx="6064">
                  <c:v>2008</c:v>
                </c:pt>
                <c:pt idx="6065">
                  <c:v>2008</c:v>
                </c:pt>
                <c:pt idx="6066">
                  <c:v>2008</c:v>
                </c:pt>
                <c:pt idx="6067">
                  <c:v>2008</c:v>
                </c:pt>
                <c:pt idx="6068">
                  <c:v>2008</c:v>
                </c:pt>
                <c:pt idx="6069">
                  <c:v>2008</c:v>
                </c:pt>
                <c:pt idx="6070">
                  <c:v>2008</c:v>
                </c:pt>
                <c:pt idx="6071">
                  <c:v>2008</c:v>
                </c:pt>
                <c:pt idx="6072">
                  <c:v>2008</c:v>
                </c:pt>
                <c:pt idx="6073">
                  <c:v>2008</c:v>
                </c:pt>
                <c:pt idx="6074">
                  <c:v>2008</c:v>
                </c:pt>
                <c:pt idx="6075">
                  <c:v>2008</c:v>
                </c:pt>
                <c:pt idx="6076">
                  <c:v>2008</c:v>
                </c:pt>
                <c:pt idx="6077">
                  <c:v>2008</c:v>
                </c:pt>
                <c:pt idx="6078">
                  <c:v>2008</c:v>
                </c:pt>
                <c:pt idx="6079">
                  <c:v>2008</c:v>
                </c:pt>
                <c:pt idx="6080">
                  <c:v>2008</c:v>
                </c:pt>
                <c:pt idx="6081">
                  <c:v>2008</c:v>
                </c:pt>
                <c:pt idx="6082">
                  <c:v>2008</c:v>
                </c:pt>
                <c:pt idx="6083">
                  <c:v>2008</c:v>
                </c:pt>
                <c:pt idx="6084">
                  <c:v>2008</c:v>
                </c:pt>
                <c:pt idx="6085">
                  <c:v>2008</c:v>
                </c:pt>
                <c:pt idx="6086">
                  <c:v>2008</c:v>
                </c:pt>
                <c:pt idx="6087">
                  <c:v>2008</c:v>
                </c:pt>
                <c:pt idx="6088">
                  <c:v>2008</c:v>
                </c:pt>
                <c:pt idx="6089">
                  <c:v>2008</c:v>
                </c:pt>
                <c:pt idx="6090">
                  <c:v>2008</c:v>
                </c:pt>
                <c:pt idx="6091">
                  <c:v>2008</c:v>
                </c:pt>
                <c:pt idx="6092">
                  <c:v>2008</c:v>
                </c:pt>
                <c:pt idx="6093">
                  <c:v>2008</c:v>
                </c:pt>
                <c:pt idx="6094">
                  <c:v>2008</c:v>
                </c:pt>
                <c:pt idx="6095">
                  <c:v>2008</c:v>
                </c:pt>
                <c:pt idx="6096">
                  <c:v>2008</c:v>
                </c:pt>
                <c:pt idx="6097">
                  <c:v>2008</c:v>
                </c:pt>
                <c:pt idx="6098">
                  <c:v>2008</c:v>
                </c:pt>
                <c:pt idx="6099">
                  <c:v>2008</c:v>
                </c:pt>
                <c:pt idx="6100">
                  <c:v>2008</c:v>
                </c:pt>
                <c:pt idx="6101">
                  <c:v>2008</c:v>
                </c:pt>
                <c:pt idx="6102">
                  <c:v>2008</c:v>
                </c:pt>
                <c:pt idx="6103">
                  <c:v>2008</c:v>
                </c:pt>
                <c:pt idx="6104">
                  <c:v>2008</c:v>
                </c:pt>
                <c:pt idx="6105">
                  <c:v>2008</c:v>
                </c:pt>
                <c:pt idx="6106">
                  <c:v>2008</c:v>
                </c:pt>
                <c:pt idx="6107">
                  <c:v>2008</c:v>
                </c:pt>
                <c:pt idx="6108">
                  <c:v>2008</c:v>
                </c:pt>
                <c:pt idx="6109">
                  <c:v>2008</c:v>
                </c:pt>
                <c:pt idx="6110">
                  <c:v>2008</c:v>
                </c:pt>
                <c:pt idx="6111">
                  <c:v>2008</c:v>
                </c:pt>
                <c:pt idx="6112">
                  <c:v>2008</c:v>
                </c:pt>
                <c:pt idx="6113">
                  <c:v>2008</c:v>
                </c:pt>
                <c:pt idx="6114">
                  <c:v>2008</c:v>
                </c:pt>
                <c:pt idx="6115">
                  <c:v>2008</c:v>
                </c:pt>
                <c:pt idx="6116">
                  <c:v>2008</c:v>
                </c:pt>
                <c:pt idx="6117">
                  <c:v>2008</c:v>
                </c:pt>
                <c:pt idx="6118">
                  <c:v>2008</c:v>
                </c:pt>
                <c:pt idx="6119">
                  <c:v>2008</c:v>
                </c:pt>
                <c:pt idx="6120">
                  <c:v>2008</c:v>
                </c:pt>
                <c:pt idx="6121">
                  <c:v>2008</c:v>
                </c:pt>
                <c:pt idx="6122">
                  <c:v>2008</c:v>
                </c:pt>
                <c:pt idx="6123">
                  <c:v>2008</c:v>
                </c:pt>
                <c:pt idx="6124">
                  <c:v>2008</c:v>
                </c:pt>
                <c:pt idx="6125">
                  <c:v>2008</c:v>
                </c:pt>
                <c:pt idx="6126">
                  <c:v>2008</c:v>
                </c:pt>
                <c:pt idx="6127">
                  <c:v>2008</c:v>
                </c:pt>
                <c:pt idx="6128">
                  <c:v>2008</c:v>
                </c:pt>
                <c:pt idx="6129">
                  <c:v>2008</c:v>
                </c:pt>
                <c:pt idx="6130">
                  <c:v>2008</c:v>
                </c:pt>
                <c:pt idx="6131">
                  <c:v>2008</c:v>
                </c:pt>
                <c:pt idx="6132">
                  <c:v>2008</c:v>
                </c:pt>
                <c:pt idx="6133">
                  <c:v>2008</c:v>
                </c:pt>
                <c:pt idx="6134">
                  <c:v>2008</c:v>
                </c:pt>
                <c:pt idx="6135">
                  <c:v>2008</c:v>
                </c:pt>
                <c:pt idx="6136">
                  <c:v>2008</c:v>
                </c:pt>
                <c:pt idx="6137">
                  <c:v>2008</c:v>
                </c:pt>
                <c:pt idx="6138">
                  <c:v>2008</c:v>
                </c:pt>
                <c:pt idx="6139">
                  <c:v>2008</c:v>
                </c:pt>
                <c:pt idx="6140">
                  <c:v>2008</c:v>
                </c:pt>
                <c:pt idx="6141">
                  <c:v>2008</c:v>
                </c:pt>
                <c:pt idx="6142">
                  <c:v>2008</c:v>
                </c:pt>
                <c:pt idx="6143">
                  <c:v>2008</c:v>
                </c:pt>
                <c:pt idx="6144">
                  <c:v>2008</c:v>
                </c:pt>
                <c:pt idx="6145">
                  <c:v>2008</c:v>
                </c:pt>
                <c:pt idx="6146">
                  <c:v>2008</c:v>
                </c:pt>
                <c:pt idx="6147">
                  <c:v>2008</c:v>
                </c:pt>
                <c:pt idx="6148">
                  <c:v>2008</c:v>
                </c:pt>
                <c:pt idx="6149">
                  <c:v>2008</c:v>
                </c:pt>
                <c:pt idx="6150">
                  <c:v>2008</c:v>
                </c:pt>
                <c:pt idx="6151">
                  <c:v>2008</c:v>
                </c:pt>
                <c:pt idx="6152">
                  <c:v>2008</c:v>
                </c:pt>
                <c:pt idx="6153">
                  <c:v>2008</c:v>
                </c:pt>
                <c:pt idx="6154">
                  <c:v>2008</c:v>
                </c:pt>
                <c:pt idx="6155">
                  <c:v>2008</c:v>
                </c:pt>
                <c:pt idx="6156">
                  <c:v>2008</c:v>
                </c:pt>
                <c:pt idx="6157">
                  <c:v>2008</c:v>
                </c:pt>
                <c:pt idx="6158">
                  <c:v>2008</c:v>
                </c:pt>
                <c:pt idx="6159">
                  <c:v>2008</c:v>
                </c:pt>
                <c:pt idx="6160">
                  <c:v>2008</c:v>
                </c:pt>
                <c:pt idx="6161">
                  <c:v>2008</c:v>
                </c:pt>
                <c:pt idx="6162">
                  <c:v>2008</c:v>
                </c:pt>
                <c:pt idx="6163">
                  <c:v>2008</c:v>
                </c:pt>
                <c:pt idx="6164">
                  <c:v>2008</c:v>
                </c:pt>
                <c:pt idx="6165">
                  <c:v>2008</c:v>
                </c:pt>
                <c:pt idx="6166">
                  <c:v>2008</c:v>
                </c:pt>
                <c:pt idx="6167">
                  <c:v>2008</c:v>
                </c:pt>
                <c:pt idx="6168">
                  <c:v>2008</c:v>
                </c:pt>
                <c:pt idx="6169">
                  <c:v>2008</c:v>
                </c:pt>
                <c:pt idx="6170">
                  <c:v>2008</c:v>
                </c:pt>
                <c:pt idx="6171">
                  <c:v>2008</c:v>
                </c:pt>
                <c:pt idx="6172">
                  <c:v>2008</c:v>
                </c:pt>
                <c:pt idx="6173">
                  <c:v>2008</c:v>
                </c:pt>
                <c:pt idx="6174">
                  <c:v>2008</c:v>
                </c:pt>
                <c:pt idx="6175">
                  <c:v>2008</c:v>
                </c:pt>
                <c:pt idx="6176">
                  <c:v>2008</c:v>
                </c:pt>
                <c:pt idx="6177">
                  <c:v>2008</c:v>
                </c:pt>
                <c:pt idx="6178">
                  <c:v>2008</c:v>
                </c:pt>
                <c:pt idx="6179">
                  <c:v>2008</c:v>
                </c:pt>
                <c:pt idx="6180">
                  <c:v>2008</c:v>
                </c:pt>
                <c:pt idx="6181">
                  <c:v>2008</c:v>
                </c:pt>
                <c:pt idx="6182">
                  <c:v>2008</c:v>
                </c:pt>
                <c:pt idx="6183">
                  <c:v>2008</c:v>
                </c:pt>
                <c:pt idx="6184">
                  <c:v>2008</c:v>
                </c:pt>
                <c:pt idx="6185">
                  <c:v>2008</c:v>
                </c:pt>
                <c:pt idx="6186">
                  <c:v>2008</c:v>
                </c:pt>
                <c:pt idx="6187">
                  <c:v>2008</c:v>
                </c:pt>
                <c:pt idx="6188">
                  <c:v>2008</c:v>
                </c:pt>
                <c:pt idx="6189">
                  <c:v>2008</c:v>
                </c:pt>
                <c:pt idx="6190">
                  <c:v>2008</c:v>
                </c:pt>
                <c:pt idx="6191">
                  <c:v>2008</c:v>
                </c:pt>
                <c:pt idx="6192">
                  <c:v>2008</c:v>
                </c:pt>
                <c:pt idx="6193">
                  <c:v>2008</c:v>
                </c:pt>
                <c:pt idx="6194">
                  <c:v>2008</c:v>
                </c:pt>
                <c:pt idx="6195">
                  <c:v>2008</c:v>
                </c:pt>
                <c:pt idx="6196">
                  <c:v>2008</c:v>
                </c:pt>
                <c:pt idx="6197">
                  <c:v>2008</c:v>
                </c:pt>
                <c:pt idx="6198">
                  <c:v>2008</c:v>
                </c:pt>
                <c:pt idx="6199">
                  <c:v>2008</c:v>
                </c:pt>
                <c:pt idx="6200">
                  <c:v>2008</c:v>
                </c:pt>
                <c:pt idx="6201">
                  <c:v>2008</c:v>
                </c:pt>
                <c:pt idx="6202">
                  <c:v>2008</c:v>
                </c:pt>
                <c:pt idx="6203">
                  <c:v>2008</c:v>
                </c:pt>
                <c:pt idx="6204">
                  <c:v>2008</c:v>
                </c:pt>
                <c:pt idx="6205">
                  <c:v>2008</c:v>
                </c:pt>
                <c:pt idx="6206">
                  <c:v>2008</c:v>
                </c:pt>
                <c:pt idx="6207">
                  <c:v>2008</c:v>
                </c:pt>
                <c:pt idx="6208">
                  <c:v>2008</c:v>
                </c:pt>
                <c:pt idx="6209">
                  <c:v>2008</c:v>
                </c:pt>
                <c:pt idx="6210">
                  <c:v>2008</c:v>
                </c:pt>
                <c:pt idx="6211">
                  <c:v>2008</c:v>
                </c:pt>
                <c:pt idx="6212">
                  <c:v>2008</c:v>
                </c:pt>
                <c:pt idx="6213">
                  <c:v>2008</c:v>
                </c:pt>
                <c:pt idx="6214">
                  <c:v>2008</c:v>
                </c:pt>
                <c:pt idx="6215">
                  <c:v>2008</c:v>
                </c:pt>
                <c:pt idx="6216">
                  <c:v>2008</c:v>
                </c:pt>
                <c:pt idx="6217">
                  <c:v>2008</c:v>
                </c:pt>
                <c:pt idx="6218">
                  <c:v>2008</c:v>
                </c:pt>
                <c:pt idx="6219">
                  <c:v>2008</c:v>
                </c:pt>
                <c:pt idx="6220">
                  <c:v>2008</c:v>
                </c:pt>
                <c:pt idx="6221">
                  <c:v>2008</c:v>
                </c:pt>
                <c:pt idx="6222">
                  <c:v>2008</c:v>
                </c:pt>
                <c:pt idx="6223">
                  <c:v>2008</c:v>
                </c:pt>
                <c:pt idx="6224">
                  <c:v>2008</c:v>
                </c:pt>
                <c:pt idx="6225">
                  <c:v>2008</c:v>
                </c:pt>
                <c:pt idx="6226">
                  <c:v>2008</c:v>
                </c:pt>
                <c:pt idx="6227">
                  <c:v>2008</c:v>
                </c:pt>
                <c:pt idx="6228">
                  <c:v>2008</c:v>
                </c:pt>
                <c:pt idx="6229">
                  <c:v>2008</c:v>
                </c:pt>
                <c:pt idx="6230">
                  <c:v>2008</c:v>
                </c:pt>
                <c:pt idx="6231">
                  <c:v>2008</c:v>
                </c:pt>
                <c:pt idx="6232">
                  <c:v>2008</c:v>
                </c:pt>
                <c:pt idx="6233">
                  <c:v>2008</c:v>
                </c:pt>
                <c:pt idx="6234">
                  <c:v>2008</c:v>
                </c:pt>
                <c:pt idx="6235">
                  <c:v>2008</c:v>
                </c:pt>
                <c:pt idx="6236">
                  <c:v>2008</c:v>
                </c:pt>
                <c:pt idx="6237">
                  <c:v>2008</c:v>
                </c:pt>
                <c:pt idx="6238">
                  <c:v>2008</c:v>
                </c:pt>
                <c:pt idx="6239">
                  <c:v>2008</c:v>
                </c:pt>
                <c:pt idx="6240">
                  <c:v>2008</c:v>
                </c:pt>
                <c:pt idx="6241">
                  <c:v>2008</c:v>
                </c:pt>
                <c:pt idx="6242">
                  <c:v>2008</c:v>
                </c:pt>
                <c:pt idx="6243">
                  <c:v>2008</c:v>
                </c:pt>
                <c:pt idx="6244">
                  <c:v>2008</c:v>
                </c:pt>
                <c:pt idx="6245">
                  <c:v>2009</c:v>
                </c:pt>
                <c:pt idx="6246">
                  <c:v>2009</c:v>
                </c:pt>
                <c:pt idx="6247">
                  <c:v>2009</c:v>
                </c:pt>
                <c:pt idx="6248">
                  <c:v>2009</c:v>
                </c:pt>
                <c:pt idx="6249">
                  <c:v>2009</c:v>
                </c:pt>
                <c:pt idx="6250">
                  <c:v>2009</c:v>
                </c:pt>
                <c:pt idx="6251">
                  <c:v>2009</c:v>
                </c:pt>
                <c:pt idx="6252">
                  <c:v>2009</c:v>
                </c:pt>
                <c:pt idx="6253">
                  <c:v>2009</c:v>
                </c:pt>
                <c:pt idx="6254">
                  <c:v>2009</c:v>
                </c:pt>
                <c:pt idx="6255">
                  <c:v>2009</c:v>
                </c:pt>
                <c:pt idx="6256">
                  <c:v>2009</c:v>
                </c:pt>
                <c:pt idx="6257">
                  <c:v>2009</c:v>
                </c:pt>
                <c:pt idx="6258">
                  <c:v>2009</c:v>
                </c:pt>
                <c:pt idx="6259">
                  <c:v>2009</c:v>
                </c:pt>
                <c:pt idx="6260">
                  <c:v>2009</c:v>
                </c:pt>
                <c:pt idx="6261">
                  <c:v>2009</c:v>
                </c:pt>
                <c:pt idx="6262">
                  <c:v>2009</c:v>
                </c:pt>
                <c:pt idx="6263">
                  <c:v>2009</c:v>
                </c:pt>
                <c:pt idx="6264">
                  <c:v>2009</c:v>
                </c:pt>
                <c:pt idx="6265">
                  <c:v>2009</c:v>
                </c:pt>
                <c:pt idx="6266">
                  <c:v>2009</c:v>
                </c:pt>
                <c:pt idx="6267">
                  <c:v>2009</c:v>
                </c:pt>
                <c:pt idx="6268">
                  <c:v>2009</c:v>
                </c:pt>
                <c:pt idx="6269">
                  <c:v>2009</c:v>
                </c:pt>
                <c:pt idx="6270">
                  <c:v>2009</c:v>
                </c:pt>
                <c:pt idx="6271">
                  <c:v>2009</c:v>
                </c:pt>
                <c:pt idx="6272">
                  <c:v>2009</c:v>
                </c:pt>
                <c:pt idx="6273">
                  <c:v>2009</c:v>
                </c:pt>
                <c:pt idx="6274">
                  <c:v>2009</c:v>
                </c:pt>
                <c:pt idx="6275">
                  <c:v>2009</c:v>
                </c:pt>
                <c:pt idx="6276">
                  <c:v>2009</c:v>
                </c:pt>
                <c:pt idx="6277">
                  <c:v>2009</c:v>
                </c:pt>
                <c:pt idx="6278">
                  <c:v>2009</c:v>
                </c:pt>
                <c:pt idx="6279">
                  <c:v>2009</c:v>
                </c:pt>
                <c:pt idx="6280">
                  <c:v>2009</c:v>
                </c:pt>
                <c:pt idx="6281">
                  <c:v>2009</c:v>
                </c:pt>
                <c:pt idx="6282">
                  <c:v>2009</c:v>
                </c:pt>
                <c:pt idx="6283">
                  <c:v>2009</c:v>
                </c:pt>
                <c:pt idx="6284">
                  <c:v>2009</c:v>
                </c:pt>
                <c:pt idx="6285">
                  <c:v>2009</c:v>
                </c:pt>
                <c:pt idx="6286">
                  <c:v>2009</c:v>
                </c:pt>
                <c:pt idx="6287">
                  <c:v>2009</c:v>
                </c:pt>
                <c:pt idx="6288">
                  <c:v>2009</c:v>
                </c:pt>
                <c:pt idx="6289">
                  <c:v>2009</c:v>
                </c:pt>
                <c:pt idx="6290">
                  <c:v>2009</c:v>
                </c:pt>
                <c:pt idx="6291">
                  <c:v>2009</c:v>
                </c:pt>
                <c:pt idx="6292">
                  <c:v>2009</c:v>
                </c:pt>
                <c:pt idx="6293">
                  <c:v>2009</c:v>
                </c:pt>
                <c:pt idx="6294">
                  <c:v>2009</c:v>
                </c:pt>
                <c:pt idx="6295">
                  <c:v>2009</c:v>
                </c:pt>
                <c:pt idx="6296">
                  <c:v>2009</c:v>
                </c:pt>
                <c:pt idx="6297">
                  <c:v>2009</c:v>
                </c:pt>
                <c:pt idx="6298">
                  <c:v>2009</c:v>
                </c:pt>
                <c:pt idx="6299">
                  <c:v>2009</c:v>
                </c:pt>
                <c:pt idx="6300">
                  <c:v>2009</c:v>
                </c:pt>
                <c:pt idx="6301">
                  <c:v>2009</c:v>
                </c:pt>
                <c:pt idx="6302">
                  <c:v>2009</c:v>
                </c:pt>
                <c:pt idx="6303">
                  <c:v>2009</c:v>
                </c:pt>
                <c:pt idx="6304">
                  <c:v>2009</c:v>
                </c:pt>
                <c:pt idx="6305">
                  <c:v>2009</c:v>
                </c:pt>
                <c:pt idx="6306">
                  <c:v>2009</c:v>
                </c:pt>
                <c:pt idx="6307">
                  <c:v>2009</c:v>
                </c:pt>
                <c:pt idx="6308">
                  <c:v>2009</c:v>
                </c:pt>
                <c:pt idx="6309">
                  <c:v>2009</c:v>
                </c:pt>
                <c:pt idx="6310">
                  <c:v>2009</c:v>
                </c:pt>
                <c:pt idx="6311">
                  <c:v>2009</c:v>
                </c:pt>
                <c:pt idx="6312">
                  <c:v>2009</c:v>
                </c:pt>
                <c:pt idx="6313">
                  <c:v>2009</c:v>
                </c:pt>
                <c:pt idx="6314">
                  <c:v>2009</c:v>
                </c:pt>
                <c:pt idx="6315">
                  <c:v>2009</c:v>
                </c:pt>
                <c:pt idx="6316">
                  <c:v>2009</c:v>
                </c:pt>
                <c:pt idx="6317">
                  <c:v>2009</c:v>
                </c:pt>
                <c:pt idx="6318">
                  <c:v>2009</c:v>
                </c:pt>
                <c:pt idx="6319">
                  <c:v>2009</c:v>
                </c:pt>
                <c:pt idx="6320">
                  <c:v>2009</c:v>
                </c:pt>
                <c:pt idx="6321">
                  <c:v>2009</c:v>
                </c:pt>
                <c:pt idx="6322">
                  <c:v>2009</c:v>
                </c:pt>
                <c:pt idx="6323">
                  <c:v>2009</c:v>
                </c:pt>
                <c:pt idx="6324">
                  <c:v>2009</c:v>
                </c:pt>
                <c:pt idx="6325">
                  <c:v>2009</c:v>
                </c:pt>
                <c:pt idx="6326">
                  <c:v>2009</c:v>
                </c:pt>
                <c:pt idx="6327">
                  <c:v>2009</c:v>
                </c:pt>
                <c:pt idx="6328">
                  <c:v>2009</c:v>
                </c:pt>
                <c:pt idx="6329">
                  <c:v>2009</c:v>
                </c:pt>
                <c:pt idx="6330">
                  <c:v>2009</c:v>
                </c:pt>
                <c:pt idx="6331">
                  <c:v>2009</c:v>
                </c:pt>
                <c:pt idx="6332">
                  <c:v>2009</c:v>
                </c:pt>
                <c:pt idx="6333">
                  <c:v>2009</c:v>
                </c:pt>
                <c:pt idx="6334">
                  <c:v>2009</c:v>
                </c:pt>
                <c:pt idx="6335">
                  <c:v>2009</c:v>
                </c:pt>
                <c:pt idx="6336">
                  <c:v>2009</c:v>
                </c:pt>
                <c:pt idx="6337">
                  <c:v>2009</c:v>
                </c:pt>
                <c:pt idx="6338">
                  <c:v>2009</c:v>
                </c:pt>
                <c:pt idx="6339">
                  <c:v>2009</c:v>
                </c:pt>
                <c:pt idx="6340">
                  <c:v>2009</c:v>
                </c:pt>
                <c:pt idx="6341">
                  <c:v>2009</c:v>
                </c:pt>
                <c:pt idx="6342">
                  <c:v>2009</c:v>
                </c:pt>
                <c:pt idx="6343">
                  <c:v>2009</c:v>
                </c:pt>
                <c:pt idx="6344">
                  <c:v>2009</c:v>
                </c:pt>
                <c:pt idx="6345">
                  <c:v>2009</c:v>
                </c:pt>
                <c:pt idx="6346">
                  <c:v>2009</c:v>
                </c:pt>
                <c:pt idx="6347">
                  <c:v>2009</c:v>
                </c:pt>
                <c:pt idx="6348">
                  <c:v>2009</c:v>
                </c:pt>
                <c:pt idx="6349">
                  <c:v>2009</c:v>
                </c:pt>
                <c:pt idx="6350">
                  <c:v>2009</c:v>
                </c:pt>
                <c:pt idx="6351">
                  <c:v>2009</c:v>
                </c:pt>
                <c:pt idx="6352">
                  <c:v>2009</c:v>
                </c:pt>
                <c:pt idx="6353">
                  <c:v>2009</c:v>
                </c:pt>
                <c:pt idx="6354">
                  <c:v>2009</c:v>
                </c:pt>
                <c:pt idx="6355">
                  <c:v>2009</c:v>
                </c:pt>
                <c:pt idx="6356">
                  <c:v>2009</c:v>
                </c:pt>
                <c:pt idx="6357">
                  <c:v>2009</c:v>
                </c:pt>
                <c:pt idx="6358">
                  <c:v>2009</c:v>
                </c:pt>
                <c:pt idx="6359">
                  <c:v>2009</c:v>
                </c:pt>
                <c:pt idx="6360">
                  <c:v>2009</c:v>
                </c:pt>
                <c:pt idx="6361">
                  <c:v>2009</c:v>
                </c:pt>
                <c:pt idx="6362">
                  <c:v>2009</c:v>
                </c:pt>
                <c:pt idx="6363">
                  <c:v>2009</c:v>
                </c:pt>
                <c:pt idx="6364">
                  <c:v>2009</c:v>
                </c:pt>
                <c:pt idx="6365">
                  <c:v>2009</c:v>
                </c:pt>
                <c:pt idx="6366">
                  <c:v>2009</c:v>
                </c:pt>
                <c:pt idx="6367">
                  <c:v>2009</c:v>
                </c:pt>
                <c:pt idx="6368">
                  <c:v>2009</c:v>
                </c:pt>
                <c:pt idx="6369">
                  <c:v>2009</c:v>
                </c:pt>
                <c:pt idx="6370">
                  <c:v>2009</c:v>
                </c:pt>
                <c:pt idx="6371">
                  <c:v>2009</c:v>
                </c:pt>
                <c:pt idx="6372">
                  <c:v>2009</c:v>
                </c:pt>
                <c:pt idx="6373">
                  <c:v>2009</c:v>
                </c:pt>
                <c:pt idx="6374">
                  <c:v>2009</c:v>
                </c:pt>
                <c:pt idx="6375">
                  <c:v>2009</c:v>
                </c:pt>
                <c:pt idx="6376">
                  <c:v>2009</c:v>
                </c:pt>
                <c:pt idx="6377">
                  <c:v>2009</c:v>
                </c:pt>
                <c:pt idx="6378">
                  <c:v>2009</c:v>
                </c:pt>
                <c:pt idx="6379">
                  <c:v>2009</c:v>
                </c:pt>
                <c:pt idx="6380">
                  <c:v>2009</c:v>
                </c:pt>
                <c:pt idx="6381">
                  <c:v>2009</c:v>
                </c:pt>
                <c:pt idx="6382">
                  <c:v>2009</c:v>
                </c:pt>
                <c:pt idx="6383">
                  <c:v>2009</c:v>
                </c:pt>
                <c:pt idx="6384">
                  <c:v>2009</c:v>
                </c:pt>
                <c:pt idx="6385">
                  <c:v>2009</c:v>
                </c:pt>
                <c:pt idx="6386">
                  <c:v>2009</c:v>
                </c:pt>
                <c:pt idx="6387">
                  <c:v>2009</c:v>
                </c:pt>
                <c:pt idx="6388">
                  <c:v>2009</c:v>
                </c:pt>
                <c:pt idx="6389">
                  <c:v>2009</c:v>
                </c:pt>
                <c:pt idx="6390">
                  <c:v>2009</c:v>
                </c:pt>
                <c:pt idx="6391">
                  <c:v>2009</c:v>
                </c:pt>
                <c:pt idx="6392">
                  <c:v>2009</c:v>
                </c:pt>
                <c:pt idx="6393">
                  <c:v>2009</c:v>
                </c:pt>
                <c:pt idx="6394">
                  <c:v>2009</c:v>
                </c:pt>
                <c:pt idx="6395">
                  <c:v>2009</c:v>
                </c:pt>
                <c:pt idx="6396">
                  <c:v>2009</c:v>
                </c:pt>
                <c:pt idx="6397">
                  <c:v>2009</c:v>
                </c:pt>
                <c:pt idx="6398">
                  <c:v>2009</c:v>
                </c:pt>
                <c:pt idx="6399">
                  <c:v>2009</c:v>
                </c:pt>
                <c:pt idx="6400">
                  <c:v>2009</c:v>
                </c:pt>
                <c:pt idx="6401">
                  <c:v>2009</c:v>
                </c:pt>
                <c:pt idx="6402">
                  <c:v>2009</c:v>
                </c:pt>
                <c:pt idx="6403">
                  <c:v>2009</c:v>
                </c:pt>
                <c:pt idx="6404">
                  <c:v>2009</c:v>
                </c:pt>
                <c:pt idx="6405">
                  <c:v>2009</c:v>
                </c:pt>
                <c:pt idx="6406">
                  <c:v>2009</c:v>
                </c:pt>
                <c:pt idx="6407">
                  <c:v>2009</c:v>
                </c:pt>
                <c:pt idx="6408">
                  <c:v>2009</c:v>
                </c:pt>
                <c:pt idx="6409">
                  <c:v>2009</c:v>
                </c:pt>
                <c:pt idx="6410">
                  <c:v>2009</c:v>
                </c:pt>
                <c:pt idx="6411">
                  <c:v>2009</c:v>
                </c:pt>
                <c:pt idx="6412">
                  <c:v>2009</c:v>
                </c:pt>
                <c:pt idx="6413">
                  <c:v>2009</c:v>
                </c:pt>
                <c:pt idx="6414">
                  <c:v>2009</c:v>
                </c:pt>
                <c:pt idx="6415">
                  <c:v>2009</c:v>
                </c:pt>
                <c:pt idx="6416">
                  <c:v>2009</c:v>
                </c:pt>
                <c:pt idx="6417">
                  <c:v>2009</c:v>
                </c:pt>
                <c:pt idx="6418">
                  <c:v>2009</c:v>
                </c:pt>
                <c:pt idx="6419">
                  <c:v>2009</c:v>
                </c:pt>
                <c:pt idx="6420">
                  <c:v>2009</c:v>
                </c:pt>
                <c:pt idx="6421">
                  <c:v>2009</c:v>
                </c:pt>
                <c:pt idx="6422">
                  <c:v>2009</c:v>
                </c:pt>
                <c:pt idx="6423">
                  <c:v>2009</c:v>
                </c:pt>
                <c:pt idx="6424">
                  <c:v>2009</c:v>
                </c:pt>
                <c:pt idx="6425">
                  <c:v>2009</c:v>
                </c:pt>
                <c:pt idx="6426">
                  <c:v>2009</c:v>
                </c:pt>
                <c:pt idx="6427">
                  <c:v>2009</c:v>
                </c:pt>
                <c:pt idx="6428">
                  <c:v>2009</c:v>
                </c:pt>
                <c:pt idx="6429">
                  <c:v>2009</c:v>
                </c:pt>
                <c:pt idx="6430">
                  <c:v>2009</c:v>
                </c:pt>
                <c:pt idx="6431">
                  <c:v>2009</c:v>
                </c:pt>
                <c:pt idx="6432">
                  <c:v>2009</c:v>
                </c:pt>
                <c:pt idx="6433">
                  <c:v>2009</c:v>
                </c:pt>
                <c:pt idx="6434">
                  <c:v>2009</c:v>
                </c:pt>
                <c:pt idx="6435">
                  <c:v>2009</c:v>
                </c:pt>
                <c:pt idx="6436">
                  <c:v>2009</c:v>
                </c:pt>
                <c:pt idx="6437">
                  <c:v>2009</c:v>
                </c:pt>
                <c:pt idx="6438">
                  <c:v>2009</c:v>
                </c:pt>
                <c:pt idx="6439">
                  <c:v>2009</c:v>
                </c:pt>
                <c:pt idx="6440">
                  <c:v>2009</c:v>
                </c:pt>
                <c:pt idx="6441">
                  <c:v>2009</c:v>
                </c:pt>
                <c:pt idx="6442">
                  <c:v>2009</c:v>
                </c:pt>
                <c:pt idx="6443">
                  <c:v>2009</c:v>
                </c:pt>
                <c:pt idx="6444">
                  <c:v>2009</c:v>
                </c:pt>
                <c:pt idx="6445">
                  <c:v>2009</c:v>
                </c:pt>
                <c:pt idx="6446">
                  <c:v>2009</c:v>
                </c:pt>
                <c:pt idx="6447">
                  <c:v>2009</c:v>
                </c:pt>
                <c:pt idx="6448">
                  <c:v>2009</c:v>
                </c:pt>
                <c:pt idx="6449">
                  <c:v>2009</c:v>
                </c:pt>
                <c:pt idx="6450">
                  <c:v>2009</c:v>
                </c:pt>
                <c:pt idx="6451">
                  <c:v>2009</c:v>
                </c:pt>
                <c:pt idx="6452">
                  <c:v>2009</c:v>
                </c:pt>
                <c:pt idx="6453">
                  <c:v>2009</c:v>
                </c:pt>
                <c:pt idx="6454">
                  <c:v>2009</c:v>
                </c:pt>
                <c:pt idx="6455">
                  <c:v>2009</c:v>
                </c:pt>
                <c:pt idx="6456">
                  <c:v>2009</c:v>
                </c:pt>
                <c:pt idx="6457">
                  <c:v>2009</c:v>
                </c:pt>
                <c:pt idx="6458">
                  <c:v>2009</c:v>
                </c:pt>
                <c:pt idx="6459">
                  <c:v>2009</c:v>
                </c:pt>
                <c:pt idx="6460">
                  <c:v>2009</c:v>
                </c:pt>
                <c:pt idx="6461">
                  <c:v>2009</c:v>
                </c:pt>
                <c:pt idx="6462">
                  <c:v>2009</c:v>
                </c:pt>
                <c:pt idx="6463">
                  <c:v>2009</c:v>
                </c:pt>
                <c:pt idx="6464">
                  <c:v>2009</c:v>
                </c:pt>
                <c:pt idx="6465">
                  <c:v>2009</c:v>
                </c:pt>
                <c:pt idx="6466">
                  <c:v>2009</c:v>
                </c:pt>
                <c:pt idx="6467">
                  <c:v>2009</c:v>
                </c:pt>
                <c:pt idx="6468">
                  <c:v>2009</c:v>
                </c:pt>
                <c:pt idx="6469">
                  <c:v>2009</c:v>
                </c:pt>
                <c:pt idx="6470">
                  <c:v>2009</c:v>
                </c:pt>
                <c:pt idx="6471">
                  <c:v>2009</c:v>
                </c:pt>
                <c:pt idx="6472">
                  <c:v>2009</c:v>
                </c:pt>
                <c:pt idx="6473">
                  <c:v>2009</c:v>
                </c:pt>
                <c:pt idx="6474">
                  <c:v>2009</c:v>
                </c:pt>
                <c:pt idx="6475">
                  <c:v>2009</c:v>
                </c:pt>
                <c:pt idx="6476">
                  <c:v>2009</c:v>
                </c:pt>
                <c:pt idx="6477">
                  <c:v>2009</c:v>
                </c:pt>
                <c:pt idx="6478">
                  <c:v>2009</c:v>
                </c:pt>
                <c:pt idx="6479">
                  <c:v>2009</c:v>
                </c:pt>
                <c:pt idx="6480">
                  <c:v>2009</c:v>
                </c:pt>
                <c:pt idx="6481">
                  <c:v>2009</c:v>
                </c:pt>
                <c:pt idx="6482">
                  <c:v>2009</c:v>
                </c:pt>
                <c:pt idx="6483">
                  <c:v>2009</c:v>
                </c:pt>
                <c:pt idx="6484">
                  <c:v>2009</c:v>
                </c:pt>
                <c:pt idx="6485">
                  <c:v>2009</c:v>
                </c:pt>
                <c:pt idx="6486">
                  <c:v>2009</c:v>
                </c:pt>
                <c:pt idx="6487">
                  <c:v>2009</c:v>
                </c:pt>
                <c:pt idx="6488">
                  <c:v>2009</c:v>
                </c:pt>
                <c:pt idx="6489">
                  <c:v>2009</c:v>
                </c:pt>
                <c:pt idx="6490">
                  <c:v>2009</c:v>
                </c:pt>
                <c:pt idx="6491">
                  <c:v>2009</c:v>
                </c:pt>
                <c:pt idx="6492">
                  <c:v>2009</c:v>
                </c:pt>
                <c:pt idx="6493">
                  <c:v>2009</c:v>
                </c:pt>
                <c:pt idx="6494">
                  <c:v>2009</c:v>
                </c:pt>
                <c:pt idx="6495">
                  <c:v>2009</c:v>
                </c:pt>
                <c:pt idx="6496">
                  <c:v>2009</c:v>
                </c:pt>
                <c:pt idx="6497">
                  <c:v>2009</c:v>
                </c:pt>
                <c:pt idx="6498">
                  <c:v>2009</c:v>
                </c:pt>
                <c:pt idx="6499">
                  <c:v>2009</c:v>
                </c:pt>
                <c:pt idx="6500">
                  <c:v>2009</c:v>
                </c:pt>
                <c:pt idx="6501">
                  <c:v>2009</c:v>
                </c:pt>
                <c:pt idx="6502">
                  <c:v>2009</c:v>
                </c:pt>
                <c:pt idx="6503">
                  <c:v>2009</c:v>
                </c:pt>
                <c:pt idx="6504">
                  <c:v>2009</c:v>
                </c:pt>
                <c:pt idx="6505">
                  <c:v>2009</c:v>
                </c:pt>
                <c:pt idx="6506">
                  <c:v>2009</c:v>
                </c:pt>
                <c:pt idx="6507">
                  <c:v>2009</c:v>
                </c:pt>
                <c:pt idx="6508">
                  <c:v>2009</c:v>
                </c:pt>
                <c:pt idx="6509">
                  <c:v>2009</c:v>
                </c:pt>
                <c:pt idx="6510">
                  <c:v>2009</c:v>
                </c:pt>
                <c:pt idx="6511">
                  <c:v>2009</c:v>
                </c:pt>
                <c:pt idx="6512">
                  <c:v>2009</c:v>
                </c:pt>
                <c:pt idx="6513">
                  <c:v>2009</c:v>
                </c:pt>
                <c:pt idx="6514">
                  <c:v>2009</c:v>
                </c:pt>
                <c:pt idx="6515">
                  <c:v>2009</c:v>
                </c:pt>
                <c:pt idx="6516">
                  <c:v>2009</c:v>
                </c:pt>
                <c:pt idx="6517">
                  <c:v>2009</c:v>
                </c:pt>
                <c:pt idx="6518">
                  <c:v>2009</c:v>
                </c:pt>
                <c:pt idx="6519">
                  <c:v>2009</c:v>
                </c:pt>
                <c:pt idx="6520">
                  <c:v>2009</c:v>
                </c:pt>
                <c:pt idx="6521">
                  <c:v>2009</c:v>
                </c:pt>
                <c:pt idx="6522">
                  <c:v>2009</c:v>
                </c:pt>
                <c:pt idx="6523">
                  <c:v>2009</c:v>
                </c:pt>
                <c:pt idx="6524">
                  <c:v>2009</c:v>
                </c:pt>
                <c:pt idx="6525">
                  <c:v>2009</c:v>
                </c:pt>
                <c:pt idx="6526">
                  <c:v>2009</c:v>
                </c:pt>
                <c:pt idx="6527">
                  <c:v>2009</c:v>
                </c:pt>
                <c:pt idx="6528">
                  <c:v>2009</c:v>
                </c:pt>
                <c:pt idx="6529">
                  <c:v>2009</c:v>
                </c:pt>
                <c:pt idx="6530">
                  <c:v>2009</c:v>
                </c:pt>
                <c:pt idx="6531">
                  <c:v>2009</c:v>
                </c:pt>
                <c:pt idx="6532">
                  <c:v>2009</c:v>
                </c:pt>
                <c:pt idx="6533">
                  <c:v>2009</c:v>
                </c:pt>
                <c:pt idx="6534">
                  <c:v>2009</c:v>
                </c:pt>
                <c:pt idx="6535">
                  <c:v>2009</c:v>
                </c:pt>
                <c:pt idx="6536">
                  <c:v>2009</c:v>
                </c:pt>
                <c:pt idx="6537">
                  <c:v>2009</c:v>
                </c:pt>
                <c:pt idx="6538">
                  <c:v>2009</c:v>
                </c:pt>
                <c:pt idx="6539">
                  <c:v>2009</c:v>
                </c:pt>
                <c:pt idx="6540">
                  <c:v>2009</c:v>
                </c:pt>
                <c:pt idx="6541">
                  <c:v>2009</c:v>
                </c:pt>
                <c:pt idx="6542">
                  <c:v>2009</c:v>
                </c:pt>
                <c:pt idx="6543">
                  <c:v>2009</c:v>
                </c:pt>
                <c:pt idx="6544">
                  <c:v>2009</c:v>
                </c:pt>
                <c:pt idx="6545">
                  <c:v>2009</c:v>
                </c:pt>
                <c:pt idx="6546">
                  <c:v>2009</c:v>
                </c:pt>
                <c:pt idx="6547">
                  <c:v>2009</c:v>
                </c:pt>
                <c:pt idx="6548">
                  <c:v>2009</c:v>
                </c:pt>
                <c:pt idx="6549">
                  <c:v>2009</c:v>
                </c:pt>
                <c:pt idx="6550">
                  <c:v>2009</c:v>
                </c:pt>
                <c:pt idx="6551">
                  <c:v>2009</c:v>
                </c:pt>
                <c:pt idx="6552">
                  <c:v>2009</c:v>
                </c:pt>
                <c:pt idx="6553">
                  <c:v>2009</c:v>
                </c:pt>
                <c:pt idx="6554">
                  <c:v>2009</c:v>
                </c:pt>
                <c:pt idx="6555">
                  <c:v>2009</c:v>
                </c:pt>
                <c:pt idx="6556">
                  <c:v>2009</c:v>
                </c:pt>
                <c:pt idx="6557">
                  <c:v>2009</c:v>
                </c:pt>
                <c:pt idx="6558">
                  <c:v>2009</c:v>
                </c:pt>
                <c:pt idx="6559">
                  <c:v>2009</c:v>
                </c:pt>
                <c:pt idx="6560">
                  <c:v>2009</c:v>
                </c:pt>
                <c:pt idx="6561">
                  <c:v>2009</c:v>
                </c:pt>
                <c:pt idx="6562">
                  <c:v>2009</c:v>
                </c:pt>
                <c:pt idx="6563">
                  <c:v>2009</c:v>
                </c:pt>
                <c:pt idx="6564">
                  <c:v>2009</c:v>
                </c:pt>
                <c:pt idx="6565">
                  <c:v>2009</c:v>
                </c:pt>
                <c:pt idx="6566">
                  <c:v>2009</c:v>
                </c:pt>
                <c:pt idx="6567">
                  <c:v>2009</c:v>
                </c:pt>
                <c:pt idx="6568">
                  <c:v>2009</c:v>
                </c:pt>
                <c:pt idx="6569">
                  <c:v>2009</c:v>
                </c:pt>
                <c:pt idx="6570">
                  <c:v>2009</c:v>
                </c:pt>
                <c:pt idx="6571">
                  <c:v>2009</c:v>
                </c:pt>
                <c:pt idx="6572">
                  <c:v>2009</c:v>
                </c:pt>
                <c:pt idx="6573">
                  <c:v>2009</c:v>
                </c:pt>
                <c:pt idx="6574">
                  <c:v>2009</c:v>
                </c:pt>
                <c:pt idx="6575">
                  <c:v>2009</c:v>
                </c:pt>
                <c:pt idx="6576">
                  <c:v>2009</c:v>
                </c:pt>
                <c:pt idx="6577">
                  <c:v>2009</c:v>
                </c:pt>
                <c:pt idx="6578">
                  <c:v>2009</c:v>
                </c:pt>
                <c:pt idx="6579">
                  <c:v>2009</c:v>
                </c:pt>
                <c:pt idx="6580">
                  <c:v>2009</c:v>
                </c:pt>
                <c:pt idx="6581">
                  <c:v>2009</c:v>
                </c:pt>
                <c:pt idx="6582">
                  <c:v>2009</c:v>
                </c:pt>
                <c:pt idx="6583">
                  <c:v>2009</c:v>
                </c:pt>
                <c:pt idx="6584">
                  <c:v>2009</c:v>
                </c:pt>
                <c:pt idx="6585">
                  <c:v>2009</c:v>
                </c:pt>
                <c:pt idx="6586">
                  <c:v>2009</c:v>
                </c:pt>
                <c:pt idx="6587">
                  <c:v>2009</c:v>
                </c:pt>
                <c:pt idx="6588">
                  <c:v>2009</c:v>
                </c:pt>
                <c:pt idx="6589">
                  <c:v>2009</c:v>
                </c:pt>
                <c:pt idx="6590">
                  <c:v>2009</c:v>
                </c:pt>
                <c:pt idx="6591">
                  <c:v>2009</c:v>
                </c:pt>
                <c:pt idx="6592">
                  <c:v>2009</c:v>
                </c:pt>
                <c:pt idx="6593">
                  <c:v>2009</c:v>
                </c:pt>
                <c:pt idx="6594">
                  <c:v>2009</c:v>
                </c:pt>
                <c:pt idx="6595">
                  <c:v>2009</c:v>
                </c:pt>
                <c:pt idx="6596">
                  <c:v>2009</c:v>
                </c:pt>
                <c:pt idx="6597">
                  <c:v>2009</c:v>
                </c:pt>
                <c:pt idx="6598">
                  <c:v>2009</c:v>
                </c:pt>
                <c:pt idx="6599">
                  <c:v>2009</c:v>
                </c:pt>
                <c:pt idx="6600">
                  <c:v>2009</c:v>
                </c:pt>
                <c:pt idx="6601">
                  <c:v>2009</c:v>
                </c:pt>
                <c:pt idx="6602">
                  <c:v>2009</c:v>
                </c:pt>
                <c:pt idx="6603">
                  <c:v>2009</c:v>
                </c:pt>
                <c:pt idx="6604">
                  <c:v>2009</c:v>
                </c:pt>
                <c:pt idx="6605">
                  <c:v>2009</c:v>
                </c:pt>
                <c:pt idx="6606">
                  <c:v>2009</c:v>
                </c:pt>
                <c:pt idx="6607">
                  <c:v>2009</c:v>
                </c:pt>
                <c:pt idx="6608">
                  <c:v>2009</c:v>
                </c:pt>
                <c:pt idx="6609">
                  <c:v>2009</c:v>
                </c:pt>
                <c:pt idx="6610">
                  <c:v>2010</c:v>
                </c:pt>
                <c:pt idx="6611">
                  <c:v>2010</c:v>
                </c:pt>
                <c:pt idx="6612">
                  <c:v>2010</c:v>
                </c:pt>
                <c:pt idx="6613">
                  <c:v>2010</c:v>
                </c:pt>
                <c:pt idx="6614">
                  <c:v>2010</c:v>
                </c:pt>
                <c:pt idx="6615">
                  <c:v>2010</c:v>
                </c:pt>
                <c:pt idx="6616">
                  <c:v>2010</c:v>
                </c:pt>
                <c:pt idx="6617">
                  <c:v>2010</c:v>
                </c:pt>
                <c:pt idx="6618">
                  <c:v>2010</c:v>
                </c:pt>
                <c:pt idx="6619">
                  <c:v>2010</c:v>
                </c:pt>
                <c:pt idx="6620">
                  <c:v>2010</c:v>
                </c:pt>
                <c:pt idx="6621">
                  <c:v>2010</c:v>
                </c:pt>
                <c:pt idx="6622">
                  <c:v>2010</c:v>
                </c:pt>
                <c:pt idx="6623">
                  <c:v>2010</c:v>
                </c:pt>
                <c:pt idx="6624">
                  <c:v>2010</c:v>
                </c:pt>
                <c:pt idx="6625">
                  <c:v>2010</c:v>
                </c:pt>
                <c:pt idx="6626">
                  <c:v>2010</c:v>
                </c:pt>
                <c:pt idx="6627">
                  <c:v>2010</c:v>
                </c:pt>
                <c:pt idx="6628">
                  <c:v>2010</c:v>
                </c:pt>
                <c:pt idx="6629">
                  <c:v>2010</c:v>
                </c:pt>
                <c:pt idx="6630">
                  <c:v>2010</c:v>
                </c:pt>
                <c:pt idx="6631">
                  <c:v>2010</c:v>
                </c:pt>
                <c:pt idx="6632">
                  <c:v>2010</c:v>
                </c:pt>
                <c:pt idx="6633">
                  <c:v>2010</c:v>
                </c:pt>
                <c:pt idx="6634">
                  <c:v>2010</c:v>
                </c:pt>
                <c:pt idx="6635">
                  <c:v>2010</c:v>
                </c:pt>
                <c:pt idx="6636">
                  <c:v>2010</c:v>
                </c:pt>
                <c:pt idx="6637">
                  <c:v>2010</c:v>
                </c:pt>
                <c:pt idx="6638">
                  <c:v>2010</c:v>
                </c:pt>
                <c:pt idx="6639">
                  <c:v>2010</c:v>
                </c:pt>
                <c:pt idx="6640">
                  <c:v>2010</c:v>
                </c:pt>
                <c:pt idx="6641">
                  <c:v>2010</c:v>
                </c:pt>
                <c:pt idx="6642">
                  <c:v>2010</c:v>
                </c:pt>
                <c:pt idx="6643">
                  <c:v>2010</c:v>
                </c:pt>
                <c:pt idx="6644">
                  <c:v>2010</c:v>
                </c:pt>
                <c:pt idx="6645">
                  <c:v>2010</c:v>
                </c:pt>
                <c:pt idx="6646">
                  <c:v>2010</c:v>
                </c:pt>
                <c:pt idx="6647">
                  <c:v>2010</c:v>
                </c:pt>
                <c:pt idx="6648">
                  <c:v>2010</c:v>
                </c:pt>
                <c:pt idx="6649">
                  <c:v>2010</c:v>
                </c:pt>
                <c:pt idx="6650">
                  <c:v>2010</c:v>
                </c:pt>
                <c:pt idx="6651">
                  <c:v>2010</c:v>
                </c:pt>
                <c:pt idx="6652">
                  <c:v>2010</c:v>
                </c:pt>
                <c:pt idx="6653">
                  <c:v>2010</c:v>
                </c:pt>
                <c:pt idx="6654">
                  <c:v>2010</c:v>
                </c:pt>
                <c:pt idx="6655">
                  <c:v>2010</c:v>
                </c:pt>
                <c:pt idx="6656">
                  <c:v>2010</c:v>
                </c:pt>
                <c:pt idx="6657">
                  <c:v>2010</c:v>
                </c:pt>
                <c:pt idx="6658">
                  <c:v>2010</c:v>
                </c:pt>
                <c:pt idx="6659">
                  <c:v>2010</c:v>
                </c:pt>
                <c:pt idx="6660">
                  <c:v>2010</c:v>
                </c:pt>
                <c:pt idx="6661">
                  <c:v>2010</c:v>
                </c:pt>
                <c:pt idx="6662">
                  <c:v>2010</c:v>
                </c:pt>
                <c:pt idx="6663">
                  <c:v>2010</c:v>
                </c:pt>
                <c:pt idx="6664">
                  <c:v>2010</c:v>
                </c:pt>
                <c:pt idx="6665">
                  <c:v>2010</c:v>
                </c:pt>
                <c:pt idx="6666">
                  <c:v>2010</c:v>
                </c:pt>
                <c:pt idx="6667">
                  <c:v>2010</c:v>
                </c:pt>
                <c:pt idx="6668">
                  <c:v>2010</c:v>
                </c:pt>
                <c:pt idx="6669">
                  <c:v>2010</c:v>
                </c:pt>
                <c:pt idx="6670">
                  <c:v>2010</c:v>
                </c:pt>
                <c:pt idx="6671">
                  <c:v>2010</c:v>
                </c:pt>
                <c:pt idx="6672">
                  <c:v>2010</c:v>
                </c:pt>
                <c:pt idx="6673">
                  <c:v>2010</c:v>
                </c:pt>
                <c:pt idx="6674">
                  <c:v>2010</c:v>
                </c:pt>
                <c:pt idx="6675">
                  <c:v>2010</c:v>
                </c:pt>
                <c:pt idx="6676">
                  <c:v>2010</c:v>
                </c:pt>
                <c:pt idx="6677">
                  <c:v>2010</c:v>
                </c:pt>
                <c:pt idx="6678">
                  <c:v>2010</c:v>
                </c:pt>
                <c:pt idx="6679">
                  <c:v>2010</c:v>
                </c:pt>
                <c:pt idx="6680">
                  <c:v>2010</c:v>
                </c:pt>
                <c:pt idx="6681">
                  <c:v>2010</c:v>
                </c:pt>
                <c:pt idx="6682">
                  <c:v>2010</c:v>
                </c:pt>
                <c:pt idx="6683">
                  <c:v>2010</c:v>
                </c:pt>
                <c:pt idx="6684">
                  <c:v>2010</c:v>
                </c:pt>
                <c:pt idx="6685">
                  <c:v>2010</c:v>
                </c:pt>
                <c:pt idx="6686">
                  <c:v>2010</c:v>
                </c:pt>
                <c:pt idx="6687">
                  <c:v>2010</c:v>
                </c:pt>
                <c:pt idx="6688">
                  <c:v>2010</c:v>
                </c:pt>
                <c:pt idx="6689">
                  <c:v>2010</c:v>
                </c:pt>
                <c:pt idx="6690">
                  <c:v>2010</c:v>
                </c:pt>
                <c:pt idx="6691">
                  <c:v>2010</c:v>
                </c:pt>
                <c:pt idx="6692">
                  <c:v>2010</c:v>
                </c:pt>
                <c:pt idx="6693">
                  <c:v>2010</c:v>
                </c:pt>
                <c:pt idx="6694">
                  <c:v>2010</c:v>
                </c:pt>
                <c:pt idx="6695">
                  <c:v>2010</c:v>
                </c:pt>
                <c:pt idx="6696">
                  <c:v>2010</c:v>
                </c:pt>
                <c:pt idx="6697">
                  <c:v>2010</c:v>
                </c:pt>
                <c:pt idx="6698">
                  <c:v>2010</c:v>
                </c:pt>
                <c:pt idx="6699">
                  <c:v>2010</c:v>
                </c:pt>
                <c:pt idx="6700">
                  <c:v>2010</c:v>
                </c:pt>
                <c:pt idx="6701">
                  <c:v>2010</c:v>
                </c:pt>
                <c:pt idx="6702">
                  <c:v>2010</c:v>
                </c:pt>
                <c:pt idx="6703">
                  <c:v>2010</c:v>
                </c:pt>
                <c:pt idx="6704">
                  <c:v>2010</c:v>
                </c:pt>
                <c:pt idx="6705">
                  <c:v>2010</c:v>
                </c:pt>
                <c:pt idx="6706">
                  <c:v>2010</c:v>
                </c:pt>
                <c:pt idx="6707">
                  <c:v>2010</c:v>
                </c:pt>
                <c:pt idx="6708">
                  <c:v>2010</c:v>
                </c:pt>
                <c:pt idx="6709">
                  <c:v>2010</c:v>
                </c:pt>
                <c:pt idx="6710">
                  <c:v>2010</c:v>
                </c:pt>
                <c:pt idx="6711">
                  <c:v>2010</c:v>
                </c:pt>
                <c:pt idx="6712">
                  <c:v>2010</c:v>
                </c:pt>
                <c:pt idx="6713">
                  <c:v>2010</c:v>
                </c:pt>
                <c:pt idx="6714">
                  <c:v>2010</c:v>
                </c:pt>
                <c:pt idx="6715">
                  <c:v>2010</c:v>
                </c:pt>
                <c:pt idx="6716">
                  <c:v>2010</c:v>
                </c:pt>
                <c:pt idx="6717">
                  <c:v>2010</c:v>
                </c:pt>
                <c:pt idx="6718">
                  <c:v>2010</c:v>
                </c:pt>
                <c:pt idx="6719">
                  <c:v>2010</c:v>
                </c:pt>
                <c:pt idx="6720">
                  <c:v>2010</c:v>
                </c:pt>
                <c:pt idx="6721">
                  <c:v>2010</c:v>
                </c:pt>
                <c:pt idx="6722">
                  <c:v>2010</c:v>
                </c:pt>
                <c:pt idx="6723">
                  <c:v>2010</c:v>
                </c:pt>
                <c:pt idx="6724">
                  <c:v>2010</c:v>
                </c:pt>
                <c:pt idx="6725">
                  <c:v>2010</c:v>
                </c:pt>
                <c:pt idx="6726">
                  <c:v>2010</c:v>
                </c:pt>
                <c:pt idx="6727">
                  <c:v>2010</c:v>
                </c:pt>
                <c:pt idx="6728">
                  <c:v>2010</c:v>
                </c:pt>
                <c:pt idx="6729">
                  <c:v>2010</c:v>
                </c:pt>
                <c:pt idx="6730">
                  <c:v>2010</c:v>
                </c:pt>
                <c:pt idx="6731">
                  <c:v>2010</c:v>
                </c:pt>
                <c:pt idx="6732">
                  <c:v>2010</c:v>
                </c:pt>
                <c:pt idx="6733">
                  <c:v>2010</c:v>
                </c:pt>
                <c:pt idx="6734">
                  <c:v>2010</c:v>
                </c:pt>
                <c:pt idx="6735">
                  <c:v>2010</c:v>
                </c:pt>
                <c:pt idx="6736">
                  <c:v>2010</c:v>
                </c:pt>
                <c:pt idx="6737">
                  <c:v>2010</c:v>
                </c:pt>
                <c:pt idx="6738">
                  <c:v>2010</c:v>
                </c:pt>
                <c:pt idx="6739">
                  <c:v>2010</c:v>
                </c:pt>
                <c:pt idx="6740">
                  <c:v>2010</c:v>
                </c:pt>
                <c:pt idx="6741">
                  <c:v>2010</c:v>
                </c:pt>
                <c:pt idx="6742">
                  <c:v>2010</c:v>
                </c:pt>
                <c:pt idx="6743">
                  <c:v>2010</c:v>
                </c:pt>
                <c:pt idx="6744">
                  <c:v>2010</c:v>
                </c:pt>
                <c:pt idx="6745">
                  <c:v>2010</c:v>
                </c:pt>
                <c:pt idx="6746">
                  <c:v>2010</c:v>
                </c:pt>
                <c:pt idx="6747">
                  <c:v>2010</c:v>
                </c:pt>
                <c:pt idx="6748">
                  <c:v>2010</c:v>
                </c:pt>
                <c:pt idx="6749">
                  <c:v>2010</c:v>
                </c:pt>
                <c:pt idx="6750">
                  <c:v>2010</c:v>
                </c:pt>
                <c:pt idx="6751">
                  <c:v>2010</c:v>
                </c:pt>
                <c:pt idx="6752">
                  <c:v>2010</c:v>
                </c:pt>
                <c:pt idx="6753">
                  <c:v>2010</c:v>
                </c:pt>
                <c:pt idx="6754">
                  <c:v>2010</c:v>
                </c:pt>
                <c:pt idx="6755">
                  <c:v>2010</c:v>
                </c:pt>
                <c:pt idx="6756">
                  <c:v>2010</c:v>
                </c:pt>
                <c:pt idx="6757">
                  <c:v>2010</c:v>
                </c:pt>
                <c:pt idx="6758">
                  <c:v>2010</c:v>
                </c:pt>
                <c:pt idx="6759">
                  <c:v>2010</c:v>
                </c:pt>
                <c:pt idx="6760">
                  <c:v>2010</c:v>
                </c:pt>
                <c:pt idx="6761">
                  <c:v>2010</c:v>
                </c:pt>
                <c:pt idx="6762">
                  <c:v>2010</c:v>
                </c:pt>
                <c:pt idx="6763">
                  <c:v>2010</c:v>
                </c:pt>
                <c:pt idx="6764">
                  <c:v>2010</c:v>
                </c:pt>
                <c:pt idx="6765">
                  <c:v>2010</c:v>
                </c:pt>
                <c:pt idx="6766">
                  <c:v>2010</c:v>
                </c:pt>
                <c:pt idx="6767">
                  <c:v>2010</c:v>
                </c:pt>
                <c:pt idx="6768">
                  <c:v>2010</c:v>
                </c:pt>
                <c:pt idx="6769">
                  <c:v>2010</c:v>
                </c:pt>
                <c:pt idx="6770">
                  <c:v>2010</c:v>
                </c:pt>
                <c:pt idx="6771">
                  <c:v>2010</c:v>
                </c:pt>
                <c:pt idx="6772">
                  <c:v>2010</c:v>
                </c:pt>
                <c:pt idx="6773">
                  <c:v>2010</c:v>
                </c:pt>
                <c:pt idx="6774">
                  <c:v>2010</c:v>
                </c:pt>
                <c:pt idx="6775">
                  <c:v>2010</c:v>
                </c:pt>
                <c:pt idx="6776">
                  <c:v>2010</c:v>
                </c:pt>
                <c:pt idx="6777">
                  <c:v>2010</c:v>
                </c:pt>
                <c:pt idx="6778">
                  <c:v>2010</c:v>
                </c:pt>
                <c:pt idx="6779">
                  <c:v>2010</c:v>
                </c:pt>
                <c:pt idx="6780">
                  <c:v>2010</c:v>
                </c:pt>
                <c:pt idx="6781">
                  <c:v>2010</c:v>
                </c:pt>
                <c:pt idx="6782">
                  <c:v>2010</c:v>
                </c:pt>
                <c:pt idx="6783">
                  <c:v>2010</c:v>
                </c:pt>
                <c:pt idx="6784">
                  <c:v>2010</c:v>
                </c:pt>
                <c:pt idx="6785">
                  <c:v>2010</c:v>
                </c:pt>
                <c:pt idx="6786">
                  <c:v>2010</c:v>
                </c:pt>
                <c:pt idx="6787">
                  <c:v>2010</c:v>
                </c:pt>
                <c:pt idx="6788">
                  <c:v>2010</c:v>
                </c:pt>
                <c:pt idx="6789">
                  <c:v>2010</c:v>
                </c:pt>
                <c:pt idx="6790">
                  <c:v>2010</c:v>
                </c:pt>
                <c:pt idx="6791">
                  <c:v>2010</c:v>
                </c:pt>
                <c:pt idx="6792">
                  <c:v>2010</c:v>
                </c:pt>
                <c:pt idx="6793">
                  <c:v>2010</c:v>
                </c:pt>
                <c:pt idx="6794">
                  <c:v>2010</c:v>
                </c:pt>
                <c:pt idx="6795">
                  <c:v>2010</c:v>
                </c:pt>
                <c:pt idx="6796">
                  <c:v>2010</c:v>
                </c:pt>
                <c:pt idx="6797">
                  <c:v>2010</c:v>
                </c:pt>
                <c:pt idx="6798">
                  <c:v>2010</c:v>
                </c:pt>
                <c:pt idx="6799">
                  <c:v>2010</c:v>
                </c:pt>
                <c:pt idx="6800">
                  <c:v>2010</c:v>
                </c:pt>
                <c:pt idx="6801">
                  <c:v>2010</c:v>
                </c:pt>
                <c:pt idx="6802">
                  <c:v>2010</c:v>
                </c:pt>
                <c:pt idx="6803">
                  <c:v>2010</c:v>
                </c:pt>
                <c:pt idx="6804">
                  <c:v>2010</c:v>
                </c:pt>
                <c:pt idx="6805">
                  <c:v>2010</c:v>
                </c:pt>
                <c:pt idx="6806">
                  <c:v>2010</c:v>
                </c:pt>
                <c:pt idx="6807">
                  <c:v>2010</c:v>
                </c:pt>
                <c:pt idx="6808">
                  <c:v>2010</c:v>
                </c:pt>
                <c:pt idx="6809">
                  <c:v>2010</c:v>
                </c:pt>
                <c:pt idx="6810">
                  <c:v>2010</c:v>
                </c:pt>
                <c:pt idx="6811">
                  <c:v>2010</c:v>
                </c:pt>
                <c:pt idx="6812">
                  <c:v>2010</c:v>
                </c:pt>
                <c:pt idx="6813">
                  <c:v>2010</c:v>
                </c:pt>
                <c:pt idx="6814">
                  <c:v>2010</c:v>
                </c:pt>
                <c:pt idx="6815">
                  <c:v>2010</c:v>
                </c:pt>
                <c:pt idx="6816">
                  <c:v>2010</c:v>
                </c:pt>
                <c:pt idx="6817">
                  <c:v>2010</c:v>
                </c:pt>
                <c:pt idx="6818">
                  <c:v>2010</c:v>
                </c:pt>
                <c:pt idx="6819">
                  <c:v>2010</c:v>
                </c:pt>
                <c:pt idx="6820">
                  <c:v>2010</c:v>
                </c:pt>
                <c:pt idx="6821">
                  <c:v>2010</c:v>
                </c:pt>
                <c:pt idx="6822">
                  <c:v>2010</c:v>
                </c:pt>
                <c:pt idx="6823">
                  <c:v>2010</c:v>
                </c:pt>
                <c:pt idx="6824">
                  <c:v>2010</c:v>
                </c:pt>
                <c:pt idx="6825">
                  <c:v>2010</c:v>
                </c:pt>
                <c:pt idx="6826">
                  <c:v>2010</c:v>
                </c:pt>
                <c:pt idx="6827">
                  <c:v>2010</c:v>
                </c:pt>
                <c:pt idx="6828">
                  <c:v>2010</c:v>
                </c:pt>
                <c:pt idx="6829">
                  <c:v>2010</c:v>
                </c:pt>
                <c:pt idx="6830">
                  <c:v>2010</c:v>
                </c:pt>
                <c:pt idx="6831">
                  <c:v>2010</c:v>
                </c:pt>
                <c:pt idx="6832">
                  <c:v>2010</c:v>
                </c:pt>
                <c:pt idx="6833">
                  <c:v>2010</c:v>
                </c:pt>
                <c:pt idx="6834">
                  <c:v>2010</c:v>
                </c:pt>
                <c:pt idx="6835">
                  <c:v>2010</c:v>
                </c:pt>
                <c:pt idx="6836">
                  <c:v>2010</c:v>
                </c:pt>
                <c:pt idx="6837">
                  <c:v>2010</c:v>
                </c:pt>
                <c:pt idx="6838">
                  <c:v>2010</c:v>
                </c:pt>
                <c:pt idx="6839">
                  <c:v>2010</c:v>
                </c:pt>
                <c:pt idx="6840">
                  <c:v>2010</c:v>
                </c:pt>
                <c:pt idx="6841">
                  <c:v>2010</c:v>
                </c:pt>
                <c:pt idx="6842">
                  <c:v>2010</c:v>
                </c:pt>
                <c:pt idx="6843">
                  <c:v>2010</c:v>
                </c:pt>
                <c:pt idx="6844">
                  <c:v>2010</c:v>
                </c:pt>
                <c:pt idx="6845">
                  <c:v>2010</c:v>
                </c:pt>
                <c:pt idx="6846">
                  <c:v>2010</c:v>
                </c:pt>
                <c:pt idx="6847">
                  <c:v>2010</c:v>
                </c:pt>
                <c:pt idx="6848">
                  <c:v>2010</c:v>
                </c:pt>
                <c:pt idx="6849">
                  <c:v>2010</c:v>
                </c:pt>
                <c:pt idx="6850">
                  <c:v>2010</c:v>
                </c:pt>
                <c:pt idx="6851">
                  <c:v>2010</c:v>
                </c:pt>
                <c:pt idx="6852">
                  <c:v>2010</c:v>
                </c:pt>
                <c:pt idx="6853">
                  <c:v>2010</c:v>
                </c:pt>
                <c:pt idx="6854">
                  <c:v>2010</c:v>
                </c:pt>
                <c:pt idx="6855">
                  <c:v>2010</c:v>
                </c:pt>
                <c:pt idx="6856">
                  <c:v>2010</c:v>
                </c:pt>
                <c:pt idx="6857">
                  <c:v>2010</c:v>
                </c:pt>
                <c:pt idx="6858">
                  <c:v>2010</c:v>
                </c:pt>
                <c:pt idx="6859">
                  <c:v>2010</c:v>
                </c:pt>
                <c:pt idx="6860">
                  <c:v>2010</c:v>
                </c:pt>
                <c:pt idx="6861">
                  <c:v>2010</c:v>
                </c:pt>
                <c:pt idx="6862">
                  <c:v>2010</c:v>
                </c:pt>
                <c:pt idx="6863">
                  <c:v>2010</c:v>
                </c:pt>
                <c:pt idx="6864">
                  <c:v>2010</c:v>
                </c:pt>
                <c:pt idx="6865">
                  <c:v>2010</c:v>
                </c:pt>
                <c:pt idx="6866">
                  <c:v>2010</c:v>
                </c:pt>
                <c:pt idx="6867">
                  <c:v>2010</c:v>
                </c:pt>
                <c:pt idx="6868">
                  <c:v>2010</c:v>
                </c:pt>
                <c:pt idx="6869">
                  <c:v>2010</c:v>
                </c:pt>
                <c:pt idx="6870">
                  <c:v>2010</c:v>
                </c:pt>
                <c:pt idx="6871">
                  <c:v>2010</c:v>
                </c:pt>
                <c:pt idx="6872">
                  <c:v>2010</c:v>
                </c:pt>
                <c:pt idx="6873">
                  <c:v>2010</c:v>
                </c:pt>
                <c:pt idx="6874">
                  <c:v>2010</c:v>
                </c:pt>
                <c:pt idx="6875">
                  <c:v>2010</c:v>
                </c:pt>
                <c:pt idx="6876">
                  <c:v>2010</c:v>
                </c:pt>
                <c:pt idx="6877">
                  <c:v>2010</c:v>
                </c:pt>
                <c:pt idx="6878">
                  <c:v>2010</c:v>
                </c:pt>
                <c:pt idx="6879">
                  <c:v>2010</c:v>
                </c:pt>
                <c:pt idx="6880">
                  <c:v>2010</c:v>
                </c:pt>
                <c:pt idx="6881">
                  <c:v>2010</c:v>
                </c:pt>
                <c:pt idx="6882">
                  <c:v>2010</c:v>
                </c:pt>
                <c:pt idx="6883">
                  <c:v>2010</c:v>
                </c:pt>
                <c:pt idx="6884">
                  <c:v>2010</c:v>
                </c:pt>
                <c:pt idx="6885">
                  <c:v>2010</c:v>
                </c:pt>
                <c:pt idx="6886">
                  <c:v>2010</c:v>
                </c:pt>
                <c:pt idx="6887">
                  <c:v>2010</c:v>
                </c:pt>
                <c:pt idx="6888">
                  <c:v>2010</c:v>
                </c:pt>
                <c:pt idx="6889">
                  <c:v>2010</c:v>
                </c:pt>
                <c:pt idx="6890">
                  <c:v>2010</c:v>
                </c:pt>
                <c:pt idx="6891">
                  <c:v>2010</c:v>
                </c:pt>
                <c:pt idx="6892">
                  <c:v>2010</c:v>
                </c:pt>
                <c:pt idx="6893">
                  <c:v>2010</c:v>
                </c:pt>
                <c:pt idx="6894">
                  <c:v>2010</c:v>
                </c:pt>
                <c:pt idx="6895">
                  <c:v>2010</c:v>
                </c:pt>
                <c:pt idx="6896">
                  <c:v>2010</c:v>
                </c:pt>
                <c:pt idx="6897">
                  <c:v>2010</c:v>
                </c:pt>
                <c:pt idx="6898">
                  <c:v>2010</c:v>
                </c:pt>
                <c:pt idx="6899">
                  <c:v>2010</c:v>
                </c:pt>
                <c:pt idx="6900">
                  <c:v>2010</c:v>
                </c:pt>
                <c:pt idx="6901">
                  <c:v>2010</c:v>
                </c:pt>
                <c:pt idx="6902">
                  <c:v>2010</c:v>
                </c:pt>
                <c:pt idx="6903">
                  <c:v>2010</c:v>
                </c:pt>
                <c:pt idx="6904">
                  <c:v>2010</c:v>
                </c:pt>
                <c:pt idx="6905">
                  <c:v>2010</c:v>
                </c:pt>
                <c:pt idx="6906">
                  <c:v>2010</c:v>
                </c:pt>
                <c:pt idx="6907">
                  <c:v>2010</c:v>
                </c:pt>
                <c:pt idx="6908">
                  <c:v>2010</c:v>
                </c:pt>
                <c:pt idx="6909">
                  <c:v>2010</c:v>
                </c:pt>
                <c:pt idx="6910">
                  <c:v>2010</c:v>
                </c:pt>
                <c:pt idx="6911">
                  <c:v>2010</c:v>
                </c:pt>
                <c:pt idx="6912">
                  <c:v>2010</c:v>
                </c:pt>
                <c:pt idx="6913">
                  <c:v>2010</c:v>
                </c:pt>
                <c:pt idx="6914">
                  <c:v>2010</c:v>
                </c:pt>
                <c:pt idx="6915">
                  <c:v>2010</c:v>
                </c:pt>
                <c:pt idx="6916">
                  <c:v>2010</c:v>
                </c:pt>
                <c:pt idx="6917">
                  <c:v>2010</c:v>
                </c:pt>
                <c:pt idx="6918">
                  <c:v>2010</c:v>
                </c:pt>
                <c:pt idx="6919">
                  <c:v>2010</c:v>
                </c:pt>
                <c:pt idx="6920">
                  <c:v>2010</c:v>
                </c:pt>
                <c:pt idx="6921">
                  <c:v>2010</c:v>
                </c:pt>
                <c:pt idx="6922">
                  <c:v>2010</c:v>
                </c:pt>
                <c:pt idx="6923">
                  <c:v>2010</c:v>
                </c:pt>
                <c:pt idx="6924">
                  <c:v>2010</c:v>
                </c:pt>
                <c:pt idx="6925">
                  <c:v>2010</c:v>
                </c:pt>
                <c:pt idx="6926">
                  <c:v>2010</c:v>
                </c:pt>
                <c:pt idx="6927">
                  <c:v>2010</c:v>
                </c:pt>
                <c:pt idx="6928">
                  <c:v>2010</c:v>
                </c:pt>
                <c:pt idx="6929">
                  <c:v>2010</c:v>
                </c:pt>
                <c:pt idx="6930">
                  <c:v>2010</c:v>
                </c:pt>
                <c:pt idx="6931">
                  <c:v>2010</c:v>
                </c:pt>
                <c:pt idx="6932">
                  <c:v>2010</c:v>
                </c:pt>
                <c:pt idx="6933">
                  <c:v>2010</c:v>
                </c:pt>
                <c:pt idx="6934">
                  <c:v>2010</c:v>
                </c:pt>
                <c:pt idx="6935">
                  <c:v>2010</c:v>
                </c:pt>
                <c:pt idx="6936">
                  <c:v>2010</c:v>
                </c:pt>
                <c:pt idx="6937">
                  <c:v>2010</c:v>
                </c:pt>
                <c:pt idx="6938">
                  <c:v>2010</c:v>
                </c:pt>
                <c:pt idx="6939">
                  <c:v>2010</c:v>
                </c:pt>
                <c:pt idx="6940">
                  <c:v>2010</c:v>
                </c:pt>
                <c:pt idx="6941">
                  <c:v>2010</c:v>
                </c:pt>
                <c:pt idx="6942">
                  <c:v>2010</c:v>
                </c:pt>
                <c:pt idx="6943">
                  <c:v>2010</c:v>
                </c:pt>
                <c:pt idx="6944">
                  <c:v>2010</c:v>
                </c:pt>
                <c:pt idx="6945">
                  <c:v>2010</c:v>
                </c:pt>
                <c:pt idx="6946">
                  <c:v>2010</c:v>
                </c:pt>
                <c:pt idx="6947">
                  <c:v>2010</c:v>
                </c:pt>
                <c:pt idx="6948">
                  <c:v>2010</c:v>
                </c:pt>
                <c:pt idx="6949">
                  <c:v>2010</c:v>
                </c:pt>
                <c:pt idx="6950">
                  <c:v>2010</c:v>
                </c:pt>
                <c:pt idx="6951">
                  <c:v>2010</c:v>
                </c:pt>
                <c:pt idx="6952">
                  <c:v>2010</c:v>
                </c:pt>
                <c:pt idx="6953">
                  <c:v>2010</c:v>
                </c:pt>
                <c:pt idx="6954">
                  <c:v>2010</c:v>
                </c:pt>
                <c:pt idx="6955">
                  <c:v>2010</c:v>
                </c:pt>
                <c:pt idx="6956">
                  <c:v>2010</c:v>
                </c:pt>
                <c:pt idx="6957">
                  <c:v>2010</c:v>
                </c:pt>
                <c:pt idx="6958">
                  <c:v>2010</c:v>
                </c:pt>
                <c:pt idx="6959">
                  <c:v>2010</c:v>
                </c:pt>
                <c:pt idx="6960">
                  <c:v>2010</c:v>
                </c:pt>
                <c:pt idx="6961">
                  <c:v>2010</c:v>
                </c:pt>
                <c:pt idx="6962">
                  <c:v>2010</c:v>
                </c:pt>
                <c:pt idx="6963">
                  <c:v>2010</c:v>
                </c:pt>
                <c:pt idx="6964">
                  <c:v>2010</c:v>
                </c:pt>
                <c:pt idx="6965">
                  <c:v>2010</c:v>
                </c:pt>
                <c:pt idx="6966">
                  <c:v>2010</c:v>
                </c:pt>
                <c:pt idx="6967">
                  <c:v>2010</c:v>
                </c:pt>
                <c:pt idx="6968">
                  <c:v>2010</c:v>
                </c:pt>
                <c:pt idx="6969">
                  <c:v>2010</c:v>
                </c:pt>
                <c:pt idx="6970">
                  <c:v>2010</c:v>
                </c:pt>
                <c:pt idx="6971">
                  <c:v>2010</c:v>
                </c:pt>
                <c:pt idx="6972">
                  <c:v>2010</c:v>
                </c:pt>
                <c:pt idx="6973">
                  <c:v>2010</c:v>
                </c:pt>
                <c:pt idx="6974">
                  <c:v>2010</c:v>
                </c:pt>
                <c:pt idx="6975">
                  <c:v>2011</c:v>
                </c:pt>
                <c:pt idx="6976">
                  <c:v>2011</c:v>
                </c:pt>
                <c:pt idx="6977">
                  <c:v>2011</c:v>
                </c:pt>
                <c:pt idx="6978">
                  <c:v>2011</c:v>
                </c:pt>
                <c:pt idx="6979">
                  <c:v>2011</c:v>
                </c:pt>
                <c:pt idx="6980">
                  <c:v>2011</c:v>
                </c:pt>
                <c:pt idx="6981">
                  <c:v>2011</c:v>
                </c:pt>
                <c:pt idx="6982">
                  <c:v>2011</c:v>
                </c:pt>
                <c:pt idx="6983">
                  <c:v>2011</c:v>
                </c:pt>
                <c:pt idx="6984">
                  <c:v>2011</c:v>
                </c:pt>
                <c:pt idx="6985">
                  <c:v>2011</c:v>
                </c:pt>
                <c:pt idx="6986">
                  <c:v>2011</c:v>
                </c:pt>
                <c:pt idx="6987">
                  <c:v>2011</c:v>
                </c:pt>
                <c:pt idx="6988">
                  <c:v>2011</c:v>
                </c:pt>
                <c:pt idx="6989">
                  <c:v>2011</c:v>
                </c:pt>
                <c:pt idx="6990">
                  <c:v>2011</c:v>
                </c:pt>
                <c:pt idx="6991">
                  <c:v>2011</c:v>
                </c:pt>
                <c:pt idx="6992">
                  <c:v>2011</c:v>
                </c:pt>
                <c:pt idx="6993">
                  <c:v>2011</c:v>
                </c:pt>
                <c:pt idx="6994">
                  <c:v>2011</c:v>
                </c:pt>
                <c:pt idx="6995">
                  <c:v>2011</c:v>
                </c:pt>
                <c:pt idx="6996">
                  <c:v>2011</c:v>
                </c:pt>
                <c:pt idx="6997">
                  <c:v>2011</c:v>
                </c:pt>
                <c:pt idx="6998">
                  <c:v>2011</c:v>
                </c:pt>
                <c:pt idx="6999">
                  <c:v>2011</c:v>
                </c:pt>
                <c:pt idx="7000">
                  <c:v>2011</c:v>
                </c:pt>
                <c:pt idx="7001">
                  <c:v>2011</c:v>
                </c:pt>
                <c:pt idx="7002">
                  <c:v>2011</c:v>
                </c:pt>
                <c:pt idx="7003">
                  <c:v>2011</c:v>
                </c:pt>
                <c:pt idx="7004">
                  <c:v>2011</c:v>
                </c:pt>
                <c:pt idx="7005">
                  <c:v>2011</c:v>
                </c:pt>
                <c:pt idx="7006">
                  <c:v>2011</c:v>
                </c:pt>
                <c:pt idx="7007">
                  <c:v>2011</c:v>
                </c:pt>
                <c:pt idx="7008">
                  <c:v>2011</c:v>
                </c:pt>
                <c:pt idx="7009">
                  <c:v>2011</c:v>
                </c:pt>
                <c:pt idx="7010">
                  <c:v>2011</c:v>
                </c:pt>
                <c:pt idx="7011">
                  <c:v>2011</c:v>
                </c:pt>
                <c:pt idx="7012">
                  <c:v>2011</c:v>
                </c:pt>
                <c:pt idx="7013">
                  <c:v>2011</c:v>
                </c:pt>
                <c:pt idx="7014">
                  <c:v>2011</c:v>
                </c:pt>
                <c:pt idx="7015">
                  <c:v>2011</c:v>
                </c:pt>
                <c:pt idx="7016">
                  <c:v>2011</c:v>
                </c:pt>
                <c:pt idx="7017">
                  <c:v>2011</c:v>
                </c:pt>
                <c:pt idx="7018">
                  <c:v>2011</c:v>
                </c:pt>
                <c:pt idx="7019">
                  <c:v>2011</c:v>
                </c:pt>
                <c:pt idx="7020">
                  <c:v>2011</c:v>
                </c:pt>
                <c:pt idx="7021">
                  <c:v>2011</c:v>
                </c:pt>
                <c:pt idx="7022">
                  <c:v>2011</c:v>
                </c:pt>
                <c:pt idx="7023">
                  <c:v>2011</c:v>
                </c:pt>
                <c:pt idx="7024">
                  <c:v>2011</c:v>
                </c:pt>
                <c:pt idx="7025">
                  <c:v>2011</c:v>
                </c:pt>
                <c:pt idx="7026">
                  <c:v>2011</c:v>
                </c:pt>
                <c:pt idx="7027">
                  <c:v>2011</c:v>
                </c:pt>
                <c:pt idx="7028">
                  <c:v>2011</c:v>
                </c:pt>
                <c:pt idx="7029">
                  <c:v>2011</c:v>
                </c:pt>
                <c:pt idx="7030">
                  <c:v>2011</c:v>
                </c:pt>
                <c:pt idx="7031">
                  <c:v>2011</c:v>
                </c:pt>
                <c:pt idx="7032">
                  <c:v>2011</c:v>
                </c:pt>
                <c:pt idx="7033">
                  <c:v>2011</c:v>
                </c:pt>
                <c:pt idx="7034">
                  <c:v>2011</c:v>
                </c:pt>
                <c:pt idx="7035">
                  <c:v>2011</c:v>
                </c:pt>
                <c:pt idx="7036">
                  <c:v>2011</c:v>
                </c:pt>
                <c:pt idx="7037">
                  <c:v>2011</c:v>
                </c:pt>
                <c:pt idx="7038">
                  <c:v>2011</c:v>
                </c:pt>
                <c:pt idx="7039">
                  <c:v>2011</c:v>
                </c:pt>
                <c:pt idx="7040">
                  <c:v>2011</c:v>
                </c:pt>
                <c:pt idx="7041">
                  <c:v>2011</c:v>
                </c:pt>
                <c:pt idx="7042">
                  <c:v>2011</c:v>
                </c:pt>
                <c:pt idx="7043">
                  <c:v>2011</c:v>
                </c:pt>
                <c:pt idx="7044">
                  <c:v>2011</c:v>
                </c:pt>
                <c:pt idx="7045">
                  <c:v>2011</c:v>
                </c:pt>
                <c:pt idx="7046">
                  <c:v>2011</c:v>
                </c:pt>
                <c:pt idx="7047">
                  <c:v>2011</c:v>
                </c:pt>
                <c:pt idx="7048">
                  <c:v>2011</c:v>
                </c:pt>
                <c:pt idx="7049">
                  <c:v>2011</c:v>
                </c:pt>
                <c:pt idx="7050">
                  <c:v>2011</c:v>
                </c:pt>
                <c:pt idx="7051">
                  <c:v>2011</c:v>
                </c:pt>
                <c:pt idx="7052">
                  <c:v>2011</c:v>
                </c:pt>
                <c:pt idx="7053">
                  <c:v>2011</c:v>
                </c:pt>
                <c:pt idx="7054">
                  <c:v>2011</c:v>
                </c:pt>
                <c:pt idx="7055">
                  <c:v>2011</c:v>
                </c:pt>
                <c:pt idx="7056">
                  <c:v>2011</c:v>
                </c:pt>
                <c:pt idx="7057">
                  <c:v>2011</c:v>
                </c:pt>
                <c:pt idx="7058">
                  <c:v>2011</c:v>
                </c:pt>
                <c:pt idx="7059">
                  <c:v>2011</c:v>
                </c:pt>
                <c:pt idx="7060">
                  <c:v>2011</c:v>
                </c:pt>
                <c:pt idx="7061">
                  <c:v>2011</c:v>
                </c:pt>
                <c:pt idx="7062">
                  <c:v>2011</c:v>
                </c:pt>
                <c:pt idx="7063">
                  <c:v>2011</c:v>
                </c:pt>
                <c:pt idx="7064">
                  <c:v>2011</c:v>
                </c:pt>
                <c:pt idx="7065">
                  <c:v>2011</c:v>
                </c:pt>
                <c:pt idx="7066">
                  <c:v>2011</c:v>
                </c:pt>
                <c:pt idx="7067">
                  <c:v>2011</c:v>
                </c:pt>
                <c:pt idx="7068">
                  <c:v>2011</c:v>
                </c:pt>
                <c:pt idx="7069">
                  <c:v>2011</c:v>
                </c:pt>
                <c:pt idx="7070">
                  <c:v>2011</c:v>
                </c:pt>
                <c:pt idx="7071">
                  <c:v>2011</c:v>
                </c:pt>
                <c:pt idx="7072">
                  <c:v>2011</c:v>
                </c:pt>
                <c:pt idx="7073">
                  <c:v>2011</c:v>
                </c:pt>
                <c:pt idx="7074">
                  <c:v>2011</c:v>
                </c:pt>
                <c:pt idx="7075">
                  <c:v>2011</c:v>
                </c:pt>
                <c:pt idx="7076">
                  <c:v>2011</c:v>
                </c:pt>
                <c:pt idx="7077">
                  <c:v>2011</c:v>
                </c:pt>
                <c:pt idx="7078">
                  <c:v>2011</c:v>
                </c:pt>
                <c:pt idx="7079">
                  <c:v>2011</c:v>
                </c:pt>
                <c:pt idx="7080">
                  <c:v>2011</c:v>
                </c:pt>
                <c:pt idx="7081">
                  <c:v>2011</c:v>
                </c:pt>
                <c:pt idx="7082">
                  <c:v>2011</c:v>
                </c:pt>
                <c:pt idx="7083">
                  <c:v>2011</c:v>
                </c:pt>
                <c:pt idx="7084">
                  <c:v>2011</c:v>
                </c:pt>
                <c:pt idx="7085">
                  <c:v>2011</c:v>
                </c:pt>
                <c:pt idx="7086">
                  <c:v>2011</c:v>
                </c:pt>
                <c:pt idx="7087">
                  <c:v>2011</c:v>
                </c:pt>
                <c:pt idx="7088">
                  <c:v>2011</c:v>
                </c:pt>
                <c:pt idx="7089">
                  <c:v>2011</c:v>
                </c:pt>
                <c:pt idx="7090">
                  <c:v>2011</c:v>
                </c:pt>
                <c:pt idx="7091">
                  <c:v>2011</c:v>
                </c:pt>
                <c:pt idx="7092">
                  <c:v>2011</c:v>
                </c:pt>
                <c:pt idx="7093">
                  <c:v>2011</c:v>
                </c:pt>
                <c:pt idx="7094">
                  <c:v>2011</c:v>
                </c:pt>
                <c:pt idx="7095">
                  <c:v>2011</c:v>
                </c:pt>
                <c:pt idx="7096">
                  <c:v>2011</c:v>
                </c:pt>
                <c:pt idx="7097">
                  <c:v>2011</c:v>
                </c:pt>
                <c:pt idx="7098">
                  <c:v>2011</c:v>
                </c:pt>
                <c:pt idx="7099">
                  <c:v>2011</c:v>
                </c:pt>
                <c:pt idx="7100">
                  <c:v>2011</c:v>
                </c:pt>
                <c:pt idx="7101">
                  <c:v>2011</c:v>
                </c:pt>
                <c:pt idx="7102">
                  <c:v>2011</c:v>
                </c:pt>
                <c:pt idx="7103">
                  <c:v>2011</c:v>
                </c:pt>
                <c:pt idx="7104">
                  <c:v>2011</c:v>
                </c:pt>
                <c:pt idx="7105">
                  <c:v>2011</c:v>
                </c:pt>
                <c:pt idx="7106">
                  <c:v>2011</c:v>
                </c:pt>
                <c:pt idx="7107">
                  <c:v>2011</c:v>
                </c:pt>
                <c:pt idx="7108">
                  <c:v>2011</c:v>
                </c:pt>
                <c:pt idx="7109">
                  <c:v>2011</c:v>
                </c:pt>
                <c:pt idx="7110">
                  <c:v>2011</c:v>
                </c:pt>
                <c:pt idx="7111">
                  <c:v>2011</c:v>
                </c:pt>
                <c:pt idx="7112">
                  <c:v>2011</c:v>
                </c:pt>
                <c:pt idx="7113">
                  <c:v>2011</c:v>
                </c:pt>
                <c:pt idx="7114">
                  <c:v>2011</c:v>
                </c:pt>
                <c:pt idx="7115">
                  <c:v>2011</c:v>
                </c:pt>
                <c:pt idx="7116">
                  <c:v>2011</c:v>
                </c:pt>
                <c:pt idx="7117">
                  <c:v>2011</c:v>
                </c:pt>
                <c:pt idx="7118">
                  <c:v>2011</c:v>
                </c:pt>
                <c:pt idx="7119">
                  <c:v>2011</c:v>
                </c:pt>
                <c:pt idx="7120">
                  <c:v>2011</c:v>
                </c:pt>
                <c:pt idx="7121">
                  <c:v>2011</c:v>
                </c:pt>
                <c:pt idx="7122">
                  <c:v>2011</c:v>
                </c:pt>
                <c:pt idx="7123">
                  <c:v>2011</c:v>
                </c:pt>
                <c:pt idx="7124">
                  <c:v>2011</c:v>
                </c:pt>
                <c:pt idx="7125">
                  <c:v>2011</c:v>
                </c:pt>
                <c:pt idx="7126">
                  <c:v>2011</c:v>
                </c:pt>
                <c:pt idx="7127">
                  <c:v>2011</c:v>
                </c:pt>
                <c:pt idx="7128">
                  <c:v>2011</c:v>
                </c:pt>
                <c:pt idx="7129">
                  <c:v>2011</c:v>
                </c:pt>
                <c:pt idx="7130">
                  <c:v>2011</c:v>
                </c:pt>
                <c:pt idx="7131">
                  <c:v>2011</c:v>
                </c:pt>
                <c:pt idx="7132">
                  <c:v>2011</c:v>
                </c:pt>
                <c:pt idx="7133">
                  <c:v>2011</c:v>
                </c:pt>
                <c:pt idx="7134">
                  <c:v>2011</c:v>
                </c:pt>
                <c:pt idx="7135">
                  <c:v>2011</c:v>
                </c:pt>
                <c:pt idx="7136">
                  <c:v>2011</c:v>
                </c:pt>
                <c:pt idx="7137">
                  <c:v>2011</c:v>
                </c:pt>
                <c:pt idx="7138">
                  <c:v>2011</c:v>
                </c:pt>
                <c:pt idx="7139">
                  <c:v>2011</c:v>
                </c:pt>
                <c:pt idx="7140">
                  <c:v>2011</c:v>
                </c:pt>
                <c:pt idx="7141">
                  <c:v>2011</c:v>
                </c:pt>
                <c:pt idx="7142">
                  <c:v>2011</c:v>
                </c:pt>
                <c:pt idx="7143">
                  <c:v>2011</c:v>
                </c:pt>
                <c:pt idx="7144">
                  <c:v>2011</c:v>
                </c:pt>
                <c:pt idx="7145">
                  <c:v>2011</c:v>
                </c:pt>
                <c:pt idx="7146">
                  <c:v>2011</c:v>
                </c:pt>
                <c:pt idx="7147">
                  <c:v>2011</c:v>
                </c:pt>
                <c:pt idx="7148">
                  <c:v>2011</c:v>
                </c:pt>
                <c:pt idx="7149">
                  <c:v>2011</c:v>
                </c:pt>
                <c:pt idx="7150">
                  <c:v>2011</c:v>
                </c:pt>
                <c:pt idx="7151">
                  <c:v>2011</c:v>
                </c:pt>
                <c:pt idx="7152">
                  <c:v>2011</c:v>
                </c:pt>
                <c:pt idx="7153">
                  <c:v>2011</c:v>
                </c:pt>
                <c:pt idx="7154">
                  <c:v>2011</c:v>
                </c:pt>
                <c:pt idx="7155">
                  <c:v>2011</c:v>
                </c:pt>
                <c:pt idx="7156">
                  <c:v>2011</c:v>
                </c:pt>
                <c:pt idx="7157">
                  <c:v>2011</c:v>
                </c:pt>
                <c:pt idx="7158">
                  <c:v>2011</c:v>
                </c:pt>
                <c:pt idx="7159">
                  <c:v>2011</c:v>
                </c:pt>
                <c:pt idx="7160">
                  <c:v>2011</c:v>
                </c:pt>
                <c:pt idx="7161">
                  <c:v>2011</c:v>
                </c:pt>
                <c:pt idx="7162">
                  <c:v>2011</c:v>
                </c:pt>
                <c:pt idx="7163">
                  <c:v>2011</c:v>
                </c:pt>
                <c:pt idx="7164">
                  <c:v>2011</c:v>
                </c:pt>
                <c:pt idx="7165">
                  <c:v>2011</c:v>
                </c:pt>
                <c:pt idx="7166">
                  <c:v>2011</c:v>
                </c:pt>
                <c:pt idx="7167">
                  <c:v>2011</c:v>
                </c:pt>
                <c:pt idx="7168">
                  <c:v>2011</c:v>
                </c:pt>
                <c:pt idx="7169">
                  <c:v>2011</c:v>
                </c:pt>
                <c:pt idx="7170">
                  <c:v>2011</c:v>
                </c:pt>
                <c:pt idx="7171">
                  <c:v>2011</c:v>
                </c:pt>
                <c:pt idx="7172">
                  <c:v>2011</c:v>
                </c:pt>
                <c:pt idx="7173">
                  <c:v>2011</c:v>
                </c:pt>
                <c:pt idx="7174">
                  <c:v>2011</c:v>
                </c:pt>
                <c:pt idx="7175">
                  <c:v>2011</c:v>
                </c:pt>
                <c:pt idx="7176">
                  <c:v>2011</c:v>
                </c:pt>
                <c:pt idx="7177">
                  <c:v>2011</c:v>
                </c:pt>
                <c:pt idx="7178">
                  <c:v>2011</c:v>
                </c:pt>
                <c:pt idx="7179">
                  <c:v>2011</c:v>
                </c:pt>
                <c:pt idx="7180">
                  <c:v>2011</c:v>
                </c:pt>
                <c:pt idx="7181">
                  <c:v>2011</c:v>
                </c:pt>
                <c:pt idx="7182">
                  <c:v>2011</c:v>
                </c:pt>
                <c:pt idx="7183">
                  <c:v>2011</c:v>
                </c:pt>
                <c:pt idx="7184">
                  <c:v>2011</c:v>
                </c:pt>
                <c:pt idx="7185">
                  <c:v>2011</c:v>
                </c:pt>
                <c:pt idx="7186">
                  <c:v>2011</c:v>
                </c:pt>
                <c:pt idx="7187">
                  <c:v>2011</c:v>
                </c:pt>
                <c:pt idx="7188">
                  <c:v>2011</c:v>
                </c:pt>
                <c:pt idx="7189">
                  <c:v>2011</c:v>
                </c:pt>
                <c:pt idx="7190">
                  <c:v>2011</c:v>
                </c:pt>
                <c:pt idx="7191">
                  <c:v>2011</c:v>
                </c:pt>
                <c:pt idx="7192">
                  <c:v>2011</c:v>
                </c:pt>
                <c:pt idx="7193">
                  <c:v>2011</c:v>
                </c:pt>
                <c:pt idx="7194">
                  <c:v>2011</c:v>
                </c:pt>
                <c:pt idx="7195">
                  <c:v>2011</c:v>
                </c:pt>
                <c:pt idx="7196">
                  <c:v>2011</c:v>
                </c:pt>
                <c:pt idx="7197">
                  <c:v>2011</c:v>
                </c:pt>
                <c:pt idx="7198">
                  <c:v>2011</c:v>
                </c:pt>
                <c:pt idx="7199">
                  <c:v>2011</c:v>
                </c:pt>
                <c:pt idx="7200">
                  <c:v>2011</c:v>
                </c:pt>
                <c:pt idx="7201">
                  <c:v>2011</c:v>
                </c:pt>
                <c:pt idx="7202">
                  <c:v>2011</c:v>
                </c:pt>
                <c:pt idx="7203">
                  <c:v>2011</c:v>
                </c:pt>
                <c:pt idx="7204">
                  <c:v>2011</c:v>
                </c:pt>
                <c:pt idx="7205">
                  <c:v>2011</c:v>
                </c:pt>
                <c:pt idx="7206">
                  <c:v>2011</c:v>
                </c:pt>
                <c:pt idx="7207">
                  <c:v>2011</c:v>
                </c:pt>
                <c:pt idx="7208">
                  <c:v>2011</c:v>
                </c:pt>
                <c:pt idx="7209">
                  <c:v>2011</c:v>
                </c:pt>
                <c:pt idx="7210">
                  <c:v>2011</c:v>
                </c:pt>
                <c:pt idx="7211">
                  <c:v>2011</c:v>
                </c:pt>
                <c:pt idx="7212">
                  <c:v>2011</c:v>
                </c:pt>
                <c:pt idx="7213">
                  <c:v>2011</c:v>
                </c:pt>
                <c:pt idx="7214">
                  <c:v>2011</c:v>
                </c:pt>
                <c:pt idx="7215">
                  <c:v>2011</c:v>
                </c:pt>
                <c:pt idx="7216">
                  <c:v>2011</c:v>
                </c:pt>
                <c:pt idx="7217">
                  <c:v>2011</c:v>
                </c:pt>
                <c:pt idx="7218">
                  <c:v>2011</c:v>
                </c:pt>
                <c:pt idx="7219">
                  <c:v>2011</c:v>
                </c:pt>
                <c:pt idx="7220">
                  <c:v>2011</c:v>
                </c:pt>
                <c:pt idx="7221">
                  <c:v>2011</c:v>
                </c:pt>
                <c:pt idx="7222">
                  <c:v>2011</c:v>
                </c:pt>
                <c:pt idx="7223">
                  <c:v>2011</c:v>
                </c:pt>
                <c:pt idx="7224">
                  <c:v>2011</c:v>
                </c:pt>
                <c:pt idx="7225">
                  <c:v>2011</c:v>
                </c:pt>
                <c:pt idx="7226">
                  <c:v>2011</c:v>
                </c:pt>
                <c:pt idx="7227">
                  <c:v>2011</c:v>
                </c:pt>
                <c:pt idx="7228">
                  <c:v>2011</c:v>
                </c:pt>
                <c:pt idx="7229">
                  <c:v>2011</c:v>
                </c:pt>
                <c:pt idx="7230">
                  <c:v>2011</c:v>
                </c:pt>
                <c:pt idx="7231">
                  <c:v>2011</c:v>
                </c:pt>
                <c:pt idx="7232">
                  <c:v>2011</c:v>
                </c:pt>
                <c:pt idx="7233">
                  <c:v>2011</c:v>
                </c:pt>
                <c:pt idx="7234">
                  <c:v>2011</c:v>
                </c:pt>
                <c:pt idx="7235">
                  <c:v>2011</c:v>
                </c:pt>
                <c:pt idx="7236">
                  <c:v>2011</c:v>
                </c:pt>
                <c:pt idx="7237">
                  <c:v>2011</c:v>
                </c:pt>
                <c:pt idx="7238">
                  <c:v>2011</c:v>
                </c:pt>
                <c:pt idx="7239">
                  <c:v>2011</c:v>
                </c:pt>
                <c:pt idx="7240">
                  <c:v>2011</c:v>
                </c:pt>
                <c:pt idx="7241">
                  <c:v>2011</c:v>
                </c:pt>
                <c:pt idx="7242">
                  <c:v>2011</c:v>
                </c:pt>
                <c:pt idx="7243">
                  <c:v>2011</c:v>
                </c:pt>
                <c:pt idx="7244">
                  <c:v>2011</c:v>
                </c:pt>
                <c:pt idx="7245">
                  <c:v>2011</c:v>
                </c:pt>
                <c:pt idx="7246">
                  <c:v>2011</c:v>
                </c:pt>
                <c:pt idx="7247">
                  <c:v>2011</c:v>
                </c:pt>
                <c:pt idx="7248">
                  <c:v>2011</c:v>
                </c:pt>
                <c:pt idx="7249">
                  <c:v>2011</c:v>
                </c:pt>
                <c:pt idx="7250">
                  <c:v>2011</c:v>
                </c:pt>
                <c:pt idx="7251">
                  <c:v>2011</c:v>
                </c:pt>
                <c:pt idx="7252">
                  <c:v>2011</c:v>
                </c:pt>
                <c:pt idx="7253">
                  <c:v>2011</c:v>
                </c:pt>
                <c:pt idx="7254">
                  <c:v>2011</c:v>
                </c:pt>
                <c:pt idx="7255">
                  <c:v>2011</c:v>
                </c:pt>
                <c:pt idx="7256">
                  <c:v>2011</c:v>
                </c:pt>
                <c:pt idx="7257">
                  <c:v>2011</c:v>
                </c:pt>
                <c:pt idx="7258">
                  <c:v>2011</c:v>
                </c:pt>
                <c:pt idx="7259">
                  <c:v>2011</c:v>
                </c:pt>
                <c:pt idx="7260">
                  <c:v>2011</c:v>
                </c:pt>
                <c:pt idx="7261">
                  <c:v>2011</c:v>
                </c:pt>
                <c:pt idx="7262">
                  <c:v>2011</c:v>
                </c:pt>
                <c:pt idx="7263">
                  <c:v>2011</c:v>
                </c:pt>
                <c:pt idx="7264">
                  <c:v>2011</c:v>
                </c:pt>
                <c:pt idx="7265">
                  <c:v>2011</c:v>
                </c:pt>
                <c:pt idx="7266">
                  <c:v>2011</c:v>
                </c:pt>
                <c:pt idx="7267">
                  <c:v>2011</c:v>
                </c:pt>
                <c:pt idx="7268">
                  <c:v>2011</c:v>
                </c:pt>
                <c:pt idx="7269">
                  <c:v>2011</c:v>
                </c:pt>
                <c:pt idx="7270">
                  <c:v>2011</c:v>
                </c:pt>
                <c:pt idx="7271">
                  <c:v>2011</c:v>
                </c:pt>
                <c:pt idx="7272">
                  <c:v>2011</c:v>
                </c:pt>
                <c:pt idx="7273">
                  <c:v>2011</c:v>
                </c:pt>
                <c:pt idx="7274">
                  <c:v>2011</c:v>
                </c:pt>
                <c:pt idx="7275">
                  <c:v>2011</c:v>
                </c:pt>
                <c:pt idx="7276">
                  <c:v>2011</c:v>
                </c:pt>
                <c:pt idx="7277">
                  <c:v>2011</c:v>
                </c:pt>
                <c:pt idx="7278">
                  <c:v>2011</c:v>
                </c:pt>
                <c:pt idx="7279">
                  <c:v>2011</c:v>
                </c:pt>
                <c:pt idx="7280">
                  <c:v>2011</c:v>
                </c:pt>
                <c:pt idx="7281">
                  <c:v>2011</c:v>
                </c:pt>
                <c:pt idx="7282">
                  <c:v>2011</c:v>
                </c:pt>
                <c:pt idx="7283">
                  <c:v>2011</c:v>
                </c:pt>
                <c:pt idx="7284">
                  <c:v>2011</c:v>
                </c:pt>
                <c:pt idx="7285">
                  <c:v>2011</c:v>
                </c:pt>
                <c:pt idx="7286">
                  <c:v>2011</c:v>
                </c:pt>
                <c:pt idx="7287">
                  <c:v>2011</c:v>
                </c:pt>
                <c:pt idx="7288">
                  <c:v>2011</c:v>
                </c:pt>
                <c:pt idx="7289">
                  <c:v>2011</c:v>
                </c:pt>
                <c:pt idx="7290">
                  <c:v>2011</c:v>
                </c:pt>
                <c:pt idx="7291">
                  <c:v>2011</c:v>
                </c:pt>
                <c:pt idx="7292">
                  <c:v>2011</c:v>
                </c:pt>
                <c:pt idx="7293">
                  <c:v>2011</c:v>
                </c:pt>
                <c:pt idx="7294">
                  <c:v>2011</c:v>
                </c:pt>
                <c:pt idx="7295">
                  <c:v>2011</c:v>
                </c:pt>
                <c:pt idx="7296">
                  <c:v>2011</c:v>
                </c:pt>
                <c:pt idx="7297">
                  <c:v>2011</c:v>
                </c:pt>
                <c:pt idx="7298">
                  <c:v>2011</c:v>
                </c:pt>
                <c:pt idx="7299">
                  <c:v>2011</c:v>
                </c:pt>
                <c:pt idx="7300">
                  <c:v>2011</c:v>
                </c:pt>
                <c:pt idx="7301">
                  <c:v>2011</c:v>
                </c:pt>
                <c:pt idx="7302">
                  <c:v>2011</c:v>
                </c:pt>
                <c:pt idx="7303">
                  <c:v>2011</c:v>
                </c:pt>
                <c:pt idx="7304">
                  <c:v>2011</c:v>
                </c:pt>
                <c:pt idx="7305">
                  <c:v>2011</c:v>
                </c:pt>
                <c:pt idx="7306">
                  <c:v>2011</c:v>
                </c:pt>
                <c:pt idx="7307">
                  <c:v>2011</c:v>
                </c:pt>
                <c:pt idx="7308">
                  <c:v>2011</c:v>
                </c:pt>
                <c:pt idx="7309">
                  <c:v>2011</c:v>
                </c:pt>
                <c:pt idx="7310">
                  <c:v>2011</c:v>
                </c:pt>
                <c:pt idx="7311">
                  <c:v>2011</c:v>
                </c:pt>
                <c:pt idx="7312">
                  <c:v>2011</c:v>
                </c:pt>
                <c:pt idx="7313">
                  <c:v>2011</c:v>
                </c:pt>
                <c:pt idx="7314">
                  <c:v>2011</c:v>
                </c:pt>
                <c:pt idx="7315">
                  <c:v>2011</c:v>
                </c:pt>
                <c:pt idx="7316">
                  <c:v>2011</c:v>
                </c:pt>
                <c:pt idx="7317">
                  <c:v>2011</c:v>
                </c:pt>
                <c:pt idx="7318">
                  <c:v>2011</c:v>
                </c:pt>
                <c:pt idx="7319">
                  <c:v>2011</c:v>
                </c:pt>
                <c:pt idx="7320">
                  <c:v>2011</c:v>
                </c:pt>
                <c:pt idx="7321">
                  <c:v>2011</c:v>
                </c:pt>
                <c:pt idx="7322">
                  <c:v>2011</c:v>
                </c:pt>
                <c:pt idx="7323">
                  <c:v>2011</c:v>
                </c:pt>
                <c:pt idx="7324">
                  <c:v>2011</c:v>
                </c:pt>
                <c:pt idx="7325">
                  <c:v>2011</c:v>
                </c:pt>
                <c:pt idx="7326">
                  <c:v>2011</c:v>
                </c:pt>
                <c:pt idx="7327">
                  <c:v>2011</c:v>
                </c:pt>
                <c:pt idx="7328">
                  <c:v>2011</c:v>
                </c:pt>
                <c:pt idx="7329">
                  <c:v>2011</c:v>
                </c:pt>
                <c:pt idx="7330">
                  <c:v>2011</c:v>
                </c:pt>
                <c:pt idx="7331">
                  <c:v>2011</c:v>
                </c:pt>
                <c:pt idx="7332">
                  <c:v>2011</c:v>
                </c:pt>
                <c:pt idx="7333">
                  <c:v>2011</c:v>
                </c:pt>
                <c:pt idx="7334">
                  <c:v>2011</c:v>
                </c:pt>
                <c:pt idx="7335">
                  <c:v>2011</c:v>
                </c:pt>
                <c:pt idx="7336">
                  <c:v>2011</c:v>
                </c:pt>
                <c:pt idx="7337">
                  <c:v>2011</c:v>
                </c:pt>
                <c:pt idx="7338">
                  <c:v>2011</c:v>
                </c:pt>
                <c:pt idx="7339">
                  <c:v>2011</c:v>
                </c:pt>
                <c:pt idx="7340">
                  <c:v>2012</c:v>
                </c:pt>
                <c:pt idx="7341">
                  <c:v>2012</c:v>
                </c:pt>
                <c:pt idx="7342">
                  <c:v>2012</c:v>
                </c:pt>
                <c:pt idx="7343">
                  <c:v>2012</c:v>
                </c:pt>
                <c:pt idx="7344">
                  <c:v>2012</c:v>
                </c:pt>
                <c:pt idx="7345">
                  <c:v>2012</c:v>
                </c:pt>
                <c:pt idx="7346">
                  <c:v>2012</c:v>
                </c:pt>
                <c:pt idx="7347">
                  <c:v>2012</c:v>
                </c:pt>
                <c:pt idx="7348">
                  <c:v>2012</c:v>
                </c:pt>
                <c:pt idx="7349">
                  <c:v>2012</c:v>
                </c:pt>
                <c:pt idx="7350">
                  <c:v>2012</c:v>
                </c:pt>
                <c:pt idx="7351">
                  <c:v>2012</c:v>
                </c:pt>
                <c:pt idx="7352">
                  <c:v>2012</c:v>
                </c:pt>
                <c:pt idx="7353">
                  <c:v>2012</c:v>
                </c:pt>
                <c:pt idx="7354">
                  <c:v>2012</c:v>
                </c:pt>
                <c:pt idx="7355">
                  <c:v>2012</c:v>
                </c:pt>
                <c:pt idx="7356">
                  <c:v>2012</c:v>
                </c:pt>
                <c:pt idx="7357">
                  <c:v>2012</c:v>
                </c:pt>
                <c:pt idx="7358">
                  <c:v>2012</c:v>
                </c:pt>
                <c:pt idx="7359">
                  <c:v>2012</c:v>
                </c:pt>
                <c:pt idx="7360">
                  <c:v>2012</c:v>
                </c:pt>
                <c:pt idx="7361">
                  <c:v>2012</c:v>
                </c:pt>
                <c:pt idx="7362">
                  <c:v>2012</c:v>
                </c:pt>
                <c:pt idx="7363">
                  <c:v>2012</c:v>
                </c:pt>
                <c:pt idx="7364">
                  <c:v>2012</c:v>
                </c:pt>
                <c:pt idx="7365">
                  <c:v>2012</c:v>
                </c:pt>
                <c:pt idx="7366">
                  <c:v>2012</c:v>
                </c:pt>
                <c:pt idx="7367">
                  <c:v>2012</c:v>
                </c:pt>
                <c:pt idx="7368">
                  <c:v>2012</c:v>
                </c:pt>
                <c:pt idx="7369">
                  <c:v>2012</c:v>
                </c:pt>
                <c:pt idx="7370">
                  <c:v>2012</c:v>
                </c:pt>
                <c:pt idx="7371">
                  <c:v>2012</c:v>
                </c:pt>
                <c:pt idx="7372">
                  <c:v>2012</c:v>
                </c:pt>
                <c:pt idx="7373">
                  <c:v>2012</c:v>
                </c:pt>
                <c:pt idx="7374">
                  <c:v>2012</c:v>
                </c:pt>
                <c:pt idx="7375">
                  <c:v>2012</c:v>
                </c:pt>
                <c:pt idx="7376">
                  <c:v>2012</c:v>
                </c:pt>
                <c:pt idx="7377">
                  <c:v>2012</c:v>
                </c:pt>
                <c:pt idx="7378">
                  <c:v>2012</c:v>
                </c:pt>
                <c:pt idx="7379">
                  <c:v>2012</c:v>
                </c:pt>
                <c:pt idx="7380">
                  <c:v>2012</c:v>
                </c:pt>
                <c:pt idx="7381">
                  <c:v>2012</c:v>
                </c:pt>
                <c:pt idx="7382">
                  <c:v>2012</c:v>
                </c:pt>
                <c:pt idx="7383">
                  <c:v>2012</c:v>
                </c:pt>
                <c:pt idx="7384">
                  <c:v>2012</c:v>
                </c:pt>
                <c:pt idx="7385">
                  <c:v>2012</c:v>
                </c:pt>
                <c:pt idx="7386">
                  <c:v>2012</c:v>
                </c:pt>
                <c:pt idx="7387">
                  <c:v>2012</c:v>
                </c:pt>
                <c:pt idx="7388">
                  <c:v>2012</c:v>
                </c:pt>
                <c:pt idx="7389">
                  <c:v>2012</c:v>
                </c:pt>
                <c:pt idx="7390">
                  <c:v>2012</c:v>
                </c:pt>
                <c:pt idx="7391">
                  <c:v>2012</c:v>
                </c:pt>
                <c:pt idx="7392">
                  <c:v>2012</c:v>
                </c:pt>
                <c:pt idx="7393">
                  <c:v>2012</c:v>
                </c:pt>
                <c:pt idx="7394">
                  <c:v>2012</c:v>
                </c:pt>
                <c:pt idx="7395">
                  <c:v>2012</c:v>
                </c:pt>
                <c:pt idx="7396">
                  <c:v>2012</c:v>
                </c:pt>
                <c:pt idx="7397">
                  <c:v>2012</c:v>
                </c:pt>
                <c:pt idx="7398">
                  <c:v>2012</c:v>
                </c:pt>
                <c:pt idx="7399">
                  <c:v>2012</c:v>
                </c:pt>
                <c:pt idx="7400">
                  <c:v>2012</c:v>
                </c:pt>
                <c:pt idx="7401">
                  <c:v>2012</c:v>
                </c:pt>
                <c:pt idx="7402">
                  <c:v>2012</c:v>
                </c:pt>
                <c:pt idx="7403">
                  <c:v>2012</c:v>
                </c:pt>
                <c:pt idx="7404">
                  <c:v>2012</c:v>
                </c:pt>
                <c:pt idx="7405">
                  <c:v>2012</c:v>
                </c:pt>
                <c:pt idx="7406">
                  <c:v>2012</c:v>
                </c:pt>
                <c:pt idx="7407">
                  <c:v>2012</c:v>
                </c:pt>
                <c:pt idx="7408">
                  <c:v>2012</c:v>
                </c:pt>
                <c:pt idx="7409">
                  <c:v>2012</c:v>
                </c:pt>
                <c:pt idx="7410">
                  <c:v>2012</c:v>
                </c:pt>
                <c:pt idx="7411">
                  <c:v>2012</c:v>
                </c:pt>
                <c:pt idx="7412">
                  <c:v>2012</c:v>
                </c:pt>
                <c:pt idx="7413">
                  <c:v>2012</c:v>
                </c:pt>
                <c:pt idx="7414">
                  <c:v>2012</c:v>
                </c:pt>
                <c:pt idx="7415">
                  <c:v>2012</c:v>
                </c:pt>
                <c:pt idx="7416">
                  <c:v>2012</c:v>
                </c:pt>
                <c:pt idx="7417">
                  <c:v>2012</c:v>
                </c:pt>
                <c:pt idx="7418">
                  <c:v>2012</c:v>
                </c:pt>
                <c:pt idx="7419">
                  <c:v>2012</c:v>
                </c:pt>
                <c:pt idx="7420">
                  <c:v>2012</c:v>
                </c:pt>
                <c:pt idx="7421">
                  <c:v>2012</c:v>
                </c:pt>
                <c:pt idx="7422">
                  <c:v>2012</c:v>
                </c:pt>
                <c:pt idx="7423">
                  <c:v>2012</c:v>
                </c:pt>
                <c:pt idx="7424">
                  <c:v>2012</c:v>
                </c:pt>
                <c:pt idx="7425">
                  <c:v>2012</c:v>
                </c:pt>
                <c:pt idx="7426">
                  <c:v>2012</c:v>
                </c:pt>
                <c:pt idx="7427">
                  <c:v>2012</c:v>
                </c:pt>
                <c:pt idx="7428">
                  <c:v>2012</c:v>
                </c:pt>
                <c:pt idx="7429">
                  <c:v>2012</c:v>
                </c:pt>
                <c:pt idx="7430">
                  <c:v>2012</c:v>
                </c:pt>
                <c:pt idx="7431">
                  <c:v>2012</c:v>
                </c:pt>
                <c:pt idx="7432">
                  <c:v>2012</c:v>
                </c:pt>
                <c:pt idx="7433">
                  <c:v>2012</c:v>
                </c:pt>
                <c:pt idx="7434">
                  <c:v>2012</c:v>
                </c:pt>
                <c:pt idx="7435">
                  <c:v>2012</c:v>
                </c:pt>
                <c:pt idx="7436">
                  <c:v>2012</c:v>
                </c:pt>
                <c:pt idx="7437">
                  <c:v>2012</c:v>
                </c:pt>
                <c:pt idx="7438">
                  <c:v>2012</c:v>
                </c:pt>
                <c:pt idx="7439">
                  <c:v>2012</c:v>
                </c:pt>
                <c:pt idx="7440">
                  <c:v>2012</c:v>
                </c:pt>
                <c:pt idx="7441">
                  <c:v>2012</c:v>
                </c:pt>
                <c:pt idx="7442">
                  <c:v>2012</c:v>
                </c:pt>
                <c:pt idx="7443">
                  <c:v>2012</c:v>
                </c:pt>
                <c:pt idx="7444">
                  <c:v>2012</c:v>
                </c:pt>
                <c:pt idx="7445">
                  <c:v>2012</c:v>
                </c:pt>
                <c:pt idx="7446">
                  <c:v>2012</c:v>
                </c:pt>
                <c:pt idx="7447">
                  <c:v>2012</c:v>
                </c:pt>
                <c:pt idx="7448">
                  <c:v>2012</c:v>
                </c:pt>
                <c:pt idx="7449">
                  <c:v>2012</c:v>
                </c:pt>
                <c:pt idx="7450">
                  <c:v>2012</c:v>
                </c:pt>
                <c:pt idx="7451">
                  <c:v>2012</c:v>
                </c:pt>
                <c:pt idx="7452">
                  <c:v>2012</c:v>
                </c:pt>
                <c:pt idx="7453">
                  <c:v>2012</c:v>
                </c:pt>
                <c:pt idx="7454">
                  <c:v>2012</c:v>
                </c:pt>
                <c:pt idx="7455">
                  <c:v>2012</c:v>
                </c:pt>
                <c:pt idx="7456">
                  <c:v>2012</c:v>
                </c:pt>
                <c:pt idx="7457">
                  <c:v>2012</c:v>
                </c:pt>
                <c:pt idx="7458">
                  <c:v>2012</c:v>
                </c:pt>
                <c:pt idx="7459">
                  <c:v>2012</c:v>
                </c:pt>
                <c:pt idx="7460">
                  <c:v>2012</c:v>
                </c:pt>
                <c:pt idx="7461">
                  <c:v>2012</c:v>
                </c:pt>
                <c:pt idx="7462">
                  <c:v>2012</c:v>
                </c:pt>
                <c:pt idx="7463">
                  <c:v>2012</c:v>
                </c:pt>
                <c:pt idx="7464">
                  <c:v>2012</c:v>
                </c:pt>
                <c:pt idx="7465">
                  <c:v>2012</c:v>
                </c:pt>
                <c:pt idx="7466">
                  <c:v>2012</c:v>
                </c:pt>
                <c:pt idx="7467">
                  <c:v>2012</c:v>
                </c:pt>
                <c:pt idx="7468">
                  <c:v>2012</c:v>
                </c:pt>
                <c:pt idx="7469">
                  <c:v>2012</c:v>
                </c:pt>
                <c:pt idx="7470">
                  <c:v>2012</c:v>
                </c:pt>
                <c:pt idx="7471">
                  <c:v>2012</c:v>
                </c:pt>
                <c:pt idx="7472">
                  <c:v>2012</c:v>
                </c:pt>
                <c:pt idx="7473">
                  <c:v>2012</c:v>
                </c:pt>
                <c:pt idx="7474">
                  <c:v>2012</c:v>
                </c:pt>
                <c:pt idx="7475">
                  <c:v>2012</c:v>
                </c:pt>
                <c:pt idx="7476">
                  <c:v>2012</c:v>
                </c:pt>
                <c:pt idx="7477">
                  <c:v>2012</c:v>
                </c:pt>
                <c:pt idx="7478">
                  <c:v>2012</c:v>
                </c:pt>
                <c:pt idx="7479">
                  <c:v>2012</c:v>
                </c:pt>
                <c:pt idx="7480">
                  <c:v>2012</c:v>
                </c:pt>
                <c:pt idx="7481">
                  <c:v>2012</c:v>
                </c:pt>
                <c:pt idx="7482">
                  <c:v>2012</c:v>
                </c:pt>
                <c:pt idx="7483">
                  <c:v>2012</c:v>
                </c:pt>
                <c:pt idx="7484">
                  <c:v>2012</c:v>
                </c:pt>
                <c:pt idx="7485">
                  <c:v>2012</c:v>
                </c:pt>
                <c:pt idx="7486">
                  <c:v>2012</c:v>
                </c:pt>
                <c:pt idx="7487">
                  <c:v>2012</c:v>
                </c:pt>
                <c:pt idx="7488">
                  <c:v>2012</c:v>
                </c:pt>
                <c:pt idx="7489">
                  <c:v>2012</c:v>
                </c:pt>
                <c:pt idx="7490">
                  <c:v>2012</c:v>
                </c:pt>
                <c:pt idx="7491">
                  <c:v>2012</c:v>
                </c:pt>
                <c:pt idx="7492">
                  <c:v>2012</c:v>
                </c:pt>
                <c:pt idx="7493">
                  <c:v>2012</c:v>
                </c:pt>
                <c:pt idx="7494">
                  <c:v>2012</c:v>
                </c:pt>
                <c:pt idx="7495">
                  <c:v>2012</c:v>
                </c:pt>
                <c:pt idx="7496">
                  <c:v>2012</c:v>
                </c:pt>
                <c:pt idx="7497">
                  <c:v>2012</c:v>
                </c:pt>
                <c:pt idx="7498">
                  <c:v>2012</c:v>
                </c:pt>
                <c:pt idx="7499">
                  <c:v>2012</c:v>
                </c:pt>
                <c:pt idx="7500">
                  <c:v>2012</c:v>
                </c:pt>
                <c:pt idx="7501">
                  <c:v>2012</c:v>
                </c:pt>
                <c:pt idx="7502">
                  <c:v>2012</c:v>
                </c:pt>
                <c:pt idx="7503">
                  <c:v>2012</c:v>
                </c:pt>
                <c:pt idx="7504">
                  <c:v>2012</c:v>
                </c:pt>
                <c:pt idx="7505">
                  <c:v>2012</c:v>
                </c:pt>
                <c:pt idx="7506">
                  <c:v>2012</c:v>
                </c:pt>
                <c:pt idx="7507">
                  <c:v>2012</c:v>
                </c:pt>
                <c:pt idx="7508">
                  <c:v>2012</c:v>
                </c:pt>
                <c:pt idx="7509">
                  <c:v>2012</c:v>
                </c:pt>
                <c:pt idx="7510">
                  <c:v>2012</c:v>
                </c:pt>
                <c:pt idx="7511">
                  <c:v>2012</c:v>
                </c:pt>
                <c:pt idx="7512">
                  <c:v>2012</c:v>
                </c:pt>
                <c:pt idx="7513">
                  <c:v>2012</c:v>
                </c:pt>
                <c:pt idx="7514">
                  <c:v>2012</c:v>
                </c:pt>
                <c:pt idx="7515">
                  <c:v>2012</c:v>
                </c:pt>
                <c:pt idx="7516">
                  <c:v>2012</c:v>
                </c:pt>
                <c:pt idx="7517">
                  <c:v>2012</c:v>
                </c:pt>
                <c:pt idx="7518">
                  <c:v>2012</c:v>
                </c:pt>
                <c:pt idx="7519">
                  <c:v>2012</c:v>
                </c:pt>
                <c:pt idx="7520">
                  <c:v>2012</c:v>
                </c:pt>
                <c:pt idx="7521">
                  <c:v>2012</c:v>
                </c:pt>
                <c:pt idx="7522">
                  <c:v>2012</c:v>
                </c:pt>
                <c:pt idx="7523">
                  <c:v>2012</c:v>
                </c:pt>
                <c:pt idx="7524">
                  <c:v>2012</c:v>
                </c:pt>
                <c:pt idx="7525">
                  <c:v>2012</c:v>
                </c:pt>
                <c:pt idx="7526">
                  <c:v>2012</c:v>
                </c:pt>
                <c:pt idx="7527">
                  <c:v>2012</c:v>
                </c:pt>
                <c:pt idx="7528">
                  <c:v>2012</c:v>
                </c:pt>
                <c:pt idx="7529">
                  <c:v>2012</c:v>
                </c:pt>
                <c:pt idx="7530">
                  <c:v>2012</c:v>
                </c:pt>
                <c:pt idx="7531">
                  <c:v>2012</c:v>
                </c:pt>
                <c:pt idx="7532">
                  <c:v>2012</c:v>
                </c:pt>
                <c:pt idx="7533">
                  <c:v>2012</c:v>
                </c:pt>
                <c:pt idx="7534">
                  <c:v>2012</c:v>
                </c:pt>
                <c:pt idx="7535">
                  <c:v>2012</c:v>
                </c:pt>
                <c:pt idx="7536">
                  <c:v>2012</c:v>
                </c:pt>
                <c:pt idx="7537">
                  <c:v>2012</c:v>
                </c:pt>
                <c:pt idx="7538">
                  <c:v>2012</c:v>
                </c:pt>
                <c:pt idx="7539">
                  <c:v>2012</c:v>
                </c:pt>
                <c:pt idx="7540">
                  <c:v>2012</c:v>
                </c:pt>
                <c:pt idx="7541">
                  <c:v>2012</c:v>
                </c:pt>
                <c:pt idx="7542">
                  <c:v>2012</c:v>
                </c:pt>
                <c:pt idx="7543">
                  <c:v>2012</c:v>
                </c:pt>
                <c:pt idx="7544">
                  <c:v>2012</c:v>
                </c:pt>
                <c:pt idx="7545">
                  <c:v>2012</c:v>
                </c:pt>
                <c:pt idx="7546">
                  <c:v>2012</c:v>
                </c:pt>
                <c:pt idx="7547">
                  <c:v>2012</c:v>
                </c:pt>
                <c:pt idx="7548">
                  <c:v>2012</c:v>
                </c:pt>
                <c:pt idx="7549">
                  <c:v>2012</c:v>
                </c:pt>
                <c:pt idx="7550">
                  <c:v>2012</c:v>
                </c:pt>
                <c:pt idx="7551">
                  <c:v>2012</c:v>
                </c:pt>
                <c:pt idx="7552">
                  <c:v>2012</c:v>
                </c:pt>
                <c:pt idx="7553">
                  <c:v>2012</c:v>
                </c:pt>
                <c:pt idx="7554">
                  <c:v>2012</c:v>
                </c:pt>
                <c:pt idx="7555">
                  <c:v>2012</c:v>
                </c:pt>
                <c:pt idx="7556">
                  <c:v>2012</c:v>
                </c:pt>
                <c:pt idx="7557">
                  <c:v>2012</c:v>
                </c:pt>
                <c:pt idx="7558">
                  <c:v>2012</c:v>
                </c:pt>
                <c:pt idx="7559">
                  <c:v>2012</c:v>
                </c:pt>
                <c:pt idx="7560">
                  <c:v>2012</c:v>
                </c:pt>
                <c:pt idx="7561">
                  <c:v>2012</c:v>
                </c:pt>
                <c:pt idx="7562">
                  <c:v>2012</c:v>
                </c:pt>
                <c:pt idx="7563">
                  <c:v>2012</c:v>
                </c:pt>
                <c:pt idx="7564">
                  <c:v>2012</c:v>
                </c:pt>
                <c:pt idx="7565">
                  <c:v>2012</c:v>
                </c:pt>
                <c:pt idx="7566">
                  <c:v>2012</c:v>
                </c:pt>
                <c:pt idx="7567">
                  <c:v>2012</c:v>
                </c:pt>
                <c:pt idx="7568">
                  <c:v>2012</c:v>
                </c:pt>
                <c:pt idx="7569">
                  <c:v>2012</c:v>
                </c:pt>
                <c:pt idx="7570">
                  <c:v>2012</c:v>
                </c:pt>
                <c:pt idx="7571">
                  <c:v>2012</c:v>
                </c:pt>
                <c:pt idx="7572">
                  <c:v>2012</c:v>
                </c:pt>
                <c:pt idx="7573">
                  <c:v>2012</c:v>
                </c:pt>
                <c:pt idx="7574">
                  <c:v>2012</c:v>
                </c:pt>
                <c:pt idx="7575">
                  <c:v>2012</c:v>
                </c:pt>
                <c:pt idx="7576">
                  <c:v>2012</c:v>
                </c:pt>
                <c:pt idx="7577">
                  <c:v>2012</c:v>
                </c:pt>
                <c:pt idx="7578">
                  <c:v>2012</c:v>
                </c:pt>
                <c:pt idx="7579">
                  <c:v>2012</c:v>
                </c:pt>
                <c:pt idx="7580">
                  <c:v>2012</c:v>
                </c:pt>
                <c:pt idx="7581">
                  <c:v>2012</c:v>
                </c:pt>
                <c:pt idx="7582">
                  <c:v>2012</c:v>
                </c:pt>
                <c:pt idx="7583">
                  <c:v>2012</c:v>
                </c:pt>
                <c:pt idx="7584">
                  <c:v>2012</c:v>
                </c:pt>
                <c:pt idx="7585">
                  <c:v>2012</c:v>
                </c:pt>
                <c:pt idx="7586">
                  <c:v>2012</c:v>
                </c:pt>
                <c:pt idx="7587">
                  <c:v>2012</c:v>
                </c:pt>
                <c:pt idx="7588">
                  <c:v>2012</c:v>
                </c:pt>
                <c:pt idx="7589">
                  <c:v>2012</c:v>
                </c:pt>
                <c:pt idx="7590">
                  <c:v>2012</c:v>
                </c:pt>
                <c:pt idx="7591">
                  <c:v>2012</c:v>
                </c:pt>
                <c:pt idx="7592">
                  <c:v>2012</c:v>
                </c:pt>
                <c:pt idx="7593">
                  <c:v>2012</c:v>
                </c:pt>
                <c:pt idx="7594">
                  <c:v>2012</c:v>
                </c:pt>
                <c:pt idx="7595">
                  <c:v>2012</c:v>
                </c:pt>
                <c:pt idx="7596">
                  <c:v>2012</c:v>
                </c:pt>
                <c:pt idx="7597">
                  <c:v>2012</c:v>
                </c:pt>
                <c:pt idx="7598">
                  <c:v>2012</c:v>
                </c:pt>
                <c:pt idx="7599">
                  <c:v>2012</c:v>
                </c:pt>
                <c:pt idx="7600">
                  <c:v>2012</c:v>
                </c:pt>
                <c:pt idx="7601">
                  <c:v>2012</c:v>
                </c:pt>
                <c:pt idx="7602">
                  <c:v>2012</c:v>
                </c:pt>
                <c:pt idx="7603">
                  <c:v>2012</c:v>
                </c:pt>
                <c:pt idx="7604">
                  <c:v>2012</c:v>
                </c:pt>
                <c:pt idx="7605">
                  <c:v>2012</c:v>
                </c:pt>
                <c:pt idx="7606">
                  <c:v>2012</c:v>
                </c:pt>
                <c:pt idx="7607">
                  <c:v>2012</c:v>
                </c:pt>
                <c:pt idx="7608">
                  <c:v>2012</c:v>
                </c:pt>
                <c:pt idx="7609">
                  <c:v>2012</c:v>
                </c:pt>
                <c:pt idx="7610">
                  <c:v>2012</c:v>
                </c:pt>
                <c:pt idx="7611">
                  <c:v>2012</c:v>
                </c:pt>
                <c:pt idx="7612">
                  <c:v>2012</c:v>
                </c:pt>
                <c:pt idx="7613">
                  <c:v>2012</c:v>
                </c:pt>
                <c:pt idx="7614">
                  <c:v>2012</c:v>
                </c:pt>
                <c:pt idx="7615">
                  <c:v>2012</c:v>
                </c:pt>
                <c:pt idx="7616">
                  <c:v>2012</c:v>
                </c:pt>
                <c:pt idx="7617">
                  <c:v>2012</c:v>
                </c:pt>
                <c:pt idx="7618">
                  <c:v>2012</c:v>
                </c:pt>
                <c:pt idx="7619">
                  <c:v>2012</c:v>
                </c:pt>
                <c:pt idx="7620">
                  <c:v>2012</c:v>
                </c:pt>
                <c:pt idx="7621">
                  <c:v>2012</c:v>
                </c:pt>
                <c:pt idx="7622">
                  <c:v>2012</c:v>
                </c:pt>
                <c:pt idx="7623">
                  <c:v>2012</c:v>
                </c:pt>
                <c:pt idx="7624">
                  <c:v>2012</c:v>
                </c:pt>
                <c:pt idx="7625">
                  <c:v>2012</c:v>
                </c:pt>
                <c:pt idx="7626">
                  <c:v>2012</c:v>
                </c:pt>
                <c:pt idx="7627">
                  <c:v>2012</c:v>
                </c:pt>
                <c:pt idx="7628">
                  <c:v>2012</c:v>
                </c:pt>
                <c:pt idx="7629">
                  <c:v>2012</c:v>
                </c:pt>
                <c:pt idx="7630">
                  <c:v>2012</c:v>
                </c:pt>
                <c:pt idx="7631">
                  <c:v>2012</c:v>
                </c:pt>
                <c:pt idx="7632">
                  <c:v>2012</c:v>
                </c:pt>
                <c:pt idx="7633">
                  <c:v>2012</c:v>
                </c:pt>
                <c:pt idx="7634">
                  <c:v>2012</c:v>
                </c:pt>
                <c:pt idx="7635">
                  <c:v>2012</c:v>
                </c:pt>
                <c:pt idx="7636">
                  <c:v>2012</c:v>
                </c:pt>
                <c:pt idx="7637">
                  <c:v>2012</c:v>
                </c:pt>
                <c:pt idx="7638">
                  <c:v>2012</c:v>
                </c:pt>
                <c:pt idx="7639">
                  <c:v>2012</c:v>
                </c:pt>
                <c:pt idx="7640">
                  <c:v>2012</c:v>
                </c:pt>
                <c:pt idx="7641">
                  <c:v>2012</c:v>
                </c:pt>
                <c:pt idx="7642">
                  <c:v>2012</c:v>
                </c:pt>
                <c:pt idx="7643">
                  <c:v>2012</c:v>
                </c:pt>
                <c:pt idx="7644">
                  <c:v>2012</c:v>
                </c:pt>
                <c:pt idx="7645">
                  <c:v>2012</c:v>
                </c:pt>
                <c:pt idx="7646">
                  <c:v>2012</c:v>
                </c:pt>
                <c:pt idx="7647">
                  <c:v>2012</c:v>
                </c:pt>
                <c:pt idx="7648">
                  <c:v>2012</c:v>
                </c:pt>
                <c:pt idx="7649">
                  <c:v>2012</c:v>
                </c:pt>
                <c:pt idx="7650">
                  <c:v>2012</c:v>
                </c:pt>
                <c:pt idx="7651">
                  <c:v>2012</c:v>
                </c:pt>
                <c:pt idx="7652">
                  <c:v>2012</c:v>
                </c:pt>
                <c:pt idx="7653">
                  <c:v>2012</c:v>
                </c:pt>
                <c:pt idx="7654">
                  <c:v>2012</c:v>
                </c:pt>
                <c:pt idx="7655">
                  <c:v>2012</c:v>
                </c:pt>
                <c:pt idx="7656">
                  <c:v>2012</c:v>
                </c:pt>
                <c:pt idx="7657">
                  <c:v>2012</c:v>
                </c:pt>
                <c:pt idx="7658">
                  <c:v>2012</c:v>
                </c:pt>
                <c:pt idx="7659">
                  <c:v>2012</c:v>
                </c:pt>
                <c:pt idx="7660">
                  <c:v>2012</c:v>
                </c:pt>
                <c:pt idx="7661">
                  <c:v>2012</c:v>
                </c:pt>
                <c:pt idx="7662">
                  <c:v>2012</c:v>
                </c:pt>
                <c:pt idx="7663">
                  <c:v>2012</c:v>
                </c:pt>
                <c:pt idx="7664">
                  <c:v>2012</c:v>
                </c:pt>
                <c:pt idx="7665">
                  <c:v>2012</c:v>
                </c:pt>
                <c:pt idx="7666">
                  <c:v>2012</c:v>
                </c:pt>
                <c:pt idx="7667">
                  <c:v>2012</c:v>
                </c:pt>
                <c:pt idx="7668">
                  <c:v>2012</c:v>
                </c:pt>
                <c:pt idx="7669">
                  <c:v>2012</c:v>
                </c:pt>
                <c:pt idx="7670">
                  <c:v>2012</c:v>
                </c:pt>
                <c:pt idx="7671">
                  <c:v>2012</c:v>
                </c:pt>
                <c:pt idx="7672">
                  <c:v>2012</c:v>
                </c:pt>
                <c:pt idx="7673">
                  <c:v>2012</c:v>
                </c:pt>
                <c:pt idx="7674">
                  <c:v>2012</c:v>
                </c:pt>
                <c:pt idx="7675">
                  <c:v>2012</c:v>
                </c:pt>
                <c:pt idx="7676">
                  <c:v>2012</c:v>
                </c:pt>
                <c:pt idx="7677">
                  <c:v>2012</c:v>
                </c:pt>
                <c:pt idx="7678">
                  <c:v>2012</c:v>
                </c:pt>
                <c:pt idx="7679">
                  <c:v>2012</c:v>
                </c:pt>
                <c:pt idx="7680">
                  <c:v>2012</c:v>
                </c:pt>
                <c:pt idx="7681">
                  <c:v>2012</c:v>
                </c:pt>
                <c:pt idx="7682">
                  <c:v>2012</c:v>
                </c:pt>
                <c:pt idx="7683">
                  <c:v>2012</c:v>
                </c:pt>
                <c:pt idx="7684">
                  <c:v>2012</c:v>
                </c:pt>
                <c:pt idx="7685">
                  <c:v>2012</c:v>
                </c:pt>
                <c:pt idx="7686">
                  <c:v>2012</c:v>
                </c:pt>
                <c:pt idx="7687">
                  <c:v>2012</c:v>
                </c:pt>
                <c:pt idx="7688">
                  <c:v>2012</c:v>
                </c:pt>
                <c:pt idx="7689">
                  <c:v>2012</c:v>
                </c:pt>
                <c:pt idx="7690">
                  <c:v>2012</c:v>
                </c:pt>
                <c:pt idx="7691">
                  <c:v>2012</c:v>
                </c:pt>
                <c:pt idx="7692">
                  <c:v>2012</c:v>
                </c:pt>
                <c:pt idx="7693">
                  <c:v>2012</c:v>
                </c:pt>
                <c:pt idx="7694">
                  <c:v>2012</c:v>
                </c:pt>
                <c:pt idx="7695">
                  <c:v>2012</c:v>
                </c:pt>
                <c:pt idx="7696">
                  <c:v>2012</c:v>
                </c:pt>
                <c:pt idx="7697">
                  <c:v>2012</c:v>
                </c:pt>
                <c:pt idx="7698">
                  <c:v>2012</c:v>
                </c:pt>
                <c:pt idx="7699">
                  <c:v>2012</c:v>
                </c:pt>
                <c:pt idx="7700">
                  <c:v>2012</c:v>
                </c:pt>
                <c:pt idx="7701">
                  <c:v>2012</c:v>
                </c:pt>
                <c:pt idx="7702">
                  <c:v>2012</c:v>
                </c:pt>
                <c:pt idx="7703">
                  <c:v>2012</c:v>
                </c:pt>
                <c:pt idx="7704">
                  <c:v>2012</c:v>
                </c:pt>
                <c:pt idx="7705">
                  <c:v>2012</c:v>
                </c:pt>
                <c:pt idx="7706">
                  <c:v>2013</c:v>
                </c:pt>
                <c:pt idx="7707">
                  <c:v>2013</c:v>
                </c:pt>
                <c:pt idx="7708">
                  <c:v>2013</c:v>
                </c:pt>
                <c:pt idx="7709">
                  <c:v>2013</c:v>
                </c:pt>
                <c:pt idx="7710">
                  <c:v>2013</c:v>
                </c:pt>
                <c:pt idx="7711">
                  <c:v>2013</c:v>
                </c:pt>
                <c:pt idx="7712">
                  <c:v>2013</c:v>
                </c:pt>
                <c:pt idx="7713">
                  <c:v>2013</c:v>
                </c:pt>
                <c:pt idx="7714">
                  <c:v>2013</c:v>
                </c:pt>
                <c:pt idx="7715">
                  <c:v>2013</c:v>
                </c:pt>
                <c:pt idx="7716">
                  <c:v>2013</c:v>
                </c:pt>
                <c:pt idx="7717">
                  <c:v>2013</c:v>
                </c:pt>
                <c:pt idx="7718">
                  <c:v>2013</c:v>
                </c:pt>
                <c:pt idx="7719">
                  <c:v>2013</c:v>
                </c:pt>
                <c:pt idx="7720">
                  <c:v>2013</c:v>
                </c:pt>
                <c:pt idx="7721">
                  <c:v>2013</c:v>
                </c:pt>
                <c:pt idx="7722">
                  <c:v>2013</c:v>
                </c:pt>
                <c:pt idx="7723">
                  <c:v>2013</c:v>
                </c:pt>
                <c:pt idx="7724">
                  <c:v>2013</c:v>
                </c:pt>
                <c:pt idx="7725">
                  <c:v>2013</c:v>
                </c:pt>
                <c:pt idx="7726">
                  <c:v>2013</c:v>
                </c:pt>
                <c:pt idx="7727">
                  <c:v>2013</c:v>
                </c:pt>
                <c:pt idx="7728">
                  <c:v>2013</c:v>
                </c:pt>
                <c:pt idx="7729">
                  <c:v>2013</c:v>
                </c:pt>
                <c:pt idx="7730">
                  <c:v>2013</c:v>
                </c:pt>
                <c:pt idx="7731">
                  <c:v>2013</c:v>
                </c:pt>
                <c:pt idx="7732">
                  <c:v>2013</c:v>
                </c:pt>
                <c:pt idx="7733">
                  <c:v>2013</c:v>
                </c:pt>
                <c:pt idx="7734">
                  <c:v>2013</c:v>
                </c:pt>
                <c:pt idx="7735">
                  <c:v>2013</c:v>
                </c:pt>
                <c:pt idx="7736">
                  <c:v>2013</c:v>
                </c:pt>
                <c:pt idx="7737">
                  <c:v>2013</c:v>
                </c:pt>
                <c:pt idx="7738">
                  <c:v>2013</c:v>
                </c:pt>
                <c:pt idx="7739">
                  <c:v>2013</c:v>
                </c:pt>
                <c:pt idx="7740">
                  <c:v>2013</c:v>
                </c:pt>
                <c:pt idx="7741">
                  <c:v>2013</c:v>
                </c:pt>
                <c:pt idx="7742">
                  <c:v>2013</c:v>
                </c:pt>
                <c:pt idx="7743">
                  <c:v>2013</c:v>
                </c:pt>
                <c:pt idx="7744">
                  <c:v>2013</c:v>
                </c:pt>
                <c:pt idx="7745">
                  <c:v>2013</c:v>
                </c:pt>
                <c:pt idx="7746">
                  <c:v>2013</c:v>
                </c:pt>
                <c:pt idx="7747">
                  <c:v>2013</c:v>
                </c:pt>
                <c:pt idx="7748">
                  <c:v>2013</c:v>
                </c:pt>
                <c:pt idx="7749">
                  <c:v>2013</c:v>
                </c:pt>
                <c:pt idx="7750">
                  <c:v>2013</c:v>
                </c:pt>
                <c:pt idx="7751">
                  <c:v>2013</c:v>
                </c:pt>
                <c:pt idx="7752">
                  <c:v>2013</c:v>
                </c:pt>
                <c:pt idx="7753">
                  <c:v>2013</c:v>
                </c:pt>
                <c:pt idx="7754">
                  <c:v>2013</c:v>
                </c:pt>
                <c:pt idx="7755">
                  <c:v>2013</c:v>
                </c:pt>
                <c:pt idx="7756">
                  <c:v>2013</c:v>
                </c:pt>
                <c:pt idx="7757">
                  <c:v>2013</c:v>
                </c:pt>
                <c:pt idx="7758">
                  <c:v>2013</c:v>
                </c:pt>
                <c:pt idx="7759">
                  <c:v>2013</c:v>
                </c:pt>
                <c:pt idx="7760">
                  <c:v>2013</c:v>
                </c:pt>
                <c:pt idx="7761">
                  <c:v>2013</c:v>
                </c:pt>
                <c:pt idx="7762">
                  <c:v>2013</c:v>
                </c:pt>
                <c:pt idx="7763">
                  <c:v>2013</c:v>
                </c:pt>
                <c:pt idx="7764">
                  <c:v>2013</c:v>
                </c:pt>
                <c:pt idx="7765">
                  <c:v>2013</c:v>
                </c:pt>
                <c:pt idx="7766">
                  <c:v>2013</c:v>
                </c:pt>
                <c:pt idx="7767">
                  <c:v>2013</c:v>
                </c:pt>
                <c:pt idx="7768">
                  <c:v>2013</c:v>
                </c:pt>
                <c:pt idx="7769">
                  <c:v>2013</c:v>
                </c:pt>
                <c:pt idx="7770">
                  <c:v>2013</c:v>
                </c:pt>
                <c:pt idx="7771">
                  <c:v>2013</c:v>
                </c:pt>
                <c:pt idx="7772">
                  <c:v>2013</c:v>
                </c:pt>
                <c:pt idx="7773">
                  <c:v>2013</c:v>
                </c:pt>
                <c:pt idx="7774">
                  <c:v>2013</c:v>
                </c:pt>
                <c:pt idx="7775">
                  <c:v>2013</c:v>
                </c:pt>
                <c:pt idx="7776">
                  <c:v>2013</c:v>
                </c:pt>
                <c:pt idx="7777">
                  <c:v>2013</c:v>
                </c:pt>
                <c:pt idx="7778">
                  <c:v>2013</c:v>
                </c:pt>
                <c:pt idx="7779">
                  <c:v>2013</c:v>
                </c:pt>
                <c:pt idx="7780">
                  <c:v>2013</c:v>
                </c:pt>
                <c:pt idx="7781">
                  <c:v>2013</c:v>
                </c:pt>
                <c:pt idx="7782">
                  <c:v>2013</c:v>
                </c:pt>
                <c:pt idx="7783">
                  <c:v>2013</c:v>
                </c:pt>
                <c:pt idx="7784">
                  <c:v>2013</c:v>
                </c:pt>
                <c:pt idx="7785">
                  <c:v>2013</c:v>
                </c:pt>
                <c:pt idx="7786">
                  <c:v>2013</c:v>
                </c:pt>
                <c:pt idx="7787">
                  <c:v>2013</c:v>
                </c:pt>
                <c:pt idx="7788">
                  <c:v>2013</c:v>
                </c:pt>
                <c:pt idx="7789">
                  <c:v>2013</c:v>
                </c:pt>
                <c:pt idx="7790">
                  <c:v>2013</c:v>
                </c:pt>
                <c:pt idx="7791">
                  <c:v>2013</c:v>
                </c:pt>
                <c:pt idx="7792">
                  <c:v>2013</c:v>
                </c:pt>
                <c:pt idx="7793">
                  <c:v>2013</c:v>
                </c:pt>
                <c:pt idx="7794">
                  <c:v>2013</c:v>
                </c:pt>
                <c:pt idx="7795">
                  <c:v>2013</c:v>
                </c:pt>
                <c:pt idx="7796">
                  <c:v>2013</c:v>
                </c:pt>
                <c:pt idx="7797">
                  <c:v>2013</c:v>
                </c:pt>
                <c:pt idx="7798">
                  <c:v>2013</c:v>
                </c:pt>
                <c:pt idx="7799">
                  <c:v>2013</c:v>
                </c:pt>
                <c:pt idx="7800">
                  <c:v>2013</c:v>
                </c:pt>
                <c:pt idx="7801">
                  <c:v>2013</c:v>
                </c:pt>
                <c:pt idx="7802">
                  <c:v>2013</c:v>
                </c:pt>
                <c:pt idx="7803">
                  <c:v>2013</c:v>
                </c:pt>
                <c:pt idx="7804">
                  <c:v>2013</c:v>
                </c:pt>
                <c:pt idx="7805">
                  <c:v>2013</c:v>
                </c:pt>
                <c:pt idx="7806">
                  <c:v>2013</c:v>
                </c:pt>
                <c:pt idx="7807">
                  <c:v>2013</c:v>
                </c:pt>
                <c:pt idx="7808">
                  <c:v>2013</c:v>
                </c:pt>
                <c:pt idx="7809">
                  <c:v>2013</c:v>
                </c:pt>
                <c:pt idx="7810">
                  <c:v>2013</c:v>
                </c:pt>
                <c:pt idx="7811">
                  <c:v>2013</c:v>
                </c:pt>
                <c:pt idx="7812">
                  <c:v>2013</c:v>
                </c:pt>
                <c:pt idx="7813">
                  <c:v>2013</c:v>
                </c:pt>
                <c:pt idx="7814">
                  <c:v>2013</c:v>
                </c:pt>
                <c:pt idx="7815">
                  <c:v>2013</c:v>
                </c:pt>
                <c:pt idx="7816">
                  <c:v>2013</c:v>
                </c:pt>
                <c:pt idx="7817">
                  <c:v>2013</c:v>
                </c:pt>
                <c:pt idx="7818">
                  <c:v>2013</c:v>
                </c:pt>
                <c:pt idx="7819">
                  <c:v>2013</c:v>
                </c:pt>
                <c:pt idx="7820">
                  <c:v>2013</c:v>
                </c:pt>
                <c:pt idx="7821">
                  <c:v>2013</c:v>
                </c:pt>
                <c:pt idx="7822">
                  <c:v>2013</c:v>
                </c:pt>
                <c:pt idx="7823">
                  <c:v>2013</c:v>
                </c:pt>
                <c:pt idx="7824">
                  <c:v>2013</c:v>
                </c:pt>
                <c:pt idx="7825">
                  <c:v>2013</c:v>
                </c:pt>
                <c:pt idx="7826">
                  <c:v>2013</c:v>
                </c:pt>
                <c:pt idx="7827">
                  <c:v>2013</c:v>
                </c:pt>
                <c:pt idx="7828">
                  <c:v>2013</c:v>
                </c:pt>
                <c:pt idx="7829">
                  <c:v>2013</c:v>
                </c:pt>
                <c:pt idx="7830">
                  <c:v>2013</c:v>
                </c:pt>
                <c:pt idx="7831">
                  <c:v>2013</c:v>
                </c:pt>
                <c:pt idx="7832">
                  <c:v>2013</c:v>
                </c:pt>
                <c:pt idx="7833">
                  <c:v>2013</c:v>
                </c:pt>
                <c:pt idx="7834">
                  <c:v>2013</c:v>
                </c:pt>
                <c:pt idx="7835">
                  <c:v>2013</c:v>
                </c:pt>
                <c:pt idx="7836">
                  <c:v>2013</c:v>
                </c:pt>
                <c:pt idx="7837">
                  <c:v>2013</c:v>
                </c:pt>
                <c:pt idx="7838">
                  <c:v>2013</c:v>
                </c:pt>
                <c:pt idx="7839">
                  <c:v>2013</c:v>
                </c:pt>
                <c:pt idx="7840">
                  <c:v>2013</c:v>
                </c:pt>
                <c:pt idx="7841">
                  <c:v>2013</c:v>
                </c:pt>
                <c:pt idx="7842">
                  <c:v>2013</c:v>
                </c:pt>
                <c:pt idx="7843">
                  <c:v>2013</c:v>
                </c:pt>
                <c:pt idx="7844">
                  <c:v>2013</c:v>
                </c:pt>
                <c:pt idx="7845">
                  <c:v>2013</c:v>
                </c:pt>
                <c:pt idx="7846">
                  <c:v>2013</c:v>
                </c:pt>
                <c:pt idx="7847">
                  <c:v>2013</c:v>
                </c:pt>
                <c:pt idx="7848">
                  <c:v>2013</c:v>
                </c:pt>
                <c:pt idx="7849">
                  <c:v>2013</c:v>
                </c:pt>
                <c:pt idx="7850">
                  <c:v>2013</c:v>
                </c:pt>
                <c:pt idx="7851">
                  <c:v>2013</c:v>
                </c:pt>
                <c:pt idx="7852">
                  <c:v>2013</c:v>
                </c:pt>
                <c:pt idx="7853">
                  <c:v>2013</c:v>
                </c:pt>
                <c:pt idx="7854">
                  <c:v>2013</c:v>
                </c:pt>
                <c:pt idx="7855">
                  <c:v>2013</c:v>
                </c:pt>
                <c:pt idx="7856">
                  <c:v>2013</c:v>
                </c:pt>
                <c:pt idx="7857">
                  <c:v>2013</c:v>
                </c:pt>
                <c:pt idx="7858">
                  <c:v>2013</c:v>
                </c:pt>
                <c:pt idx="7859">
                  <c:v>2013</c:v>
                </c:pt>
                <c:pt idx="7860">
                  <c:v>2013</c:v>
                </c:pt>
                <c:pt idx="7861">
                  <c:v>2013</c:v>
                </c:pt>
                <c:pt idx="7862">
                  <c:v>2013</c:v>
                </c:pt>
                <c:pt idx="7863">
                  <c:v>2013</c:v>
                </c:pt>
                <c:pt idx="7864">
                  <c:v>2013</c:v>
                </c:pt>
                <c:pt idx="7865">
                  <c:v>2013</c:v>
                </c:pt>
                <c:pt idx="7866">
                  <c:v>2013</c:v>
                </c:pt>
                <c:pt idx="7867">
                  <c:v>2013</c:v>
                </c:pt>
                <c:pt idx="7868">
                  <c:v>2013</c:v>
                </c:pt>
                <c:pt idx="7869">
                  <c:v>2013</c:v>
                </c:pt>
                <c:pt idx="7870">
                  <c:v>2013</c:v>
                </c:pt>
                <c:pt idx="7871">
                  <c:v>2013</c:v>
                </c:pt>
                <c:pt idx="7872">
                  <c:v>2013</c:v>
                </c:pt>
                <c:pt idx="7873">
                  <c:v>2013</c:v>
                </c:pt>
                <c:pt idx="7874">
                  <c:v>2013</c:v>
                </c:pt>
                <c:pt idx="7875">
                  <c:v>2013</c:v>
                </c:pt>
                <c:pt idx="7876">
                  <c:v>2013</c:v>
                </c:pt>
                <c:pt idx="7877">
                  <c:v>2013</c:v>
                </c:pt>
                <c:pt idx="7878">
                  <c:v>2013</c:v>
                </c:pt>
                <c:pt idx="7879">
                  <c:v>2013</c:v>
                </c:pt>
                <c:pt idx="7880">
                  <c:v>2013</c:v>
                </c:pt>
                <c:pt idx="7881">
                  <c:v>2013</c:v>
                </c:pt>
                <c:pt idx="7882">
                  <c:v>2013</c:v>
                </c:pt>
                <c:pt idx="7883">
                  <c:v>2013</c:v>
                </c:pt>
                <c:pt idx="7884">
                  <c:v>2013</c:v>
                </c:pt>
                <c:pt idx="7885">
                  <c:v>2013</c:v>
                </c:pt>
                <c:pt idx="7886">
                  <c:v>2013</c:v>
                </c:pt>
                <c:pt idx="7887">
                  <c:v>2013</c:v>
                </c:pt>
                <c:pt idx="7888">
                  <c:v>2013</c:v>
                </c:pt>
                <c:pt idx="7889">
                  <c:v>2013</c:v>
                </c:pt>
                <c:pt idx="7890">
                  <c:v>2013</c:v>
                </c:pt>
                <c:pt idx="7891">
                  <c:v>2013</c:v>
                </c:pt>
                <c:pt idx="7892">
                  <c:v>2013</c:v>
                </c:pt>
                <c:pt idx="7893">
                  <c:v>2013</c:v>
                </c:pt>
                <c:pt idx="7894">
                  <c:v>2013</c:v>
                </c:pt>
                <c:pt idx="7895">
                  <c:v>2013</c:v>
                </c:pt>
                <c:pt idx="7896">
                  <c:v>2013</c:v>
                </c:pt>
                <c:pt idx="7897">
                  <c:v>2013</c:v>
                </c:pt>
                <c:pt idx="7898">
                  <c:v>2013</c:v>
                </c:pt>
                <c:pt idx="7899">
                  <c:v>2013</c:v>
                </c:pt>
                <c:pt idx="7900">
                  <c:v>2013</c:v>
                </c:pt>
                <c:pt idx="7901">
                  <c:v>2013</c:v>
                </c:pt>
                <c:pt idx="7902">
                  <c:v>2013</c:v>
                </c:pt>
                <c:pt idx="7903">
                  <c:v>2013</c:v>
                </c:pt>
                <c:pt idx="7904">
                  <c:v>2013</c:v>
                </c:pt>
                <c:pt idx="7905">
                  <c:v>2013</c:v>
                </c:pt>
                <c:pt idx="7906">
                  <c:v>2013</c:v>
                </c:pt>
                <c:pt idx="7907">
                  <c:v>2013</c:v>
                </c:pt>
                <c:pt idx="7908">
                  <c:v>2013</c:v>
                </c:pt>
                <c:pt idx="7909">
                  <c:v>2013</c:v>
                </c:pt>
                <c:pt idx="7910">
                  <c:v>2013</c:v>
                </c:pt>
                <c:pt idx="7911">
                  <c:v>2013</c:v>
                </c:pt>
                <c:pt idx="7912">
                  <c:v>2013</c:v>
                </c:pt>
                <c:pt idx="7913">
                  <c:v>2013</c:v>
                </c:pt>
                <c:pt idx="7914">
                  <c:v>2013</c:v>
                </c:pt>
                <c:pt idx="7915">
                  <c:v>2013</c:v>
                </c:pt>
                <c:pt idx="7916">
                  <c:v>2013</c:v>
                </c:pt>
                <c:pt idx="7917">
                  <c:v>2013</c:v>
                </c:pt>
                <c:pt idx="7918">
                  <c:v>2013</c:v>
                </c:pt>
                <c:pt idx="7919">
                  <c:v>2013</c:v>
                </c:pt>
                <c:pt idx="7920">
                  <c:v>2013</c:v>
                </c:pt>
                <c:pt idx="7921">
                  <c:v>2013</c:v>
                </c:pt>
                <c:pt idx="7922">
                  <c:v>2013</c:v>
                </c:pt>
                <c:pt idx="7923">
                  <c:v>2013</c:v>
                </c:pt>
                <c:pt idx="7924">
                  <c:v>2013</c:v>
                </c:pt>
                <c:pt idx="7925">
                  <c:v>2013</c:v>
                </c:pt>
                <c:pt idx="7926">
                  <c:v>2013</c:v>
                </c:pt>
                <c:pt idx="7927">
                  <c:v>2013</c:v>
                </c:pt>
                <c:pt idx="7928">
                  <c:v>2013</c:v>
                </c:pt>
                <c:pt idx="7929">
                  <c:v>2013</c:v>
                </c:pt>
                <c:pt idx="7930">
                  <c:v>2013</c:v>
                </c:pt>
                <c:pt idx="7931">
                  <c:v>2013</c:v>
                </c:pt>
                <c:pt idx="7932">
                  <c:v>2013</c:v>
                </c:pt>
                <c:pt idx="7933">
                  <c:v>2013</c:v>
                </c:pt>
                <c:pt idx="7934">
                  <c:v>2013</c:v>
                </c:pt>
                <c:pt idx="7935">
                  <c:v>2013</c:v>
                </c:pt>
                <c:pt idx="7936">
                  <c:v>2013</c:v>
                </c:pt>
                <c:pt idx="7937">
                  <c:v>2013</c:v>
                </c:pt>
                <c:pt idx="7938">
                  <c:v>2013</c:v>
                </c:pt>
                <c:pt idx="7939">
                  <c:v>2013</c:v>
                </c:pt>
                <c:pt idx="7940">
                  <c:v>2013</c:v>
                </c:pt>
                <c:pt idx="7941">
                  <c:v>2013</c:v>
                </c:pt>
                <c:pt idx="7942">
                  <c:v>2013</c:v>
                </c:pt>
                <c:pt idx="7943">
                  <c:v>2013</c:v>
                </c:pt>
                <c:pt idx="7944">
                  <c:v>2013</c:v>
                </c:pt>
                <c:pt idx="7945">
                  <c:v>2013</c:v>
                </c:pt>
                <c:pt idx="7946">
                  <c:v>2013</c:v>
                </c:pt>
                <c:pt idx="7947">
                  <c:v>2013</c:v>
                </c:pt>
                <c:pt idx="7948">
                  <c:v>2013</c:v>
                </c:pt>
                <c:pt idx="7949">
                  <c:v>2013</c:v>
                </c:pt>
                <c:pt idx="7950">
                  <c:v>2013</c:v>
                </c:pt>
                <c:pt idx="7951">
                  <c:v>2013</c:v>
                </c:pt>
                <c:pt idx="7952">
                  <c:v>2013</c:v>
                </c:pt>
                <c:pt idx="7953">
                  <c:v>2013</c:v>
                </c:pt>
                <c:pt idx="7954">
                  <c:v>2013</c:v>
                </c:pt>
                <c:pt idx="7955">
                  <c:v>2013</c:v>
                </c:pt>
                <c:pt idx="7956">
                  <c:v>2013</c:v>
                </c:pt>
                <c:pt idx="7957">
                  <c:v>2013</c:v>
                </c:pt>
                <c:pt idx="7958">
                  <c:v>2013</c:v>
                </c:pt>
                <c:pt idx="7959">
                  <c:v>2013</c:v>
                </c:pt>
                <c:pt idx="7960">
                  <c:v>2013</c:v>
                </c:pt>
                <c:pt idx="7961">
                  <c:v>2013</c:v>
                </c:pt>
                <c:pt idx="7962">
                  <c:v>2013</c:v>
                </c:pt>
                <c:pt idx="7963">
                  <c:v>2013</c:v>
                </c:pt>
                <c:pt idx="7964">
                  <c:v>2013</c:v>
                </c:pt>
                <c:pt idx="7965">
                  <c:v>2013</c:v>
                </c:pt>
                <c:pt idx="7966">
                  <c:v>2013</c:v>
                </c:pt>
                <c:pt idx="7967">
                  <c:v>2013</c:v>
                </c:pt>
                <c:pt idx="7968">
                  <c:v>2013</c:v>
                </c:pt>
                <c:pt idx="7969">
                  <c:v>2013</c:v>
                </c:pt>
                <c:pt idx="7970">
                  <c:v>2013</c:v>
                </c:pt>
                <c:pt idx="7971">
                  <c:v>2013</c:v>
                </c:pt>
                <c:pt idx="7972">
                  <c:v>2013</c:v>
                </c:pt>
                <c:pt idx="7973">
                  <c:v>2013</c:v>
                </c:pt>
                <c:pt idx="7974">
                  <c:v>2013</c:v>
                </c:pt>
                <c:pt idx="7975">
                  <c:v>2013</c:v>
                </c:pt>
                <c:pt idx="7976">
                  <c:v>2013</c:v>
                </c:pt>
                <c:pt idx="7977">
                  <c:v>2013</c:v>
                </c:pt>
                <c:pt idx="7978">
                  <c:v>2013</c:v>
                </c:pt>
                <c:pt idx="7979">
                  <c:v>2013</c:v>
                </c:pt>
                <c:pt idx="7980">
                  <c:v>2013</c:v>
                </c:pt>
                <c:pt idx="7981">
                  <c:v>2013</c:v>
                </c:pt>
                <c:pt idx="7982">
                  <c:v>2013</c:v>
                </c:pt>
                <c:pt idx="7983">
                  <c:v>2013</c:v>
                </c:pt>
                <c:pt idx="7984">
                  <c:v>2013</c:v>
                </c:pt>
                <c:pt idx="7985">
                  <c:v>2013</c:v>
                </c:pt>
                <c:pt idx="7986">
                  <c:v>2013</c:v>
                </c:pt>
                <c:pt idx="7987">
                  <c:v>2013</c:v>
                </c:pt>
                <c:pt idx="7988">
                  <c:v>2013</c:v>
                </c:pt>
                <c:pt idx="7989">
                  <c:v>2013</c:v>
                </c:pt>
                <c:pt idx="7990">
                  <c:v>2013</c:v>
                </c:pt>
                <c:pt idx="7991">
                  <c:v>2013</c:v>
                </c:pt>
                <c:pt idx="7992">
                  <c:v>2013</c:v>
                </c:pt>
                <c:pt idx="7993">
                  <c:v>2013</c:v>
                </c:pt>
                <c:pt idx="7994">
                  <c:v>2013</c:v>
                </c:pt>
                <c:pt idx="7995">
                  <c:v>2013</c:v>
                </c:pt>
                <c:pt idx="7996">
                  <c:v>2013</c:v>
                </c:pt>
                <c:pt idx="7997">
                  <c:v>2013</c:v>
                </c:pt>
                <c:pt idx="7998">
                  <c:v>2013</c:v>
                </c:pt>
                <c:pt idx="7999">
                  <c:v>2013</c:v>
                </c:pt>
                <c:pt idx="8000">
                  <c:v>2013</c:v>
                </c:pt>
                <c:pt idx="8001">
                  <c:v>2013</c:v>
                </c:pt>
                <c:pt idx="8002">
                  <c:v>2013</c:v>
                </c:pt>
                <c:pt idx="8003">
                  <c:v>2013</c:v>
                </c:pt>
                <c:pt idx="8004">
                  <c:v>2013</c:v>
                </c:pt>
                <c:pt idx="8005">
                  <c:v>2013</c:v>
                </c:pt>
                <c:pt idx="8006">
                  <c:v>2013</c:v>
                </c:pt>
                <c:pt idx="8007">
                  <c:v>2013</c:v>
                </c:pt>
                <c:pt idx="8008">
                  <c:v>2013</c:v>
                </c:pt>
                <c:pt idx="8009">
                  <c:v>2013</c:v>
                </c:pt>
                <c:pt idx="8010">
                  <c:v>2013</c:v>
                </c:pt>
                <c:pt idx="8011">
                  <c:v>2013</c:v>
                </c:pt>
                <c:pt idx="8012">
                  <c:v>2013</c:v>
                </c:pt>
                <c:pt idx="8013">
                  <c:v>2013</c:v>
                </c:pt>
                <c:pt idx="8014">
                  <c:v>2013</c:v>
                </c:pt>
                <c:pt idx="8015">
                  <c:v>2013</c:v>
                </c:pt>
                <c:pt idx="8016">
                  <c:v>2013</c:v>
                </c:pt>
                <c:pt idx="8017">
                  <c:v>2013</c:v>
                </c:pt>
                <c:pt idx="8018">
                  <c:v>2013</c:v>
                </c:pt>
                <c:pt idx="8019">
                  <c:v>2013</c:v>
                </c:pt>
                <c:pt idx="8020">
                  <c:v>2013</c:v>
                </c:pt>
                <c:pt idx="8021">
                  <c:v>2013</c:v>
                </c:pt>
                <c:pt idx="8022">
                  <c:v>2013</c:v>
                </c:pt>
                <c:pt idx="8023">
                  <c:v>2013</c:v>
                </c:pt>
                <c:pt idx="8024">
                  <c:v>2013</c:v>
                </c:pt>
                <c:pt idx="8025">
                  <c:v>2013</c:v>
                </c:pt>
                <c:pt idx="8026">
                  <c:v>2013</c:v>
                </c:pt>
                <c:pt idx="8027">
                  <c:v>2013</c:v>
                </c:pt>
                <c:pt idx="8028">
                  <c:v>2013</c:v>
                </c:pt>
                <c:pt idx="8029">
                  <c:v>2013</c:v>
                </c:pt>
                <c:pt idx="8030">
                  <c:v>2013</c:v>
                </c:pt>
                <c:pt idx="8031">
                  <c:v>2013</c:v>
                </c:pt>
                <c:pt idx="8032">
                  <c:v>2013</c:v>
                </c:pt>
                <c:pt idx="8033">
                  <c:v>2013</c:v>
                </c:pt>
                <c:pt idx="8034">
                  <c:v>2013</c:v>
                </c:pt>
                <c:pt idx="8035">
                  <c:v>2013</c:v>
                </c:pt>
                <c:pt idx="8036">
                  <c:v>2013</c:v>
                </c:pt>
                <c:pt idx="8037">
                  <c:v>2013</c:v>
                </c:pt>
                <c:pt idx="8038">
                  <c:v>2013</c:v>
                </c:pt>
                <c:pt idx="8039">
                  <c:v>2013</c:v>
                </c:pt>
                <c:pt idx="8040">
                  <c:v>2013</c:v>
                </c:pt>
                <c:pt idx="8041">
                  <c:v>2013</c:v>
                </c:pt>
                <c:pt idx="8042">
                  <c:v>2013</c:v>
                </c:pt>
                <c:pt idx="8043">
                  <c:v>2013</c:v>
                </c:pt>
                <c:pt idx="8044">
                  <c:v>2013</c:v>
                </c:pt>
                <c:pt idx="8045">
                  <c:v>2013</c:v>
                </c:pt>
                <c:pt idx="8046">
                  <c:v>2013</c:v>
                </c:pt>
                <c:pt idx="8047">
                  <c:v>2013</c:v>
                </c:pt>
                <c:pt idx="8048">
                  <c:v>2013</c:v>
                </c:pt>
                <c:pt idx="8049">
                  <c:v>2013</c:v>
                </c:pt>
                <c:pt idx="8050">
                  <c:v>2013</c:v>
                </c:pt>
                <c:pt idx="8051">
                  <c:v>2013</c:v>
                </c:pt>
                <c:pt idx="8052">
                  <c:v>2013</c:v>
                </c:pt>
                <c:pt idx="8053">
                  <c:v>2013</c:v>
                </c:pt>
                <c:pt idx="8054">
                  <c:v>2013</c:v>
                </c:pt>
                <c:pt idx="8055">
                  <c:v>2013</c:v>
                </c:pt>
                <c:pt idx="8056">
                  <c:v>2013</c:v>
                </c:pt>
                <c:pt idx="8057">
                  <c:v>2013</c:v>
                </c:pt>
                <c:pt idx="8058">
                  <c:v>2013</c:v>
                </c:pt>
                <c:pt idx="8059">
                  <c:v>2013</c:v>
                </c:pt>
                <c:pt idx="8060">
                  <c:v>2013</c:v>
                </c:pt>
                <c:pt idx="8061">
                  <c:v>2013</c:v>
                </c:pt>
                <c:pt idx="8062">
                  <c:v>2013</c:v>
                </c:pt>
                <c:pt idx="8063">
                  <c:v>2013</c:v>
                </c:pt>
                <c:pt idx="8064">
                  <c:v>2013</c:v>
                </c:pt>
                <c:pt idx="8065">
                  <c:v>2013</c:v>
                </c:pt>
                <c:pt idx="8066">
                  <c:v>2013</c:v>
                </c:pt>
                <c:pt idx="8067">
                  <c:v>2013</c:v>
                </c:pt>
                <c:pt idx="8068">
                  <c:v>2013</c:v>
                </c:pt>
                <c:pt idx="8069">
                  <c:v>2013</c:v>
                </c:pt>
                <c:pt idx="8070">
                  <c:v>2013</c:v>
                </c:pt>
                <c:pt idx="8071">
                  <c:v>2014</c:v>
                </c:pt>
                <c:pt idx="8072">
                  <c:v>2014</c:v>
                </c:pt>
                <c:pt idx="8073">
                  <c:v>2014</c:v>
                </c:pt>
                <c:pt idx="8074">
                  <c:v>2014</c:v>
                </c:pt>
                <c:pt idx="8075">
                  <c:v>2014</c:v>
                </c:pt>
                <c:pt idx="8076">
                  <c:v>2014</c:v>
                </c:pt>
                <c:pt idx="8077">
                  <c:v>2014</c:v>
                </c:pt>
                <c:pt idx="8078">
                  <c:v>2014</c:v>
                </c:pt>
                <c:pt idx="8079">
                  <c:v>2014</c:v>
                </c:pt>
                <c:pt idx="8080">
                  <c:v>2014</c:v>
                </c:pt>
                <c:pt idx="8081">
                  <c:v>2014</c:v>
                </c:pt>
                <c:pt idx="8082">
                  <c:v>2014</c:v>
                </c:pt>
                <c:pt idx="8083">
                  <c:v>2014</c:v>
                </c:pt>
                <c:pt idx="8084">
                  <c:v>2014</c:v>
                </c:pt>
                <c:pt idx="8085">
                  <c:v>2014</c:v>
                </c:pt>
                <c:pt idx="8086">
                  <c:v>2014</c:v>
                </c:pt>
                <c:pt idx="8087">
                  <c:v>2014</c:v>
                </c:pt>
                <c:pt idx="8088">
                  <c:v>2014</c:v>
                </c:pt>
                <c:pt idx="8089">
                  <c:v>2014</c:v>
                </c:pt>
                <c:pt idx="8090">
                  <c:v>2014</c:v>
                </c:pt>
                <c:pt idx="8091">
                  <c:v>2014</c:v>
                </c:pt>
                <c:pt idx="8092">
                  <c:v>2014</c:v>
                </c:pt>
                <c:pt idx="8093">
                  <c:v>2014</c:v>
                </c:pt>
                <c:pt idx="8094">
                  <c:v>2014</c:v>
                </c:pt>
                <c:pt idx="8095">
                  <c:v>2014</c:v>
                </c:pt>
                <c:pt idx="8096">
                  <c:v>2014</c:v>
                </c:pt>
                <c:pt idx="8097">
                  <c:v>2014</c:v>
                </c:pt>
                <c:pt idx="8098">
                  <c:v>2014</c:v>
                </c:pt>
                <c:pt idx="8099">
                  <c:v>2014</c:v>
                </c:pt>
                <c:pt idx="8100">
                  <c:v>2014</c:v>
                </c:pt>
                <c:pt idx="8101">
                  <c:v>2014</c:v>
                </c:pt>
                <c:pt idx="8102">
                  <c:v>2014</c:v>
                </c:pt>
                <c:pt idx="8103">
                  <c:v>2014</c:v>
                </c:pt>
                <c:pt idx="8104">
                  <c:v>2014</c:v>
                </c:pt>
                <c:pt idx="8105">
                  <c:v>2014</c:v>
                </c:pt>
                <c:pt idx="8106">
                  <c:v>2014</c:v>
                </c:pt>
                <c:pt idx="8107">
                  <c:v>2014</c:v>
                </c:pt>
                <c:pt idx="8108">
                  <c:v>2014</c:v>
                </c:pt>
                <c:pt idx="8109">
                  <c:v>2014</c:v>
                </c:pt>
                <c:pt idx="8110">
                  <c:v>2014</c:v>
                </c:pt>
                <c:pt idx="8111">
                  <c:v>2014</c:v>
                </c:pt>
                <c:pt idx="8112">
                  <c:v>2014</c:v>
                </c:pt>
                <c:pt idx="8113">
                  <c:v>2014</c:v>
                </c:pt>
                <c:pt idx="8114">
                  <c:v>2014</c:v>
                </c:pt>
                <c:pt idx="8115">
                  <c:v>2014</c:v>
                </c:pt>
                <c:pt idx="8116">
                  <c:v>2014</c:v>
                </c:pt>
                <c:pt idx="8117">
                  <c:v>2014</c:v>
                </c:pt>
                <c:pt idx="8118">
                  <c:v>2014</c:v>
                </c:pt>
                <c:pt idx="8119">
                  <c:v>2014</c:v>
                </c:pt>
                <c:pt idx="8120">
                  <c:v>2014</c:v>
                </c:pt>
                <c:pt idx="8121">
                  <c:v>2014</c:v>
                </c:pt>
                <c:pt idx="8122">
                  <c:v>2014</c:v>
                </c:pt>
                <c:pt idx="8123">
                  <c:v>2014</c:v>
                </c:pt>
                <c:pt idx="8124">
                  <c:v>2014</c:v>
                </c:pt>
                <c:pt idx="8125">
                  <c:v>2014</c:v>
                </c:pt>
                <c:pt idx="8126">
                  <c:v>2014</c:v>
                </c:pt>
                <c:pt idx="8127">
                  <c:v>2014</c:v>
                </c:pt>
                <c:pt idx="8128">
                  <c:v>2014</c:v>
                </c:pt>
                <c:pt idx="8129">
                  <c:v>2014</c:v>
                </c:pt>
                <c:pt idx="8130">
                  <c:v>2014</c:v>
                </c:pt>
                <c:pt idx="8131">
                  <c:v>2014</c:v>
                </c:pt>
                <c:pt idx="8132">
                  <c:v>2014</c:v>
                </c:pt>
                <c:pt idx="8133">
                  <c:v>2014</c:v>
                </c:pt>
                <c:pt idx="8134">
                  <c:v>2014</c:v>
                </c:pt>
                <c:pt idx="8135">
                  <c:v>2014</c:v>
                </c:pt>
                <c:pt idx="8136">
                  <c:v>2014</c:v>
                </c:pt>
                <c:pt idx="8137">
                  <c:v>2014</c:v>
                </c:pt>
                <c:pt idx="8138">
                  <c:v>2014</c:v>
                </c:pt>
                <c:pt idx="8139">
                  <c:v>2014</c:v>
                </c:pt>
                <c:pt idx="8140">
                  <c:v>2014</c:v>
                </c:pt>
                <c:pt idx="8141">
                  <c:v>2014</c:v>
                </c:pt>
                <c:pt idx="8142">
                  <c:v>2014</c:v>
                </c:pt>
                <c:pt idx="8143">
                  <c:v>2014</c:v>
                </c:pt>
                <c:pt idx="8144">
                  <c:v>2014</c:v>
                </c:pt>
                <c:pt idx="8145">
                  <c:v>2014</c:v>
                </c:pt>
                <c:pt idx="8146">
                  <c:v>2014</c:v>
                </c:pt>
                <c:pt idx="8147">
                  <c:v>2014</c:v>
                </c:pt>
                <c:pt idx="8148">
                  <c:v>2014</c:v>
                </c:pt>
                <c:pt idx="8149">
                  <c:v>2014</c:v>
                </c:pt>
                <c:pt idx="8150">
                  <c:v>2014</c:v>
                </c:pt>
                <c:pt idx="8151">
                  <c:v>2014</c:v>
                </c:pt>
                <c:pt idx="8152">
                  <c:v>2014</c:v>
                </c:pt>
                <c:pt idx="8153">
                  <c:v>2014</c:v>
                </c:pt>
                <c:pt idx="8154">
                  <c:v>2014</c:v>
                </c:pt>
                <c:pt idx="8155">
                  <c:v>2014</c:v>
                </c:pt>
                <c:pt idx="8156">
                  <c:v>2014</c:v>
                </c:pt>
                <c:pt idx="8157">
                  <c:v>2014</c:v>
                </c:pt>
                <c:pt idx="8158">
                  <c:v>2014</c:v>
                </c:pt>
                <c:pt idx="8159">
                  <c:v>2014</c:v>
                </c:pt>
                <c:pt idx="8160">
                  <c:v>2014</c:v>
                </c:pt>
                <c:pt idx="8161">
                  <c:v>2014</c:v>
                </c:pt>
                <c:pt idx="8162">
                  <c:v>2014</c:v>
                </c:pt>
                <c:pt idx="8163">
                  <c:v>2014</c:v>
                </c:pt>
                <c:pt idx="8164">
                  <c:v>2014</c:v>
                </c:pt>
                <c:pt idx="8165">
                  <c:v>2014</c:v>
                </c:pt>
                <c:pt idx="8166">
                  <c:v>2014</c:v>
                </c:pt>
                <c:pt idx="8167">
                  <c:v>2014</c:v>
                </c:pt>
                <c:pt idx="8168">
                  <c:v>2014</c:v>
                </c:pt>
                <c:pt idx="8169">
                  <c:v>2014</c:v>
                </c:pt>
                <c:pt idx="8170">
                  <c:v>2014</c:v>
                </c:pt>
                <c:pt idx="8171">
                  <c:v>2014</c:v>
                </c:pt>
                <c:pt idx="8172">
                  <c:v>2014</c:v>
                </c:pt>
                <c:pt idx="8173">
                  <c:v>2014</c:v>
                </c:pt>
                <c:pt idx="8174">
                  <c:v>2014</c:v>
                </c:pt>
                <c:pt idx="8175">
                  <c:v>2014</c:v>
                </c:pt>
                <c:pt idx="8176">
                  <c:v>2014</c:v>
                </c:pt>
                <c:pt idx="8177">
                  <c:v>2014</c:v>
                </c:pt>
                <c:pt idx="8178">
                  <c:v>2014</c:v>
                </c:pt>
                <c:pt idx="8179">
                  <c:v>2014</c:v>
                </c:pt>
                <c:pt idx="8180">
                  <c:v>2014</c:v>
                </c:pt>
                <c:pt idx="8181">
                  <c:v>2014</c:v>
                </c:pt>
                <c:pt idx="8182">
                  <c:v>2014</c:v>
                </c:pt>
                <c:pt idx="8183">
                  <c:v>2014</c:v>
                </c:pt>
                <c:pt idx="8184">
                  <c:v>2014</c:v>
                </c:pt>
                <c:pt idx="8185">
                  <c:v>2014</c:v>
                </c:pt>
                <c:pt idx="8186">
                  <c:v>2014</c:v>
                </c:pt>
                <c:pt idx="8187">
                  <c:v>2014</c:v>
                </c:pt>
                <c:pt idx="8188">
                  <c:v>2014</c:v>
                </c:pt>
                <c:pt idx="8189">
                  <c:v>2014</c:v>
                </c:pt>
                <c:pt idx="8190">
                  <c:v>2014</c:v>
                </c:pt>
                <c:pt idx="8191">
                  <c:v>2014</c:v>
                </c:pt>
                <c:pt idx="8192">
                  <c:v>2014</c:v>
                </c:pt>
                <c:pt idx="8193">
                  <c:v>2014</c:v>
                </c:pt>
                <c:pt idx="8194">
                  <c:v>2014</c:v>
                </c:pt>
                <c:pt idx="8195">
                  <c:v>2014</c:v>
                </c:pt>
                <c:pt idx="8196">
                  <c:v>2014</c:v>
                </c:pt>
                <c:pt idx="8197">
                  <c:v>2014</c:v>
                </c:pt>
                <c:pt idx="8198">
                  <c:v>2014</c:v>
                </c:pt>
                <c:pt idx="8199">
                  <c:v>2014</c:v>
                </c:pt>
                <c:pt idx="8200">
                  <c:v>2014</c:v>
                </c:pt>
                <c:pt idx="8201">
                  <c:v>2014</c:v>
                </c:pt>
                <c:pt idx="8202">
                  <c:v>2014</c:v>
                </c:pt>
                <c:pt idx="8203">
                  <c:v>2014</c:v>
                </c:pt>
                <c:pt idx="8204">
                  <c:v>2014</c:v>
                </c:pt>
                <c:pt idx="8205">
                  <c:v>2014</c:v>
                </c:pt>
                <c:pt idx="8206">
                  <c:v>2014</c:v>
                </c:pt>
                <c:pt idx="8207">
                  <c:v>2014</c:v>
                </c:pt>
                <c:pt idx="8208">
                  <c:v>2014</c:v>
                </c:pt>
                <c:pt idx="8209">
                  <c:v>2014</c:v>
                </c:pt>
                <c:pt idx="8210">
                  <c:v>2014</c:v>
                </c:pt>
                <c:pt idx="8211">
                  <c:v>2014</c:v>
                </c:pt>
                <c:pt idx="8212">
                  <c:v>2014</c:v>
                </c:pt>
                <c:pt idx="8213">
                  <c:v>2014</c:v>
                </c:pt>
                <c:pt idx="8214">
                  <c:v>2014</c:v>
                </c:pt>
                <c:pt idx="8215">
                  <c:v>2014</c:v>
                </c:pt>
                <c:pt idx="8216">
                  <c:v>2014</c:v>
                </c:pt>
                <c:pt idx="8217">
                  <c:v>2014</c:v>
                </c:pt>
                <c:pt idx="8218">
                  <c:v>2014</c:v>
                </c:pt>
                <c:pt idx="8219">
                  <c:v>2014</c:v>
                </c:pt>
                <c:pt idx="8220">
                  <c:v>2014</c:v>
                </c:pt>
                <c:pt idx="8221">
                  <c:v>2014</c:v>
                </c:pt>
                <c:pt idx="8222">
                  <c:v>2014</c:v>
                </c:pt>
                <c:pt idx="8223">
                  <c:v>2014</c:v>
                </c:pt>
                <c:pt idx="8224">
                  <c:v>2014</c:v>
                </c:pt>
                <c:pt idx="8225">
                  <c:v>2014</c:v>
                </c:pt>
                <c:pt idx="8226">
                  <c:v>2014</c:v>
                </c:pt>
                <c:pt idx="8227">
                  <c:v>2014</c:v>
                </c:pt>
                <c:pt idx="8228">
                  <c:v>2014</c:v>
                </c:pt>
                <c:pt idx="8229">
                  <c:v>2014</c:v>
                </c:pt>
                <c:pt idx="8230">
                  <c:v>2014</c:v>
                </c:pt>
                <c:pt idx="8231">
                  <c:v>2014</c:v>
                </c:pt>
                <c:pt idx="8232">
                  <c:v>2014</c:v>
                </c:pt>
                <c:pt idx="8233">
                  <c:v>2014</c:v>
                </c:pt>
                <c:pt idx="8234">
                  <c:v>2014</c:v>
                </c:pt>
                <c:pt idx="8235">
                  <c:v>2014</c:v>
                </c:pt>
                <c:pt idx="8236">
                  <c:v>2014</c:v>
                </c:pt>
                <c:pt idx="8237">
                  <c:v>2014</c:v>
                </c:pt>
                <c:pt idx="8238">
                  <c:v>2014</c:v>
                </c:pt>
                <c:pt idx="8239">
                  <c:v>2014</c:v>
                </c:pt>
                <c:pt idx="8240">
                  <c:v>2014</c:v>
                </c:pt>
                <c:pt idx="8241">
                  <c:v>2014</c:v>
                </c:pt>
                <c:pt idx="8242">
                  <c:v>2014</c:v>
                </c:pt>
                <c:pt idx="8243">
                  <c:v>2014</c:v>
                </c:pt>
                <c:pt idx="8244">
                  <c:v>2014</c:v>
                </c:pt>
                <c:pt idx="8245">
                  <c:v>2014</c:v>
                </c:pt>
                <c:pt idx="8246">
                  <c:v>2014</c:v>
                </c:pt>
                <c:pt idx="8247">
                  <c:v>2014</c:v>
                </c:pt>
                <c:pt idx="8248">
                  <c:v>2014</c:v>
                </c:pt>
                <c:pt idx="8249">
                  <c:v>2014</c:v>
                </c:pt>
                <c:pt idx="8250">
                  <c:v>2014</c:v>
                </c:pt>
                <c:pt idx="8251">
                  <c:v>2014</c:v>
                </c:pt>
                <c:pt idx="8252">
                  <c:v>2014</c:v>
                </c:pt>
                <c:pt idx="8253">
                  <c:v>2014</c:v>
                </c:pt>
                <c:pt idx="8254">
                  <c:v>2014</c:v>
                </c:pt>
                <c:pt idx="8255">
                  <c:v>2014</c:v>
                </c:pt>
                <c:pt idx="8256">
                  <c:v>2014</c:v>
                </c:pt>
                <c:pt idx="8257">
                  <c:v>2014</c:v>
                </c:pt>
                <c:pt idx="8258">
                  <c:v>2014</c:v>
                </c:pt>
                <c:pt idx="8259">
                  <c:v>2014</c:v>
                </c:pt>
                <c:pt idx="8260">
                  <c:v>2014</c:v>
                </c:pt>
                <c:pt idx="8261">
                  <c:v>2014</c:v>
                </c:pt>
                <c:pt idx="8262">
                  <c:v>2014</c:v>
                </c:pt>
                <c:pt idx="8263">
                  <c:v>2014</c:v>
                </c:pt>
                <c:pt idx="8264">
                  <c:v>2014</c:v>
                </c:pt>
                <c:pt idx="8265">
                  <c:v>2014</c:v>
                </c:pt>
                <c:pt idx="8266">
                  <c:v>2014</c:v>
                </c:pt>
                <c:pt idx="8267">
                  <c:v>2014</c:v>
                </c:pt>
                <c:pt idx="8268">
                  <c:v>2014</c:v>
                </c:pt>
                <c:pt idx="8269">
                  <c:v>2014</c:v>
                </c:pt>
                <c:pt idx="8270">
                  <c:v>2014</c:v>
                </c:pt>
                <c:pt idx="8271">
                  <c:v>2014</c:v>
                </c:pt>
                <c:pt idx="8272">
                  <c:v>2014</c:v>
                </c:pt>
                <c:pt idx="8273">
                  <c:v>2014</c:v>
                </c:pt>
                <c:pt idx="8274">
                  <c:v>2014</c:v>
                </c:pt>
                <c:pt idx="8275">
                  <c:v>2014</c:v>
                </c:pt>
                <c:pt idx="8276">
                  <c:v>2014</c:v>
                </c:pt>
                <c:pt idx="8277">
                  <c:v>2014</c:v>
                </c:pt>
                <c:pt idx="8278">
                  <c:v>2014</c:v>
                </c:pt>
                <c:pt idx="8279">
                  <c:v>2014</c:v>
                </c:pt>
                <c:pt idx="8280">
                  <c:v>2014</c:v>
                </c:pt>
                <c:pt idx="8281">
                  <c:v>2014</c:v>
                </c:pt>
                <c:pt idx="8282">
                  <c:v>2014</c:v>
                </c:pt>
                <c:pt idx="8283">
                  <c:v>2014</c:v>
                </c:pt>
                <c:pt idx="8284">
                  <c:v>2014</c:v>
                </c:pt>
                <c:pt idx="8285">
                  <c:v>2014</c:v>
                </c:pt>
                <c:pt idx="8286">
                  <c:v>2014</c:v>
                </c:pt>
                <c:pt idx="8287">
                  <c:v>2014</c:v>
                </c:pt>
                <c:pt idx="8288">
                  <c:v>2014</c:v>
                </c:pt>
                <c:pt idx="8289">
                  <c:v>2014</c:v>
                </c:pt>
                <c:pt idx="8290">
                  <c:v>2014</c:v>
                </c:pt>
                <c:pt idx="8291">
                  <c:v>2014</c:v>
                </c:pt>
                <c:pt idx="8292">
                  <c:v>2014</c:v>
                </c:pt>
                <c:pt idx="8293">
                  <c:v>2014</c:v>
                </c:pt>
                <c:pt idx="8294">
                  <c:v>2014</c:v>
                </c:pt>
                <c:pt idx="8295">
                  <c:v>2014</c:v>
                </c:pt>
                <c:pt idx="8296">
                  <c:v>2014</c:v>
                </c:pt>
                <c:pt idx="8297">
                  <c:v>2014</c:v>
                </c:pt>
                <c:pt idx="8298">
                  <c:v>2014</c:v>
                </c:pt>
                <c:pt idx="8299">
                  <c:v>2014</c:v>
                </c:pt>
                <c:pt idx="8300">
                  <c:v>2014</c:v>
                </c:pt>
                <c:pt idx="8301">
                  <c:v>2014</c:v>
                </c:pt>
                <c:pt idx="8302">
                  <c:v>2014</c:v>
                </c:pt>
                <c:pt idx="8303">
                  <c:v>2014</c:v>
                </c:pt>
                <c:pt idx="8304">
                  <c:v>2014</c:v>
                </c:pt>
                <c:pt idx="8305">
                  <c:v>2014</c:v>
                </c:pt>
                <c:pt idx="8306">
                  <c:v>2014</c:v>
                </c:pt>
                <c:pt idx="8307">
                  <c:v>2014</c:v>
                </c:pt>
                <c:pt idx="8308">
                  <c:v>2014</c:v>
                </c:pt>
                <c:pt idx="8309">
                  <c:v>2014</c:v>
                </c:pt>
                <c:pt idx="8310">
                  <c:v>2014</c:v>
                </c:pt>
                <c:pt idx="8311">
                  <c:v>2014</c:v>
                </c:pt>
                <c:pt idx="8312">
                  <c:v>2014</c:v>
                </c:pt>
                <c:pt idx="8313">
                  <c:v>2014</c:v>
                </c:pt>
                <c:pt idx="8314">
                  <c:v>2014</c:v>
                </c:pt>
                <c:pt idx="8315">
                  <c:v>2014</c:v>
                </c:pt>
                <c:pt idx="8316">
                  <c:v>2014</c:v>
                </c:pt>
                <c:pt idx="8317">
                  <c:v>2014</c:v>
                </c:pt>
                <c:pt idx="8318">
                  <c:v>2014</c:v>
                </c:pt>
                <c:pt idx="8319">
                  <c:v>2014</c:v>
                </c:pt>
                <c:pt idx="8320">
                  <c:v>2014</c:v>
                </c:pt>
                <c:pt idx="8321">
                  <c:v>2014</c:v>
                </c:pt>
                <c:pt idx="8322">
                  <c:v>2014</c:v>
                </c:pt>
                <c:pt idx="8323">
                  <c:v>2014</c:v>
                </c:pt>
                <c:pt idx="8324">
                  <c:v>2014</c:v>
                </c:pt>
                <c:pt idx="8325">
                  <c:v>2014</c:v>
                </c:pt>
                <c:pt idx="8326">
                  <c:v>2014</c:v>
                </c:pt>
                <c:pt idx="8327">
                  <c:v>2014</c:v>
                </c:pt>
                <c:pt idx="8328">
                  <c:v>2014</c:v>
                </c:pt>
                <c:pt idx="8329">
                  <c:v>2014</c:v>
                </c:pt>
                <c:pt idx="8330">
                  <c:v>2014</c:v>
                </c:pt>
                <c:pt idx="8331">
                  <c:v>2014</c:v>
                </c:pt>
                <c:pt idx="8332">
                  <c:v>2014</c:v>
                </c:pt>
                <c:pt idx="8333">
                  <c:v>2014</c:v>
                </c:pt>
                <c:pt idx="8334">
                  <c:v>2014</c:v>
                </c:pt>
                <c:pt idx="8335">
                  <c:v>2014</c:v>
                </c:pt>
                <c:pt idx="8336">
                  <c:v>2014</c:v>
                </c:pt>
                <c:pt idx="8337">
                  <c:v>2014</c:v>
                </c:pt>
                <c:pt idx="8338">
                  <c:v>2014</c:v>
                </c:pt>
                <c:pt idx="8339">
                  <c:v>2014</c:v>
                </c:pt>
                <c:pt idx="8340">
                  <c:v>2014</c:v>
                </c:pt>
                <c:pt idx="8341">
                  <c:v>2014</c:v>
                </c:pt>
                <c:pt idx="8342">
                  <c:v>2014</c:v>
                </c:pt>
                <c:pt idx="8343">
                  <c:v>2014</c:v>
                </c:pt>
                <c:pt idx="8344">
                  <c:v>2014</c:v>
                </c:pt>
                <c:pt idx="8345">
                  <c:v>2014</c:v>
                </c:pt>
                <c:pt idx="8346">
                  <c:v>2014</c:v>
                </c:pt>
                <c:pt idx="8347">
                  <c:v>2014</c:v>
                </c:pt>
                <c:pt idx="8348">
                  <c:v>2014</c:v>
                </c:pt>
                <c:pt idx="8349">
                  <c:v>2014</c:v>
                </c:pt>
                <c:pt idx="8350">
                  <c:v>2014</c:v>
                </c:pt>
                <c:pt idx="8351">
                  <c:v>2014</c:v>
                </c:pt>
                <c:pt idx="8352">
                  <c:v>2014</c:v>
                </c:pt>
                <c:pt idx="8353">
                  <c:v>2014</c:v>
                </c:pt>
                <c:pt idx="8354">
                  <c:v>2014</c:v>
                </c:pt>
                <c:pt idx="8355">
                  <c:v>2014</c:v>
                </c:pt>
                <c:pt idx="8356">
                  <c:v>2014</c:v>
                </c:pt>
                <c:pt idx="8357">
                  <c:v>2014</c:v>
                </c:pt>
                <c:pt idx="8358">
                  <c:v>2014</c:v>
                </c:pt>
                <c:pt idx="8359">
                  <c:v>2014</c:v>
                </c:pt>
                <c:pt idx="8360">
                  <c:v>2014</c:v>
                </c:pt>
                <c:pt idx="8361">
                  <c:v>2014</c:v>
                </c:pt>
                <c:pt idx="8362">
                  <c:v>2014</c:v>
                </c:pt>
                <c:pt idx="8363">
                  <c:v>2014</c:v>
                </c:pt>
                <c:pt idx="8364">
                  <c:v>2014</c:v>
                </c:pt>
                <c:pt idx="8365">
                  <c:v>2014</c:v>
                </c:pt>
                <c:pt idx="8366">
                  <c:v>2014</c:v>
                </c:pt>
                <c:pt idx="8367">
                  <c:v>2014</c:v>
                </c:pt>
                <c:pt idx="8368">
                  <c:v>2014</c:v>
                </c:pt>
                <c:pt idx="8369">
                  <c:v>2014</c:v>
                </c:pt>
                <c:pt idx="8370">
                  <c:v>2014</c:v>
                </c:pt>
                <c:pt idx="8371">
                  <c:v>2014</c:v>
                </c:pt>
                <c:pt idx="8372">
                  <c:v>2014</c:v>
                </c:pt>
                <c:pt idx="8373">
                  <c:v>2014</c:v>
                </c:pt>
                <c:pt idx="8374">
                  <c:v>2014</c:v>
                </c:pt>
                <c:pt idx="8375">
                  <c:v>2014</c:v>
                </c:pt>
                <c:pt idx="8376">
                  <c:v>2014</c:v>
                </c:pt>
                <c:pt idx="8377">
                  <c:v>2014</c:v>
                </c:pt>
                <c:pt idx="8378">
                  <c:v>2014</c:v>
                </c:pt>
                <c:pt idx="8379">
                  <c:v>2014</c:v>
                </c:pt>
                <c:pt idx="8380">
                  <c:v>2014</c:v>
                </c:pt>
                <c:pt idx="8381">
                  <c:v>2014</c:v>
                </c:pt>
                <c:pt idx="8382">
                  <c:v>2014</c:v>
                </c:pt>
                <c:pt idx="8383">
                  <c:v>2014</c:v>
                </c:pt>
                <c:pt idx="8384">
                  <c:v>2014</c:v>
                </c:pt>
                <c:pt idx="8385">
                  <c:v>2014</c:v>
                </c:pt>
                <c:pt idx="8386">
                  <c:v>2014</c:v>
                </c:pt>
                <c:pt idx="8387">
                  <c:v>2014</c:v>
                </c:pt>
                <c:pt idx="8388">
                  <c:v>2014</c:v>
                </c:pt>
                <c:pt idx="8389">
                  <c:v>2014</c:v>
                </c:pt>
                <c:pt idx="8390">
                  <c:v>2014</c:v>
                </c:pt>
                <c:pt idx="8391">
                  <c:v>2014</c:v>
                </c:pt>
                <c:pt idx="8392">
                  <c:v>2014</c:v>
                </c:pt>
                <c:pt idx="8393">
                  <c:v>2014</c:v>
                </c:pt>
                <c:pt idx="8394">
                  <c:v>2014</c:v>
                </c:pt>
                <c:pt idx="8395">
                  <c:v>2014</c:v>
                </c:pt>
                <c:pt idx="8396">
                  <c:v>2014</c:v>
                </c:pt>
                <c:pt idx="8397">
                  <c:v>2014</c:v>
                </c:pt>
                <c:pt idx="8398">
                  <c:v>2014</c:v>
                </c:pt>
                <c:pt idx="8399">
                  <c:v>2014</c:v>
                </c:pt>
                <c:pt idx="8400">
                  <c:v>2014</c:v>
                </c:pt>
                <c:pt idx="8401">
                  <c:v>2014</c:v>
                </c:pt>
                <c:pt idx="8402">
                  <c:v>2014</c:v>
                </c:pt>
                <c:pt idx="8403">
                  <c:v>2014</c:v>
                </c:pt>
                <c:pt idx="8404">
                  <c:v>2014</c:v>
                </c:pt>
                <c:pt idx="8405">
                  <c:v>2014</c:v>
                </c:pt>
                <c:pt idx="8406">
                  <c:v>2014</c:v>
                </c:pt>
                <c:pt idx="8407">
                  <c:v>2014</c:v>
                </c:pt>
                <c:pt idx="8408">
                  <c:v>2014</c:v>
                </c:pt>
                <c:pt idx="8409">
                  <c:v>2014</c:v>
                </c:pt>
                <c:pt idx="8410">
                  <c:v>2014</c:v>
                </c:pt>
                <c:pt idx="8411">
                  <c:v>2014</c:v>
                </c:pt>
                <c:pt idx="8412">
                  <c:v>2014</c:v>
                </c:pt>
                <c:pt idx="8413">
                  <c:v>2014</c:v>
                </c:pt>
                <c:pt idx="8414">
                  <c:v>2014</c:v>
                </c:pt>
                <c:pt idx="8415">
                  <c:v>2014</c:v>
                </c:pt>
                <c:pt idx="8416">
                  <c:v>2014</c:v>
                </c:pt>
                <c:pt idx="8417">
                  <c:v>2014</c:v>
                </c:pt>
                <c:pt idx="8418">
                  <c:v>2014</c:v>
                </c:pt>
                <c:pt idx="8419">
                  <c:v>2014</c:v>
                </c:pt>
                <c:pt idx="8420">
                  <c:v>2014</c:v>
                </c:pt>
                <c:pt idx="8421">
                  <c:v>2014</c:v>
                </c:pt>
                <c:pt idx="8422">
                  <c:v>2014</c:v>
                </c:pt>
                <c:pt idx="8423">
                  <c:v>2014</c:v>
                </c:pt>
                <c:pt idx="8424">
                  <c:v>2014</c:v>
                </c:pt>
                <c:pt idx="8425">
                  <c:v>2014</c:v>
                </c:pt>
                <c:pt idx="8426">
                  <c:v>2014</c:v>
                </c:pt>
                <c:pt idx="8427">
                  <c:v>2014</c:v>
                </c:pt>
                <c:pt idx="8428">
                  <c:v>2014</c:v>
                </c:pt>
                <c:pt idx="8429">
                  <c:v>2014</c:v>
                </c:pt>
                <c:pt idx="8430">
                  <c:v>2014</c:v>
                </c:pt>
                <c:pt idx="8431">
                  <c:v>2014</c:v>
                </c:pt>
                <c:pt idx="8432">
                  <c:v>2014</c:v>
                </c:pt>
                <c:pt idx="8433">
                  <c:v>2014</c:v>
                </c:pt>
                <c:pt idx="8434">
                  <c:v>2014</c:v>
                </c:pt>
                <c:pt idx="8435">
                  <c:v>2014</c:v>
                </c:pt>
                <c:pt idx="8436">
                  <c:v>2015</c:v>
                </c:pt>
                <c:pt idx="8437">
                  <c:v>2015</c:v>
                </c:pt>
                <c:pt idx="8438">
                  <c:v>2015</c:v>
                </c:pt>
                <c:pt idx="8439">
                  <c:v>2015</c:v>
                </c:pt>
                <c:pt idx="8440">
                  <c:v>2015</c:v>
                </c:pt>
                <c:pt idx="8441">
                  <c:v>2015</c:v>
                </c:pt>
                <c:pt idx="8442">
                  <c:v>2015</c:v>
                </c:pt>
                <c:pt idx="8443">
                  <c:v>2015</c:v>
                </c:pt>
                <c:pt idx="8444">
                  <c:v>2015</c:v>
                </c:pt>
                <c:pt idx="8445">
                  <c:v>2015</c:v>
                </c:pt>
                <c:pt idx="8446">
                  <c:v>2015</c:v>
                </c:pt>
                <c:pt idx="8447">
                  <c:v>2015</c:v>
                </c:pt>
                <c:pt idx="8448">
                  <c:v>2015</c:v>
                </c:pt>
                <c:pt idx="8449">
                  <c:v>2015</c:v>
                </c:pt>
                <c:pt idx="8450">
                  <c:v>2015</c:v>
                </c:pt>
                <c:pt idx="8451">
                  <c:v>2015</c:v>
                </c:pt>
                <c:pt idx="8452">
                  <c:v>2015</c:v>
                </c:pt>
                <c:pt idx="8453">
                  <c:v>2015</c:v>
                </c:pt>
                <c:pt idx="8454">
                  <c:v>2015</c:v>
                </c:pt>
                <c:pt idx="8455">
                  <c:v>2015</c:v>
                </c:pt>
                <c:pt idx="8456">
                  <c:v>2015</c:v>
                </c:pt>
                <c:pt idx="8457">
                  <c:v>2015</c:v>
                </c:pt>
                <c:pt idx="8458">
                  <c:v>2015</c:v>
                </c:pt>
                <c:pt idx="8459">
                  <c:v>2015</c:v>
                </c:pt>
                <c:pt idx="8460">
                  <c:v>2015</c:v>
                </c:pt>
                <c:pt idx="8461">
                  <c:v>2015</c:v>
                </c:pt>
                <c:pt idx="8462">
                  <c:v>2015</c:v>
                </c:pt>
                <c:pt idx="8463">
                  <c:v>2015</c:v>
                </c:pt>
                <c:pt idx="8464">
                  <c:v>2015</c:v>
                </c:pt>
                <c:pt idx="8465">
                  <c:v>2015</c:v>
                </c:pt>
                <c:pt idx="8466">
                  <c:v>2015</c:v>
                </c:pt>
                <c:pt idx="8467">
                  <c:v>2015</c:v>
                </c:pt>
                <c:pt idx="8468">
                  <c:v>2015</c:v>
                </c:pt>
                <c:pt idx="8469">
                  <c:v>2015</c:v>
                </c:pt>
                <c:pt idx="8470">
                  <c:v>2015</c:v>
                </c:pt>
                <c:pt idx="8471">
                  <c:v>2015</c:v>
                </c:pt>
                <c:pt idx="8472">
                  <c:v>2015</c:v>
                </c:pt>
                <c:pt idx="8473">
                  <c:v>2015</c:v>
                </c:pt>
                <c:pt idx="8474">
                  <c:v>2015</c:v>
                </c:pt>
                <c:pt idx="8475">
                  <c:v>2015</c:v>
                </c:pt>
                <c:pt idx="8476">
                  <c:v>2015</c:v>
                </c:pt>
                <c:pt idx="8477">
                  <c:v>2015</c:v>
                </c:pt>
                <c:pt idx="8478">
                  <c:v>2015</c:v>
                </c:pt>
                <c:pt idx="8479">
                  <c:v>2015</c:v>
                </c:pt>
                <c:pt idx="8480">
                  <c:v>2015</c:v>
                </c:pt>
                <c:pt idx="8481">
                  <c:v>2015</c:v>
                </c:pt>
                <c:pt idx="8482">
                  <c:v>2015</c:v>
                </c:pt>
                <c:pt idx="8483">
                  <c:v>2015</c:v>
                </c:pt>
                <c:pt idx="8484">
                  <c:v>2015</c:v>
                </c:pt>
                <c:pt idx="8485">
                  <c:v>2015</c:v>
                </c:pt>
                <c:pt idx="8486">
                  <c:v>2015</c:v>
                </c:pt>
                <c:pt idx="8487">
                  <c:v>2015</c:v>
                </c:pt>
                <c:pt idx="8488">
                  <c:v>2015</c:v>
                </c:pt>
                <c:pt idx="8489">
                  <c:v>2015</c:v>
                </c:pt>
                <c:pt idx="8490">
                  <c:v>2015</c:v>
                </c:pt>
                <c:pt idx="8491">
                  <c:v>2015</c:v>
                </c:pt>
                <c:pt idx="8492">
                  <c:v>2015</c:v>
                </c:pt>
                <c:pt idx="8493">
                  <c:v>2015</c:v>
                </c:pt>
                <c:pt idx="8494">
                  <c:v>2015</c:v>
                </c:pt>
                <c:pt idx="8495">
                  <c:v>2015</c:v>
                </c:pt>
                <c:pt idx="8496">
                  <c:v>2015</c:v>
                </c:pt>
                <c:pt idx="8497">
                  <c:v>2015</c:v>
                </c:pt>
                <c:pt idx="8498">
                  <c:v>2015</c:v>
                </c:pt>
                <c:pt idx="8499">
                  <c:v>2015</c:v>
                </c:pt>
                <c:pt idx="8500">
                  <c:v>2015</c:v>
                </c:pt>
                <c:pt idx="8501">
                  <c:v>2015</c:v>
                </c:pt>
                <c:pt idx="8502">
                  <c:v>2015</c:v>
                </c:pt>
                <c:pt idx="8503">
                  <c:v>2015</c:v>
                </c:pt>
                <c:pt idx="8504">
                  <c:v>2015</c:v>
                </c:pt>
                <c:pt idx="8505">
                  <c:v>2015</c:v>
                </c:pt>
                <c:pt idx="8506">
                  <c:v>2015</c:v>
                </c:pt>
                <c:pt idx="8507">
                  <c:v>2015</c:v>
                </c:pt>
                <c:pt idx="8508">
                  <c:v>2015</c:v>
                </c:pt>
                <c:pt idx="8509">
                  <c:v>2015</c:v>
                </c:pt>
                <c:pt idx="8510">
                  <c:v>2015</c:v>
                </c:pt>
                <c:pt idx="8511">
                  <c:v>2015</c:v>
                </c:pt>
                <c:pt idx="8512">
                  <c:v>2015</c:v>
                </c:pt>
                <c:pt idx="8513">
                  <c:v>2015</c:v>
                </c:pt>
                <c:pt idx="8514">
                  <c:v>2015</c:v>
                </c:pt>
                <c:pt idx="8515">
                  <c:v>2015</c:v>
                </c:pt>
                <c:pt idx="8516">
                  <c:v>2015</c:v>
                </c:pt>
                <c:pt idx="8517">
                  <c:v>2015</c:v>
                </c:pt>
                <c:pt idx="8518">
                  <c:v>2015</c:v>
                </c:pt>
                <c:pt idx="8519">
                  <c:v>2015</c:v>
                </c:pt>
                <c:pt idx="8520">
                  <c:v>2015</c:v>
                </c:pt>
                <c:pt idx="8521">
                  <c:v>2015</c:v>
                </c:pt>
                <c:pt idx="8522">
                  <c:v>2015</c:v>
                </c:pt>
                <c:pt idx="8523">
                  <c:v>2015</c:v>
                </c:pt>
                <c:pt idx="8524">
                  <c:v>2015</c:v>
                </c:pt>
                <c:pt idx="8525">
                  <c:v>2015</c:v>
                </c:pt>
                <c:pt idx="8526">
                  <c:v>2015</c:v>
                </c:pt>
                <c:pt idx="8527">
                  <c:v>2015</c:v>
                </c:pt>
                <c:pt idx="8528">
                  <c:v>2015</c:v>
                </c:pt>
                <c:pt idx="8529">
                  <c:v>2015</c:v>
                </c:pt>
                <c:pt idx="8530">
                  <c:v>2015</c:v>
                </c:pt>
                <c:pt idx="8531">
                  <c:v>2015</c:v>
                </c:pt>
                <c:pt idx="8532">
                  <c:v>2015</c:v>
                </c:pt>
                <c:pt idx="8533">
                  <c:v>2015</c:v>
                </c:pt>
                <c:pt idx="8534">
                  <c:v>2015</c:v>
                </c:pt>
                <c:pt idx="8535">
                  <c:v>2015</c:v>
                </c:pt>
                <c:pt idx="8536">
                  <c:v>2015</c:v>
                </c:pt>
                <c:pt idx="8537">
                  <c:v>2015</c:v>
                </c:pt>
                <c:pt idx="8538">
                  <c:v>2015</c:v>
                </c:pt>
                <c:pt idx="8539">
                  <c:v>2015</c:v>
                </c:pt>
                <c:pt idx="8540">
                  <c:v>2015</c:v>
                </c:pt>
                <c:pt idx="8541">
                  <c:v>2015</c:v>
                </c:pt>
                <c:pt idx="8542">
                  <c:v>2015</c:v>
                </c:pt>
                <c:pt idx="8543">
                  <c:v>2015</c:v>
                </c:pt>
                <c:pt idx="8544">
                  <c:v>2015</c:v>
                </c:pt>
                <c:pt idx="8545">
                  <c:v>2015</c:v>
                </c:pt>
                <c:pt idx="8546">
                  <c:v>2015</c:v>
                </c:pt>
                <c:pt idx="8547">
                  <c:v>2015</c:v>
                </c:pt>
                <c:pt idx="8548">
                  <c:v>2015</c:v>
                </c:pt>
                <c:pt idx="8549">
                  <c:v>2015</c:v>
                </c:pt>
                <c:pt idx="8550">
                  <c:v>2015</c:v>
                </c:pt>
                <c:pt idx="8551">
                  <c:v>2015</c:v>
                </c:pt>
                <c:pt idx="8552">
                  <c:v>2015</c:v>
                </c:pt>
                <c:pt idx="8553">
                  <c:v>2015</c:v>
                </c:pt>
                <c:pt idx="8554">
                  <c:v>2015</c:v>
                </c:pt>
                <c:pt idx="8555">
                  <c:v>2015</c:v>
                </c:pt>
                <c:pt idx="8556">
                  <c:v>2015</c:v>
                </c:pt>
                <c:pt idx="8557">
                  <c:v>2015</c:v>
                </c:pt>
                <c:pt idx="8558">
                  <c:v>2015</c:v>
                </c:pt>
                <c:pt idx="8559">
                  <c:v>2015</c:v>
                </c:pt>
                <c:pt idx="8560">
                  <c:v>2015</c:v>
                </c:pt>
                <c:pt idx="8561">
                  <c:v>2015</c:v>
                </c:pt>
                <c:pt idx="8562">
                  <c:v>2015</c:v>
                </c:pt>
                <c:pt idx="8563">
                  <c:v>2015</c:v>
                </c:pt>
                <c:pt idx="8564">
                  <c:v>2015</c:v>
                </c:pt>
                <c:pt idx="8565">
                  <c:v>2015</c:v>
                </c:pt>
                <c:pt idx="8566">
                  <c:v>2015</c:v>
                </c:pt>
                <c:pt idx="8567">
                  <c:v>2015</c:v>
                </c:pt>
                <c:pt idx="8568">
                  <c:v>2015</c:v>
                </c:pt>
                <c:pt idx="8569">
                  <c:v>2015</c:v>
                </c:pt>
                <c:pt idx="8570">
                  <c:v>2015</c:v>
                </c:pt>
                <c:pt idx="8571">
                  <c:v>2015</c:v>
                </c:pt>
                <c:pt idx="8572">
                  <c:v>2015</c:v>
                </c:pt>
                <c:pt idx="8573">
                  <c:v>2015</c:v>
                </c:pt>
                <c:pt idx="8574">
                  <c:v>2015</c:v>
                </c:pt>
                <c:pt idx="8575">
                  <c:v>2015</c:v>
                </c:pt>
                <c:pt idx="8576">
                  <c:v>2015</c:v>
                </c:pt>
                <c:pt idx="8577">
                  <c:v>2015</c:v>
                </c:pt>
                <c:pt idx="8578">
                  <c:v>2015</c:v>
                </c:pt>
                <c:pt idx="8579">
                  <c:v>2015</c:v>
                </c:pt>
                <c:pt idx="8580">
                  <c:v>2015</c:v>
                </c:pt>
                <c:pt idx="8581">
                  <c:v>2015</c:v>
                </c:pt>
                <c:pt idx="8582">
                  <c:v>2015</c:v>
                </c:pt>
                <c:pt idx="8583">
                  <c:v>2015</c:v>
                </c:pt>
                <c:pt idx="8584">
                  <c:v>2015</c:v>
                </c:pt>
                <c:pt idx="8585">
                  <c:v>2015</c:v>
                </c:pt>
                <c:pt idx="8586">
                  <c:v>2015</c:v>
                </c:pt>
                <c:pt idx="8587">
                  <c:v>2015</c:v>
                </c:pt>
                <c:pt idx="8588">
                  <c:v>2015</c:v>
                </c:pt>
                <c:pt idx="8589">
                  <c:v>2015</c:v>
                </c:pt>
                <c:pt idx="8590">
                  <c:v>2015</c:v>
                </c:pt>
                <c:pt idx="8591">
                  <c:v>2015</c:v>
                </c:pt>
                <c:pt idx="8592">
                  <c:v>2015</c:v>
                </c:pt>
                <c:pt idx="8593">
                  <c:v>2015</c:v>
                </c:pt>
                <c:pt idx="8594">
                  <c:v>2015</c:v>
                </c:pt>
                <c:pt idx="8595">
                  <c:v>2015</c:v>
                </c:pt>
                <c:pt idx="8596">
                  <c:v>2015</c:v>
                </c:pt>
                <c:pt idx="8597">
                  <c:v>2015</c:v>
                </c:pt>
                <c:pt idx="8598">
                  <c:v>2015</c:v>
                </c:pt>
                <c:pt idx="8599">
                  <c:v>2015</c:v>
                </c:pt>
                <c:pt idx="8600">
                  <c:v>2015</c:v>
                </c:pt>
                <c:pt idx="8601">
                  <c:v>2015</c:v>
                </c:pt>
                <c:pt idx="8602">
                  <c:v>2015</c:v>
                </c:pt>
                <c:pt idx="8603">
                  <c:v>2015</c:v>
                </c:pt>
                <c:pt idx="8604">
                  <c:v>2015</c:v>
                </c:pt>
                <c:pt idx="8605">
                  <c:v>2015</c:v>
                </c:pt>
                <c:pt idx="8606">
                  <c:v>2015</c:v>
                </c:pt>
                <c:pt idx="8607">
                  <c:v>2015</c:v>
                </c:pt>
                <c:pt idx="8608">
                  <c:v>2015</c:v>
                </c:pt>
                <c:pt idx="8609">
                  <c:v>2015</c:v>
                </c:pt>
                <c:pt idx="8610">
                  <c:v>2015</c:v>
                </c:pt>
                <c:pt idx="8611">
                  <c:v>2015</c:v>
                </c:pt>
                <c:pt idx="8612">
                  <c:v>2015</c:v>
                </c:pt>
                <c:pt idx="8613">
                  <c:v>2015</c:v>
                </c:pt>
                <c:pt idx="8614">
                  <c:v>2015</c:v>
                </c:pt>
                <c:pt idx="8615">
                  <c:v>2015</c:v>
                </c:pt>
                <c:pt idx="8616">
                  <c:v>2015</c:v>
                </c:pt>
                <c:pt idx="8617">
                  <c:v>2015</c:v>
                </c:pt>
                <c:pt idx="8618">
                  <c:v>2015</c:v>
                </c:pt>
                <c:pt idx="8619">
                  <c:v>2015</c:v>
                </c:pt>
                <c:pt idx="8620">
                  <c:v>2015</c:v>
                </c:pt>
                <c:pt idx="8621">
                  <c:v>2015</c:v>
                </c:pt>
                <c:pt idx="8622">
                  <c:v>2015</c:v>
                </c:pt>
                <c:pt idx="8623">
                  <c:v>2015</c:v>
                </c:pt>
                <c:pt idx="8624">
                  <c:v>2015</c:v>
                </c:pt>
                <c:pt idx="8625">
                  <c:v>2015</c:v>
                </c:pt>
                <c:pt idx="8626">
                  <c:v>2015</c:v>
                </c:pt>
                <c:pt idx="8627">
                  <c:v>2015</c:v>
                </c:pt>
                <c:pt idx="8628">
                  <c:v>2015</c:v>
                </c:pt>
                <c:pt idx="8629">
                  <c:v>2015</c:v>
                </c:pt>
                <c:pt idx="8630">
                  <c:v>2015</c:v>
                </c:pt>
                <c:pt idx="8631">
                  <c:v>2015</c:v>
                </c:pt>
                <c:pt idx="8632">
                  <c:v>2015</c:v>
                </c:pt>
                <c:pt idx="8633">
                  <c:v>2015</c:v>
                </c:pt>
                <c:pt idx="8634">
                  <c:v>2015</c:v>
                </c:pt>
                <c:pt idx="8635">
                  <c:v>2015</c:v>
                </c:pt>
                <c:pt idx="8636">
                  <c:v>2015</c:v>
                </c:pt>
                <c:pt idx="8637">
                  <c:v>2015</c:v>
                </c:pt>
                <c:pt idx="8638">
                  <c:v>2015</c:v>
                </c:pt>
                <c:pt idx="8639">
                  <c:v>2015</c:v>
                </c:pt>
                <c:pt idx="8640">
                  <c:v>2015</c:v>
                </c:pt>
                <c:pt idx="8641">
                  <c:v>2015</c:v>
                </c:pt>
                <c:pt idx="8642">
                  <c:v>2015</c:v>
                </c:pt>
                <c:pt idx="8643">
                  <c:v>2015</c:v>
                </c:pt>
                <c:pt idx="8644">
                  <c:v>2015</c:v>
                </c:pt>
                <c:pt idx="8645">
                  <c:v>2015</c:v>
                </c:pt>
                <c:pt idx="8646">
                  <c:v>2015</c:v>
                </c:pt>
                <c:pt idx="8647">
                  <c:v>2015</c:v>
                </c:pt>
                <c:pt idx="8648">
                  <c:v>2015</c:v>
                </c:pt>
                <c:pt idx="8649">
                  <c:v>2015</c:v>
                </c:pt>
                <c:pt idx="8650">
                  <c:v>2015</c:v>
                </c:pt>
                <c:pt idx="8651">
                  <c:v>2015</c:v>
                </c:pt>
                <c:pt idx="8652">
                  <c:v>2015</c:v>
                </c:pt>
                <c:pt idx="8653">
                  <c:v>2015</c:v>
                </c:pt>
                <c:pt idx="8654">
                  <c:v>2015</c:v>
                </c:pt>
                <c:pt idx="8655">
                  <c:v>2015</c:v>
                </c:pt>
                <c:pt idx="8656">
                  <c:v>2015</c:v>
                </c:pt>
                <c:pt idx="8657">
                  <c:v>2015</c:v>
                </c:pt>
                <c:pt idx="8658">
                  <c:v>2015</c:v>
                </c:pt>
                <c:pt idx="8659">
                  <c:v>2015</c:v>
                </c:pt>
                <c:pt idx="8660">
                  <c:v>2015</c:v>
                </c:pt>
                <c:pt idx="8661">
                  <c:v>2015</c:v>
                </c:pt>
                <c:pt idx="8662">
                  <c:v>2015</c:v>
                </c:pt>
                <c:pt idx="8663">
                  <c:v>2015</c:v>
                </c:pt>
                <c:pt idx="8664">
                  <c:v>2015</c:v>
                </c:pt>
                <c:pt idx="8665">
                  <c:v>2015</c:v>
                </c:pt>
                <c:pt idx="8666">
                  <c:v>2015</c:v>
                </c:pt>
                <c:pt idx="8667">
                  <c:v>2015</c:v>
                </c:pt>
                <c:pt idx="8668">
                  <c:v>2015</c:v>
                </c:pt>
                <c:pt idx="8669">
                  <c:v>2015</c:v>
                </c:pt>
                <c:pt idx="8670">
                  <c:v>2015</c:v>
                </c:pt>
                <c:pt idx="8671">
                  <c:v>2015</c:v>
                </c:pt>
                <c:pt idx="8672">
                  <c:v>2015</c:v>
                </c:pt>
                <c:pt idx="8673">
                  <c:v>2015</c:v>
                </c:pt>
                <c:pt idx="8674">
                  <c:v>2015</c:v>
                </c:pt>
                <c:pt idx="8675">
                  <c:v>2015</c:v>
                </c:pt>
                <c:pt idx="8676">
                  <c:v>2015</c:v>
                </c:pt>
                <c:pt idx="8677">
                  <c:v>2015</c:v>
                </c:pt>
                <c:pt idx="8678">
                  <c:v>2015</c:v>
                </c:pt>
                <c:pt idx="8679">
                  <c:v>2015</c:v>
                </c:pt>
                <c:pt idx="8680">
                  <c:v>2015</c:v>
                </c:pt>
                <c:pt idx="8681">
                  <c:v>2015</c:v>
                </c:pt>
                <c:pt idx="8682">
                  <c:v>2015</c:v>
                </c:pt>
                <c:pt idx="8683">
                  <c:v>2015</c:v>
                </c:pt>
                <c:pt idx="8684">
                  <c:v>2015</c:v>
                </c:pt>
                <c:pt idx="8685">
                  <c:v>2015</c:v>
                </c:pt>
                <c:pt idx="8686">
                  <c:v>2015</c:v>
                </c:pt>
                <c:pt idx="8687">
                  <c:v>2015</c:v>
                </c:pt>
                <c:pt idx="8688">
                  <c:v>2015</c:v>
                </c:pt>
                <c:pt idx="8689">
                  <c:v>2015</c:v>
                </c:pt>
                <c:pt idx="8690">
                  <c:v>2015</c:v>
                </c:pt>
                <c:pt idx="8691">
                  <c:v>2015</c:v>
                </c:pt>
                <c:pt idx="8692">
                  <c:v>2015</c:v>
                </c:pt>
                <c:pt idx="8693">
                  <c:v>2015</c:v>
                </c:pt>
                <c:pt idx="8694">
                  <c:v>2015</c:v>
                </c:pt>
                <c:pt idx="8695">
                  <c:v>2015</c:v>
                </c:pt>
                <c:pt idx="8696">
                  <c:v>2015</c:v>
                </c:pt>
                <c:pt idx="8697">
                  <c:v>2015</c:v>
                </c:pt>
                <c:pt idx="8698">
                  <c:v>2015</c:v>
                </c:pt>
                <c:pt idx="8699">
                  <c:v>2015</c:v>
                </c:pt>
                <c:pt idx="8700">
                  <c:v>2015</c:v>
                </c:pt>
                <c:pt idx="8701">
                  <c:v>2015</c:v>
                </c:pt>
                <c:pt idx="8702">
                  <c:v>2015</c:v>
                </c:pt>
                <c:pt idx="8703">
                  <c:v>2015</c:v>
                </c:pt>
                <c:pt idx="8704">
                  <c:v>2015</c:v>
                </c:pt>
                <c:pt idx="8705">
                  <c:v>2015</c:v>
                </c:pt>
                <c:pt idx="8706">
                  <c:v>2015</c:v>
                </c:pt>
                <c:pt idx="8707">
                  <c:v>2015</c:v>
                </c:pt>
                <c:pt idx="8708">
                  <c:v>2015</c:v>
                </c:pt>
                <c:pt idx="8709">
                  <c:v>2015</c:v>
                </c:pt>
                <c:pt idx="8710">
                  <c:v>2015</c:v>
                </c:pt>
                <c:pt idx="8711">
                  <c:v>2015</c:v>
                </c:pt>
                <c:pt idx="8712">
                  <c:v>2015</c:v>
                </c:pt>
                <c:pt idx="8713">
                  <c:v>2015</c:v>
                </c:pt>
                <c:pt idx="8714">
                  <c:v>2015</c:v>
                </c:pt>
                <c:pt idx="8715">
                  <c:v>2015</c:v>
                </c:pt>
                <c:pt idx="8716">
                  <c:v>2015</c:v>
                </c:pt>
                <c:pt idx="8717">
                  <c:v>2015</c:v>
                </c:pt>
                <c:pt idx="8718">
                  <c:v>2015</c:v>
                </c:pt>
                <c:pt idx="8719">
                  <c:v>2015</c:v>
                </c:pt>
                <c:pt idx="8720">
                  <c:v>2015</c:v>
                </c:pt>
                <c:pt idx="8721">
                  <c:v>2015</c:v>
                </c:pt>
                <c:pt idx="8722">
                  <c:v>2015</c:v>
                </c:pt>
                <c:pt idx="8723">
                  <c:v>2015</c:v>
                </c:pt>
                <c:pt idx="8724">
                  <c:v>2015</c:v>
                </c:pt>
                <c:pt idx="8725">
                  <c:v>2015</c:v>
                </c:pt>
                <c:pt idx="8726">
                  <c:v>2015</c:v>
                </c:pt>
                <c:pt idx="8727">
                  <c:v>2015</c:v>
                </c:pt>
                <c:pt idx="8728">
                  <c:v>2015</c:v>
                </c:pt>
                <c:pt idx="8729">
                  <c:v>2015</c:v>
                </c:pt>
                <c:pt idx="8730">
                  <c:v>2015</c:v>
                </c:pt>
                <c:pt idx="8731">
                  <c:v>2015</c:v>
                </c:pt>
                <c:pt idx="8732">
                  <c:v>2015</c:v>
                </c:pt>
                <c:pt idx="8733">
                  <c:v>2015</c:v>
                </c:pt>
                <c:pt idx="8734">
                  <c:v>2015</c:v>
                </c:pt>
                <c:pt idx="8735">
                  <c:v>2015</c:v>
                </c:pt>
                <c:pt idx="8736">
                  <c:v>2015</c:v>
                </c:pt>
                <c:pt idx="8737">
                  <c:v>2015</c:v>
                </c:pt>
                <c:pt idx="8738">
                  <c:v>2015</c:v>
                </c:pt>
                <c:pt idx="8739">
                  <c:v>2015</c:v>
                </c:pt>
                <c:pt idx="8740">
                  <c:v>2015</c:v>
                </c:pt>
                <c:pt idx="8741">
                  <c:v>2015</c:v>
                </c:pt>
                <c:pt idx="8742">
                  <c:v>2015</c:v>
                </c:pt>
                <c:pt idx="8743">
                  <c:v>2015</c:v>
                </c:pt>
                <c:pt idx="8744">
                  <c:v>2015</c:v>
                </c:pt>
                <c:pt idx="8745">
                  <c:v>2015</c:v>
                </c:pt>
                <c:pt idx="8746">
                  <c:v>2015</c:v>
                </c:pt>
                <c:pt idx="8747">
                  <c:v>2015</c:v>
                </c:pt>
                <c:pt idx="8748">
                  <c:v>2015</c:v>
                </c:pt>
                <c:pt idx="8749">
                  <c:v>2015</c:v>
                </c:pt>
                <c:pt idx="8750">
                  <c:v>2015</c:v>
                </c:pt>
                <c:pt idx="8751">
                  <c:v>2015</c:v>
                </c:pt>
                <c:pt idx="8752">
                  <c:v>2015</c:v>
                </c:pt>
                <c:pt idx="8753">
                  <c:v>2015</c:v>
                </c:pt>
                <c:pt idx="8754">
                  <c:v>2015</c:v>
                </c:pt>
                <c:pt idx="8755">
                  <c:v>2015</c:v>
                </c:pt>
                <c:pt idx="8756">
                  <c:v>2015</c:v>
                </c:pt>
                <c:pt idx="8757">
                  <c:v>2015</c:v>
                </c:pt>
                <c:pt idx="8758">
                  <c:v>2015</c:v>
                </c:pt>
                <c:pt idx="8759">
                  <c:v>2015</c:v>
                </c:pt>
                <c:pt idx="8760">
                  <c:v>2015</c:v>
                </c:pt>
                <c:pt idx="8761">
                  <c:v>2015</c:v>
                </c:pt>
                <c:pt idx="8762">
                  <c:v>2015</c:v>
                </c:pt>
                <c:pt idx="8763">
                  <c:v>2015</c:v>
                </c:pt>
                <c:pt idx="8764">
                  <c:v>2015</c:v>
                </c:pt>
                <c:pt idx="8765">
                  <c:v>2015</c:v>
                </c:pt>
                <c:pt idx="8766">
                  <c:v>2015</c:v>
                </c:pt>
                <c:pt idx="8767">
                  <c:v>2015</c:v>
                </c:pt>
                <c:pt idx="8768">
                  <c:v>2015</c:v>
                </c:pt>
                <c:pt idx="8769">
                  <c:v>2015</c:v>
                </c:pt>
                <c:pt idx="8770">
                  <c:v>2015</c:v>
                </c:pt>
                <c:pt idx="8771">
                  <c:v>2015</c:v>
                </c:pt>
                <c:pt idx="8772">
                  <c:v>2015</c:v>
                </c:pt>
                <c:pt idx="8773">
                  <c:v>2015</c:v>
                </c:pt>
                <c:pt idx="8774">
                  <c:v>2015</c:v>
                </c:pt>
                <c:pt idx="8775">
                  <c:v>2015</c:v>
                </c:pt>
                <c:pt idx="8776">
                  <c:v>2015</c:v>
                </c:pt>
                <c:pt idx="8777">
                  <c:v>2015</c:v>
                </c:pt>
                <c:pt idx="8778">
                  <c:v>2015</c:v>
                </c:pt>
                <c:pt idx="8779">
                  <c:v>2015</c:v>
                </c:pt>
                <c:pt idx="8780">
                  <c:v>2015</c:v>
                </c:pt>
                <c:pt idx="8781">
                  <c:v>2015</c:v>
                </c:pt>
                <c:pt idx="8782">
                  <c:v>2015</c:v>
                </c:pt>
                <c:pt idx="8783">
                  <c:v>2015</c:v>
                </c:pt>
                <c:pt idx="8784">
                  <c:v>2015</c:v>
                </c:pt>
                <c:pt idx="8785">
                  <c:v>2015</c:v>
                </c:pt>
                <c:pt idx="8786">
                  <c:v>2015</c:v>
                </c:pt>
                <c:pt idx="8787">
                  <c:v>2015</c:v>
                </c:pt>
                <c:pt idx="8788">
                  <c:v>2015</c:v>
                </c:pt>
                <c:pt idx="8789">
                  <c:v>2015</c:v>
                </c:pt>
                <c:pt idx="8790">
                  <c:v>2015</c:v>
                </c:pt>
                <c:pt idx="8791">
                  <c:v>2015</c:v>
                </c:pt>
                <c:pt idx="8792">
                  <c:v>2015</c:v>
                </c:pt>
                <c:pt idx="8793">
                  <c:v>2015</c:v>
                </c:pt>
                <c:pt idx="8794">
                  <c:v>2015</c:v>
                </c:pt>
                <c:pt idx="8795">
                  <c:v>2015</c:v>
                </c:pt>
                <c:pt idx="8796">
                  <c:v>2015</c:v>
                </c:pt>
                <c:pt idx="8797">
                  <c:v>2015</c:v>
                </c:pt>
                <c:pt idx="8798">
                  <c:v>2015</c:v>
                </c:pt>
                <c:pt idx="8799">
                  <c:v>2015</c:v>
                </c:pt>
                <c:pt idx="8800">
                  <c:v>2015</c:v>
                </c:pt>
                <c:pt idx="8801">
                  <c:v>2016</c:v>
                </c:pt>
                <c:pt idx="8802">
                  <c:v>2016</c:v>
                </c:pt>
                <c:pt idx="8803">
                  <c:v>2016</c:v>
                </c:pt>
                <c:pt idx="8804">
                  <c:v>2016</c:v>
                </c:pt>
                <c:pt idx="8805">
                  <c:v>2016</c:v>
                </c:pt>
                <c:pt idx="8806">
                  <c:v>2016</c:v>
                </c:pt>
                <c:pt idx="8807">
                  <c:v>2016</c:v>
                </c:pt>
                <c:pt idx="8808">
                  <c:v>2016</c:v>
                </c:pt>
                <c:pt idx="8809">
                  <c:v>2016</c:v>
                </c:pt>
                <c:pt idx="8810">
                  <c:v>2016</c:v>
                </c:pt>
                <c:pt idx="8811">
                  <c:v>2016</c:v>
                </c:pt>
                <c:pt idx="8812">
                  <c:v>2016</c:v>
                </c:pt>
                <c:pt idx="8813">
                  <c:v>2016</c:v>
                </c:pt>
                <c:pt idx="8814">
                  <c:v>2016</c:v>
                </c:pt>
                <c:pt idx="8815">
                  <c:v>2016</c:v>
                </c:pt>
                <c:pt idx="8816">
                  <c:v>2016</c:v>
                </c:pt>
                <c:pt idx="8817">
                  <c:v>2016</c:v>
                </c:pt>
                <c:pt idx="8818">
                  <c:v>2016</c:v>
                </c:pt>
                <c:pt idx="8819">
                  <c:v>2016</c:v>
                </c:pt>
                <c:pt idx="8820">
                  <c:v>2016</c:v>
                </c:pt>
                <c:pt idx="8821">
                  <c:v>2016</c:v>
                </c:pt>
                <c:pt idx="8822">
                  <c:v>2016</c:v>
                </c:pt>
                <c:pt idx="8823">
                  <c:v>2016</c:v>
                </c:pt>
                <c:pt idx="8824">
                  <c:v>2016</c:v>
                </c:pt>
                <c:pt idx="8825">
                  <c:v>2016</c:v>
                </c:pt>
                <c:pt idx="8826">
                  <c:v>2016</c:v>
                </c:pt>
                <c:pt idx="8827">
                  <c:v>2016</c:v>
                </c:pt>
                <c:pt idx="8828">
                  <c:v>2016</c:v>
                </c:pt>
                <c:pt idx="8829">
                  <c:v>2016</c:v>
                </c:pt>
                <c:pt idx="8830">
                  <c:v>2016</c:v>
                </c:pt>
                <c:pt idx="8831">
                  <c:v>2016</c:v>
                </c:pt>
                <c:pt idx="8832">
                  <c:v>2016</c:v>
                </c:pt>
                <c:pt idx="8833">
                  <c:v>2016</c:v>
                </c:pt>
                <c:pt idx="8834">
                  <c:v>2016</c:v>
                </c:pt>
                <c:pt idx="8835">
                  <c:v>2016</c:v>
                </c:pt>
                <c:pt idx="8836">
                  <c:v>2016</c:v>
                </c:pt>
                <c:pt idx="8837">
                  <c:v>2016</c:v>
                </c:pt>
                <c:pt idx="8838">
                  <c:v>2016</c:v>
                </c:pt>
                <c:pt idx="8839">
                  <c:v>2016</c:v>
                </c:pt>
                <c:pt idx="8840">
                  <c:v>2016</c:v>
                </c:pt>
                <c:pt idx="8841">
                  <c:v>2016</c:v>
                </c:pt>
                <c:pt idx="8842">
                  <c:v>2016</c:v>
                </c:pt>
                <c:pt idx="8843">
                  <c:v>2016</c:v>
                </c:pt>
                <c:pt idx="8844">
                  <c:v>2016</c:v>
                </c:pt>
                <c:pt idx="8845">
                  <c:v>2016</c:v>
                </c:pt>
                <c:pt idx="8846">
                  <c:v>2016</c:v>
                </c:pt>
                <c:pt idx="8847">
                  <c:v>2016</c:v>
                </c:pt>
                <c:pt idx="8848">
                  <c:v>2016</c:v>
                </c:pt>
                <c:pt idx="8849">
                  <c:v>2016</c:v>
                </c:pt>
                <c:pt idx="8850">
                  <c:v>2016</c:v>
                </c:pt>
                <c:pt idx="8851">
                  <c:v>2016</c:v>
                </c:pt>
                <c:pt idx="8852">
                  <c:v>2016</c:v>
                </c:pt>
                <c:pt idx="8853">
                  <c:v>2016</c:v>
                </c:pt>
                <c:pt idx="8854">
                  <c:v>2016</c:v>
                </c:pt>
                <c:pt idx="8855">
                  <c:v>2016</c:v>
                </c:pt>
                <c:pt idx="8856">
                  <c:v>2016</c:v>
                </c:pt>
                <c:pt idx="8857">
                  <c:v>2016</c:v>
                </c:pt>
                <c:pt idx="8858">
                  <c:v>2016</c:v>
                </c:pt>
                <c:pt idx="8859">
                  <c:v>2016</c:v>
                </c:pt>
                <c:pt idx="8860">
                  <c:v>2016</c:v>
                </c:pt>
                <c:pt idx="8861">
                  <c:v>2016</c:v>
                </c:pt>
                <c:pt idx="8862">
                  <c:v>2016</c:v>
                </c:pt>
                <c:pt idx="8863">
                  <c:v>2016</c:v>
                </c:pt>
                <c:pt idx="8864">
                  <c:v>2016</c:v>
                </c:pt>
                <c:pt idx="8865">
                  <c:v>2016</c:v>
                </c:pt>
                <c:pt idx="8866">
                  <c:v>2016</c:v>
                </c:pt>
                <c:pt idx="8867">
                  <c:v>2016</c:v>
                </c:pt>
                <c:pt idx="8868">
                  <c:v>2016</c:v>
                </c:pt>
                <c:pt idx="8869">
                  <c:v>2016</c:v>
                </c:pt>
                <c:pt idx="8870">
                  <c:v>2016</c:v>
                </c:pt>
                <c:pt idx="8871">
                  <c:v>2016</c:v>
                </c:pt>
                <c:pt idx="8872">
                  <c:v>2016</c:v>
                </c:pt>
                <c:pt idx="8873">
                  <c:v>2016</c:v>
                </c:pt>
                <c:pt idx="8874">
                  <c:v>2016</c:v>
                </c:pt>
                <c:pt idx="8875">
                  <c:v>2016</c:v>
                </c:pt>
                <c:pt idx="8876">
                  <c:v>2016</c:v>
                </c:pt>
                <c:pt idx="8877">
                  <c:v>2016</c:v>
                </c:pt>
                <c:pt idx="8878">
                  <c:v>2016</c:v>
                </c:pt>
                <c:pt idx="8879">
                  <c:v>2016</c:v>
                </c:pt>
                <c:pt idx="8880">
                  <c:v>2016</c:v>
                </c:pt>
                <c:pt idx="8881">
                  <c:v>2016</c:v>
                </c:pt>
                <c:pt idx="8882">
                  <c:v>2016</c:v>
                </c:pt>
                <c:pt idx="8883">
                  <c:v>2016</c:v>
                </c:pt>
                <c:pt idx="8884">
                  <c:v>2016</c:v>
                </c:pt>
                <c:pt idx="8885">
                  <c:v>2016</c:v>
                </c:pt>
                <c:pt idx="8886">
                  <c:v>2016</c:v>
                </c:pt>
                <c:pt idx="8887">
                  <c:v>2016</c:v>
                </c:pt>
                <c:pt idx="8888">
                  <c:v>2016</c:v>
                </c:pt>
                <c:pt idx="8889">
                  <c:v>2016</c:v>
                </c:pt>
                <c:pt idx="8890">
                  <c:v>2016</c:v>
                </c:pt>
                <c:pt idx="8891">
                  <c:v>2016</c:v>
                </c:pt>
                <c:pt idx="8892">
                  <c:v>2016</c:v>
                </c:pt>
                <c:pt idx="8893">
                  <c:v>2016</c:v>
                </c:pt>
                <c:pt idx="8894">
                  <c:v>2016</c:v>
                </c:pt>
                <c:pt idx="8895">
                  <c:v>2016</c:v>
                </c:pt>
                <c:pt idx="8896">
                  <c:v>2016</c:v>
                </c:pt>
                <c:pt idx="8897">
                  <c:v>2016</c:v>
                </c:pt>
                <c:pt idx="8898">
                  <c:v>2016</c:v>
                </c:pt>
                <c:pt idx="8899">
                  <c:v>2016</c:v>
                </c:pt>
                <c:pt idx="8900">
                  <c:v>2016</c:v>
                </c:pt>
                <c:pt idx="8901">
                  <c:v>2016</c:v>
                </c:pt>
                <c:pt idx="8902">
                  <c:v>2016</c:v>
                </c:pt>
                <c:pt idx="8903">
                  <c:v>2016</c:v>
                </c:pt>
                <c:pt idx="8904">
                  <c:v>2016</c:v>
                </c:pt>
                <c:pt idx="8905">
                  <c:v>2016</c:v>
                </c:pt>
                <c:pt idx="8906">
                  <c:v>2016</c:v>
                </c:pt>
                <c:pt idx="8907">
                  <c:v>2016</c:v>
                </c:pt>
                <c:pt idx="8908">
                  <c:v>2016</c:v>
                </c:pt>
                <c:pt idx="8909">
                  <c:v>2016</c:v>
                </c:pt>
                <c:pt idx="8910">
                  <c:v>2016</c:v>
                </c:pt>
                <c:pt idx="8911">
                  <c:v>2016</c:v>
                </c:pt>
                <c:pt idx="8912">
                  <c:v>2016</c:v>
                </c:pt>
                <c:pt idx="8913">
                  <c:v>2016</c:v>
                </c:pt>
                <c:pt idx="8914">
                  <c:v>2016</c:v>
                </c:pt>
                <c:pt idx="8915">
                  <c:v>2016</c:v>
                </c:pt>
                <c:pt idx="8916">
                  <c:v>2016</c:v>
                </c:pt>
                <c:pt idx="8917">
                  <c:v>2016</c:v>
                </c:pt>
                <c:pt idx="8918">
                  <c:v>2016</c:v>
                </c:pt>
                <c:pt idx="8919">
                  <c:v>2016</c:v>
                </c:pt>
                <c:pt idx="8920">
                  <c:v>2016</c:v>
                </c:pt>
                <c:pt idx="8921">
                  <c:v>2016</c:v>
                </c:pt>
                <c:pt idx="8922">
                  <c:v>2016</c:v>
                </c:pt>
                <c:pt idx="8923">
                  <c:v>2016</c:v>
                </c:pt>
                <c:pt idx="8924">
                  <c:v>2016</c:v>
                </c:pt>
                <c:pt idx="8925">
                  <c:v>2016</c:v>
                </c:pt>
                <c:pt idx="8926">
                  <c:v>2016</c:v>
                </c:pt>
                <c:pt idx="8927">
                  <c:v>2016</c:v>
                </c:pt>
                <c:pt idx="8928">
                  <c:v>2016</c:v>
                </c:pt>
                <c:pt idx="8929">
                  <c:v>2016</c:v>
                </c:pt>
                <c:pt idx="8930">
                  <c:v>2016</c:v>
                </c:pt>
                <c:pt idx="8931">
                  <c:v>2016</c:v>
                </c:pt>
                <c:pt idx="8932">
                  <c:v>2016</c:v>
                </c:pt>
                <c:pt idx="8933">
                  <c:v>2016</c:v>
                </c:pt>
                <c:pt idx="8934">
                  <c:v>2016</c:v>
                </c:pt>
                <c:pt idx="8935">
                  <c:v>2016</c:v>
                </c:pt>
                <c:pt idx="8936">
                  <c:v>2016</c:v>
                </c:pt>
                <c:pt idx="8937">
                  <c:v>2016</c:v>
                </c:pt>
                <c:pt idx="8938">
                  <c:v>2016</c:v>
                </c:pt>
                <c:pt idx="8939">
                  <c:v>2016</c:v>
                </c:pt>
                <c:pt idx="8940">
                  <c:v>2016</c:v>
                </c:pt>
                <c:pt idx="8941">
                  <c:v>2016</c:v>
                </c:pt>
                <c:pt idx="8942">
                  <c:v>2016</c:v>
                </c:pt>
                <c:pt idx="8943">
                  <c:v>2016</c:v>
                </c:pt>
                <c:pt idx="8944">
                  <c:v>2016</c:v>
                </c:pt>
                <c:pt idx="8945">
                  <c:v>2016</c:v>
                </c:pt>
                <c:pt idx="8946">
                  <c:v>2016</c:v>
                </c:pt>
                <c:pt idx="8947">
                  <c:v>2016</c:v>
                </c:pt>
                <c:pt idx="8948">
                  <c:v>2016</c:v>
                </c:pt>
                <c:pt idx="8949">
                  <c:v>2016</c:v>
                </c:pt>
                <c:pt idx="8950">
                  <c:v>2016</c:v>
                </c:pt>
                <c:pt idx="8951">
                  <c:v>2016</c:v>
                </c:pt>
                <c:pt idx="8952">
                  <c:v>2016</c:v>
                </c:pt>
                <c:pt idx="8953">
                  <c:v>2016</c:v>
                </c:pt>
                <c:pt idx="8954">
                  <c:v>2016</c:v>
                </c:pt>
                <c:pt idx="8955">
                  <c:v>2016</c:v>
                </c:pt>
                <c:pt idx="8956">
                  <c:v>2016</c:v>
                </c:pt>
                <c:pt idx="8957">
                  <c:v>2016</c:v>
                </c:pt>
                <c:pt idx="8958">
                  <c:v>2016</c:v>
                </c:pt>
                <c:pt idx="8959">
                  <c:v>2016</c:v>
                </c:pt>
                <c:pt idx="8960">
                  <c:v>2016</c:v>
                </c:pt>
                <c:pt idx="8961">
                  <c:v>2016</c:v>
                </c:pt>
                <c:pt idx="8962">
                  <c:v>2016</c:v>
                </c:pt>
                <c:pt idx="8963">
                  <c:v>2016</c:v>
                </c:pt>
                <c:pt idx="8964">
                  <c:v>2016</c:v>
                </c:pt>
                <c:pt idx="8965">
                  <c:v>2016</c:v>
                </c:pt>
                <c:pt idx="8966">
                  <c:v>2016</c:v>
                </c:pt>
                <c:pt idx="8967">
                  <c:v>2016</c:v>
                </c:pt>
                <c:pt idx="8968">
                  <c:v>2016</c:v>
                </c:pt>
                <c:pt idx="8969">
                  <c:v>2016</c:v>
                </c:pt>
                <c:pt idx="8970">
                  <c:v>2016</c:v>
                </c:pt>
                <c:pt idx="8971">
                  <c:v>2016</c:v>
                </c:pt>
                <c:pt idx="8972">
                  <c:v>2016</c:v>
                </c:pt>
                <c:pt idx="8973">
                  <c:v>2016</c:v>
                </c:pt>
                <c:pt idx="8974">
                  <c:v>2016</c:v>
                </c:pt>
                <c:pt idx="8975">
                  <c:v>2016</c:v>
                </c:pt>
                <c:pt idx="8976">
                  <c:v>2016</c:v>
                </c:pt>
                <c:pt idx="8977">
                  <c:v>2016</c:v>
                </c:pt>
                <c:pt idx="8978">
                  <c:v>2016</c:v>
                </c:pt>
                <c:pt idx="8979">
                  <c:v>2016</c:v>
                </c:pt>
                <c:pt idx="8980">
                  <c:v>2016</c:v>
                </c:pt>
                <c:pt idx="8981">
                  <c:v>2016</c:v>
                </c:pt>
                <c:pt idx="8982">
                  <c:v>2016</c:v>
                </c:pt>
                <c:pt idx="8983">
                  <c:v>2016</c:v>
                </c:pt>
                <c:pt idx="8984">
                  <c:v>2016</c:v>
                </c:pt>
                <c:pt idx="8985">
                  <c:v>2016</c:v>
                </c:pt>
                <c:pt idx="8986">
                  <c:v>2016</c:v>
                </c:pt>
                <c:pt idx="8987">
                  <c:v>2016</c:v>
                </c:pt>
                <c:pt idx="8988">
                  <c:v>2016</c:v>
                </c:pt>
                <c:pt idx="8989">
                  <c:v>2016</c:v>
                </c:pt>
                <c:pt idx="8990">
                  <c:v>2016</c:v>
                </c:pt>
                <c:pt idx="8991">
                  <c:v>2016</c:v>
                </c:pt>
                <c:pt idx="8992">
                  <c:v>2016</c:v>
                </c:pt>
                <c:pt idx="8993">
                  <c:v>2016</c:v>
                </c:pt>
                <c:pt idx="8994">
                  <c:v>2016</c:v>
                </c:pt>
                <c:pt idx="8995">
                  <c:v>2016</c:v>
                </c:pt>
                <c:pt idx="8996">
                  <c:v>2016</c:v>
                </c:pt>
                <c:pt idx="8997">
                  <c:v>2016</c:v>
                </c:pt>
                <c:pt idx="8998">
                  <c:v>2016</c:v>
                </c:pt>
                <c:pt idx="8999">
                  <c:v>2016</c:v>
                </c:pt>
                <c:pt idx="9000">
                  <c:v>2016</c:v>
                </c:pt>
                <c:pt idx="9001">
                  <c:v>2016</c:v>
                </c:pt>
                <c:pt idx="9002">
                  <c:v>2016</c:v>
                </c:pt>
                <c:pt idx="9003">
                  <c:v>2016</c:v>
                </c:pt>
                <c:pt idx="9004">
                  <c:v>2016</c:v>
                </c:pt>
                <c:pt idx="9005">
                  <c:v>2016</c:v>
                </c:pt>
                <c:pt idx="9006">
                  <c:v>2016</c:v>
                </c:pt>
                <c:pt idx="9007">
                  <c:v>2016</c:v>
                </c:pt>
                <c:pt idx="9008">
                  <c:v>2016</c:v>
                </c:pt>
                <c:pt idx="9009">
                  <c:v>2016</c:v>
                </c:pt>
                <c:pt idx="9010">
                  <c:v>2016</c:v>
                </c:pt>
                <c:pt idx="9011">
                  <c:v>2016</c:v>
                </c:pt>
                <c:pt idx="9012">
                  <c:v>2016</c:v>
                </c:pt>
                <c:pt idx="9013">
                  <c:v>2016</c:v>
                </c:pt>
                <c:pt idx="9014">
                  <c:v>2016</c:v>
                </c:pt>
                <c:pt idx="9015">
                  <c:v>2016</c:v>
                </c:pt>
                <c:pt idx="9016">
                  <c:v>2016</c:v>
                </c:pt>
                <c:pt idx="9017">
                  <c:v>2016</c:v>
                </c:pt>
                <c:pt idx="9018">
                  <c:v>2016</c:v>
                </c:pt>
                <c:pt idx="9019">
                  <c:v>2016</c:v>
                </c:pt>
                <c:pt idx="9020">
                  <c:v>2016</c:v>
                </c:pt>
                <c:pt idx="9021">
                  <c:v>2016</c:v>
                </c:pt>
                <c:pt idx="9022">
                  <c:v>2016</c:v>
                </c:pt>
                <c:pt idx="9023">
                  <c:v>2016</c:v>
                </c:pt>
                <c:pt idx="9024">
                  <c:v>2016</c:v>
                </c:pt>
                <c:pt idx="9025">
                  <c:v>2016</c:v>
                </c:pt>
                <c:pt idx="9026">
                  <c:v>2016</c:v>
                </c:pt>
                <c:pt idx="9027">
                  <c:v>2016</c:v>
                </c:pt>
                <c:pt idx="9028">
                  <c:v>2016</c:v>
                </c:pt>
                <c:pt idx="9029">
                  <c:v>2016</c:v>
                </c:pt>
              </c:numCache>
            </c:numRef>
          </c:cat>
          <c:val>
            <c:numRef>
              <c:f>'Tasa de Cambio'!$D$9:$D$9038</c:f>
              <c:numCache>
                <c:formatCode>[$$]\ #,##0.00;\-[$$]\ #,##0.00</c:formatCode>
                <c:ptCount val="9030"/>
                <c:pt idx="0">
                  <c:v>693.32</c:v>
                </c:pt>
                <c:pt idx="1">
                  <c:v>693.99</c:v>
                </c:pt>
                <c:pt idx="2">
                  <c:v>694.7</c:v>
                </c:pt>
                <c:pt idx="3">
                  <c:v>694.7</c:v>
                </c:pt>
                <c:pt idx="4">
                  <c:v>643.41999999999996</c:v>
                </c:pt>
                <c:pt idx="5">
                  <c:v>643.41999999999996</c:v>
                </c:pt>
                <c:pt idx="6">
                  <c:v>639.22</c:v>
                </c:pt>
                <c:pt idx="7">
                  <c:v>635.70000000000005</c:v>
                </c:pt>
                <c:pt idx="8">
                  <c:v>631.51</c:v>
                </c:pt>
                <c:pt idx="9">
                  <c:v>627.16</c:v>
                </c:pt>
                <c:pt idx="10">
                  <c:v>638.05999999999995</c:v>
                </c:pt>
                <c:pt idx="11">
                  <c:v>638.05999999999995</c:v>
                </c:pt>
                <c:pt idx="12">
                  <c:v>638.05999999999995</c:v>
                </c:pt>
                <c:pt idx="13">
                  <c:v>622.91999999999996</c:v>
                </c:pt>
                <c:pt idx="14">
                  <c:v>627.46</c:v>
                </c:pt>
                <c:pt idx="15">
                  <c:v>633.09</c:v>
                </c:pt>
                <c:pt idx="16">
                  <c:v>632.35</c:v>
                </c:pt>
                <c:pt idx="17">
                  <c:v>630.91</c:v>
                </c:pt>
                <c:pt idx="18">
                  <c:v>630.91</c:v>
                </c:pt>
                <c:pt idx="19">
                  <c:v>630.91</c:v>
                </c:pt>
                <c:pt idx="20">
                  <c:v>626.23</c:v>
                </c:pt>
                <c:pt idx="21">
                  <c:v>626.52</c:v>
                </c:pt>
                <c:pt idx="22">
                  <c:v>633.35</c:v>
                </c:pt>
                <c:pt idx="23">
                  <c:v>621.71</c:v>
                </c:pt>
                <c:pt idx="24">
                  <c:v>620.62</c:v>
                </c:pt>
                <c:pt idx="25">
                  <c:v>620.62</c:v>
                </c:pt>
                <c:pt idx="26">
                  <c:v>620.62</c:v>
                </c:pt>
                <c:pt idx="27">
                  <c:v>622.95000000000005</c:v>
                </c:pt>
                <c:pt idx="28">
                  <c:v>622.95000000000005</c:v>
                </c:pt>
                <c:pt idx="29">
                  <c:v>622.95000000000005</c:v>
                </c:pt>
                <c:pt idx="30">
                  <c:v>631.63</c:v>
                </c:pt>
                <c:pt idx="31">
                  <c:v>632.37</c:v>
                </c:pt>
                <c:pt idx="32">
                  <c:v>632.37</c:v>
                </c:pt>
                <c:pt idx="33">
                  <c:v>632.37</c:v>
                </c:pt>
                <c:pt idx="34">
                  <c:v>632.37</c:v>
                </c:pt>
                <c:pt idx="35">
                  <c:v>632.37</c:v>
                </c:pt>
                <c:pt idx="36">
                  <c:v>638.61</c:v>
                </c:pt>
                <c:pt idx="37">
                  <c:v>632.58000000000004</c:v>
                </c:pt>
                <c:pt idx="38">
                  <c:v>638.07000000000005</c:v>
                </c:pt>
                <c:pt idx="39">
                  <c:v>638.07000000000005</c:v>
                </c:pt>
                <c:pt idx="40">
                  <c:v>638.07000000000005</c:v>
                </c:pt>
                <c:pt idx="41">
                  <c:v>638.07000000000005</c:v>
                </c:pt>
                <c:pt idx="42">
                  <c:v>638.16999999999996</c:v>
                </c:pt>
                <c:pt idx="43">
                  <c:v>638.61</c:v>
                </c:pt>
                <c:pt idx="44">
                  <c:v>637.86</c:v>
                </c:pt>
                <c:pt idx="45">
                  <c:v>645.04</c:v>
                </c:pt>
                <c:pt idx="46">
                  <c:v>645.04</c:v>
                </c:pt>
                <c:pt idx="47">
                  <c:v>645.04</c:v>
                </c:pt>
                <c:pt idx="48">
                  <c:v>659.74</c:v>
                </c:pt>
                <c:pt idx="49">
                  <c:v>657.49</c:v>
                </c:pt>
                <c:pt idx="50">
                  <c:v>653.45000000000005</c:v>
                </c:pt>
                <c:pt idx="51">
                  <c:v>652.91</c:v>
                </c:pt>
                <c:pt idx="52">
                  <c:v>645.35</c:v>
                </c:pt>
                <c:pt idx="53">
                  <c:v>645.35</c:v>
                </c:pt>
                <c:pt idx="54">
                  <c:v>645.35</c:v>
                </c:pt>
                <c:pt idx="55">
                  <c:v>645.97</c:v>
                </c:pt>
                <c:pt idx="56">
                  <c:v>647.04</c:v>
                </c:pt>
                <c:pt idx="57">
                  <c:v>647.01</c:v>
                </c:pt>
                <c:pt idx="58">
                  <c:v>647.01</c:v>
                </c:pt>
                <c:pt idx="59">
                  <c:v>644.83000000000004</c:v>
                </c:pt>
                <c:pt idx="60">
                  <c:v>644.83000000000004</c:v>
                </c:pt>
                <c:pt idx="61">
                  <c:v>644.83000000000004</c:v>
                </c:pt>
                <c:pt idx="62">
                  <c:v>645.53</c:v>
                </c:pt>
                <c:pt idx="63">
                  <c:v>645.20000000000005</c:v>
                </c:pt>
                <c:pt idx="64">
                  <c:v>644.04</c:v>
                </c:pt>
                <c:pt idx="65">
                  <c:v>644.27</c:v>
                </c:pt>
                <c:pt idx="66">
                  <c:v>640.52</c:v>
                </c:pt>
                <c:pt idx="67">
                  <c:v>640.52</c:v>
                </c:pt>
                <c:pt idx="68">
                  <c:v>640.52</c:v>
                </c:pt>
                <c:pt idx="69">
                  <c:v>640.52</c:v>
                </c:pt>
                <c:pt idx="70">
                  <c:v>638.01</c:v>
                </c:pt>
                <c:pt idx="71">
                  <c:v>637.65</c:v>
                </c:pt>
                <c:pt idx="72">
                  <c:v>636.9</c:v>
                </c:pt>
                <c:pt idx="73">
                  <c:v>635.34</c:v>
                </c:pt>
                <c:pt idx="74">
                  <c:v>635.34</c:v>
                </c:pt>
                <c:pt idx="75">
                  <c:v>635.34</c:v>
                </c:pt>
                <c:pt idx="76">
                  <c:v>634.74</c:v>
                </c:pt>
                <c:pt idx="77">
                  <c:v>634.59</c:v>
                </c:pt>
                <c:pt idx="78">
                  <c:v>634.66999999999996</c:v>
                </c:pt>
                <c:pt idx="79">
                  <c:v>635.6</c:v>
                </c:pt>
                <c:pt idx="80">
                  <c:v>634.74</c:v>
                </c:pt>
                <c:pt idx="81">
                  <c:v>634.74</c:v>
                </c:pt>
                <c:pt idx="82">
                  <c:v>634.74</c:v>
                </c:pt>
                <c:pt idx="83">
                  <c:v>635.66</c:v>
                </c:pt>
                <c:pt idx="84">
                  <c:v>635.21</c:v>
                </c:pt>
                <c:pt idx="85">
                  <c:v>634.92999999999995</c:v>
                </c:pt>
                <c:pt idx="86">
                  <c:v>633.30999999999995</c:v>
                </c:pt>
                <c:pt idx="87">
                  <c:v>633.03</c:v>
                </c:pt>
                <c:pt idx="88">
                  <c:v>633.03</c:v>
                </c:pt>
                <c:pt idx="89">
                  <c:v>633.03</c:v>
                </c:pt>
                <c:pt idx="90">
                  <c:v>633.54999999999995</c:v>
                </c:pt>
                <c:pt idx="91">
                  <c:v>633.74</c:v>
                </c:pt>
                <c:pt idx="92">
                  <c:v>634.05999999999995</c:v>
                </c:pt>
                <c:pt idx="93">
                  <c:v>633.91</c:v>
                </c:pt>
                <c:pt idx="94">
                  <c:v>636.54</c:v>
                </c:pt>
                <c:pt idx="95">
                  <c:v>636.54</c:v>
                </c:pt>
                <c:pt idx="96">
                  <c:v>636.54</c:v>
                </c:pt>
                <c:pt idx="97">
                  <c:v>640.95000000000005</c:v>
                </c:pt>
                <c:pt idx="98">
                  <c:v>636.04999999999995</c:v>
                </c:pt>
                <c:pt idx="99">
                  <c:v>635.86</c:v>
                </c:pt>
                <c:pt idx="100">
                  <c:v>636.73</c:v>
                </c:pt>
                <c:pt idx="101">
                  <c:v>636.22</c:v>
                </c:pt>
                <c:pt idx="102">
                  <c:v>636.22</c:v>
                </c:pt>
                <c:pt idx="103">
                  <c:v>636.22</c:v>
                </c:pt>
                <c:pt idx="104">
                  <c:v>635.88</c:v>
                </c:pt>
                <c:pt idx="105">
                  <c:v>639.78</c:v>
                </c:pt>
                <c:pt idx="106">
                  <c:v>639.38</c:v>
                </c:pt>
                <c:pt idx="107">
                  <c:v>641.29</c:v>
                </c:pt>
                <c:pt idx="108">
                  <c:v>642</c:v>
                </c:pt>
                <c:pt idx="109">
                  <c:v>642</c:v>
                </c:pt>
                <c:pt idx="110">
                  <c:v>642</c:v>
                </c:pt>
                <c:pt idx="111">
                  <c:v>644.13</c:v>
                </c:pt>
                <c:pt idx="112">
                  <c:v>643.83000000000004</c:v>
                </c:pt>
                <c:pt idx="113">
                  <c:v>642.59</c:v>
                </c:pt>
                <c:pt idx="114">
                  <c:v>641.53</c:v>
                </c:pt>
                <c:pt idx="115">
                  <c:v>640.37</c:v>
                </c:pt>
                <c:pt idx="116">
                  <c:v>640.37</c:v>
                </c:pt>
                <c:pt idx="117">
                  <c:v>640.37</c:v>
                </c:pt>
                <c:pt idx="118">
                  <c:v>640.37</c:v>
                </c:pt>
                <c:pt idx="119">
                  <c:v>642</c:v>
                </c:pt>
                <c:pt idx="120">
                  <c:v>641.80999999999995</c:v>
                </c:pt>
                <c:pt idx="121">
                  <c:v>641.22</c:v>
                </c:pt>
                <c:pt idx="122">
                  <c:v>647.24</c:v>
                </c:pt>
                <c:pt idx="123">
                  <c:v>647.24</c:v>
                </c:pt>
                <c:pt idx="124">
                  <c:v>647.24</c:v>
                </c:pt>
                <c:pt idx="125">
                  <c:v>641.59</c:v>
                </c:pt>
                <c:pt idx="126">
                  <c:v>641.98</c:v>
                </c:pt>
                <c:pt idx="127">
                  <c:v>645.14</c:v>
                </c:pt>
                <c:pt idx="128">
                  <c:v>644.77</c:v>
                </c:pt>
                <c:pt idx="129">
                  <c:v>643.11</c:v>
                </c:pt>
                <c:pt idx="130">
                  <c:v>643.11</c:v>
                </c:pt>
                <c:pt idx="131">
                  <c:v>643.11</c:v>
                </c:pt>
                <c:pt idx="132">
                  <c:v>645.73</c:v>
                </c:pt>
                <c:pt idx="133">
                  <c:v>643.98</c:v>
                </c:pt>
                <c:pt idx="134">
                  <c:v>644.61</c:v>
                </c:pt>
                <c:pt idx="135">
                  <c:v>646.5</c:v>
                </c:pt>
                <c:pt idx="136">
                  <c:v>647.28</c:v>
                </c:pt>
                <c:pt idx="137">
                  <c:v>647.28</c:v>
                </c:pt>
                <c:pt idx="138">
                  <c:v>647.28</c:v>
                </c:pt>
                <c:pt idx="139">
                  <c:v>649.48</c:v>
                </c:pt>
                <c:pt idx="140">
                  <c:v>655.66</c:v>
                </c:pt>
                <c:pt idx="141">
                  <c:v>657.97</c:v>
                </c:pt>
                <c:pt idx="142">
                  <c:v>657.97</c:v>
                </c:pt>
                <c:pt idx="143">
                  <c:v>657.97</c:v>
                </c:pt>
                <c:pt idx="144">
                  <c:v>657.97</c:v>
                </c:pt>
                <c:pt idx="145">
                  <c:v>657.97</c:v>
                </c:pt>
                <c:pt idx="146">
                  <c:v>655.32000000000005</c:v>
                </c:pt>
                <c:pt idx="147">
                  <c:v>652.57000000000005</c:v>
                </c:pt>
                <c:pt idx="148">
                  <c:v>651.48</c:v>
                </c:pt>
                <c:pt idx="149">
                  <c:v>650.24</c:v>
                </c:pt>
                <c:pt idx="150">
                  <c:v>651.36</c:v>
                </c:pt>
                <c:pt idx="151">
                  <c:v>651.36</c:v>
                </c:pt>
                <c:pt idx="152">
                  <c:v>651.36</c:v>
                </c:pt>
                <c:pt idx="153">
                  <c:v>650.30999999999995</c:v>
                </c:pt>
                <c:pt idx="154">
                  <c:v>651.95000000000005</c:v>
                </c:pt>
                <c:pt idx="155">
                  <c:v>653.83000000000004</c:v>
                </c:pt>
                <c:pt idx="156">
                  <c:v>653.58000000000004</c:v>
                </c:pt>
                <c:pt idx="157">
                  <c:v>653.58000000000004</c:v>
                </c:pt>
                <c:pt idx="158">
                  <c:v>653.58000000000004</c:v>
                </c:pt>
                <c:pt idx="159">
                  <c:v>653.58000000000004</c:v>
                </c:pt>
                <c:pt idx="160">
                  <c:v>653.1</c:v>
                </c:pt>
                <c:pt idx="161">
                  <c:v>653.70000000000005</c:v>
                </c:pt>
                <c:pt idx="162">
                  <c:v>654.74</c:v>
                </c:pt>
                <c:pt idx="163">
                  <c:v>656.4</c:v>
                </c:pt>
                <c:pt idx="164">
                  <c:v>657.91</c:v>
                </c:pt>
                <c:pt idx="165">
                  <c:v>657.91</c:v>
                </c:pt>
                <c:pt idx="166">
                  <c:v>657.91</c:v>
                </c:pt>
                <c:pt idx="167">
                  <c:v>658.52</c:v>
                </c:pt>
                <c:pt idx="168">
                  <c:v>660.57</c:v>
                </c:pt>
                <c:pt idx="169">
                  <c:v>660.88</c:v>
                </c:pt>
                <c:pt idx="170">
                  <c:v>663.43</c:v>
                </c:pt>
                <c:pt idx="171">
                  <c:v>663.58</c:v>
                </c:pt>
                <c:pt idx="172">
                  <c:v>663.58</c:v>
                </c:pt>
                <c:pt idx="173">
                  <c:v>663.58</c:v>
                </c:pt>
                <c:pt idx="174">
                  <c:v>663.75</c:v>
                </c:pt>
                <c:pt idx="175">
                  <c:v>664.5</c:v>
                </c:pt>
                <c:pt idx="176">
                  <c:v>663.1</c:v>
                </c:pt>
                <c:pt idx="177">
                  <c:v>662.6</c:v>
                </c:pt>
                <c:pt idx="178">
                  <c:v>662.11</c:v>
                </c:pt>
                <c:pt idx="179">
                  <c:v>662.11</c:v>
                </c:pt>
                <c:pt idx="180">
                  <c:v>662.11</c:v>
                </c:pt>
                <c:pt idx="181">
                  <c:v>662.15</c:v>
                </c:pt>
                <c:pt idx="182">
                  <c:v>660.46</c:v>
                </c:pt>
                <c:pt idx="183">
                  <c:v>660.16</c:v>
                </c:pt>
                <c:pt idx="184">
                  <c:v>660.99</c:v>
                </c:pt>
                <c:pt idx="185">
                  <c:v>664.37</c:v>
                </c:pt>
                <c:pt idx="186">
                  <c:v>664.37</c:v>
                </c:pt>
                <c:pt idx="187">
                  <c:v>664.37</c:v>
                </c:pt>
                <c:pt idx="188">
                  <c:v>664.37</c:v>
                </c:pt>
                <c:pt idx="189">
                  <c:v>666.11</c:v>
                </c:pt>
                <c:pt idx="190">
                  <c:v>664.3</c:v>
                </c:pt>
                <c:pt idx="191">
                  <c:v>666.47</c:v>
                </c:pt>
                <c:pt idx="192">
                  <c:v>664.36</c:v>
                </c:pt>
                <c:pt idx="193">
                  <c:v>664.36</c:v>
                </c:pt>
                <c:pt idx="194">
                  <c:v>664.36</c:v>
                </c:pt>
                <c:pt idx="195">
                  <c:v>665.91</c:v>
                </c:pt>
                <c:pt idx="196">
                  <c:v>665.92</c:v>
                </c:pt>
                <c:pt idx="197">
                  <c:v>667.96</c:v>
                </c:pt>
                <c:pt idx="198">
                  <c:v>667.52</c:v>
                </c:pt>
                <c:pt idx="199">
                  <c:v>669.55</c:v>
                </c:pt>
                <c:pt idx="200">
                  <c:v>669.55</c:v>
                </c:pt>
                <c:pt idx="201">
                  <c:v>669.55</c:v>
                </c:pt>
                <c:pt idx="202">
                  <c:v>671.36</c:v>
                </c:pt>
                <c:pt idx="203">
                  <c:v>675.76</c:v>
                </c:pt>
                <c:pt idx="204">
                  <c:v>680.17</c:v>
                </c:pt>
                <c:pt idx="205">
                  <c:v>678.25</c:v>
                </c:pt>
                <c:pt idx="206">
                  <c:v>683.37</c:v>
                </c:pt>
                <c:pt idx="207">
                  <c:v>683.37</c:v>
                </c:pt>
                <c:pt idx="208">
                  <c:v>683.37</c:v>
                </c:pt>
                <c:pt idx="209">
                  <c:v>683.37</c:v>
                </c:pt>
                <c:pt idx="210">
                  <c:v>690.08</c:v>
                </c:pt>
                <c:pt idx="211">
                  <c:v>699.09</c:v>
                </c:pt>
                <c:pt idx="212">
                  <c:v>701.83</c:v>
                </c:pt>
                <c:pt idx="213">
                  <c:v>697.57</c:v>
                </c:pt>
                <c:pt idx="214">
                  <c:v>697.57</c:v>
                </c:pt>
                <c:pt idx="215">
                  <c:v>697.57</c:v>
                </c:pt>
                <c:pt idx="216">
                  <c:v>697.57</c:v>
                </c:pt>
                <c:pt idx="217">
                  <c:v>695.36</c:v>
                </c:pt>
                <c:pt idx="218">
                  <c:v>694.43</c:v>
                </c:pt>
                <c:pt idx="219">
                  <c:v>693.71</c:v>
                </c:pt>
                <c:pt idx="220">
                  <c:v>693.4</c:v>
                </c:pt>
                <c:pt idx="221">
                  <c:v>693.4</c:v>
                </c:pt>
                <c:pt idx="222">
                  <c:v>693.4</c:v>
                </c:pt>
                <c:pt idx="223">
                  <c:v>696.12</c:v>
                </c:pt>
                <c:pt idx="224">
                  <c:v>695.65</c:v>
                </c:pt>
                <c:pt idx="225">
                  <c:v>699.01</c:v>
                </c:pt>
                <c:pt idx="226">
                  <c:v>703.74</c:v>
                </c:pt>
                <c:pt idx="227">
                  <c:v>708.72</c:v>
                </c:pt>
                <c:pt idx="228">
                  <c:v>708.72</c:v>
                </c:pt>
                <c:pt idx="229">
                  <c:v>708.72</c:v>
                </c:pt>
                <c:pt idx="230">
                  <c:v>720.47</c:v>
                </c:pt>
                <c:pt idx="231">
                  <c:v>719.15</c:v>
                </c:pt>
                <c:pt idx="232">
                  <c:v>717.45</c:v>
                </c:pt>
                <c:pt idx="233">
                  <c:v>717.7</c:v>
                </c:pt>
                <c:pt idx="234">
                  <c:v>715.11</c:v>
                </c:pt>
                <c:pt idx="235">
                  <c:v>715.11</c:v>
                </c:pt>
                <c:pt idx="236">
                  <c:v>715.11</c:v>
                </c:pt>
                <c:pt idx="237">
                  <c:v>715.11</c:v>
                </c:pt>
                <c:pt idx="238">
                  <c:v>710.91</c:v>
                </c:pt>
                <c:pt idx="239">
                  <c:v>707.96</c:v>
                </c:pt>
                <c:pt idx="240">
                  <c:v>699.73</c:v>
                </c:pt>
                <c:pt idx="241">
                  <c:v>699.68</c:v>
                </c:pt>
                <c:pt idx="242">
                  <c:v>699.68</c:v>
                </c:pt>
                <c:pt idx="243">
                  <c:v>699.68</c:v>
                </c:pt>
                <c:pt idx="244">
                  <c:v>701.66</c:v>
                </c:pt>
                <c:pt idx="245">
                  <c:v>701.89</c:v>
                </c:pt>
                <c:pt idx="246">
                  <c:v>702.02</c:v>
                </c:pt>
                <c:pt idx="247">
                  <c:v>705.14</c:v>
                </c:pt>
                <c:pt idx="248">
                  <c:v>702.52</c:v>
                </c:pt>
                <c:pt idx="249">
                  <c:v>702.52</c:v>
                </c:pt>
                <c:pt idx="250">
                  <c:v>702.52</c:v>
                </c:pt>
                <c:pt idx="251">
                  <c:v>701.82</c:v>
                </c:pt>
                <c:pt idx="252">
                  <c:v>698.84</c:v>
                </c:pt>
                <c:pt idx="253">
                  <c:v>695.32</c:v>
                </c:pt>
                <c:pt idx="254">
                  <c:v>694.25</c:v>
                </c:pt>
                <c:pt idx="255">
                  <c:v>694.25</c:v>
                </c:pt>
                <c:pt idx="256">
                  <c:v>694.25</c:v>
                </c:pt>
                <c:pt idx="257">
                  <c:v>694.25</c:v>
                </c:pt>
                <c:pt idx="258">
                  <c:v>692.72</c:v>
                </c:pt>
                <c:pt idx="259">
                  <c:v>692.25</c:v>
                </c:pt>
                <c:pt idx="260">
                  <c:v>694.28</c:v>
                </c:pt>
                <c:pt idx="261">
                  <c:v>692.51</c:v>
                </c:pt>
                <c:pt idx="262">
                  <c:v>693.25</c:v>
                </c:pt>
                <c:pt idx="263">
                  <c:v>693.25</c:v>
                </c:pt>
                <c:pt idx="264">
                  <c:v>693.25</c:v>
                </c:pt>
                <c:pt idx="265">
                  <c:v>693.25</c:v>
                </c:pt>
                <c:pt idx="266">
                  <c:v>693.69</c:v>
                </c:pt>
                <c:pt idx="267">
                  <c:v>692.48</c:v>
                </c:pt>
                <c:pt idx="268">
                  <c:v>692.56</c:v>
                </c:pt>
                <c:pt idx="269">
                  <c:v>693.94</c:v>
                </c:pt>
                <c:pt idx="270">
                  <c:v>693.94</c:v>
                </c:pt>
                <c:pt idx="271">
                  <c:v>693.94</c:v>
                </c:pt>
                <c:pt idx="272">
                  <c:v>689.56</c:v>
                </c:pt>
                <c:pt idx="273">
                  <c:v>689.21</c:v>
                </c:pt>
                <c:pt idx="274">
                  <c:v>689.45</c:v>
                </c:pt>
                <c:pt idx="275">
                  <c:v>690.3</c:v>
                </c:pt>
                <c:pt idx="276">
                  <c:v>691.68</c:v>
                </c:pt>
                <c:pt idx="277">
                  <c:v>691.68</c:v>
                </c:pt>
                <c:pt idx="278">
                  <c:v>691.68</c:v>
                </c:pt>
                <c:pt idx="279">
                  <c:v>691.9</c:v>
                </c:pt>
                <c:pt idx="280">
                  <c:v>692.89</c:v>
                </c:pt>
                <c:pt idx="281">
                  <c:v>693.02</c:v>
                </c:pt>
                <c:pt idx="282">
                  <c:v>695.62</c:v>
                </c:pt>
                <c:pt idx="283">
                  <c:v>696.77</c:v>
                </c:pt>
                <c:pt idx="284">
                  <c:v>696.77</c:v>
                </c:pt>
                <c:pt idx="285">
                  <c:v>696.77</c:v>
                </c:pt>
                <c:pt idx="286">
                  <c:v>697.69</c:v>
                </c:pt>
                <c:pt idx="287">
                  <c:v>698.28</c:v>
                </c:pt>
                <c:pt idx="288">
                  <c:v>695.38</c:v>
                </c:pt>
                <c:pt idx="289">
                  <c:v>695.54</c:v>
                </c:pt>
                <c:pt idx="290">
                  <c:v>696.39</c:v>
                </c:pt>
                <c:pt idx="291">
                  <c:v>696.39</c:v>
                </c:pt>
                <c:pt idx="292">
                  <c:v>696.39</c:v>
                </c:pt>
                <c:pt idx="293">
                  <c:v>696.29</c:v>
                </c:pt>
                <c:pt idx="294">
                  <c:v>696.84</c:v>
                </c:pt>
                <c:pt idx="295">
                  <c:v>695.7</c:v>
                </c:pt>
                <c:pt idx="296">
                  <c:v>696.66</c:v>
                </c:pt>
                <c:pt idx="297">
                  <c:v>696.42</c:v>
                </c:pt>
                <c:pt idx="298">
                  <c:v>696.42</c:v>
                </c:pt>
                <c:pt idx="299">
                  <c:v>696.42</c:v>
                </c:pt>
                <c:pt idx="300">
                  <c:v>699.16</c:v>
                </c:pt>
                <c:pt idx="301">
                  <c:v>697.77</c:v>
                </c:pt>
                <c:pt idx="302">
                  <c:v>698.4</c:v>
                </c:pt>
                <c:pt idx="303">
                  <c:v>697.01</c:v>
                </c:pt>
                <c:pt idx="304">
                  <c:v>704.8</c:v>
                </c:pt>
                <c:pt idx="305">
                  <c:v>704.8</c:v>
                </c:pt>
                <c:pt idx="306">
                  <c:v>704.8</c:v>
                </c:pt>
                <c:pt idx="307">
                  <c:v>701</c:v>
                </c:pt>
                <c:pt idx="308">
                  <c:v>702.81</c:v>
                </c:pt>
                <c:pt idx="309">
                  <c:v>699.7</c:v>
                </c:pt>
                <c:pt idx="310">
                  <c:v>703.08</c:v>
                </c:pt>
                <c:pt idx="311">
                  <c:v>710.22</c:v>
                </c:pt>
                <c:pt idx="312">
                  <c:v>710.22</c:v>
                </c:pt>
                <c:pt idx="313">
                  <c:v>710.22</c:v>
                </c:pt>
                <c:pt idx="314">
                  <c:v>704.52</c:v>
                </c:pt>
                <c:pt idx="315">
                  <c:v>703.66</c:v>
                </c:pt>
                <c:pt idx="316">
                  <c:v>702.71</c:v>
                </c:pt>
                <c:pt idx="317">
                  <c:v>704.06</c:v>
                </c:pt>
                <c:pt idx="318">
                  <c:v>701.88</c:v>
                </c:pt>
                <c:pt idx="319">
                  <c:v>701.88</c:v>
                </c:pt>
                <c:pt idx="320">
                  <c:v>701.88</c:v>
                </c:pt>
                <c:pt idx="321">
                  <c:v>701.88</c:v>
                </c:pt>
                <c:pt idx="322">
                  <c:v>702.48</c:v>
                </c:pt>
                <c:pt idx="323">
                  <c:v>705.52</c:v>
                </c:pt>
                <c:pt idx="324">
                  <c:v>708.21</c:v>
                </c:pt>
                <c:pt idx="325">
                  <c:v>707.13</c:v>
                </c:pt>
                <c:pt idx="326">
                  <c:v>707.13</c:v>
                </c:pt>
                <c:pt idx="327">
                  <c:v>707.13</c:v>
                </c:pt>
                <c:pt idx="328">
                  <c:v>707.35</c:v>
                </c:pt>
                <c:pt idx="329">
                  <c:v>706.06</c:v>
                </c:pt>
                <c:pt idx="330">
                  <c:v>709.22</c:v>
                </c:pt>
                <c:pt idx="331">
                  <c:v>710.19</c:v>
                </c:pt>
                <c:pt idx="332">
                  <c:v>712.04</c:v>
                </c:pt>
                <c:pt idx="333">
                  <c:v>712.04</c:v>
                </c:pt>
                <c:pt idx="334">
                  <c:v>712.04</c:v>
                </c:pt>
                <c:pt idx="335">
                  <c:v>713.55</c:v>
                </c:pt>
                <c:pt idx="336">
                  <c:v>716.39</c:v>
                </c:pt>
                <c:pt idx="337">
                  <c:v>715.31</c:v>
                </c:pt>
                <c:pt idx="338">
                  <c:v>717.37</c:v>
                </c:pt>
                <c:pt idx="339">
                  <c:v>716.88</c:v>
                </c:pt>
                <c:pt idx="340">
                  <c:v>716.88</c:v>
                </c:pt>
                <c:pt idx="341">
                  <c:v>716.88</c:v>
                </c:pt>
                <c:pt idx="342">
                  <c:v>716.88</c:v>
                </c:pt>
                <c:pt idx="343">
                  <c:v>718.98</c:v>
                </c:pt>
                <c:pt idx="344">
                  <c:v>719.21</c:v>
                </c:pt>
                <c:pt idx="345">
                  <c:v>720.96</c:v>
                </c:pt>
                <c:pt idx="346">
                  <c:v>722.57</c:v>
                </c:pt>
                <c:pt idx="347">
                  <c:v>722.57</c:v>
                </c:pt>
                <c:pt idx="348">
                  <c:v>722.57</c:v>
                </c:pt>
                <c:pt idx="349">
                  <c:v>720.48</c:v>
                </c:pt>
                <c:pt idx="350">
                  <c:v>722.37</c:v>
                </c:pt>
                <c:pt idx="351">
                  <c:v>723.72</c:v>
                </c:pt>
                <c:pt idx="352">
                  <c:v>722.72</c:v>
                </c:pt>
                <c:pt idx="353">
                  <c:v>724.07</c:v>
                </c:pt>
                <c:pt idx="354">
                  <c:v>724.07</c:v>
                </c:pt>
                <c:pt idx="355">
                  <c:v>724.07</c:v>
                </c:pt>
                <c:pt idx="356">
                  <c:v>724.07</c:v>
                </c:pt>
                <c:pt idx="357">
                  <c:v>730.11</c:v>
                </c:pt>
                <c:pt idx="358">
                  <c:v>724.97</c:v>
                </c:pt>
                <c:pt idx="359">
                  <c:v>724.9</c:v>
                </c:pt>
                <c:pt idx="360">
                  <c:v>721.98</c:v>
                </c:pt>
                <c:pt idx="361">
                  <c:v>721.98</c:v>
                </c:pt>
                <c:pt idx="362">
                  <c:v>721.98</c:v>
                </c:pt>
                <c:pt idx="363">
                  <c:v>726.97</c:v>
                </c:pt>
                <c:pt idx="364">
                  <c:v>720.63</c:v>
                </c:pt>
                <c:pt idx="365">
                  <c:v>721.47</c:v>
                </c:pt>
                <c:pt idx="366">
                  <c:v>722.61</c:v>
                </c:pt>
                <c:pt idx="367">
                  <c:v>725.45</c:v>
                </c:pt>
                <c:pt idx="368">
                  <c:v>725.45</c:v>
                </c:pt>
                <c:pt idx="369">
                  <c:v>725.45</c:v>
                </c:pt>
                <c:pt idx="370">
                  <c:v>729.42</c:v>
                </c:pt>
                <c:pt idx="371">
                  <c:v>725.75</c:v>
                </c:pt>
                <c:pt idx="372">
                  <c:v>729.74</c:v>
                </c:pt>
                <c:pt idx="373">
                  <c:v>738.19</c:v>
                </c:pt>
                <c:pt idx="374">
                  <c:v>736.29</c:v>
                </c:pt>
                <c:pt idx="375">
                  <c:v>736.29</c:v>
                </c:pt>
                <c:pt idx="376">
                  <c:v>736.29</c:v>
                </c:pt>
                <c:pt idx="377">
                  <c:v>732.11</c:v>
                </c:pt>
                <c:pt idx="378">
                  <c:v>732.11</c:v>
                </c:pt>
                <c:pt idx="379">
                  <c:v>732.4</c:v>
                </c:pt>
                <c:pt idx="380">
                  <c:v>727.21</c:v>
                </c:pt>
                <c:pt idx="381">
                  <c:v>729.8</c:v>
                </c:pt>
                <c:pt idx="382">
                  <c:v>729.8</c:v>
                </c:pt>
                <c:pt idx="383">
                  <c:v>729.8</c:v>
                </c:pt>
                <c:pt idx="384">
                  <c:v>732.69</c:v>
                </c:pt>
                <c:pt idx="385">
                  <c:v>736.2</c:v>
                </c:pt>
                <c:pt idx="386">
                  <c:v>734.98</c:v>
                </c:pt>
                <c:pt idx="387">
                  <c:v>732.54</c:v>
                </c:pt>
                <c:pt idx="388">
                  <c:v>735.31</c:v>
                </c:pt>
                <c:pt idx="389">
                  <c:v>735.31</c:v>
                </c:pt>
                <c:pt idx="390">
                  <c:v>735.31</c:v>
                </c:pt>
                <c:pt idx="391">
                  <c:v>736.82</c:v>
                </c:pt>
                <c:pt idx="392">
                  <c:v>735</c:v>
                </c:pt>
                <c:pt idx="393">
                  <c:v>735.19</c:v>
                </c:pt>
                <c:pt idx="394">
                  <c:v>735.19</c:v>
                </c:pt>
                <c:pt idx="395">
                  <c:v>735.19</c:v>
                </c:pt>
                <c:pt idx="396">
                  <c:v>735.19</c:v>
                </c:pt>
                <c:pt idx="397">
                  <c:v>735.19</c:v>
                </c:pt>
                <c:pt idx="398">
                  <c:v>737.44</c:v>
                </c:pt>
                <c:pt idx="399">
                  <c:v>737.98</c:v>
                </c:pt>
                <c:pt idx="400">
                  <c:v>737.98</c:v>
                </c:pt>
                <c:pt idx="401">
                  <c:v>737.98</c:v>
                </c:pt>
                <c:pt idx="402">
                  <c:v>737.98</c:v>
                </c:pt>
                <c:pt idx="403">
                  <c:v>737.98</c:v>
                </c:pt>
                <c:pt idx="404">
                  <c:v>737.98</c:v>
                </c:pt>
                <c:pt idx="405">
                  <c:v>737.55</c:v>
                </c:pt>
                <c:pt idx="406">
                  <c:v>738.65</c:v>
                </c:pt>
                <c:pt idx="407">
                  <c:v>740.08</c:v>
                </c:pt>
                <c:pt idx="408">
                  <c:v>742.61</c:v>
                </c:pt>
                <c:pt idx="409">
                  <c:v>746.63</c:v>
                </c:pt>
                <c:pt idx="410">
                  <c:v>746.63</c:v>
                </c:pt>
                <c:pt idx="411">
                  <c:v>746.63</c:v>
                </c:pt>
                <c:pt idx="412">
                  <c:v>746.63</c:v>
                </c:pt>
                <c:pt idx="413">
                  <c:v>749.63</c:v>
                </c:pt>
                <c:pt idx="414">
                  <c:v>748.98</c:v>
                </c:pt>
                <c:pt idx="415">
                  <c:v>746.71</c:v>
                </c:pt>
                <c:pt idx="416">
                  <c:v>746.39</c:v>
                </c:pt>
                <c:pt idx="417">
                  <c:v>746.39</c:v>
                </c:pt>
                <c:pt idx="418">
                  <c:v>746.39</c:v>
                </c:pt>
                <c:pt idx="419">
                  <c:v>747.2</c:v>
                </c:pt>
                <c:pt idx="420">
                  <c:v>748.07</c:v>
                </c:pt>
                <c:pt idx="421">
                  <c:v>750.06</c:v>
                </c:pt>
                <c:pt idx="422">
                  <c:v>750</c:v>
                </c:pt>
                <c:pt idx="423">
                  <c:v>748.56</c:v>
                </c:pt>
                <c:pt idx="424">
                  <c:v>748.56</c:v>
                </c:pt>
                <c:pt idx="425">
                  <c:v>748.56</c:v>
                </c:pt>
                <c:pt idx="426">
                  <c:v>747.25</c:v>
                </c:pt>
                <c:pt idx="427">
                  <c:v>747.13</c:v>
                </c:pt>
                <c:pt idx="428">
                  <c:v>746.21</c:v>
                </c:pt>
                <c:pt idx="429">
                  <c:v>745.14</c:v>
                </c:pt>
                <c:pt idx="430">
                  <c:v>746.05</c:v>
                </c:pt>
                <c:pt idx="431">
                  <c:v>746.05</c:v>
                </c:pt>
                <c:pt idx="432">
                  <c:v>746.05</c:v>
                </c:pt>
                <c:pt idx="433">
                  <c:v>745.27</c:v>
                </c:pt>
                <c:pt idx="434">
                  <c:v>745.64</c:v>
                </c:pt>
                <c:pt idx="435">
                  <c:v>745.73</c:v>
                </c:pt>
                <c:pt idx="436">
                  <c:v>745.79</c:v>
                </c:pt>
                <c:pt idx="437">
                  <c:v>746.56</c:v>
                </c:pt>
                <c:pt idx="438">
                  <c:v>746.56</c:v>
                </c:pt>
                <c:pt idx="439">
                  <c:v>746.56</c:v>
                </c:pt>
                <c:pt idx="440">
                  <c:v>745.45</c:v>
                </c:pt>
                <c:pt idx="441">
                  <c:v>745.49</c:v>
                </c:pt>
                <c:pt idx="442">
                  <c:v>745.38</c:v>
                </c:pt>
                <c:pt idx="443">
                  <c:v>748.22</c:v>
                </c:pt>
                <c:pt idx="444">
                  <c:v>748.88</c:v>
                </c:pt>
                <c:pt idx="445">
                  <c:v>748.88</c:v>
                </c:pt>
                <c:pt idx="446">
                  <c:v>748.88</c:v>
                </c:pt>
                <c:pt idx="447">
                  <c:v>748.18</c:v>
                </c:pt>
                <c:pt idx="448">
                  <c:v>749.69</c:v>
                </c:pt>
                <c:pt idx="449">
                  <c:v>750.75</c:v>
                </c:pt>
                <c:pt idx="450">
                  <c:v>752.47</c:v>
                </c:pt>
                <c:pt idx="451">
                  <c:v>751.96</c:v>
                </c:pt>
                <c:pt idx="452">
                  <c:v>751.96</c:v>
                </c:pt>
                <c:pt idx="453">
                  <c:v>751.96</c:v>
                </c:pt>
                <c:pt idx="454">
                  <c:v>752.52</c:v>
                </c:pt>
                <c:pt idx="455">
                  <c:v>753.33</c:v>
                </c:pt>
                <c:pt idx="456">
                  <c:v>755.07</c:v>
                </c:pt>
                <c:pt idx="457">
                  <c:v>759.2</c:v>
                </c:pt>
                <c:pt idx="458">
                  <c:v>758.03</c:v>
                </c:pt>
                <c:pt idx="459">
                  <c:v>758.03</c:v>
                </c:pt>
                <c:pt idx="460">
                  <c:v>758.03</c:v>
                </c:pt>
                <c:pt idx="461">
                  <c:v>757.89</c:v>
                </c:pt>
                <c:pt idx="462">
                  <c:v>760.71</c:v>
                </c:pt>
                <c:pt idx="463">
                  <c:v>762.68</c:v>
                </c:pt>
                <c:pt idx="464">
                  <c:v>762.04</c:v>
                </c:pt>
                <c:pt idx="465">
                  <c:v>762.2</c:v>
                </c:pt>
                <c:pt idx="466">
                  <c:v>762.2</c:v>
                </c:pt>
                <c:pt idx="467">
                  <c:v>762.2</c:v>
                </c:pt>
                <c:pt idx="468">
                  <c:v>763.38</c:v>
                </c:pt>
                <c:pt idx="469">
                  <c:v>763.9</c:v>
                </c:pt>
                <c:pt idx="470">
                  <c:v>764.74</c:v>
                </c:pt>
                <c:pt idx="471">
                  <c:v>765.19</c:v>
                </c:pt>
                <c:pt idx="472">
                  <c:v>764.79</c:v>
                </c:pt>
                <c:pt idx="473">
                  <c:v>764.79</c:v>
                </c:pt>
                <c:pt idx="474">
                  <c:v>764.79</c:v>
                </c:pt>
                <c:pt idx="475">
                  <c:v>764.29</c:v>
                </c:pt>
                <c:pt idx="476">
                  <c:v>765.06</c:v>
                </c:pt>
                <c:pt idx="477">
                  <c:v>766.12</c:v>
                </c:pt>
                <c:pt idx="478">
                  <c:v>766.42</c:v>
                </c:pt>
                <c:pt idx="479">
                  <c:v>766.84</c:v>
                </c:pt>
                <c:pt idx="480">
                  <c:v>766.84</c:v>
                </c:pt>
                <c:pt idx="481">
                  <c:v>766.84</c:v>
                </c:pt>
                <c:pt idx="482">
                  <c:v>766.84</c:v>
                </c:pt>
                <c:pt idx="483">
                  <c:v>766.63</c:v>
                </c:pt>
                <c:pt idx="484">
                  <c:v>766.91</c:v>
                </c:pt>
                <c:pt idx="485">
                  <c:v>767.99</c:v>
                </c:pt>
                <c:pt idx="486">
                  <c:v>767.4</c:v>
                </c:pt>
                <c:pt idx="487">
                  <c:v>767.4</c:v>
                </c:pt>
                <c:pt idx="488">
                  <c:v>767.4</c:v>
                </c:pt>
                <c:pt idx="489">
                  <c:v>766.79</c:v>
                </c:pt>
                <c:pt idx="490">
                  <c:v>766.41</c:v>
                </c:pt>
                <c:pt idx="491">
                  <c:v>766.44</c:v>
                </c:pt>
                <c:pt idx="492">
                  <c:v>767.98</c:v>
                </c:pt>
                <c:pt idx="493">
                  <c:v>768.46</c:v>
                </c:pt>
                <c:pt idx="494">
                  <c:v>768.46</c:v>
                </c:pt>
                <c:pt idx="495">
                  <c:v>768.46</c:v>
                </c:pt>
                <c:pt idx="496">
                  <c:v>768.31</c:v>
                </c:pt>
                <c:pt idx="497">
                  <c:v>768.52</c:v>
                </c:pt>
                <c:pt idx="498">
                  <c:v>768.6</c:v>
                </c:pt>
                <c:pt idx="499">
                  <c:v>768.6</c:v>
                </c:pt>
                <c:pt idx="500">
                  <c:v>768.6</c:v>
                </c:pt>
                <c:pt idx="501">
                  <c:v>768.6</c:v>
                </c:pt>
                <c:pt idx="502">
                  <c:v>768.6</c:v>
                </c:pt>
                <c:pt idx="503">
                  <c:v>769.34</c:v>
                </c:pt>
                <c:pt idx="504">
                  <c:v>769.8</c:v>
                </c:pt>
                <c:pt idx="505">
                  <c:v>771.56</c:v>
                </c:pt>
                <c:pt idx="506">
                  <c:v>772.71</c:v>
                </c:pt>
                <c:pt idx="507">
                  <c:v>773.22</c:v>
                </c:pt>
                <c:pt idx="508">
                  <c:v>773.22</c:v>
                </c:pt>
                <c:pt idx="509">
                  <c:v>773.22</c:v>
                </c:pt>
                <c:pt idx="510">
                  <c:v>773.7</c:v>
                </c:pt>
                <c:pt idx="511">
                  <c:v>773.97</c:v>
                </c:pt>
                <c:pt idx="512">
                  <c:v>774.34</c:v>
                </c:pt>
                <c:pt idx="513">
                  <c:v>775.05</c:v>
                </c:pt>
                <c:pt idx="514">
                  <c:v>775.32</c:v>
                </c:pt>
                <c:pt idx="515">
                  <c:v>775.32</c:v>
                </c:pt>
                <c:pt idx="516">
                  <c:v>775.32</c:v>
                </c:pt>
                <c:pt idx="517">
                  <c:v>775.2</c:v>
                </c:pt>
                <c:pt idx="518">
                  <c:v>774.52</c:v>
                </c:pt>
                <c:pt idx="519">
                  <c:v>773.78</c:v>
                </c:pt>
                <c:pt idx="520">
                  <c:v>774.94</c:v>
                </c:pt>
                <c:pt idx="521">
                  <c:v>773.82</c:v>
                </c:pt>
                <c:pt idx="522">
                  <c:v>773.82</c:v>
                </c:pt>
                <c:pt idx="523">
                  <c:v>773.82</c:v>
                </c:pt>
                <c:pt idx="524">
                  <c:v>775.53</c:v>
                </c:pt>
                <c:pt idx="525">
                  <c:v>776.99</c:v>
                </c:pt>
                <c:pt idx="526">
                  <c:v>777.88</c:v>
                </c:pt>
                <c:pt idx="527">
                  <c:v>778.17</c:v>
                </c:pt>
                <c:pt idx="528">
                  <c:v>777.17</c:v>
                </c:pt>
                <c:pt idx="529">
                  <c:v>777.17</c:v>
                </c:pt>
                <c:pt idx="530">
                  <c:v>777.17</c:v>
                </c:pt>
                <c:pt idx="531">
                  <c:v>777.75</c:v>
                </c:pt>
                <c:pt idx="532">
                  <c:v>779.41</c:v>
                </c:pt>
                <c:pt idx="533">
                  <c:v>780.49</c:v>
                </c:pt>
                <c:pt idx="534">
                  <c:v>780.8</c:v>
                </c:pt>
                <c:pt idx="535">
                  <c:v>780.79</c:v>
                </c:pt>
                <c:pt idx="536">
                  <c:v>780.79</c:v>
                </c:pt>
                <c:pt idx="537">
                  <c:v>780.79</c:v>
                </c:pt>
                <c:pt idx="538">
                  <c:v>781.42</c:v>
                </c:pt>
                <c:pt idx="539">
                  <c:v>781.8</c:v>
                </c:pt>
                <c:pt idx="540">
                  <c:v>781.84</c:v>
                </c:pt>
                <c:pt idx="541">
                  <c:v>781.94</c:v>
                </c:pt>
                <c:pt idx="542">
                  <c:v>782</c:v>
                </c:pt>
                <c:pt idx="543">
                  <c:v>782</c:v>
                </c:pt>
                <c:pt idx="544">
                  <c:v>782</c:v>
                </c:pt>
                <c:pt idx="545">
                  <c:v>782</c:v>
                </c:pt>
                <c:pt idx="546">
                  <c:v>783.15</c:v>
                </c:pt>
                <c:pt idx="547">
                  <c:v>782.85</c:v>
                </c:pt>
                <c:pt idx="548">
                  <c:v>780.78</c:v>
                </c:pt>
                <c:pt idx="549">
                  <c:v>779.56</c:v>
                </c:pt>
                <c:pt idx="550">
                  <c:v>779.56</c:v>
                </c:pt>
                <c:pt idx="551">
                  <c:v>779.56</c:v>
                </c:pt>
                <c:pt idx="552">
                  <c:v>779</c:v>
                </c:pt>
                <c:pt idx="553">
                  <c:v>779.01</c:v>
                </c:pt>
                <c:pt idx="554">
                  <c:v>777.82</c:v>
                </c:pt>
                <c:pt idx="555">
                  <c:v>778.12</c:v>
                </c:pt>
                <c:pt idx="556">
                  <c:v>780.6</c:v>
                </c:pt>
                <c:pt idx="557">
                  <c:v>780.6</c:v>
                </c:pt>
                <c:pt idx="558">
                  <c:v>780.6</c:v>
                </c:pt>
                <c:pt idx="559">
                  <c:v>782.29</c:v>
                </c:pt>
                <c:pt idx="560">
                  <c:v>784.62</c:v>
                </c:pt>
                <c:pt idx="561">
                  <c:v>784.95</c:v>
                </c:pt>
                <c:pt idx="562">
                  <c:v>785.79</c:v>
                </c:pt>
                <c:pt idx="563">
                  <c:v>784.8</c:v>
                </c:pt>
                <c:pt idx="564">
                  <c:v>784.8</c:v>
                </c:pt>
                <c:pt idx="565">
                  <c:v>784.8</c:v>
                </c:pt>
                <c:pt idx="566">
                  <c:v>784.8</c:v>
                </c:pt>
                <c:pt idx="567">
                  <c:v>785.9</c:v>
                </c:pt>
                <c:pt idx="568">
                  <c:v>786.64</c:v>
                </c:pt>
                <c:pt idx="569">
                  <c:v>787.49</c:v>
                </c:pt>
                <c:pt idx="570">
                  <c:v>786.77</c:v>
                </c:pt>
                <c:pt idx="571">
                  <c:v>786.77</c:v>
                </c:pt>
                <c:pt idx="572">
                  <c:v>786.77</c:v>
                </c:pt>
                <c:pt idx="573">
                  <c:v>786.77</c:v>
                </c:pt>
                <c:pt idx="574">
                  <c:v>787.06</c:v>
                </c:pt>
                <c:pt idx="575">
                  <c:v>786.42</c:v>
                </c:pt>
                <c:pt idx="576">
                  <c:v>786.72</c:v>
                </c:pt>
                <c:pt idx="577">
                  <c:v>786.96</c:v>
                </c:pt>
                <c:pt idx="578">
                  <c:v>786.96</c:v>
                </c:pt>
                <c:pt idx="579">
                  <c:v>786.96</c:v>
                </c:pt>
                <c:pt idx="580">
                  <c:v>786.8</c:v>
                </c:pt>
                <c:pt idx="581">
                  <c:v>787.12</c:v>
                </c:pt>
                <c:pt idx="582">
                  <c:v>786.1</c:v>
                </c:pt>
                <c:pt idx="583">
                  <c:v>787.51</c:v>
                </c:pt>
                <c:pt idx="584">
                  <c:v>788.65</c:v>
                </c:pt>
                <c:pt idx="585">
                  <c:v>788.65</c:v>
                </c:pt>
                <c:pt idx="586">
                  <c:v>788.65</c:v>
                </c:pt>
                <c:pt idx="587">
                  <c:v>788.65</c:v>
                </c:pt>
                <c:pt idx="588">
                  <c:v>789.47</c:v>
                </c:pt>
                <c:pt idx="589">
                  <c:v>790.58</c:v>
                </c:pt>
                <c:pt idx="590">
                  <c:v>791.73</c:v>
                </c:pt>
                <c:pt idx="591">
                  <c:v>793.18</c:v>
                </c:pt>
                <c:pt idx="592">
                  <c:v>793.18</c:v>
                </c:pt>
                <c:pt idx="593">
                  <c:v>793.18</c:v>
                </c:pt>
                <c:pt idx="594">
                  <c:v>794.67</c:v>
                </c:pt>
                <c:pt idx="595">
                  <c:v>795.66</c:v>
                </c:pt>
                <c:pt idx="596">
                  <c:v>797</c:v>
                </c:pt>
                <c:pt idx="597">
                  <c:v>797.06</c:v>
                </c:pt>
                <c:pt idx="598">
                  <c:v>797.31</c:v>
                </c:pt>
                <c:pt idx="599">
                  <c:v>797.31</c:v>
                </c:pt>
                <c:pt idx="600">
                  <c:v>797.31</c:v>
                </c:pt>
                <c:pt idx="601">
                  <c:v>797.41</c:v>
                </c:pt>
                <c:pt idx="602">
                  <c:v>797.41</c:v>
                </c:pt>
                <c:pt idx="603">
                  <c:v>797.63</c:v>
                </c:pt>
                <c:pt idx="604">
                  <c:v>798.17</c:v>
                </c:pt>
                <c:pt idx="605">
                  <c:v>798.83</c:v>
                </c:pt>
                <c:pt idx="606">
                  <c:v>798.83</c:v>
                </c:pt>
                <c:pt idx="607">
                  <c:v>798.83</c:v>
                </c:pt>
                <c:pt idx="608">
                  <c:v>799.17</c:v>
                </c:pt>
                <c:pt idx="609">
                  <c:v>799.96</c:v>
                </c:pt>
                <c:pt idx="610">
                  <c:v>800.42</c:v>
                </c:pt>
                <c:pt idx="611">
                  <c:v>801.04</c:v>
                </c:pt>
                <c:pt idx="612">
                  <c:v>801.35</c:v>
                </c:pt>
                <c:pt idx="613">
                  <c:v>801.35</c:v>
                </c:pt>
                <c:pt idx="614">
                  <c:v>801.35</c:v>
                </c:pt>
                <c:pt idx="615">
                  <c:v>801.15</c:v>
                </c:pt>
                <c:pt idx="616">
                  <c:v>801.86</c:v>
                </c:pt>
                <c:pt idx="617">
                  <c:v>801.82</c:v>
                </c:pt>
                <c:pt idx="618">
                  <c:v>801.86</c:v>
                </c:pt>
                <c:pt idx="619">
                  <c:v>801.78</c:v>
                </c:pt>
                <c:pt idx="620">
                  <c:v>801.78</c:v>
                </c:pt>
                <c:pt idx="621">
                  <c:v>801.78</c:v>
                </c:pt>
                <c:pt idx="622">
                  <c:v>802.3</c:v>
                </c:pt>
                <c:pt idx="623">
                  <c:v>803.22</c:v>
                </c:pt>
                <c:pt idx="624">
                  <c:v>804.48</c:v>
                </c:pt>
                <c:pt idx="625">
                  <c:v>804.93</c:v>
                </c:pt>
                <c:pt idx="626">
                  <c:v>804.51</c:v>
                </c:pt>
                <c:pt idx="627">
                  <c:v>804.51</c:v>
                </c:pt>
                <c:pt idx="628">
                  <c:v>804.51</c:v>
                </c:pt>
                <c:pt idx="629">
                  <c:v>804.51</c:v>
                </c:pt>
                <c:pt idx="630">
                  <c:v>804.76</c:v>
                </c:pt>
                <c:pt idx="631">
                  <c:v>805.62</c:v>
                </c:pt>
                <c:pt idx="632">
                  <c:v>806.15</c:v>
                </c:pt>
                <c:pt idx="633">
                  <c:v>806.72</c:v>
                </c:pt>
                <c:pt idx="634">
                  <c:v>806.72</c:v>
                </c:pt>
                <c:pt idx="635">
                  <c:v>806.72</c:v>
                </c:pt>
                <c:pt idx="636">
                  <c:v>807.04</c:v>
                </c:pt>
                <c:pt idx="637">
                  <c:v>807.57</c:v>
                </c:pt>
                <c:pt idx="638">
                  <c:v>807.77</c:v>
                </c:pt>
                <c:pt idx="639">
                  <c:v>807.55</c:v>
                </c:pt>
                <c:pt idx="640">
                  <c:v>807.53</c:v>
                </c:pt>
                <c:pt idx="641">
                  <c:v>807.53</c:v>
                </c:pt>
                <c:pt idx="642">
                  <c:v>807.53</c:v>
                </c:pt>
                <c:pt idx="643">
                  <c:v>806.86</c:v>
                </c:pt>
                <c:pt idx="644">
                  <c:v>806.83</c:v>
                </c:pt>
                <c:pt idx="645">
                  <c:v>808.04</c:v>
                </c:pt>
                <c:pt idx="646">
                  <c:v>807.96</c:v>
                </c:pt>
                <c:pt idx="647">
                  <c:v>807.68</c:v>
                </c:pt>
                <c:pt idx="648">
                  <c:v>807.68</c:v>
                </c:pt>
                <c:pt idx="649">
                  <c:v>807.68</c:v>
                </c:pt>
                <c:pt idx="650">
                  <c:v>807.62</c:v>
                </c:pt>
                <c:pt idx="651">
                  <c:v>808.24</c:v>
                </c:pt>
                <c:pt idx="652">
                  <c:v>809.33</c:v>
                </c:pt>
                <c:pt idx="653">
                  <c:v>810.25</c:v>
                </c:pt>
                <c:pt idx="654">
                  <c:v>810.03</c:v>
                </c:pt>
                <c:pt idx="655">
                  <c:v>810.03</c:v>
                </c:pt>
                <c:pt idx="656">
                  <c:v>810.03</c:v>
                </c:pt>
                <c:pt idx="657">
                  <c:v>810.09</c:v>
                </c:pt>
                <c:pt idx="658">
                  <c:v>810.81</c:v>
                </c:pt>
                <c:pt idx="659">
                  <c:v>811.75</c:v>
                </c:pt>
                <c:pt idx="660">
                  <c:v>811.93</c:v>
                </c:pt>
                <c:pt idx="661">
                  <c:v>811.18</c:v>
                </c:pt>
                <c:pt idx="662">
                  <c:v>811.18</c:v>
                </c:pt>
                <c:pt idx="663">
                  <c:v>811.18</c:v>
                </c:pt>
                <c:pt idx="664">
                  <c:v>810.88</c:v>
                </c:pt>
                <c:pt idx="665">
                  <c:v>809.75</c:v>
                </c:pt>
                <c:pt idx="666">
                  <c:v>810.04</c:v>
                </c:pt>
                <c:pt idx="667">
                  <c:v>810.55</c:v>
                </c:pt>
                <c:pt idx="668">
                  <c:v>809.93</c:v>
                </c:pt>
                <c:pt idx="669">
                  <c:v>809.93</c:v>
                </c:pt>
                <c:pt idx="670">
                  <c:v>809.93</c:v>
                </c:pt>
                <c:pt idx="671">
                  <c:v>809.55</c:v>
                </c:pt>
                <c:pt idx="672">
                  <c:v>809.69</c:v>
                </c:pt>
                <c:pt idx="673">
                  <c:v>810.84</c:v>
                </c:pt>
                <c:pt idx="674">
                  <c:v>811.31</c:v>
                </c:pt>
                <c:pt idx="675">
                  <c:v>812.29</c:v>
                </c:pt>
                <c:pt idx="676">
                  <c:v>812.29</c:v>
                </c:pt>
                <c:pt idx="677">
                  <c:v>812.29</c:v>
                </c:pt>
                <c:pt idx="678">
                  <c:v>812.27</c:v>
                </c:pt>
                <c:pt idx="679">
                  <c:v>812.75</c:v>
                </c:pt>
                <c:pt idx="680">
                  <c:v>812.54</c:v>
                </c:pt>
                <c:pt idx="681">
                  <c:v>811.91</c:v>
                </c:pt>
                <c:pt idx="682">
                  <c:v>811.28</c:v>
                </c:pt>
                <c:pt idx="683">
                  <c:v>811.28</c:v>
                </c:pt>
                <c:pt idx="684">
                  <c:v>811.28</c:v>
                </c:pt>
                <c:pt idx="685">
                  <c:v>811.19</c:v>
                </c:pt>
                <c:pt idx="686">
                  <c:v>811.47</c:v>
                </c:pt>
                <c:pt idx="687">
                  <c:v>811.46</c:v>
                </c:pt>
                <c:pt idx="688">
                  <c:v>812.41</c:v>
                </c:pt>
                <c:pt idx="689">
                  <c:v>813.28</c:v>
                </c:pt>
                <c:pt idx="690">
                  <c:v>813.28</c:v>
                </c:pt>
                <c:pt idx="691">
                  <c:v>813.28</c:v>
                </c:pt>
                <c:pt idx="692">
                  <c:v>813.28</c:v>
                </c:pt>
                <c:pt idx="693">
                  <c:v>813.79</c:v>
                </c:pt>
                <c:pt idx="694">
                  <c:v>816.41</c:v>
                </c:pt>
                <c:pt idx="695">
                  <c:v>819.26</c:v>
                </c:pt>
                <c:pt idx="696">
                  <c:v>819.41</c:v>
                </c:pt>
                <c:pt idx="697">
                  <c:v>819.41</c:v>
                </c:pt>
                <c:pt idx="698">
                  <c:v>819.41</c:v>
                </c:pt>
                <c:pt idx="699">
                  <c:v>819.44</c:v>
                </c:pt>
                <c:pt idx="700">
                  <c:v>819.55</c:v>
                </c:pt>
                <c:pt idx="701">
                  <c:v>818.98</c:v>
                </c:pt>
                <c:pt idx="702">
                  <c:v>818.06</c:v>
                </c:pt>
                <c:pt idx="703">
                  <c:v>817.03</c:v>
                </c:pt>
                <c:pt idx="704">
                  <c:v>817.03</c:v>
                </c:pt>
                <c:pt idx="705">
                  <c:v>817.03</c:v>
                </c:pt>
                <c:pt idx="706">
                  <c:v>817.03</c:v>
                </c:pt>
                <c:pt idx="707">
                  <c:v>816.7</c:v>
                </c:pt>
                <c:pt idx="708">
                  <c:v>817.01</c:v>
                </c:pt>
                <c:pt idx="709">
                  <c:v>816.79</c:v>
                </c:pt>
                <c:pt idx="710">
                  <c:v>815.7</c:v>
                </c:pt>
                <c:pt idx="711">
                  <c:v>815.7</c:v>
                </c:pt>
                <c:pt idx="712">
                  <c:v>815.7</c:v>
                </c:pt>
                <c:pt idx="713">
                  <c:v>814.26</c:v>
                </c:pt>
                <c:pt idx="714">
                  <c:v>813.95</c:v>
                </c:pt>
                <c:pt idx="715">
                  <c:v>811.07</c:v>
                </c:pt>
                <c:pt idx="716">
                  <c:v>809.87</c:v>
                </c:pt>
                <c:pt idx="717">
                  <c:v>809.95</c:v>
                </c:pt>
                <c:pt idx="718">
                  <c:v>809.95</c:v>
                </c:pt>
                <c:pt idx="719">
                  <c:v>809.95</c:v>
                </c:pt>
                <c:pt idx="720">
                  <c:v>809.95</c:v>
                </c:pt>
                <c:pt idx="721">
                  <c:v>815.18</c:v>
                </c:pt>
                <c:pt idx="722">
                  <c:v>816.32</c:v>
                </c:pt>
                <c:pt idx="723">
                  <c:v>816.62</c:v>
                </c:pt>
                <c:pt idx="724">
                  <c:v>817.06</c:v>
                </c:pt>
                <c:pt idx="725">
                  <c:v>817.06</c:v>
                </c:pt>
                <c:pt idx="726">
                  <c:v>817.06</c:v>
                </c:pt>
                <c:pt idx="727">
                  <c:v>814.48</c:v>
                </c:pt>
                <c:pt idx="728">
                  <c:v>812.12</c:v>
                </c:pt>
                <c:pt idx="729">
                  <c:v>811.67</c:v>
                </c:pt>
                <c:pt idx="730">
                  <c:v>812.04</c:v>
                </c:pt>
                <c:pt idx="731">
                  <c:v>812.11</c:v>
                </c:pt>
                <c:pt idx="732">
                  <c:v>812.11</c:v>
                </c:pt>
                <c:pt idx="733">
                  <c:v>812.11</c:v>
                </c:pt>
                <c:pt idx="734">
                  <c:v>811.73</c:v>
                </c:pt>
                <c:pt idx="735">
                  <c:v>812.21</c:v>
                </c:pt>
                <c:pt idx="736">
                  <c:v>811.78</c:v>
                </c:pt>
                <c:pt idx="737">
                  <c:v>809.63</c:v>
                </c:pt>
                <c:pt idx="738">
                  <c:v>806.49</c:v>
                </c:pt>
                <c:pt idx="739">
                  <c:v>806.49</c:v>
                </c:pt>
                <c:pt idx="740">
                  <c:v>806.49</c:v>
                </c:pt>
                <c:pt idx="741">
                  <c:v>803.1</c:v>
                </c:pt>
                <c:pt idx="742">
                  <c:v>800.6</c:v>
                </c:pt>
                <c:pt idx="743">
                  <c:v>800.6</c:v>
                </c:pt>
                <c:pt idx="744">
                  <c:v>798.51</c:v>
                </c:pt>
                <c:pt idx="745">
                  <c:v>797.53</c:v>
                </c:pt>
                <c:pt idx="746">
                  <c:v>797.53</c:v>
                </c:pt>
                <c:pt idx="747">
                  <c:v>797.53</c:v>
                </c:pt>
                <c:pt idx="748">
                  <c:v>798.2</c:v>
                </c:pt>
                <c:pt idx="749">
                  <c:v>798.12</c:v>
                </c:pt>
                <c:pt idx="750">
                  <c:v>799.43</c:v>
                </c:pt>
                <c:pt idx="751">
                  <c:v>804.89</c:v>
                </c:pt>
                <c:pt idx="752">
                  <c:v>806.5</c:v>
                </c:pt>
                <c:pt idx="753">
                  <c:v>806.5</c:v>
                </c:pt>
                <c:pt idx="754">
                  <c:v>806.5</c:v>
                </c:pt>
                <c:pt idx="755">
                  <c:v>803.81</c:v>
                </c:pt>
                <c:pt idx="756">
                  <c:v>802.46</c:v>
                </c:pt>
                <c:pt idx="757">
                  <c:v>801.4</c:v>
                </c:pt>
                <c:pt idx="758">
                  <c:v>801.69</c:v>
                </c:pt>
                <c:pt idx="759">
                  <c:v>801.69</c:v>
                </c:pt>
                <c:pt idx="760">
                  <c:v>801.69</c:v>
                </c:pt>
                <c:pt idx="761">
                  <c:v>801.69</c:v>
                </c:pt>
                <c:pt idx="762">
                  <c:v>809.13</c:v>
                </c:pt>
                <c:pt idx="763">
                  <c:v>802.33</c:v>
                </c:pt>
                <c:pt idx="764">
                  <c:v>802.71</c:v>
                </c:pt>
                <c:pt idx="765">
                  <c:v>804.33</c:v>
                </c:pt>
                <c:pt idx="766">
                  <c:v>804.33</c:v>
                </c:pt>
                <c:pt idx="767">
                  <c:v>804.33</c:v>
                </c:pt>
                <c:pt idx="768">
                  <c:v>804.33</c:v>
                </c:pt>
                <c:pt idx="769">
                  <c:v>805.91</c:v>
                </c:pt>
                <c:pt idx="770">
                  <c:v>810.01</c:v>
                </c:pt>
                <c:pt idx="771">
                  <c:v>814.21</c:v>
                </c:pt>
                <c:pt idx="772">
                  <c:v>818.83</c:v>
                </c:pt>
                <c:pt idx="773">
                  <c:v>818.89</c:v>
                </c:pt>
                <c:pt idx="774">
                  <c:v>818.89</c:v>
                </c:pt>
                <c:pt idx="775">
                  <c:v>818.89</c:v>
                </c:pt>
                <c:pt idx="776">
                  <c:v>818.89</c:v>
                </c:pt>
                <c:pt idx="777">
                  <c:v>818.5</c:v>
                </c:pt>
                <c:pt idx="778">
                  <c:v>819.81</c:v>
                </c:pt>
                <c:pt idx="779">
                  <c:v>820.1</c:v>
                </c:pt>
                <c:pt idx="780">
                  <c:v>815.81</c:v>
                </c:pt>
                <c:pt idx="781">
                  <c:v>815.81</c:v>
                </c:pt>
                <c:pt idx="782">
                  <c:v>815.81</c:v>
                </c:pt>
                <c:pt idx="783">
                  <c:v>816.91</c:v>
                </c:pt>
                <c:pt idx="784">
                  <c:v>816.15</c:v>
                </c:pt>
                <c:pt idx="785">
                  <c:v>814.56</c:v>
                </c:pt>
                <c:pt idx="786">
                  <c:v>815.91</c:v>
                </c:pt>
                <c:pt idx="787">
                  <c:v>815.65</c:v>
                </c:pt>
                <c:pt idx="788">
                  <c:v>815.65</c:v>
                </c:pt>
                <c:pt idx="789">
                  <c:v>815.65</c:v>
                </c:pt>
                <c:pt idx="790">
                  <c:v>816.69</c:v>
                </c:pt>
                <c:pt idx="791">
                  <c:v>819.1</c:v>
                </c:pt>
                <c:pt idx="792">
                  <c:v>821.52</c:v>
                </c:pt>
                <c:pt idx="793">
                  <c:v>821.72</c:v>
                </c:pt>
                <c:pt idx="794">
                  <c:v>818.38</c:v>
                </c:pt>
                <c:pt idx="795">
                  <c:v>818.38</c:v>
                </c:pt>
                <c:pt idx="796">
                  <c:v>818.38</c:v>
                </c:pt>
                <c:pt idx="797">
                  <c:v>817</c:v>
                </c:pt>
                <c:pt idx="798">
                  <c:v>819.27</c:v>
                </c:pt>
                <c:pt idx="799">
                  <c:v>817.96</c:v>
                </c:pt>
                <c:pt idx="800">
                  <c:v>817.69</c:v>
                </c:pt>
                <c:pt idx="801">
                  <c:v>818</c:v>
                </c:pt>
                <c:pt idx="802">
                  <c:v>818</c:v>
                </c:pt>
                <c:pt idx="803">
                  <c:v>818</c:v>
                </c:pt>
                <c:pt idx="804">
                  <c:v>817.64</c:v>
                </c:pt>
                <c:pt idx="805">
                  <c:v>817.81</c:v>
                </c:pt>
                <c:pt idx="806">
                  <c:v>817.88</c:v>
                </c:pt>
                <c:pt idx="807">
                  <c:v>817.88</c:v>
                </c:pt>
                <c:pt idx="808">
                  <c:v>817.78</c:v>
                </c:pt>
                <c:pt idx="809">
                  <c:v>817.78</c:v>
                </c:pt>
                <c:pt idx="810">
                  <c:v>817.78</c:v>
                </c:pt>
                <c:pt idx="811">
                  <c:v>817.59</c:v>
                </c:pt>
                <c:pt idx="812">
                  <c:v>816.92</c:v>
                </c:pt>
                <c:pt idx="813">
                  <c:v>816.1</c:v>
                </c:pt>
                <c:pt idx="814">
                  <c:v>815.19</c:v>
                </c:pt>
                <c:pt idx="815">
                  <c:v>814.13</c:v>
                </c:pt>
                <c:pt idx="816">
                  <c:v>814.13</c:v>
                </c:pt>
                <c:pt idx="817">
                  <c:v>814.13</c:v>
                </c:pt>
                <c:pt idx="818">
                  <c:v>816.04</c:v>
                </c:pt>
                <c:pt idx="819">
                  <c:v>818.33</c:v>
                </c:pt>
                <c:pt idx="820">
                  <c:v>820.76</c:v>
                </c:pt>
                <c:pt idx="821">
                  <c:v>819.68</c:v>
                </c:pt>
                <c:pt idx="822">
                  <c:v>819.7</c:v>
                </c:pt>
                <c:pt idx="823">
                  <c:v>819.7</c:v>
                </c:pt>
                <c:pt idx="824">
                  <c:v>819.7</c:v>
                </c:pt>
                <c:pt idx="825">
                  <c:v>820.12</c:v>
                </c:pt>
                <c:pt idx="826">
                  <c:v>819.83</c:v>
                </c:pt>
                <c:pt idx="827">
                  <c:v>819.61</c:v>
                </c:pt>
                <c:pt idx="828">
                  <c:v>818.7</c:v>
                </c:pt>
                <c:pt idx="829">
                  <c:v>817.86</c:v>
                </c:pt>
                <c:pt idx="830">
                  <c:v>817.86</c:v>
                </c:pt>
                <c:pt idx="831">
                  <c:v>817.86</c:v>
                </c:pt>
                <c:pt idx="832">
                  <c:v>817.76</c:v>
                </c:pt>
                <c:pt idx="833">
                  <c:v>818.02</c:v>
                </c:pt>
                <c:pt idx="834">
                  <c:v>818.37</c:v>
                </c:pt>
                <c:pt idx="835">
                  <c:v>818.46</c:v>
                </c:pt>
                <c:pt idx="836">
                  <c:v>818.62</c:v>
                </c:pt>
                <c:pt idx="837">
                  <c:v>818.62</c:v>
                </c:pt>
                <c:pt idx="838">
                  <c:v>818.62</c:v>
                </c:pt>
                <c:pt idx="839">
                  <c:v>818.69</c:v>
                </c:pt>
                <c:pt idx="840">
                  <c:v>818.49</c:v>
                </c:pt>
                <c:pt idx="841">
                  <c:v>820.44</c:v>
                </c:pt>
                <c:pt idx="842">
                  <c:v>820.91</c:v>
                </c:pt>
                <c:pt idx="843">
                  <c:v>821.34</c:v>
                </c:pt>
                <c:pt idx="844">
                  <c:v>821.34</c:v>
                </c:pt>
                <c:pt idx="845">
                  <c:v>821.34</c:v>
                </c:pt>
                <c:pt idx="846">
                  <c:v>821.34</c:v>
                </c:pt>
                <c:pt idx="847">
                  <c:v>821.73</c:v>
                </c:pt>
                <c:pt idx="848">
                  <c:v>821.82</c:v>
                </c:pt>
                <c:pt idx="849">
                  <c:v>821.7</c:v>
                </c:pt>
                <c:pt idx="850">
                  <c:v>821.14</c:v>
                </c:pt>
                <c:pt idx="851">
                  <c:v>821.14</c:v>
                </c:pt>
                <c:pt idx="852">
                  <c:v>821.14</c:v>
                </c:pt>
                <c:pt idx="853">
                  <c:v>820.63</c:v>
                </c:pt>
                <c:pt idx="854">
                  <c:v>820.78</c:v>
                </c:pt>
                <c:pt idx="855">
                  <c:v>819.51</c:v>
                </c:pt>
                <c:pt idx="856">
                  <c:v>819.51</c:v>
                </c:pt>
                <c:pt idx="857">
                  <c:v>819.51</c:v>
                </c:pt>
                <c:pt idx="858">
                  <c:v>819.51</c:v>
                </c:pt>
                <c:pt idx="859">
                  <c:v>819.51</c:v>
                </c:pt>
                <c:pt idx="860">
                  <c:v>820.21</c:v>
                </c:pt>
                <c:pt idx="861">
                  <c:v>820.93</c:v>
                </c:pt>
                <c:pt idx="862">
                  <c:v>822.57</c:v>
                </c:pt>
                <c:pt idx="863">
                  <c:v>825.28</c:v>
                </c:pt>
                <c:pt idx="864">
                  <c:v>828.92</c:v>
                </c:pt>
                <c:pt idx="865">
                  <c:v>828.92</c:v>
                </c:pt>
                <c:pt idx="866">
                  <c:v>828.92</c:v>
                </c:pt>
                <c:pt idx="867">
                  <c:v>829.32</c:v>
                </c:pt>
                <c:pt idx="868">
                  <c:v>828.81</c:v>
                </c:pt>
                <c:pt idx="869">
                  <c:v>827.96</c:v>
                </c:pt>
                <c:pt idx="870">
                  <c:v>827.44</c:v>
                </c:pt>
                <c:pt idx="871">
                  <c:v>827.93</c:v>
                </c:pt>
                <c:pt idx="872">
                  <c:v>827.93</c:v>
                </c:pt>
                <c:pt idx="873">
                  <c:v>827.93</c:v>
                </c:pt>
                <c:pt idx="874">
                  <c:v>829.47</c:v>
                </c:pt>
                <c:pt idx="875">
                  <c:v>831.24</c:v>
                </c:pt>
                <c:pt idx="876">
                  <c:v>834.3</c:v>
                </c:pt>
                <c:pt idx="877">
                  <c:v>838.25</c:v>
                </c:pt>
                <c:pt idx="878">
                  <c:v>836.96</c:v>
                </c:pt>
                <c:pt idx="879">
                  <c:v>836.96</c:v>
                </c:pt>
                <c:pt idx="880">
                  <c:v>836.96</c:v>
                </c:pt>
                <c:pt idx="881">
                  <c:v>835.4</c:v>
                </c:pt>
                <c:pt idx="882">
                  <c:v>837.31</c:v>
                </c:pt>
                <c:pt idx="883">
                  <c:v>838.28</c:v>
                </c:pt>
                <c:pt idx="884">
                  <c:v>837.27</c:v>
                </c:pt>
                <c:pt idx="885">
                  <c:v>836.86</c:v>
                </c:pt>
                <c:pt idx="886">
                  <c:v>836.86</c:v>
                </c:pt>
                <c:pt idx="887">
                  <c:v>836.86</c:v>
                </c:pt>
                <c:pt idx="888">
                  <c:v>838.04</c:v>
                </c:pt>
                <c:pt idx="889">
                  <c:v>839.14</c:v>
                </c:pt>
                <c:pt idx="890">
                  <c:v>841</c:v>
                </c:pt>
                <c:pt idx="891">
                  <c:v>841.25</c:v>
                </c:pt>
                <c:pt idx="892">
                  <c:v>841.7</c:v>
                </c:pt>
                <c:pt idx="893">
                  <c:v>841.7</c:v>
                </c:pt>
                <c:pt idx="894">
                  <c:v>841.7</c:v>
                </c:pt>
                <c:pt idx="895">
                  <c:v>841.27</c:v>
                </c:pt>
                <c:pt idx="896">
                  <c:v>841.33</c:v>
                </c:pt>
                <c:pt idx="897">
                  <c:v>841.92</c:v>
                </c:pt>
                <c:pt idx="898">
                  <c:v>843.24</c:v>
                </c:pt>
                <c:pt idx="899">
                  <c:v>842.23</c:v>
                </c:pt>
                <c:pt idx="900">
                  <c:v>842.23</c:v>
                </c:pt>
                <c:pt idx="901">
                  <c:v>842.23</c:v>
                </c:pt>
                <c:pt idx="902">
                  <c:v>842.23</c:v>
                </c:pt>
                <c:pt idx="903">
                  <c:v>842.21</c:v>
                </c:pt>
                <c:pt idx="904">
                  <c:v>842.83</c:v>
                </c:pt>
                <c:pt idx="905">
                  <c:v>842.64</c:v>
                </c:pt>
                <c:pt idx="906">
                  <c:v>842.33</c:v>
                </c:pt>
                <c:pt idx="907">
                  <c:v>842.33</c:v>
                </c:pt>
                <c:pt idx="908">
                  <c:v>842.33</c:v>
                </c:pt>
                <c:pt idx="909">
                  <c:v>842.92</c:v>
                </c:pt>
                <c:pt idx="910">
                  <c:v>843.08</c:v>
                </c:pt>
                <c:pt idx="911">
                  <c:v>842.22</c:v>
                </c:pt>
                <c:pt idx="912">
                  <c:v>841.86</c:v>
                </c:pt>
                <c:pt idx="913">
                  <c:v>840.93</c:v>
                </c:pt>
                <c:pt idx="914">
                  <c:v>840.93</c:v>
                </c:pt>
                <c:pt idx="915">
                  <c:v>840.93</c:v>
                </c:pt>
                <c:pt idx="916">
                  <c:v>841.12</c:v>
                </c:pt>
                <c:pt idx="917">
                  <c:v>841.93</c:v>
                </c:pt>
                <c:pt idx="918">
                  <c:v>842</c:v>
                </c:pt>
                <c:pt idx="919">
                  <c:v>841.44</c:v>
                </c:pt>
                <c:pt idx="920">
                  <c:v>840.37</c:v>
                </c:pt>
                <c:pt idx="921">
                  <c:v>840.37</c:v>
                </c:pt>
                <c:pt idx="922">
                  <c:v>840.37</c:v>
                </c:pt>
                <c:pt idx="923">
                  <c:v>840.37</c:v>
                </c:pt>
                <c:pt idx="924">
                  <c:v>839.56</c:v>
                </c:pt>
                <c:pt idx="925">
                  <c:v>838.03</c:v>
                </c:pt>
                <c:pt idx="926">
                  <c:v>834.96</c:v>
                </c:pt>
                <c:pt idx="927">
                  <c:v>833.19</c:v>
                </c:pt>
                <c:pt idx="928">
                  <c:v>833.19</c:v>
                </c:pt>
                <c:pt idx="929">
                  <c:v>833.19</c:v>
                </c:pt>
                <c:pt idx="930">
                  <c:v>833.19</c:v>
                </c:pt>
                <c:pt idx="931">
                  <c:v>833.16</c:v>
                </c:pt>
                <c:pt idx="932">
                  <c:v>833.35</c:v>
                </c:pt>
                <c:pt idx="933">
                  <c:v>831.28</c:v>
                </c:pt>
                <c:pt idx="934">
                  <c:v>826.61</c:v>
                </c:pt>
                <c:pt idx="935">
                  <c:v>826.61</c:v>
                </c:pt>
                <c:pt idx="936">
                  <c:v>826.61</c:v>
                </c:pt>
                <c:pt idx="937">
                  <c:v>828.94</c:v>
                </c:pt>
                <c:pt idx="938">
                  <c:v>826.9</c:v>
                </c:pt>
                <c:pt idx="939">
                  <c:v>824.76</c:v>
                </c:pt>
                <c:pt idx="940">
                  <c:v>822.87</c:v>
                </c:pt>
                <c:pt idx="941">
                  <c:v>821</c:v>
                </c:pt>
                <c:pt idx="942">
                  <c:v>821</c:v>
                </c:pt>
                <c:pt idx="943">
                  <c:v>821</c:v>
                </c:pt>
                <c:pt idx="944">
                  <c:v>820.13</c:v>
                </c:pt>
                <c:pt idx="945">
                  <c:v>818.73</c:v>
                </c:pt>
                <c:pt idx="946">
                  <c:v>819.64</c:v>
                </c:pt>
                <c:pt idx="947">
                  <c:v>818.05</c:v>
                </c:pt>
                <c:pt idx="948">
                  <c:v>817.92</c:v>
                </c:pt>
                <c:pt idx="949">
                  <c:v>817.92</c:v>
                </c:pt>
                <c:pt idx="950">
                  <c:v>817.92</c:v>
                </c:pt>
                <c:pt idx="951">
                  <c:v>817.92</c:v>
                </c:pt>
                <c:pt idx="952">
                  <c:v>818.45</c:v>
                </c:pt>
                <c:pt idx="953">
                  <c:v>820.42</c:v>
                </c:pt>
                <c:pt idx="954">
                  <c:v>820.24</c:v>
                </c:pt>
                <c:pt idx="955">
                  <c:v>822.34</c:v>
                </c:pt>
                <c:pt idx="956">
                  <c:v>822.34</c:v>
                </c:pt>
                <c:pt idx="957">
                  <c:v>822.34</c:v>
                </c:pt>
                <c:pt idx="958">
                  <c:v>822.14</c:v>
                </c:pt>
                <c:pt idx="959">
                  <c:v>823.12</c:v>
                </c:pt>
                <c:pt idx="960">
                  <c:v>822.79</c:v>
                </c:pt>
                <c:pt idx="961">
                  <c:v>822.28</c:v>
                </c:pt>
                <c:pt idx="962">
                  <c:v>821.04</c:v>
                </c:pt>
                <c:pt idx="963">
                  <c:v>821.04</c:v>
                </c:pt>
                <c:pt idx="964">
                  <c:v>821.04</c:v>
                </c:pt>
                <c:pt idx="965">
                  <c:v>818.44</c:v>
                </c:pt>
                <c:pt idx="966">
                  <c:v>817.49</c:v>
                </c:pt>
                <c:pt idx="967">
                  <c:v>817.49</c:v>
                </c:pt>
                <c:pt idx="968">
                  <c:v>817.18</c:v>
                </c:pt>
                <c:pt idx="969">
                  <c:v>816.68</c:v>
                </c:pt>
                <c:pt idx="970">
                  <c:v>816.68</c:v>
                </c:pt>
                <c:pt idx="971">
                  <c:v>816.68</c:v>
                </c:pt>
                <c:pt idx="972">
                  <c:v>816.34</c:v>
                </c:pt>
                <c:pt idx="973">
                  <c:v>815.75</c:v>
                </c:pt>
                <c:pt idx="974">
                  <c:v>815.8</c:v>
                </c:pt>
                <c:pt idx="975">
                  <c:v>815.62</c:v>
                </c:pt>
                <c:pt idx="976">
                  <c:v>815.62</c:v>
                </c:pt>
                <c:pt idx="977">
                  <c:v>815.62</c:v>
                </c:pt>
                <c:pt idx="978">
                  <c:v>815.62</c:v>
                </c:pt>
                <c:pt idx="979">
                  <c:v>815.89</c:v>
                </c:pt>
                <c:pt idx="980">
                  <c:v>814.53</c:v>
                </c:pt>
                <c:pt idx="981">
                  <c:v>812.69</c:v>
                </c:pt>
                <c:pt idx="982">
                  <c:v>812.57</c:v>
                </c:pt>
                <c:pt idx="983">
                  <c:v>811.91</c:v>
                </c:pt>
                <c:pt idx="984">
                  <c:v>811.91</c:v>
                </c:pt>
                <c:pt idx="985">
                  <c:v>811.91</c:v>
                </c:pt>
                <c:pt idx="986">
                  <c:v>812.39</c:v>
                </c:pt>
                <c:pt idx="987">
                  <c:v>813.64</c:v>
                </c:pt>
                <c:pt idx="988">
                  <c:v>815.4</c:v>
                </c:pt>
                <c:pt idx="989">
                  <c:v>815.84</c:v>
                </c:pt>
                <c:pt idx="990">
                  <c:v>814.94</c:v>
                </c:pt>
                <c:pt idx="991">
                  <c:v>814.94</c:v>
                </c:pt>
                <c:pt idx="992">
                  <c:v>814.94</c:v>
                </c:pt>
                <c:pt idx="993">
                  <c:v>814.94</c:v>
                </c:pt>
                <c:pt idx="994">
                  <c:v>814.4</c:v>
                </c:pt>
                <c:pt idx="995">
                  <c:v>813.93</c:v>
                </c:pt>
                <c:pt idx="996">
                  <c:v>813.88</c:v>
                </c:pt>
                <c:pt idx="997">
                  <c:v>813.76</c:v>
                </c:pt>
                <c:pt idx="998">
                  <c:v>813.76</c:v>
                </c:pt>
                <c:pt idx="999">
                  <c:v>813.76</c:v>
                </c:pt>
                <c:pt idx="1000">
                  <c:v>815.2</c:v>
                </c:pt>
                <c:pt idx="1001">
                  <c:v>816.58</c:v>
                </c:pt>
                <c:pt idx="1002">
                  <c:v>816.77</c:v>
                </c:pt>
                <c:pt idx="1003">
                  <c:v>817.4</c:v>
                </c:pt>
                <c:pt idx="1004">
                  <c:v>816.29</c:v>
                </c:pt>
                <c:pt idx="1005">
                  <c:v>816.29</c:v>
                </c:pt>
                <c:pt idx="1006">
                  <c:v>816.29</c:v>
                </c:pt>
                <c:pt idx="1007">
                  <c:v>816.18</c:v>
                </c:pt>
                <c:pt idx="1008">
                  <c:v>816.3</c:v>
                </c:pt>
                <c:pt idx="1009">
                  <c:v>816.08</c:v>
                </c:pt>
                <c:pt idx="1010">
                  <c:v>817.64</c:v>
                </c:pt>
                <c:pt idx="1011">
                  <c:v>818.81</c:v>
                </c:pt>
                <c:pt idx="1012">
                  <c:v>818.81</c:v>
                </c:pt>
                <c:pt idx="1013">
                  <c:v>818.81</c:v>
                </c:pt>
                <c:pt idx="1014">
                  <c:v>817.8</c:v>
                </c:pt>
                <c:pt idx="1015">
                  <c:v>818.21</c:v>
                </c:pt>
                <c:pt idx="1016">
                  <c:v>819.24</c:v>
                </c:pt>
                <c:pt idx="1017">
                  <c:v>820.02</c:v>
                </c:pt>
                <c:pt idx="1018">
                  <c:v>820.26</c:v>
                </c:pt>
                <c:pt idx="1019">
                  <c:v>820.26</c:v>
                </c:pt>
                <c:pt idx="1020">
                  <c:v>820.26</c:v>
                </c:pt>
                <c:pt idx="1021">
                  <c:v>821.62</c:v>
                </c:pt>
                <c:pt idx="1022">
                  <c:v>824.34</c:v>
                </c:pt>
                <c:pt idx="1023">
                  <c:v>827.86</c:v>
                </c:pt>
                <c:pt idx="1024">
                  <c:v>833.1</c:v>
                </c:pt>
                <c:pt idx="1025">
                  <c:v>837.21</c:v>
                </c:pt>
                <c:pt idx="1026">
                  <c:v>837.21</c:v>
                </c:pt>
                <c:pt idx="1027">
                  <c:v>837.21</c:v>
                </c:pt>
                <c:pt idx="1028">
                  <c:v>838.63</c:v>
                </c:pt>
                <c:pt idx="1029">
                  <c:v>841.82</c:v>
                </c:pt>
                <c:pt idx="1030">
                  <c:v>842.7</c:v>
                </c:pt>
                <c:pt idx="1031">
                  <c:v>841.53</c:v>
                </c:pt>
                <c:pt idx="1032">
                  <c:v>839.46</c:v>
                </c:pt>
                <c:pt idx="1033">
                  <c:v>839.46</c:v>
                </c:pt>
                <c:pt idx="1034">
                  <c:v>839.46</c:v>
                </c:pt>
                <c:pt idx="1035">
                  <c:v>840.23</c:v>
                </c:pt>
                <c:pt idx="1036">
                  <c:v>841.51</c:v>
                </c:pt>
                <c:pt idx="1037">
                  <c:v>841.32</c:v>
                </c:pt>
                <c:pt idx="1038">
                  <c:v>842</c:v>
                </c:pt>
                <c:pt idx="1039">
                  <c:v>843</c:v>
                </c:pt>
                <c:pt idx="1040">
                  <c:v>843</c:v>
                </c:pt>
                <c:pt idx="1041">
                  <c:v>843</c:v>
                </c:pt>
                <c:pt idx="1042">
                  <c:v>843.65</c:v>
                </c:pt>
                <c:pt idx="1043">
                  <c:v>844.4</c:v>
                </c:pt>
                <c:pt idx="1044">
                  <c:v>842.54</c:v>
                </c:pt>
                <c:pt idx="1045">
                  <c:v>840.06</c:v>
                </c:pt>
                <c:pt idx="1046">
                  <c:v>836.8</c:v>
                </c:pt>
                <c:pt idx="1047">
                  <c:v>836.8</c:v>
                </c:pt>
                <c:pt idx="1048">
                  <c:v>836.8</c:v>
                </c:pt>
                <c:pt idx="1049">
                  <c:v>835.59</c:v>
                </c:pt>
                <c:pt idx="1050">
                  <c:v>835.38</c:v>
                </c:pt>
                <c:pt idx="1051">
                  <c:v>836.4</c:v>
                </c:pt>
                <c:pt idx="1052">
                  <c:v>836.01</c:v>
                </c:pt>
                <c:pt idx="1053">
                  <c:v>834.83</c:v>
                </c:pt>
                <c:pt idx="1054">
                  <c:v>834.83</c:v>
                </c:pt>
                <c:pt idx="1055">
                  <c:v>834.83</c:v>
                </c:pt>
                <c:pt idx="1056">
                  <c:v>834.83</c:v>
                </c:pt>
                <c:pt idx="1057">
                  <c:v>835.33</c:v>
                </c:pt>
                <c:pt idx="1058">
                  <c:v>836.72</c:v>
                </c:pt>
                <c:pt idx="1059">
                  <c:v>838.32</c:v>
                </c:pt>
                <c:pt idx="1060">
                  <c:v>841.41</c:v>
                </c:pt>
                <c:pt idx="1061">
                  <c:v>841.41</c:v>
                </c:pt>
                <c:pt idx="1062">
                  <c:v>841.41</c:v>
                </c:pt>
                <c:pt idx="1063">
                  <c:v>842.6</c:v>
                </c:pt>
                <c:pt idx="1064">
                  <c:v>843.48</c:v>
                </c:pt>
                <c:pt idx="1065">
                  <c:v>841.32</c:v>
                </c:pt>
                <c:pt idx="1066">
                  <c:v>840.05</c:v>
                </c:pt>
                <c:pt idx="1067">
                  <c:v>838.55</c:v>
                </c:pt>
                <c:pt idx="1068">
                  <c:v>838.55</c:v>
                </c:pt>
                <c:pt idx="1069">
                  <c:v>838.55</c:v>
                </c:pt>
                <c:pt idx="1070">
                  <c:v>837.62</c:v>
                </c:pt>
                <c:pt idx="1071">
                  <c:v>837.79</c:v>
                </c:pt>
                <c:pt idx="1072">
                  <c:v>836.18</c:v>
                </c:pt>
                <c:pt idx="1073">
                  <c:v>833.19</c:v>
                </c:pt>
                <c:pt idx="1074">
                  <c:v>831.25</c:v>
                </c:pt>
                <c:pt idx="1075">
                  <c:v>831.25</c:v>
                </c:pt>
                <c:pt idx="1076">
                  <c:v>831.25</c:v>
                </c:pt>
                <c:pt idx="1077">
                  <c:v>831.25</c:v>
                </c:pt>
                <c:pt idx="1078">
                  <c:v>829.09</c:v>
                </c:pt>
                <c:pt idx="1079">
                  <c:v>826.84</c:v>
                </c:pt>
                <c:pt idx="1080">
                  <c:v>825.17</c:v>
                </c:pt>
                <c:pt idx="1081">
                  <c:v>825.87</c:v>
                </c:pt>
                <c:pt idx="1082">
                  <c:v>825.87</c:v>
                </c:pt>
                <c:pt idx="1083">
                  <c:v>825.87</c:v>
                </c:pt>
                <c:pt idx="1084">
                  <c:v>825.87</c:v>
                </c:pt>
                <c:pt idx="1085">
                  <c:v>826.45</c:v>
                </c:pt>
                <c:pt idx="1086">
                  <c:v>828.74</c:v>
                </c:pt>
                <c:pt idx="1087">
                  <c:v>830.49</c:v>
                </c:pt>
                <c:pt idx="1088">
                  <c:v>828.46</c:v>
                </c:pt>
                <c:pt idx="1089">
                  <c:v>828.46</c:v>
                </c:pt>
                <c:pt idx="1090">
                  <c:v>828.46</c:v>
                </c:pt>
                <c:pt idx="1091">
                  <c:v>829.08</c:v>
                </c:pt>
                <c:pt idx="1092">
                  <c:v>830.74</c:v>
                </c:pt>
                <c:pt idx="1093">
                  <c:v>828.67</c:v>
                </c:pt>
                <c:pt idx="1094">
                  <c:v>828.76</c:v>
                </c:pt>
                <c:pt idx="1095">
                  <c:v>828.42</c:v>
                </c:pt>
                <c:pt idx="1096">
                  <c:v>828.42</c:v>
                </c:pt>
                <c:pt idx="1097">
                  <c:v>828.42</c:v>
                </c:pt>
                <c:pt idx="1098">
                  <c:v>828.66</c:v>
                </c:pt>
                <c:pt idx="1099">
                  <c:v>829.03</c:v>
                </c:pt>
                <c:pt idx="1100">
                  <c:v>829.29</c:v>
                </c:pt>
                <c:pt idx="1101">
                  <c:v>829.56</c:v>
                </c:pt>
                <c:pt idx="1102">
                  <c:v>830</c:v>
                </c:pt>
                <c:pt idx="1103">
                  <c:v>830</c:v>
                </c:pt>
                <c:pt idx="1104">
                  <c:v>830</c:v>
                </c:pt>
                <c:pt idx="1105">
                  <c:v>830.37</c:v>
                </c:pt>
                <c:pt idx="1106">
                  <c:v>830.85</c:v>
                </c:pt>
                <c:pt idx="1107">
                  <c:v>831.1</c:v>
                </c:pt>
                <c:pt idx="1108">
                  <c:v>831.1</c:v>
                </c:pt>
                <c:pt idx="1109">
                  <c:v>831.49</c:v>
                </c:pt>
                <c:pt idx="1110">
                  <c:v>831.49</c:v>
                </c:pt>
                <c:pt idx="1111">
                  <c:v>831.49</c:v>
                </c:pt>
                <c:pt idx="1112">
                  <c:v>831.91</c:v>
                </c:pt>
                <c:pt idx="1113">
                  <c:v>824.68</c:v>
                </c:pt>
                <c:pt idx="1114">
                  <c:v>825</c:v>
                </c:pt>
                <c:pt idx="1115">
                  <c:v>827.6</c:v>
                </c:pt>
                <c:pt idx="1116">
                  <c:v>829.72</c:v>
                </c:pt>
                <c:pt idx="1117">
                  <c:v>829.72</c:v>
                </c:pt>
                <c:pt idx="1118">
                  <c:v>829.72</c:v>
                </c:pt>
                <c:pt idx="1119">
                  <c:v>831.06</c:v>
                </c:pt>
                <c:pt idx="1120">
                  <c:v>830.16</c:v>
                </c:pt>
                <c:pt idx="1121">
                  <c:v>827.95</c:v>
                </c:pt>
                <c:pt idx="1122">
                  <c:v>827.7</c:v>
                </c:pt>
                <c:pt idx="1123">
                  <c:v>826.47</c:v>
                </c:pt>
                <c:pt idx="1124">
                  <c:v>826.47</c:v>
                </c:pt>
                <c:pt idx="1125">
                  <c:v>826.47</c:v>
                </c:pt>
                <c:pt idx="1126">
                  <c:v>827.33</c:v>
                </c:pt>
                <c:pt idx="1127">
                  <c:v>829.95</c:v>
                </c:pt>
                <c:pt idx="1128">
                  <c:v>831.6</c:v>
                </c:pt>
                <c:pt idx="1129">
                  <c:v>831.27</c:v>
                </c:pt>
                <c:pt idx="1130">
                  <c:v>831.27</c:v>
                </c:pt>
                <c:pt idx="1131">
                  <c:v>831.27</c:v>
                </c:pt>
                <c:pt idx="1132">
                  <c:v>831.27</c:v>
                </c:pt>
                <c:pt idx="1133">
                  <c:v>833.18</c:v>
                </c:pt>
                <c:pt idx="1134">
                  <c:v>835.38</c:v>
                </c:pt>
                <c:pt idx="1135">
                  <c:v>838.33</c:v>
                </c:pt>
                <c:pt idx="1136">
                  <c:v>838.87</c:v>
                </c:pt>
                <c:pt idx="1137">
                  <c:v>837.07</c:v>
                </c:pt>
                <c:pt idx="1138">
                  <c:v>837.07</c:v>
                </c:pt>
                <c:pt idx="1139">
                  <c:v>837.07</c:v>
                </c:pt>
                <c:pt idx="1140">
                  <c:v>837.07</c:v>
                </c:pt>
                <c:pt idx="1141">
                  <c:v>840.36</c:v>
                </c:pt>
                <c:pt idx="1142">
                  <c:v>843.69</c:v>
                </c:pt>
                <c:pt idx="1143">
                  <c:v>841.52</c:v>
                </c:pt>
                <c:pt idx="1144">
                  <c:v>843.7</c:v>
                </c:pt>
                <c:pt idx="1145">
                  <c:v>843.7</c:v>
                </c:pt>
                <c:pt idx="1146">
                  <c:v>843.7</c:v>
                </c:pt>
                <c:pt idx="1147">
                  <c:v>846.61</c:v>
                </c:pt>
                <c:pt idx="1148">
                  <c:v>847.61</c:v>
                </c:pt>
                <c:pt idx="1149">
                  <c:v>850.26</c:v>
                </c:pt>
                <c:pt idx="1150">
                  <c:v>852.68</c:v>
                </c:pt>
                <c:pt idx="1151">
                  <c:v>855.54</c:v>
                </c:pt>
                <c:pt idx="1152">
                  <c:v>855.54</c:v>
                </c:pt>
                <c:pt idx="1153">
                  <c:v>855.54</c:v>
                </c:pt>
                <c:pt idx="1154">
                  <c:v>855.49</c:v>
                </c:pt>
                <c:pt idx="1155">
                  <c:v>856.65</c:v>
                </c:pt>
                <c:pt idx="1156">
                  <c:v>857.56</c:v>
                </c:pt>
                <c:pt idx="1157">
                  <c:v>859.3</c:v>
                </c:pt>
                <c:pt idx="1158">
                  <c:v>857.83</c:v>
                </c:pt>
                <c:pt idx="1159">
                  <c:v>857.83</c:v>
                </c:pt>
                <c:pt idx="1160">
                  <c:v>857.83</c:v>
                </c:pt>
                <c:pt idx="1161">
                  <c:v>856.41</c:v>
                </c:pt>
                <c:pt idx="1162">
                  <c:v>857.16</c:v>
                </c:pt>
                <c:pt idx="1163">
                  <c:v>855.76</c:v>
                </c:pt>
                <c:pt idx="1164">
                  <c:v>852.22</c:v>
                </c:pt>
                <c:pt idx="1165">
                  <c:v>848.82</c:v>
                </c:pt>
                <c:pt idx="1166">
                  <c:v>848.82</c:v>
                </c:pt>
                <c:pt idx="1167">
                  <c:v>848.82</c:v>
                </c:pt>
                <c:pt idx="1168">
                  <c:v>848.27</c:v>
                </c:pt>
                <c:pt idx="1169">
                  <c:v>848.43</c:v>
                </c:pt>
                <c:pt idx="1170">
                  <c:v>847.04</c:v>
                </c:pt>
                <c:pt idx="1171">
                  <c:v>845.73</c:v>
                </c:pt>
                <c:pt idx="1172">
                  <c:v>845.37</c:v>
                </c:pt>
                <c:pt idx="1173">
                  <c:v>845.37</c:v>
                </c:pt>
                <c:pt idx="1174">
                  <c:v>845.37</c:v>
                </c:pt>
                <c:pt idx="1175">
                  <c:v>846.2</c:v>
                </c:pt>
                <c:pt idx="1176">
                  <c:v>848.15</c:v>
                </c:pt>
                <c:pt idx="1177">
                  <c:v>848.52</c:v>
                </c:pt>
                <c:pt idx="1178">
                  <c:v>848.9</c:v>
                </c:pt>
                <c:pt idx="1179">
                  <c:v>849.41</c:v>
                </c:pt>
                <c:pt idx="1180">
                  <c:v>849.41</c:v>
                </c:pt>
                <c:pt idx="1181">
                  <c:v>849.41</c:v>
                </c:pt>
                <c:pt idx="1182">
                  <c:v>851.88</c:v>
                </c:pt>
                <c:pt idx="1183">
                  <c:v>853.63</c:v>
                </c:pt>
                <c:pt idx="1184">
                  <c:v>855.32</c:v>
                </c:pt>
                <c:pt idx="1185">
                  <c:v>855.48</c:v>
                </c:pt>
                <c:pt idx="1186">
                  <c:v>854.71</c:v>
                </c:pt>
                <c:pt idx="1187">
                  <c:v>854.71</c:v>
                </c:pt>
                <c:pt idx="1188">
                  <c:v>854.71</c:v>
                </c:pt>
                <c:pt idx="1189">
                  <c:v>856.99</c:v>
                </c:pt>
                <c:pt idx="1190">
                  <c:v>857.85</c:v>
                </c:pt>
                <c:pt idx="1191">
                  <c:v>858.87</c:v>
                </c:pt>
                <c:pt idx="1192">
                  <c:v>861.33</c:v>
                </c:pt>
                <c:pt idx="1193">
                  <c:v>859.65</c:v>
                </c:pt>
                <c:pt idx="1194">
                  <c:v>859.65</c:v>
                </c:pt>
                <c:pt idx="1195">
                  <c:v>859.65</c:v>
                </c:pt>
                <c:pt idx="1196">
                  <c:v>858.95</c:v>
                </c:pt>
                <c:pt idx="1197">
                  <c:v>861.13</c:v>
                </c:pt>
                <c:pt idx="1198">
                  <c:v>862.41</c:v>
                </c:pt>
                <c:pt idx="1199">
                  <c:v>863.06</c:v>
                </c:pt>
                <c:pt idx="1200">
                  <c:v>865.36</c:v>
                </c:pt>
                <c:pt idx="1201">
                  <c:v>865.36</c:v>
                </c:pt>
                <c:pt idx="1202">
                  <c:v>865.36</c:v>
                </c:pt>
                <c:pt idx="1203">
                  <c:v>865.92</c:v>
                </c:pt>
                <c:pt idx="1204">
                  <c:v>866.96</c:v>
                </c:pt>
                <c:pt idx="1205">
                  <c:v>866.4</c:v>
                </c:pt>
                <c:pt idx="1206">
                  <c:v>865.63</c:v>
                </c:pt>
                <c:pt idx="1207">
                  <c:v>863.77</c:v>
                </c:pt>
                <c:pt idx="1208">
                  <c:v>863.77</c:v>
                </c:pt>
                <c:pt idx="1209">
                  <c:v>863.77</c:v>
                </c:pt>
                <c:pt idx="1210">
                  <c:v>863.77</c:v>
                </c:pt>
                <c:pt idx="1211">
                  <c:v>865.89</c:v>
                </c:pt>
                <c:pt idx="1212">
                  <c:v>867.81</c:v>
                </c:pt>
                <c:pt idx="1213">
                  <c:v>868.95</c:v>
                </c:pt>
                <c:pt idx="1214">
                  <c:v>869.22</c:v>
                </c:pt>
                <c:pt idx="1215">
                  <c:v>869.22</c:v>
                </c:pt>
                <c:pt idx="1216">
                  <c:v>869.22</c:v>
                </c:pt>
                <c:pt idx="1217">
                  <c:v>870.14</c:v>
                </c:pt>
                <c:pt idx="1218">
                  <c:v>872.57</c:v>
                </c:pt>
                <c:pt idx="1219">
                  <c:v>876.21</c:v>
                </c:pt>
                <c:pt idx="1220">
                  <c:v>880.23</c:v>
                </c:pt>
                <c:pt idx="1221">
                  <c:v>878.18</c:v>
                </c:pt>
                <c:pt idx="1222">
                  <c:v>878.18</c:v>
                </c:pt>
                <c:pt idx="1223">
                  <c:v>878.18</c:v>
                </c:pt>
                <c:pt idx="1224">
                  <c:v>876</c:v>
                </c:pt>
                <c:pt idx="1225">
                  <c:v>874.3</c:v>
                </c:pt>
                <c:pt idx="1226">
                  <c:v>871.6</c:v>
                </c:pt>
                <c:pt idx="1227">
                  <c:v>868.96</c:v>
                </c:pt>
                <c:pt idx="1228">
                  <c:v>869.15</c:v>
                </c:pt>
                <c:pt idx="1229">
                  <c:v>869.15</c:v>
                </c:pt>
                <c:pt idx="1230">
                  <c:v>869.15</c:v>
                </c:pt>
                <c:pt idx="1231">
                  <c:v>866.78</c:v>
                </c:pt>
                <c:pt idx="1232">
                  <c:v>868.8</c:v>
                </c:pt>
                <c:pt idx="1233">
                  <c:v>866.25</c:v>
                </c:pt>
                <c:pt idx="1234">
                  <c:v>866.25</c:v>
                </c:pt>
                <c:pt idx="1235">
                  <c:v>866.25</c:v>
                </c:pt>
                <c:pt idx="1236">
                  <c:v>866.25</c:v>
                </c:pt>
                <c:pt idx="1237">
                  <c:v>866.25</c:v>
                </c:pt>
                <c:pt idx="1238">
                  <c:v>871.87</c:v>
                </c:pt>
                <c:pt idx="1239">
                  <c:v>874.37</c:v>
                </c:pt>
                <c:pt idx="1240">
                  <c:v>874.35</c:v>
                </c:pt>
                <c:pt idx="1241">
                  <c:v>877.38</c:v>
                </c:pt>
                <c:pt idx="1242">
                  <c:v>876.55</c:v>
                </c:pt>
                <c:pt idx="1243">
                  <c:v>876.55</c:v>
                </c:pt>
                <c:pt idx="1244">
                  <c:v>876.55</c:v>
                </c:pt>
                <c:pt idx="1245">
                  <c:v>878.2</c:v>
                </c:pt>
                <c:pt idx="1246">
                  <c:v>876.32</c:v>
                </c:pt>
                <c:pt idx="1247">
                  <c:v>875.78</c:v>
                </c:pt>
                <c:pt idx="1248">
                  <c:v>876.21</c:v>
                </c:pt>
                <c:pt idx="1249">
                  <c:v>877.9</c:v>
                </c:pt>
                <c:pt idx="1250">
                  <c:v>877.9</c:v>
                </c:pt>
                <c:pt idx="1251">
                  <c:v>877.9</c:v>
                </c:pt>
                <c:pt idx="1252">
                  <c:v>877.9</c:v>
                </c:pt>
                <c:pt idx="1253">
                  <c:v>880.63</c:v>
                </c:pt>
                <c:pt idx="1254">
                  <c:v>882.97</c:v>
                </c:pt>
                <c:pt idx="1255">
                  <c:v>882.24</c:v>
                </c:pt>
                <c:pt idx="1256">
                  <c:v>881.07</c:v>
                </c:pt>
                <c:pt idx="1257">
                  <c:v>881.07</c:v>
                </c:pt>
                <c:pt idx="1258">
                  <c:v>881.07</c:v>
                </c:pt>
                <c:pt idx="1259">
                  <c:v>881.33</c:v>
                </c:pt>
                <c:pt idx="1260">
                  <c:v>878.87</c:v>
                </c:pt>
                <c:pt idx="1261">
                  <c:v>880.25</c:v>
                </c:pt>
                <c:pt idx="1262">
                  <c:v>881.07</c:v>
                </c:pt>
                <c:pt idx="1263">
                  <c:v>879.35</c:v>
                </c:pt>
                <c:pt idx="1264">
                  <c:v>879.35</c:v>
                </c:pt>
                <c:pt idx="1265">
                  <c:v>879.35</c:v>
                </c:pt>
                <c:pt idx="1266">
                  <c:v>877.45</c:v>
                </c:pt>
                <c:pt idx="1267">
                  <c:v>875.17</c:v>
                </c:pt>
                <c:pt idx="1268">
                  <c:v>874.74</c:v>
                </c:pt>
                <c:pt idx="1269">
                  <c:v>875.75</c:v>
                </c:pt>
                <c:pt idx="1270">
                  <c:v>873.52</c:v>
                </c:pt>
                <c:pt idx="1271">
                  <c:v>873.52</c:v>
                </c:pt>
                <c:pt idx="1272">
                  <c:v>873.52</c:v>
                </c:pt>
                <c:pt idx="1273">
                  <c:v>871.11</c:v>
                </c:pt>
                <c:pt idx="1274">
                  <c:v>869.95</c:v>
                </c:pt>
                <c:pt idx="1275">
                  <c:v>870.55</c:v>
                </c:pt>
                <c:pt idx="1276">
                  <c:v>872.96</c:v>
                </c:pt>
                <c:pt idx="1277">
                  <c:v>872.66</c:v>
                </c:pt>
                <c:pt idx="1278">
                  <c:v>872.66</c:v>
                </c:pt>
                <c:pt idx="1279">
                  <c:v>872.66</c:v>
                </c:pt>
                <c:pt idx="1280">
                  <c:v>872.66</c:v>
                </c:pt>
                <c:pt idx="1281">
                  <c:v>876.36</c:v>
                </c:pt>
                <c:pt idx="1282">
                  <c:v>876.62</c:v>
                </c:pt>
                <c:pt idx="1283">
                  <c:v>877.22</c:v>
                </c:pt>
                <c:pt idx="1284">
                  <c:v>875.99</c:v>
                </c:pt>
                <c:pt idx="1285">
                  <c:v>875.99</c:v>
                </c:pt>
                <c:pt idx="1286">
                  <c:v>875.99</c:v>
                </c:pt>
                <c:pt idx="1287">
                  <c:v>874.81</c:v>
                </c:pt>
                <c:pt idx="1288">
                  <c:v>873.06</c:v>
                </c:pt>
                <c:pt idx="1289">
                  <c:v>871.02</c:v>
                </c:pt>
                <c:pt idx="1290">
                  <c:v>871.93</c:v>
                </c:pt>
                <c:pt idx="1291">
                  <c:v>871.94</c:v>
                </c:pt>
                <c:pt idx="1292">
                  <c:v>871.94</c:v>
                </c:pt>
                <c:pt idx="1293">
                  <c:v>871.94</c:v>
                </c:pt>
                <c:pt idx="1294">
                  <c:v>873.74</c:v>
                </c:pt>
                <c:pt idx="1295">
                  <c:v>875.28</c:v>
                </c:pt>
                <c:pt idx="1296">
                  <c:v>873.78</c:v>
                </c:pt>
                <c:pt idx="1297">
                  <c:v>872.54</c:v>
                </c:pt>
                <c:pt idx="1298">
                  <c:v>873.91</c:v>
                </c:pt>
                <c:pt idx="1299">
                  <c:v>873.91</c:v>
                </c:pt>
                <c:pt idx="1300">
                  <c:v>873.91</c:v>
                </c:pt>
                <c:pt idx="1301">
                  <c:v>873.91</c:v>
                </c:pt>
                <c:pt idx="1302">
                  <c:v>875.59</c:v>
                </c:pt>
                <c:pt idx="1303">
                  <c:v>875.32</c:v>
                </c:pt>
                <c:pt idx="1304">
                  <c:v>874.81</c:v>
                </c:pt>
                <c:pt idx="1305">
                  <c:v>873.64</c:v>
                </c:pt>
                <c:pt idx="1306">
                  <c:v>873.64</c:v>
                </c:pt>
                <c:pt idx="1307">
                  <c:v>873.64</c:v>
                </c:pt>
                <c:pt idx="1308">
                  <c:v>873.64</c:v>
                </c:pt>
                <c:pt idx="1309">
                  <c:v>875.95</c:v>
                </c:pt>
                <c:pt idx="1310">
                  <c:v>878.8</c:v>
                </c:pt>
                <c:pt idx="1311">
                  <c:v>881.23</c:v>
                </c:pt>
                <c:pt idx="1312">
                  <c:v>880.49</c:v>
                </c:pt>
                <c:pt idx="1313">
                  <c:v>880.49</c:v>
                </c:pt>
                <c:pt idx="1314">
                  <c:v>880.49</c:v>
                </c:pt>
                <c:pt idx="1315">
                  <c:v>880.49</c:v>
                </c:pt>
                <c:pt idx="1316">
                  <c:v>883.81</c:v>
                </c:pt>
                <c:pt idx="1317">
                  <c:v>887.3</c:v>
                </c:pt>
                <c:pt idx="1318">
                  <c:v>891.28</c:v>
                </c:pt>
                <c:pt idx="1319">
                  <c:v>891.44</c:v>
                </c:pt>
                <c:pt idx="1320">
                  <c:v>891.44</c:v>
                </c:pt>
                <c:pt idx="1321">
                  <c:v>891.44</c:v>
                </c:pt>
                <c:pt idx="1322">
                  <c:v>897.12</c:v>
                </c:pt>
                <c:pt idx="1323">
                  <c:v>897.51</c:v>
                </c:pt>
                <c:pt idx="1324">
                  <c:v>895.84</c:v>
                </c:pt>
                <c:pt idx="1325">
                  <c:v>892.82</c:v>
                </c:pt>
                <c:pt idx="1326">
                  <c:v>893.36</c:v>
                </c:pt>
                <c:pt idx="1327">
                  <c:v>893.36</c:v>
                </c:pt>
                <c:pt idx="1328">
                  <c:v>893.36</c:v>
                </c:pt>
                <c:pt idx="1329">
                  <c:v>891.76</c:v>
                </c:pt>
                <c:pt idx="1330">
                  <c:v>894.03</c:v>
                </c:pt>
                <c:pt idx="1331">
                  <c:v>894.5</c:v>
                </c:pt>
                <c:pt idx="1332">
                  <c:v>894.5</c:v>
                </c:pt>
                <c:pt idx="1333">
                  <c:v>894.98</c:v>
                </c:pt>
                <c:pt idx="1334">
                  <c:v>894.98</c:v>
                </c:pt>
                <c:pt idx="1335">
                  <c:v>894.98</c:v>
                </c:pt>
                <c:pt idx="1336">
                  <c:v>896.68</c:v>
                </c:pt>
                <c:pt idx="1337">
                  <c:v>897.32</c:v>
                </c:pt>
                <c:pt idx="1338">
                  <c:v>897.77</c:v>
                </c:pt>
                <c:pt idx="1339">
                  <c:v>895.56</c:v>
                </c:pt>
                <c:pt idx="1340">
                  <c:v>897.63</c:v>
                </c:pt>
                <c:pt idx="1341">
                  <c:v>897.63</c:v>
                </c:pt>
                <c:pt idx="1342">
                  <c:v>897.63</c:v>
                </c:pt>
                <c:pt idx="1343">
                  <c:v>898.35</c:v>
                </c:pt>
                <c:pt idx="1344">
                  <c:v>900.78</c:v>
                </c:pt>
                <c:pt idx="1345">
                  <c:v>905.53</c:v>
                </c:pt>
                <c:pt idx="1346">
                  <c:v>917.53</c:v>
                </c:pt>
                <c:pt idx="1347">
                  <c:v>916.14</c:v>
                </c:pt>
                <c:pt idx="1348">
                  <c:v>916.14</c:v>
                </c:pt>
                <c:pt idx="1349">
                  <c:v>916.14</c:v>
                </c:pt>
                <c:pt idx="1350">
                  <c:v>916.14</c:v>
                </c:pt>
                <c:pt idx="1351">
                  <c:v>920.1</c:v>
                </c:pt>
                <c:pt idx="1352">
                  <c:v>919.32</c:v>
                </c:pt>
                <c:pt idx="1353">
                  <c:v>917.13</c:v>
                </c:pt>
                <c:pt idx="1354">
                  <c:v>919.13</c:v>
                </c:pt>
                <c:pt idx="1355">
                  <c:v>919.13</c:v>
                </c:pt>
                <c:pt idx="1356">
                  <c:v>919.13</c:v>
                </c:pt>
                <c:pt idx="1357">
                  <c:v>922.21</c:v>
                </c:pt>
                <c:pt idx="1358">
                  <c:v>928.25</c:v>
                </c:pt>
                <c:pt idx="1359">
                  <c:v>944.55</c:v>
                </c:pt>
                <c:pt idx="1360">
                  <c:v>947.22</c:v>
                </c:pt>
                <c:pt idx="1361">
                  <c:v>946.83</c:v>
                </c:pt>
                <c:pt idx="1362">
                  <c:v>946.83</c:v>
                </c:pt>
                <c:pt idx="1363">
                  <c:v>946.83</c:v>
                </c:pt>
                <c:pt idx="1364">
                  <c:v>946.83</c:v>
                </c:pt>
                <c:pt idx="1365">
                  <c:v>949.51</c:v>
                </c:pt>
                <c:pt idx="1366">
                  <c:v>955.12</c:v>
                </c:pt>
                <c:pt idx="1367">
                  <c:v>962.6</c:v>
                </c:pt>
                <c:pt idx="1368">
                  <c:v>970.65</c:v>
                </c:pt>
                <c:pt idx="1369">
                  <c:v>970.65</c:v>
                </c:pt>
                <c:pt idx="1370">
                  <c:v>970.65</c:v>
                </c:pt>
                <c:pt idx="1371">
                  <c:v>972.03</c:v>
                </c:pt>
                <c:pt idx="1372">
                  <c:v>963.93</c:v>
                </c:pt>
                <c:pt idx="1373">
                  <c:v>960.19</c:v>
                </c:pt>
                <c:pt idx="1374">
                  <c:v>949.35</c:v>
                </c:pt>
                <c:pt idx="1375">
                  <c:v>948.23</c:v>
                </c:pt>
                <c:pt idx="1376">
                  <c:v>948.23</c:v>
                </c:pt>
                <c:pt idx="1377">
                  <c:v>948.23</c:v>
                </c:pt>
                <c:pt idx="1378">
                  <c:v>957.54</c:v>
                </c:pt>
                <c:pt idx="1379">
                  <c:v>958.46</c:v>
                </c:pt>
                <c:pt idx="1380">
                  <c:v>953.63</c:v>
                </c:pt>
                <c:pt idx="1381">
                  <c:v>954.64</c:v>
                </c:pt>
                <c:pt idx="1382">
                  <c:v>958.31</c:v>
                </c:pt>
                <c:pt idx="1383">
                  <c:v>958.31</c:v>
                </c:pt>
                <c:pt idx="1384">
                  <c:v>958.31</c:v>
                </c:pt>
                <c:pt idx="1385">
                  <c:v>958.59</c:v>
                </c:pt>
                <c:pt idx="1386">
                  <c:v>959.18</c:v>
                </c:pt>
                <c:pt idx="1387">
                  <c:v>959.15</c:v>
                </c:pt>
                <c:pt idx="1388">
                  <c:v>960.25</c:v>
                </c:pt>
                <c:pt idx="1389">
                  <c:v>960.91</c:v>
                </c:pt>
                <c:pt idx="1390">
                  <c:v>960.91</c:v>
                </c:pt>
                <c:pt idx="1391">
                  <c:v>960.91</c:v>
                </c:pt>
                <c:pt idx="1392">
                  <c:v>962.5</c:v>
                </c:pt>
                <c:pt idx="1393">
                  <c:v>970.08</c:v>
                </c:pt>
                <c:pt idx="1394">
                  <c:v>974.88</c:v>
                </c:pt>
                <c:pt idx="1395">
                  <c:v>974.23</c:v>
                </c:pt>
                <c:pt idx="1396">
                  <c:v>975.9</c:v>
                </c:pt>
                <c:pt idx="1397">
                  <c:v>975.9</c:v>
                </c:pt>
                <c:pt idx="1398">
                  <c:v>975.9</c:v>
                </c:pt>
                <c:pt idx="1399">
                  <c:v>977.35</c:v>
                </c:pt>
                <c:pt idx="1400">
                  <c:v>980.54</c:v>
                </c:pt>
                <c:pt idx="1401">
                  <c:v>981.09</c:v>
                </c:pt>
                <c:pt idx="1402">
                  <c:v>972.8</c:v>
                </c:pt>
                <c:pt idx="1403">
                  <c:v>966.78</c:v>
                </c:pt>
                <c:pt idx="1404">
                  <c:v>966.78</c:v>
                </c:pt>
                <c:pt idx="1405">
                  <c:v>966.78</c:v>
                </c:pt>
                <c:pt idx="1406">
                  <c:v>971.22</c:v>
                </c:pt>
                <c:pt idx="1407">
                  <c:v>976.76</c:v>
                </c:pt>
                <c:pt idx="1408">
                  <c:v>972.75</c:v>
                </c:pt>
                <c:pt idx="1409">
                  <c:v>972.93</c:v>
                </c:pt>
                <c:pt idx="1410">
                  <c:v>979.16</c:v>
                </c:pt>
                <c:pt idx="1411">
                  <c:v>979.16</c:v>
                </c:pt>
                <c:pt idx="1412">
                  <c:v>979.16</c:v>
                </c:pt>
                <c:pt idx="1413">
                  <c:v>982.84</c:v>
                </c:pt>
                <c:pt idx="1414">
                  <c:v>981.45</c:v>
                </c:pt>
                <c:pt idx="1415">
                  <c:v>981.26</c:v>
                </c:pt>
                <c:pt idx="1416">
                  <c:v>984.88</c:v>
                </c:pt>
                <c:pt idx="1417">
                  <c:v>987</c:v>
                </c:pt>
                <c:pt idx="1418">
                  <c:v>987</c:v>
                </c:pt>
                <c:pt idx="1419">
                  <c:v>987</c:v>
                </c:pt>
                <c:pt idx="1420">
                  <c:v>987</c:v>
                </c:pt>
                <c:pt idx="1421">
                  <c:v>990.52</c:v>
                </c:pt>
                <c:pt idx="1422">
                  <c:v>991.22</c:v>
                </c:pt>
                <c:pt idx="1423">
                  <c:v>991.52</c:v>
                </c:pt>
                <c:pt idx="1424">
                  <c:v>988.96</c:v>
                </c:pt>
                <c:pt idx="1425">
                  <c:v>988.96</c:v>
                </c:pt>
                <c:pt idx="1426">
                  <c:v>988.96</c:v>
                </c:pt>
                <c:pt idx="1427">
                  <c:v>991.98</c:v>
                </c:pt>
                <c:pt idx="1428">
                  <c:v>993.68</c:v>
                </c:pt>
                <c:pt idx="1429">
                  <c:v>994.77</c:v>
                </c:pt>
                <c:pt idx="1430">
                  <c:v>995.01</c:v>
                </c:pt>
                <c:pt idx="1431">
                  <c:v>994.99</c:v>
                </c:pt>
                <c:pt idx="1432">
                  <c:v>994.99</c:v>
                </c:pt>
                <c:pt idx="1433">
                  <c:v>994.99</c:v>
                </c:pt>
                <c:pt idx="1434">
                  <c:v>994.5</c:v>
                </c:pt>
                <c:pt idx="1435">
                  <c:v>996.76</c:v>
                </c:pt>
                <c:pt idx="1436">
                  <c:v>996.96</c:v>
                </c:pt>
                <c:pt idx="1437">
                  <c:v>998.18</c:v>
                </c:pt>
                <c:pt idx="1438">
                  <c:v>998.49</c:v>
                </c:pt>
                <c:pt idx="1439">
                  <c:v>998.49</c:v>
                </c:pt>
                <c:pt idx="1440">
                  <c:v>998.49</c:v>
                </c:pt>
                <c:pt idx="1441">
                  <c:v>998.49</c:v>
                </c:pt>
                <c:pt idx="1442">
                  <c:v>999.51</c:v>
                </c:pt>
                <c:pt idx="1443">
                  <c:v>999.73</c:v>
                </c:pt>
                <c:pt idx="1444">
                  <c:v>1000.13</c:v>
                </c:pt>
                <c:pt idx="1445">
                  <c:v>999.77</c:v>
                </c:pt>
                <c:pt idx="1446">
                  <c:v>999.77</c:v>
                </c:pt>
                <c:pt idx="1447">
                  <c:v>999.77</c:v>
                </c:pt>
                <c:pt idx="1448">
                  <c:v>999.77</c:v>
                </c:pt>
                <c:pt idx="1449">
                  <c:v>1001.14</c:v>
                </c:pt>
                <c:pt idx="1450">
                  <c:v>1001.62</c:v>
                </c:pt>
                <c:pt idx="1451">
                  <c:v>1002.25</c:v>
                </c:pt>
                <c:pt idx="1452">
                  <c:v>1002.63</c:v>
                </c:pt>
                <c:pt idx="1453">
                  <c:v>1002.63</c:v>
                </c:pt>
                <c:pt idx="1454">
                  <c:v>1002.63</c:v>
                </c:pt>
                <c:pt idx="1455">
                  <c:v>1003.44</c:v>
                </c:pt>
                <c:pt idx="1456">
                  <c:v>1003.47</c:v>
                </c:pt>
                <c:pt idx="1457">
                  <c:v>1002.49</c:v>
                </c:pt>
                <c:pt idx="1458">
                  <c:v>1001.23</c:v>
                </c:pt>
                <c:pt idx="1459">
                  <c:v>1000.69</c:v>
                </c:pt>
                <c:pt idx="1460">
                  <c:v>1000.69</c:v>
                </c:pt>
                <c:pt idx="1461">
                  <c:v>1000.69</c:v>
                </c:pt>
                <c:pt idx="1462">
                  <c:v>1003.24</c:v>
                </c:pt>
                <c:pt idx="1463">
                  <c:v>1001.73</c:v>
                </c:pt>
                <c:pt idx="1464">
                  <c:v>998.16</c:v>
                </c:pt>
                <c:pt idx="1465">
                  <c:v>998.15</c:v>
                </c:pt>
                <c:pt idx="1466">
                  <c:v>997.87</c:v>
                </c:pt>
                <c:pt idx="1467">
                  <c:v>997.87</c:v>
                </c:pt>
                <c:pt idx="1468">
                  <c:v>997.87</c:v>
                </c:pt>
                <c:pt idx="1469">
                  <c:v>995.93</c:v>
                </c:pt>
                <c:pt idx="1470">
                  <c:v>990.16</c:v>
                </c:pt>
                <c:pt idx="1471">
                  <c:v>983.29</c:v>
                </c:pt>
                <c:pt idx="1472">
                  <c:v>974.04</c:v>
                </c:pt>
                <c:pt idx="1473">
                  <c:v>974.04</c:v>
                </c:pt>
                <c:pt idx="1474">
                  <c:v>974.04</c:v>
                </c:pt>
                <c:pt idx="1475">
                  <c:v>974.04</c:v>
                </c:pt>
                <c:pt idx="1476">
                  <c:v>979.87</c:v>
                </c:pt>
                <c:pt idx="1477">
                  <c:v>986.17</c:v>
                </c:pt>
                <c:pt idx="1478">
                  <c:v>994.57</c:v>
                </c:pt>
                <c:pt idx="1479">
                  <c:v>992.88</c:v>
                </c:pt>
                <c:pt idx="1480">
                  <c:v>988.94</c:v>
                </c:pt>
                <c:pt idx="1481">
                  <c:v>988.94</c:v>
                </c:pt>
                <c:pt idx="1482">
                  <c:v>988.94</c:v>
                </c:pt>
                <c:pt idx="1483">
                  <c:v>986.71</c:v>
                </c:pt>
                <c:pt idx="1484">
                  <c:v>987.22</c:v>
                </c:pt>
                <c:pt idx="1485">
                  <c:v>985.39</c:v>
                </c:pt>
                <c:pt idx="1486">
                  <c:v>984.06</c:v>
                </c:pt>
                <c:pt idx="1487">
                  <c:v>984.96</c:v>
                </c:pt>
                <c:pt idx="1488">
                  <c:v>984.96</c:v>
                </c:pt>
                <c:pt idx="1489">
                  <c:v>984.96</c:v>
                </c:pt>
                <c:pt idx="1490">
                  <c:v>984.96</c:v>
                </c:pt>
                <c:pt idx="1491">
                  <c:v>990.1</c:v>
                </c:pt>
                <c:pt idx="1492">
                  <c:v>986.96</c:v>
                </c:pt>
                <c:pt idx="1493">
                  <c:v>987.65</c:v>
                </c:pt>
                <c:pt idx="1494">
                  <c:v>987.65</c:v>
                </c:pt>
                <c:pt idx="1495">
                  <c:v>987.65</c:v>
                </c:pt>
                <c:pt idx="1496">
                  <c:v>987.65</c:v>
                </c:pt>
                <c:pt idx="1497">
                  <c:v>987.65</c:v>
                </c:pt>
                <c:pt idx="1498">
                  <c:v>994.31</c:v>
                </c:pt>
                <c:pt idx="1499">
                  <c:v>994.5</c:v>
                </c:pt>
                <c:pt idx="1500">
                  <c:v>998.68</c:v>
                </c:pt>
                <c:pt idx="1501">
                  <c:v>997.06</c:v>
                </c:pt>
                <c:pt idx="1502">
                  <c:v>997.06</c:v>
                </c:pt>
                <c:pt idx="1503">
                  <c:v>997.06</c:v>
                </c:pt>
                <c:pt idx="1504">
                  <c:v>997.06</c:v>
                </c:pt>
                <c:pt idx="1505">
                  <c:v>1003.44</c:v>
                </c:pt>
                <c:pt idx="1506">
                  <c:v>1003.86</c:v>
                </c:pt>
                <c:pt idx="1507">
                  <c:v>1002.59</c:v>
                </c:pt>
                <c:pt idx="1508">
                  <c:v>1005.63</c:v>
                </c:pt>
                <c:pt idx="1509">
                  <c:v>1005.63</c:v>
                </c:pt>
                <c:pt idx="1510">
                  <c:v>1005.63</c:v>
                </c:pt>
                <c:pt idx="1511">
                  <c:v>1011.59</c:v>
                </c:pt>
                <c:pt idx="1512">
                  <c:v>1011.72</c:v>
                </c:pt>
                <c:pt idx="1513">
                  <c:v>1010.34</c:v>
                </c:pt>
                <c:pt idx="1514">
                  <c:v>1015.1</c:v>
                </c:pt>
                <c:pt idx="1515">
                  <c:v>1018.99</c:v>
                </c:pt>
                <c:pt idx="1516">
                  <c:v>1018.99</c:v>
                </c:pt>
                <c:pt idx="1517">
                  <c:v>1018.99</c:v>
                </c:pt>
                <c:pt idx="1518">
                  <c:v>1019.17</c:v>
                </c:pt>
                <c:pt idx="1519">
                  <c:v>1024.8900000000001</c:v>
                </c:pt>
                <c:pt idx="1520">
                  <c:v>1026.08</c:v>
                </c:pt>
                <c:pt idx="1521">
                  <c:v>1026.78</c:v>
                </c:pt>
                <c:pt idx="1522">
                  <c:v>1026.8900000000001</c:v>
                </c:pt>
                <c:pt idx="1523">
                  <c:v>1026.8900000000001</c:v>
                </c:pt>
                <c:pt idx="1524">
                  <c:v>1026.8900000000001</c:v>
                </c:pt>
                <c:pt idx="1525">
                  <c:v>1027.6099999999999</c:v>
                </c:pt>
                <c:pt idx="1526">
                  <c:v>1028.1400000000001</c:v>
                </c:pt>
                <c:pt idx="1527">
                  <c:v>1026.3</c:v>
                </c:pt>
                <c:pt idx="1528">
                  <c:v>1024.8900000000001</c:v>
                </c:pt>
                <c:pt idx="1529">
                  <c:v>1021.29</c:v>
                </c:pt>
                <c:pt idx="1530">
                  <c:v>1021.29</c:v>
                </c:pt>
                <c:pt idx="1531">
                  <c:v>1021.29</c:v>
                </c:pt>
                <c:pt idx="1532">
                  <c:v>1022.93</c:v>
                </c:pt>
                <c:pt idx="1533">
                  <c:v>1021.3</c:v>
                </c:pt>
                <c:pt idx="1534">
                  <c:v>1022.28</c:v>
                </c:pt>
                <c:pt idx="1535">
                  <c:v>1024.17</c:v>
                </c:pt>
                <c:pt idx="1536">
                  <c:v>1023.07</c:v>
                </c:pt>
                <c:pt idx="1537">
                  <c:v>1023.07</c:v>
                </c:pt>
                <c:pt idx="1538">
                  <c:v>1023.07</c:v>
                </c:pt>
                <c:pt idx="1539">
                  <c:v>1027.54</c:v>
                </c:pt>
                <c:pt idx="1540">
                  <c:v>1028.58</c:v>
                </c:pt>
                <c:pt idx="1541">
                  <c:v>1027.57</c:v>
                </c:pt>
                <c:pt idx="1542">
                  <c:v>1030.67</c:v>
                </c:pt>
                <c:pt idx="1543">
                  <c:v>1029.5</c:v>
                </c:pt>
                <c:pt idx="1544">
                  <c:v>1029.5</c:v>
                </c:pt>
                <c:pt idx="1545">
                  <c:v>1029.5</c:v>
                </c:pt>
                <c:pt idx="1546">
                  <c:v>1033.4100000000001</c:v>
                </c:pt>
                <c:pt idx="1547">
                  <c:v>1034.3399999999999</c:v>
                </c:pt>
                <c:pt idx="1548">
                  <c:v>1035.43</c:v>
                </c:pt>
                <c:pt idx="1549">
                  <c:v>1035.04</c:v>
                </c:pt>
                <c:pt idx="1550">
                  <c:v>1036.71</c:v>
                </c:pt>
                <c:pt idx="1551">
                  <c:v>1036.71</c:v>
                </c:pt>
                <c:pt idx="1552">
                  <c:v>1036.71</c:v>
                </c:pt>
                <c:pt idx="1553">
                  <c:v>1038.49</c:v>
                </c:pt>
                <c:pt idx="1554">
                  <c:v>1039.06</c:v>
                </c:pt>
                <c:pt idx="1555">
                  <c:v>1039.81</c:v>
                </c:pt>
                <c:pt idx="1556">
                  <c:v>1039.9000000000001</c:v>
                </c:pt>
                <c:pt idx="1557">
                  <c:v>1040.7</c:v>
                </c:pt>
                <c:pt idx="1558">
                  <c:v>1040.7</c:v>
                </c:pt>
                <c:pt idx="1559">
                  <c:v>1040.7</c:v>
                </c:pt>
                <c:pt idx="1560">
                  <c:v>1041.28</c:v>
                </c:pt>
                <c:pt idx="1561">
                  <c:v>1041.83</c:v>
                </c:pt>
                <c:pt idx="1562">
                  <c:v>1042.03</c:v>
                </c:pt>
                <c:pt idx="1563">
                  <c:v>1042.6099999999999</c:v>
                </c:pt>
                <c:pt idx="1564">
                  <c:v>1042.42</c:v>
                </c:pt>
                <c:pt idx="1565">
                  <c:v>1042.42</c:v>
                </c:pt>
                <c:pt idx="1566">
                  <c:v>1042.42</c:v>
                </c:pt>
                <c:pt idx="1567">
                  <c:v>1043.5</c:v>
                </c:pt>
                <c:pt idx="1568">
                  <c:v>1044.07</c:v>
                </c:pt>
                <c:pt idx="1569">
                  <c:v>1044.99</c:v>
                </c:pt>
                <c:pt idx="1570">
                  <c:v>1045.44</c:v>
                </c:pt>
                <c:pt idx="1571">
                  <c:v>1046.0899999999999</c:v>
                </c:pt>
                <c:pt idx="1572">
                  <c:v>1046.0899999999999</c:v>
                </c:pt>
                <c:pt idx="1573">
                  <c:v>1046.0899999999999</c:v>
                </c:pt>
                <c:pt idx="1574">
                  <c:v>1046.76</c:v>
                </c:pt>
                <c:pt idx="1575">
                  <c:v>1047.24</c:v>
                </c:pt>
                <c:pt idx="1576">
                  <c:v>1047.6500000000001</c:v>
                </c:pt>
                <c:pt idx="1577">
                  <c:v>1048.4000000000001</c:v>
                </c:pt>
                <c:pt idx="1578">
                  <c:v>1048</c:v>
                </c:pt>
                <c:pt idx="1579">
                  <c:v>1048</c:v>
                </c:pt>
                <c:pt idx="1580">
                  <c:v>1048</c:v>
                </c:pt>
                <c:pt idx="1581">
                  <c:v>1048</c:v>
                </c:pt>
                <c:pt idx="1582">
                  <c:v>1049.08</c:v>
                </c:pt>
                <c:pt idx="1583">
                  <c:v>1049.22</c:v>
                </c:pt>
                <c:pt idx="1584">
                  <c:v>1048.42</c:v>
                </c:pt>
                <c:pt idx="1585">
                  <c:v>1046</c:v>
                </c:pt>
                <c:pt idx="1586">
                  <c:v>1046</c:v>
                </c:pt>
                <c:pt idx="1587">
                  <c:v>1046</c:v>
                </c:pt>
                <c:pt idx="1588">
                  <c:v>1042.2</c:v>
                </c:pt>
                <c:pt idx="1589">
                  <c:v>1045.23</c:v>
                </c:pt>
                <c:pt idx="1590">
                  <c:v>1046.92</c:v>
                </c:pt>
                <c:pt idx="1591">
                  <c:v>1046.92</c:v>
                </c:pt>
                <c:pt idx="1592">
                  <c:v>1046.92</c:v>
                </c:pt>
                <c:pt idx="1593">
                  <c:v>1046.92</c:v>
                </c:pt>
                <c:pt idx="1594">
                  <c:v>1046.92</c:v>
                </c:pt>
                <c:pt idx="1595">
                  <c:v>1050.1199999999999</c:v>
                </c:pt>
                <c:pt idx="1596">
                  <c:v>1047.3499999999999</c:v>
                </c:pt>
                <c:pt idx="1597">
                  <c:v>1046.55</c:v>
                </c:pt>
                <c:pt idx="1598">
                  <c:v>1047.48</c:v>
                </c:pt>
                <c:pt idx="1599">
                  <c:v>1048.8900000000001</c:v>
                </c:pt>
                <c:pt idx="1600">
                  <c:v>1048.8900000000001</c:v>
                </c:pt>
                <c:pt idx="1601">
                  <c:v>1048.8900000000001</c:v>
                </c:pt>
                <c:pt idx="1602">
                  <c:v>1050.73</c:v>
                </c:pt>
                <c:pt idx="1603">
                  <c:v>1054.4100000000001</c:v>
                </c:pt>
                <c:pt idx="1604">
                  <c:v>1054.03</c:v>
                </c:pt>
                <c:pt idx="1605">
                  <c:v>1052.9000000000001</c:v>
                </c:pt>
                <c:pt idx="1606">
                  <c:v>1053.5899999999999</c:v>
                </c:pt>
                <c:pt idx="1607">
                  <c:v>1053.5899999999999</c:v>
                </c:pt>
                <c:pt idx="1608">
                  <c:v>1053.5899999999999</c:v>
                </c:pt>
                <c:pt idx="1609">
                  <c:v>1054.43</c:v>
                </c:pt>
                <c:pt idx="1610">
                  <c:v>1055.31</c:v>
                </c:pt>
                <c:pt idx="1611">
                  <c:v>1054.53</c:v>
                </c:pt>
                <c:pt idx="1612">
                  <c:v>1054.29</c:v>
                </c:pt>
                <c:pt idx="1613">
                  <c:v>1054.8</c:v>
                </c:pt>
                <c:pt idx="1614">
                  <c:v>1054.8</c:v>
                </c:pt>
                <c:pt idx="1615">
                  <c:v>1054.8</c:v>
                </c:pt>
                <c:pt idx="1616">
                  <c:v>1058.9000000000001</c:v>
                </c:pt>
                <c:pt idx="1617">
                  <c:v>1061.55</c:v>
                </c:pt>
                <c:pt idx="1618">
                  <c:v>1061.55</c:v>
                </c:pt>
                <c:pt idx="1619">
                  <c:v>1062.56</c:v>
                </c:pt>
                <c:pt idx="1620">
                  <c:v>1062.4000000000001</c:v>
                </c:pt>
                <c:pt idx="1621">
                  <c:v>1062.4000000000001</c:v>
                </c:pt>
                <c:pt idx="1622">
                  <c:v>1062.4000000000001</c:v>
                </c:pt>
                <c:pt idx="1623">
                  <c:v>1063.4100000000001</c:v>
                </c:pt>
                <c:pt idx="1624">
                  <c:v>1063.53</c:v>
                </c:pt>
                <c:pt idx="1625">
                  <c:v>1061.6300000000001</c:v>
                </c:pt>
                <c:pt idx="1626">
                  <c:v>1061.0999999999999</c:v>
                </c:pt>
                <c:pt idx="1627">
                  <c:v>1062.08</c:v>
                </c:pt>
                <c:pt idx="1628">
                  <c:v>1062.08</c:v>
                </c:pt>
                <c:pt idx="1629">
                  <c:v>1062.08</c:v>
                </c:pt>
                <c:pt idx="1630">
                  <c:v>1065.78</c:v>
                </c:pt>
                <c:pt idx="1631">
                  <c:v>1066.24</c:v>
                </c:pt>
                <c:pt idx="1632">
                  <c:v>1066.6099999999999</c:v>
                </c:pt>
                <c:pt idx="1633">
                  <c:v>1065.8800000000001</c:v>
                </c:pt>
                <c:pt idx="1634">
                  <c:v>1066.47</c:v>
                </c:pt>
                <c:pt idx="1635">
                  <c:v>1066.47</c:v>
                </c:pt>
                <c:pt idx="1636">
                  <c:v>1066.47</c:v>
                </c:pt>
                <c:pt idx="1637">
                  <c:v>1066.47</c:v>
                </c:pt>
                <c:pt idx="1638">
                  <c:v>1068.18</c:v>
                </c:pt>
                <c:pt idx="1639">
                  <c:v>1068.9100000000001</c:v>
                </c:pt>
                <c:pt idx="1640">
                  <c:v>1069.47</c:v>
                </c:pt>
                <c:pt idx="1641">
                  <c:v>1068.94</c:v>
                </c:pt>
                <c:pt idx="1642">
                  <c:v>1068.94</c:v>
                </c:pt>
                <c:pt idx="1643">
                  <c:v>1068.94</c:v>
                </c:pt>
                <c:pt idx="1644">
                  <c:v>1069.8</c:v>
                </c:pt>
                <c:pt idx="1645">
                  <c:v>1071.19</c:v>
                </c:pt>
                <c:pt idx="1646">
                  <c:v>1072.24</c:v>
                </c:pt>
                <c:pt idx="1647">
                  <c:v>1073.06</c:v>
                </c:pt>
                <c:pt idx="1648">
                  <c:v>1072.5899999999999</c:v>
                </c:pt>
                <c:pt idx="1649">
                  <c:v>1072.5899999999999</c:v>
                </c:pt>
                <c:pt idx="1650">
                  <c:v>1072.5899999999999</c:v>
                </c:pt>
                <c:pt idx="1651">
                  <c:v>1074.7</c:v>
                </c:pt>
                <c:pt idx="1652">
                  <c:v>1074.72</c:v>
                </c:pt>
                <c:pt idx="1653">
                  <c:v>1074.27</c:v>
                </c:pt>
                <c:pt idx="1654">
                  <c:v>1072.95</c:v>
                </c:pt>
                <c:pt idx="1655">
                  <c:v>1073.06</c:v>
                </c:pt>
                <c:pt idx="1656">
                  <c:v>1073.06</c:v>
                </c:pt>
                <c:pt idx="1657">
                  <c:v>1073.06</c:v>
                </c:pt>
                <c:pt idx="1658">
                  <c:v>1073.06</c:v>
                </c:pt>
                <c:pt idx="1659">
                  <c:v>1073.6500000000001</c:v>
                </c:pt>
                <c:pt idx="1660">
                  <c:v>1070.8</c:v>
                </c:pt>
                <c:pt idx="1661">
                  <c:v>1072.3399999999999</c:v>
                </c:pt>
                <c:pt idx="1662">
                  <c:v>1071.3499999999999</c:v>
                </c:pt>
                <c:pt idx="1663">
                  <c:v>1071.3499999999999</c:v>
                </c:pt>
                <c:pt idx="1664">
                  <c:v>1071.3499999999999</c:v>
                </c:pt>
                <c:pt idx="1665">
                  <c:v>1071.3499999999999</c:v>
                </c:pt>
                <c:pt idx="1666">
                  <c:v>1072.74</c:v>
                </c:pt>
                <c:pt idx="1667">
                  <c:v>1070.94</c:v>
                </c:pt>
                <c:pt idx="1668">
                  <c:v>1070.8599999999999</c:v>
                </c:pt>
                <c:pt idx="1669">
                  <c:v>1068.2</c:v>
                </c:pt>
                <c:pt idx="1670">
                  <c:v>1068.2</c:v>
                </c:pt>
                <c:pt idx="1671">
                  <c:v>1068.2</c:v>
                </c:pt>
                <c:pt idx="1672">
                  <c:v>1070.25</c:v>
                </c:pt>
                <c:pt idx="1673">
                  <c:v>1069.81</c:v>
                </c:pt>
                <c:pt idx="1674">
                  <c:v>1072.3699999999999</c:v>
                </c:pt>
                <c:pt idx="1675">
                  <c:v>1069.73</c:v>
                </c:pt>
                <c:pt idx="1676">
                  <c:v>1069.1099999999999</c:v>
                </c:pt>
                <c:pt idx="1677">
                  <c:v>1069.1099999999999</c:v>
                </c:pt>
                <c:pt idx="1678">
                  <c:v>1069.1099999999999</c:v>
                </c:pt>
                <c:pt idx="1679">
                  <c:v>1069.1099999999999</c:v>
                </c:pt>
                <c:pt idx="1680">
                  <c:v>1070.55</c:v>
                </c:pt>
                <c:pt idx="1681">
                  <c:v>1068.1199999999999</c:v>
                </c:pt>
                <c:pt idx="1682">
                  <c:v>1068.3</c:v>
                </c:pt>
                <c:pt idx="1683">
                  <c:v>1067.3499999999999</c:v>
                </c:pt>
                <c:pt idx="1684">
                  <c:v>1067.3499999999999</c:v>
                </c:pt>
                <c:pt idx="1685">
                  <c:v>1067.3499999999999</c:v>
                </c:pt>
                <c:pt idx="1686">
                  <c:v>1068.17</c:v>
                </c:pt>
                <c:pt idx="1687">
                  <c:v>1067.97</c:v>
                </c:pt>
                <c:pt idx="1688">
                  <c:v>1065.6500000000001</c:v>
                </c:pt>
                <c:pt idx="1689">
                  <c:v>1061.79</c:v>
                </c:pt>
                <c:pt idx="1690">
                  <c:v>1061.99</c:v>
                </c:pt>
                <c:pt idx="1691">
                  <c:v>1061.99</c:v>
                </c:pt>
                <c:pt idx="1692">
                  <c:v>1061.99</c:v>
                </c:pt>
                <c:pt idx="1693">
                  <c:v>1065.58</c:v>
                </c:pt>
                <c:pt idx="1694">
                  <c:v>1064.82</c:v>
                </c:pt>
                <c:pt idx="1695">
                  <c:v>1062.8599999999999</c:v>
                </c:pt>
                <c:pt idx="1696">
                  <c:v>1058.92</c:v>
                </c:pt>
                <c:pt idx="1697">
                  <c:v>1061.02</c:v>
                </c:pt>
                <c:pt idx="1698">
                  <c:v>1061.02</c:v>
                </c:pt>
                <c:pt idx="1699">
                  <c:v>1061.02</c:v>
                </c:pt>
                <c:pt idx="1700">
                  <c:v>1063.53</c:v>
                </c:pt>
                <c:pt idx="1701">
                  <c:v>1064.56</c:v>
                </c:pt>
                <c:pt idx="1702">
                  <c:v>1061.46</c:v>
                </c:pt>
                <c:pt idx="1703">
                  <c:v>1061.03</c:v>
                </c:pt>
                <c:pt idx="1704">
                  <c:v>1061.48</c:v>
                </c:pt>
                <c:pt idx="1705">
                  <c:v>1061.48</c:v>
                </c:pt>
                <c:pt idx="1706">
                  <c:v>1061.48</c:v>
                </c:pt>
                <c:pt idx="1707">
                  <c:v>1059.18</c:v>
                </c:pt>
                <c:pt idx="1708">
                  <c:v>1056.74</c:v>
                </c:pt>
                <c:pt idx="1709">
                  <c:v>1057.47</c:v>
                </c:pt>
                <c:pt idx="1710">
                  <c:v>1054.8699999999999</c:v>
                </c:pt>
                <c:pt idx="1711">
                  <c:v>1054.0999999999999</c:v>
                </c:pt>
                <c:pt idx="1712">
                  <c:v>1054.0999999999999</c:v>
                </c:pt>
                <c:pt idx="1713">
                  <c:v>1054.0999999999999</c:v>
                </c:pt>
                <c:pt idx="1714">
                  <c:v>1051.6099999999999</c:v>
                </c:pt>
                <c:pt idx="1715">
                  <c:v>1049.3699999999999</c:v>
                </c:pt>
                <c:pt idx="1716">
                  <c:v>1049.3699999999999</c:v>
                </c:pt>
                <c:pt idx="1717">
                  <c:v>1044.9000000000001</c:v>
                </c:pt>
                <c:pt idx="1718">
                  <c:v>1040.68</c:v>
                </c:pt>
                <c:pt idx="1719">
                  <c:v>1040.68</c:v>
                </c:pt>
                <c:pt idx="1720">
                  <c:v>1040.68</c:v>
                </c:pt>
                <c:pt idx="1721">
                  <c:v>1035.79</c:v>
                </c:pt>
                <c:pt idx="1722">
                  <c:v>1029.46</c:v>
                </c:pt>
                <c:pt idx="1723">
                  <c:v>1041.76</c:v>
                </c:pt>
                <c:pt idx="1724">
                  <c:v>1051.82</c:v>
                </c:pt>
                <c:pt idx="1725">
                  <c:v>1047.9000000000001</c:v>
                </c:pt>
                <c:pt idx="1726">
                  <c:v>1047.9000000000001</c:v>
                </c:pt>
                <c:pt idx="1727">
                  <c:v>1047.9000000000001</c:v>
                </c:pt>
                <c:pt idx="1728">
                  <c:v>1047.9000000000001</c:v>
                </c:pt>
                <c:pt idx="1729">
                  <c:v>1044.54</c:v>
                </c:pt>
                <c:pt idx="1730">
                  <c:v>1037.43</c:v>
                </c:pt>
                <c:pt idx="1731">
                  <c:v>1040.1500000000001</c:v>
                </c:pt>
                <c:pt idx="1732">
                  <c:v>1037.0999999999999</c:v>
                </c:pt>
                <c:pt idx="1733">
                  <c:v>1037.0999999999999</c:v>
                </c:pt>
                <c:pt idx="1734">
                  <c:v>1037.0999999999999</c:v>
                </c:pt>
                <c:pt idx="1735">
                  <c:v>1041.6400000000001</c:v>
                </c:pt>
                <c:pt idx="1736">
                  <c:v>1044.54</c:v>
                </c:pt>
                <c:pt idx="1737">
                  <c:v>1046.7</c:v>
                </c:pt>
                <c:pt idx="1738">
                  <c:v>1045.02</c:v>
                </c:pt>
                <c:pt idx="1739">
                  <c:v>1042.32</c:v>
                </c:pt>
                <c:pt idx="1740">
                  <c:v>1042.32</c:v>
                </c:pt>
                <c:pt idx="1741">
                  <c:v>1042.32</c:v>
                </c:pt>
                <c:pt idx="1742">
                  <c:v>1044.3800000000001</c:v>
                </c:pt>
                <c:pt idx="1743">
                  <c:v>1045.27</c:v>
                </c:pt>
                <c:pt idx="1744">
                  <c:v>1044.0899999999999</c:v>
                </c:pt>
                <c:pt idx="1745">
                  <c:v>1043.93</c:v>
                </c:pt>
                <c:pt idx="1746">
                  <c:v>1045.8699999999999</c:v>
                </c:pt>
                <c:pt idx="1747">
                  <c:v>1045.8699999999999</c:v>
                </c:pt>
                <c:pt idx="1748">
                  <c:v>1045.8699999999999</c:v>
                </c:pt>
                <c:pt idx="1749">
                  <c:v>1047.95</c:v>
                </c:pt>
                <c:pt idx="1750">
                  <c:v>1051.6400000000001</c:v>
                </c:pt>
                <c:pt idx="1751">
                  <c:v>1047.26</c:v>
                </c:pt>
                <c:pt idx="1752">
                  <c:v>1047.6600000000001</c:v>
                </c:pt>
                <c:pt idx="1753">
                  <c:v>1043.8900000000001</c:v>
                </c:pt>
                <c:pt idx="1754">
                  <c:v>1043.8900000000001</c:v>
                </c:pt>
                <c:pt idx="1755">
                  <c:v>1043.8900000000001</c:v>
                </c:pt>
                <c:pt idx="1756">
                  <c:v>1042.8</c:v>
                </c:pt>
                <c:pt idx="1757">
                  <c:v>1038.9000000000001</c:v>
                </c:pt>
                <c:pt idx="1758">
                  <c:v>1035.94</c:v>
                </c:pt>
                <c:pt idx="1759">
                  <c:v>1037.0999999999999</c:v>
                </c:pt>
                <c:pt idx="1760">
                  <c:v>1037.1099999999999</c:v>
                </c:pt>
                <c:pt idx="1761">
                  <c:v>1037.1099999999999</c:v>
                </c:pt>
                <c:pt idx="1762">
                  <c:v>1037.1099999999999</c:v>
                </c:pt>
                <c:pt idx="1763">
                  <c:v>1038.0899999999999</c:v>
                </c:pt>
                <c:pt idx="1764">
                  <c:v>1040.3599999999999</c:v>
                </c:pt>
                <c:pt idx="1765">
                  <c:v>1030.25</c:v>
                </c:pt>
                <c:pt idx="1766">
                  <c:v>1027.68</c:v>
                </c:pt>
                <c:pt idx="1767">
                  <c:v>1025.06</c:v>
                </c:pt>
                <c:pt idx="1768">
                  <c:v>1025.06</c:v>
                </c:pt>
                <c:pt idx="1769">
                  <c:v>1025.06</c:v>
                </c:pt>
                <c:pt idx="1770">
                  <c:v>1027.08</c:v>
                </c:pt>
                <c:pt idx="1771">
                  <c:v>1030.54</c:v>
                </c:pt>
                <c:pt idx="1772">
                  <c:v>1019.17</c:v>
                </c:pt>
                <c:pt idx="1773">
                  <c:v>1015.24</c:v>
                </c:pt>
                <c:pt idx="1774">
                  <c:v>1014.99</c:v>
                </c:pt>
                <c:pt idx="1775">
                  <c:v>1014.99</c:v>
                </c:pt>
                <c:pt idx="1776">
                  <c:v>1014.99</c:v>
                </c:pt>
                <c:pt idx="1777">
                  <c:v>1012.56</c:v>
                </c:pt>
                <c:pt idx="1778">
                  <c:v>1010.32</c:v>
                </c:pt>
                <c:pt idx="1779">
                  <c:v>1012.27</c:v>
                </c:pt>
                <c:pt idx="1780">
                  <c:v>1013.12</c:v>
                </c:pt>
                <c:pt idx="1781">
                  <c:v>1015.07</c:v>
                </c:pt>
                <c:pt idx="1782">
                  <c:v>1015.07</c:v>
                </c:pt>
                <c:pt idx="1783">
                  <c:v>1015.07</c:v>
                </c:pt>
                <c:pt idx="1784">
                  <c:v>1015.07</c:v>
                </c:pt>
                <c:pt idx="1785">
                  <c:v>1019.22</c:v>
                </c:pt>
                <c:pt idx="1786">
                  <c:v>1018.5</c:v>
                </c:pt>
                <c:pt idx="1787">
                  <c:v>1015.24</c:v>
                </c:pt>
                <c:pt idx="1788">
                  <c:v>1016.87</c:v>
                </c:pt>
                <c:pt idx="1789">
                  <c:v>1016.87</c:v>
                </c:pt>
                <c:pt idx="1790">
                  <c:v>1016.87</c:v>
                </c:pt>
                <c:pt idx="1791">
                  <c:v>1018.33</c:v>
                </c:pt>
                <c:pt idx="1792">
                  <c:v>1018.04</c:v>
                </c:pt>
                <c:pt idx="1793">
                  <c:v>1017.52</c:v>
                </c:pt>
                <c:pt idx="1794">
                  <c:v>1015.49</c:v>
                </c:pt>
                <c:pt idx="1795">
                  <c:v>1011.69</c:v>
                </c:pt>
                <c:pt idx="1796">
                  <c:v>1011.69</c:v>
                </c:pt>
                <c:pt idx="1797">
                  <c:v>1011.69</c:v>
                </c:pt>
                <c:pt idx="1798">
                  <c:v>1012.43</c:v>
                </c:pt>
                <c:pt idx="1799">
                  <c:v>1007.57</c:v>
                </c:pt>
                <c:pt idx="1800">
                  <c:v>1005.83</c:v>
                </c:pt>
                <c:pt idx="1801">
                  <c:v>1000.14</c:v>
                </c:pt>
                <c:pt idx="1802">
                  <c:v>999.49</c:v>
                </c:pt>
                <c:pt idx="1803">
                  <c:v>999.49</c:v>
                </c:pt>
                <c:pt idx="1804">
                  <c:v>999.49</c:v>
                </c:pt>
                <c:pt idx="1805">
                  <c:v>999.49</c:v>
                </c:pt>
                <c:pt idx="1806">
                  <c:v>1006.36</c:v>
                </c:pt>
                <c:pt idx="1807">
                  <c:v>1003.75</c:v>
                </c:pt>
                <c:pt idx="1808">
                  <c:v>999.59</c:v>
                </c:pt>
                <c:pt idx="1809">
                  <c:v>1001.24</c:v>
                </c:pt>
                <c:pt idx="1810">
                  <c:v>1001.24</c:v>
                </c:pt>
                <c:pt idx="1811">
                  <c:v>1001.24</c:v>
                </c:pt>
                <c:pt idx="1812">
                  <c:v>1001.24</c:v>
                </c:pt>
                <c:pt idx="1813">
                  <c:v>1000.22</c:v>
                </c:pt>
                <c:pt idx="1814">
                  <c:v>997.38</c:v>
                </c:pt>
                <c:pt idx="1815">
                  <c:v>1001.68</c:v>
                </c:pt>
                <c:pt idx="1816">
                  <c:v>999.68</c:v>
                </c:pt>
                <c:pt idx="1817">
                  <c:v>999.68</c:v>
                </c:pt>
                <c:pt idx="1818">
                  <c:v>999.68</c:v>
                </c:pt>
                <c:pt idx="1819">
                  <c:v>995.96</c:v>
                </c:pt>
                <c:pt idx="1820">
                  <c:v>994.02</c:v>
                </c:pt>
                <c:pt idx="1821">
                  <c:v>995.2</c:v>
                </c:pt>
                <c:pt idx="1822">
                  <c:v>994.37</c:v>
                </c:pt>
                <c:pt idx="1823">
                  <c:v>995.34</c:v>
                </c:pt>
                <c:pt idx="1824">
                  <c:v>995.34</c:v>
                </c:pt>
                <c:pt idx="1825">
                  <c:v>995.34</c:v>
                </c:pt>
                <c:pt idx="1826">
                  <c:v>995.05</c:v>
                </c:pt>
                <c:pt idx="1827">
                  <c:v>995.05</c:v>
                </c:pt>
                <c:pt idx="1828">
                  <c:v>995.93</c:v>
                </c:pt>
                <c:pt idx="1829">
                  <c:v>994.94</c:v>
                </c:pt>
                <c:pt idx="1830">
                  <c:v>1002.28</c:v>
                </c:pt>
                <c:pt idx="1831">
                  <c:v>1002.28</c:v>
                </c:pt>
                <c:pt idx="1832">
                  <c:v>1002.28</c:v>
                </c:pt>
                <c:pt idx="1833">
                  <c:v>1000.09</c:v>
                </c:pt>
                <c:pt idx="1834">
                  <c:v>995.73</c:v>
                </c:pt>
                <c:pt idx="1835">
                  <c:v>997.4</c:v>
                </c:pt>
                <c:pt idx="1836">
                  <c:v>997.48</c:v>
                </c:pt>
                <c:pt idx="1837">
                  <c:v>1001.82</c:v>
                </c:pt>
                <c:pt idx="1838">
                  <c:v>1001.82</c:v>
                </c:pt>
                <c:pt idx="1839">
                  <c:v>1001.82</c:v>
                </c:pt>
                <c:pt idx="1840">
                  <c:v>997.99</c:v>
                </c:pt>
                <c:pt idx="1841">
                  <c:v>998.17</c:v>
                </c:pt>
                <c:pt idx="1842">
                  <c:v>998.31</c:v>
                </c:pt>
                <c:pt idx="1843">
                  <c:v>999.47</c:v>
                </c:pt>
                <c:pt idx="1844">
                  <c:v>1002.95</c:v>
                </c:pt>
                <c:pt idx="1845">
                  <c:v>1002.95</c:v>
                </c:pt>
                <c:pt idx="1846">
                  <c:v>1002.95</c:v>
                </c:pt>
                <c:pt idx="1847">
                  <c:v>1001.58</c:v>
                </c:pt>
                <c:pt idx="1848">
                  <c:v>1000.4</c:v>
                </c:pt>
                <c:pt idx="1849">
                  <c:v>1001.18</c:v>
                </c:pt>
                <c:pt idx="1850">
                  <c:v>1001.1</c:v>
                </c:pt>
                <c:pt idx="1851">
                  <c:v>1003.15</c:v>
                </c:pt>
                <c:pt idx="1852">
                  <c:v>1003.15</c:v>
                </c:pt>
                <c:pt idx="1853">
                  <c:v>1003.15</c:v>
                </c:pt>
                <c:pt idx="1854">
                  <c:v>1002.51</c:v>
                </c:pt>
                <c:pt idx="1855">
                  <c:v>1002.51</c:v>
                </c:pt>
                <c:pt idx="1856">
                  <c:v>1002.51</c:v>
                </c:pt>
                <c:pt idx="1857">
                  <c:v>1003.49</c:v>
                </c:pt>
                <c:pt idx="1858">
                  <c:v>1005.4</c:v>
                </c:pt>
                <c:pt idx="1859">
                  <c:v>1005.4</c:v>
                </c:pt>
                <c:pt idx="1860">
                  <c:v>1005.4</c:v>
                </c:pt>
                <c:pt idx="1861">
                  <c:v>1005.33</c:v>
                </c:pt>
                <c:pt idx="1862">
                  <c:v>1005.33</c:v>
                </c:pt>
                <c:pt idx="1863">
                  <c:v>1005.33</c:v>
                </c:pt>
                <c:pt idx="1864">
                  <c:v>1007.33</c:v>
                </c:pt>
                <c:pt idx="1865">
                  <c:v>1016.81</c:v>
                </c:pt>
                <c:pt idx="1866">
                  <c:v>1016.81</c:v>
                </c:pt>
                <c:pt idx="1867">
                  <c:v>1016.81</c:v>
                </c:pt>
                <c:pt idx="1868">
                  <c:v>1016.81</c:v>
                </c:pt>
                <c:pt idx="1869">
                  <c:v>1022</c:v>
                </c:pt>
                <c:pt idx="1870">
                  <c:v>1020.16</c:v>
                </c:pt>
                <c:pt idx="1871">
                  <c:v>1013.68</c:v>
                </c:pt>
                <c:pt idx="1872">
                  <c:v>1011.01</c:v>
                </c:pt>
                <c:pt idx="1873">
                  <c:v>1011.01</c:v>
                </c:pt>
                <c:pt idx="1874">
                  <c:v>1011.01</c:v>
                </c:pt>
                <c:pt idx="1875">
                  <c:v>1015.53</c:v>
                </c:pt>
                <c:pt idx="1876">
                  <c:v>1026.53</c:v>
                </c:pt>
                <c:pt idx="1877">
                  <c:v>1023.47</c:v>
                </c:pt>
                <c:pt idx="1878">
                  <c:v>1018.15</c:v>
                </c:pt>
                <c:pt idx="1879">
                  <c:v>1020.9</c:v>
                </c:pt>
                <c:pt idx="1880">
                  <c:v>1020.9</c:v>
                </c:pt>
                <c:pt idx="1881">
                  <c:v>1020.9</c:v>
                </c:pt>
                <c:pt idx="1882">
                  <c:v>1022.75</c:v>
                </c:pt>
                <c:pt idx="1883">
                  <c:v>1023.67</c:v>
                </c:pt>
                <c:pt idx="1884">
                  <c:v>1031.02</c:v>
                </c:pt>
                <c:pt idx="1885">
                  <c:v>1031.51</c:v>
                </c:pt>
                <c:pt idx="1886">
                  <c:v>1032.6199999999999</c:v>
                </c:pt>
                <c:pt idx="1887">
                  <c:v>1032.6199999999999</c:v>
                </c:pt>
                <c:pt idx="1888">
                  <c:v>1032.6199999999999</c:v>
                </c:pt>
                <c:pt idx="1889">
                  <c:v>1040.07</c:v>
                </c:pt>
                <c:pt idx="1890">
                  <c:v>1057</c:v>
                </c:pt>
                <c:pt idx="1891">
                  <c:v>1057.82</c:v>
                </c:pt>
                <c:pt idx="1892">
                  <c:v>1070.97</c:v>
                </c:pt>
                <c:pt idx="1893">
                  <c:v>1064</c:v>
                </c:pt>
                <c:pt idx="1894">
                  <c:v>1064</c:v>
                </c:pt>
                <c:pt idx="1895">
                  <c:v>1064</c:v>
                </c:pt>
                <c:pt idx="1896">
                  <c:v>1065.98</c:v>
                </c:pt>
                <c:pt idx="1897">
                  <c:v>1076.25</c:v>
                </c:pt>
                <c:pt idx="1898">
                  <c:v>1071.8800000000001</c:v>
                </c:pt>
                <c:pt idx="1899">
                  <c:v>1070.08</c:v>
                </c:pt>
                <c:pt idx="1900">
                  <c:v>1066.44</c:v>
                </c:pt>
                <c:pt idx="1901">
                  <c:v>1066.44</c:v>
                </c:pt>
                <c:pt idx="1902">
                  <c:v>1066.44</c:v>
                </c:pt>
                <c:pt idx="1903">
                  <c:v>1074.25</c:v>
                </c:pt>
                <c:pt idx="1904">
                  <c:v>1075.17</c:v>
                </c:pt>
                <c:pt idx="1905">
                  <c:v>1075.51</c:v>
                </c:pt>
                <c:pt idx="1906">
                  <c:v>1073.3599999999999</c:v>
                </c:pt>
                <c:pt idx="1907">
                  <c:v>1075</c:v>
                </c:pt>
                <c:pt idx="1908">
                  <c:v>1075</c:v>
                </c:pt>
                <c:pt idx="1909">
                  <c:v>1075</c:v>
                </c:pt>
                <c:pt idx="1910">
                  <c:v>1076.04</c:v>
                </c:pt>
                <c:pt idx="1911">
                  <c:v>1075.1099999999999</c:v>
                </c:pt>
                <c:pt idx="1912">
                  <c:v>1074.5</c:v>
                </c:pt>
                <c:pt idx="1913">
                  <c:v>1074.0999999999999</c:v>
                </c:pt>
                <c:pt idx="1914">
                  <c:v>1073.42</c:v>
                </c:pt>
                <c:pt idx="1915">
                  <c:v>1073.42</c:v>
                </c:pt>
                <c:pt idx="1916">
                  <c:v>1073.42</c:v>
                </c:pt>
                <c:pt idx="1917">
                  <c:v>1078.23</c:v>
                </c:pt>
                <c:pt idx="1918">
                  <c:v>1084.0899999999999</c:v>
                </c:pt>
                <c:pt idx="1919">
                  <c:v>1080.93</c:v>
                </c:pt>
                <c:pt idx="1920">
                  <c:v>1080.51</c:v>
                </c:pt>
                <c:pt idx="1921">
                  <c:v>1077.07</c:v>
                </c:pt>
                <c:pt idx="1922">
                  <c:v>1077.07</c:v>
                </c:pt>
                <c:pt idx="1923">
                  <c:v>1077.07</c:v>
                </c:pt>
                <c:pt idx="1924">
                  <c:v>1075.8599999999999</c:v>
                </c:pt>
                <c:pt idx="1925">
                  <c:v>1067.77</c:v>
                </c:pt>
                <c:pt idx="1926">
                  <c:v>1063.44</c:v>
                </c:pt>
                <c:pt idx="1927">
                  <c:v>1057.58</c:v>
                </c:pt>
                <c:pt idx="1928">
                  <c:v>1054.05</c:v>
                </c:pt>
                <c:pt idx="1929">
                  <c:v>1054.05</c:v>
                </c:pt>
                <c:pt idx="1930">
                  <c:v>1054.05</c:v>
                </c:pt>
                <c:pt idx="1931">
                  <c:v>1056.92</c:v>
                </c:pt>
                <c:pt idx="1932">
                  <c:v>1062.73</c:v>
                </c:pt>
                <c:pt idx="1933">
                  <c:v>1063.33</c:v>
                </c:pt>
                <c:pt idx="1934">
                  <c:v>1060.3499999999999</c:v>
                </c:pt>
                <c:pt idx="1935">
                  <c:v>1060.8599999999999</c:v>
                </c:pt>
                <c:pt idx="1936">
                  <c:v>1060.8599999999999</c:v>
                </c:pt>
                <c:pt idx="1937">
                  <c:v>1060.8599999999999</c:v>
                </c:pt>
                <c:pt idx="1938">
                  <c:v>1059.8699999999999</c:v>
                </c:pt>
                <c:pt idx="1939">
                  <c:v>1058.6099999999999</c:v>
                </c:pt>
                <c:pt idx="1940">
                  <c:v>1060.31</c:v>
                </c:pt>
                <c:pt idx="1941">
                  <c:v>1060.6600000000001</c:v>
                </c:pt>
                <c:pt idx="1942">
                  <c:v>1060.03</c:v>
                </c:pt>
                <c:pt idx="1943">
                  <c:v>1060.03</c:v>
                </c:pt>
                <c:pt idx="1944">
                  <c:v>1060.03</c:v>
                </c:pt>
                <c:pt idx="1945">
                  <c:v>1060.03</c:v>
                </c:pt>
                <c:pt idx="1946">
                  <c:v>1059.53</c:v>
                </c:pt>
                <c:pt idx="1947">
                  <c:v>1059.8800000000001</c:v>
                </c:pt>
                <c:pt idx="1948">
                  <c:v>1059.8800000000001</c:v>
                </c:pt>
                <c:pt idx="1949">
                  <c:v>1059.8800000000001</c:v>
                </c:pt>
                <c:pt idx="1950">
                  <c:v>1059.8800000000001</c:v>
                </c:pt>
                <c:pt idx="1951">
                  <c:v>1059.8800000000001</c:v>
                </c:pt>
                <c:pt idx="1952">
                  <c:v>1060.93</c:v>
                </c:pt>
                <c:pt idx="1953">
                  <c:v>1061.98</c:v>
                </c:pt>
                <c:pt idx="1954">
                  <c:v>1061.95</c:v>
                </c:pt>
                <c:pt idx="1955">
                  <c:v>1062.46</c:v>
                </c:pt>
                <c:pt idx="1956">
                  <c:v>1062.58</c:v>
                </c:pt>
                <c:pt idx="1957">
                  <c:v>1062.58</c:v>
                </c:pt>
                <c:pt idx="1958">
                  <c:v>1062.58</c:v>
                </c:pt>
                <c:pt idx="1959">
                  <c:v>1063.3</c:v>
                </c:pt>
                <c:pt idx="1960">
                  <c:v>1062.67</c:v>
                </c:pt>
                <c:pt idx="1961">
                  <c:v>1062.78</c:v>
                </c:pt>
                <c:pt idx="1962">
                  <c:v>1060.71</c:v>
                </c:pt>
                <c:pt idx="1963">
                  <c:v>1058.76</c:v>
                </c:pt>
                <c:pt idx="1964">
                  <c:v>1058.76</c:v>
                </c:pt>
                <c:pt idx="1965">
                  <c:v>1058.76</c:v>
                </c:pt>
                <c:pt idx="1966">
                  <c:v>1058.73</c:v>
                </c:pt>
                <c:pt idx="1967">
                  <c:v>1058.97</c:v>
                </c:pt>
                <c:pt idx="1968">
                  <c:v>1056.9100000000001</c:v>
                </c:pt>
                <c:pt idx="1969">
                  <c:v>1054.3499999999999</c:v>
                </c:pt>
                <c:pt idx="1970">
                  <c:v>1051.43</c:v>
                </c:pt>
                <c:pt idx="1971">
                  <c:v>1051.43</c:v>
                </c:pt>
                <c:pt idx="1972">
                  <c:v>1051.43</c:v>
                </c:pt>
                <c:pt idx="1973">
                  <c:v>1054.94</c:v>
                </c:pt>
                <c:pt idx="1974">
                  <c:v>1057.6400000000001</c:v>
                </c:pt>
                <c:pt idx="1975">
                  <c:v>1065.48</c:v>
                </c:pt>
                <c:pt idx="1976">
                  <c:v>1066.77</c:v>
                </c:pt>
                <c:pt idx="1977">
                  <c:v>1063.83</c:v>
                </c:pt>
                <c:pt idx="1978">
                  <c:v>1063.83</c:v>
                </c:pt>
                <c:pt idx="1979">
                  <c:v>1063.83</c:v>
                </c:pt>
                <c:pt idx="1980">
                  <c:v>1064</c:v>
                </c:pt>
                <c:pt idx="1981">
                  <c:v>1063.1099999999999</c:v>
                </c:pt>
                <c:pt idx="1982">
                  <c:v>1064.01</c:v>
                </c:pt>
                <c:pt idx="1983">
                  <c:v>1064.01</c:v>
                </c:pt>
                <c:pt idx="1984">
                  <c:v>1068.53</c:v>
                </c:pt>
                <c:pt idx="1985">
                  <c:v>1068.53</c:v>
                </c:pt>
                <c:pt idx="1986">
                  <c:v>1068.53</c:v>
                </c:pt>
                <c:pt idx="1987">
                  <c:v>1076.3900000000001</c:v>
                </c:pt>
                <c:pt idx="1988">
                  <c:v>1080.48</c:v>
                </c:pt>
                <c:pt idx="1989">
                  <c:v>1075.05</c:v>
                </c:pt>
                <c:pt idx="1990">
                  <c:v>1073.77</c:v>
                </c:pt>
                <c:pt idx="1991">
                  <c:v>1076.93</c:v>
                </c:pt>
                <c:pt idx="1992">
                  <c:v>1076.93</c:v>
                </c:pt>
                <c:pt idx="1993">
                  <c:v>1076.93</c:v>
                </c:pt>
                <c:pt idx="1994">
                  <c:v>1076.93</c:v>
                </c:pt>
                <c:pt idx="1995">
                  <c:v>1077.3599999999999</c:v>
                </c:pt>
                <c:pt idx="1996">
                  <c:v>1074.43</c:v>
                </c:pt>
                <c:pt idx="1997">
                  <c:v>1074.52</c:v>
                </c:pt>
                <c:pt idx="1998">
                  <c:v>1072.24</c:v>
                </c:pt>
                <c:pt idx="1999">
                  <c:v>1072.24</c:v>
                </c:pt>
                <c:pt idx="2000">
                  <c:v>1072.24</c:v>
                </c:pt>
                <c:pt idx="2001">
                  <c:v>1073.54</c:v>
                </c:pt>
                <c:pt idx="2002">
                  <c:v>1075.2</c:v>
                </c:pt>
                <c:pt idx="2003">
                  <c:v>1080.44</c:v>
                </c:pt>
                <c:pt idx="2004">
                  <c:v>1080.43</c:v>
                </c:pt>
                <c:pt idx="2005">
                  <c:v>1076.69</c:v>
                </c:pt>
                <c:pt idx="2006">
                  <c:v>1076.69</c:v>
                </c:pt>
                <c:pt idx="2007">
                  <c:v>1076.69</c:v>
                </c:pt>
                <c:pt idx="2008">
                  <c:v>1076.69</c:v>
                </c:pt>
                <c:pt idx="2009">
                  <c:v>1076.24</c:v>
                </c:pt>
                <c:pt idx="2010">
                  <c:v>1074.32</c:v>
                </c:pt>
                <c:pt idx="2011">
                  <c:v>1076.4000000000001</c:v>
                </c:pt>
                <c:pt idx="2012">
                  <c:v>1077.0899999999999</c:v>
                </c:pt>
                <c:pt idx="2013">
                  <c:v>1077.0899999999999</c:v>
                </c:pt>
                <c:pt idx="2014">
                  <c:v>1077.0899999999999</c:v>
                </c:pt>
                <c:pt idx="2015">
                  <c:v>1077.0899999999999</c:v>
                </c:pt>
                <c:pt idx="2016">
                  <c:v>1079.0999999999999</c:v>
                </c:pt>
                <c:pt idx="2017">
                  <c:v>1077.19</c:v>
                </c:pt>
                <c:pt idx="2018">
                  <c:v>1076.49</c:v>
                </c:pt>
                <c:pt idx="2019">
                  <c:v>1076.18</c:v>
                </c:pt>
                <c:pt idx="2020">
                  <c:v>1076.18</c:v>
                </c:pt>
                <c:pt idx="2021">
                  <c:v>1076.18</c:v>
                </c:pt>
                <c:pt idx="2022">
                  <c:v>1076.18</c:v>
                </c:pt>
                <c:pt idx="2023">
                  <c:v>1078.6400000000001</c:v>
                </c:pt>
                <c:pt idx="2024">
                  <c:v>1080.6099999999999</c:v>
                </c:pt>
                <c:pt idx="2025">
                  <c:v>1080.46</c:v>
                </c:pt>
                <c:pt idx="2026">
                  <c:v>1080.5899999999999</c:v>
                </c:pt>
                <c:pt idx="2027">
                  <c:v>1080.5899999999999</c:v>
                </c:pt>
                <c:pt idx="2028">
                  <c:v>1080.5899999999999</c:v>
                </c:pt>
                <c:pt idx="2029">
                  <c:v>1082.43</c:v>
                </c:pt>
                <c:pt idx="2030">
                  <c:v>1086</c:v>
                </c:pt>
                <c:pt idx="2031">
                  <c:v>1084.3800000000001</c:v>
                </c:pt>
                <c:pt idx="2032">
                  <c:v>1084.28</c:v>
                </c:pt>
                <c:pt idx="2033">
                  <c:v>1086.3599999999999</c:v>
                </c:pt>
                <c:pt idx="2034">
                  <c:v>1086.3599999999999</c:v>
                </c:pt>
                <c:pt idx="2035">
                  <c:v>1086.3599999999999</c:v>
                </c:pt>
                <c:pt idx="2036">
                  <c:v>1088.1600000000001</c:v>
                </c:pt>
                <c:pt idx="2037">
                  <c:v>1086.47</c:v>
                </c:pt>
                <c:pt idx="2038">
                  <c:v>1087.72</c:v>
                </c:pt>
                <c:pt idx="2039">
                  <c:v>1090.58</c:v>
                </c:pt>
                <c:pt idx="2040">
                  <c:v>1089.01</c:v>
                </c:pt>
                <c:pt idx="2041">
                  <c:v>1089.01</c:v>
                </c:pt>
                <c:pt idx="2042">
                  <c:v>1089.01</c:v>
                </c:pt>
                <c:pt idx="2043">
                  <c:v>1089.01</c:v>
                </c:pt>
                <c:pt idx="2044">
                  <c:v>1093.25</c:v>
                </c:pt>
                <c:pt idx="2045">
                  <c:v>1098.72</c:v>
                </c:pt>
                <c:pt idx="2046">
                  <c:v>1102.8399999999999</c:v>
                </c:pt>
                <c:pt idx="2047">
                  <c:v>1101.57</c:v>
                </c:pt>
                <c:pt idx="2048">
                  <c:v>1101.57</c:v>
                </c:pt>
                <c:pt idx="2049">
                  <c:v>1101.57</c:v>
                </c:pt>
                <c:pt idx="2050">
                  <c:v>1102.45</c:v>
                </c:pt>
                <c:pt idx="2051">
                  <c:v>1101.18</c:v>
                </c:pt>
                <c:pt idx="2052">
                  <c:v>1098.6400000000001</c:v>
                </c:pt>
                <c:pt idx="2053">
                  <c:v>1097.8800000000001</c:v>
                </c:pt>
                <c:pt idx="2054">
                  <c:v>1098.46</c:v>
                </c:pt>
                <c:pt idx="2055">
                  <c:v>1098.46</c:v>
                </c:pt>
                <c:pt idx="2056">
                  <c:v>1098.46</c:v>
                </c:pt>
                <c:pt idx="2057">
                  <c:v>1099.56</c:v>
                </c:pt>
                <c:pt idx="2058">
                  <c:v>1099.25</c:v>
                </c:pt>
                <c:pt idx="2059">
                  <c:v>1100.83</c:v>
                </c:pt>
                <c:pt idx="2060">
                  <c:v>1102.48</c:v>
                </c:pt>
                <c:pt idx="2061">
                  <c:v>1105.33</c:v>
                </c:pt>
                <c:pt idx="2062">
                  <c:v>1105.33</c:v>
                </c:pt>
                <c:pt idx="2063">
                  <c:v>1105.33</c:v>
                </c:pt>
                <c:pt idx="2064">
                  <c:v>1109.46</c:v>
                </c:pt>
                <c:pt idx="2065">
                  <c:v>1110.32</c:v>
                </c:pt>
                <c:pt idx="2066">
                  <c:v>1106.7</c:v>
                </c:pt>
                <c:pt idx="2067">
                  <c:v>1106.6400000000001</c:v>
                </c:pt>
                <c:pt idx="2068">
                  <c:v>1106.06</c:v>
                </c:pt>
                <c:pt idx="2069">
                  <c:v>1106.06</c:v>
                </c:pt>
                <c:pt idx="2070">
                  <c:v>1106.06</c:v>
                </c:pt>
                <c:pt idx="2071">
                  <c:v>1108.1600000000001</c:v>
                </c:pt>
                <c:pt idx="2072">
                  <c:v>1106.67</c:v>
                </c:pt>
                <c:pt idx="2073">
                  <c:v>1109.6500000000001</c:v>
                </c:pt>
                <c:pt idx="2074">
                  <c:v>1112.53</c:v>
                </c:pt>
                <c:pt idx="2075">
                  <c:v>1113.43</c:v>
                </c:pt>
                <c:pt idx="2076">
                  <c:v>1113.43</c:v>
                </c:pt>
                <c:pt idx="2077">
                  <c:v>1113.43</c:v>
                </c:pt>
                <c:pt idx="2078">
                  <c:v>1112.83</c:v>
                </c:pt>
                <c:pt idx="2079">
                  <c:v>1115.43</c:v>
                </c:pt>
                <c:pt idx="2080">
                  <c:v>1115.2</c:v>
                </c:pt>
                <c:pt idx="2081">
                  <c:v>1115.2</c:v>
                </c:pt>
                <c:pt idx="2082">
                  <c:v>1118.96</c:v>
                </c:pt>
                <c:pt idx="2083">
                  <c:v>1118.96</c:v>
                </c:pt>
                <c:pt idx="2084">
                  <c:v>1118.96</c:v>
                </c:pt>
                <c:pt idx="2085">
                  <c:v>1119.3800000000001</c:v>
                </c:pt>
                <c:pt idx="2086">
                  <c:v>1120.33</c:v>
                </c:pt>
                <c:pt idx="2087">
                  <c:v>1125.6199999999999</c:v>
                </c:pt>
                <c:pt idx="2088">
                  <c:v>1128.25</c:v>
                </c:pt>
                <c:pt idx="2089">
                  <c:v>1129.05</c:v>
                </c:pt>
                <c:pt idx="2090">
                  <c:v>1129.05</c:v>
                </c:pt>
                <c:pt idx="2091">
                  <c:v>1129.05</c:v>
                </c:pt>
                <c:pt idx="2092">
                  <c:v>1129.05</c:v>
                </c:pt>
                <c:pt idx="2093">
                  <c:v>1137.54</c:v>
                </c:pt>
                <c:pt idx="2094">
                  <c:v>1140.54</c:v>
                </c:pt>
                <c:pt idx="2095">
                  <c:v>1149.19</c:v>
                </c:pt>
                <c:pt idx="2096">
                  <c:v>1154.23</c:v>
                </c:pt>
                <c:pt idx="2097">
                  <c:v>1154.23</c:v>
                </c:pt>
                <c:pt idx="2098">
                  <c:v>1154.23</c:v>
                </c:pt>
                <c:pt idx="2099">
                  <c:v>1145.52</c:v>
                </c:pt>
                <c:pt idx="2100">
                  <c:v>1154.8900000000001</c:v>
                </c:pt>
                <c:pt idx="2101">
                  <c:v>1161.1500000000001</c:v>
                </c:pt>
                <c:pt idx="2102">
                  <c:v>1167.28</c:v>
                </c:pt>
                <c:pt idx="2103">
                  <c:v>1172.28</c:v>
                </c:pt>
                <c:pt idx="2104">
                  <c:v>1172.28</c:v>
                </c:pt>
                <c:pt idx="2105">
                  <c:v>1172.28</c:v>
                </c:pt>
                <c:pt idx="2106">
                  <c:v>1174.01</c:v>
                </c:pt>
                <c:pt idx="2107">
                  <c:v>1169.3800000000001</c:v>
                </c:pt>
                <c:pt idx="2108">
                  <c:v>1172.82</c:v>
                </c:pt>
                <c:pt idx="2109">
                  <c:v>1180.94</c:v>
                </c:pt>
                <c:pt idx="2110">
                  <c:v>1186.98</c:v>
                </c:pt>
                <c:pt idx="2111">
                  <c:v>1186.98</c:v>
                </c:pt>
                <c:pt idx="2112">
                  <c:v>1186.98</c:v>
                </c:pt>
                <c:pt idx="2113">
                  <c:v>1204.0899999999999</c:v>
                </c:pt>
                <c:pt idx="2114">
                  <c:v>1238.21</c:v>
                </c:pt>
                <c:pt idx="2115">
                  <c:v>1250.03</c:v>
                </c:pt>
                <c:pt idx="2116">
                  <c:v>1232.1199999999999</c:v>
                </c:pt>
                <c:pt idx="2117">
                  <c:v>1228.01</c:v>
                </c:pt>
                <c:pt idx="2118">
                  <c:v>1228.01</c:v>
                </c:pt>
                <c:pt idx="2119">
                  <c:v>1228.01</c:v>
                </c:pt>
                <c:pt idx="2120">
                  <c:v>1245.06</c:v>
                </c:pt>
                <c:pt idx="2121">
                  <c:v>1243.58</c:v>
                </c:pt>
                <c:pt idx="2122">
                  <c:v>1241.83</c:v>
                </c:pt>
                <c:pt idx="2123">
                  <c:v>1236.31</c:v>
                </c:pt>
                <c:pt idx="2124">
                  <c:v>1238.29</c:v>
                </c:pt>
                <c:pt idx="2125">
                  <c:v>1238.29</c:v>
                </c:pt>
                <c:pt idx="2126">
                  <c:v>1238.29</c:v>
                </c:pt>
                <c:pt idx="2127">
                  <c:v>1242.45</c:v>
                </c:pt>
                <c:pt idx="2128">
                  <c:v>1248.83</c:v>
                </c:pt>
                <c:pt idx="2129">
                  <c:v>1251.8800000000001</c:v>
                </c:pt>
                <c:pt idx="2130">
                  <c:v>1249.73</c:v>
                </c:pt>
                <c:pt idx="2131">
                  <c:v>1241.72</c:v>
                </c:pt>
                <c:pt idx="2132">
                  <c:v>1241.72</c:v>
                </c:pt>
                <c:pt idx="2133">
                  <c:v>1241.72</c:v>
                </c:pt>
                <c:pt idx="2134">
                  <c:v>1246.27</c:v>
                </c:pt>
                <c:pt idx="2135">
                  <c:v>1244.6300000000001</c:v>
                </c:pt>
                <c:pt idx="2136">
                  <c:v>1243.27</c:v>
                </c:pt>
                <c:pt idx="2137">
                  <c:v>1242.1600000000001</c:v>
                </c:pt>
                <c:pt idx="2138">
                  <c:v>1244.8399999999999</c:v>
                </c:pt>
                <c:pt idx="2139">
                  <c:v>1244.8399999999999</c:v>
                </c:pt>
                <c:pt idx="2140">
                  <c:v>1244.8399999999999</c:v>
                </c:pt>
                <c:pt idx="2141">
                  <c:v>1250.95</c:v>
                </c:pt>
                <c:pt idx="2142">
                  <c:v>1247.51</c:v>
                </c:pt>
                <c:pt idx="2143">
                  <c:v>1252.74</c:v>
                </c:pt>
                <c:pt idx="2144">
                  <c:v>1258.04</c:v>
                </c:pt>
                <c:pt idx="2145">
                  <c:v>1265.3800000000001</c:v>
                </c:pt>
                <c:pt idx="2146">
                  <c:v>1265.3800000000001</c:v>
                </c:pt>
                <c:pt idx="2147">
                  <c:v>1265.3800000000001</c:v>
                </c:pt>
                <c:pt idx="2148">
                  <c:v>1265.3800000000001</c:v>
                </c:pt>
                <c:pt idx="2149">
                  <c:v>1272.77</c:v>
                </c:pt>
                <c:pt idx="2150">
                  <c:v>1263.79</c:v>
                </c:pt>
                <c:pt idx="2151">
                  <c:v>1268.8699999999999</c:v>
                </c:pt>
                <c:pt idx="2152">
                  <c:v>1264.7</c:v>
                </c:pt>
                <c:pt idx="2153">
                  <c:v>1264.7</c:v>
                </c:pt>
                <c:pt idx="2154">
                  <c:v>1264.7</c:v>
                </c:pt>
                <c:pt idx="2155">
                  <c:v>1264.5999999999999</c:v>
                </c:pt>
                <c:pt idx="2156">
                  <c:v>1264.32</c:v>
                </c:pt>
                <c:pt idx="2157">
                  <c:v>1267.8699999999999</c:v>
                </c:pt>
                <c:pt idx="2158">
                  <c:v>1267.0999999999999</c:v>
                </c:pt>
                <c:pt idx="2159">
                  <c:v>1272.02</c:v>
                </c:pt>
                <c:pt idx="2160">
                  <c:v>1272.02</c:v>
                </c:pt>
                <c:pt idx="2161">
                  <c:v>1272.02</c:v>
                </c:pt>
                <c:pt idx="2162">
                  <c:v>1274.05</c:v>
                </c:pt>
                <c:pt idx="2163">
                  <c:v>1289.8399999999999</c:v>
                </c:pt>
                <c:pt idx="2164">
                  <c:v>1282.82</c:v>
                </c:pt>
                <c:pt idx="2165">
                  <c:v>1281.2</c:v>
                </c:pt>
                <c:pt idx="2166">
                  <c:v>1284.6500000000001</c:v>
                </c:pt>
                <c:pt idx="2167">
                  <c:v>1284.6500000000001</c:v>
                </c:pt>
                <c:pt idx="2168">
                  <c:v>1284.6500000000001</c:v>
                </c:pt>
                <c:pt idx="2169">
                  <c:v>1284.6500000000001</c:v>
                </c:pt>
                <c:pt idx="2170">
                  <c:v>1284.6300000000001</c:v>
                </c:pt>
                <c:pt idx="2171">
                  <c:v>1281.18</c:v>
                </c:pt>
                <c:pt idx="2172">
                  <c:v>1286.73</c:v>
                </c:pt>
                <c:pt idx="2173">
                  <c:v>1291.3499999999999</c:v>
                </c:pt>
                <c:pt idx="2174">
                  <c:v>1291.3499999999999</c:v>
                </c:pt>
                <c:pt idx="2175">
                  <c:v>1291.3499999999999</c:v>
                </c:pt>
                <c:pt idx="2176">
                  <c:v>1295.52</c:v>
                </c:pt>
                <c:pt idx="2177">
                  <c:v>1294.51</c:v>
                </c:pt>
                <c:pt idx="2178">
                  <c:v>1296.6600000000001</c:v>
                </c:pt>
                <c:pt idx="2179">
                  <c:v>1297.8699999999999</c:v>
                </c:pt>
                <c:pt idx="2180">
                  <c:v>1298.04</c:v>
                </c:pt>
                <c:pt idx="2181">
                  <c:v>1298.04</c:v>
                </c:pt>
                <c:pt idx="2182">
                  <c:v>1298.04</c:v>
                </c:pt>
                <c:pt idx="2183">
                  <c:v>1298.04</c:v>
                </c:pt>
                <c:pt idx="2184">
                  <c:v>1297.94</c:v>
                </c:pt>
                <c:pt idx="2185">
                  <c:v>1296.6199999999999</c:v>
                </c:pt>
                <c:pt idx="2186">
                  <c:v>1298.19</c:v>
                </c:pt>
                <c:pt idx="2187">
                  <c:v>1296.3</c:v>
                </c:pt>
                <c:pt idx="2188">
                  <c:v>1296.3</c:v>
                </c:pt>
                <c:pt idx="2189">
                  <c:v>1296.3</c:v>
                </c:pt>
                <c:pt idx="2190">
                  <c:v>1296.3699999999999</c:v>
                </c:pt>
                <c:pt idx="2191">
                  <c:v>1299.19</c:v>
                </c:pt>
                <c:pt idx="2192">
                  <c:v>1303.1500000000001</c:v>
                </c:pt>
                <c:pt idx="2193">
                  <c:v>1303.0999999999999</c:v>
                </c:pt>
                <c:pt idx="2194">
                  <c:v>1305.6600000000001</c:v>
                </c:pt>
                <c:pt idx="2195">
                  <c:v>1305.6600000000001</c:v>
                </c:pt>
                <c:pt idx="2196">
                  <c:v>1305.6600000000001</c:v>
                </c:pt>
                <c:pt idx="2197">
                  <c:v>1307.54</c:v>
                </c:pt>
                <c:pt idx="2198">
                  <c:v>1307.01</c:v>
                </c:pt>
                <c:pt idx="2199">
                  <c:v>1299.43</c:v>
                </c:pt>
                <c:pt idx="2200">
                  <c:v>1298.6400000000001</c:v>
                </c:pt>
                <c:pt idx="2201">
                  <c:v>1300.55</c:v>
                </c:pt>
                <c:pt idx="2202">
                  <c:v>1300.55</c:v>
                </c:pt>
                <c:pt idx="2203">
                  <c:v>1300.55</c:v>
                </c:pt>
                <c:pt idx="2204">
                  <c:v>1300.55</c:v>
                </c:pt>
                <c:pt idx="2205">
                  <c:v>1298.78</c:v>
                </c:pt>
                <c:pt idx="2206">
                  <c:v>1301.1500000000001</c:v>
                </c:pt>
                <c:pt idx="2207">
                  <c:v>1304.8499999999999</c:v>
                </c:pt>
                <c:pt idx="2208">
                  <c:v>1307.42</c:v>
                </c:pt>
                <c:pt idx="2209">
                  <c:v>1307.42</c:v>
                </c:pt>
                <c:pt idx="2210">
                  <c:v>1307.42</c:v>
                </c:pt>
                <c:pt idx="2211">
                  <c:v>1304.02</c:v>
                </c:pt>
                <c:pt idx="2212">
                  <c:v>1296.3</c:v>
                </c:pt>
                <c:pt idx="2213">
                  <c:v>1286.74</c:v>
                </c:pt>
                <c:pt idx="2214">
                  <c:v>1286.1199999999999</c:v>
                </c:pt>
                <c:pt idx="2215">
                  <c:v>1287.51</c:v>
                </c:pt>
                <c:pt idx="2216">
                  <c:v>1287.51</c:v>
                </c:pt>
                <c:pt idx="2217">
                  <c:v>1287.51</c:v>
                </c:pt>
                <c:pt idx="2218">
                  <c:v>1288.32</c:v>
                </c:pt>
                <c:pt idx="2219">
                  <c:v>1281.5999999999999</c:v>
                </c:pt>
                <c:pt idx="2220">
                  <c:v>1281.5999999999999</c:v>
                </c:pt>
                <c:pt idx="2221">
                  <c:v>1281.5999999999999</c:v>
                </c:pt>
                <c:pt idx="2222">
                  <c:v>1286.92</c:v>
                </c:pt>
                <c:pt idx="2223">
                  <c:v>1286.92</c:v>
                </c:pt>
                <c:pt idx="2224">
                  <c:v>1286.92</c:v>
                </c:pt>
                <c:pt idx="2225">
                  <c:v>1291.92</c:v>
                </c:pt>
                <c:pt idx="2226">
                  <c:v>1293.58</c:v>
                </c:pt>
                <c:pt idx="2227">
                  <c:v>1293.58</c:v>
                </c:pt>
                <c:pt idx="2228">
                  <c:v>1293.58</c:v>
                </c:pt>
                <c:pt idx="2229">
                  <c:v>1304.33</c:v>
                </c:pt>
                <c:pt idx="2230">
                  <c:v>1304.33</c:v>
                </c:pt>
                <c:pt idx="2231">
                  <c:v>1304.33</c:v>
                </c:pt>
                <c:pt idx="2232">
                  <c:v>1317.15</c:v>
                </c:pt>
                <c:pt idx="2233">
                  <c:v>1318.57</c:v>
                </c:pt>
                <c:pt idx="2234">
                  <c:v>1315.95</c:v>
                </c:pt>
                <c:pt idx="2235">
                  <c:v>1313.56</c:v>
                </c:pt>
                <c:pt idx="2236">
                  <c:v>1315.7</c:v>
                </c:pt>
                <c:pt idx="2237">
                  <c:v>1315.7</c:v>
                </c:pt>
                <c:pt idx="2238">
                  <c:v>1315.7</c:v>
                </c:pt>
                <c:pt idx="2239">
                  <c:v>1315.7</c:v>
                </c:pt>
                <c:pt idx="2240">
                  <c:v>1318.25</c:v>
                </c:pt>
                <c:pt idx="2241">
                  <c:v>1318.53</c:v>
                </c:pt>
                <c:pt idx="2242">
                  <c:v>1319.21</c:v>
                </c:pt>
                <c:pt idx="2243">
                  <c:v>1322.16</c:v>
                </c:pt>
                <c:pt idx="2244">
                  <c:v>1322.16</c:v>
                </c:pt>
                <c:pt idx="2245">
                  <c:v>1322.16</c:v>
                </c:pt>
                <c:pt idx="2246">
                  <c:v>1325.07</c:v>
                </c:pt>
                <c:pt idx="2247">
                  <c:v>1327</c:v>
                </c:pt>
                <c:pt idx="2248">
                  <c:v>1331.48</c:v>
                </c:pt>
                <c:pt idx="2249">
                  <c:v>1334.71</c:v>
                </c:pt>
                <c:pt idx="2250">
                  <c:v>1332.78</c:v>
                </c:pt>
                <c:pt idx="2251">
                  <c:v>1332.78</c:v>
                </c:pt>
                <c:pt idx="2252">
                  <c:v>1332.78</c:v>
                </c:pt>
                <c:pt idx="2253">
                  <c:v>1336.38</c:v>
                </c:pt>
                <c:pt idx="2254">
                  <c:v>1337.3</c:v>
                </c:pt>
                <c:pt idx="2255">
                  <c:v>1339.57</c:v>
                </c:pt>
                <c:pt idx="2256">
                  <c:v>1341.85</c:v>
                </c:pt>
                <c:pt idx="2257">
                  <c:v>1342</c:v>
                </c:pt>
                <c:pt idx="2258">
                  <c:v>1342</c:v>
                </c:pt>
                <c:pt idx="2259">
                  <c:v>1342</c:v>
                </c:pt>
                <c:pt idx="2260">
                  <c:v>1343.9</c:v>
                </c:pt>
                <c:pt idx="2261">
                  <c:v>1345.01</c:v>
                </c:pt>
                <c:pt idx="2262">
                  <c:v>1345.46</c:v>
                </c:pt>
                <c:pt idx="2263">
                  <c:v>1346.09</c:v>
                </c:pt>
                <c:pt idx="2264">
                  <c:v>1346.42</c:v>
                </c:pt>
                <c:pt idx="2265">
                  <c:v>1346.42</c:v>
                </c:pt>
                <c:pt idx="2266">
                  <c:v>1346.42</c:v>
                </c:pt>
                <c:pt idx="2267">
                  <c:v>1347.72</c:v>
                </c:pt>
                <c:pt idx="2268">
                  <c:v>1348.23</c:v>
                </c:pt>
                <c:pt idx="2269">
                  <c:v>1348.86</c:v>
                </c:pt>
                <c:pt idx="2270">
                  <c:v>1349.34</c:v>
                </c:pt>
                <c:pt idx="2271">
                  <c:v>1349.54</c:v>
                </c:pt>
                <c:pt idx="2272">
                  <c:v>1349.54</c:v>
                </c:pt>
                <c:pt idx="2273">
                  <c:v>1349.54</c:v>
                </c:pt>
                <c:pt idx="2274">
                  <c:v>1350.97</c:v>
                </c:pt>
                <c:pt idx="2275">
                  <c:v>1350.23</c:v>
                </c:pt>
                <c:pt idx="2276">
                  <c:v>1349.95</c:v>
                </c:pt>
                <c:pt idx="2277">
                  <c:v>1350.1</c:v>
                </c:pt>
                <c:pt idx="2278">
                  <c:v>1347.94</c:v>
                </c:pt>
                <c:pt idx="2279">
                  <c:v>1347.94</c:v>
                </c:pt>
                <c:pt idx="2280">
                  <c:v>1347.94</c:v>
                </c:pt>
                <c:pt idx="2281">
                  <c:v>1340.92</c:v>
                </c:pt>
                <c:pt idx="2282">
                  <c:v>1334.72</c:v>
                </c:pt>
                <c:pt idx="2283">
                  <c:v>1340.75</c:v>
                </c:pt>
                <c:pt idx="2284">
                  <c:v>1344.25</c:v>
                </c:pt>
                <c:pt idx="2285">
                  <c:v>1343.85</c:v>
                </c:pt>
                <c:pt idx="2286">
                  <c:v>1343.85</c:v>
                </c:pt>
                <c:pt idx="2287">
                  <c:v>1343.85</c:v>
                </c:pt>
                <c:pt idx="2288">
                  <c:v>1349.04</c:v>
                </c:pt>
                <c:pt idx="2289">
                  <c:v>1352.21</c:v>
                </c:pt>
                <c:pt idx="2290">
                  <c:v>1349.8</c:v>
                </c:pt>
                <c:pt idx="2291">
                  <c:v>1353.19</c:v>
                </c:pt>
                <c:pt idx="2292">
                  <c:v>1353.71</c:v>
                </c:pt>
                <c:pt idx="2293">
                  <c:v>1353.71</c:v>
                </c:pt>
                <c:pt idx="2294">
                  <c:v>1353.71</c:v>
                </c:pt>
                <c:pt idx="2295">
                  <c:v>1354.9</c:v>
                </c:pt>
                <c:pt idx="2296">
                  <c:v>1355.88</c:v>
                </c:pt>
                <c:pt idx="2297">
                  <c:v>1356.63</c:v>
                </c:pt>
                <c:pt idx="2298">
                  <c:v>1356.7</c:v>
                </c:pt>
                <c:pt idx="2299">
                  <c:v>1355.9</c:v>
                </c:pt>
                <c:pt idx="2300">
                  <c:v>1355.9</c:v>
                </c:pt>
                <c:pt idx="2301">
                  <c:v>1355.9</c:v>
                </c:pt>
                <c:pt idx="2302">
                  <c:v>1358.66</c:v>
                </c:pt>
                <c:pt idx="2303">
                  <c:v>1359.96</c:v>
                </c:pt>
                <c:pt idx="2304">
                  <c:v>1360.56</c:v>
                </c:pt>
                <c:pt idx="2305">
                  <c:v>1361.87</c:v>
                </c:pt>
                <c:pt idx="2306">
                  <c:v>1361.86</c:v>
                </c:pt>
                <c:pt idx="2307">
                  <c:v>1361.86</c:v>
                </c:pt>
                <c:pt idx="2308">
                  <c:v>1361.86</c:v>
                </c:pt>
                <c:pt idx="2309">
                  <c:v>1361.86</c:v>
                </c:pt>
                <c:pt idx="2310">
                  <c:v>1364.4</c:v>
                </c:pt>
                <c:pt idx="2311">
                  <c:v>1364.76</c:v>
                </c:pt>
                <c:pt idx="2312">
                  <c:v>1365.66</c:v>
                </c:pt>
                <c:pt idx="2313">
                  <c:v>1361.49</c:v>
                </c:pt>
                <c:pt idx="2314">
                  <c:v>1361.49</c:v>
                </c:pt>
                <c:pt idx="2315">
                  <c:v>1361.49</c:v>
                </c:pt>
                <c:pt idx="2316">
                  <c:v>1358.03</c:v>
                </c:pt>
                <c:pt idx="2317">
                  <c:v>1360.26</c:v>
                </c:pt>
                <c:pt idx="2318">
                  <c:v>1362.54</c:v>
                </c:pt>
                <c:pt idx="2319">
                  <c:v>1357.75</c:v>
                </c:pt>
                <c:pt idx="2320">
                  <c:v>1357.71</c:v>
                </c:pt>
                <c:pt idx="2321">
                  <c:v>1357.71</c:v>
                </c:pt>
                <c:pt idx="2322">
                  <c:v>1357.71</c:v>
                </c:pt>
                <c:pt idx="2323">
                  <c:v>1355.5</c:v>
                </c:pt>
                <c:pt idx="2324">
                  <c:v>1354.15</c:v>
                </c:pt>
                <c:pt idx="2325">
                  <c:v>1357.14</c:v>
                </c:pt>
                <c:pt idx="2326">
                  <c:v>1357.14</c:v>
                </c:pt>
                <c:pt idx="2327">
                  <c:v>1357.14</c:v>
                </c:pt>
                <c:pt idx="2328">
                  <c:v>1357.14</c:v>
                </c:pt>
                <c:pt idx="2329">
                  <c:v>1357.14</c:v>
                </c:pt>
                <c:pt idx="2330">
                  <c:v>1363.38</c:v>
                </c:pt>
                <c:pt idx="2331">
                  <c:v>1365.21</c:v>
                </c:pt>
                <c:pt idx="2332">
                  <c:v>1364.06</c:v>
                </c:pt>
                <c:pt idx="2333">
                  <c:v>1360.74</c:v>
                </c:pt>
                <c:pt idx="2334">
                  <c:v>1360.49</c:v>
                </c:pt>
                <c:pt idx="2335">
                  <c:v>1360.49</c:v>
                </c:pt>
                <c:pt idx="2336">
                  <c:v>1360.49</c:v>
                </c:pt>
                <c:pt idx="2337">
                  <c:v>1360.42</c:v>
                </c:pt>
                <c:pt idx="2338">
                  <c:v>1357.51</c:v>
                </c:pt>
                <c:pt idx="2339">
                  <c:v>1355.94</c:v>
                </c:pt>
                <c:pt idx="2340">
                  <c:v>1354.91</c:v>
                </c:pt>
                <c:pt idx="2341">
                  <c:v>1359.99</c:v>
                </c:pt>
                <c:pt idx="2342">
                  <c:v>1359.99</c:v>
                </c:pt>
                <c:pt idx="2343">
                  <c:v>1359.99</c:v>
                </c:pt>
                <c:pt idx="2344">
                  <c:v>1368.17</c:v>
                </c:pt>
                <c:pt idx="2345">
                  <c:v>1371.35</c:v>
                </c:pt>
                <c:pt idx="2346">
                  <c:v>1365.72</c:v>
                </c:pt>
                <c:pt idx="2347">
                  <c:v>1364.07</c:v>
                </c:pt>
                <c:pt idx="2348">
                  <c:v>1364.07</c:v>
                </c:pt>
                <c:pt idx="2349">
                  <c:v>1364.07</c:v>
                </c:pt>
                <c:pt idx="2350">
                  <c:v>1364.07</c:v>
                </c:pt>
                <c:pt idx="2351">
                  <c:v>1369.31</c:v>
                </c:pt>
                <c:pt idx="2352">
                  <c:v>1375.39</c:v>
                </c:pt>
                <c:pt idx="2353">
                  <c:v>1382.27</c:v>
                </c:pt>
                <c:pt idx="2354">
                  <c:v>1383.04</c:v>
                </c:pt>
                <c:pt idx="2355">
                  <c:v>1385.38</c:v>
                </c:pt>
                <c:pt idx="2356">
                  <c:v>1385.38</c:v>
                </c:pt>
                <c:pt idx="2357">
                  <c:v>1385.38</c:v>
                </c:pt>
                <c:pt idx="2358">
                  <c:v>1387.78</c:v>
                </c:pt>
                <c:pt idx="2359">
                  <c:v>1388.04</c:v>
                </c:pt>
                <c:pt idx="2360">
                  <c:v>1387.15</c:v>
                </c:pt>
                <c:pt idx="2361">
                  <c:v>1384.97</c:v>
                </c:pt>
                <c:pt idx="2362">
                  <c:v>1383.31</c:v>
                </c:pt>
                <c:pt idx="2363">
                  <c:v>1383.31</c:v>
                </c:pt>
                <c:pt idx="2364">
                  <c:v>1383.31</c:v>
                </c:pt>
                <c:pt idx="2365">
                  <c:v>1387.26</c:v>
                </c:pt>
                <c:pt idx="2366">
                  <c:v>1390.89</c:v>
                </c:pt>
                <c:pt idx="2367">
                  <c:v>1392.18</c:v>
                </c:pt>
                <c:pt idx="2368">
                  <c:v>1393.62</c:v>
                </c:pt>
                <c:pt idx="2369">
                  <c:v>1394.33</c:v>
                </c:pt>
                <c:pt idx="2370">
                  <c:v>1394.33</c:v>
                </c:pt>
                <c:pt idx="2371">
                  <c:v>1394.33</c:v>
                </c:pt>
                <c:pt idx="2372">
                  <c:v>1394.33</c:v>
                </c:pt>
                <c:pt idx="2373">
                  <c:v>1396.51</c:v>
                </c:pt>
                <c:pt idx="2374">
                  <c:v>1397.12</c:v>
                </c:pt>
                <c:pt idx="2375">
                  <c:v>1396.69</c:v>
                </c:pt>
                <c:pt idx="2376">
                  <c:v>1397.07</c:v>
                </c:pt>
                <c:pt idx="2377">
                  <c:v>1397.07</c:v>
                </c:pt>
                <c:pt idx="2378">
                  <c:v>1397.07</c:v>
                </c:pt>
                <c:pt idx="2379">
                  <c:v>1398.53</c:v>
                </c:pt>
                <c:pt idx="2380">
                  <c:v>1399.56</c:v>
                </c:pt>
                <c:pt idx="2381">
                  <c:v>1399.02</c:v>
                </c:pt>
                <c:pt idx="2382">
                  <c:v>1397.63</c:v>
                </c:pt>
                <c:pt idx="2383">
                  <c:v>1387.12</c:v>
                </c:pt>
                <c:pt idx="2384">
                  <c:v>1387.12</c:v>
                </c:pt>
                <c:pt idx="2385">
                  <c:v>1387.12</c:v>
                </c:pt>
                <c:pt idx="2386">
                  <c:v>1386.53</c:v>
                </c:pt>
                <c:pt idx="2387">
                  <c:v>1376.25</c:v>
                </c:pt>
                <c:pt idx="2388">
                  <c:v>1383.23</c:v>
                </c:pt>
                <c:pt idx="2389">
                  <c:v>1388.76</c:v>
                </c:pt>
                <c:pt idx="2390">
                  <c:v>1380.51</c:v>
                </c:pt>
                <c:pt idx="2391">
                  <c:v>1380.51</c:v>
                </c:pt>
                <c:pt idx="2392">
                  <c:v>1380.51</c:v>
                </c:pt>
                <c:pt idx="2393">
                  <c:v>1380.51</c:v>
                </c:pt>
                <c:pt idx="2394">
                  <c:v>1388.5</c:v>
                </c:pt>
                <c:pt idx="2395">
                  <c:v>1394.39</c:v>
                </c:pt>
                <c:pt idx="2396">
                  <c:v>1390.85</c:v>
                </c:pt>
                <c:pt idx="2397">
                  <c:v>1394.8</c:v>
                </c:pt>
                <c:pt idx="2398">
                  <c:v>1394.8</c:v>
                </c:pt>
                <c:pt idx="2399">
                  <c:v>1394.8</c:v>
                </c:pt>
                <c:pt idx="2400">
                  <c:v>1394.8</c:v>
                </c:pt>
                <c:pt idx="2401">
                  <c:v>1381.11</c:v>
                </c:pt>
                <c:pt idx="2402">
                  <c:v>1375.02</c:v>
                </c:pt>
                <c:pt idx="2403">
                  <c:v>1363.67</c:v>
                </c:pt>
                <c:pt idx="2404">
                  <c:v>1363.04</c:v>
                </c:pt>
                <c:pt idx="2405">
                  <c:v>1363.04</c:v>
                </c:pt>
                <c:pt idx="2406">
                  <c:v>1363.04</c:v>
                </c:pt>
                <c:pt idx="2407">
                  <c:v>1363.04</c:v>
                </c:pt>
                <c:pt idx="2408">
                  <c:v>1369.88</c:v>
                </c:pt>
                <c:pt idx="2409">
                  <c:v>1358.05</c:v>
                </c:pt>
                <c:pt idx="2410">
                  <c:v>1345.65</c:v>
                </c:pt>
                <c:pt idx="2411">
                  <c:v>1348.06</c:v>
                </c:pt>
                <c:pt idx="2412">
                  <c:v>1348.06</c:v>
                </c:pt>
                <c:pt idx="2413">
                  <c:v>1348.06</c:v>
                </c:pt>
                <c:pt idx="2414">
                  <c:v>1357.78</c:v>
                </c:pt>
                <c:pt idx="2415">
                  <c:v>1368.16</c:v>
                </c:pt>
                <c:pt idx="2416">
                  <c:v>1369.12</c:v>
                </c:pt>
                <c:pt idx="2417">
                  <c:v>1370.45</c:v>
                </c:pt>
                <c:pt idx="2418">
                  <c:v>1374.23</c:v>
                </c:pt>
                <c:pt idx="2419">
                  <c:v>1374.23</c:v>
                </c:pt>
                <c:pt idx="2420">
                  <c:v>1374.23</c:v>
                </c:pt>
                <c:pt idx="2421">
                  <c:v>1380.27</c:v>
                </c:pt>
                <c:pt idx="2422">
                  <c:v>1381.22</c:v>
                </c:pt>
                <c:pt idx="2423">
                  <c:v>1378.01</c:v>
                </c:pt>
                <c:pt idx="2424">
                  <c:v>1376.74</c:v>
                </c:pt>
                <c:pt idx="2425">
                  <c:v>1381.54</c:v>
                </c:pt>
                <c:pt idx="2426">
                  <c:v>1381.54</c:v>
                </c:pt>
                <c:pt idx="2427">
                  <c:v>1381.54</c:v>
                </c:pt>
                <c:pt idx="2428">
                  <c:v>1381.54</c:v>
                </c:pt>
                <c:pt idx="2429">
                  <c:v>1380.87</c:v>
                </c:pt>
                <c:pt idx="2430">
                  <c:v>1376.87</c:v>
                </c:pt>
                <c:pt idx="2431">
                  <c:v>1378.88</c:v>
                </c:pt>
                <c:pt idx="2432">
                  <c:v>1379.61</c:v>
                </c:pt>
                <c:pt idx="2433">
                  <c:v>1379.61</c:v>
                </c:pt>
                <c:pt idx="2434">
                  <c:v>1379.61</c:v>
                </c:pt>
                <c:pt idx="2435">
                  <c:v>1378.33</c:v>
                </c:pt>
                <c:pt idx="2436">
                  <c:v>1376.12</c:v>
                </c:pt>
                <c:pt idx="2437">
                  <c:v>1373.49</c:v>
                </c:pt>
                <c:pt idx="2438">
                  <c:v>1370.65</c:v>
                </c:pt>
                <c:pt idx="2439">
                  <c:v>1372.14</c:v>
                </c:pt>
                <c:pt idx="2440">
                  <c:v>1372.14</c:v>
                </c:pt>
                <c:pt idx="2441">
                  <c:v>1372.14</c:v>
                </c:pt>
                <c:pt idx="2442">
                  <c:v>1371.16</c:v>
                </c:pt>
                <c:pt idx="2443">
                  <c:v>1368.24</c:v>
                </c:pt>
                <c:pt idx="2444">
                  <c:v>1366.44</c:v>
                </c:pt>
                <c:pt idx="2445">
                  <c:v>1364.9</c:v>
                </c:pt>
                <c:pt idx="2446">
                  <c:v>1364.9</c:v>
                </c:pt>
                <c:pt idx="2447">
                  <c:v>1364.9</c:v>
                </c:pt>
                <c:pt idx="2448">
                  <c:v>1364.9</c:v>
                </c:pt>
                <c:pt idx="2449">
                  <c:v>1359.22</c:v>
                </c:pt>
                <c:pt idx="2450">
                  <c:v>1365.58</c:v>
                </c:pt>
                <c:pt idx="2451">
                  <c:v>1371.23</c:v>
                </c:pt>
                <c:pt idx="2452">
                  <c:v>1377.08</c:v>
                </c:pt>
                <c:pt idx="2453">
                  <c:v>1386.02</c:v>
                </c:pt>
                <c:pt idx="2454">
                  <c:v>1386.02</c:v>
                </c:pt>
                <c:pt idx="2455">
                  <c:v>1386.02</c:v>
                </c:pt>
                <c:pt idx="2456">
                  <c:v>1386.02</c:v>
                </c:pt>
                <c:pt idx="2457">
                  <c:v>1385.77</c:v>
                </c:pt>
                <c:pt idx="2458">
                  <c:v>1384.24</c:v>
                </c:pt>
                <c:pt idx="2459">
                  <c:v>1391.55</c:v>
                </c:pt>
                <c:pt idx="2460">
                  <c:v>1407.27</c:v>
                </c:pt>
                <c:pt idx="2461">
                  <c:v>1407.27</c:v>
                </c:pt>
                <c:pt idx="2462">
                  <c:v>1407.27</c:v>
                </c:pt>
                <c:pt idx="2463">
                  <c:v>1418.22</c:v>
                </c:pt>
                <c:pt idx="2464">
                  <c:v>1420.27</c:v>
                </c:pt>
                <c:pt idx="2465">
                  <c:v>1430.33</c:v>
                </c:pt>
                <c:pt idx="2466">
                  <c:v>1438.16</c:v>
                </c:pt>
                <c:pt idx="2467">
                  <c:v>1440.87</c:v>
                </c:pt>
                <c:pt idx="2468">
                  <c:v>1440.87</c:v>
                </c:pt>
                <c:pt idx="2469">
                  <c:v>1440.87</c:v>
                </c:pt>
                <c:pt idx="2470">
                  <c:v>1441.86</c:v>
                </c:pt>
                <c:pt idx="2471">
                  <c:v>1442.95</c:v>
                </c:pt>
                <c:pt idx="2472">
                  <c:v>1518.56</c:v>
                </c:pt>
                <c:pt idx="2473">
                  <c:v>1532.19</c:v>
                </c:pt>
                <c:pt idx="2474">
                  <c:v>1538.84</c:v>
                </c:pt>
                <c:pt idx="2475">
                  <c:v>1538.84</c:v>
                </c:pt>
                <c:pt idx="2476">
                  <c:v>1538.84</c:v>
                </c:pt>
                <c:pt idx="2477">
                  <c:v>1511.55</c:v>
                </c:pt>
                <c:pt idx="2478">
                  <c:v>1505.66</c:v>
                </c:pt>
                <c:pt idx="2479">
                  <c:v>1493.4</c:v>
                </c:pt>
                <c:pt idx="2480">
                  <c:v>1506.27</c:v>
                </c:pt>
                <c:pt idx="2481">
                  <c:v>1505.85</c:v>
                </c:pt>
                <c:pt idx="2482">
                  <c:v>1505.85</c:v>
                </c:pt>
                <c:pt idx="2483">
                  <c:v>1505.85</c:v>
                </c:pt>
                <c:pt idx="2484">
                  <c:v>1510.41</c:v>
                </c:pt>
                <c:pt idx="2485">
                  <c:v>1516.92</c:v>
                </c:pt>
                <c:pt idx="2486">
                  <c:v>1520.63</c:v>
                </c:pt>
                <c:pt idx="2487">
                  <c:v>1531.49</c:v>
                </c:pt>
                <c:pt idx="2488">
                  <c:v>1533.95</c:v>
                </c:pt>
                <c:pt idx="2489">
                  <c:v>1533.95</c:v>
                </c:pt>
                <c:pt idx="2490">
                  <c:v>1533.95</c:v>
                </c:pt>
                <c:pt idx="2491">
                  <c:v>1529.26</c:v>
                </c:pt>
                <c:pt idx="2492">
                  <c:v>1541.16</c:v>
                </c:pt>
                <c:pt idx="2493">
                  <c:v>1561.28</c:v>
                </c:pt>
                <c:pt idx="2494">
                  <c:v>1548.95</c:v>
                </c:pt>
                <c:pt idx="2495">
                  <c:v>1547.81</c:v>
                </c:pt>
                <c:pt idx="2496">
                  <c:v>1547.81</c:v>
                </c:pt>
                <c:pt idx="2497">
                  <c:v>1547.81</c:v>
                </c:pt>
                <c:pt idx="2498">
                  <c:v>1556.25</c:v>
                </c:pt>
                <c:pt idx="2499">
                  <c:v>1556.15</c:v>
                </c:pt>
                <c:pt idx="2500">
                  <c:v>1556.52</c:v>
                </c:pt>
                <c:pt idx="2501">
                  <c:v>1573.22</c:v>
                </c:pt>
                <c:pt idx="2502">
                  <c:v>1578.96</c:v>
                </c:pt>
                <c:pt idx="2503">
                  <c:v>1578.96</c:v>
                </c:pt>
                <c:pt idx="2504">
                  <c:v>1578.96</c:v>
                </c:pt>
                <c:pt idx="2505">
                  <c:v>1585.64</c:v>
                </c:pt>
                <c:pt idx="2506">
                  <c:v>1588.64</c:v>
                </c:pt>
                <c:pt idx="2507">
                  <c:v>1586.53</c:v>
                </c:pt>
                <c:pt idx="2508">
                  <c:v>1587.46</c:v>
                </c:pt>
                <c:pt idx="2509">
                  <c:v>1590.64</c:v>
                </c:pt>
                <c:pt idx="2510">
                  <c:v>1590.64</c:v>
                </c:pt>
                <c:pt idx="2511">
                  <c:v>1590.64</c:v>
                </c:pt>
                <c:pt idx="2512">
                  <c:v>1590.64</c:v>
                </c:pt>
                <c:pt idx="2513">
                  <c:v>1592.11</c:v>
                </c:pt>
                <c:pt idx="2514">
                  <c:v>1591.01</c:v>
                </c:pt>
                <c:pt idx="2515">
                  <c:v>1594.19</c:v>
                </c:pt>
                <c:pt idx="2516">
                  <c:v>1596.21</c:v>
                </c:pt>
                <c:pt idx="2517">
                  <c:v>1596.21</c:v>
                </c:pt>
                <c:pt idx="2518">
                  <c:v>1596.21</c:v>
                </c:pt>
                <c:pt idx="2519">
                  <c:v>1598.18</c:v>
                </c:pt>
                <c:pt idx="2520">
                  <c:v>1598.61</c:v>
                </c:pt>
                <c:pt idx="2521">
                  <c:v>1597.79</c:v>
                </c:pt>
                <c:pt idx="2522">
                  <c:v>1599.15</c:v>
                </c:pt>
                <c:pt idx="2523">
                  <c:v>1597.97</c:v>
                </c:pt>
                <c:pt idx="2524">
                  <c:v>1597.97</c:v>
                </c:pt>
                <c:pt idx="2525">
                  <c:v>1597.97</c:v>
                </c:pt>
                <c:pt idx="2526">
                  <c:v>1590.64</c:v>
                </c:pt>
                <c:pt idx="2527">
                  <c:v>1576.38</c:v>
                </c:pt>
                <c:pt idx="2528">
                  <c:v>1577.9</c:v>
                </c:pt>
                <c:pt idx="2529">
                  <c:v>1577.19</c:v>
                </c:pt>
                <c:pt idx="2530">
                  <c:v>1575.08</c:v>
                </c:pt>
                <c:pt idx="2531">
                  <c:v>1575.08</c:v>
                </c:pt>
                <c:pt idx="2532">
                  <c:v>1575.08</c:v>
                </c:pt>
                <c:pt idx="2533">
                  <c:v>1575.08</c:v>
                </c:pt>
                <c:pt idx="2534">
                  <c:v>1569.93</c:v>
                </c:pt>
                <c:pt idx="2535">
                  <c:v>1568.54</c:v>
                </c:pt>
                <c:pt idx="2536">
                  <c:v>1563.32</c:v>
                </c:pt>
                <c:pt idx="2537">
                  <c:v>1553.71</c:v>
                </c:pt>
                <c:pt idx="2538">
                  <c:v>1553.71</c:v>
                </c:pt>
                <c:pt idx="2539">
                  <c:v>1553.71</c:v>
                </c:pt>
                <c:pt idx="2540">
                  <c:v>1559.35</c:v>
                </c:pt>
                <c:pt idx="2541">
                  <c:v>1571.76</c:v>
                </c:pt>
                <c:pt idx="2542">
                  <c:v>1577.61</c:v>
                </c:pt>
                <c:pt idx="2543">
                  <c:v>1578.79</c:v>
                </c:pt>
                <c:pt idx="2544">
                  <c:v>1580.99</c:v>
                </c:pt>
                <c:pt idx="2545">
                  <c:v>1580.99</c:v>
                </c:pt>
                <c:pt idx="2546">
                  <c:v>1580.99</c:v>
                </c:pt>
                <c:pt idx="2547">
                  <c:v>1580.99</c:v>
                </c:pt>
                <c:pt idx="2548">
                  <c:v>1583.29</c:v>
                </c:pt>
                <c:pt idx="2549">
                  <c:v>1569.6</c:v>
                </c:pt>
                <c:pt idx="2550">
                  <c:v>1558.49</c:v>
                </c:pt>
                <c:pt idx="2551">
                  <c:v>1539.38</c:v>
                </c:pt>
                <c:pt idx="2552">
                  <c:v>1539.38</c:v>
                </c:pt>
                <c:pt idx="2553">
                  <c:v>1539.38</c:v>
                </c:pt>
                <c:pt idx="2554">
                  <c:v>1547.92</c:v>
                </c:pt>
                <c:pt idx="2555">
                  <c:v>1557.57</c:v>
                </c:pt>
                <c:pt idx="2556">
                  <c:v>1545.53</c:v>
                </c:pt>
                <c:pt idx="2557">
                  <c:v>1543.45</c:v>
                </c:pt>
                <c:pt idx="2558">
                  <c:v>1547.11</c:v>
                </c:pt>
                <c:pt idx="2559">
                  <c:v>1547.11</c:v>
                </c:pt>
                <c:pt idx="2560">
                  <c:v>1547.11</c:v>
                </c:pt>
                <c:pt idx="2561">
                  <c:v>1545.88</c:v>
                </c:pt>
                <c:pt idx="2562">
                  <c:v>1545.82</c:v>
                </c:pt>
                <c:pt idx="2563">
                  <c:v>1539.32</c:v>
                </c:pt>
                <c:pt idx="2564">
                  <c:v>1545.89</c:v>
                </c:pt>
                <c:pt idx="2565">
                  <c:v>1552.48</c:v>
                </c:pt>
                <c:pt idx="2566">
                  <c:v>1552.48</c:v>
                </c:pt>
                <c:pt idx="2567">
                  <c:v>1552.48</c:v>
                </c:pt>
                <c:pt idx="2568">
                  <c:v>1548.63</c:v>
                </c:pt>
                <c:pt idx="2569">
                  <c:v>1548.63</c:v>
                </c:pt>
                <c:pt idx="2570">
                  <c:v>1541.14</c:v>
                </c:pt>
                <c:pt idx="2571">
                  <c:v>1530.63</c:v>
                </c:pt>
                <c:pt idx="2572">
                  <c:v>1531.13</c:v>
                </c:pt>
                <c:pt idx="2573">
                  <c:v>1531.13</c:v>
                </c:pt>
                <c:pt idx="2574">
                  <c:v>1531.13</c:v>
                </c:pt>
                <c:pt idx="2575">
                  <c:v>1532.76</c:v>
                </c:pt>
                <c:pt idx="2576">
                  <c:v>1529.07</c:v>
                </c:pt>
                <c:pt idx="2577">
                  <c:v>1523.8</c:v>
                </c:pt>
                <c:pt idx="2578">
                  <c:v>1515.98</c:v>
                </c:pt>
                <c:pt idx="2579">
                  <c:v>1494.11</c:v>
                </c:pt>
                <c:pt idx="2580">
                  <c:v>1494.11</c:v>
                </c:pt>
                <c:pt idx="2581">
                  <c:v>1494.11</c:v>
                </c:pt>
                <c:pt idx="2582">
                  <c:v>1477.51</c:v>
                </c:pt>
                <c:pt idx="2583">
                  <c:v>1467.04</c:v>
                </c:pt>
                <c:pt idx="2584">
                  <c:v>1484.88</c:v>
                </c:pt>
                <c:pt idx="2585">
                  <c:v>1484.88</c:v>
                </c:pt>
                <c:pt idx="2586">
                  <c:v>1484.88</c:v>
                </c:pt>
                <c:pt idx="2587">
                  <c:v>1484.88</c:v>
                </c:pt>
                <c:pt idx="2588">
                  <c:v>1484.88</c:v>
                </c:pt>
                <c:pt idx="2589">
                  <c:v>1507.52</c:v>
                </c:pt>
                <c:pt idx="2590">
                  <c:v>1535.55</c:v>
                </c:pt>
                <c:pt idx="2591">
                  <c:v>1542.11</c:v>
                </c:pt>
                <c:pt idx="2592">
                  <c:v>1542.11</c:v>
                </c:pt>
                <c:pt idx="2593">
                  <c:v>1542.11</c:v>
                </c:pt>
                <c:pt idx="2594">
                  <c:v>1542.11</c:v>
                </c:pt>
                <c:pt idx="2595">
                  <c:v>1542.11</c:v>
                </c:pt>
                <c:pt idx="2596">
                  <c:v>1545.11</c:v>
                </c:pt>
                <c:pt idx="2597">
                  <c:v>1528.28</c:v>
                </c:pt>
                <c:pt idx="2598">
                  <c:v>1530.48</c:v>
                </c:pt>
                <c:pt idx="2599">
                  <c:v>1543.22</c:v>
                </c:pt>
                <c:pt idx="2600">
                  <c:v>1535.96</c:v>
                </c:pt>
                <c:pt idx="2601">
                  <c:v>1535.96</c:v>
                </c:pt>
                <c:pt idx="2602">
                  <c:v>1535.96</c:v>
                </c:pt>
                <c:pt idx="2603">
                  <c:v>1535.96</c:v>
                </c:pt>
                <c:pt idx="2604">
                  <c:v>1549.35</c:v>
                </c:pt>
                <c:pt idx="2605">
                  <c:v>1588.8</c:v>
                </c:pt>
                <c:pt idx="2606">
                  <c:v>1584.42</c:v>
                </c:pt>
                <c:pt idx="2607">
                  <c:v>1596.59</c:v>
                </c:pt>
                <c:pt idx="2608">
                  <c:v>1596.59</c:v>
                </c:pt>
                <c:pt idx="2609">
                  <c:v>1596.59</c:v>
                </c:pt>
                <c:pt idx="2610">
                  <c:v>1580.4</c:v>
                </c:pt>
                <c:pt idx="2611">
                  <c:v>1587.18</c:v>
                </c:pt>
                <c:pt idx="2612">
                  <c:v>1582.57</c:v>
                </c:pt>
                <c:pt idx="2613">
                  <c:v>1589.65</c:v>
                </c:pt>
                <c:pt idx="2614">
                  <c:v>1591.81</c:v>
                </c:pt>
                <c:pt idx="2615">
                  <c:v>1591.81</c:v>
                </c:pt>
                <c:pt idx="2616">
                  <c:v>1591.81</c:v>
                </c:pt>
                <c:pt idx="2617">
                  <c:v>1591.58</c:v>
                </c:pt>
                <c:pt idx="2618">
                  <c:v>1591.69</c:v>
                </c:pt>
                <c:pt idx="2619">
                  <c:v>1590.33</c:v>
                </c:pt>
                <c:pt idx="2620">
                  <c:v>1580.72</c:v>
                </c:pt>
                <c:pt idx="2621">
                  <c:v>1582.9</c:v>
                </c:pt>
                <c:pt idx="2622">
                  <c:v>1582.9</c:v>
                </c:pt>
                <c:pt idx="2623">
                  <c:v>1582.9</c:v>
                </c:pt>
                <c:pt idx="2624">
                  <c:v>1581.27</c:v>
                </c:pt>
                <c:pt idx="2625">
                  <c:v>1576.22</c:v>
                </c:pt>
                <c:pt idx="2626">
                  <c:v>1574.07</c:v>
                </c:pt>
                <c:pt idx="2627">
                  <c:v>1575.69</c:v>
                </c:pt>
                <c:pt idx="2628">
                  <c:v>1570.94</c:v>
                </c:pt>
                <c:pt idx="2629">
                  <c:v>1570.94</c:v>
                </c:pt>
                <c:pt idx="2630">
                  <c:v>1570.94</c:v>
                </c:pt>
                <c:pt idx="2631">
                  <c:v>1562.14</c:v>
                </c:pt>
                <c:pt idx="2632">
                  <c:v>1563.39</c:v>
                </c:pt>
                <c:pt idx="2633">
                  <c:v>1570.81</c:v>
                </c:pt>
                <c:pt idx="2634">
                  <c:v>1564.04</c:v>
                </c:pt>
                <c:pt idx="2635">
                  <c:v>1565.57</c:v>
                </c:pt>
                <c:pt idx="2636">
                  <c:v>1565.57</c:v>
                </c:pt>
                <c:pt idx="2637">
                  <c:v>1565.57</c:v>
                </c:pt>
                <c:pt idx="2638">
                  <c:v>1557.79</c:v>
                </c:pt>
                <c:pt idx="2639">
                  <c:v>1561.53</c:v>
                </c:pt>
                <c:pt idx="2640">
                  <c:v>1569.4</c:v>
                </c:pt>
                <c:pt idx="2641">
                  <c:v>1567.17</c:v>
                </c:pt>
                <c:pt idx="2642">
                  <c:v>1560.46</c:v>
                </c:pt>
                <c:pt idx="2643">
                  <c:v>1560.46</c:v>
                </c:pt>
                <c:pt idx="2644">
                  <c:v>1560.46</c:v>
                </c:pt>
                <c:pt idx="2645">
                  <c:v>1556.65</c:v>
                </c:pt>
                <c:pt idx="2646">
                  <c:v>1550.88</c:v>
                </c:pt>
                <c:pt idx="2647">
                  <c:v>1557.97</c:v>
                </c:pt>
                <c:pt idx="2648">
                  <c:v>1572.46</c:v>
                </c:pt>
                <c:pt idx="2649">
                  <c:v>1568.3</c:v>
                </c:pt>
                <c:pt idx="2650">
                  <c:v>1568.3</c:v>
                </c:pt>
                <c:pt idx="2651">
                  <c:v>1568.3</c:v>
                </c:pt>
                <c:pt idx="2652">
                  <c:v>1560.4</c:v>
                </c:pt>
                <c:pt idx="2653">
                  <c:v>1557.94</c:v>
                </c:pt>
                <c:pt idx="2654">
                  <c:v>1558.66</c:v>
                </c:pt>
                <c:pt idx="2655">
                  <c:v>1555.84</c:v>
                </c:pt>
                <c:pt idx="2656">
                  <c:v>1552.37</c:v>
                </c:pt>
                <c:pt idx="2657">
                  <c:v>1552.37</c:v>
                </c:pt>
                <c:pt idx="2658">
                  <c:v>1552.37</c:v>
                </c:pt>
                <c:pt idx="2659">
                  <c:v>1552.44</c:v>
                </c:pt>
                <c:pt idx="2660">
                  <c:v>1550.33</c:v>
                </c:pt>
                <c:pt idx="2661">
                  <c:v>1545.09</c:v>
                </c:pt>
                <c:pt idx="2662">
                  <c:v>1552.28</c:v>
                </c:pt>
                <c:pt idx="2663">
                  <c:v>1562.91</c:v>
                </c:pt>
                <c:pt idx="2664">
                  <c:v>1562.91</c:v>
                </c:pt>
                <c:pt idx="2665">
                  <c:v>1562.91</c:v>
                </c:pt>
                <c:pt idx="2666">
                  <c:v>1563.97</c:v>
                </c:pt>
                <c:pt idx="2667">
                  <c:v>1561.74</c:v>
                </c:pt>
                <c:pt idx="2668">
                  <c:v>1554.85</c:v>
                </c:pt>
                <c:pt idx="2669">
                  <c:v>1550.03</c:v>
                </c:pt>
                <c:pt idx="2670">
                  <c:v>1546.77</c:v>
                </c:pt>
                <c:pt idx="2671">
                  <c:v>1546.77</c:v>
                </c:pt>
                <c:pt idx="2672">
                  <c:v>1546.77</c:v>
                </c:pt>
                <c:pt idx="2673">
                  <c:v>1546.77</c:v>
                </c:pt>
                <c:pt idx="2674">
                  <c:v>1544.6</c:v>
                </c:pt>
                <c:pt idx="2675">
                  <c:v>1541.74</c:v>
                </c:pt>
                <c:pt idx="2676">
                  <c:v>1534.28</c:v>
                </c:pt>
                <c:pt idx="2677">
                  <c:v>1525.59</c:v>
                </c:pt>
                <c:pt idx="2678">
                  <c:v>1525.59</c:v>
                </c:pt>
                <c:pt idx="2679">
                  <c:v>1525.59</c:v>
                </c:pt>
                <c:pt idx="2680">
                  <c:v>1529.59</c:v>
                </c:pt>
                <c:pt idx="2681">
                  <c:v>1533.51</c:v>
                </c:pt>
                <c:pt idx="2682">
                  <c:v>1533.32</c:v>
                </c:pt>
                <c:pt idx="2683">
                  <c:v>1533.32</c:v>
                </c:pt>
                <c:pt idx="2684">
                  <c:v>1533.32</c:v>
                </c:pt>
                <c:pt idx="2685">
                  <c:v>1533.32</c:v>
                </c:pt>
                <c:pt idx="2686">
                  <c:v>1533.32</c:v>
                </c:pt>
                <c:pt idx="2687">
                  <c:v>1532.48</c:v>
                </c:pt>
                <c:pt idx="2688">
                  <c:v>1534.13</c:v>
                </c:pt>
                <c:pt idx="2689">
                  <c:v>1548.14</c:v>
                </c:pt>
                <c:pt idx="2690">
                  <c:v>1574.77</c:v>
                </c:pt>
                <c:pt idx="2691">
                  <c:v>1588.17</c:v>
                </c:pt>
                <c:pt idx="2692">
                  <c:v>1588.17</c:v>
                </c:pt>
                <c:pt idx="2693">
                  <c:v>1588.17</c:v>
                </c:pt>
                <c:pt idx="2694">
                  <c:v>1588.19</c:v>
                </c:pt>
                <c:pt idx="2695">
                  <c:v>1603.95</c:v>
                </c:pt>
                <c:pt idx="2696">
                  <c:v>1593.17</c:v>
                </c:pt>
                <c:pt idx="2697">
                  <c:v>1586.04</c:v>
                </c:pt>
                <c:pt idx="2698">
                  <c:v>1578.93</c:v>
                </c:pt>
                <c:pt idx="2699">
                  <c:v>1578.93</c:v>
                </c:pt>
                <c:pt idx="2700">
                  <c:v>1578.93</c:v>
                </c:pt>
                <c:pt idx="2701">
                  <c:v>1570.53</c:v>
                </c:pt>
                <c:pt idx="2702">
                  <c:v>1563.94</c:v>
                </c:pt>
                <c:pt idx="2703">
                  <c:v>1570.34</c:v>
                </c:pt>
                <c:pt idx="2704">
                  <c:v>1573.86</c:v>
                </c:pt>
                <c:pt idx="2705">
                  <c:v>1578.98</c:v>
                </c:pt>
                <c:pt idx="2706">
                  <c:v>1578.98</c:v>
                </c:pt>
                <c:pt idx="2707">
                  <c:v>1578.98</c:v>
                </c:pt>
                <c:pt idx="2708">
                  <c:v>1580.78</c:v>
                </c:pt>
                <c:pt idx="2709">
                  <c:v>1590.53</c:v>
                </c:pt>
                <c:pt idx="2710">
                  <c:v>1598.69</c:v>
                </c:pt>
                <c:pt idx="2711">
                  <c:v>1604.44</c:v>
                </c:pt>
                <c:pt idx="2712">
                  <c:v>1611.48</c:v>
                </c:pt>
                <c:pt idx="2713">
                  <c:v>1611.48</c:v>
                </c:pt>
                <c:pt idx="2714">
                  <c:v>1611.48</c:v>
                </c:pt>
                <c:pt idx="2715">
                  <c:v>1613.61</c:v>
                </c:pt>
                <c:pt idx="2716">
                  <c:v>1603.97</c:v>
                </c:pt>
                <c:pt idx="2717">
                  <c:v>1610.66</c:v>
                </c:pt>
                <c:pt idx="2718">
                  <c:v>1618</c:v>
                </c:pt>
                <c:pt idx="2719">
                  <c:v>1631.71</c:v>
                </c:pt>
                <c:pt idx="2720">
                  <c:v>1631.71</c:v>
                </c:pt>
                <c:pt idx="2721">
                  <c:v>1631.71</c:v>
                </c:pt>
                <c:pt idx="2722">
                  <c:v>1627.3</c:v>
                </c:pt>
                <c:pt idx="2723">
                  <c:v>1631.02</c:v>
                </c:pt>
                <c:pt idx="2724">
                  <c:v>1631.95</c:v>
                </c:pt>
                <c:pt idx="2725">
                  <c:v>1630.08</c:v>
                </c:pt>
                <c:pt idx="2726">
                  <c:v>1640.15</c:v>
                </c:pt>
                <c:pt idx="2727">
                  <c:v>1640.15</c:v>
                </c:pt>
                <c:pt idx="2728">
                  <c:v>1640.15</c:v>
                </c:pt>
                <c:pt idx="2729">
                  <c:v>1640.15</c:v>
                </c:pt>
                <c:pt idx="2730">
                  <c:v>1644.11</c:v>
                </c:pt>
                <c:pt idx="2731">
                  <c:v>1643.05</c:v>
                </c:pt>
                <c:pt idx="2732">
                  <c:v>1644.6</c:v>
                </c:pt>
                <c:pt idx="2733">
                  <c:v>1665.36</c:v>
                </c:pt>
                <c:pt idx="2734">
                  <c:v>1665.36</c:v>
                </c:pt>
                <c:pt idx="2735">
                  <c:v>1665.36</c:v>
                </c:pt>
                <c:pt idx="2736">
                  <c:v>1671.2</c:v>
                </c:pt>
                <c:pt idx="2737">
                  <c:v>1669.27</c:v>
                </c:pt>
                <c:pt idx="2738">
                  <c:v>1682.12</c:v>
                </c:pt>
                <c:pt idx="2739">
                  <c:v>1685.33</c:v>
                </c:pt>
                <c:pt idx="2740">
                  <c:v>1671.67</c:v>
                </c:pt>
                <c:pt idx="2741">
                  <c:v>1671.67</c:v>
                </c:pt>
                <c:pt idx="2742">
                  <c:v>1671.67</c:v>
                </c:pt>
                <c:pt idx="2743">
                  <c:v>1663.55</c:v>
                </c:pt>
                <c:pt idx="2744">
                  <c:v>1657.7</c:v>
                </c:pt>
                <c:pt idx="2745">
                  <c:v>1667.88</c:v>
                </c:pt>
                <c:pt idx="2746">
                  <c:v>1654.75</c:v>
                </c:pt>
                <c:pt idx="2747">
                  <c:v>1653.96</c:v>
                </c:pt>
                <c:pt idx="2748">
                  <c:v>1653.96</c:v>
                </c:pt>
                <c:pt idx="2749">
                  <c:v>1653.96</c:v>
                </c:pt>
                <c:pt idx="2750">
                  <c:v>1653.96</c:v>
                </c:pt>
                <c:pt idx="2751">
                  <c:v>1672.01</c:v>
                </c:pt>
                <c:pt idx="2752">
                  <c:v>1679.12</c:v>
                </c:pt>
                <c:pt idx="2753">
                  <c:v>1686.08</c:v>
                </c:pt>
                <c:pt idx="2754">
                  <c:v>1682.09</c:v>
                </c:pt>
                <c:pt idx="2755">
                  <c:v>1682.09</c:v>
                </c:pt>
                <c:pt idx="2756">
                  <c:v>1682.09</c:v>
                </c:pt>
                <c:pt idx="2757">
                  <c:v>1682.09</c:v>
                </c:pt>
                <c:pt idx="2758">
                  <c:v>1694.56</c:v>
                </c:pt>
                <c:pt idx="2759">
                  <c:v>1698.55</c:v>
                </c:pt>
                <c:pt idx="2760">
                  <c:v>1693.75</c:v>
                </c:pt>
                <c:pt idx="2761">
                  <c:v>1692.36</c:v>
                </c:pt>
                <c:pt idx="2762">
                  <c:v>1692.36</c:v>
                </c:pt>
                <c:pt idx="2763">
                  <c:v>1692.36</c:v>
                </c:pt>
                <c:pt idx="2764">
                  <c:v>1694.26</c:v>
                </c:pt>
                <c:pt idx="2765">
                  <c:v>1710.03</c:v>
                </c:pt>
                <c:pt idx="2766">
                  <c:v>1723.26</c:v>
                </c:pt>
                <c:pt idx="2767">
                  <c:v>1734.83</c:v>
                </c:pt>
                <c:pt idx="2768">
                  <c:v>1737.91</c:v>
                </c:pt>
                <c:pt idx="2769">
                  <c:v>1737.91</c:v>
                </c:pt>
                <c:pt idx="2770">
                  <c:v>1737.91</c:v>
                </c:pt>
                <c:pt idx="2771">
                  <c:v>1751</c:v>
                </c:pt>
                <c:pt idx="2772">
                  <c:v>1732.1</c:v>
                </c:pt>
                <c:pt idx="2773">
                  <c:v>1736.03</c:v>
                </c:pt>
                <c:pt idx="2774">
                  <c:v>1751.26</c:v>
                </c:pt>
                <c:pt idx="2775">
                  <c:v>1755.31</c:v>
                </c:pt>
                <c:pt idx="2776">
                  <c:v>1755.31</c:v>
                </c:pt>
                <c:pt idx="2777">
                  <c:v>1755.31</c:v>
                </c:pt>
                <c:pt idx="2778">
                  <c:v>1755.31</c:v>
                </c:pt>
                <c:pt idx="2779">
                  <c:v>1772.69</c:v>
                </c:pt>
                <c:pt idx="2780">
                  <c:v>1795.36</c:v>
                </c:pt>
                <c:pt idx="2781">
                  <c:v>1831.1</c:v>
                </c:pt>
                <c:pt idx="2782">
                  <c:v>1840.38</c:v>
                </c:pt>
                <c:pt idx="2783">
                  <c:v>1840.38</c:v>
                </c:pt>
                <c:pt idx="2784">
                  <c:v>1840.38</c:v>
                </c:pt>
                <c:pt idx="2785">
                  <c:v>1887.17</c:v>
                </c:pt>
                <c:pt idx="2786">
                  <c:v>1926.55</c:v>
                </c:pt>
                <c:pt idx="2787">
                  <c:v>1881.42</c:v>
                </c:pt>
                <c:pt idx="2788">
                  <c:v>1823.29</c:v>
                </c:pt>
                <c:pt idx="2789">
                  <c:v>1821.95</c:v>
                </c:pt>
                <c:pt idx="2790">
                  <c:v>1821.95</c:v>
                </c:pt>
                <c:pt idx="2791">
                  <c:v>1821.95</c:v>
                </c:pt>
                <c:pt idx="2792">
                  <c:v>1819.04</c:v>
                </c:pt>
                <c:pt idx="2793">
                  <c:v>1819.04</c:v>
                </c:pt>
                <c:pt idx="2794">
                  <c:v>1809.56</c:v>
                </c:pt>
                <c:pt idx="2795">
                  <c:v>1807.9</c:v>
                </c:pt>
                <c:pt idx="2796">
                  <c:v>1831.19</c:v>
                </c:pt>
                <c:pt idx="2797">
                  <c:v>1831.19</c:v>
                </c:pt>
                <c:pt idx="2798">
                  <c:v>1831.19</c:v>
                </c:pt>
                <c:pt idx="2799">
                  <c:v>1829.63</c:v>
                </c:pt>
                <c:pt idx="2800">
                  <c:v>1829.06</c:v>
                </c:pt>
                <c:pt idx="2801">
                  <c:v>1817.09</c:v>
                </c:pt>
                <c:pt idx="2802">
                  <c:v>1806.52</c:v>
                </c:pt>
                <c:pt idx="2803">
                  <c:v>1809.5</c:v>
                </c:pt>
                <c:pt idx="2804">
                  <c:v>1809.5</c:v>
                </c:pt>
                <c:pt idx="2805">
                  <c:v>1809.5</c:v>
                </c:pt>
                <c:pt idx="2806">
                  <c:v>1813.6</c:v>
                </c:pt>
                <c:pt idx="2807">
                  <c:v>1800.79</c:v>
                </c:pt>
                <c:pt idx="2808">
                  <c:v>1822.84</c:v>
                </c:pt>
                <c:pt idx="2809">
                  <c:v>1834.97</c:v>
                </c:pt>
                <c:pt idx="2810">
                  <c:v>1849.12</c:v>
                </c:pt>
                <c:pt idx="2811">
                  <c:v>1849.12</c:v>
                </c:pt>
                <c:pt idx="2812">
                  <c:v>1849.12</c:v>
                </c:pt>
                <c:pt idx="2813">
                  <c:v>1852.8</c:v>
                </c:pt>
                <c:pt idx="2814">
                  <c:v>1855.03</c:v>
                </c:pt>
                <c:pt idx="2815">
                  <c:v>1865.3</c:v>
                </c:pt>
                <c:pt idx="2816">
                  <c:v>1893.25</c:v>
                </c:pt>
                <c:pt idx="2817">
                  <c:v>1879.15</c:v>
                </c:pt>
                <c:pt idx="2818">
                  <c:v>1879.15</c:v>
                </c:pt>
                <c:pt idx="2819">
                  <c:v>1879.15</c:v>
                </c:pt>
                <c:pt idx="2820">
                  <c:v>1879.15</c:v>
                </c:pt>
                <c:pt idx="2821">
                  <c:v>1880.39</c:v>
                </c:pt>
                <c:pt idx="2822">
                  <c:v>1898.03</c:v>
                </c:pt>
                <c:pt idx="2823">
                  <c:v>1892.5</c:v>
                </c:pt>
                <c:pt idx="2824">
                  <c:v>1907.94</c:v>
                </c:pt>
                <c:pt idx="2825">
                  <c:v>1907.94</c:v>
                </c:pt>
                <c:pt idx="2826">
                  <c:v>1907.94</c:v>
                </c:pt>
                <c:pt idx="2827">
                  <c:v>1912.27</c:v>
                </c:pt>
                <c:pt idx="2828">
                  <c:v>1921.87</c:v>
                </c:pt>
                <c:pt idx="2829">
                  <c:v>1921.16</c:v>
                </c:pt>
                <c:pt idx="2830">
                  <c:v>1914.22</c:v>
                </c:pt>
                <c:pt idx="2831">
                  <c:v>1936.12</c:v>
                </c:pt>
                <c:pt idx="2832">
                  <c:v>1936.12</c:v>
                </c:pt>
                <c:pt idx="2833">
                  <c:v>1936.12</c:v>
                </c:pt>
                <c:pt idx="2834">
                  <c:v>1954.72</c:v>
                </c:pt>
                <c:pt idx="2835">
                  <c:v>1941.25</c:v>
                </c:pt>
                <c:pt idx="2836">
                  <c:v>1934.46</c:v>
                </c:pt>
                <c:pt idx="2837">
                  <c:v>1943.23</c:v>
                </c:pt>
                <c:pt idx="2838">
                  <c:v>1943.24</c:v>
                </c:pt>
                <c:pt idx="2839">
                  <c:v>1943.24</c:v>
                </c:pt>
                <c:pt idx="2840">
                  <c:v>1943.24</c:v>
                </c:pt>
                <c:pt idx="2841">
                  <c:v>1947.31</c:v>
                </c:pt>
                <c:pt idx="2842">
                  <c:v>1969.82</c:v>
                </c:pt>
                <c:pt idx="2843">
                  <c:v>1972.35</c:v>
                </c:pt>
                <c:pt idx="2844">
                  <c:v>1976.07</c:v>
                </c:pt>
                <c:pt idx="2845">
                  <c:v>1981.41</c:v>
                </c:pt>
                <c:pt idx="2846">
                  <c:v>1981.41</c:v>
                </c:pt>
                <c:pt idx="2847">
                  <c:v>1981.41</c:v>
                </c:pt>
                <c:pt idx="2848">
                  <c:v>1977.85</c:v>
                </c:pt>
                <c:pt idx="2849">
                  <c:v>1970.54</c:v>
                </c:pt>
                <c:pt idx="2850">
                  <c:v>1967.58</c:v>
                </c:pt>
                <c:pt idx="2851">
                  <c:v>1977.52</c:v>
                </c:pt>
                <c:pt idx="2852">
                  <c:v>1987.08</c:v>
                </c:pt>
                <c:pt idx="2853">
                  <c:v>1987.08</c:v>
                </c:pt>
                <c:pt idx="2854">
                  <c:v>1987.08</c:v>
                </c:pt>
                <c:pt idx="2855">
                  <c:v>1981.64</c:v>
                </c:pt>
                <c:pt idx="2856">
                  <c:v>1975.46</c:v>
                </c:pt>
                <c:pt idx="2857">
                  <c:v>1992.36</c:v>
                </c:pt>
                <c:pt idx="2858">
                  <c:v>1994.86</c:v>
                </c:pt>
                <c:pt idx="2859">
                  <c:v>1995.64</c:v>
                </c:pt>
                <c:pt idx="2860">
                  <c:v>1995.64</c:v>
                </c:pt>
                <c:pt idx="2861">
                  <c:v>1995.64</c:v>
                </c:pt>
                <c:pt idx="2862">
                  <c:v>2013.24</c:v>
                </c:pt>
                <c:pt idx="2863">
                  <c:v>2003.82</c:v>
                </c:pt>
                <c:pt idx="2864">
                  <c:v>2017.27</c:v>
                </c:pt>
                <c:pt idx="2865">
                  <c:v>2015.15</c:v>
                </c:pt>
                <c:pt idx="2866">
                  <c:v>2004.22</c:v>
                </c:pt>
                <c:pt idx="2867">
                  <c:v>2004.22</c:v>
                </c:pt>
                <c:pt idx="2868">
                  <c:v>2004.22</c:v>
                </c:pt>
                <c:pt idx="2869">
                  <c:v>1992.65</c:v>
                </c:pt>
                <c:pt idx="2870">
                  <c:v>2000.48</c:v>
                </c:pt>
                <c:pt idx="2871">
                  <c:v>1995.71</c:v>
                </c:pt>
                <c:pt idx="2872">
                  <c:v>1993.18</c:v>
                </c:pt>
                <c:pt idx="2873">
                  <c:v>1992.74</c:v>
                </c:pt>
                <c:pt idx="2874">
                  <c:v>1992.74</c:v>
                </c:pt>
                <c:pt idx="2875">
                  <c:v>1992.74</c:v>
                </c:pt>
                <c:pt idx="2876">
                  <c:v>1992.03</c:v>
                </c:pt>
                <c:pt idx="2877">
                  <c:v>1988.7</c:v>
                </c:pt>
                <c:pt idx="2878">
                  <c:v>1981.14</c:v>
                </c:pt>
                <c:pt idx="2879">
                  <c:v>1975.8</c:v>
                </c:pt>
                <c:pt idx="2880">
                  <c:v>1977.04</c:v>
                </c:pt>
                <c:pt idx="2881">
                  <c:v>1977.04</c:v>
                </c:pt>
                <c:pt idx="2882">
                  <c:v>1977.04</c:v>
                </c:pt>
                <c:pt idx="2883">
                  <c:v>1977.04</c:v>
                </c:pt>
                <c:pt idx="2884">
                  <c:v>1965.92</c:v>
                </c:pt>
                <c:pt idx="2885">
                  <c:v>1957.53</c:v>
                </c:pt>
                <c:pt idx="2886">
                  <c:v>1946</c:v>
                </c:pt>
                <c:pt idx="2887">
                  <c:v>1946.24</c:v>
                </c:pt>
                <c:pt idx="2888">
                  <c:v>1946.24</c:v>
                </c:pt>
                <c:pt idx="2889">
                  <c:v>1946.24</c:v>
                </c:pt>
                <c:pt idx="2890">
                  <c:v>1949.33</c:v>
                </c:pt>
                <c:pt idx="2891">
                  <c:v>1966.07</c:v>
                </c:pt>
                <c:pt idx="2892">
                  <c:v>1968.9</c:v>
                </c:pt>
                <c:pt idx="2893">
                  <c:v>1965.44</c:v>
                </c:pt>
                <c:pt idx="2894">
                  <c:v>1971.59</c:v>
                </c:pt>
                <c:pt idx="2895">
                  <c:v>1971.59</c:v>
                </c:pt>
                <c:pt idx="2896">
                  <c:v>1971.59</c:v>
                </c:pt>
                <c:pt idx="2897">
                  <c:v>1971.59</c:v>
                </c:pt>
                <c:pt idx="2898">
                  <c:v>1966.5</c:v>
                </c:pt>
                <c:pt idx="2899">
                  <c:v>1960.7</c:v>
                </c:pt>
                <c:pt idx="2900">
                  <c:v>1962.16</c:v>
                </c:pt>
                <c:pt idx="2901">
                  <c:v>1959.46</c:v>
                </c:pt>
                <c:pt idx="2902">
                  <c:v>1959.46</c:v>
                </c:pt>
                <c:pt idx="2903">
                  <c:v>1959.46</c:v>
                </c:pt>
                <c:pt idx="2904">
                  <c:v>1954.56</c:v>
                </c:pt>
                <c:pt idx="2905">
                  <c:v>1948.05</c:v>
                </c:pt>
                <c:pt idx="2906">
                  <c:v>1951.11</c:v>
                </c:pt>
                <c:pt idx="2907">
                  <c:v>1958.41</c:v>
                </c:pt>
                <c:pt idx="2908">
                  <c:v>1961.8</c:v>
                </c:pt>
                <c:pt idx="2909">
                  <c:v>1961.8</c:v>
                </c:pt>
                <c:pt idx="2910">
                  <c:v>1961.8</c:v>
                </c:pt>
                <c:pt idx="2911">
                  <c:v>1961.8</c:v>
                </c:pt>
                <c:pt idx="2912">
                  <c:v>1961.7</c:v>
                </c:pt>
                <c:pt idx="2913">
                  <c:v>1946.27</c:v>
                </c:pt>
                <c:pt idx="2914">
                  <c:v>1927.47</c:v>
                </c:pt>
                <c:pt idx="2915">
                  <c:v>1925.11</c:v>
                </c:pt>
                <c:pt idx="2916">
                  <c:v>1925.11</c:v>
                </c:pt>
                <c:pt idx="2917">
                  <c:v>1925.11</c:v>
                </c:pt>
                <c:pt idx="2918">
                  <c:v>1935.48</c:v>
                </c:pt>
                <c:pt idx="2919">
                  <c:v>1925</c:v>
                </c:pt>
                <c:pt idx="2920">
                  <c:v>1912.86</c:v>
                </c:pt>
                <c:pt idx="2921">
                  <c:v>1918.85</c:v>
                </c:pt>
                <c:pt idx="2922">
                  <c:v>1921.93</c:v>
                </c:pt>
                <c:pt idx="2923">
                  <c:v>1921.93</c:v>
                </c:pt>
                <c:pt idx="2924">
                  <c:v>1921.93</c:v>
                </c:pt>
                <c:pt idx="2925">
                  <c:v>1923.77</c:v>
                </c:pt>
                <c:pt idx="2926">
                  <c:v>1922.47</c:v>
                </c:pt>
                <c:pt idx="2927">
                  <c:v>1918.63</c:v>
                </c:pt>
                <c:pt idx="2928">
                  <c:v>1911.35</c:v>
                </c:pt>
                <c:pt idx="2929">
                  <c:v>1903.8</c:v>
                </c:pt>
                <c:pt idx="2930">
                  <c:v>1903.8</c:v>
                </c:pt>
                <c:pt idx="2931">
                  <c:v>1903.8</c:v>
                </c:pt>
                <c:pt idx="2932">
                  <c:v>1886.46</c:v>
                </c:pt>
                <c:pt idx="2933">
                  <c:v>1888.99</c:v>
                </c:pt>
                <c:pt idx="2934">
                  <c:v>1888.99</c:v>
                </c:pt>
                <c:pt idx="2935">
                  <c:v>1906.91</c:v>
                </c:pt>
                <c:pt idx="2936">
                  <c:v>1900.22</c:v>
                </c:pt>
                <c:pt idx="2937">
                  <c:v>1900.22</c:v>
                </c:pt>
                <c:pt idx="2938">
                  <c:v>1900.22</c:v>
                </c:pt>
                <c:pt idx="2939">
                  <c:v>1905.5</c:v>
                </c:pt>
                <c:pt idx="2940">
                  <c:v>1891.67</c:v>
                </c:pt>
                <c:pt idx="2941">
                  <c:v>1874.14</c:v>
                </c:pt>
                <c:pt idx="2942">
                  <c:v>1879.55</c:v>
                </c:pt>
                <c:pt idx="2943">
                  <c:v>1867.02</c:v>
                </c:pt>
                <c:pt idx="2944">
                  <c:v>1867.02</c:v>
                </c:pt>
                <c:pt idx="2945">
                  <c:v>1867.02</c:v>
                </c:pt>
                <c:pt idx="2946">
                  <c:v>1868.47</c:v>
                </c:pt>
                <c:pt idx="2947">
                  <c:v>1884.64</c:v>
                </c:pt>
                <c:pt idx="2948">
                  <c:v>1886.27</c:v>
                </c:pt>
                <c:pt idx="2949">
                  <c:v>1874.77</c:v>
                </c:pt>
                <c:pt idx="2950">
                  <c:v>1874.58</c:v>
                </c:pt>
                <c:pt idx="2951">
                  <c:v>1874.58</c:v>
                </c:pt>
                <c:pt idx="2952">
                  <c:v>1874.58</c:v>
                </c:pt>
                <c:pt idx="2953">
                  <c:v>1870.65</c:v>
                </c:pt>
                <c:pt idx="2954">
                  <c:v>1867.82</c:v>
                </c:pt>
                <c:pt idx="2955">
                  <c:v>1873.77</c:v>
                </c:pt>
                <c:pt idx="2956">
                  <c:v>1873.77</c:v>
                </c:pt>
                <c:pt idx="2957">
                  <c:v>1873.77</c:v>
                </c:pt>
                <c:pt idx="2958">
                  <c:v>1873.77</c:v>
                </c:pt>
                <c:pt idx="2959">
                  <c:v>1873.77</c:v>
                </c:pt>
                <c:pt idx="2960">
                  <c:v>1874.35</c:v>
                </c:pt>
                <c:pt idx="2961">
                  <c:v>1895.97</c:v>
                </c:pt>
                <c:pt idx="2962">
                  <c:v>1912.69</c:v>
                </c:pt>
                <c:pt idx="2963">
                  <c:v>1911.33</c:v>
                </c:pt>
                <c:pt idx="2964">
                  <c:v>1900.14</c:v>
                </c:pt>
                <c:pt idx="2965">
                  <c:v>1900.14</c:v>
                </c:pt>
                <c:pt idx="2966">
                  <c:v>1900.14</c:v>
                </c:pt>
                <c:pt idx="2967">
                  <c:v>1900.14</c:v>
                </c:pt>
                <c:pt idx="2968">
                  <c:v>1902.25</c:v>
                </c:pt>
                <c:pt idx="2969">
                  <c:v>1904.54</c:v>
                </c:pt>
                <c:pt idx="2970">
                  <c:v>1917.38</c:v>
                </c:pt>
                <c:pt idx="2971">
                  <c:v>1920.83</c:v>
                </c:pt>
                <c:pt idx="2972">
                  <c:v>1920.83</c:v>
                </c:pt>
                <c:pt idx="2973">
                  <c:v>1920.83</c:v>
                </c:pt>
                <c:pt idx="2974">
                  <c:v>1919.21</c:v>
                </c:pt>
                <c:pt idx="2975">
                  <c:v>1928.51</c:v>
                </c:pt>
                <c:pt idx="2976">
                  <c:v>1945.17</c:v>
                </c:pt>
                <c:pt idx="2977">
                  <c:v>1938.84</c:v>
                </c:pt>
                <c:pt idx="2978">
                  <c:v>1931.97</c:v>
                </c:pt>
                <c:pt idx="2979">
                  <c:v>1931.97</c:v>
                </c:pt>
                <c:pt idx="2980">
                  <c:v>1931.97</c:v>
                </c:pt>
                <c:pt idx="2981">
                  <c:v>1943.88</c:v>
                </c:pt>
                <c:pt idx="2982">
                  <c:v>1939.63</c:v>
                </c:pt>
                <c:pt idx="2983">
                  <c:v>1958.17</c:v>
                </c:pt>
                <c:pt idx="2984">
                  <c:v>1976.14</c:v>
                </c:pt>
                <c:pt idx="2985">
                  <c:v>1976.72</c:v>
                </c:pt>
                <c:pt idx="2986">
                  <c:v>1976.72</c:v>
                </c:pt>
                <c:pt idx="2987">
                  <c:v>1976.72</c:v>
                </c:pt>
                <c:pt idx="2988">
                  <c:v>1973.36</c:v>
                </c:pt>
                <c:pt idx="2989">
                  <c:v>1970.61</c:v>
                </c:pt>
                <c:pt idx="2990">
                  <c:v>1965.61</c:v>
                </c:pt>
                <c:pt idx="2991">
                  <c:v>1947.55</c:v>
                </c:pt>
                <c:pt idx="2992">
                  <c:v>1948.6</c:v>
                </c:pt>
                <c:pt idx="2993">
                  <c:v>1948.6</c:v>
                </c:pt>
                <c:pt idx="2994">
                  <c:v>1948.6</c:v>
                </c:pt>
                <c:pt idx="2995">
                  <c:v>1950.59</c:v>
                </c:pt>
                <c:pt idx="2996">
                  <c:v>1949.54</c:v>
                </c:pt>
                <c:pt idx="2997">
                  <c:v>1946.51</c:v>
                </c:pt>
                <c:pt idx="2998">
                  <c:v>1952.29</c:v>
                </c:pt>
                <c:pt idx="2999">
                  <c:v>1948.16</c:v>
                </c:pt>
                <c:pt idx="3000">
                  <c:v>1948.16</c:v>
                </c:pt>
                <c:pt idx="3001">
                  <c:v>1948.16</c:v>
                </c:pt>
                <c:pt idx="3002">
                  <c:v>1950.77</c:v>
                </c:pt>
                <c:pt idx="3003">
                  <c:v>1949.61</c:v>
                </c:pt>
                <c:pt idx="3004">
                  <c:v>1946.79</c:v>
                </c:pt>
                <c:pt idx="3005">
                  <c:v>1945.31</c:v>
                </c:pt>
                <c:pt idx="3006">
                  <c:v>1947.41</c:v>
                </c:pt>
                <c:pt idx="3007">
                  <c:v>1947.41</c:v>
                </c:pt>
                <c:pt idx="3008">
                  <c:v>1947.41</c:v>
                </c:pt>
                <c:pt idx="3009">
                  <c:v>1943.83</c:v>
                </c:pt>
                <c:pt idx="3010">
                  <c:v>1941.54</c:v>
                </c:pt>
                <c:pt idx="3011">
                  <c:v>1944.18</c:v>
                </c:pt>
                <c:pt idx="3012">
                  <c:v>1947.72</c:v>
                </c:pt>
                <c:pt idx="3013">
                  <c:v>1947.28</c:v>
                </c:pt>
                <c:pt idx="3014">
                  <c:v>1947.28</c:v>
                </c:pt>
                <c:pt idx="3015">
                  <c:v>1947.28</c:v>
                </c:pt>
                <c:pt idx="3016">
                  <c:v>1946.17</c:v>
                </c:pt>
                <c:pt idx="3017">
                  <c:v>1948.05</c:v>
                </c:pt>
                <c:pt idx="3018">
                  <c:v>1950.88</c:v>
                </c:pt>
                <c:pt idx="3019">
                  <c:v>1956.8</c:v>
                </c:pt>
                <c:pt idx="3020">
                  <c:v>1961.16</c:v>
                </c:pt>
                <c:pt idx="3021">
                  <c:v>1961.16</c:v>
                </c:pt>
                <c:pt idx="3022">
                  <c:v>1961.16</c:v>
                </c:pt>
                <c:pt idx="3023">
                  <c:v>1965.63</c:v>
                </c:pt>
                <c:pt idx="3024">
                  <c:v>1964.26</c:v>
                </c:pt>
                <c:pt idx="3025">
                  <c:v>1960.47</c:v>
                </c:pt>
                <c:pt idx="3026">
                  <c:v>1959.77</c:v>
                </c:pt>
                <c:pt idx="3027">
                  <c:v>1958.48</c:v>
                </c:pt>
                <c:pt idx="3028">
                  <c:v>1958.48</c:v>
                </c:pt>
                <c:pt idx="3029">
                  <c:v>1958.48</c:v>
                </c:pt>
                <c:pt idx="3030">
                  <c:v>1957.5</c:v>
                </c:pt>
                <c:pt idx="3031">
                  <c:v>1955.75</c:v>
                </c:pt>
                <c:pt idx="3032">
                  <c:v>1954.26</c:v>
                </c:pt>
                <c:pt idx="3033">
                  <c:v>1950.01</c:v>
                </c:pt>
                <c:pt idx="3034">
                  <c:v>1952.98</c:v>
                </c:pt>
                <c:pt idx="3035">
                  <c:v>1952.98</c:v>
                </c:pt>
                <c:pt idx="3036">
                  <c:v>1952.98</c:v>
                </c:pt>
                <c:pt idx="3037">
                  <c:v>1952.98</c:v>
                </c:pt>
                <c:pt idx="3038">
                  <c:v>1956.98</c:v>
                </c:pt>
                <c:pt idx="3039">
                  <c:v>1959.84</c:v>
                </c:pt>
                <c:pt idx="3040">
                  <c:v>1954.57</c:v>
                </c:pt>
                <c:pt idx="3041">
                  <c:v>1954.83</c:v>
                </c:pt>
                <c:pt idx="3042">
                  <c:v>1954.83</c:v>
                </c:pt>
                <c:pt idx="3043">
                  <c:v>1954.83</c:v>
                </c:pt>
                <c:pt idx="3044">
                  <c:v>1958.93</c:v>
                </c:pt>
                <c:pt idx="3045">
                  <c:v>1955.14</c:v>
                </c:pt>
                <c:pt idx="3046">
                  <c:v>1949.75</c:v>
                </c:pt>
                <c:pt idx="3047">
                  <c:v>1951.56</c:v>
                </c:pt>
                <c:pt idx="3048">
                  <c:v>1958.12</c:v>
                </c:pt>
                <c:pt idx="3049">
                  <c:v>1958.12</c:v>
                </c:pt>
                <c:pt idx="3050">
                  <c:v>1958.12</c:v>
                </c:pt>
                <c:pt idx="3051">
                  <c:v>1963.22</c:v>
                </c:pt>
                <c:pt idx="3052">
                  <c:v>1964.1</c:v>
                </c:pt>
                <c:pt idx="3053">
                  <c:v>1968.92</c:v>
                </c:pt>
                <c:pt idx="3054">
                  <c:v>1986.96</c:v>
                </c:pt>
                <c:pt idx="3055">
                  <c:v>1996.24</c:v>
                </c:pt>
                <c:pt idx="3056">
                  <c:v>1996.24</c:v>
                </c:pt>
                <c:pt idx="3057">
                  <c:v>1996.24</c:v>
                </c:pt>
                <c:pt idx="3058">
                  <c:v>1998.25</c:v>
                </c:pt>
                <c:pt idx="3059">
                  <c:v>1986.75</c:v>
                </c:pt>
                <c:pt idx="3060">
                  <c:v>1987.38</c:v>
                </c:pt>
                <c:pt idx="3061">
                  <c:v>1987.36</c:v>
                </c:pt>
                <c:pt idx="3062">
                  <c:v>1987.39</c:v>
                </c:pt>
                <c:pt idx="3063">
                  <c:v>1987.39</c:v>
                </c:pt>
                <c:pt idx="3064">
                  <c:v>1987.39</c:v>
                </c:pt>
                <c:pt idx="3065">
                  <c:v>1996.29</c:v>
                </c:pt>
                <c:pt idx="3066">
                  <c:v>2003.02</c:v>
                </c:pt>
                <c:pt idx="3067">
                  <c:v>1996.07</c:v>
                </c:pt>
                <c:pt idx="3068">
                  <c:v>1996.07</c:v>
                </c:pt>
                <c:pt idx="3069">
                  <c:v>1996.07</c:v>
                </c:pt>
                <c:pt idx="3070">
                  <c:v>1996.07</c:v>
                </c:pt>
                <c:pt idx="3071">
                  <c:v>1996.07</c:v>
                </c:pt>
                <c:pt idx="3072">
                  <c:v>1991.17</c:v>
                </c:pt>
                <c:pt idx="3073">
                  <c:v>1988.65</c:v>
                </c:pt>
                <c:pt idx="3074">
                  <c:v>1998.95</c:v>
                </c:pt>
                <c:pt idx="3075">
                  <c:v>2002.95</c:v>
                </c:pt>
                <c:pt idx="3076">
                  <c:v>2004.47</c:v>
                </c:pt>
                <c:pt idx="3077">
                  <c:v>2004.47</c:v>
                </c:pt>
                <c:pt idx="3078">
                  <c:v>2004.47</c:v>
                </c:pt>
                <c:pt idx="3079">
                  <c:v>2004.47</c:v>
                </c:pt>
                <c:pt idx="3080">
                  <c:v>2001.62</c:v>
                </c:pt>
                <c:pt idx="3081">
                  <c:v>2015.92</c:v>
                </c:pt>
                <c:pt idx="3082">
                  <c:v>2027.26</c:v>
                </c:pt>
                <c:pt idx="3083">
                  <c:v>2033.17</c:v>
                </c:pt>
                <c:pt idx="3084">
                  <c:v>2033.17</c:v>
                </c:pt>
                <c:pt idx="3085">
                  <c:v>2033.17</c:v>
                </c:pt>
                <c:pt idx="3086">
                  <c:v>2044.59</c:v>
                </c:pt>
                <c:pt idx="3087">
                  <c:v>2031.86</c:v>
                </c:pt>
                <c:pt idx="3088">
                  <c:v>2021.68</c:v>
                </c:pt>
                <c:pt idx="3089">
                  <c:v>2031.96</c:v>
                </c:pt>
                <c:pt idx="3090">
                  <c:v>2039.29</c:v>
                </c:pt>
                <c:pt idx="3091">
                  <c:v>2039.29</c:v>
                </c:pt>
                <c:pt idx="3092">
                  <c:v>2039.29</c:v>
                </c:pt>
                <c:pt idx="3093">
                  <c:v>2035.54</c:v>
                </c:pt>
                <c:pt idx="3094">
                  <c:v>2037.1</c:v>
                </c:pt>
                <c:pt idx="3095">
                  <c:v>2047.79</c:v>
                </c:pt>
                <c:pt idx="3096">
                  <c:v>2055.35</c:v>
                </c:pt>
                <c:pt idx="3097">
                  <c:v>2076.85</c:v>
                </c:pt>
                <c:pt idx="3098">
                  <c:v>2076.85</c:v>
                </c:pt>
                <c:pt idx="3099">
                  <c:v>2076.85</c:v>
                </c:pt>
                <c:pt idx="3100">
                  <c:v>2094.73</c:v>
                </c:pt>
                <c:pt idx="3101">
                  <c:v>2111.94</c:v>
                </c:pt>
                <c:pt idx="3102">
                  <c:v>2142.14</c:v>
                </c:pt>
                <c:pt idx="3103">
                  <c:v>2113.2800000000002</c:v>
                </c:pt>
                <c:pt idx="3104">
                  <c:v>2096.52</c:v>
                </c:pt>
                <c:pt idx="3105">
                  <c:v>2096.52</c:v>
                </c:pt>
                <c:pt idx="3106">
                  <c:v>2096.52</c:v>
                </c:pt>
                <c:pt idx="3107">
                  <c:v>2077.2800000000002</c:v>
                </c:pt>
                <c:pt idx="3108">
                  <c:v>2084.92</c:v>
                </c:pt>
                <c:pt idx="3109">
                  <c:v>2096.96</c:v>
                </c:pt>
                <c:pt idx="3110">
                  <c:v>2095.1</c:v>
                </c:pt>
                <c:pt idx="3111">
                  <c:v>2118.5700000000002</c:v>
                </c:pt>
                <c:pt idx="3112">
                  <c:v>2118.5700000000002</c:v>
                </c:pt>
                <c:pt idx="3113">
                  <c:v>2118.5700000000002</c:v>
                </c:pt>
                <c:pt idx="3114">
                  <c:v>2118.5700000000002</c:v>
                </c:pt>
                <c:pt idx="3115">
                  <c:v>2121.73</c:v>
                </c:pt>
                <c:pt idx="3116">
                  <c:v>2127.0300000000002</c:v>
                </c:pt>
                <c:pt idx="3117">
                  <c:v>2125.3000000000002</c:v>
                </c:pt>
                <c:pt idx="3118">
                  <c:v>2115.86</c:v>
                </c:pt>
                <c:pt idx="3119">
                  <c:v>2115.86</c:v>
                </c:pt>
                <c:pt idx="3120">
                  <c:v>2115.86</c:v>
                </c:pt>
                <c:pt idx="3121">
                  <c:v>2106.9699999999998</c:v>
                </c:pt>
                <c:pt idx="3122">
                  <c:v>2122.2399999999998</c:v>
                </c:pt>
                <c:pt idx="3123">
                  <c:v>2111.09</c:v>
                </c:pt>
                <c:pt idx="3124">
                  <c:v>2110.5700000000002</c:v>
                </c:pt>
                <c:pt idx="3125">
                  <c:v>2114.8000000000002</c:v>
                </c:pt>
                <c:pt idx="3126">
                  <c:v>2114.8000000000002</c:v>
                </c:pt>
                <c:pt idx="3127">
                  <c:v>2114.8000000000002</c:v>
                </c:pt>
                <c:pt idx="3128">
                  <c:v>2115.15</c:v>
                </c:pt>
                <c:pt idx="3129">
                  <c:v>2123.58</c:v>
                </c:pt>
                <c:pt idx="3130">
                  <c:v>2134.34</c:v>
                </c:pt>
                <c:pt idx="3131">
                  <c:v>2129.13</c:v>
                </c:pt>
                <c:pt idx="3132">
                  <c:v>2123.9899999999998</c:v>
                </c:pt>
                <c:pt idx="3133">
                  <c:v>2123.9899999999998</c:v>
                </c:pt>
                <c:pt idx="3134">
                  <c:v>2123.9899999999998</c:v>
                </c:pt>
                <c:pt idx="3135">
                  <c:v>2123.9899999999998</c:v>
                </c:pt>
                <c:pt idx="3136">
                  <c:v>2135.65</c:v>
                </c:pt>
                <c:pt idx="3137">
                  <c:v>2136.2199999999998</c:v>
                </c:pt>
                <c:pt idx="3138">
                  <c:v>2139.11</c:v>
                </c:pt>
                <c:pt idx="3139">
                  <c:v>2150.7600000000002</c:v>
                </c:pt>
                <c:pt idx="3140">
                  <c:v>2150.7600000000002</c:v>
                </c:pt>
                <c:pt idx="3141">
                  <c:v>2150.7600000000002</c:v>
                </c:pt>
                <c:pt idx="3142">
                  <c:v>2150.7600000000002</c:v>
                </c:pt>
                <c:pt idx="3143">
                  <c:v>2151.0500000000002</c:v>
                </c:pt>
                <c:pt idx="3144">
                  <c:v>2163.44</c:v>
                </c:pt>
                <c:pt idx="3145">
                  <c:v>2168.65</c:v>
                </c:pt>
                <c:pt idx="3146">
                  <c:v>2165.5100000000002</c:v>
                </c:pt>
                <c:pt idx="3147">
                  <c:v>2165.5100000000002</c:v>
                </c:pt>
                <c:pt idx="3148">
                  <c:v>2165.5100000000002</c:v>
                </c:pt>
                <c:pt idx="3149">
                  <c:v>2171.63</c:v>
                </c:pt>
                <c:pt idx="3150">
                  <c:v>2182.56</c:v>
                </c:pt>
                <c:pt idx="3151">
                  <c:v>2172.16</c:v>
                </c:pt>
                <c:pt idx="3152">
                  <c:v>2166.2199999999998</c:v>
                </c:pt>
                <c:pt idx="3153">
                  <c:v>2156.3200000000002</c:v>
                </c:pt>
                <c:pt idx="3154">
                  <c:v>2156.3200000000002</c:v>
                </c:pt>
                <c:pt idx="3155">
                  <c:v>2156.3200000000002</c:v>
                </c:pt>
                <c:pt idx="3156">
                  <c:v>2144.0100000000002</c:v>
                </c:pt>
                <c:pt idx="3157">
                  <c:v>2151.56</c:v>
                </c:pt>
                <c:pt idx="3158">
                  <c:v>2155.81</c:v>
                </c:pt>
                <c:pt idx="3159">
                  <c:v>2155.81</c:v>
                </c:pt>
                <c:pt idx="3160">
                  <c:v>2152.3000000000002</c:v>
                </c:pt>
                <c:pt idx="3161">
                  <c:v>2152.3000000000002</c:v>
                </c:pt>
                <c:pt idx="3162">
                  <c:v>2152.3000000000002</c:v>
                </c:pt>
                <c:pt idx="3163">
                  <c:v>2147.65</c:v>
                </c:pt>
                <c:pt idx="3164">
                  <c:v>2153.91</c:v>
                </c:pt>
                <c:pt idx="3165">
                  <c:v>2165.37</c:v>
                </c:pt>
                <c:pt idx="3166">
                  <c:v>2173.7800000000002</c:v>
                </c:pt>
                <c:pt idx="3167">
                  <c:v>2172.79</c:v>
                </c:pt>
                <c:pt idx="3168">
                  <c:v>2172.79</c:v>
                </c:pt>
                <c:pt idx="3169">
                  <c:v>2172.79</c:v>
                </c:pt>
                <c:pt idx="3170">
                  <c:v>2174.5500000000002</c:v>
                </c:pt>
                <c:pt idx="3171">
                  <c:v>2175.02</c:v>
                </c:pt>
                <c:pt idx="3172">
                  <c:v>2173.62</c:v>
                </c:pt>
                <c:pt idx="3173">
                  <c:v>2177.67</c:v>
                </c:pt>
                <c:pt idx="3174">
                  <c:v>2180.64</c:v>
                </c:pt>
                <c:pt idx="3175">
                  <c:v>2180.64</c:v>
                </c:pt>
                <c:pt idx="3176">
                  <c:v>2180.64</c:v>
                </c:pt>
                <c:pt idx="3177">
                  <c:v>2180.64</c:v>
                </c:pt>
                <c:pt idx="3178">
                  <c:v>2176.52</c:v>
                </c:pt>
                <c:pt idx="3179">
                  <c:v>2176.17</c:v>
                </c:pt>
                <c:pt idx="3180">
                  <c:v>2179.6</c:v>
                </c:pt>
                <c:pt idx="3181">
                  <c:v>2180.89</c:v>
                </c:pt>
                <c:pt idx="3182">
                  <c:v>2180.89</c:v>
                </c:pt>
                <c:pt idx="3183">
                  <c:v>2180.89</c:v>
                </c:pt>
                <c:pt idx="3184">
                  <c:v>2180.9899999999998</c:v>
                </c:pt>
                <c:pt idx="3185">
                  <c:v>2185.4499999999998</c:v>
                </c:pt>
                <c:pt idx="3186">
                  <c:v>2185.46</c:v>
                </c:pt>
                <c:pt idx="3187">
                  <c:v>2185.75</c:v>
                </c:pt>
                <c:pt idx="3188">
                  <c:v>2183.0100000000002</c:v>
                </c:pt>
                <c:pt idx="3189">
                  <c:v>2183.0100000000002</c:v>
                </c:pt>
                <c:pt idx="3190">
                  <c:v>2183.0100000000002</c:v>
                </c:pt>
                <c:pt idx="3191">
                  <c:v>2183.0100000000002</c:v>
                </c:pt>
                <c:pt idx="3192">
                  <c:v>2187.83</c:v>
                </c:pt>
                <c:pt idx="3193">
                  <c:v>2196.7199999999998</c:v>
                </c:pt>
                <c:pt idx="3194">
                  <c:v>2205.6</c:v>
                </c:pt>
                <c:pt idx="3195">
                  <c:v>2208.8200000000002</c:v>
                </c:pt>
                <c:pt idx="3196">
                  <c:v>2208.8200000000002</c:v>
                </c:pt>
                <c:pt idx="3197">
                  <c:v>2208.8200000000002</c:v>
                </c:pt>
                <c:pt idx="3198">
                  <c:v>2208.17</c:v>
                </c:pt>
                <c:pt idx="3199">
                  <c:v>2204.2199999999998</c:v>
                </c:pt>
                <c:pt idx="3200">
                  <c:v>2208.21</c:v>
                </c:pt>
                <c:pt idx="3201">
                  <c:v>2212.9699999999998</c:v>
                </c:pt>
                <c:pt idx="3202">
                  <c:v>2214</c:v>
                </c:pt>
                <c:pt idx="3203">
                  <c:v>2214</c:v>
                </c:pt>
                <c:pt idx="3204">
                  <c:v>2214</c:v>
                </c:pt>
                <c:pt idx="3205">
                  <c:v>2210.3200000000002</c:v>
                </c:pt>
                <c:pt idx="3206">
                  <c:v>2211.13</c:v>
                </c:pt>
                <c:pt idx="3207">
                  <c:v>2211.11</c:v>
                </c:pt>
                <c:pt idx="3208">
                  <c:v>2209.1799999999998</c:v>
                </c:pt>
                <c:pt idx="3209">
                  <c:v>2204.85</c:v>
                </c:pt>
                <c:pt idx="3210">
                  <c:v>2204.85</c:v>
                </c:pt>
                <c:pt idx="3211">
                  <c:v>2204.85</c:v>
                </c:pt>
                <c:pt idx="3212">
                  <c:v>2206.39</c:v>
                </c:pt>
                <c:pt idx="3213">
                  <c:v>2206.9299999999998</c:v>
                </c:pt>
                <c:pt idx="3214">
                  <c:v>2208.64</c:v>
                </c:pt>
                <c:pt idx="3215">
                  <c:v>2212.73</c:v>
                </c:pt>
                <c:pt idx="3216">
                  <c:v>2210.34</c:v>
                </c:pt>
                <c:pt idx="3217">
                  <c:v>2210.34</c:v>
                </c:pt>
                <c:pt idx="3218">
                  <c:v>2210.34</c:v>
                </c:pt>
                <c:pt idx="3219">
                  <c:v>2211.36</c:v>
                </c:pt>
                <c:pt idx="3220">
                  <c:v>2210.81</c:v>
                </c:pt>
                <c:pt idx="3221">
                  <c:v>2212.9299999999998</c:v>
                </c:pt>
                <c:pt idx="3222">
                  <c:v>2223.46</c:v>
                </c:pt>
                <c:pt idx="3223">
                  <c:v>2232.2399999999998</c:v>
                </c:pt>
                <c:pt idx="3224">
                  <c:v>2232.2399999999998</c:v>
                </c:pt>
                <c:pt idx="3225">
                  <c:v>2232.2399999999998</c:v>
                </c:pt>
                <c:pt idx="3226">
                  <c:v>2228.0500000000002</c:v>
                </c:pt>
                <c:pt idx="3227">
                  <c:v>2222.67</c:v>
                </c:pt>
                <c:pt idx="3228">
                  <c:v>2216.9299999999998</c:v>
                </c:pt>
                <c:pt idx="3229">
                  <c:v>2211.94</c:v>
                </c:pt>
                <c:pt idx="3230">
                  <c:v>2212.2600000000002</c:v>
                </c:pt>
                <c:pt idx="3231">
                  <c:v>2212.2600000000002</c:v>
                </c:pt>
                <c:pt idx="3232">
                  <c:v>2212.2600000000002</c:v>
                </c:pt>
                <c:pt idx="3233">
                  <c:v>2210.4</c:v>
                </c:pt>
                <c:pt idx="3234">
                  <c:v>2201.5100000000002</c:v>
                </c:pt>
                <c:pt idx="3235">
                  <c:v>2194.98</c:v>
                </c:pt>
                <c:pt idx="3236">
                  <c:v>2185.06</c:v>
                </c:pt>
                <c:pt idx="3237">
                  <c:v>2187.38</c:v>
                </c:pt>
                <c:pt idx="3238">
                  <c:v>2187.38</c:v>
                </c:pt>
                <c:pt idx="3239">
                  <c:v>2187.38</c:v>
                </c:pt>
                <c:pt idx="3240">
                  <c:v>2184.2600000000002</c:v>
                </c:pt>
                <c:pt idx="3241">
                  <c:v>2182.17</c:v>
                </c:pt>
                <c:pt idx="3242">
                  <c:v>2175.9699999999998</c:v>
                </c:pt>
                <c:pt idx="3243">
                  <c:v>2175.96</c:v>
                </c:pt>
                <c:pt idx="3244">
                  <c:v>2180.69</c:v>
                </c:pt>
                <c:pt idx="3245">
                  <c:v>2180.69</c:v>
                </c:pt>
                <c:pt idx="3246">
                  <c:v>2180.69</c:v>
                </c:pt>
                <c:pt idx="3247">
                  <c:v>2180.69</c:v>
                </c:pt>
                <c:pt idx="3248">
                  <c:v>2178.13</c:v>
                </c:pt>
                <c:pt idx="3249">
                  <c:v>2162.86</c:v>
                </c:pt>
                <c:pt idx="3250">
                  <c:v>2152.31</c:v>
                </c:pt>
                <c:pt idx="3251">
                  <c:v>2159.79</c:v>
                </c:pt>
                <c:pt idx="3252">
                  <c:v>2159.79</c:v>
                </c:pt>
                <c:pt idx="3253">
                  <c:v>2159.79</c:v>
                </c:pt>
                <c:pt idx="3254">
                  <c:v>2157.84</c:v>
                </c:pt>
                <c:pt idx="3255">
                  <c:v>2153.1799999999998</c:v>
                </c:pt>
                <c:pt idx="3256">
                  <c:v>2170.3200000000002</c:v>
                </c:pt>
                <c:pt idx="3257">
                  <c:v>2167.2600000000002</c:v>
                </c:pt>
                <c:pt idx="3258">
                  <c:v>2158.14</c:v>
                </c:pt>
                <c:pt idx="3259">
                  <c:v>2158.14</c:v>
                </c:pt>
                <c:pt idx="3260">
                  <c:v>2158.14</c:v>
                </c:pt>
                <c:pt idx="3261">
                  <c:v>2158.36</c:v>
                </c:pt>
                <c:pt idx="3262">
                  <c:v>2147.89</c:v>
                </c:pt>
                <c:pt idx="3263">
                  <c:v>2138.9499999999998</c:v>
                </c:pt>
                <c:pt idx="3264">
                  <c:v>2136.73</c:v>
                </c:pt>
                <c:pt idx="3265">
                  <c:v>2139.21</c:v>
                </c:pt>
                <c:pt idx="3266">
                  <c:v>2139.21</c:v>
                </c:pt>
                <c:pt idx="3267">
                  <c:v>2139.21</c:v>
                </c:pt>
                <c:pt idx="3268">
                  <c:v>2139.21</c:v>
                </c:pt>
                <c:pt idx="3269">
                  <c:v>2134.08</c:v>
                </c:pt>
                <c:pt idx="3270">
                  <c:v>2124.84</c:v>
                </c:pt>
                <c:pt idx="3271">
                  <c:v>2127.5100000000002</c:v>
                </c:pt>
                <c:pt idx="3272">
                  <c:v>2126.41</c:v>
                </c:pt>
                <c:pt idx="3273">
                  <c:v>2126.41</c:v>
                </c:pt>
                <c:pt idx="3274">
                  <c:v>2126.41</c:v>
                </c:pt>
                <c:pt idx="3275">
                  <c:v>2126.41</c:v>
                </c:pt>
                <c:pt idx="3276">
                  <c:v>2125.17</c:v>
                </c:pt>
                <c:pt idx="3277">
                  <c:v>2125.31</c:v>
                </c:pt>
                <c:pt idx="3278">
                  <c:v>2121.64</c:v>
                </c:pt>
                <c:pt idx="3279">
                  <c:v>2122.63</c:v>
                </c:pt>
                <c:pt idx="3280">
                  <c:v>2122.63</c:v>
                </c:pt>
                <c:pt idx="3281">
                  <c:v>2122.63</c:v>
                </c:pt>
                <c:pt idx="3282">
                  <c:v>2122.61</c:v>
                </c:pt>
                <c:pt idx="3283">
                  <c:v>2124.16</c:v>
                </c:pt>
                <c:pt idx="3284">
                  <c:v>2131.7600000000002</c:v>
                </c:pt>
                <c:pt idx="3285">
                  <c:v>2141.14</c:v>
                </c:pt>
                <c:pt idx="3286">
                  <c:v>2141.91</c:v>
                </c:pt>
                <c:pt idx="3287">
                  <c:v>2141.91</c:v>
                </c:pt>
                <c:pt idx="3288">
                  <c:v>2141.91</c:v>
                </c:pt>
                <c:pt idx="3289">
                  <c:v>2158.0500000000002</c:v>
                </c:pt>
                <c:pt idx="3290">
                  <c:v>2169.8200000000002</c:v>
                </c:pt>
                <c:pt idx="3291">
                  <c:v>2172.84</c:v>
                </c:pt>
                <c:pt idx="3292">
                  <c:v>2168.6</c:v>
                </c:pt>
                <c:pt idx="3293">
                  <c:v>2174.85</c:v>
                </c:pt>
                <c:pt idx="3294">
                  <c:v>2174.85</c:v>
                </c:pt>
                <c:pt idx="3295">
                  <c:v>2174.85</c:v>
                </c:pt>
                <c:pt idx="3296">
                  <c:v>2180.3000000000002</c:v>
                </c:pt>
                <c:pt idx="3297">
                  <c:v>2184.1799999999998</c:v>
                </c:pt>
                <c:pt idx="3298">
                  <c:v>2174.29</c:v>
                </c:pt>
                <c:pt idx="3299">
                  <c:v>2176.33</c:v>
                </c:pt>
                <c:pt idx="3300">
                  <c:v>2176.33</c:v>
                </c:pt>
                <c:pt idx="3301">
                  <c:v>2176.33</c:v>
                </c:pt>
                <c:pt idx="3302">
                  <c:v>2176.33</c:v>
                </c:pt>
                <c:pt idx="3303">
                  <c:v>2175.5700000000002</c:v>
                </c:pt>
                <c:pt idx="3304">
                  <c:v>2183.08</c:v>
                </c:pt>
                <c:pt idx="3305">
                  <c:v>2186.87</c:v>
                </c:pt>
                <c:pt idx="3306">
                  <c:v>2184.7600000000002</c:v>
                </c:pt>
                <c:pt idx="3307">
                  <c:v>2175.91</c:v>
                </c:pt>
                <c:pt idx="3308">
                  <c:v>2175.91</c:v>
                </c:pt>
                <c:pt idx="3309">
                  <c:v>2175.91</c:v>
                </c:pt>
                <c:pt idx="3310">
                  <c:v>2179.13</c:v>
                </c:pt>
                <c:pt idx="3311">
                  <c:v>2187.17</c:v>
                </c:pt>
                <c:pt idx="3312">
                  <c:v>2185.0500000000002</c:v>
                </c:pt>
                <c:pt idx="3313">
                  <c:v>2187.02</c:v>
                </c:pt>
                <c:pt idx="3314">
                  <c:v>2193.5700000000002</c:v>
                </c:pt>
                <c:pt idx="3315">
                  <c:v>2193.5700000000002</c:v>
                </c:pt>
                <c:pt idx="3316">
                  <c:v>2193.5700000000002</c:v>
                </c:pt>
                <c:pt idx="3317">
                  <c:v>2193.5700000000002</c:v>
                </c:pt>
                <c:pt idx="3318">
                  <c:v>2196.7600000000002</c:v>
                </c:pt>
                <c:pt idx="3319">
                  <c:v>2215.35</c:v>
                </c:pt>
                <c:pt idx="3320">
                  <c:v>2229.1799999999998</c:v>
                </c:pt>
                <c:pt idx="3321">
                  <c:v>2229.1799999999998</c:v>
                </c:pt>
                <c:pt idx="3322">
                  <c:v>2229.1799999999998</c:v>
                </c:pt>
                <c:pt idx="3323">
                  <c:v>2229.1799999999998</c:v>
                </c:pt>
                <c:pt idx="3324">
                  <c:v>2229.1799999999998</c:v>
                </c:pt>
                <c:pt idx="3325">
                  <c:v>2219.6</c:v>
                </c:pt>
                <c:pt idx="3326">
                  <c:v>2224.38</c:v>
                </c:pt>
                <c:pt idx="3327">
                  <c:v>2239.89</c:v>
                </c:pt>
                <c:pt idx="3328">
                  <c:v>2243.16</c:v>
                </c:pt>
                <c:pt idx="3329">
                  <c:v>2243.16</c:v>
                </c:pt>
                <c:pt idx="3330">
                  <c:v>2243.16</c:v>
                </c:pt>
                <c:pt idx="3331">
                  <c:v>2243.16</c:v>
                </c:pt>
                <c:pt idx="3332">
                  <c:v>2235.4299999999998</c:v>
                </c:pt>
                <c:pt idx="3333">
                  <c:v>2230.14</c:v>
                </c:pt>
                <c:pt idx="3334">
                  <c:v>2246.58</c:v>
                </c:pt>
                <c:pt idx="3335">
                  <c:v>2251.75</c:v>
                </c:pt>
                <c:pt idx="3336">
                  <c:v>2251.75</c:v>
                </c:pt>
                <c:pt idx="3337">
                  <c:v>2251.75</c:v>
                </c:pt>
                <c:pt idx="3338">
                  <c:v>2248.61</c:v>
                </c:pt>
                <c:pt idx="3339">
                  <c:v>2245.89</c:v>
                </c:pt>
                <c:pt idx="3340">
                  <c:v>2236.46</c:v>
                </c:pt>
                <c:pt idx="3341">
                  <c:v>2246.7399999999998</c:v>
                </c:pt>
                <c:pt idx="3342">
                  <c:v>2244.59</c:v>
                </c:pt>
                <c:pt idx="3343">
                  <c:v>2244.59</c:v>
                </c:pt>
                <c:pt idx="3344">
                  <c:v>2244.59</c:v>
                </c:pt>
                <c:pt idx="3345">
                  <c:v>2240.02</c:v>
                </c:pt>
                <c:pt idx="3346">
                  <c:v>2255.8200000000002</c:v>
                </c:pt>
                <c:pt idx="3347">
                  <c:v>2254.35</c:v>
                </c:pt>
                <c:pt idx="3348">
                  <c:v>2250.0300000000002</c:v>
                </c:pt>
                <c:pt idx="3349">
                  <c:v>2245.46</c:v>
                </c:pt>
                <c:pt idx="3350">
                  <c:v>2245.46</c:v>
                </c:pt>
                <c:pt idx="3351">
                  <c:v>2245.46</c:v>
                </c:pt>
                <c:pt idx="3352">
                  <c:v>2240.56</c:v>
                </c:pt>
                <c:pt idx="3353">
                  <c:v>2240.8000000000002</c:v>
                </c:pt>
                <c:pt idx="3354">
                  <c:v>2242.08</c:v>
                </c:pt>
                <c:pt idx="3355">
                  <c:v>2240.04</c:v>
                </c:pt>
                <c:pt idx="3356">
                  <c:v>2242.1999999999998</c:v>
                </c:pt>
                <c:pt idx="3357">
                  <c:v>2242.1999999999998</c:v>
                </c:pt>
                <c:pt idx="3358">
                  <c:v>2242.1999999999998</c:v>
                </c:pt>
                <c:pt idx="3359">
                  <c:v>2238.35</c:v>
                </c:pt>
                <c:pt idx="3360">
                  <c:v>2235.0300000000002</c:v>
                </c:pt>
                <c:pt idx="3361">
                  <c:v>2238.09</c:v>
                </c:pt>
                <c:pt idx="3362">
                  <c:v>2242.6799999999998</c:v>
                </c:pt>
                <c:pt idx="3363">
                  <c:v>2237.58</c:v>
                </c:pt>
                <c:pt idx="3364">
                  <c:v>2237.58</c:v>
                </c:pt>
                <c:pt idx="3365">
                  <c:v>2237.58</c:v>
                </c:pt>
                <c:pt idx="3366">
                  <c:v>2229.59</c:v>
                </c:pt>
                <c:pt idx="3367">
                  <c:v>2237.37</c:v>
                </c:pt>
                <c:pt idx="3368">
                  <c:v>2239.0300000000002</c:v>
                </c:pt>
                <c:pt idx="3369">
                  <c:v>2238.61</c:v>
                </c:pt>
                <c:pt idx="3370">
                  <c:v>2238.5100000000002</c:v>
                </c:pt>
                <c:pt idx="3371">
                  <c:v>2238.5100000000002</c:v>
                </c:pt>
                <c:pt idx="3372">
                  <c:v>2238.5100000000002</c:v>
                </c:pt>
                <c:pt idx="3373">
                  <c:v>2245.16</c:v>
                </c:pt>
                <c:pt idx="3374">
                  <c:v>2247.09</c:v>
                </c:pt>
                <c:pt idx="3375">
                  <c:v>2252.65</c:v>
                </c:pt>
                <c:pt idx="3376">
                  <c:v>2252.86</c:v>
                </c:pt>
                <c:pt idx="3377">
                  <c:v>2257.6999999999998</c:v>
                </c:pt>
                <c:pt idx="3378">
                  <c:v>2257.6999999999998</c:v>
                </c:pt>
                <c:pt idx="3379">
                  <c:v>2257.6999999999998</c:v>
                </c:pt>
                <c:pt idx="3380">
                  <c:v>2256.42</c:v>
                </c:pt>
                <c:pt idx="3381">
                  <c:v>2257.4499999999998</c:v>
                </c:pt>
                <c:pt idx="3382">
                  <c:v>2259.64</c:v>
                </c:pt>
                <c:pt idx="3383">
                  <c:v>2265.44</c:v>
                </c:pt>
                <c:pt idx="3384">
                  <c:v>2264.09</c:v>
                </c:pt>
                <c:pt idx="3385">
                  <c:v>2264.09</c:v>
                </c:pt>
                <c:pt idx="3386">
                  <c:v>2264.09</c:v>
                </c:pt>
                <c:pt idx="3387">
                  <c:v>2259.0700000000002</c:v>
                </c:pt>
                <c:pt idx="3388">
                  <c:v>2260.33</c:v>
                </c:pt>
                <c:pt idx="3389">
                  <c:v>2262.06</c:v>
                </c:pt>
                <c:pt idx="3390">
                  <c:v>2262.5500000000002</c:v>
                </c:pt>
                <c:pt idx="3391">
                  <c:v>2264.0100000000002</c:v>
                </c:pt>
                <c:pt idx="3392">
                  <c:v>2264.0100000000002</c:v>
                </c:pt>
                <c:pt idx="3393">
                  <c:v>2264.0100000000002</c:v>
                </c:pt>
                <c:pt idx="3394">
                  <c:v>2275.98</c:v>
                </c:pt>
                <c:pt idx="3395">
                  <c:v>2275.92</c:v>
                </c:pt>
                <c:pt idx="3396">
                  <c:v>2282.0100000000002</c:v>
                </c:pt>
                <c:pt idx="3397">
                  <c:v>2281.02</c:v>
                </c:pt>
                <c:pt idx="3398">
                  <c:v>2282.96</c:v>
                </c:pt>
                <c:pt idx="3399">
                  <c:v>2282.96</c:v>
                </c:pt>
                <c:pt idx="3400">
                  <c:v>2282.96</c:v>
                </c:pt>
                <c:pt idx="3401">
                  <c:v>2282.96</c:v>
                </c:pt>
                <c:pt idx="3402">
                  <c:v>2282.17</c:v>
                </c:pt>
                <c:pt idx="3403">
                  <c:v>2284.04</c:v>
                </c:pt>
                <c:pt idx="3404">
                  <c:v>2290.02</c:v>
                </c:pt>
                <c:pt idx="3405">
                  <c:v>2295.7399999999998</c:v>
                </c:pt>
                <c:pt idx="3406">
                  <c:v>2295.7399999999998</c:v>
                </c:pt>
                <c:pt idx="3407">
                  <c:v>2295.7399999999998</c:v>
                </c:pt>
                <c:pt idx="3408">
                  <c:v>2293.9899999999998</c:v>
                </c:pt>
                <c:pt idx="3409">
                  <c:v>2299.6799999999998</c:v>
                </c:pt>
                <c:pt idx="3410">
                  <c:v>2303.86</c:v>
                </c:pt>
                <c:pt idx="3411">
                  <c:v>2309.83</c:v>
                </c:pt>
                <c:pt idx="3412">
                  <c:v>2310.5700000000002</c:v>
                </c:pt>
                <c:pt idx="3413">
                  <c:v>2310.5700000000002</c:v>
                </c:pt>
                <c:pt idx="3414">
                  <c:v>2310.5700000000002</c:v>
                </c:pt>
                <c:pt idx="3415">
                  <c:v>2304.19</c:v>
                </c:pt>
                <c:pt idx="3416">
                  <c:v>2308.64</c:v>
                </c:pt>
                <c:pt idx="3417">
                  <c:v>2315.81</c:v>
                </c:pt>
                <c:pt idx="3418">
                  <c:v>2317.46</c:v>
                </c:pt>
                <c:pt idx="3419">
                  <c:v>2318.58</c:v>
                </c:pt>
                <c:pt idx="3420">
                  <c:v>2318.58</c:v>
                </c:pt>
                <c:pt idx="3421">
                  <c:v>2318.58</c:v>
                </c:pt>
                <c:pt idx="3422">
                  <c:v>2315.21</c:v>
                </c:pt>
                <c:pt idx="3423">
                  <c:v>2309.84</c:v>
                </c:pt>
                <c:pt idx="3424">
                  <c:v>2314.0700000000002</c:v>
                </c:pt>
                <c:pt idx="3425">
                  <c:v>2314.0700000000002</c:v>
                </c:pt>
                <c:pt idx="3426">
                  <c:v>2314.0700000000002</c:v>
                </c:pt>
                <c:pt idx="3427">
                  <c:v>2314.0700000000002</c:v>
                </c:pt>
                <c:pt idx="3428">
                  <c:v>2314.0700000000002</c:v>
                </c:pt>
                <c:pt idx="3429">
                  <c:v>2320.1799999999998</c:v>
                </c:pt>
                <c:pt idx="3430">
                  <c:v>2319.5700000000002</c:v>
                </c:pt>
                <c:pt idx="3431">
                  <c:v>2316.91</c:v>
                </c:pt>
                <c:pt idx="3432">
                  <c:v>2327.08</c:v>
                </c:pt>
                <c:pt idx="3433">
                  <c:v>2329.73</c:v>
                </c:pt>
                <c:pt idx="3434">
                  <c:v>2329.73</c:v>
                </c:pt>
                <c:pt idx="3435">
                  <c:v>2329.73</c:v>
                </c:pt>
                <c:pt idx="3436">
                  <c:v>2334.38</c:v>
                </c:pt>
                <c:pt idx="3437">
                  <c:v>2339.16</c:v>
                </c:pt>
                <c:pt idx="3438">
                  <c:v>2345.21</c:v>
                </c:pt>
                <c:pt idx="3439">
                  <c:v>2345.5700000000002</c:v>
                </c:pt>
                <c:pt idx="3440">
                  <c:v>2346.73</c:v>
                </c:pt>
                <c:pt idx="3441">
                  <c:v>2346.73</c:v>
                </c:pt>
                <c:pt idx="3442">
                  <c:v>2346.73</c:v>
                </c:pt>
                <c:pt idx="3443">
                  <c:v>2341.09</c:v>
                </c:pt>
                <c:pt idx="3444">
                  <c:v>2341.09</c:v>
                </c:pt>
                <c:pt idx="3445">
                  <c:v>2345.96</c:v>
                </c:pt>
                <c:pt idx="3446">
                  <c:v>2349.9499999999998</c:v>
                </c:pt>
                <c:pt idx="3447">
                  <c:v>2354.4699999999998</c:v>
                </c:pt>
                <c:pt idx="3448">
                  <c:v>2354.4699999999998</c:v>
                </c:pt>
                <c:pt idx="3449">
                  <c:v>2354.4699999999998</c:v>
                </c:pt>
                <c:pt idx="3450">
                  <c:v>2359.54</c:v>
                </c:pt>
                <c:pt idx="3451">
                  <c:v>2359.2199999999998</c:v>
                </c:pt>
                <c:pt idx="3452">
                  <c:v>2359.98</c:v>
                </c:pt>
                <c:pt idx="3453">
                  <c:v>2359.79</c:v>
                </c:pt>
                <c:pt idx="3454">
                  <c:v>2367.3000000000002</c:v>
                </c:pt>
                <c:pt idx="3455">
                  <c:v>2367.3000000000002</c:v>
                </c:pt>
                <c:pt idx="3456">
                  <c:v>2367.3000000000002</c:v>
                </c:pt>
                <c:pt idx="3457">
                  <c:v>2371.58</c:v>
                </c:pt>
                <c:pt idx="3458">
                  <c:v>2376.9299999999998</c:v>
                </c:pt>
                <c:pt idx="3459">
                  <c:v>2378.21</c:v>
                </c:pt>
                <c:pt idx="3460">
                  <c:v>2378.41</c:v>
                </c:pt>
                <c:pt idx="3461">
                  <c:v>2348.88</c:v>
                </c:pt>
                <c:pt idx="3462">
                  <c:v>2348.88</c:v>
                </c:pt>
                <c:pt idx="3463">
                  <c:v>2348.88</c:v>
                </c:pt>
                <c:pt idx="3464">
                  <c:v>2314.75</c:v>
                </c:pt>
                <c:pt idx="3465">
                  <c:v>2316.7199999999998</c:v>
                </c:pt>
                <c:pt idx="3466">
                  <c:v>2295.23</c:v>
                </c:pt>
                <c:pt idx="3467">
                  <c:v>2310.64</c:v>
                </c:pt>
                <c:pt idx="3468">
                  <c:v>2339.98</c:v>
                </c:pt>
                <c:pt idx="3469">
                  <c:v>2339.98</c:v>
                </c:pt>
                <c:pt idx="3470">
                  <c:v>2339.98</c:v>
                </c:pt>
                <c:pt idx="3471">
                  <c:v>2339.98</c:v>
                </c:pt>
                <c:pt idx="3472">
                  <c:v>2331.91</c:v>
                </c:pt>
                <c:pt idx="3473">
                  <c:v>2324.98</c:v>
                </c:pt>
                <c:pt idx="3474">
                  <c:v>2327.25</c:v>
                </c:pt>
                <c:pt idx="3475">
                  <c:v>2319.16</c:v>
                </c:pt>
                <c:pt idx="3476">
                  <c:v>2319.16</c:v>
                </c:pt>
                <c:pt idx="3477">
                  <c:v>2319.16</c:v>
                </c:pt>
                <c:pt idx="3478">
                  <c:v>2296.88</c:v>
                </c:pt>
                <c:pt idx="3479">
                  <c:v>2303.37</c:v>
                </c:pt>
                <c:pt idx="3480">
                  <c:v>2303.38</c:v>
                </c:pt>
                <c:pt idx="3481">
                  <c:v>2303.41</c:v>
                </c:pt>
                <c:pt idx="3482">
                  <c:v>2296.31</c:v>
                </c:pt>
                <c:pt idx="3483">
                  <c:v>2296.31</c:v>
                </c:pt>
                <c:pt idx="3484">
                  <c:v>2296.31</c:v>
                </c:pt>
                <c:pt idx="3485">
                  <c:v>2309.06</c:v>
                </c:pt>
                <c:pt idx="3486">
                  <c:v>2313.7399999999998</c:v>
                </c:pt>
                <c:pt idx="3487">
                  <c:v>2302.16</c:v>
                </c:pt>
                <c:pt idx="3488">
                  <c:v>2300.1799999999998</c:v>
                </c:pt>
                <c:pt idx="3489">
                  <c:v>2303.13</c:v>
                </c:pt>
                <c:pt idx="3490">
                  <c:v>2303.13</c:v>
                </c:pt>
                <c:pt idx="3491">
                  <c:v>2303.13</c:v>
                </c:pt>
                <c:pt idx="3492">
                  <c:v>2303.13</c:v>
                </c:pt>
                <c:pt idx="3493">
                  <c:v>2307.7800000000002</c:v>
                </c:pt>
                <c:pt idx="3494">
                  <c:v>2305.35</c:v>
                </c:pt>
                <c:pt idx="3495">
                  <c:v>2300.46</c:v>
                </c:pt>
                <c:pt idx="3496">
                  <c:v>2298.88</c:v>
                </c:pt>
                <c:pt idx="3497">
                  <c:v>2298.88</c:v>
                </c:pt>
                <c:pt idx="3498">
                  <c:v>2298.88</c:v>
                </c:pt>
                <c:pt idx="3499">
                  <c:v>2298.88</c:v>
                </c:pt>
                <c:pt idx="3500">
                  <c:v>2304.6799999999998</c:v>
                </c:pt>
                <c:pt idx="3501">
                  <c:v>2307.0300000000002</c:v>
                </c:pt>
                <c:pt idx="3502">
                  <c:v>2305.33</c:v>
                </c:pt>
                <c:pt idx="3503">
                  <c:v>2298.85</c:v>
                </c:pt>
                <c:pt idx="3504">
                  <c:v>2298.85</c:v>
                </c:pt>
                <c:pt idx="3505">
                  <c:v>2298.85</c:v>
                </c:pt>
                <c:pt idx="3506">
                  <c:v>2298.85</c:v>
                </c:pt>
                <c:pt idx="3507">
                  <c:v>2300.02</c:v>
                </c:pt>
                <c:pt idx="3508">
                  <c:v>2303.2600000000002</c:v>
                </c:pt>
                <c:pt idx="3509">
                  <c:v>2303.36</c:v>
                </c:pt>
                <c:pt idx="3510">
                  <c:v>2304.75</c:v>
                </c:pt>
                <c:pt idx="3511">
                  <c:v>2304.75</c:v>
                </c:pt>
                <c:pt idx="3512">
                  <c:v>2304.75</c:v>
                </c:pt>
                <c:pt idx="3513">
                  <c:v>2305.37</c:v>
                </c:pt>
                <c:pt idx="3514">
                  <c:v>2306.16</c:v>
                </c:pt>
                <c:pt idx="3515">
                  <c:v>2312.21</c:v>
                </c:pt>
                <c:pt idx="3516">
                  <c:v>2323.9899999999998</c:v>
                </c:pt>
                <c:pt idx="3517">
                  <c:v>2317.92</c:v>
                </c:pt>
                <c:pt idx="3518">
                  <c:v>2317.92</c:v>
                </c:pt>
                <c:pt idx="3519">
                  <c:v>2317.92</c:v>
                </c:pt>
                <c:pt idx="3520">
                  <c:v>2302.56</c:v>
                </c:pt>
                <c:pt idx="3521">
                  <c:v>2298.7600000000002</c:v>
                </c:pt>
                <c:pt idx="3522">
                  <c:v>2298.63</c:v>
                </c:pt>
                <c:pt idx="3523">
                  <c:v>2301.67</c:v>
                </c:pt>
                <c:pt idx="3524">
                  <c:v>2301.67</c:v>
                </c:pt>
                <c:pt idx="3525">
                  <c:v>2301.67</c:v>
                </c:pt>
                <c:pt idx="3526">
                  <c:v>2301.67</c:v>
                </c:pt>
                <c:pt idx="3527">
                  <c:v>2302.2600000000002</c:v>
                </c:pt>
                <c:pt idx="3528">
                  <c:v>2301.56</c:v>
                </c:pt>
                <c:pt idx="3529">
                  <c:v>2302.6999999999998</c:v>
                </c:pt>
                <c:pt idx="3530">
                  <c:v>2301.5300000000002</c:v>
                </c:pt>
                <c:pt idx="3531">
                  <c:v>2301.6999999999998</c:v>
                </c:pt>
                <c:pt idx="3532">
                  <c:v>2301.6999999999998</c:v>
                </c:pt>
                <c:pt idx="3533">
                  <c:v>2301.6999999999998</c:v>
                </c:pt>
                <c:pt idx="3534">
                  <c:v>2298.27</c:v>
                </c:pt>
                <c:pt idx="3535">
                  <c:v>2293.25</c:v>
                </c:pt>
                <c:pt idx="3536">
                  <c:v>2295.19</c:v>
                </c:pt>
                <c:pt idx="3537">
                  <c:v>2298.91</c:v>
                </c:pt>
                <c:pt idx="3538">
                  <c:v>2295.7199999999998</c:v>
                </c:pt>
                <c:pt idx="3539">
                  <c:v>2295.7199999999998</c:v>
                </c:pt>
                <c:pt idx="3540">
                  <c:v>2295.7199999999998</c:v>
                </c:pt>
                <c:pt idx="3541">
                  <c:v>2291.46</c:v>
                </c:pt>
                <c:pt idx="3542">
                  <c:v>2291.46</c:v>
                </c:pt>
                <c:pt idx="3543">
                  <c:v>2295.0500000000002</c:v>
                </c:pt>
                <c:pt idx="3544">
                  <c:v>2291.5</c:v>
                </c:pt>
                <c:pt idx="3545">
                  <c:v>2288.0300000000002</c:v>
                </c:pt>
                <c:pt idx="3546">
                  <c:v>2288.0300000000002</c:v>
                </c:pt>
                <c:pt idx="3547">
                  <c:v>2288.0300000000002</c:v>
                </c:pt>
                <c:pt idx="3548">
                  <c:v>2284.9</c:v>
                </c:pt>
                <c:pt idx="3549">
                  <c:v>2284.98</c:v>
                </c:pt>
                <c:pt idx="3550">
                  <c:v>2291.41</c:v>
                </c:pt>
                <c:pt idx="3551">
                  <c:v>2288.1799999999998</c:v>
                </c:pt>
                <c:pt idx="3552">
                  <c:v>2285.06</c:v>
                </c:pt>
                <c:pt idx="3553">
                  <c:v>2285.06</c:v>
                </c:pt>
                <c:pt idx="3554">
                  <c:v>2285.06</c:v>
                </c:pt>
                <c:pt idx="3555">
                  <c:v>2285.06</c:v>
                </c:pt>
                <c:pt idx="3556">
                  <c:v>2283.86</c:v>
                </c:pt>
                <c:pt idx="3557">
                  <c:v>2279.25</c:v>
                </c:pt>
                <c:pt idx="3558">
                  <c:v>2275.0700000000002</c:v>
                </c:pt>
                <c:pt idx="3559">
                  <c:v>2273.5</c:v>
                </c:pt>
                <c:pt idx="3560">
                  <c:v>2273.5</c:v>
                </c:pt>
                <c:pt idx="3561">
                  <c:v>2273.5</c:v>
                </c:pt>
                <c:pt idx="3562">
                  <c:v>2282.56</c:v>
                </c:pt>
                <c:pt idx="3563">
                  <c:v>2290.5700000000002</c:v>
                </c:pt>
                <c:pt idx="3564">
                  <c:v>2297.2399999999998</c:v>
                </c:pt>
                <c:pt idx="3565">
                  <c:v>2301.23</c:v>
                </c:pt>
                <c:pt idx="3566">
                  <c:v>2296.85</c:v>
                </c:pt>
                <c:pt idx="3567">
                  <c:v>2296.85</c:v>
                </c:pt>
                <c:pt idx="3568">
                  <c:v>2296.85</c:v>
                </c:pt>
                <c:pt idx="3569">
                  <c:v>2305.15</c:v>
                </c:pt>
                <c:pt idx="3570">
                  <c:v>2305.2800000000002</c:v>
                </c:pt>
                <c:pt idx="3571">
                  <c:v>2312.87</c:v>
                </c:pt>
                <c:pt idx="3572">
                  <c:v>2317.02</c:v>
                </c:pt>
                <c:pt idx="3573">
                  <c:v>2320.09</c:v>
                </c:pt>
                <c:pt idx="3574">
                  <c:v>2320.09</c:v>
                </c:pt>
                <c:pt idx="3575">
                  <c:v>2320.09</c:v>
                </c:pt>
                <c:pt idx="3576">
                  <c:v>2324.7800000000002</c:v>
                </c:pt>
                <c:pt idx="3577">
                  <c:v>2341.2800000000002</c:v>
                </c:pt>
                <c:pt idx="3578">
                  <c:v>2341.14</c:v>
                </c:pt>
                <c:pt idx="3579">
                  <c:v>2337.25</c:v>
                </c:pt>
                <c:pt idx="3580">
                  <c:v>2342.44</c:v>
                </c:pt>
                <c:pt idx="3581">
                  <c:v>2342.44</c:v>
                </c:pt>
                <c:pt idx="3582">
                  <c:v>2342.44</c:v>
                </c:pt>
                <c:pt idx="3583">
                  <c:v>2342.1799999999998</c:v>
                </c:pt>
                <c:pt idx="3584">
                  <c:v>2338.39</c:v>
                </c:pt>
                <c:pt idx="3585">
                  <c:v>2342.04</c:v>
                </c:pt>
                <c:pt idx="3586">
                  <c:v>2341.6799999999998</c:v>
                </c:pt>
                <c:pt idx="3587">
                  <c:v>2342.1799999999998</c:v>
                </c:pt>
                <c:pt idx="3588">
                  <c:v>2342.1799999999998</c:v>
                </c:pt>
                <c:pt idx="3589">
                  <c:v>2342.1799999999998</c:v>
                </c:pt>
                <c:pt idx="3590">
                  <c:v>2329.6999999999998</c:v>
                </c:pt>
                <c:pt idx="3591">
                  <c:v>2327.09</c:v>
                </c:pt>
                <c:pt idx="3592">
                  <c:v>2328.4899999999998</c:v>
                </c:pt>
                <c:pt idx="3593">
                  <c:v>2328.75</c:v>
                </c:pt>
                <c:pt idx="3594">
                  <c:v>2332.19</c:v>
                </c:pt>
                <c:pt idx="3595">
                  <c:v>2332.19</c:v>
                </c:pt>
                <c:pt idx="3596">
                  <c:v>2332.19</c:v>
                </c:pt>
                <c:pt idx="3597">
                  <c:v>2338.4499999999998</c:v>
                </c:pt>
                <c:pt idx="3598">
                  <c:v>2334.2399999999998</c:v>
                </c:pt>
                <c:pt idx="3599">
                  <c:v>2336.1799999999998</c:v>
                </c:pt>
                <c:pt idx="3600">
                  <c:v>2336.2800000000002</c:v>
                </c:pt>
                <c:pt idx="3601">
                  <c:v>2331.0300000000002</c:v>
                </c:pt>
                <c:pt idx="3602">
                  <c:v>2331.0300000000002</c:v>
                </c:pt>
                <c:pt idx="3603">
                  <c:v>2331.0300000000002</c:v>
                </c:pt>
                <c:pt idx="3604">
                  <c:v>2331.02</c:v>
                </c:pt>
                <c:pt idx="3605">
                  <c:v>2328.91</c:v>
                </c:pt>
                <c:pt idx="3606">
                  <c:v>2320.41</c:v>
                </c:pt>
                <c:pt idx="3607">
                  <c:v>2312.33</c:v>
                </c:pt>
                <c:pt idx="3608">
                  <c:v>2314.7399999999998</c:v>
                </c:pt>
                <c:pt idx="3609">
                  <c:v>2314.7399999999998</c:v>
                </c:pt>
                <c:pt idx="3610">
                  <c:v>2314.7399999999998</c:v>
                </c:pt>
                <c:pt idx="3611">
                  <c:v>2314.7399999999998</c:v>
                </c:pt>
                <c:pt idx="3612">
                  <c:v>2303.3000000000002</c:v>
                </c:pt>
                <c:pt idx="3613">
                  <c:v>2300.0100000000002</c:v>
                </c:pt>
                <c:pt idx="3614">
                  <c:v>2313.2399999999998</c:v>
                </c:pt>
                <c:pt idx="3615">
                  <c:v>2315.2600000000002</c:v>
                </c:pt>
                <c:pt idx="3616">
                  <c:v>2315.2600000000002</c:v>
                </c:pt>
                <c:pt idx="3617">
                  <c:v>2315.2600000000002</c:v>
                </c:pt>
                <c:pt idx="3618">
                  <c:v>2318.4699999999998</c:v>
                </c:pt>
                <c:pt idx="3619">
                  <c:v>2316.14</c:v>
                </c:pt>
                <c:pt idx="3620">
                  <c:v>2319.5300000000002</c:v>
                </c:pt>
                <c:pt idx="3621">
                  <c:v>2316.6799999999998</c:v>
                </c:pt>
                <c:pt idx="3622">
                  <c:v>2314.5</c:v>
                </c:pt>
                <c:pt idx="3623">
                  <c:v>2314.5</c:v>
                </c:pt>
                <c:pt idx="3624">
                  <c:v>2314.5</c:v>
                </c:pt>
                <c:pt idx="3625">
                  <c:v>2311.42</c:v>
                </c:pt>
                <c:pt idx="3626">
                  <c:v>2310.02</c:v>
                </c:pt>
                <c:pt idx="3627">
                  <c:v>2309.12</c:v>
                </c:pt>
                <c:pt idx="3628">
                  <c:v>2309.89</c:v>
                </c:pt>
                <c:pt idx="3629">
                  <c:v>2309.42</c:v>
                </c:pt>
                <c:pt idx="3630">
                  <c:v>2309.42</c:v>
                </c:pt>
                <c:pt idx="3631">
                  <c:v>2309.42</c:v>
                </c:pt>
                <c:pt idx="3632">
                  <c:v>2309.42</c:v>
                </c:pt>
                <c:pt idx="3633">
                  <c:v>2309.2199999999998</c:v>
                </c:pt>
                <c:pt idx="3634">
                  <c:v>2306.5700000000002</c:v>
                </c:pt>
                <c:pt idx="3635">
                  <c:v>2307.2399999999998</c:v>
                </c:pt>
                <c:pt idx="3636">
                  <c:v>2303.6799999999998</c:v>
                </c:pt>
                <c:pt idx="3637">
                  <c:v>2303.6799999999998</c:v>
                </c:pt>
                <c:pt idx="3638">
                  <c:v>2303.6799999999998</c:v>
                </c:pt>
                <c:pt idx="3639">
                  <c:v>2303.6799999999998</c:v>
                </c:pt>
                <c:pt idx="3640">
                  <c:v>2300.69</c:v>
                </c:pt>
                <c:pt idx="3641">
                  <c:v>2302.81</c:v>
                </c:pt>
                <c:pt idx="3642">
                  <c:v>2311.5700000000002</c:v>
                </c:pt>
                <c:pt idx="3643">
                  <c:v>2314.33</c:v>
                </c:pt>
                <c:pt idx="3644">
                  <c:v>2314.33</c:v>
                </c:pt>
                <c:pt idx="3645">
                  <c:v>2314.33</c:v>
                </c:pt>
                <c:pt idx="3646">
                  <c:v>2310.9</c:v>
                </c:pt>
                <c:pt idx="3647">
                  <c:v>2314.86</c:v>
                </c:pt>
                <c:pt idx="3648">
                  <c:v>2319.34</c:v>
                </c:pt>
                <c:pt idx="3649">
                  <c:v>2317.5700000000002</c:v>
                </c:pt>
                <c:pt idx="3650">
                  <c:v>2316.4</c:v>
                </c:pt>
                <c:pt idx="3651">
                  <c:v>2316.4</c:v>
                </c:pt>
                <c:pt idx="3652">
                  <c:v>2316.4</c:v>
                </c:pt>
                <c:pt idx="3653">
                  <c:v>2313.2600000000002</c:v>
                </c:pt>
                <c:pt idx="3654">
                  <c:v>2312.9</c:v>
                </c:pt>
                <c:pt idx="3655">
                  <c:v>2310.9699999999998</c:v>
                </c:pt>
                <c:pt idx="3656">
                  <c:v>2308.59</c:v>
                </c:pt>
                <c:pt idx="3657">
                  <c:v>2303.35</c:v>
                </c:pt>
                <c:pt idx="3658">
                  <c:v>2303.35</c:v>
                </c:pt>
                <c:pt idx="3659">
                  <c:v>2303.35</c:v>
                </c:pt>
                <c:pt idx="3660">
                  <c:v>2304.13</c:v>
                </c:pt>
                <c:pt idx="3661">
                  <c:v>2314.7600000000002</c:v>
                </c:pt>
                <c:pt idx="3662">
                  <c:v>2315.36</c:v>
                </c:pt>
                <c:pt idx="3663">
                  <c:v>2314.89</c:v>
                </c:pt>
                <c:pt idx="3664">
                  <c:v>2310.9</c:v>
                </c:pt>
                <c:pt idx="3665">
                  <c:v>2310.9</c:v>
                </c:pt>
                <c:pt idx="3666">
                  <c:v>2310.9</c:v>
                </c:pt>
                <c:pt idx="3667">
                  <c:v>2308.41</c:v>
                </c:pt>
                <c:pt idx="3668">
                  <c:v>2306.56</c:v>
                </c:pt>
                <c:pt idx="3669">
                  <c:v>2307.12</c:v>
                </c:pt>
                <c:pt idx="3670">
                  <c:v>2312</c:v>
                </c:pt>
                <c:pt idx="3671">
                  <c:v>2318.67</c:v>
                </c:pt>
                <c:pt idx="3672">
                  <c:v>2318.67</c:v>
                </c:pt>
                <c:pt idx="3673">
                  <c:v>2318.67</c:v>
                </c:pt>
                <c:pt idx="3674">
                  <c:v>2310.58</c:v>
                </c:pt>
                <c:pt idx="3675">
                  <c:v>2306.8200000000002</c:v>
                </c:pt>
                <c:pt idx="3676">
                  <c:v>2307.1</c:v>
                </c:pt>
                <c:pt idx="3677">
                  <c:v>2306.88</c:v>
                </c:pt>
                <c:pt idx="3678">
                  <c:v>2303.15</c:v>
                </c:pt>
                <c:pt idx="3679">
                  <c:v>2303.15</c:v>
                </c:pt>
                <c:pt idx="3680">
                  <c:v>2303.15</c:v>
                </c:pt>
                <c:pt idx="3681">
                  <c:v>2297.59</c:v>
                </c:pt>
                <c:pt idx="3682">
                  <c:v>2297.59</c:v>
                </c:pt>
                <c:pt idx="3683">
                  <c:v>2297.17</c:v>
                </c:pt>
                <c:pt idx="3684">
                  <c:v>2301.33</c:v>
                </c:pt>
                <c:pt idx="3685">
                  <c:v>2291.1799999999998</c:v>
                </c:pt>
                <c:pt idx="3686">
                  <c:v>2291.1799999999998</c:v>
                </c:pt>
                <c:pt idx="3687">
                  <c:v>2291.1799999999998</c:v>
                </c:pt>
                <c:pt idx="3688">
                  <c:v>2291.1799999999998</c:v>
                </c:pt>
                <c:pt idx="3689">
                  <c:v>2291.1799999999998</c:v>
                </c:pt>
                <c:pt idx="3690">
                  <c:v>2289.42</c:v>
                </c:pt>
                <c:pt idx="3691">
                  <c:v>2289.91</c:v>
                </c:pt>
                <c:pt idx="3692">
                  <c:v>2295.59</c:v>
                </c:pt>
                <c:pt idx="3693">
                  <c:v>2295.59</c:v>
                </c:pt>
                <c:pt idx="3694">
                  <c:v>2295.59</c:v>
                </c:pt>
                <c:pt idx="3695">
                  <c:v>2295.59</c:v>
                </c:pt>
                <c:pt idx="3696">
                  <c:v>2306.31</c:v>
                </c:pt>
                <c:pt idx="3697">
                  <c:v>2306.35</c:v>
                </c:pt>
                <c:pt idx="3698">
                  <c:v>2311.5700000000002</c:v>
                </c:pt>
                <c:pt idx="3699">
                  <c:v>2304.54</c:v>
                </c:pt>
                <c:pt idx="3700">
                  <c:v>2304.54</c:v>
                </c:pt>
                <c:pt idx="3701">
                  <c:v>2304.54</c:v>
                </c:pt>
                <c:pt idx="3702">
                  <c:v>2297.31</c:v>
                </c:pt>
                <c:pt idx="3703">
                  <c:v>2280.73</c:v>
                </c:pt>
                <c:pt idx="3704">
                  <c:v>2265.66</c:v>
                </c:pt>
                <c:pt idx="3705">
                  <c:v>2265.0100000000002</c:v>
                </c:pt>
                <c:pt idx="3706">
                  <c:v>2269.7600000000002</c:v>
                </c:pt>
                <c:pt idx="3707">
                  <c:v>2269.7600000000002</c:v>
                </c:pt>
                <c:pt idx="3708">
                  <c:v>2269.7600000000002</c:v>
                </c:pt>
                <c:pt idx="3709">
                  <c:v>2259.2399999999998</c:v>
                </c:pt>
                <c:pt idx="3710">
                  <c:v>2247.29</c:v>
                </c:pt>
                <c:pt idx="3711">
                  <c:v>2239.92</c:v>
                </c:pt>
                <c:pt idx="3712">
                  <c:v>2231.98</c:v>
                </c:pt>
                <c:pt idx="3713">
                  <c:v>2242.67</c:v>
                </c:pt>
                <c:pt idx="3714">
                  <c:v>2242.67</c:v>
                </c:pt>
                <c:pt idx="3715">
                  <c:v>2242.67</c:v>
                </c:pt>
                <c:pt idx="3716">
                  <c:v>2252.37</c:v>
                </c:pt>
                <c:pt idx="3717">
                  <c:v>2262.4499999999998</c:v>
                </c:pt>
                <c:pt idx="3718">
                  <c:v>2264.8200000000002</c:v>
                </c:pt>
                <c:pt idx="3719">
                  <c:v>2265.9899999999998</c:v>
                </c:pt>
                <c:pt idx="3720">
                  <c:v>2267.33</c:v>
                </c:pt>
                <c:pt idx="3721">
                  <c:v>2267.33</c:v>
                </c:pt>
                <c:pt idx="3722">
                  <c:v>2267.33</c:v>
                </c:pt>
                <c:pt idx="3723">
                  <c:v>2266.61</c:v>
                </c:pt>
                <c:pt idx="3724">
                  <c:v>2259.81</c:v>
                </c:pt>
                <c:pt idx="3725">
                  <c:v>2254.98</c:v>
                </c:pt>
                <c:pt idx="3726">
                  <c:v>2260.17</c:v>
                </c:pt>
                <c:pt idx="3727">
                  <c:v>2272.7600000000002</c:v>
                </c:pt>
                <c:pt idx="3728">
                  <c:v>2272.7600000000002</c:v>
                </c:pt>
                <c:pt idx="3729">
                  <c:v>2272.7600000000002</c:v>
                </c:pt>
                <c:pt idx="3730">
                  <c:v>2283.14</c:v>
                </c:pt>
                <c:pt idx="3731">
                  <c:v>2290.19</c:v>
                </c:pt>
                <c:pt idx="3732">
                  <c:v>2309.27</c:v>
                </c:pt>
                <c:pt idx="3733">
                  <c:v>2312.0300000000002</c:v>
                </c:pt>
                <c:pt idx="3734">
                  <c:v>2288.54</c:v>
                </c:pt>
                <c:pt idx="3735">
                  <c:v>2288.54</c:v>
                </c:pt>
                <c:pt idx="3736">
                  <c:v>2288.54</c:v>
                </c:pt>
                <c:pt idx="3737">
                  <c:v>2288.98</c:v>
                </c:pt>
                <c:pt idx="3738">
                  <c:v>2280.98</c:v>
                </c:pt>
                <c:pt idx="3739">
                  <c:v>2282.94</c:v>
                </c:pt>
                <c:pt idx="3740">
                  <c:v>2309.4499999999998</c:v>
                </c:pt>
                <c:pt idx="3741">
                  <c:v>2307.75</c:v>
                </c:pt>
                <c:pt idx="3742">
                  <c:v>2307.75</c:v>
                </c:pt>
                <c:pt idx="3743">
                  <c:v>2307.75</c:v>
                </c:pt>
                <c:pt idx="3744">
                  <c:v>2310.21</c:v>
                </c:pt>
                <c:pt idx="3745">
                  <c:v>2313.13</c:v>
                </c:pt>
                <c:pt idx="3746">
                  <c:v>2309.8200000000002</c:v>
                </c:pt>
                <c:pt idx="3747">
                  <c:v>2306.4499999999998</c:v>
                </c:pt>
                <c:pt idx="3748">
                  <c:v>2306.33</c:v>
                </c:pt>
                <c:pt idx="3749">
                  <c:v>2306.33</c:v>
                </c:pt>
                <c:pt idx="3750">
                  <c:v>2306.33</c:v>
                </c:pt>
                <c:pt idx="3751">
                  <c:v>2299.15</c:v>
                </c:pt>
                <c:pt idx="3752">
                  <c:v>2293.6</c:v>
                </c:pt>
                <c:pt idx="3753">
                  <c:v>2290</c:v>
                </c:pt>
                <c:pt idx="3754">
                  <c:v>2289.83</c:v>
                </c:pt>
                <c:pt idx="3755">
                  <c:v>2283.83</c:v>
                </c:pt>
                <c:pt idx="3756">
                  <c:v>2283.83</c:v>
                </c:pt>
                <c:pt idx="3757">
                  <c:v>2283.83</c:v>
                </c:pt>
                <c:pt idx="3758">
                  <c:v>2269.88</c:v>
                </c:pt>
                <c:pt idx="3759">
                  <c:v>2269.17</c:v>
                </c:pt>
                <c:pt idx="3760">
                  <c:v>2270.66</c:v>
                </c:pt>
                <c:pt idx="3761">
                  <c:v>2272.27</c:v>
                </c:pt>
                <c:pt idx="3762">
                  <c:v>2278.56</c:v>
                </c:pt>
                <c:pt idx="3763">
                  <c:v>2278.56</c:v>
                </c:pt>
                <c:pt idx="3764">
                  <c:v>2278.56</c:v>
                </c:pt>
                <c:pt idx="3765">
                  <c:v>2282.25</c:v>
                </c:pt>
                <c:pt idx="3766">
                  <c:v>2274.5300000000002</c:v>
                </c:pt>
                <c:pt idx="3767">
                  <c:v>2279.6</c:v>
                </c:pt>
                <c:pt idx="3768">
                  <c:v>2280</c:v>
                </c:pt>
                <c:pt idx="3769">
                  <c:v>2274.4699999999998</c:v>
                </c:pt>
                <c:pt idx="3770">
                  <c:v>2274.4699999999998</c:v>
                </c:pt>
                <c:pt idx="3771">
                  <c:v>2274.4699999999998</c:v>
                </c:pt>
                <c:pt idx="3772">
                  <c:v>2274.4699999999998</c:v>
                </c:pt>
                <c:pt idx="3773">
                  <c:v>2261.37</c:v>
                </c:pt>
                <c:pt idx="3774">
                  <c:v>2261.23</c:v>
                </c:pt>
                <c:pt idx="3775">
                  <c:v>2261.23</c:v>
                </c:pt>
                <c:pt idx="3776">
                  <c:v>2261.23</c:v>
                </c:pt>
                <c:pt idx="3777">
                  <c:v>2261.23</c:v>
                </c:pt>
                <c:pt idx="3778">
                  <c:v>2261.23</c:v>
                </c:pt>
                <c:pt idx="3779">
                  <c:v>2264.5700000000002</c:v>
                </c:pt>
                <c:pt idx="3780">
                  <c:v>2257.16</c:v>
                </c:pt>
                <c:pt idx="3781">
                  <c:v>2267.9899999999998</c:v>
                </c:pt>
                <c:pt idx="3782">
                  <c:v>2269.35</c:v>
                </c:pt>
                <c:pt idx="3783">
                  <c:v>2263.0300000000002</c:v>
                </c:pt>
                <c:pt idx="3784">
                  <c:v>2263.0300000000002</c:v>
                </c:pt>
                <c:pt idx="3785">
                  <c:v>2263.0300000000002</c:v>
                </c:pt>
                <c:pt idx="3786">
                  <c:v>2255.02</c:v>
                </c:pt>
                <c:pt idx="3787">
                  <c:v>2254.4499999999998</c:v>
                </c:pt>
                <c:pt idx="3788">
                  <c:v>2257.7800000000002</c:v>
                </c:pt>
                <c:pt idx="3789">
                  <c:v>2261.66</c:v>
                </c:pt>
                <c:pt idx="3790">
                  <c:v>2264.98</c:v>
                </c:pt>
                <c:pt idx="3791">
                  <c:v>2264.98</c:v>
                </c:pt>
                <c:pt idx="3792">
                  <c:v>2264.98</c:v>
                </c:pt>
                <c:pt idx="3793">
                  <c:v>2266.92</c:v>
                </c:pt>
                <c:pt idx="3794">
                  <c:v>2262.56</c:v>
                </c:pt>
                <c:pt idx="3795">
                  <c:v>2261.12</c:v>
                </c:pt>
                <c:pt idx="3796">
                  <c:v>2256.66</c:v>
                </c:pt>
                <c:pt idx="3797">
                  <c:v>2260.9</c:v>
                </c:pt>
                <c:pt idx="3798">
                  <c:v>2260.9</c:v>
                </c:pt>
                <c:pt idx="3799">
                  <c:v>2260.9</c:v>
                </c:pt>
                <c:pt idx="3800">
                  <c:v>2259.88</c:v>
                </c:pt>
                <c:pt idx="3801">
                  <c:v>2263.6799999999998</c:v>
                </c:pt>
                <c:pt idx="3802">
                  <c:v>2265.6999999999998</c:v>
                </c:pt>
                <c:pt idx="3803">
                  <c:v>2267.4</c:v>
                </c:pt>
                <c:pt idx="3804">
                  <c:v>2270.92</c:v>
                </c:pt>
                <c:pt idx="3805">
                  <c:v>2270.92</c:v>
                </c:pt>
                <c:pt idx="3806">
                  <c:v>2270.92</c:v>
                </c:pt>
                <c:pt idx="3807">
                  <c:v>2275.35</c:v>
                </c:pt>
                <c:pt idx="3808">
                  <c:v>2275.4299999999998</c:v>
                </c:pt>
                <c:pt idx="3809">
                  <c:v>2275.4299999999998</c:v>
                </c:pt>
                <c:pt idx="3810">
                  <c:v>2279.56</c:v>
                </c:pt>
                <c:pt idx="3811">
                  <c:v>2286.39</c:v>
                </c:pt>
                <c:pt idx="3812">
                  <c:v>2286.39</c:v>
                </c:pt>
                <c:pt idx="3813">
                  <c:v>2286.39</c:v>
                </c:pt>
                <c:pt idx="3814">
                  <c:v>2285.64</c:v>
                </c:pt>
                <c:pt idx="3815">
                  <c:v>2286.6</c:v>
                </c:pt>
                <c:pt idx="3816">
                  <c:v>2284.9299999999998</c:v>
                </c:pt>
                <c:pt idx="3817">
                  <c:v>2289.17</c:v>
                </c:pt>
                <c:pt idx="3818">
                  <c:v>2292</c:v>
                </c:pt>
                <c:pt idx="3819">
                  <c:v>2292</c:v>
                </c:pt>
                <c:pt idx="3820">
                  <c:v>2292</c:v>
                </c:pt>
                <c:pt idx="3821">
                  <c:v>2292</c:v>
                </c:pt>
                <c:pt idx="3822">
                  <c:v>2293</c:v>
                </c:pt>
                <c:pt idx="3823">
                  <c:v>2300.02</c:v>
                </c:pt>
                <c:pt idx="3824">
                  <c:v>2314.21</c:v>
                </c:pt>
                <c:pt idx="3825">
                  <c:v>2332.6799999999998</c:v>
                </c:pt>
                <c:pt idx="3826">
                  <c:v>2332.6799999999998</c:v>
                </c:pt>
                <c:pt idx="3827">
                  <c:v>2332.6799999999998</c:v>
                </c:pt>
                <c:pt idx="3828">
                  <c:v>2350.1999999999998</c:v>
                </c:pt>
                <c:pt idx="3829">
                  <c:v>2363.2800000000002</c:v>
                </c:pt>
                <c:pt idx="3830">
                  <c:v>2349.8000000000002</c:v>
                </c:pt>
                <c:pt idx="3831">
                  <c:v>2338.5500000000002</c:v>
                </c:pt>
                <c:pt idx="3832">
                  <c:v>2331.0700000000002</c:v>
                </c:pt>
                <c:pt idx="3833">
                  <c:v>2331.0700000000002</c:v>
                </c:pt>
                <c:pt idx="3834">
                  <c:v>2331.0700000000002</c:v>
                </c:pt>
                <c:pt idx="3835">
                  <c:v>2309.85</c:v>
                </c:pt>
                <c:pt idx="3836">
                  <c:v>2314.3000000000002</c:v>
                </c:pt>
                <c:pt idx="3837">
                  <c:v>2317.12</c:v>
                </c:pt>
                <c:pt idx="3838">
                  <c:v>2321.16</c:v>
                </c:pt>
                <c:pt idx="3839">
                  <c:v>2321.6799999999998</c:v>
                </c:pt>
                <c:pt idx="3840">
                  <c:v>2321.6799999999998</c:v>
                </c:pt>
                <c:pt idx="3841">
                  <c:v>2321.6799999999998</c:v>
                </c:pt>
                <c:pt idx="3842">
                  <c:v>2321.6799999999998</c:v>
                </c:pt>
                <c:pt idx="3843">
                  <c:v>2324.54</c:v>
                </c:pt>
                <c:pt idx="3844">
                  <c:v>2331.69</c:v>
                </c:pt>
                <c:pt idx="3845">
                  <c:v>2335.3000000000002</c:v>
                </c:pt>
                <c:pt idx="3846">
                  <c:v>2336.11</c:v>
                </c:pt>
                <c:pt idx="3847">
                  <c:v>2336.11</c:v>
                </c:pt>
                <c:pt idx="3848">
                  <c:v>2336.11</c:v>
                </c:pt>
                <c:pt idx="3849">
                  <c:v>2336.11</c:v>
                </c:pt>
                <c:pt idx="3850">
                  <c:v>2340.36</c:v>
                </c:pt>
                <c:pt idx="3851">
                  <c:v>2347.6799999999998</c:v>
                </c:pt>
                <c:pt idx="3852">
                  <c:v>2357.14</c:v>
                </c:pt>
                <c:pt idx="3853">
                  <c:v>2369.12</c:v>
                </c:pt>
                <c:pt idx="3854">
                  <c:v>2369.12</c:v>
                </c:pt>
                <c:pt idx="3855">
                  <c:v>2369.12</c:v>
                </c:pt>
                <c:pt idx="3856">
                  <c:v>2379.92</c:v>
                </c:pt>
                <c:pt idx="3857">
                  <c:v>2383.31</c:v>
                </c:pt>
                <c:pt idx="3858">
                  <c:v>2393.87</c:v>
                </c:pt>
                <c:pt idx="3859">
                  <c:v>2391.65</c:v>
                </c:pt>
                <c:pt idx="3860">
                  <c:v>2384.2199999999998</c:v>
                </c:pt>
                <c:pt idx="3861">
                  <c:v>2384.2199999999998</c:v>
                </c:pt>
                <c:pt idx="3862">
                  <c:v>2384.2199999999998</c:v>
                </c:pt>
                <c:pt idx="3863">
                  <c:v>2383.41</c:v>
                </c:pt>
                <c:pt idx="3864">
                  <c:v>2386.1799999999998</c:v>
                </c:pt>
                <c:pt idx="3865">
                  <c:v>2392.13</c:v>
                </c:pt>
                <c:pt idx="3866">
                  <c:v>2398.14</c:v>
                </c:pt>
                <c:pt idx="3867">
                  <c:v>2398.8200000000002</c:v>
                </c:pt>
                <c:pt idx="3868">
                  <c:v>2398.8200000000002</c:v>
                </c:pt>
                <c:pt idx="3869">
                  <c:v>2398.8200000000002</c:v>
                </c:pt>
                <c:pt idx="3870">
                  <c:v>2398.8200000000002</c:v>
                </c:pt>
                <c:pt idx="3871">
                  <c:v>2410.54</c:v>
                </c:pt>
                <c:pt idx="3872">
                  <c:v>2425.42</c:v>
                </c:pt>
                <c:pt idx="3873">
                  <c:v>2426.4</c:v>
                </c:pt>
                <c:pt idx="3874">
                  <c:v>2434.3200000000002</c:v>
                </c:pt>
                <c:pt idx="3875">
                  <c:v>2434.3200000000002</c:v>
                </c:pt>
                <c:pt idx="3876">
                  <c:v>2434.3200000000002</c:v>
                </c:pt>
                <c:pt idx="3877">
                  <c:v>2457.39</c:v>
                </c:pt>
                <c:pt idx="3878">
                  <c:v>2462.1799999999998</c:v>
                </c:pt>
                <c:pt idx="3879">
                  <c:v>2482.21</c:v>
                </c:pt>
                <c:pt idx="3880">
                  <c:v>2506.84</c:v>
                </c:pt>
                <c:pt idx="3881">
                  <c:v>2513.9899999999998</c:v>
                </c:pt>
                <c:pt idx="3882">
                  <c:v>2513.9899999999998</c:v>
                </c:pt>
                <c:pt idx="3883">
                  <c:v>2513.9899999999998</c:v>
                </c:pt>
                <c:pt idx="3884">
                  <c:v>2507.21</c:v>
                </c:pt>
                <c:pt idx="3885">
                  <c:v>2499.92</c:v>
                </c:pt>
                <c:pt idx="3886">
                  <c:v>2524.7600000000002</c:v>
                </c:pt>
                <c:pt idx="3887">
                  <c:v>2538.4699999999998</c:v>
                </c:pt>
                <c:pt idx="3888">
                  <c:v>2529.5700000000002</c:v>
                </c:pt>
                <c:pt idx="3889">
                  <c:v>2529.5700000000002</c:v>
                </c:pt>
                <c:pt idx="3890">
                  <c:v>2529.5700000000002</c:v>
                </c:pt>
                <c:pt idx="3891">
                  <c:v>2517.42</c:v>
                </c:pt>
                <c:pt idx="3892">
                  <c:v>2539</c:v>
                </c:pt>
                <c:pt idx="3893">
                  <c:v>2572.42</c:v>
                </c:pt>
                <c:pt idx="3894">
                  <c:v>2580.15</c:v>
                </c:pt>
                <c:pt idx="3895">
                  <c:v>2596.2600000000002</c:v>
                </c:pt>
                <c:pt idx="3896">
                  <c:v>2596.2600000000002</c:v>
                </c:pt>
                <c:pt idx="3897">
                  <c:v>2596.2600000000002</c:v>
                </c:pt>
                <c:pt idx="3898">
                  <c:v>2599.5700000000002</c:v>
                </c:pt>
                <c:pt idx="3899">
                  <c:v>2625.06</c:v>
                </c:pt>
                <c:pt idx="3900">
                  <c:v>2636.3</c:v>
                </c:pt>
                <c:pt idx="3901">
                  <c:v>2640.35</c:v>
                </c:pt>
                <c:pt idx="3902">
                  <c:v>2643.03</c:v>
                </c:pt>
                <c:pt idx="3903">
                  <c:v>2643.03</c:v>
                </c:pt>
                <c:pt idx="3904">
                  <c:v>2643.03</c:v>
                </c:pt>
                <c:pt idx="3905">
                  <c:v>2663.81</c:v>
                </c:pt>
                <c:pt idx="3906">
                  <c:v>2670.61</c:v>
                </c:pt>
                <c:pt idx="3907">
                  <c:v>2670.61</c:v>
                </c:pt>
                <c:pt idx="3908">
                  <c:v>2649.32</c:v>
                </c:pt>
                <c:pt idx="3909">
                  <c:v>2568.8000000000002</c:v>
                </c:pt>
                <c:pt idx="3910">
                  <c:v>2568.8000000000002</c:v>
                </c:pt>
                <c:pt idx="3911">
                  <c:v>2568.8000000000002</c:v>
                </c:pt>
                <c:pt idx="3912">
                  <c:v>2595.8000000000002</c:v>
                </c:pt>
                <c:pt idx="3913">
                  <c:v>2657.98</c:v>
                </c:pt>
                <c:pt idx="3914">
                  <c:v>2635.87</c:v>
                </c:pt>
                <c:pt idx="3915">
                  <c:v>2648.77</c:v>
                </c:pt>
                <c:pt idx="3916">
                  <c:v>2663.61</c:v>
                </c:pt>
                <c:pt idx="3917">
                  <c:v>2663.61</c:v>
                </c:pt>
                <c:pt idx="3918">
                  <c:v>2663.61</c:v>
                </c:pt>
                <c:pt idx="3919">
                  <c:v>2663.61</c:v>
                </c:pt>
                <c:pt idx="3920">
                  <c:v>2620.91</c:v>
                </c:pt>
                <c:pt idx="3921">
                  <c:v>2626.17</c:v>
                </c:pt>
                <c:pt idx="3922">
                  <c:v>2652.96</c:v>
                </c:pt>
                <c:pt idx="3923">
                  <c:v>2643.37</c:v>
                </c:pt>
                <c:pt idx="3924">
                  <c:v>2643.37</c:v>
                </c:pt>
                <c:pt idx="3925">
                  <c:v>2643.37</c:v>
                </c:pt>
                <c:pt idx="3926">
                  <c:v>2653.29</c:v>
                </c:pt>
                <c:pt idx="3927">
                  <c:v>2672.25</c:v>
                </c:pt>
                <c:pt idx="3928">
                  <c:v>2688.64</c:v>
                </c:pt>
                <c:pt idx="3929">
                  <c:v>2712.46</c:v>
                </c:pt>
                <c:pt idx="3930">
                  <c:v>2703.55</c:v>
                </c:pt>
                <c:pt idx="3931">
                  <c:v>2703.55</c:v>
                </c:pt>
                <c:pt idx="3932">
                  <c:v>2703.55</c:v>
                </c:pt>
                <c:pt idx="3933">
                  <c:v>2679.51</c:v>
                </c:pt>
                <c:pt idx="3934">
                  <c:v>2677.39</c:v>
                </c:pt>
                <c:pt idx="3935">
                  <c:v>2694.51</c:v>
                </c:pt>
                <c:pt idx="3936">
                  <c:v>2714.77</c:v>
                </c:pt>
                <c:pt idx="3937">
                  <c:v>2712.14</c:v>
                </c:pt>
                <c:pt idx="3938">
                  <c:v>2712.14</c:v>
                </c:pt>
                <c:pt idx="3939">
                  <c:v>2712.14</c:v>
                </c:pt>
                <c:pt idx="3940">
                  <c:v>2703.63</c:v>
                </c:pt>
                <c:pt idx="3941">
                  <c:v>2707.58</c:v>
                </c:pt>
                <c:pt idx="3942">
                  <c:v>2718.85</c:v>
                </c:pt>
                <c:pt idx="3943">
                  <c:v>2730.91</c:v>
                </c:pt>
                <c:pt idx="3944">
                  <c:v>2741.29</c:v>
                </c:pt>
                <c:pt idx="3945">
                  <c:v>2741.29</c:v>
                </c:pt>
                <c:pt idx="3946">
                  <c:v>2741.29</c:v>
                </c:pt>
                <c:pt idx="3947">
                  <c:v>2758.95</c:v>
                </c:pt>
                <c:pt idx="3948">
                  <c:v>2783.44</c:v>
                </c:pt>
                <c:pt idx="3949">
                  <c:v>2785.81</c:v>
                </c:pt>
                <c:pt idx="3950">
                  <c:v>2789.01</c:v>
                </c:pt>
                <c:pt idx="3951">
                  <c:v>2815.05</c:v>
                </c:pt>
                <c:pt idx="3952">
                  <c:v>2815.05</c:v>
                </c:pt>
                <c:pt idx="3953">
                  <c:v>2815.05</c:v>
                </c:pt>
                <c:pt idx="3954">
                  <c:v>2793.36</c:v>
                </c:pt>
                <c:pt idx="3955">
                  <c:v>2810.46</c:v>
                </c:pt>
                <c:pt idx="3956">
                  <c:v>2802.32</c:v>
                </c:pt>
                <c:pt idx="3957">
                  <c:v>2825.32</c:v>
                </c:pt>
                <c:pt idx="3958">
                  <c:v>2828.08</c:v>
                </c:pt>
                <c:pt idx="3959">
                  <c:v>2828.08</c:v>
                </c:pt>
                <c:pt idx="3960">
                  <c:v>2828.08</c:v>
                </c:pt>
                <c:pt idx="3961">
                  <c:v>2850.65</c:v>
                </c:pt>
                <c:pt idx="3962">
                  <c:v>2885.48</c:v>
                </c:pt>
                <c:pt idx="3963">
                  <c:v>2888.23</c:v>
                </c:pt>
                <c:pt idx="3964">
                  <c:v>2881.78</c:v>
                </c:pt>
                <c:pt idx="3965">
                  <c:v>2876.4</c:v>
                </c:pt>
                <c:pt idx="3966">
                  <c:v>2876.4</c:v>
                </c:pt>
                <c:pt idx="3967">
                  <c:v>2876.4</c:v>
                </c:pt>
                <c:pt idx="3968">
                  <c:v>2869.73</c:v>
                </c:pt>
                <c:pt idx="3969">
                  <c:v>2850.98</c:v>
                </c:pt>
                <c:pt idx="3970">
                  <c:v>2854.04</c:v>
                </c:pt>
                <c:pt idx="3971">
                  <c:v>2870.63</c:v>
                </c:pt>
                <c:pt idx="3972">
                  <c:v>2861.16</c:v>
                </c:pt>
                <c:pt idx="3973">
                  <c:v>2861.16</c:v>
                </c:pt>
                <c:pt idx="3974">
                  <c:v>2861.16</c:v>
                </c:pt>
                <c:pt idx="3975">
                  <c:v>2861.16</c:v>
                </c:pt>
                <c:pt idx="3976">
                  <c:v>2852.99</c:v>
                </c:pt>
                <c:pt idx="3977">
                  <c:v>2857.13</c:v>
                </c:pt>
                <c:pt idx="3978">
                  <c:v>2853.9</c:v>
                </c:pt>
                <c:pt idx="3979">
                  <c:v>2836.34</c:v>
                </c:pt>
                <c:pt idx="3980">
                  <c:v>2836.34</c:v>
                </c:pt>
                <c:pt idx="3981">
                  <c:v>2836.34</c:v>
                </c:pt>
                <c:pt idx="3982">
                  <c:v>2791.46</c:v>
                </c:pt>
                <c:pt idx="3983">
                  <c:v>2758.76</c:v>
                </c:pt>
                <c:pt idx="3984">
                  <c:v>2744.32</c:v>
                </c:pt>
                <c:pt idx="3985">
                  <c:v>2747.07</c:v>
                </c:pt>
                <c:pt idx="3986">
                  <c:v>2755.69</c:v>
                </c:pt>
                <c:pt idx="3987">
                  <c:v>2755.69</c:v>
                </c:pt>
                <c:pt idx="3988">
                  <c:v>2755.69</c:v>
                </c:pt>
                <c:pt idx="3989">
                  <c:v>2770.73</c:v>
                </c:pt>
                <c:pt idx="3990">
                  <c:v>2781.72</c:v>
                </c:pt>
                <c:pt idx="3991">
                  <c:v>2773.73</c:v>
                </c:pt>
                <c:pt idx="3992">
                  <c:v>2778.6</c:v>
                </c:pt>
                <c:pt idx="3993">
                  <c:v>2778.47</c:v>
                </c:pt>
                <c:pt idx="3994">
                  <c:v>2778.47</c:v>
                </c:pt>
                <c:pt idx="3995">
                  <c:v>2778.47</c:v>
                </c:pt>
                <c:pt idx="3996">
                  <c:v>2778.47</c:v>
                </c:pt>
                <c:pt idx="3997">
                  <c:v>2774.58</c:v>
                </c:pt>
                <c:pt idx="3998">
                  <c:v>2761.99</c:v>
                </c:pt>
                <c:pt idx="3999">
                  <c:v>2743</c:v>
                </c:pt>
                <c:pt idx="4000">
                  <c:v>2743.92</c:v>
                </c:pt>
                <c:pt idx="4001">
                  <c:v>2743.92</c:v>
                </c:pt>
                <c:pt idx="4002">
                  <c:v>2743.92</c:v>
                </c:pt>
                <c:pt idx="4003">
                  <c:v>2743.92</c:v>
                </c:pt>
                <c:pt idx="4004">
                  <c:v>2727.05</c:v>
                </c:pt>
                <c:pt idx="4005">
                  <c:v>2717.89</c:v>
                </c:pt>
                <c:pt idx="4006">
                  <c:v>2724.04</c:v>
                </c:pt>
                <c:pt idx="4007">
                  <c:v>2703.75</c:v>
                </c:pt>
                <c:pt idx="4008">
                  <c:v>2703.75</c:v>
                </c:pt>
                <c:pt idx="4009">
                  <c:v>2703.75</c:v>
                </c:pt>
                <c:pt idx="4010">
                  <c:v>2679.96</c:v>
                </c:pt>
                <c:pt idx="4011">
                  <c:v>2683.04</c:v>
                </c:pt>
                <c:pt idx="4012">
                  <c:v>2671.7</c:v>
                </c:pt>
                <c:pt idx="4013">
                  <c:v>2666.41</c:v>
                </c:pt>
                <c:pt idx="4014">
                  <c:v>2687.25</c:v>
                </c:pt>
                <c:pt idx="4015">
                  <c:v>2687.25</c:v>
                </c:pt>
                <c:pt idx="4016">
                  <c:v>2687.25</c:v>
                </c:pt>
                <c:pt idx="4017">
                  <c:v>2716.95</c:v>
                </c:pt>
                <c:pt idx="4018">
                  <c:v>2735.04</c:v>
                </c:pt>
                <c:pt idx="4019">
                  <c:v>2754.67</c:v>
                </c:pt>
                <c:pt idx="4020">
                  <c:v>2758.28</c:v>
                </c:pt>
                <c:pt idx="4021">
                  <c:v>2784.21</c:v>
                </c:pt>
                <c:pt idx="4022">
                  <c:v>2784.21</c:v>
                </c:pt>
                <c:pt idx="4023">
                  <c:v>2784.21</c:v>
                </c:pt>
                <c:pt idx="4024">
                  <c:v>2812.94</c:v>
                </c:pt>
                <c:pt idx="4025">
                  <c:v>2826.1</c:v>
                </c:pt>
                <c:pt idx="4026">
                  <c:v>2806.63</c:v>
                </c:pt>
                <c:pt idx="4027">
                  <c:v>2788.72</c:v>
                </c:pt>
                <c:pt idx="4028">
                  <c:v>2782.4</c:v>
                </c:pt>
                <c:pt idx="4029">
                  <c:v>2782.4</c:v>
                </c:pt>
                <c:pt idx="4030">
                  <c:v>2782.4</c:v>
                </c:pt>
                <c:pt idx="4031">
                  <c:v>2815</c:v>
                </c:pt>
                <c:pt idx="4032">
                  <c:v>2816.42</c:v>
                </c:pt>
                <c:pt idx="4033">
                  <c:v>2801.01</c:v>
                </c:pt>
                <c:pt idx="4034">
                  <c:v>2793.16</c:v>
                </c:pt>
                <c:pt idx="4035">
                  <c:v>2808.16</c:v>
                </c:pt>
                <c:pt idx="4036">
                  <c:v>2808.16</c:v>
                </c:pt>
                <c:pt idx="4037">
                  <c:v>2808.16</c:v>
                </c:pt>
                <c:pt idx="4038">
                  <c:v>2807.61</c:v>
                </c:pt>
                <c:pt idx="4039">
                  <c:v>2805.55</c:v>
                </c:pt>
                <c:pt idx="4040">
                  <c:v>2818.81</c:v>
                </c:pt>
                <c:pt idx="4041">
                  <c:v>2818.54</c:v>
                </c:pt>
                <c:pt idx="4042">
                  <c:v>2814.71</c:v>
                </c:pt>
                <c:pt idx="4043">
                  <c:v>2814.71</c:v>
                </c:pt>
                <c:pt idx="4044">
                  <c:v>2814.71</c:v>
                </c:pt>
                <c:pt idx="4045">
                  <c:v>2826.04</c:v>
                </c:pt>
                <c:pt idx="4046">
                  <c:v>2823.95</c:v>
                </c:pt>
                <c:pt idx="4047">
                  <c:v>2823.95</c:v>
                </c:pt>
                <c:pt idx="4048">
                  <c:v>2843.57</c:v>
                </c:pt>
                <c:pt idx="4049">
                  <c:v>2854.29</c:v>
                </c:pt>
                <c:pt idx="4050">
                  <c:v>2854.29</c:v>
                </c:pt>
                <c:pt idx="4051">
                  <c:v>2854.29</c:v>
                </c:pt>
                <c:pt idx="4052">
                  <c:v>2864.79</c:v>
                </c:pt>
                <c:pt idx="4053">
                  <c:v>2864.79</c:v>
                </c:pt>
                <c:pt idx="4054">
                  <c:v>2864.79</c:v>
                </c:pt>
                <c:pt idx="4055">
                  <c:v>2844.82</c:v>
                </c:pt>
                <c:pt idx="4056">
                  <c:v>2841.56</c:v>
                </c:pt>
                <c:pt idx="4057">
                  <c:v>2841.56</c:v>
                </c:pt>
                <c:pt idx="4058">
                  <c:v>2841.56</c:v>
                </c:pt>
                <c:pt idx="4059">
                  <c:v>2841.56</c:v>
                </c:pt>
                <c:pt idx="4060">
                  <c:v>2881.83</c:v>
                </c:pt>
                <c:pt idx="4061">
                  <c:v>2902.92</c:v>
                </c:pt>
                <c:pt idx="4062">
                  <c:v>2915.01</c:v>
                </c:pt>
                <c:pt idx="4063">
                  <c:v>2905.77</c:v>
                </c:pt>
                <c:pt idx="4064">
                  <c:v>2905.77</c:v>
                </c:pt>
                <c:pt idx="4065">
                  <c:v>2905.77</c:v>
                </c:pt>
                <c:pt idx="4066">
                  <c:v>2906.49</c:v>
                </c:pt>
                <c:pt idx="4067">
                  <c:v>2903.05</c:v>
                </c:pt>
                <c:pt idx="4068">
                  <c:v>2905.41</c:v>
                </c:pt>
                <c:pt idx="4069">
                  <c:v>2928.19</c:v>
                </c:pt>
                <c:pt idx="4070">
                  <c:v>2923.58</c:v>
                </c:pt>
                <c:pt idx="4071">
                  <c:v>2923.58</c:v>
                </c:pt>
                <c:pt idx="4072">
                  <c:v>2923.58</c:v>
                </c:pt>
                <c:pt idx="4073">
                  <c:v>2926.06</c:v>
                </c:pt>
                <c:pt idx="4074">
                  <c:v>2933.81</c:v>
                </c:pt>
                <c:pt idx="4075">
                  <c:v>2947.05</c:v>
                </c:pt>
                <c:pt idx="4076">
                  <c:v>2926.88</c:v>
                </c:pt>
                <c:pt idx="4077">
                  <c:v>2924.73</c:v>
                </c:pt>
                <c:pt idx="4078">
                  <c:v>2924.73</c:v>
                </c:pt>
                <c:pt idx="4079">
                  <c:v>2924.73</c:v>
                </c:pt>
                <c:pt idx="4080">
                  <c:v>2948.3</c:v>
                </c:pt>
                <c:pt idx="4081">
                  <c:v>2965.6</c:v>
                </c:pt>
                <c:pt idx="4082">
                  <c:v>2950.71</c:v>
                </c:pt>
                <c:pt idx="4083">
                  <c:v>2926.46</c:v>
                </c:pt>
                <c:pt idx="4084">
                  <c:v>2940.26</c:v>
                </c:pt>
                <c:pt idx="4085">
                  <c:v>2940.26</c:v>
                </c:pt>
                <c:pt idx="4086">
                  <c:v>2940.26</c:v>
                </c:pt>
                <c:pt idx="4087">
                  <c:v>2957.4</c:v>
                </c:pt>
                <c:pt idx="4088">
                  <c:v>2966.78</c:v>
                </c:pt>
                <c:pt idx="4089">
                  <c:v>2961.29</c:v>
                </c:pt>
                <c:pt idx="4090">
                  <c:v>2963.28</c:v>
                </c:pt>
                <c:pt idx="4091">
                  <c:v>2954.03</c:v>
                </c:pt>
                <c:pt idx="4092">
                  <c:v>2954.03</c:v>
                </c:pt>
                <c:pt idx="4093">
                  <c:v>2954.03</c:v>
                </c:pt>
                <c:pt idx="4094">
                  <c:v>2968.88</c:v>
                </c:pt>
                <c:pt idx="4095">
                  <c:v>2963.21</c:v>
                </c:pt>
                <c:pt idx="4096">
                  <c:v>2960.77</c:v>
                </c:pt>
                <c:pt idx="4097">
                  <c:v>2959.75</c:v>
                </c:pt>
                <c:pt idx="4098">
                  <c:v>2954.76</c:v>
                </c:pt>
                <c:pt idx="4099">
                  <c:v>2954.76</c:v>
                </c:pt>
                <c:pt idx="4100">
                  <c:v>2954.76</c:v>
                </c:pt>
                <c:pt idx="4101">
                  <c:v>2934.58</c:v>
                </c:pt>
                <c:pt idx="4102">
                  <c:v>2929.64</c:v>
                </c:pt>
                <c:pt idx="4103">
                  <c:v>2937.44</c:v>
                </c:pt>
                <c:pt idx="4104">
                  <c:v>2938.23</c:v>
                </c:pt>
                <c:pt idx="4105">
                  <c:v>2939.92</c:v>
                </c:pt>
                <c:pt idx="4106">
                  <c:v>2939.92</c:v>
                </c:pt>
                <c:pt idx="4107">
                  <c:v>2939.92</c:v>
                </c:pt>
                <c:pt idx="4108">
                  <c:v>2949.05</c:v>
                </c:pt>
                <c:pt idx="4109">
                  <c:v>2951.81</c:v>
                </c:pt>
                <c:pt idx="4110">
                  <c:v>2949.85</c:v>
                </c:pt>
                <c:pt idx="4111">
                  <c:v>2956.31</c:v>
                </c:pt>
                <c:pt idx="4112">
                  <c:v>2957.87</c:v>
                </c:pt>
                <c:pt idx="4113">
                  <c:v>2957.87</c:v>
                </c:pt>
                <c:pt idx="4114">
                  <c:v>2957.87</c:v>
                </c:pt>
                <c:pt idx="4115">
                  <c:v>2959.97</c:v>
                </c:pt>
                <c:pt idx="4116">
                  <c:v>2962.06</c:v>
                </c:pt>
                <c:pt idx="4117">
                  <c:v>2960.77</c:v>
                </c:pt>
                <c:pt idx="4118">
                  <c:v>2960.11</c:v>
                </c:pt>
                <c:pt idx="4119">
                  <c:v>2959.75</c:v>
                </c:pt>
                <c:pt idx="4120">
                  <c:v>2959.75</c:v>
                </c:pt>
                <c:pt idx="4121">
                  <c:v>2959.75</c:v>
                </c:pt>
                <c:pt idx="4122">
                  <c:v>2961.93</c:v>
                </c:pt>
                <c:pt idx="4123">
                  <c:v>2962.76</c:v>
                </c:pt>
                <c:pt idx="4124">
                  <c:v>2961.99</c:v>
                </c:pt>
                <c:pt idx="4125">
                  <c:v>2959.39</c:v>
                </c:pt>
                <c:pt idx="4126">
                  <c:v>2958.86</c:v>
                </c:pt>
                <c:pt idx="4127">
                  <c:v>2958.86</c:v>
                </c:pt>
                <c:pt idx="4128">
                  <c:v>2958.86</c:v>
                </c:pt>
                <c:pt idx="4129">
                  <c:v>2956.47</c:v>
                </c:pt>
                <c:pt idx="4130">
                  <c:v>2955.84</c:v>
                </c:pt>
                <c:pt idx="4131">
                  <c:v>2955.64</c:v>
                </c:pt>
                <c:pt idx="4132">
                  <c:v>2954.62</c:v>
                </c:pt>
                <c:pt idx="4133">
                  <c:v>2956.06</c:v>
                </c:pt>
                <c:pt idx="4134">
                  <c:v>2956.06</c:v>
                </c:pt>
                <c:pt idx="4135">
                  <c:v>2956.06</c:v>
                </c:pt>
                <c:pt idx="4136">
                  <c:v>2956.06</c:v>
                </c:pt>
                <c:pt idx="4137">
                  <c:v>2959.26</c:v>
                </c:pt>
                <c:pt idx="4138">
                  <c:v>2959.84</c:v>
                </c:pt>
                <c:pt idx="4139">
                  <c:v>2958.73</c:v>
                </c:pt>
                <c:pt idx="4140">
                  <c:v>2958.25</c:v>
                </c:pt>
                <c:pt idx="4141">
                  <c:v>2958.25</c:v>
                </c:pt>
                <c:pt idx="4142">
                  <c:v>2958.25</c:v>
                </c:pt>
                <c:pt idx="4143">
                  <c:v>2958.15</c:v>
                </c:pt>
                <c:pt idx="4144">
                  <c:v>2958.56</c:v>
                </c:pt>
                <c:pt idx="4145">
                  <c:v>2956.5</c:v>
                </c:pt>
                <c:pt idx="4146">
                  <c:v>2951.14</c:v>
                </c:pt>
                <c:pt idx="4147">
                  <c:v>2946.79</c:v>
                </c:pt>
                <c:pt idx="4148">
                  <c:v>2946.79</c:v>
                </c:pt>
                <c:pt idx="4149">
                  <c:v>2946.79</c:v>
                </c:pt>
                <c:pt idx="4150">
                  <c:v>2942.41</c:v>
                </c:pt>
                <c:pt idx="4151">
                  <c:v>2938.32</c:v>
                </c:pt>
                <c:pt idx="4152">
                  <c:v>2920.4</c:v>
                </c:pt>
                <c:pt idx="4153">
                  <c:v>2911.74</c:v>
                </c:pt>
                <c:pt idx="4154">
                  <c:v>2923.07</c:v>
                </c:pt>
                <c:pt idx="4155">
                  <c:v>2923.07</c:v>
                </c:pt>
                <c:pt idx="4156">
                  <c:v>2923.07</c:v>
                </c:pt>
                <c:pt idx="4157">
                  <c:v>2931.69</c:v>
                </c:pt>
                <c:pt idx="4158">
                  <c:v>2919.58</c:v>
                </c:pt>
                <c:pt idx="4159">
                  <c:v>2918.01</c:v>
                </c:pt>
                <c:pt idx="4160">
                  <c:v>2918.01</c:v>
                </c:pt>
                <c:pt idx="4161">
                  <c:v>2918.01</c:v>
                </c:pt>
                <c:pt idx="4162">
                  <c:v>2918.01</c:v>
                </c:pt>
                <c:pt idx="4163">
                  <c:v>2918.01</c:v>
                </c:pt>
                <c:pt idx="4164">
                  <c:v>2920.04</c:v>
                </c:pt>
                <c:pt idx="4165">
                  <c:v>2916.03</c:v>
                </c:pt>
                <c:pt idx="4166">
                  <c:v>2911</c:v>
                </c:pt>
                <c:pt idx="4167">
                  <c:v>2908.25</c:v>
                </c:pt>
                <c:pt idx="4168">
                  <c:v>2912.83</c:v>
                </c:pt>
                <c:pt idx="4169">
                  <c:v>2912.83</c:v>
                </c:pt>
                <c:pt idx="4170">
                  <c:v>2912.83</c:v>
                </c:pt>
                <c:pt idx="4171">
                  <c:v>2900</c:v>
                </c:pt>
                <c:pt idx="4172">
                  <c:v>2887.82</c:v>
                </c:pt>
                <c:pt idx="4173">
                  <c:v>2868.43</c:v>
                </c:pt>
                <c:pt idx="4174">
                  <c:v>2868.43</c:v>
                </c:pt>
                <c:pt idx="4175">
                  <c:v>2865.94</c:v>
                </c:pt>
                <c:pt idx="4176">
                  <c:v>2865.94</c:v>
                </c:pt>
                <c:pt idx="4177">
                  <c:v>2865.94</c:v>
                </c:pt>
                <c:pt idx="4178">
                  <c:v>2858.37</c:v>
                </c:pt>
                <c:pt idx="4179">
                  <c:v>2856.98</c:v>
                </c:pt>
                <c:pt idx="4180">
                  <c:v>2866.06</c:v>
                </c:pt>
                <c:pt idx="4181">
                  <c:v>2848.41</c:v>
                </c:pt>
                <c:pt idx="4182">
                  <c:v>2840.04</c:v>
                </c:pt>
                <c:pt idx="4183">
                  <c:v>2840.04</c:v>
                </c:pt>
                <c:pt idx="4184">
                  <c:v>2840.04</c:v>
                </c:pt>
                <c:pt idx="4185">
                  <c:v>2833.86</c:v>
                </c:pt>
                <c:pt idx="4186">
                  <c:v>2813.6</c:v>
                </c:pt>
                <c:pt idx="4187">
                  <c:v>2821.08</c:v>
                </c:pt>
                <c:pt idx="4188">
                  <c:v>2827.99</c:v>
                </c:pt>
                <c:pt idx="4189">
                  <c:v>2816.46</c:v>
                </c:pt>
                <c:pt idx="4190">
                  <c:v>2816.46</c:v>
                </c:pt>
                <c:pt idx="4191">
                  <c:v>2816.46</c:v>
                </c:pt>
                <c:pt idx="4192">
                  <c:v>2874.77</c:v>
                </c:pt>
                <c:pt idx="4193">
                  <c:v>2909.83</c:v>
                </c:pt>
                <c:pt idx="4194">
                  <c:v>2912.46</c:v>
                </c:pt>
                <c:pt idx="4195">
                  <c:v>2905.91</c:v>
                </c:pt>
                <c:pt idx="4196">
                  <c:v>2868.37</c:v>
                </c:pt>
                <c:pt idx="4197">
                  <c:v>2868.37</c:v>
                </c:pt>
                <c:pt idx="4198">
                  <c:v>2868.37</c:v>
                </c:pt>
                <c:pt idx="4199">
                  <c:v>2868.37</c:v>
                </c:pt>
                <c:pt idx="4200">
                  <c:v>2850.03</c:v>
                </c:pt>
                <c:pt idx="4201">
                  <c:v>2874.91</c:v>
                </c:pt>
                <c:pt idx="4202">
                  <c:v>2855.88</c:v>
                </c:pt>
                <c:pt idx="4203">
                  <c:v>2853.33</c:v>
                </c:pt>
                <c:pt idx="4204">
                  <c:v>2853.33</c:v>
                </c:pt>
                <c:pt idx="4205">
                  <c:v>2853.33</c:v>
                </c:pt>
                <c:pt idx="4206">
                  <c:v>2853.33</c:v>
                </c:pt>
                <c:pt idx="4207">
                  <c:v>2846.16</c:v>
                </c:pt>
                <c:pt idx="4208">
                  <c:v>2849.71</c:v>
                </c:pt>
                <c:pt idx="4209">
                  <c:v>2839.21</c:v>
                </c:pt>
                <c:pt idx="4210">
                  <c:v>2828.2</c:v>
                </c:pt>
                <c:pt idx="4211">
                  <c:v>2828.2</c:v>
                </c:pt>
                <c:pt idx="4212">
                  <c:v>2828.2</c:v>
                </c:pt>
                <c:pt idx="4213">
                  <c:v>2818.5</c:v>
                </c:pt>
                <c:pt idx="4214">
                  <c:v>2809.63</c:v>
                </c:pt>
                <c:pt idx="4215">
                  <c:v>2821.27</c:v>
                </c:pt>
                <c:pt idx="4216">
                  <c:v>2832.2</c:v>
                </c:pt>
                <c:pt idx="4217">
                  <c:v>2821.61</c:v>
                </c:pt>
                <c:pt idx="4218">
                  <c:v>2821.61</c:v>
                </c:pt>
                <c:pt idx="4219">
                  <c:v>2821.61</c:v>
                </c:pt>
                <c:pt idx="4220">
                  <c:v>2818.62</c:v>
                </c:pt>
                <c:pt idx="4221">
                  <c:v>2828.96</c:v>
                </c:pt>
                <c:pt idx="4222">
                  <c:v>2829.42</c:v>
                </c:pt>
                <c:pt idx="4223">
                  <c:v>2827.4</c:v>
                </c:pt>
                <c:pt idx="4224">
                  <c:v>2826.36</c:v>
                </c:pt>
                <c:pt idx="4225">
                  <c:v>2826.36</c:v>
                </c:pt>
                <c:pt idx="4226">
                  <c:v>2826.36</c:v>
                </c:pt>
                <c:pt idx="4227">
                  <c:v>2826.36</c:v>
                </c:pt>
                <c:pt idx="4228">
                  <c:v>2815.26</c:v>
                </c:pt>
                <c:pt idx="4229">
                  <c:v>2806.96</c:v>
                </c:pt>
                <c:pt idx="4230">
                  <c:v>2812.28</c:v>
                </c:pt>
                <c:pt idx="4231">
                  <c:v>2817.32</c:v>
                </c:pt>
                <c:pt idx="4232">
                  <c:v>2817.32</c:v>
                </c:pt>
                <c:pt idx="4233">
                  <c:v>2817.32</c:v>
                </c:pt>
                <c:pt idx="4234">
                  <c:v>2817.32</c:v>
                </c:pt>
                <c:pt idx="4235">
                  <c:v>2817.63</c:v>
                </c:pt>
                <c:pt idx="4236">
                  <c:v>2812.4</c:v>
                </c:pt>
                <c:pt idx="4237">
                  <c:v>2815.14</c:v>
                </c:pt>
                <c:pt idx="4238">
                  <c:v>2815.14</c:v>
                </c:pt>
                <c:pt idx="4239">
                  <c:v>2815.14</c:v>
                </c:pt>
                <c:pt idx="4240">
                  <c:v>2815.14</c:v>
                </c:pt>
                <c:pt idx="4241">
                  <c:v>2820.85</c:v>
                </c:pt>
                <c:pt idx="4242">
                  <c:v>2838.88</c:v>
                </c:pt>
                <c:pt idx="4243">
                  <c:v>2846.89</c:v>
                </c:pt>
                <c:pt idx="4244">
                  <c:v>2855.41</c:v>
                </c:pt>
                <c:pt idx="4245">
                  <c:v>2856.96</c:v>
                </c:pt>
                <c:pt idx="4246">
                  <c:v>2856.96</c:v>
                </c:pt>
                <c:pt idx="4247">
                  <c:v>2856.96</c:v>
                </c:pt>
                <c:pt idx="4248">
                  <c:v>2871.88</c:v>
                </c:pt>
                <c:pt idx="4249">
                  <c:v>2879.37</c:v>
                </c:pt>
                <c:pt idx="4250">
                  <c:v>2888.57</c:v>
                </c:pt>
                <c:pt idx="4251">
                  <c:v>2883.9</c:v>
                </c:pt>
                <c:pt idx="4252">
                  <c:v>2880.69</c:v>
                </c:pt>
                <c:pt idx="4253">
                  <c:v>2880.69</c:v>
                </c:pt>
                <c:pt idx="4254">
                  <c:v>2880.69</c:v>
                </c:pt>
                <c:pt idx="4255">
                  <c:v>2878.33</c:v>
                </c:pt>
                <c:pt idx="4256">
                  <c:v>2878.56</c:v>
                </c:pt>
                <c:pt idx="4257">
                  <c:v>2882.7</c:v>
                </c:pt>
                <c:pt idx="4258">
                  <c:v>2887.31</c:v>
                </c:pt>
                <c:pt idx="4259">
                  <c:v>2888.32</c:v>
                </c:pt>
                <c:pt idx="4260">
                  <c:v>2888.32</c:v>
                </c:pt>
                <c:pt idx="4261">
                  <c:v>2888.32</c:v>
                </c:pt>
                <c:pt idx="4262">
                  <c:v>2883.15</c:v>
                </c:pt>
                <c:pt idx="4263">
                  <c:v>2873.17</c:v>
                </c:pt>
                <c:pt idx="4264">
                  <c:v>2880.4</c:v>
                </c:pt>
                <c:pt idx="4265">
                  <c:v>2879.6</c:v>
                </c:pt>
                <c:pt idx="4266">
                  <c:v>2886.87</c:v>
                </c:pt>
                <c:pt idx="4267">
                  <c:v>2886.87</c:v>
                </c:pt>
                <c:pt idx="4268">
                  <c:v>2886.87</c:v>
                </c:pt>
                <c:pt idx="4269">
                  <c:v>2894.58</c:v>
                </c:pt>
                <c:pt idx="4270">
                  <c:v>2901.09</c:v>
                </c:pt>
                <c:pt idx="4271">
                  <c:v>2887.05</c:v>
                </c:pt>
                <c:pt idx="4272">
                  <c:v>2887.05</c:v>
                </c:pt>
                <c:pt idx="4273">
                  <c:v>2875.18</c:v>
                </c:pt>
                <c:pt idx="4274">
                  <c:v>2875.18</c:v>
                </c:pt>
                <c:pt idx="4275">
                  <c:v>2875.18</c:v>
                </c:pt>
                <c:pt idx="4276">
                  <c:v>2873.51</c:v>
                </c:pt>
                <c:pt idx="4277">
                  <c:v>2868.5</c:v>
                </c:pt>
                <c:pt idx="4278">
                  <c:v>2870.67</c:v>
                </c:pt>
                <c:pt idx="4279">
                  <c:v>2864.81</c:v>
                </c:pt>
                <c:pt idx="4280">
                  <c:v>2861.34</c:v>
                </c:pt>
                <c:pt idx="4281">
                  <c:v>2861.34</c:v>
                </c:pt>
                <c:pt idx="4282">
                  <c:v>2861.34</c:v>
                </c:pt>
                <c:pt idx="4283">
                  <c:v>2861.34</c:v>
                </c:pt>
                <c:pt idx="4284">
                  <c:v>2869.29</c:v>
                </c:pt>
                <c:pt idx="4285">
                  <c:v>2861.63</c:v>
                </c:pt>
                <c:pt idx="4286">
                  <c:v>2853.56</c:v>
                </c:pt>
                <c:pt idx="4287">
                  <c:v>2841.25</c:v>
                </c:pt>
                <c:pt idx="4288">
                  <c:v>2841.25</c:v>
                </c:pt>
                <c:pt idx="4289">
                  <c:v>2841.25</c:v>
                </c:pt>
                <c:pt idx="4290">
                  <c:v>2843.66</c:v>
                </c:pt>
                <c:pt idx="4291">
                  <c:v>2848.86</c:v>
                </c:pt>
                <c:pt idx="4292">
                  <c:v>2850.89</c:v>
                </c:pt>
                <c:pt idx="4293">
                  <c:v>2846.26</c:v>
                </c:pt>
                <c:pt idx="4294">
                  <c:v>2832.94</c:v>
                </c:pt>
                <c:pt idx="4295">
                  <c:v>2832.94</c:v>
                </c:pt>
                <c:pt idx="4296">
                  <c:v>2832.94</c:v>
                </c:pt>
                <c:pt idx="4297">
                  <c:v>2832.94</c:v>
                </c:pt>
                <c:pt idx="4298">
                  <c:v>2841.02</c:v>
                </c:pt>
                <c:pt idx="4299">
                  <c:v>2826.46</c:v>
                </c:pt>
                <c:pt idx="4300">
                  <c:v>2816.74</c:v>
                </c:pt>
                <c:pt idx="4301">
                  <c:v>2820.46</c:v>
                </c:pt>
                <c:pt idx="4302">
                  <c:v>2820.46</c:v>
                </c:pt>
                <c:pt idx="4303">
                  <c:v>2820.46</c:v>
                </c:pt>
                <c:pt idx="4304">
                  <c:v>2822.85</c:v>
                </c:pt>
                <c:pt idx="4305">
                  <c:v>2820.2</c:v>
                </c:pt>
                <c:pt idx="4306">
                  <c:v>2825.28</c:v>
                </c:pt>
                <c:pt idx="4307">
                  <c:v>2829.82</c:v>
                </c:pt>
                <c:pt idx="4308">
                  <c:v>2824.88</c:v>
                </c:pt>
                <c:pt idx="4309">
                  <c:v>2824.88</c:v>
                </c:pt>
                <c:pt idx="4310">
                  <c:v>2824.88</c:v>
                </c:pt>
                <c:pt idx="4311">
                  <c:v>2824.53</c:v>
                </c:pt>
                <c:pt idx="4312">
                  <c:v>2823.79</c:v>
                </c:pt>
                <c:pt idx="4313">
                  <c:v>2823.28</c:v>
                </c:pt>
                <c:pt idx="4314">
                  <c:v>2833.64</c:v>
                </c:pt>
                <c:pt idx="4315">
                  <c:v>2844.64</c:v>
                </c:pt>
                <c:pt idx="4316">
                  <c:v>2844.64</c:v>
                </c:pt>
                <c:pt idx="4317">
                  <c:v>2844.64</c:v>
                </c:pt>
                <c:pt idx="4318">
                  <c:v>2859.37</c:v>
                </c:pt>
                <c:pt idx="4319">
                  <c:v>2866.42</c:v>
                </c:pt>
                <c:pt idx="4320">
                  <c:v>2872.3</c:v>
                </c:pt>
                <c:pt idx="4321">
                  <c:v>2871.39</c:v>
                </c:pt>
                <c:pt idx="4322">
                  <c:v>2879.32</c:v>
                </c:pt>
                <c:pt idx="4323">
                  <c:v>2879.32</c:v>
                </c:pt>
                <c:pt idx="4324">
                  <c:v>2879.32</c:v>
                </c:pt>
                <c:pt idx="4325">
                  <c:v>2889.39</c:v>
                </c:pt>
                <c:pt idx="4326">
                  <c:v>2888.21</c:v>
                </c:pt>
                <c:pt idx="4327">
                  <c:v>2907.41</c:v>
                </c:pt>
                <c:pt idx="4328">
                  <c:v>2905.12</c:v>
                </c:pt>
                <c:pt idx="4329">
                  <c:v>2881.88</c:v>
                </c:pt>
                <c:pt idx="4330">
                  <c:v>2881.88</c:v>
                </c:pt>
                <c:pt idx="4331">
                  <c:v>2881.88</c:v>
                </c:pt>
                <c:pt idx="4332">
                  <c:v>2872.7</c:v>
                </c:pt>
                <c:pt idx="4333">
                  <c:v>2868.91</c:v>
                </c:pt>
                <c:pt idx="4334">
                  <c:v>2887.59</c:v>
                </c:pt>
                <c:pt idx="4335">
                  <c:v>2878.39</c:v>
                </c:pt>
                <c:pt idx="4336">
                  <c:v>2868.85</c:v>
                </c:pt>
                <c:pt idx="4337">
                  <c:v>2868.85</c:v>
                </c:pt>
                <c:pt idx="4338">
                  <c:v>2868.85</c:v>
                </c:pt>
                <c:pt idx="4339">
                  <c:v>2868.85</c:v>
                </c:pt>
                <c:pt idx="4340">
                  <c:v>2865.32</c:v>
                </c:pt>
                <c:pt idx="4341">
                  <c:v>2873.7</c:v>
                </c:pt>
                <c:pt idx="4342">
                  <c:v>2867.75</c:v>
                </c:pt>
                <c:pt idx="4343">
                  <c:v>2865.04</c:v>
                </c:pt>
                <c:pt idx="4344">
                  <c:v>2865.04</c:v>
                </c:pt>
                <c:pt idx="4345">
                  <c:v>2865.04</c:v>
                </c:pt>
                <c:pt idx="4346">
                  <c:v>2864.34</c:v>
                </c:pt>
                <c:pt idx="4347">
                  <c:v>2864.25</c:v>
                </c:pt>
                <c:pt idx="4348">
                  <c:v>2870.01</c:v>
                </c:pt>
                <c:pt idx="4349">
                  <c:v>2872.55</c:v>
                </c:pt>
                <c:pt idx="4350">
                  <c:v>2857.88</c:v>
                </c:pt>
                <c:pt idx="4351">
                  <c:v>2857.88</c:v>
                </c:pt>
                <c:pt idx="4352">
                  <c:v>2857.88</c:v>
                </c:pt>
                <c:pt idx="4353">
                  <c:v>2882.77</c:v>
                </c:pt>
                <c:pt idx="4354">
                  <c:v>2879.34</c:v>
                </c:pt>
                <c:pt idx="4355">
                  <c:v>2870.11</c:v>
                </c:pt>
                <c:pt idx="4356">
                  <c:v>2884.17</c:v>
                </c:pt>
                <c:pt idx="4357">
                  <c:v>2878.05</c:v>
                </c:pt>
                <c:pt idx="4358">
                  <c:v>2878.05</c:v>
                </c:pt>
                <c:pt idx="4359">
                  <c:v>2878.05</c:v>
                </c:pt>
                <c:pt idx="4360">
                  <c:v>2878.05</c:v>
                </c:pt>
                <c:pt idx="4361">
                  <c:v>2869.46</c:v>
                </c:pt>
                <c:pt idx="4362">
                  <c:v>2856.34</c:v>
                </c:pt>
                <c:pt idx="4363">
                  <c:v>2854.17</c:v>
                </c:pt>
                <c:pt idx="4364">
                  <c:v>2843.82</c:v>
                </c:pt>
                <c:pt idx="4365">
                  <c:v>2843.82</c:v>
                </c:pt>
                <c:pt idx="4366">
                  <c:v>2843.82</c:v>
                </c:pt>
                <c:pt idx="4367">
                  <c:v>2840.41</c:v>
                </c:pt>
                <c:pt idx="4368">
                  <c:v>2840.41</c:v>
                </c:pt>
                <c:pt idx="4369">
                  <c:v>2845.69</c:v>
                </c:pt>
                <c:pt idx="4370">
                  <c:v>2850.24</c:v>
                </c:pt>
                <c:pt idx="4371">
                  <c:v>2842.53</c:v>
                </c:pt>
                <c:pt idx="4372">
                  <c:v>2842.53</c:v>
                </c:pt>
                <c:pt idx="4373">
                  <c:v>2842.53</c:v>
                </c:pt>
                <c:pt idx="4374">
                  <c:v>2842.53</c:v>
                </c:pt>
                <c:pt idx="4375">
                  <c:v>2831.97</c:v>
                </c:pt>
                <c:pt idx="4376">
                  <c:v>2826.6</c:v>
                </c:pt>
                <c:pt idx="4377">
                  <c:v>2831.1</c:v>
                </c:pt>
                <c:pt idx="4378">
                  <c:v>2836.45</c:v>
                </c:pt>
                <c:pt idx="4379">
                  <c:v>2836.45</c:v>
                </c:pt>
                <c:pt idx="4380">
                  <c:v>2836.45</c:v>
                </c:pt>
                <c:pt idx="4381">
                  <c:v>2838.02</c:v>
                </c:pt>
                <c:pt idx="4382">
                  <c:v>2839.2</c:v>
                </c:pt>
                <c:pt idx="4383">
                  <c:v>2838.7</c:v>
                </c:pt>
                <c:pt idx="4384">
                  <c:v>2838.7</c:v>
                </c:pt>
                <c:pt idx="4385">
                  <c:v>2836.05</c:v>
                </c:pt>
                <c:pt idx="4386">
                  <c:v>2836.05</c:v>
                </c:pt>
                <c:pt idx="4387">
                  <c:v>2836.05</c:v>
                </c:pt>
                <c:pt idx="4388">
                  <c:v>2829.08</c:v>
                </c:pt>
                <c:pt idx="4389">
                  <c:v>2817.14</c:v>
                </c:pt>
                <c:pt idx="4390">
                  <c:v>2815.19</c:v>
                </c:pt>
                <c:pt idx="4391">
                  <c:v>2815.33</c:v>
                </c:pt>
                <c:pt idx="4392">
                  <c:v>2808.42</c:v>
                </c:pt>
                <c:pt idx="4393">
                  <c:v>2808.42</c:v>
                </c:pt>
                <c:pt idx="4394">
                  <c:v>2808.42</c:v>
                </c:pt>
                <c:pt idx="4395">
                  <c:v>2808.42</c:v>
                </c:pt>
                <c:pt idx="4396">
                  <c:v>2822.78</c:v>
                </c:pt>
                <c:pt idx="4397">
                  <c:v>2815.45</c:v>
                </c:pt>
                <c:pt idx="4398">
                  <c:v>2808.31</c:v>
                </c:pt>
                <c:pt idx="4399">
                  <c:v>2812.81</c:v>
                </c:pt>
                <c:pt idx="4400">
                  <c:v>2812.81</c:v>
                </c:pt>
                <c:pt idx="4401">
                  <c:v>2812.81</c:v>
                </c:pt>
                <c:pt idx="4402">
                  <c:v>2807.25</c:v>
                </c:pt>
                <c:pt idx="4403">
                  <c:v>2793.06</c:v>
                </c:pt>
                <c:pt idx="4404">
                  <c:v>2795.21</c:v>
                </c:pt>
                <c:pt idx="4405">
                  <c:v>2801.67</c:v>
                </c:pt>
                <c:pt idx="4406">
                  <c:v>2806.89</c:v>
                </c:pt>
                <c:pt idx="4407">
                  <c:v>2806.89</c:v>
                </c:pt>
                <c:pt idx="4408">
                  <c:v>2806.89</c:v>
                </c:pt>
                <c:pt idx="4409">
                  <c:v>2809.09</c:v>
                </c:pt>
                <c:pt idx="4410">
                  <c:v>2806.33</c:v>
                </c:pt>
                <c:pt idx="4411">
                  <c:v>2796.89</c:v>
                </c:pt>
                <c:pt idx="4412">
                  <c:v>2796.89</c:v>
                </c:pt>
                <c:pt idx="4413">
                  <c:v>2795.21</c:v>
                </c:pt>
                <c:pt idx="4414">
                  <c:v>2795.21</c:v>
                </c:pt>
                <c:pt idx="4415">
                  <c:v>2795.21</c:v>
                </c:pt>
                <c:pt idx="4416">
                  <c:v>2780.82</c:v>
                </c:pt>
                <c:pt idx="4417">
                  <c:v>2778.21</c:v>
                </c:pt>
                <c:pt idx="4418">
                  <c:v>2778.21</c:v>
                </c:pt>
                <c:pt idx="4419">
                  <c:v>2778.21</c:v>
                </c:pt>
                <c:pt idx="4420">
                  <c:v>2777.96</c:v>
                </c:pt>
                <c:pt idx="4421">
                  <c:v>2777.96</c:v>
                </c:pt>
                <c:pt idx="4422">
                  <c:v>2777.96</c:v>
                </c:pt>
                <c:pt idx="4423">
                  <c:v>2778.92</c:v>
                </c:pt>
                <c:pt idx="4424">
                  <c:v>2765.76</c:v>
                </c:pt>
                <c:pt idx="4425">
                  <c:v>2758.83</c:v>
                </c:pt>
                <c:pt idx="4426">
                  <c:v>2750.89</c:v>
                </c:pt>
                <c:pt idx="4427">
                  <c:v>2754.33</c:v>
                </c:pt>
                <c:pt idx="4428">
                  <c:v>2754.33</c:v>
                </c:pt>
                <c:pt idx="4429">
                  <c:v>2754.33</c:v>
                </c:pt>
                <c:pt idx="4430">
                  <c:v>2754.33</c:v>
                </c:pt>
                <c:pt idx="4431">
                  <c:v>2762.31</c:v>
                </c:pt>
                <c:pt idx="4432">
                  <c:v>2747.06</c:v>
                </c:pt>
                <c:pt idx="4433">
                  <c:v>2723.83</c:v>
                </c:pt>
                <c:pt idx="4434">
                  <c:v>2728.7</c:v>
                </c:pt>
                <c:pt idx="4435">
                  <c:v>2728.7</c:v>
                </c:pt>
                <c:pt idx="4436">
                  <c:v>2728.7</c:v>
                </c:pt>
                <c:pt idx="4437">
                  <c:v>2728.7</c:v>
                </c:pt>
                <c:pt idx="4438">
                  <c:v>2730.75</c:v>
                </c:pt>
                <c:pt idx="4439">
                  <c:v>2740.76</c:v>
                </c:pt>
                <c:pt idx="4440">
                  <c:v>2742.88</c:v>
                </c:pt>
                <c:pt idx="4441">
                  <c:v>2747.72</c:v>
                </c:pt>
                <c:pt idx="4442">
                  <c:v>2747.72</c:v>
                </c:pt>
                <c:pt idx="4443">
                  <c:v>2747.72</c:v>
                </c:pt>
                <c:pt idx="4444">
                  <c:v>2766.89</c:v>
                </c:pt>
                <c:pt idx="4445">
                  <c:v>2736.28</c:v>
                </c:pt>
                <c:pt idx="4446">
                  <c:v>2721.56</c:v>
                </c:pt>
                <c:pt idx="4447">
                  <c:v>2740.55</c:v>
                </c:pt>
                <c:pt idx="4448">
                  <c:v>2742.47</c:v>
                </c:pt>
                <c:pt idx="4449">
                  <c:v>2742.47</c:v>
                </c:pt>
                <c:pt idx="4450">
                  <c:v>2742.47</c:v>
                </c:pt>
                <c:pt idx="4451">
                  <c:v>2738.15</c:v>
                </c:pt>
                <c:pt idx="4452">
                  <c:v>2747.28</c:v>
                </c:pt>
                <c:pt idx="4453">
                  <c:v>2750.67</c:v>
                </c:pt>
                <c:pt idx="4454">
                  <c:v>2748.9</c:v>
                </c:pt>
                <c:pt idx="4455">
                  <c:v>2757.14</c:v>
                </c:pt>
                <c:pt idx="4456">
                  <c:v>2757.14</c:v>
                </c:pt>
                <c:pt idx="4457">
                  <c:v>2757.14</c:v>
                </c:pt>
                <c:pt idx="4458">
                  <c:v>2741.17</c:v>
                </c:pt>
                <c:pt idx="4459">
                  <c:v>2735.5</c:v>
                </c:pt>
                <c:pt idx="4460">
                  <c:v>2736.94</c:v>
                </c:pt>
                <c:pt idx="4461">
                  <c:v>2736.42</c:v>
                </c:pt>
                <c:pt idx="4462">
                  <c:v>2724.36</c:v>
                </c:pt>
                <c:pt idx="4463">
                  <c:v>2724.36</c:v>
                </c:pt>
                <c:pt idx="4464">
                  <c:v>2724.36</c:v>
                </c:pt>
                <c:pt idx="4465">
                  <c:v>2724.36</c:v>
                </c:pt>
                <c:pt idx="4466">
                  <c:v>2715.2</c:v>
                </c:pt>
                <c:pt idx="4467">
                  <c:v>2697.66</c:v>
                </c:pt>
                <c:pt idx="4468">
                  <c:v>2693.84</c:v>
                </c:pt>
                <c:pt idx="4469">
                  <c:v>2700.19</c:v>
                </c:pt>
                <c:pt idx="4470">
                  <c:v>2700.19</c:v>
                </c:pt>
                <c:pt idx="4471">
                  <c:v>2700.19</c:v>
                </c:pt>
                <c:pt idx="4472">
                  <c:v>2665.83</c:v>
                </c:pt>
                <c:pt idx="4473">
                  <c:v>2651.94</c:v>
                </c:pt>
                <c:pt idx="4474">
                  <c:v>2664.3</c:v>
                </c:pt>
                <c:pt idx="4475">
                  <c:v>2686.54</c:v>
                </c:pt>
                <c:pt idx="4476">
                  <c:v>2682.34</c:v>
                </c:pt>
                <c:pt idx="4477">
                  <c:v>2682.34</c:v>
                </c:pt>
                <c:pt idx="4478">
                  <c:v>2682.34</c:v>
                </c:pt>
                <c:pt idx="4479">
                  <c:v>2662.81</c:v>
                </c:pt>
                <c:pt idx="4480">
                  <c:v>2660.42</c:v>
                </c:pt>
                <c:pt idx="4481">
                  <c:v>2670.97</c:v>
                </c:pt>
                <c:pt idx="4482">
                  <c:v>2676.41</c:v>
                </c:pt>
                <c:pt idx="4483">
                  <c:v>2673.29</c:v>
                </c:pt>
                <c:pt idx="4484">
                  <c:v>2673.29</c:v>
                </c:pt>
                <c:pt idx="4485">
                  <c:v>2673.29</c:v>
                </c:pt>
                <c:pt idx="4486">
                  <c:v>2675.65</c:v>
                </c:pt>
                <c:pt idx="4487">
                  <c:v>2679.22</c:v>
                </c:pt>
                <c:pt idx="4488">
                  <c:v>2685.17</c:v>
                </c:pt>
                <c:pt idx="4489">
                  <c:v>2683.08</c:v>
                </c:pt>
                <c:pt idx="4490">
                  <c:v>2669.48</c:v>
                </c:pt>
                <c:pt idx="4491">
                  <c:v>2669.48</c:v>
                </c:pt>
                <c:pt idx="4492">
                  <c:v>2669.48</c:v>
                </c:pt>
                <c:pt idx="4493">
                  <c:v>2661.45</c:v>
                </c:pt>
                <c:pt idx="4494">
                  <c:v>2648.97</c:v>
                </c:pt>
                <c:pt idx="4495">
                  <c:v>2650.21</c:v>
                </c:pt>
                <c:pt idx="4496">
                  <c:v>2669.07</c:v>
                </c:pt>
                <c:pt idx="4497">
                  <c:v>2669.39</c:v>
                </c:pt>
                <c:pt idx="4498">
                  <c:v>2669.39</c:v>
                </c:pt>
                <c:pt idx="4499">
                  <c:v>2669.39</c:v>
                </c:pt>
                <c:pt idx="4500">
                  <c:v>2669.39</c:v>
                </c:pt>
                <c:pt idx="4501">
                  <c:v>2664.5</c:v>
                </c:pt>
                <c:pt idx="4502">
                  <c:v>2667.05</c:v>
                </c:pt>
                <c:pt idx="4503">
                  <c:v>2679.33</c:v>
                </c:pt>
                <c:pt idx="4504">
                  <c:v>2673.68</c:v>
                </c:pt>
                <c:pt idx="4505">
                  <c:v>2673.68</c:v>
                </c:pt>
                <c:pt idx="4506">
                  <c:v>2673.68</c:v>
                </c:pt>
                <c:pt idx="4507">
                  <c:v>2676.93</c:v>
                </c:pt>
                <c:pt idx="4508">
                  <c:v>2678.16</c:v>
                </c:pt>
                <c:pt idx="4509">
                  <c:v>2682.09</c:v>
                </c:pt>
                <c:pt idx="4510">
                  <c:v>2671.01</c:v>
                </c:pt>
                <c:pt idx="4511">
                  <c:v>2666.55</c:v>
                </c:pt>
                <c:pt idx="4512">
                  <c:v>2666.55</c:v>
                </c:pt>
                <c:pt idx="4513">
                  <c:v>2666.55</c:v>
                </c:pt>
                <c:pt idx="4514">
                  <c:v>2667.06</c:v>
                </c:pt>
                <c:pt idx="4515">
                  <c:v>2663.05</c:v>
                </c:pt>
                <c:pt idx="4516">
                  <c:v>2659.05</c:v>
                </c:pt>
                <c:pt idx="4517">
                  <c:v>2659.05</c:v>
                </c:pt>
                <c:pt idx="4518">
                  <c:v>2659.05</c:v>
                </c:pt>
                <c:pt idx="4519">
                  <c:v>2659.05</c:v>
                </c:pt>
                <c:pt idx="4520">
                  <c:v>2659.05</c:v>
                </c:pt>
                <c:pt idx="4521">
                  <c:v>2648.8</c:v>
                </c:pt>
                <c:pt idx="4522">
                  <c:v>2642.55</c:v>
                </c:pt>
                <c:pt idx="4523">
                  <c:v>2631.72</c:v>
                </c:pt>
                <c:pt idx="4524">
                  <c:v>2619.59</c:v>
                </c:pt>
                <c:pt idx="4525">
                  <c:v>2620.19</c:v>
                </c:pt>
                <c:pt idx="4526">
                  <c:v>2620.19</c:v>
                </c:pt>
                <c:pt idx="4527">
                  <c:v>2620.19</c:v>
                </c:pt>
                <c:pt idx="4528">
                  <c:v>2612.3000000000002</c:v>
                </c:pt>
                <c:pt idx="4529">
                  <c:v>2620.94</c:v>
                </c:pt>
                <c:pt idx="4530">
                  <c:v>2628.19</c:v>
                </c:pt>
                <c:pt idx="4531">
                  <c:v>2618.21</c:v>
                </c:pt>
                <c:pt idx="4532">
                  <c:v>2622.74</c:v>
                </c:pt>
                <c:pt idx="4533">
                  <c:v>2622.74</c:v>
                </c:pt>
                <c:pt idx="4534">
                  <c:v>2622.74</c:v>
                </c:pt>
                <c:pt idx="4535">
                  <c:v>2613.94</c:v>
                </c:pt>
                <c:pt idx="4536">
                  <c:v>2620.9699999999998</c:v>
                </c:pt>
                <c:pt idx="4537">
                  <c:v>2635.96</c:v>
                </c:pt>
                <c:pt idx="4538">
                  <c:v>2646.99</c:v>
                </c:pt>
                <c:pt idx="4539">
                  <c:v>2655.18</c:v>
                </c:pt>
                <c:pt idx="4540">
                  <c:v>2655.18</c:v>
                </c:pt>
                <c:pt idx="4541">
                  <c:v>2655.18</c:v>
                </c:pt>
                <c:pt idx="4542">
                  <c:v>2670.92</c:v>
                </c:pt>
                <c:pt idx="4543">
                  <c:v>2664.79</c:v>
                </c:pt>
                <c:pt idx="4544">
                  <c:v>2658.43</c:v>
                </c:pt>
                <c:pt idx="4545">
                  <c:v>2690.68</c:v>
                </c:pt>
                <c:pt idx="4546">
                  <c:v>2708.02</c:v>
                </c:pt>
                <c:pt idx="4547">
                  <c:v>2708.02</c:v>
                </c:pt>
                <c:pt idx="4548">
                  <c:v>2708.02</c:v>
                </c:pt>
                <c:pt idx="4549">
                  <c:v>2731.79</c:v>
                </c:pt>
                <c:pt idx="4550">
                  <c:v>2729.54</c:v>
                </c:pt>
                <c:pt idx="4551">
                  <c:v>2729.01</c:v>
                </c:pt>
                <c:pt idx="4552">
                  <c:v>2741.66</c:v>
                </c:pt>
                <c:pt idx="4553">
                  <c:v>2719.89</c:v>
                </c:pt>
                <c:pt idx="4554">
                  <c:v>2719.89</c:v>
                </c:pt>
                <c:pt idx="4555">
                  <c:v>2719.89</c:v>
                </c:pt>
                <c:pt idx="4556">
                  <c:v>2713.3</c:v>
                </c:pt>
                <c:pt idx="4557">
                  <c:v>2725.45</c:v>
                </c:pt>
                <c:pt idx="4558">
                  <c:v>2737.55</c:v>
                </c:pt>
                <c:pt idx="4559">
                  <c:v>2759.79</c:v>
                </c:pt>
                <c:pt idx="4560">
                  <c:v>2766.83</c:v>
                </c:pt>
                <c:pt idx="4561">
                  <c:v>2766.83</c:v>
                </c:pt>
                <c:pt idx="4562">
                  <c:v>2766.83</c:v>
                </c:pt>
                <c:pt idx="4563">
                  <c:v>2766.83</c:v>
                </c:pt>
                <c:pt idx="4564">
                  <c:v>2760.06</c:v>
                </c:pt>
                <c:pt idx="4565">
                  <c:v>2754.83</c:v>
                </c:pt>
                <c:pt idx="4566">
                  <c:v>2745.91</c:v>
                </c:pt>
                <c:pt idx="4567">
                  <c:v>2724.92</c:v>
                </c:pt>
                <c:pt idx="4568">
                  <c:v>2724.92</c:v>
                </c:pt>
                <c:pt idx="4569">
                  <c:v>2724.92</c:v>
                </c:pt>
                <c:pt idx="4570">
                  <c:v>2724.92</c:v>
                </c:pt>
                <c:pt idx="4571">
                  <c:v>2736.39</c:v>
                </c:pt>
                <c:pt idx="4572">
                  <c:v>2727.68</c:v>
                </c:pt>
                <c:pt idx="4573">
                  <c:v>2722.69</c:v>
                </c:pt>
                <c:pt idx="4574">
                  <c:v>2715.37</c:v>
                </c:pt>
                <c:pt idx="4575">
                  <c:v>2715.37</c:v>
                </c:pt>
                <c:pt idx="4576">
                  <c:v>2715.37</c:v>
                </c:pt>
                <c:pt idx="4577">
                  <c:v>2707.33</c:v>
                </c:pt>
                <c:pt idx="4578">
                  <c:v>2705.97</c:v>
                </c:pt>
                <c:pt idx="4579">
                  <c:v>2719.34</c:v>
                </c:pt>
                <c:pt idx="4580">
                  <c:v>2732.4</c:v>
                </c:pt>
                <c:pt idx="4581">
                  <c:v>2734.94</c:v>
                </c:pt>
                <c:pt idx="4582">
                  <c:v>2734.94</c:v>
                </c:pt>
                <c:pt idx="4583">
                  <c:v>2734.94</c:v>
                </c:pt>
                <c:pt idx="4584">
                  <c:v>2734.94</c:v>
                </c:pt>
                <c:pt idx="4585">
                  <c:v>2735.05</c:v>
                </c:pt>
                <c:pt idx="4586">
                  <c:v>2725.87</c:v>
                </c:pt>
                <c:pt idx="4587">
                  <c:v>2713.07</c:v>
                </c:pt>
                <c:pt idx="4588">
                  <c:v>2710.99</c:v>
                </c:pt>
                <c:pt idx="4589">
                  <c:v>2710.99</c:v>
                </c:pt>
                <c:pt idx="4590">
                  <c:v>2710.99</c:v>
                </c:pt>
                <c:pt idx="4591">
                  <c:v>2710.99</c:v>
                </c:pt>
                <c:pt idx="4592">
                  <c:v>2709.3</c:v>
                </c:pt>
                <c:pt idx="4593">
                  <c:v>2715.53</c:v>
                </c:pt>
                <c:pt idx="4594">
                  <c:v>2702.6</c:v>
                </c:pt>
                <c:pt idx="4595">
                  <c:v>2697.08</c:v>
                </c:pt>
                <c:pt idx="4596">
                  <c:v>2697.08</c:v>
                </c:pt>
                <c:pt idx="4597">
                  <c:v>2697.08</c:v>
                </c:pt>
                <c:pt idx="4598">
                  <c:v>2695.02</c:v>
                </c:pt>
                <c:pt idx="4599">
                  <c:v>2699.58</c:v>
                </c:pt>
                <c:pt idx="4600">
                  <c:v>2694.09</c:v>
                </c:pt>
                <c:pt idx="4601">
                  <c:v>2682.25</c:v>
                </c:pt>
                <c:pt idx="4602">
                  <c:v>2674.1</c:v>
                </c:pt>
                <c:pt idx="4603">
                  <c:v>2674.1</c:v>
                </c:pt>
                <c:pt idx="4604">
                  <c:v>2674.1</c:v>
                </c:pt>
                <c:pt idx="4605">
                  <c:v>2674.1</c:v>
                </c:pt>
                <c:pt idx="4606">
                  <c:v>2672.95</c:v>
                </c:pt>
                <c:pt idx="4607">
                  <c:v>2675.05</c:v>
                </c:pt>
                <c:pt idx="4608">
                  <c:v>2677.42</c:v>
                </c:pt>
                <c:pt idx="4609">
                  <c:v>2668.83</c:v>
                </c:pt>
                <c:pt idx="4610">
                  <c:v>2668.83</c:v>
                </c:pt>
                <c:pt idx="4611">
                  <c:v>2668.83</c:v>
                </c:pt>
                <c:pt idx="4612">
                  <c:v>2670.01</c:v>
                </c:pt>
                <c:pt idx="4613">
                  <c:v>2674.41</c:v>
                </c:pt>
                <c:pt idx="4614">
                  <c:v>2662.19</c:v>
                </c:pt>
                <c:pt idx="4615">
                  <c:v>2642.78</c:v>
                </c:pt>
                <c:pt idx="4616">
                  <c:v>2628.3</c:v>
                </c:pt>
                <c:pt idx="4617">
                  <c:v>2628.3</c:v>
                </c:pt>
                <c:pt idx="4618">
                  <c:v>2628.3</c:v>
                </c:pt>
                <c:pt idx="4619">
                  <c:v>2632.64</c:v>
                </c:pt>
                <c:pt idx="4620">
                  <c:v>2632.64</c:v>
                </c:pt>
                <c:pt idx="4621">
                  <c:v>2633.14</c:v>
                </c:pt>
                <c:pt idx="4622">
                  <c:v>2619.84</c:v>
                </c:pt>
                <c:pt idx="4623">
                  <c:v>2628.46</c:v>
                </c:pt>
                <c:pt idx="4624">
                  <c:v>2628.46</c:v>
                </c:pt>
                <c:pt idx="4625">
                  <c:v>2628.46</c:v>
                </c:pt>
                <c:pt idx="4626">
                  <c:v>2636.32</c:v>
                </c:pt>
                <c:pt idx="4627">
                  <c:v>2639.72</c:v>
                </c:pt>
                <c:pt idx="4628">
                  <c:v>2634.44</c:v>
                </c:pt>
                <c:pt idx="4629">
                  <c:v>2619.5500000000002</c:v>
                </c:pt>
                <c:pt idx="4630">
                  <c:v>2612.44</c:v>
                </c:pt>
                <c:pt idx="4631">
                  <c:v>2612.44</c:v>
                </c:pt>
                <c:pt idx="4632">
                  <c:v>2612.44</c:v>
                </c:pt>
                <c:pt idx="4633">
                  <c:v>2613.58</c:v>
                </c:pt>
                <c:pt idx="4634">
                  <c:v>2605.85</c:v>
                </c:pt>
                <c:pt idx="4635">
                  <c:v>2609.39</c:v>
                </c:pt>
                <c:pt idx="4636">
                  <c:v>2609.61</c:v>
                </c:pt>
                <c:pt idx="4637">
                  <c:v>2602.91</c:v>
                </c:pt>
                <c:pt idx="4638">
                  <c:v>2602.91</c:v>
                </c:pt>
                <c:pt idx="4639">
                  <c:v>2602.91</c:v>
                </c:pt>
                <c:pt idx="4640">
                  <c:v>2597.71</c:v>
                </c:pt>
                <c:pt idx="4641">
                  <c:v>2598.98</c:v>
                </c:pt>
                <c:pt idx="4642">
                  <c:v>2606.9299999999998</c:v>
                </c:pt>
                <c:pt idx="4643">
                  <c:v>2614.9699999999998</c:v>
                </c:pt>
                <c:pt idx="4644">
                  <c:v>2609.92</c:v>
                </c:pt>
                <c:pt idx="4645">
                  <c:v>2609.92</c:v>
                </c:pt>
                <c:pt idx="4646">
                  <c:v>2609.92</c:v>
                </c:pt>
                <c:pt idx="4647">
                  <c:v>2609.92</c:v>
                </c:pt>
                <c:pt idx="4648">
                  <c:v>2608.88</c:v>
                </c:pt>
                <c:pt idx="4649">
                  <c:v>2609.88</c:v>
                </c:pt>
                <c:pt idx="4650">
                  <c:v>2607.62</c:v>
                </c:pt>
                <c:pt idx="4651">
                  <c:v>2606.5700000000002</c:v>
                </c:pt>
                <c:pt idx="4652">
                  <c:v>2606.5700000000002</c:v>
                </c:pt>
                <c:pt idx="4653">
                  <c:v>2606.5700000000002</c:v>
                </c:pt>
                <c:pt idx="4654">
                  <c:v>2595.75</c:v>
                </c:pt>
                <c:pt idx="4655">
                  <c:v>2589.25</c:v>
                </c:pt>
                <c:pt idx="4656">
                  <c:v>2575.5100000000002</c:v>
                </c:pt>
                <c:pt idx="4657">
                  <c:v>2568.6799999999998</c:v>
                </c:pt>
                <c:pt idx="4658">
                  <c:v>2574.4899999999998</c:v>
                </c:pt>
                <c:pt idx="4659">
                  <c:v>2574.4899999999998</c:v>
                </c:pt>
                <c:pt idx="4660">
                  <c:v>2574.4899999999998</c:v>
                </c:pt>
                <c:pt idx="4661">
                  <c:v>2551.4299999999998</c:v>
                </c:pt>
                <c:pt idx="4662">
                  <c:v>2536.5100000000002</c:v>
                </c:pt>
                <c:pt idx="4663">
                  <c:v>2538.59</c:v>
                </c:pt>
                <c:pt idx="4664">
                  <c:v>2552.7800000000002</c:v>
                </c:pt>
                <c:pt idx="4665">
                  <c:v>2564.89</c:v>
                </c:pt>
                <c:pt idx="4666">
                  <c:v>2564.89</c:v>
                </c:pt>
                <c:pt idx="4667">
                  <c:v>2564.89</c:v>
                </c:pt>
                <c:pt idx="4668">
                  <c:v>2564.89</c:v>
                </c:pt>
                <c:pt idx="4669">
                  <c:v>2552.7399999999998</c:v>
                </c:pt>
                <c:pt idx="4670">
                  <c:v>2536</c:v>
                </c:pt>
                <c:pt idx="4671">
                  <c:v>2523.08</c:v>
                </c:pt>
                <c:pt idx="4672">
                  <c:v>2535.29</c:v>
                </c:pt>
                <c:pt idx="4673">
                  <c:v>2535.29</c:v>
                </c:pt>
                <c:pt idx="4674">
                  <c:v>2535.29</c:v>
                </c:pt>
                <c:pt idx="4675">
                  <c:v>2525.12</c:v>
                </c:pt>
                <c:pt idx="4676">
                  <c:v>2521.77</c:v>
                </c:pt>
                <c:pt idx="4677">
                  <c:v>2536.4</c:v>
                </c:pt>
                <c:pt idx="4678">
                  <c:v>2522.5700000000002</c:v>
                </c:pt>
                <c:pt idx="4679">
                  <c:v>2518.3000000000002</c:v>
                </c:pt>
                <c:pt idx="4680">
                  <c:v>2518.3000000000002</c:v>
                </c:pt>
                <c:pt idx="4681">
                  <c:v>2518.3000000000002</c:v>
                </c:pt>
                <c:pt idx="4682">
                  <c:v>2548.1999999999998</c:v>
                </c:pt>
                <c:pt idx="4683">
                  <c:v>2561.1999999999998</c:v>
                </c:pt>
                <c:pt idx="4684">
                  <c:v>2560.66</c:v>
                </c:pt>
                <c:pt idx="4685">
                  <c:v>2567.83</c:v>
                </c:pt>
                <c:pt idx="4686">
                  <c:v>2602.1999999999998</c:v>
                </c:pt>
                <c:pt idx="4687">
                  <c:v>2602.1999999999998</c:v>
                </c:pt>
                <c:pt idx="4688">
                  <c:v>2602.1999999999998</c:v>
                </c:pt>
                <c:pt idx="4689">
                  <c:v>2600.64</c:v>
                </c:pt>
                <c:pt idx="4690">
                  <c:v>2596.2800000000002</c:v>
                </c:pt>
                <c:pt idx="4691">
                  <c:v>2595.17</c:v>
                </c:pt>
                <c:pt idx="4692">
                  <c:v>2608.3000000000002</c:v>
                </c:pt>
                <c:pt idx="4693">
                  <c:v>2630.81</c:v>
                </c:pt>
                <c:pt idx="4694">
                  <c:v>2630.81</c:v>
                </c:pt>
                <c:pt idx="4695">
                  <c:v>2630.81</c:v>
                </c:pt>
                <c:pt idx="4696">
                  <c:v>2629.65</c:v>
                </c:pt>
                <c:pt idx="4697">
                  <c:v>2608.36</c:v>
                </c:pt>
                <c:pt idx="4698">
                  <c:v>2603.34</c:v>
                </c:pt>
                <c:pt idx="4699">
                  <c:v>2601.6999999999998</c:v>
                </c:pt>
                <c:pt idx="4700">
                  <c:v>2583.7399999999998</c:v>
                </c:pt>
                <c:pt idx="4701">
                  <c:v>2583.7399999999998</c:v>
                </c:pt>
                <c:pt idx="4702">
                  <c:v>2583.7399999999998</c:v>
                </c:pt>
                <c:pt idx="4703">
                  <c:v>2583.7399999999998</c:v>
                </c:pt>
                <c:pt idx="4704">
                  <c:v>2558.04</c:v>
                </c:pt>
                <c:pt idx="4705">
                  <c:v>2553.0700000000002</c:v>
                </c:pt>
                <c:pt idx="4706">
                  <c:v>2549.1</c:v>
                </c:pt>
                <c:pt idx="4707">
                  <c:v>2562.56</c:v>
                </c:pt>
                <c:pt idx="4708">
                  <c:v>2562.56</c:v>
                </c:pt>
                <c:pt idx="4709">
                  <c:v>2562.56</c:v>
                </c:pt>
                <c:pt idx="4710">
                  <c:v>2562.56</c:v>
                </c:pt>
                <c:pt idx="4711">
                  <c:v>2556.1799999999998</c:v>
                </c:pt>
                <c:pt idx="4712">
                  <c:v>2561.33</c:v>
                </c:pt>
                <c:pt idx="4713">
                  <c:v>2555.2600000000002</c:v>
                </c:pt>
                <c:pt idx="4714">
                  <c:v>2553.02</c:v>
                </c:pt>
                <c:pt idx="4715">
                  <c:v>2553.02</c:v>
                </c:pt>
                <c:pt idx="4716">
                  <c:v>2553.02</c:v>
                </c:pt>
                <c:pt idx="4717">
                  <c:v>2568.11</c:v>
                </c:pt>
                <c:pt idx="4718">
                  <c:v>2582.39</c:v>
                </c:pt>
                <c:pt idx="4719">
                  <c:v>2579.59</c:v>
                </c:pt>
                <c:pt idx="4720">
                  <c:v>2585.8000000000002</c:v>
                </c:pt>
                <c:pt idx="4721">
                  <c:v>2575.19</c:v>
                </c:pt>
                <c:pt idx="4722">
                  <c:v>2575.19</c:v>
                </c:pt>
                <c:pt idx="4723">
                  <c:v>2575.19</c:v>
                </c:pt>
                <c:pt idx="4724">
                  <c:v>2575.19</c:v>
                </c:pt>
                <c:pt idx="4725">
                  <c:v>2568.08</c:v>
                </c:pt>
                <c:pt idx="4726">
                  <c:v>2561.2800000000002</c:v>
                </c:pt>
                <c:pt idx="4727">
                  <c:v>2550.37</c:v>
                </c:pt>
                <c:pt idx="4728">
                  <c:v>2547.79</c:v>
                </c:pt>
                <c:pt idx="4729">
                  <c:v>2547.79</c:v>
                </c:pt>
                <c:pt idx="4730">
                  <c:v>2547.79</c:v>
                </c:pt>
                <c:pt idx="4731">
                  <c:v>2544.65</c:v>
                </c:pt>
                <c:pt idx="4732">
                  <c:v>2542.1999999999998</c:v>
                </c:pt>
                <c:pt idx="4733">
                  <c:v>2540.4699999999998</c:v>
                </c:pt>
                <c:pt idx="4734">
                  <c:v>2540.4699999999998</c:v>
                </c:pt>
                <c:pt idx="4735">
                  <c:v>2541.98</c:v>
                </c:pt>
                <c:pt idx="4736">
                  <c:v>2541.98</c:v>
                </c:pt>
                <c:pt idx="4737">
                  <c:v>2541.98</c:v>
                </c:pt>
                <c:pt idx="4738">
                  <c:v>2541.98</c:v>
                </c:pt>
                <c:pt idx="4739">
                  <c:v>2535.89</c:v>
                </c:pt>
                <c:pt idx="4740">
                  <c:v>2523.41</c:v>
                </c:pt>
                <c:pt idx="4741">
                  <c:v>2515.3200000000002</c:v>
                </c:pt>
                <c:pt idx="4742">
                  <c:v>2517.86</c:v>
                </c:pt>
                <c:pt idx="4743">
                  <c:v>2517.86</c:v>
                </c:pt>
                <c:pt idx="4744">
                  <c:v>2517.86</c:v>
                </c:pt>
                <c:pt idx="4745">
                  <c:v>2521.81</c:v>
                </c:pt>
                <c:pt idx="4746">
                  <c:v>2509.79</c:v>
                </c:pt>
                <c:pt idx="4747">
                  <c:v>2501.88</c:v>
                </c:pt>
                <c:pt idx="4748">
                  <c:v>2501.88</c:v>
                </c:pt>
                <c:pt idx="4749">
                  <c:v>2484.36</c:v>
                </c:pt>
                <c:pt idx="4750">
                  <c:v>2484.36</c:v>
                </c:pt>
                <c:pt idx="4751">
                  <c:v>2484.36</c:v>
                </c:pt>
                <c:pt idx="4752">
                  <c:v>2479.1</c:v>
                </c:pt>
                <c:pt idx="4753">
                  <c:v>2479.1799999999998</c:v>
                </c:pt>
                <c:pt idx="4754">
                  <c:v>2472.12</c:v>
                </c:pt>
                <c:pt idx="4755">
                  <c:v>2481.9299999999998</c:v>
                </c:pt>
                <c:pt idx="4756">
                  <c:v>2475.23</c:v>
                </c:pt>
                <c:pt idx="4757">
                  <c:v>2475.23</c:v>
                </c:pt>
                <c:pt idx="4758">
                  <c:v>2475.23</c:v>
                </c:pt>
                <c:pt idx="4759">
                  <c:v>2466.71</c:v>
                </c:pt>
                <c:pt idx="4760">
                  <c:v>2455.12</c:v>
                </c:pt>
                <c:pt idx="4761">
                  <c:v>2455.12</c:v>
                </c:pt>
                <c:pt idx="4762">
                  <c:v>2464.19</c:v>
                </c:pt>
                <c:pt idx="4763">
                  <c:v>2440.7199999999998</c:v>
                </c:pt>
                <c:pt idx="4764">
                  <c:v>2440.7199999999998</c:v>
                </c:pt>
                <c:pt idx="4765">
                  <c:v>2440.7199999999998</c:v>
                </c:pt>
                <c:pt idx="4766">
                  <c:v>2416.29</c:v>
                </c:pt>
                <c:pt idx="4767">
                  <c:v>2385.1</c:v>
                </c:pt>
                <c:pt idx="4768">
                  <c:v>2376.37</c:v>
                </c:pt>
                <c:pt idx="4769">
                  <c:v>2365.75</c:v>
                </c:pt>
                <c:pt idx="4770">
                  <c:v>2361.46</c:v>
                </c:pt>
                <c:pt idx="4771">
                  <c:v>2361.46</c:v>
                </c:pt>
                <c:pt idx="4772">
                  <c:v>2361.46</c:v>
                </c:pt>
                <c:pt idx="4773">
                  <c:v>2329.79</c:v>
                </c:pt>
                <c:pt idx="4774">
                  <c:v>2316.12</c:v>
                </c:pt>
                <c:pt idx="4775">
                  <c:v>2381.0300000000002</c:v>
                </c:pt>
                <c:pt idx="4776">
                  <c:v>2404.4</c:v>
                </c:pt>
                <c:pt idx="4777">
                  <c:v>2375.9899999999998</c:v>
                </c:pt>
                <c:pt idx="4778">
                  <c:v>2375.9899999999998</c:v>
                </c:pt>
                <c:pt idx="4779">
                  <c:v>2375.9899999999998</c:v>
                </c:pt>
                <c:pt idx="4780">
                  <c:v>2385.3200000000002</c:v>
                </c:pt>
                <c:pt idx="4781">
                  <c:v>2415.37</c:v>
                </c:pt>
                <c:pt idx="4782">
                  <c:v>2412.1</c:v>
                </c:pt>
                <c:pt idx="4783">
                  <c:v>2389.75</c:v>
                </c:pt>
                <c:pt idx="4784">
                  <c:v>2389.75</c:v>
                </c:pt>
                <c:pt idx="4785">
                  <c:v>2389.75</c:v>
                </c:pt>
                <c:pt idx="4786">
                  <c:v>2389.75</c:v>
                </c:pt>
                <c:pt idx="4787">
                  <c:v>2338.84</c:v>
                </c:pt>
                <c:pt idx="4788">
                  <c:v>2315.4499999999998</c:v>
                </c:pt>
                <c:pt idx="4789">
                  <c:v>2344.4499999999998</c:v>
                </c:pt>
                <c:pt idx="4790">
                  <c:v>2386.67</c:v>
                </c:pt>
                <c:pt idx="4791">
                  <c:v>2358.54</c:v>
                </c:pt>
                <c:pt idx="4792">
                  <c:v>2358.54</c:v>
                </c:pt>
                <c:pt idx="4793">
                  <c:v>2358.54</c:v>
                </c:pt>
                <c:pt idx="4794">
                  <c:v>2358.54</c:v>
                </c:pt>
                <c:pt idx="4795">
                  <c:v>2380.96</c:v>
                </c:pt>
                <c:pt idx="4796">
                  <c:v>2358.64</c:v>
                </c:pt>
                <c:pt idx="4797">
                  <c:v>2340.42</c:v>
                </c:pt>
                <c:pt idx="4798">
                  <c:v>2351.23</c:v>
                </c:pt>
                <c:pt idx="4799">
                  <c:v>2351.23</c:v>
                </c:pt>
                <c:pt idx="4800">
                  <c:v>2351.23</c:v>
                </c:pt>
                <c:pt idx="4801">
                  <c:v>2351.23</c:v>
                </c:pt>
                <c:pt idx="4802">
                  <c:v>2371.77</c:v>
                </c:pt>
                <c:pt idx="4803">
                  <c:v>2363.69</c:v>
                </c:pt>
                <c:pt idx="4804">
                  <c:v>2381.54</c:v>
                </c:pt>
                <c:pt idx="4805">
                  <c:v>2373.86</c:v>
                </c:pt>
                <c:pt idx="4806">
                  <c:v>2373.86</c:v>
                </c:pt>
                <c:pt idx="4807">
                  <c:v>2373.86</c:v>
                </c:pt>
                <c:pt idx="4808">
                  <c:v>2370.77</c:v>
                </c:pt>
                <c:pt idx="4809">
                  <c:v>2370.08</c:v>
                </c:pt>
                <c:pt idx="4810">
                  <c:v>2370.9499999999998</c:v>
                </c:pt>
                <c:pt idx="4811">
                  <c:v>2372.63</c:v>
                </c:pt>
                <c:pt idx="4812">
                  <c:v>2367.7600000000002</c:v>
                </c:pt>
                <c:pt idx="4813">
                  <c:v>2367.7600000000002</c:v>
                </c:pt>
                <c:pt idx="4814">
                  <c:v>2367.7600000000002</c:v>
                </c:pt>
                <c:pt idx="4815">
                  <c:v>2363.75</c:v>
                </c:pt>
                <c:pt idx="4816">
                  <c:v>2358.16</c:v>
                </c:pt>
                <c:pt idx="4817">
                  <c:v>2364.13</c:v>
                </c:pt>
                <c:pt idx="4818">
                  <c:v>2365.08</c:v>
                </c:pt>
                <c:pt idx="4819">
                  <c:v>2361.92</c:v>
                </c:pt>
                <c:pt idx="4820">
                  <c:v>2361.92</c:v>
                </c:pt>
                <c:pt idx="4821">
                  <c:v>2361.92</c:v>
                </c:pt>
                <c:pt idx="4822">
                  <c:v>2365.79</c:v>
                </c:pt>
                <c:pt idx="4823">
                  <c:v>2364.16</c:v>
                </c:pt>
                <c:pt idx="4824">
                  <c:v>2358.61</c:v>
                </c:pt>
                <c:pt idx="4825">
                  <c:v>2344.94</c:v>
                </c:pt>
                <c:pt idx="4826">
                  <c:v>2346.04</c:v>
                </c:pt>
                <c:pt idx="4827">
                  <c:v>2346.04</c:v>
                </c:pt>
                <c:pt idx="4828">
                  <c:v>2346.04</c:v>
                </c:pt>
                <c:pt idx="4829">
                  <c:v>2338.27</c:v>
                </c:pt>
                <c:pt idx="4830">
                  <c:v>2330.62</c:v>
                </c:pt>
                <c:pt idx="4831">
                  <c:v>2331.6999999999998</c:v>
                </c:pt>
                <c:pt idx="4832">
                  <c:v>2327.4499999999998</c:v>
                </c:pt>
                <c:pt idx="4833">
                  <c:v>2318.12</c:v>
                </c:pt>
                <c:pt idx="4834">
                  <c:v>2318.12</c:v>
                </c:pt>
                <c:pt idx="4835">
                  <c:v>2318.12</c:v>
                </c:pt>
                <c:pt idx="4836">
                  <c:v>2318.12</c:v>
                </c:pt>
                <c:pt idx="4837">
                  <c:v>2311.83</c:v>
                </c:pt>
                <c:pt idx="4838">
                  <c:v>2308.58</c:v>
                </c:pt>
                <c:pt idx="4839">
                  <c:v>2308.6999999999998</c:v>
                </c:pt>
                <c:pt idx="4840">
                  <c:v>2323.77</c:v>
                </c:pt>
                <c:pt idx="4841">
                  <c:v>2323.77</c:v>
                </c:pt>
                <c:pt idx="4842">
                  <c:v>2323.77</c:v>
                </c:pt>
                <c:pt idx="4843">
                  <c:v>2327.98</c:v>
                </c:pt>
                <c:pt idx="4844">
                  <c:v>2329.67</c:v>
                </c:pt>
                <c:pt idx="4845">
                  <c:v>2333.65</c:v>
                </c:pt>
                <c:pt idx="4846">
                  <c:v>2333.6999999999998</c:v>
                </c:pt>
                <c:pt idx="4847">
                  <c:v>2338.9299999999998</c:v>
                </c:pt>
                <c:pt idx="4848">
                  <c:v>2338.9299999999998</c:v>
                </c:pt>
                <c:pt idx="4849">
                  <c:v>2338.9299999999998</c:v>
                </c:pt>
                <c:pt idx="4850">
                  <c:v>2324.89</c:v>
                </c:pt>
                <c:pt idx="4851">
                  <c:v>2325.69</c:v>
                </c:pt>
                <c:pt idx="4852">
                  <c:v>2334.11</c:v>
                </c:pt>
                <c:pt idx="4853">
                  <c:v>2340.34</c:v>
                </c:pt>
                <c:pt idx="4854">
                  <c:v>2332.7199999999998</c:v>
                </c:pt>
                <c:pt idx="4855">
                  <c:v>2332.7199999999998</c:v>
                </c:pt>
                <c:pt idx="4856">
                  <c:v>2332.7199999999998</c:v>
                </c:pt>
                <c:pt idx="4857">
                  <c:v>2346.71</c:v>
                </c:pt>
                <c:pt idx="4858">
                  <c:v>2362.36</c:v>
                </c:pt>
                <c:pt idx="4859">
                  <c:v>2386.4699999999998</c:v>
                </c:pt>
                <c:pt idx="4860">
                  <c:v>2374.46</c:v>
                </c:pt>
                <c:pt idx="4861">
                  <c:v>2371.4299999999998</c:v>
                </c:pt>
                <c:pt idx="4862">
                  <c:v>2371.4299999999998</c:v>
                </c:pt>
                <c:pt idx="4863">
                  <c:v>2371.4299999999998</c:v>
                </c:pt>
                <c:pt idx="4864">
                  <c:v>2371.4299999999998</c:v>
                </c:pt>
                <c:pt idx="4865">
                  <c:v>2361.7800000000002</c:v>
                </c:pt>
                <c:pt idx="4866">
                  <c:v>2382.3000000000002</c:v>
                </c:pt>
                <c:pt idx="4867">
                  <c:v>2382.3000000000002</c:v>
                </c:pt>
                <c:pt idx="4868">
                  <c:v>2382.3000000000002</c:v>
                </c:pt>
                <c:pt idx="4869">
                  <c:v>2382.3000000000002</c:v>
                </c:pt>
                <c:pt idx="4870">
                  <c:v>2382.3000000000002</c:v>
                </c:pt>
                <c:pt idx="4871">
                  <c:v>2397.25</c:v>
                </c:pt>
                <c:pt idx="4872">
                  <c:v>2393.3200000000002</c:v>
                </c:pt>
                <c:pt idx="4873">
                  <c:v>2376.48</c:v>
                </c:pt>
                <c:pt idx="4874">
                  <c:v>2363.23</c:v>
                </c:pt>
                <c:pt idx="4875">
                  <c:v>2365.98</c:v>
                </c:pt>
                <c:pt idx="4876">
                  <c:v>2365.98</c:v>
                </c:pt>
                <c:pt idx="4877">
                  <c:v>2365.98</c:v>
                </c:pt>
                <c:pt idx="4878">
                  <c:v>2374.4699999999998</c:v>
                </c:pt>
                <c:pt idx="4879">
                  <c:v>2369.67</c:v>
                </c:pt>
                <c:pt idx="4880">
                  <c:v>2362.2800000000002</c:v>
                </c:pt>
                <c:pt idx="4881">
                  <c:v>2353.16</c:v>
                </c:pt>
                <c:pt idx="4882">
                  <c:v>2349.8000000000002</c:v>
                </c:pt>
                <c:pt idx="4883">
                  <c:v>2349.8000000000002</c:v>
                </c:pt>
                <c:pt idx="4884">
                  <c:v>2349.8000000000002</c:v>
                </c:pt>
                <c:pt idx="4885">
                  <c:v>2331.9499999999998</c:v>
                </c:pt>
                <c:pt idx="4886">
                  <c:v>2335.4</c:v>
                </c:pt>
                <c:pt idx="4887">
                  <c:v>2328.7399999999998</c:v>
                </c:pt>
                <c:pt idx="4888">
                  <c:v>2346.09</c:v>
                </c:pt>
                <c:pt idx="4889">
                  <c:v>2363.96</c:v>
                </c:pt>
                <c:pt idx="4890">
                  <c:v>2363.96</c:v>
                </c:pt>
                <c:pt idx="4891">
                  <c:v>2363.96</c:v>
                </c:pt>
                <c:pt idx="4892">
                  <c:v>2363.3000000000002</c:v>
                </c:pt>
                <c:pt idx="4893">
                  <c:v>2355.64</c:v>
                </c:pt>
                <c:pt idx="4894">
                  <c:v>2344.4499999999998</c:v>
                </c:pt>
                <c:pt idx="4895">
                  <c:v>2336.35</c:v>
                </c:pt>
                <c:pt idx="4896">
                  <c:v>2336.25</c:v>
                </c:pt>
                <c:pt idx="4897">
                  <c:v>2336.25</c:v>
                </c:pt>
                <c:pt idx="4898">
                  <c:v>2336.25</c:v>
                </c:pt>
                <c:pt idx="4899">
                  <c:v>2343.9699999999998</c:v>
                </c:pt>
                <c:pt idx="4900">
                  <c:v>2342.56</c:v>
                </c:pt>
                <c:pt idx="4901">
                  <c:v>2338.0700000000002</c:v>
                </c:pt>
                <c:pt idx="4902">
                  <c:v>2344.87</c:v>
                </c:pt>
                <c:pt idx="4903">
                  <c:v>2348.3200000000002</c:v>
                </c:pt>
                <c:pt idx="4904">
                  <c:v>2348.3200000000002</c:v>
                </c:pt>
                <c:pt idx="4905">
                  <c:v>2348.3200000000002</c:v>
                </c:pt>
                <c:pt idx="4906">
                  <c:v>2349.59</c:v>
                </c:pt>
                <c:pt idx="4907">
                  <c:v>2345.4499999999998</c:v>
                </c:pt>
                <c:pt idx="4908">
                  <c:v>2337.08</c:v>
                </c:pt>
                <c:pt idx="4909">
                  <c:v>2338.44</c:v>
                </c:pt>
                <c:pt idx="4910">
                  <c:v>2339.06</c:v>
                </c:pt>
                <c:pt idx="4911">
                  <c:v>2339.06</c:v>
                </c:pt>
                <c:pt idx="4912">
                  <c:v>2339.06</c:v>
                </c:pt>
                <c:pt idx="4913">
                  <c:v>2339.06</c:v>
                </c:pt>
                <c:pt idx="4914">
                  <c:v>2339.77</c:v>
                </c:pt>
                <c:pt idx="4915">
                  <c:v>2340.9899999999998</c:v>
                </c:pt>
                <c:pt idx="4916">
                  <c:v>2344</c:v>
                </c:pt>
                <c:pt idx="4917">
                  <c:v>2348.69</c:v>
                </c:pt>
                <c:pt idx="4918">
                  <c:v>2348.69</c:v>
                </c:pt>
                <c:pt idx="4919">
                  <c:v>2348.69</c:v>
                </c:pt>
                <c:pt idx="4920">
                  <c:v>2347.25</c:v>
                </c:pt>
                <c:pt idx="4921">
                  <c:v>2341.7199999999998</c:v>
                </c:pt>
                <c:pt idx="4922">
                  <c:v>2339.44</c:v>
                </c:pt>
                <c:pt idx="4923">
                  <c:v>2336.9899999999998</c:v>
                </c:pt>
                <c:pt idx="4924">
                  <c:v>2337</c:v>
                </c:pt>
                <c:pt idx="4925">
                  <c:v>2337</c:v>
                </c:pt>
                <c:pt idx="4926">
                  <c:v>2337</c:v>
                </c:pt>
                <c:pt idx="4927">
                  <c:v>2329.0500000000002</c:v>
                </c:pt>
                <c:pt idx="4928">
                  <c:v>2328.69</c:v>
                </c:pt>
                <c:pt idx="4929">
                  <c:v>2329.35</c:v>
                </c:pt>
                <c:pt idx="4930">
                  <c:v>2330.79</c:v>
                </c:pt>
                <c:pt idx="4931">
                  <c:v>2332.79</c:v>
                </c:pt>
                <c:pt idx="4932">
                  <c:v>2332.79</c:v>
                </c:pt>
                <c:pt idx="4933">
                  <c:v>2332.79</c:v>
                </c:pt>
                <c:pt idx="4934">
                  <c:v>2332.79</c:v>
                </c:pt>
                <c:pt idx="4935">
                  <c:v>2338.89</c:v>
                </c:pt>
                <c:pt idx="4936">
                  <c:v>2339.67</c:v>
                </c:pt>
                <c:pt idx="4937">
                  <c:v>2336.65</c:v>
                </c:pt>
                <c:pt idx="4938">
                  <c:v>2330.9299999999998</c:v>
                </c:pt>
                <c:pt idx="4939">
                  <c:v>2330.9299999999998</c:v>
                </c:pt>
                <c:pt idx="4940">
                  <c:v>2330.9299999999998</c:v>
                </c:pt>
                <c:pt idx="4941">
                  <c:v>2330.9299999999998</c:v>
                </c:pt>
                <c:pt idx="4942">
                  <c:v>2331.38</c:v>
                </c:pt>
                <c:pt idx="4943">
                  <c:v>2347.83</c:v>
                </c:pt>
                <c:pt idx="4944">
                  <c:v>2361.41</c:v>
                </c:pt>
                <c:pt idx="4945">
                  <c:v>2349.17</c:v>
                </c:pt>
                <c:pt idx="4946">
                  <c:v>2349.17</c:v>
                </c:pt>
                <c:pt idx="4947">
                  <c:v>2349.17</c:v>
                </c:pt>
                <c:pt idx="4948">
                  <c:v>2345.6</c:v>
                </c:pt>
                <c:pt idx="4949">
                  <c:v>2334.27</c:v>
                </c:pt>
                <c:pt idx="4950">
                  <c:v>2330.33</c:v>
                </c:pt>
                <c:pt idx="4951">
                  <c:v>2326.4299999999998</c:v>
                </c:pt>
                <c:pt idx="4952">
                  <c:v>2322.0500000000002</c:v>
                </c:pt>
                <c:pt idx="4953">
                  <c:v>2322.0500000000002</c:v>
                </c:pt>
                <c:pt idx="4954">
                  <c:v>2322.0500000000002</c:v>
                </c:pt>
                <c:pt idx="4955">
                  <c:v>2319.11</c:v>
                </c:pt>
                <c:pt idx="4956">
                  <c:v>2314.89</c:v>
                </c:pt>
                <c:pt idx="4957">
                  <c:v>2316.4499999999998</c:v>
                </c:pt>
                <c:pt idx="4958">
                  <c:v>2319.27</c:v>
                </c:pt>
                <c:pt idx="4959">
                  <c:v>2320.29</c:v>
                </c:pt>
                <c:pt idx="4960">
                  <c:v>2320.29</c:v>
                </c:pt>
                <c:pt idx="4961">
                  <c:v>2320.29</c:v>
                </c:pt>
                <c:pt idx="4962">
                  <c:v>2323.19</c:v>
                </c:pt>
                <c:pt idx="4963">
                  <c:v>2327.9</c:v>
                </c:pt>
                <c:pt idx="4964">
                  <c:v>2331.81</c:v>
                </c:pt>
                <c:pt idx="4965">
                  <c:v>2324.2199999999998</c:v>
                </c:pt>
                <c:pt idx="4966">
                  <c:v>2324.69</c:v>
                </c:pt>
                <c:pt idx="4967">
                  <c:v>2324.69</c:v>
                </c:pt>
                <c:pt idx="4968">
                  <c:v>2324.69</c:v>
                </c:pt>
                <c:pt idx="4969">
                  <c:v>2324.69</c:v>
                </c:pt>
                <c:pt idx="4970">
                  <c:v>2338.17</c:v>
                </c:pt>
                <c:pt idx="4971">
                  <c:v>2338.86</c:v>
                </c:pt>
                <c:pt idx="4972">
                  <c:v>2332.6999999999998</c:v>
                </c:pt>
                <c:pt idx="4973">
                  <c:v>2330.7199999999998</c:v>
                </c:pt>
                <c:pt idx="4974">
                  <c:v>2330.7199999999998</c:v>
                </c:pt>
                <c:pt idx="4975">
                  <c:v>2330.7199999999998</c:v>
                </c:pt>
                <c:pt idx="4976">
                  <c:v>2324.37</c:v>
                </c:pt>
                <c:pt idx="4977">
                  <c:v>2323.08</c:v>
                </c:pt>
                <c:pt idx="4978">
                  <c:v>2326.09</c:v>
                </c:pt>
                <c:pt idx="4979">
                  <c:v>2329.4</c:v>
                </c:pt>
                <c:pt idx="4980">
                  <c:v>2332.0700000000002</c:v>
                </c:pt>
                <c:pt idx="4981">
                  <c:v>2332.0700000000002</c:v>
                </c:pt>
                <c:pt idx="4982">
                  <c:v>2332.0700000000002</c:v>
                </c:pt>
                <c:pt idx="4983">
                  <c:v>2320.2600000000002</c:v>
                </c:pt>
                <c:pt idx="4984">
                  <c:v>2312.73</c:v>
                </c:pt>
                <c:pt idx="4985">
                  <c:v>2312.73</c:v>
                </c:pt>
                <c:pt idx="4986">
                  <c:v>2312.8200000000002</c:v>
                </c:pt>
                <c:pt idx="4987">
                  <c:v>2316.42</c:v>
                </c:pt>
                <c:pt idx="4988">
                  <c:v>2316.42</c:v>
                </c:pt>
                <c:pt idx="4989">
                  <c:v>2316.42</c:v>
                </c:pt>
                <c:pt idx="4990">
                  <c:v>2315.39</c:v>
                </c:pt>
                <c:pt idx="4991">
                  <c:v>2316.9299999999998</c:v>
                </c:pt>
                <c:pt idx="4992">
                  <c:v>2313.84</c:v>
                </c:pt>
                <c:pt idx="4993">
                  <c:v>2311.4299999999998</c:v>
                </c:pt>
                <c:pt idx="4994">
                  <c:v>2308.4899999999998</c:v>
                </c:pt>
                <c:pt idx="4995">
                  <c:v>2308.4899999999998</c:v>
                </c:pt>
                <c:pt idx="4996">
                  <c:v>2308.4899999999998</c:v>
                </c:pt>
                <c:pt idx="4997">
                  <c:v>2308.42</c:v>
                </c:pt>
                <c:pt idx="4998">
                  <c:v>2305.9499999999998</c:v>
                </c:pt>
                <c:pt idx="4999">
                  <c:v>2306.5100000000002</c:v>
                </c:pt>
                <c:pt idx="5000">
                  <c:v>2307.4</c:v>
                </c:pt>
                <c:pt idx="5001">
                  <c:v>2307.69</c:v>
                </c:pt>
                <c:pt idx="5002">
                  <c:v>2307.69</c:v>
                </c:pt>
                <c:pt idx="5003">
                  <c:v>2307.69</c:v>
                </c:pt>
                <c:pt idx="5004">
                  <c:v>2308.3000000000002</c:v>
                </c:pt>
                <c:pt idx="5005">
                  <c:v>2305.63</c:v>
                </c:pt>
                <c:pt idx="5006">
                  <c:v>2299.75</c:v>
                </c:pt>
                <c:pt idx="5007">
                  <c:v>2313.52</c:v>
                </c:pt>
                <c:pt idx="5008">
                  <c:v>2308.38</c:v>
                </c:pt>
                <c:pt idx="5009">
                  <c:v>2308.38</c:v>
                </c:pt>
                <c:pt idx="5010">
                  <c:v>2308.38</c:v>
                </c:pt>
                <c:pt idx="5011">
                  <c:v>2308.38</c:v>
                </c:pt>
                <c:pt idx="5012">
                  <c:v>2301.7399999999998</c:v>
                </c:pt>
                <c:pt idx="5013">
                  <c:v>2303.1999999999998</c:v>
                </c:pt>
                <c:pt idx="5014">
                  <c:v>2307.4499999999998</c:v>
                </c:pt>
                <c:pt idx="5015">
                  <c:v>2309.83</c:v>
                </c:pt>
                <c:pt idx="5016">
                  <c:v>2309.83</c:v>
                </c:pt>
                <c:pt idx="5017">
                  <c:v>2309.83</c:v>
                </c:pt>
                <c:pt idx="5018">
                  <c:v>2304.2600000000002</c:v>
                </c:pt>
                <c:pt idx="5019">
                  <c:v>2302.59</c:v>
                </c:pt>
                <c:pt idx="5020">
                  <c:v>2305.0500000000002</c:v>
                </c:pt>
                <c:pt idx="5021">
                  <c:v>2305.87</c:v>
                </c:pt>
                <c:pt idx="5022">
                  <c:v>2306.71</c:v>
                </c:pt>
                <c:pt idx="5023">
                  <c:v>2306.71</c:v>
                </c:pt>
                <c:pt idx="5024">
                  <c:v>2306.71</c:v>
                </c:pt>
                <c:pt idx="5025">
                  <c:v>2305.15</c:v>
                </c:pt>
                <c:pt idx="5026">
                  <c:v>2304.3000000000002</c:v>
                </c:pt>
                <c:pt idx="5027">
                  <c:v>2302.7800000000002</c:v>
                </c:pt>
                <c:pt idx="5028">
                  <c:v>2298.85</c:v>
                </c:pt>
                <c:pt idx="5029">
                  <c:v>2295.31</c:v>
                </c:pt>
                <c:pt idx="5030">
                  <c:v>2295.31</c:v>
                </c:pt>
                <c:pt idx="5031">
                  <c:v>2295.31</c:v>
                </c:pt>
                <c:pt idx="5032">
                  <c:v>2295.31</c:v>
                </c:pt>
                <c:pt idx="5033">
                  <c:v>2286.61</c:v>
                </c:pt>
                <c:pt idx="5034">
                  <c:v>2279.9499999999998</c:v>
                </c:pt>
                <c:pt idx="5035">
                  <c:v>2289.3000000000002</c:v>
                </c:pt>
                <c:pt idx="5036">
                  <c:v>2305.09</c:v>
                </c:pt>
                <c:pt idx="5037">
                  <c:v>2305.09</c:v>
                </c:pt>
                <c:pt idx="5038">
                  <c:v>2305.09</c:v>
                </c:pt>
                <c:pt idx="5039">
                  <c:v>2306.71</c:v>
                </c:pt>
                <c:pt idx="5040">
                  <c:v>2295.02</c:v>
                </c:pt>
                <c:pt idx="5041">
                  <c:v>2290.02</c:v>
                </c:pt>
                <c:pt idx="5042">
                  <c:v>2299.8200000000002</c:v>
                </c:pt>
                <c:pt idx="5043">
                  <c:v>2301.9899999999998</c:v>
                </c:pt>
                <c:pt idx="5044">
                  <c:v>2301.9899999999998</c:v>
                </c:pt>
                <c:pt idx="5045">
                  <c:v>2301.9899999999998</c:v>
                </c:pt>
                <c:pt idx="5046">
                  <c:v>2295.5700000000002</c:v>
                </c:pt>
                <c:pt idx="5047">
                  <c:v>2300.58</c:v>
                </c:pt>
                <c:pt idx="5048">
                  <c:v>2291.0500000000002</c:v>
                </c:pt>
                <c:pt idx="5049">
                  <c:v>2292.59</c:v>
                </c:pt>
                <c:pt idx="5050">
                  <c:v>2290.0300000000002</c:v>
                </c:pt>
                <c:pt idx="5051">
                  <c:v>2290.0300000000002</c:v>
                </c:pt>
                <c:pt idx="5052">
                  <c:v>2290.0300000000002</c:v>
                </c:pt>
                <c:pt idx="5053">
                  <c:v>2289.1799999999998</c:v>
                </c:pt>
                <c:pt idx="5054">
                  <c:v>2290.7399999999998</c:v>
                </c:pt>
                <c:pt idx="5055">
                  <c:v>2293.29</c:v>
                </c:pt>
                <c:pt idx="5056">
                  <c:v>2289.61</c:v>
                </c:pt>
                <c:pt idx="5057">
                  <c:v>2288.2199999999998</c:v>
                </c:pt>
                <c:pt idx="5058">
                  <c:v>2288.2199999999998</c:v>
                </c:pt>
                <c:pt idx="5059">
                  <c:v>2288.2199999999998</c:v>
                </c:pt>
                <c:pt idx="5060">
                  <c:v>2289.13</c:v>
                </c:pt>
                <c:pt idx="5061">
                  <c:v>2289.79</c:v>
                </c:pt>
                <c:pt idx="5062">
                  <c:v>2294.12</c:v>
                </c:pt>
                <c:pt idx="5063">
                  <c:v>2302.79</c:v>
                </c:pt>
                <c:pt idx="5064">
                  <c:v>2303.0100000000002</c:v>
                </c:pt>
                <c:pt idx="5065">
                  <c:v>2303.0100000000002</c:v>
                </c:pt>
                <c:pt idx="5066">
                  <c:v>2303.0100000000002</c:v>
                </c:pt>
                <c:pt idx="5067">
                  <c:v>2303.0100000000002</c:v>
                </c:pt>
                <c:pt idx="5068">
                  <c:v>2299.94</c:v>
                </c:pt>
                <c:pt idx="5069">
                  <c:v>2299.4699999999998</c:v>
                </c:pt>
                <c:pt idx="5070">
                  <c:v>2298.9899999999998</c:v>
                </c:pt>
                <c:pt idx="5071">
                  <c:v>2294.75</c:v>
                </c:pt>
                <c:pt idx="5072">
                  <c:v>2294.75</c:v>
                </c:pt>
                <c:pt idx="5073">
                  <c:v>2294.75</c:v>
                </c:pt>
                <c:pt idx="5074">
                  <c:v>2294.75</c:v>
                </c:pt>
                <c:pt idx="5075">
                  <c:v>2288.69</c:v>
                </c:pt>
                <c:pt idx="5076">
                  <c:v>2283.96</c:v>
                </c:pt>
                <c:pt idx="5077">
                  <c:v>2289.15</c:v>
                </c:pt>
                <c:pt idx="5078">
                  <c:v>2288.69</c:v>
                </c:pt>
                <c:pt idx="5079">
                  <c:v>2288.69</c:v>
                </c:pt>
                <c:pt idx="5080">
                  <c:v>2288.69</c:v>
                </c:pt>
                <c:pt idx="5081">
                  <c:v>2285.37</c:v>
                </c:pt>
                <c:pt idx="5082">
                  <c:v>2284.0500000000002</c:v>
                </c:pt>
                <c:pt idx="5083">
                  <c:v>2288.52</c:v>
                </c:pt>
                <c:pt idx="5084">
                  <c:v>2289.87</c:v>
                </c:pt>
                <c:pt idx="5085">
                  <c:v>2289.5700000000002</c:v>
                </c:pt>
                <c:pt idx="5086">
                  <c:v>2289.5700000000002</c:v>
                </c:pt>
                <c:pt idx="5087">
                  <c:v>2289.5700000000002</c:v>
                </c:pt>
                <c:pt idx="5088">
                  <c:v>2287.5100000000002</c:v>
                </c:pt>
                <c:pt idx="5089">
                  <c:v>2285.83</c:v>
                </c:pt>
                <c:pt idx="5090">
                  <c:v>2285.2399999999998</c:v>
                </c:pt>
                <c:pt idx="5091">
                  <c:v>2283.7800000000002</c:v>
                </c:pt>
                <c:pt idx="5092">
                  <c:v>2282.7600000000002</c:v>
                </c:pt>
                <c:pt idx="5093">
                  <c:v>2282.7600000000002</c:v>
                </c:pt>
                <c:pt idx="5094">
                  <c:v>2282.7600000000002</c:v>
                </c:pt>
                <c:pt idx="5095">
                  <c:v>2282.7600000000002</c:v>
                </c:pt>
                <c:pt idx="5096">
                  <c:v>2282.67</c:v>
                </c:pt>
                <c:pt idx="5097">
                  <c:v>2280.94</c:v>
                </c:pt>
                <c:pt idx="5098">
                  <c:v>2280.19</c:v>
                </c:pt>
                <c:pt idx="5099">
                  <c:v>2280.19</c:v>
                </c:pt>
                <c:pt idx="5100">
                  <c:v>2280.19</c:v>
                </c:pt>
                <c:pt idx="5101">
                  <c:v>2280.19</c:v>
                </c:pt>
                <c:pt idx="5102">
                  <c:v>2280.19</c:v>
                </c:pt>
                <c:pt idx="5103">
                  <c:v>2280.4299999999998</c:v>
                </c:pt>
                <c:pt idx="5104">
                  <c:v>2278.23</c:v>
                </c:pt>
                <c:pt idx="5105">
                  <c:v>2277.9899999999998</c:v>
                </c:pt>
                <c:pt idx="5106">
                  <c:v>2277.73</c:v>
                </c:pt>
                <c:pt idx="5107">
                  <c:v>2277.73</c:v>
                </c:pt>
                <c:pt idx="5108">
                  <c:v>2277.73</c:v>
                </c:pt>
                <c:pt idx="5109">
                  <c:v>2276.64</c:v>
                </c:pt>
                <c:pt idx="5110">
                  <c:v>2278.48</c:v>
                </c:pt>
                <c:pt idx="5111">
                  <c:v>2277.92</c:v>
                </c:pt>
                <c:pt idx="5112">
                  <c:v>2277.92</c:v>
                </c:pt>
                <c:pt idx="5113">
                  <c:v>2275.4</c:v>
                </c:pt>
                <c:pt idx="5114">
                  <c:v>2275.4</c:v>
                </c:pt>
                <c:pt idx="5115">
                  <c:v>2275.4</c:v>
                </c:pt>
                <c:pt idx="5116">
                  <c:v>2273.08</c:v>
                </c:pt>
                <c:pt idx="5117">
                  <c:v>2274.04</c:v>
                </c:pt>
                <c:pt idx="5118">
                  <c:v>2274.71</c:v>
                </c:pt>
                <c:pt idx="5119">
                  <c:v>2272.9499999999998</c:v>
                </c:pt>
                <c:pt idx="5120">
                  <c:v>2274.39</c:v>
                </c:pt>
                <c:pt idx="5121">
                  <c:v>2274.39</c:v>
                </c:pt>
                <c:pt idx="5122">
                  <c:v>2274.39</c:v>
                </c:pt>
                <c:pt idx="5123">
                  <c:v>2274.1</c:v>
                </c:pt>
                <c:pt idx="5124">
                  <c:v>2274.19</c:v>
                </c:pt>
                <c:pt idx="5125">
                  <c:v>2274.06</c:v>
                </c:pt>
                <c:pt idx="5126">
                  <c:v>2274.06</c:v>
                </c:pt>
                <c:pt idx="5127">
                  <c:v>2275.09</c:v>
                </c:pt>
                <c:pt idx="5128">
                  <c:v>2275.09</c:v>
                </c:pt>
                <c:pt idx="5129">
                  <c:v>2275.09</c:v>
                </c:pt>
                <c:pt idx="5130">
                  <c:v>2275.4699999999998</c:v>
                </c:pt>
                <c:pt idx="5131">
                  <c:v>2275.33</c:v>
                </c:pt>
                <c:pt idx="5132">
                  <c:v>2275.4499999999998</c:v>
                </c:pt>
                <c:pt idx="5133">
                  <c:v>2276.6999999999998</c:v>
                </c:pt>
                <c:pt idx="5134">
                  <c:v>2277.85</c:v>
                </c:pt>
                <c:pt idx="5135">
                  <c:v>2277.85</c:v>
                </c:pt>
                <c:pt idx="5136">
                  <c:v>2277.85</c:v>
                </c:pt>
                <c:pt idx="5137">
                  <c:v>2286.83</c:v>
                </c:pt>
                <c:pt idx="5138">
                  <c:v>2286.46</c:v>
                </c:pt>
                <c:pt idx="5139">
                  <c:v>2285.61</c:v>
                </c:pt>
                <c:pt idx="5140">
                  <c:v>2283.4699999999998</c:v>
                </c:pt>
                <c:pt idx="5141">
                  <c:v>2282.36</c:v>
                </c:pt>
                <c:pt idx="5142">
                  <c:v>2282.36</c:v>
                </c:pt>
                <c:pt idx="5143">
                  <c:v>2282.36</c:v>
                </c:pt>
                <c:pt idx="5144">
                  <c:v>2282.36</c:v>
                </c:pt>
                <c:pt idx="5145">
                  <c:v>2283.11</c:v>
                </c:pt>
                <c:pt idx="5146">
                  <c:v>2282.35</c:v>
                </c:pt>
                <c:pt idx="5147">
                  <c:v>2284.2199999999998</c:v>
                </c:pt>
                <c:pt idx="5148">
                  <c:v>2284.2199999999998</c:v>
                </c:pt>
                <c:pt idx="5149">
                  <c:v>2284.2199999999998</c:v>
                </c:pt>
                <c:pt idx="5150">
                  <c:v>2284.2199999999998</c:v>
                </c:pt>
                <c:pt idx="5151">
                  <c:v>2284.2199999999998</c:v>
                </c:pt>
                <c:pt idx="5152">
                  <c:v>2282.27</c:v>
                </c:pt>
                <c:pt idx="5153">
                  <c:v>2282.13</c:v>
                </c:pt>
                <c:pt idx="5154">
                  <c:v>2279.9899999999998</c:v>
                </c:pt>
                <c:pt idx="5155">
                  <c:v>2278.4</c:v>
                </c:pt>
                <c:pt idx="5156">
                  <c:v>2278.4</c:v>
                </c:pt>
                <c:pt idx="5157">
                  <c:v>2278.4</c:v>
                </c:pt>
                <c:pt idx="5158">
                  <c:v>2278.4</c:v>
                </c:pt>
                <c:pt idx="5159">
                  <c:v>2276.58</c:v>
                </c:pt>
                <c:pt idx="5160">
                  <c:v>2274.73</c:v>
                </c:pt>
                <c:pt idx="5161">
                  <c:v>2274.59</c:v>
                </c:pt>
                <c:pt idx="5162">
                  <c:v>2273.31</c:v>
                </c:pt>
                <c:pt idx="5163">
                  <c:v>2273.31</c:v>
                </c:pt>
                <c:pt idx="5164">
                  <c:v>2273.31</c:v>
                </c:pt>
                <c:pt idx="5165">
                  <c:v>2273.31</c:v>
                </c:pt>
                <c:pt idx="5166">
                  <c:v>2270.88</c:v>
                </c:pt>
                <c:pt idx="5167">
                  <c:v>2271.5500000000002</c:v>
                </c:pt>
                <c:pt idx="5168">
                  <c:v>2269.6999999999998</c:v>
                </c:pt>
                <c:pt idx="5169">
                  <c:v>2269.41</c:v>
                </c:pt>
                <c:pt idx="5170">
                  <c:v>2269.41</c:v>
                </c:pt>
                <c:pt idx="5171">
                  <c:v>2269.41</c:v>
                </c:pt>
                <c:pt idx="5172">
                  <c:v>2262.04</c:v>
                </c:pt>
                <c:pt idx="5173">
                  <c:v>2262.87</c:v>
                </c:pt>
                <c:pt idx="5174">
                  <c:v>2273.5</c:v>
                </c:pt>
                <c:pt idx="5175">
                  <c:v>2270.85</c:v>
                </c:pt>
                <c:pt idx="5176">
                  <c:v>2266.66</c:v>
                </c:pt>
                <c:pt idx="5177">
                  <c:v>2266.66</c:v>
                </c:pt>
                <c:pt idx="5178">
                  <c:v>2266.66</c:v>
                </c:pt>
                <c:pt idx="5179">
                  <c:v>2265.65</c:v>
                </c:pt>
                <c:pt idx="5180">
                  <c:v>2267.63</c:v>
                </c:pt>
                <c:pt idx="5181">
                  <c:v>2267.39</c:v>
                </c:pt>
                <c:pt idx="5182">
                  <c:v>2266.0700000000002</c:v>
                </c:pt>
                <c:pt idx="5183">
                  <c:v>2265.2199999999998</c:v>
                </c:pt>
                <c:pt idx="5184">
                  <c:v>2265.2199999999998</c:v>
                </c:pt>
                <c:pt idx="5185">
                  <c:v>2265.2199999999998</c:v>
                </c:pt>
                <c:pt idx="5186">
                  <c:v>2259.64</c:v>
                </c:pt>
                <c:pt idx="5187">
                  <c:v>2256.5700000000002</c:v>
                </c:pt>
                <c:pt idx="5188">
                  <c:v>2259.0700000000002</c:v>
                </c:pt>
                <c:pt idx="5189">
                  <c:v>2256.9499999999998</c:v>
                </c:pt>
                <c:pt idx="5190">
                  <c:v>2253.1</c:v>
                </c:pt>
                <c:pt idx="5191">
                  <c:v>2253.1</c:v>
                </c:pt>
                <c:pt idx="5192">
                  <c:v>2253.1</c:v>
                </c:pt>
                <c:pt idx="5193">
                  <c:v>2254.0300000000002</c:v>
                </c:pt>
                <c:pt idx="5194">
                  <c:v>2254.98</c:v>
                </c:pt>
                <c:pt idx="5195">
                  <c:v>2253.6799999999998</c:v>
                </c:pt>
                <c:pt idx="5196">
                  <c:v>2254.11</c:v>
                </c:pt>
                <c:pt idx="5197">
                  <c:v>2253.89</c:v>
                </c:pt>
                <c:pt idx="5198">
                  <c:v>2253.89</c:v>
                </c:pt>
                <c:pt idx="5199">
                  <c:v>2253.89</c:v>
                </c:pt>
                <c:pt idx="5200">
                  <c:v>2253.89</c:v>
                </c:pt>
                <c:pt idx="5201">
                  <c:v>2253.42</c:v>
                </c:pt>
                <c:pt idx="5202">
                  <c:v>2251.7800000000002</c:v>
                </c:pt>
                <c:pt idx="5203">
                  <c:v>2249.9</c:v>
                </c:pt>
                <c:pt idx="5204">
                  <c:v>2246.1799999999998</c:v>
                </c:pt>
                <c:pt idx="5205">
                  <c:v>2246.1799999999998</c:v>
                </c:pt>
                <c:pt idx="5206">
                  <c:v>2246.1799999999998</c:v>
                </c:pt>
                <c:pt idx="5207">
                  <c:v>2247.3200000000002</c:v>
                </c:pt>
                <c:pt idx="5208">
                  <c:v>2245.71</c:v>
                </c:pt>
                <c:pt idx="5209">
                  <c:v>2247.48</c:v>
                </c:pt>
                <c:pt idx="5210">
                  <c:v>2251.4499999999998</c:v>
                </c:pt>
                <c:pt idx="5211">
                  <c:v>2256.17</c:v>
                </c:pt>
                <c:pt idx="5212">
                  <c:v>2256.17</c:v>
                </c:pt>
                <c:pt idx="5213">
                  <c:v>2256.17</c:v>
                </c:pt>
                <c:pt idx="5214">
                  <c:v>2259.12</c:v>
                </c:pt>
                <c:pt idx="5215">
                  <c:v>2258.11</c:v>
                </c:pt>
                <c:pt idx="5216">
                  <c:v>2254.5500000000002</c:v>
                </c:pt>
                <c:pt idx="5217">
                  <c:v>2257.67</c:v>
                </c:pt>
                <c:pt idx="5218">
                  <c:v>2265.15</c:v>
                </c:pt>
                <c:pt idx="5219">
                  <c:v>2265.15</c:v>
                </c:pt>
                <c:pt idx="5220">
                  <c:v>2265.15</c:v>
                </c:pt>
                <c:pt idx="5221">
                  <c:v>2263.46</c:v>
                </c:pt>
                <c:pt idx="5222">
                  <c:v>2262.41</c:v>
                </c:pt>
                <c:pt idx="5223">
                  <c:v>2259.5300000000002</c:v>
                </c:pt>
                <c:pt idx="5224">
                  <c:v>2258.0100000000002</c:v>
                </c:pt>
                <c:pt idx="5225">
                  <c:v>2257.0100000000002</c:v>
                </c:pt>
                <c:pt idx="5226">
                  <c:v>2257.0100000000002</c:v>
                </c:pt>
                <c:pt idx="5227">
                  <c:v>2257.0100000000002</c:v>
                </c:pt>
                <c:pt idx="5228">
                  <c:v>2257.0100000000002</c:v>
                </c:pt>
                <c:pt idx="5229">
                  <c:v>2259.19</c:v>
                </c:pt>
                <c:pt idx="5230">
                  <c:v>2263.31</c:v>
                </c:pt>
                <c:pt idx="5231">
                  <c:v>2265.4899999999998</c:v>
                </c:pt>
                <c:pt idx="5232">
                  <c:v>2266.9499999999998</c:v>
                </c:pt>
                <c:pt idx="5233">
                  <c:v>2266.9499999999998</c:v>
                </c:pt>
                <c:pt idx="5234">
                  <c:v>2266.9499999999998</c:v>
                </c:pt>
                <c:pt idx="5235">
                  <c:v>2268.35</c:v>
                </c:pt>
                <c:pt idx="5236">
                  <c:v>2276.08</c:v>
                </c:pt>
                <c:pt idx="5237">
                  <c:v>2286.73</c:v>
                </c:pt>
                <c:pt idx="5238">
                  <c:v>2289.98</c:v>
                </c:pt>
                <c:pt idx="5239">
                  <c:v>2293.38</c:v>
                </c:pt>
                <c:pt idx="5240">
                  <c:v>2293.38</c:v>
                </c:pt>
                <c:pt idx="5241">
                  <c:v>2293.38</c:v>
                </c:pt>
                <c:pt idx="5242">
                  <c:v>2296.1799999999998</c:v>
                </c:pt>
                <c:pt idx="5243">
                  <c:v>2288.67</c:v>
                </c:pt>
                <c:pt idx="5244">
                  <c:v>2294.9899999999998</c:v>
                </c:pt>
                <c:pt idx="5245">
                  <c:v>2313.0500000000002</c:v>
                </c:pt>
                <c:pt idx="5246">
                  <c:v>2342.35</c:v>
                </c:pt>
                <c:pt idx="5247">
                  <c:v>2342.35</c:v>
                </c:pt>
                <c:pt idx="5248">
                  <c:v>2342.35</c:v>
                </c:pt>
                <c:pt idx="5249">
                  <c:v>2352.58</c:v>
                </c:pt>
                <c:pt idx="5250">
                  <c:v>2336.2600000000002</c:v>
                </c:pt>
                <c:pt idx="5251">
                  <c:v>2335.16</c:v>
                </c:pt>
                <c:pt idx="5252">
                  <c:v>2335.16</c:v>
                </c:pt>
                <c:pt idx="5253">
                  <c:v>2335.16</c:v>
                </c:pt>
                <c:pt idx="5254">
                  <c:v>2335.16</c:v>
                </c:pt>
                <c:pt idx="5255">
                  <c:v>2335.16</c:v>
                </c:pt>
                <c:pt idx="5256">
                  <c:v>2366.15</c:v>
                </c:pt>
                <c:pt idx="5257">
                  <c:v>2349.0300000000002</c:v>
                </c:pt>
                <c:pt idx="5258">
                  <c:v>2344.73</c:v>
                </c:pt>
                <c:pt idx="5259">
                  <c:v>2336.1</c:v>
                </c:pt>
                <c:pt idx="5260">
                  <c:v>2337.42</c:v>
                </c:pt>
                <c:pt idx="5261">
                  <c:v>2337.42</c:v>
                </c:pt>
                <c:pt idx="5262">
                  <c:v>2337.42</c:v>
                </c:pt>
                <c:pt idx="5263">
                  <c:v>2332.9899999999998</c:v>
                </c:pt>
                <c:pt idx="5264">
                  <c:v>2348.4899999999998</c:v>
                </c:pt>
                <c:pt idx="5265">
                  <c:v>2373.94</c:v>
                </c:pt>
                <c:pt idx="5266">
                  <c:v>2375.66</c:v>
                </c:pt>
                <c:pt idx="5267">
                  <c:v>2375.0300000000002</c:v>
                </c:pt>
                <c:pt idx="5268">
                  <c:v>2375.0300000000002</c:v>
                </c:pt>
                <c:pt idx="5269">
                  <c:v>2375.0300000000002</c:v>
                </c:pt>
                <c:pt idx="5270">
                  <c:v>2375.0300000000002</c:v>
                </c:pt>
                <c:pt idx="5271">
                  <c:v>2380.31</c:v>
                </c:pt>
                <c:pt idx="5272">
                  <c:v>2377.59</c:v>
                </c:pt>
                <c:pt idx="5273">
                  <c:v>2381.36</c:v>
                </c:pt>
                <c:pt idx="5274">
                  <c:v>2370.63</c:v>
                </c:pt>
                <c:pt idx="5275">
                  <c:v>2370.63</c:v>
                </c:pt>
                <c:pt idx="5276">
                  <c:v>2370.63</c:v>
                </c:pt>
                <c:pt idx="5277">
                  <c:v>2351.06</c:v>
                </c:pt>
                <c:pt idx="5278">
                  <c:v>2338.7600000000002</c:v>
                </c:pt>
                <c:pt idx="5279">
                  <c:v>2329.35</c:v>
                </c:pt>
                <c:pt idx="5280">
                  <c:v>2346.06</c:v>
                </c:pt>
                <c:pt idx="5281">
                  <c:v>2375.86</c:v>
                </c:pt>
                <c:pt idx="5282">
                  <c:v>2375.86</c:v>
                </c:pt>
                <c:pt idx="5283">
                  <c:v>2375.86</c:v>
                </c:pt>
                <c:pt idx="5284">
                  <c:v>2424.27</c:v>
                </c:pt>
                <c:pt idx="5285">
                  <c:v>2410.96</c:v>
                </c:pt>
                <c:pt idx="5286">
                  <c:v>2435.52</c:v>
                </c:pt>
                <c:pt idx="5287">
                  <c:v>2450.63</c:v>
                </c:pt>
                <c:pt idx="5288">
                  <c:v>2452.5</c:v>
                </c:pt>
                <c:pt idx="5289">
                  <c:v>2452.5</c:v>
                </c:pt>
                <c:pt idx="5290">
                  <c:v>2452.5</c:v>
                </c:pt>
                <c:pt idx="5291">
                  <c:v>2493.98</c:v>
                </c:pt>
                <c:pt idx="5292">
                  <c:v>2490.06</c:v>
                </c:pt>
                <c:pt idx="5293">
                  <c:v>2518.34</c:v>
                </c:pt>
                <c:pt idx="5294">
                  <c:v>2517.44</c:v>
                </c:pt>
                <c:pt idx="5295">
                  <c:v>2475.75</c:v>
                </c:pt>
                <c:pt idx="5296">
                  <c:v>2475.75</c:v>
                </c:pt>
                <c:pt idx="5297">
                  <c:v>2475.75</c:v>
                </c:pt>
                <c:pt idx="5298">
                  <c:v>2475.75</c:v>
                </c:pt>
                <c:pt idx="5299">
                  <c:v>2482.41</c:v>
                </c:pt>
                <c:pt idx="5300">
                  <c:v>2486.0700000000002</c:v>
                </c:pt>
                <c:pt idx="5301">
                  <c:v>2484.62</c:v>
                </c:pt>
                <c:pt idx="5302">
                  <c:v>2450.8000000000002</c:v>
                </c:pt>
                <c:pt idx="5303">
                  <c:v>2450.8000000000002</c:v>
                </c:pt>
                <c:pt idx="5304">
                  <c:v>2450.8000000000002</c:v>
                </c:pt>
                <c:pt idx="5305">
                  <c:v>2443.7199999999998</c:v>
                </c:pt>
                <c:pt idx="5306">
                  <c:v>2470.9899999999998</c:v>
                </c:pt>
                <c:pt idx="5307">
                  <c:v>2482.15</c:v>
                </c:pt>
                <c:pt idx="5308">
                  <c:v>2511.34</c:v>
                </c:pt>
                <c:pt idx="5309">
                  <c:v>2510.8200000000002</c:v>
                </c:pt>
                <c:pt idx="5310">
                  <c:v>2510.8200000000002</c:v>
                </c:pt>
                <c:pt idx="5311">
                  <c:v>2510.8200000000002</c:v>
                </c:pt>
                <c:pt idx="5312">
                  <c:v>2534.83</c:v>
                </c:pt>
                <c:pt idx="5313">
                  <c:v>2569.1</c:v>
                </c:pt>
                <c:pt idx="5314">
                  <c:v>2570.11</c:v>
                </c:pt>
                <c:pt idx="5315">
                  <c:v>2564.3000000000002</c:v>
                </c:pt>
                <c:pt idx="5316">
                  <c:v>2559.04</c:v>
                </c:pt>
                <c:pt idx="5317">
                  <c:v>2559.04</c:v>
                </c:pt>
                <c:pt idx="5318">
                  <c:v>2559.04</c:v>
                </c:pt>
                <c:pt idx="5319">
                  <c:v>2559.04</c:v>
                </c:pt>
                <c:pt idx="5320">
                  <c:v>2568.12</c:v>
                </c:pt>
                <c:pt idx="5321">
                  <c:v>2566.7600000000002</c:v>
                </c:pt>
                <c:pt idx="5322">
                  <c:v>2578.02</c:v>
                </c:pt>
                <c:pt idx="5323">
                  <c:v>2607.13</c:v>
                </c:pt>
                <c:pt idx="5324">
                  <c:v>2607.13</c:v>
                </c:pt>
                <c:pt idx="5325">
                  <c:v>2607.13</c:v>
                </c:pt>
                <c:pt idx="5326">
                  <c:v>2607.13</c:v>
                </c:pt>
                <c:pt idx="5327">
                  <c:v>2619.75</c:v>
                </c:pt>
                <c:pt idx="5328">
                  <c:v>2634.06</c:v>
                </c:pt>
                <c:pt idx="5329">
                  <c:v>2633.12</c:v>
                </c:pt>
                <c:pt idx="5330">
                  <c:v>2579.08</c:v>
                </c:pt>
                <c:pt idx="5331">
                  <c:v>2579.08</c:v>
                </c:pt>
                <c:pt idx="5332">
                  <c:v>2579.08</c:v>
                </c:pt>
                <c:pt idx="5333">
                  <c:v>2579.08</c:v>
                </c:pt>
                <c:pt idx="5334">
                  <c:v>2579.08</c:v>
                </c:pt>
                <c:pt idx="5335">
                  <c:v>2574.7399999999998</c:v>
                </c:pt>
                <c:pt idx="5336">
                  <c:v>2562.85</c:v>
                </c:pt>
                <c:pt idx="5337">
                  <c:v>2525.5</c:v>
                </c:pt>
                <c:pt idx="5338">
                  <c:v>2525.5</c:v>
                </c:pt>
                <c:pt idx="5339">
                  <c:v>2525.5</c:v>
                </c:pt>
                <c:pt idx="5340">
                  <c:v>2491.4499999999998</c:v>
                </c:pt>
                <c:pt idx="5341">
                  <c:v>2488.33</c:v>
                </c:pt>
                <c:pt idx="5342">
                  <c:v>2512.4</c:v>
                </c:pt>
                <c:pt idx="5343">
                  <c:v>2534.13</c:v>
                </c:pt>
                <c:pt idx="5344">
                  <c:v>2549.77</c:v>
                </c:pt>
                <c:pt idx="5345">
                  <c:v>2549.77</c:v>
                </c:pt>
                <c:pt idx="5346">
                  <c:v>2549.77</c:v>
                </c:pt>
                <c:pt idx="5347">
                  <c:v>2556.7199999999998</c:v>
                </c:pt>
                <c:pt idx="5348">
                  <c:v>2531.85</c:v>
                </c:pt>
                <c:pt idx="5349">
                  <c:v>2521.1799999999998</c:v>
                </c:pt>
                <c:pt idx="5350">
                  <c:v>2521.1799999999998</c:v>
                </c:pt>
                <c:pt idx="5351">
                  <c:v>2470.3200000000002</c:v>
                </c:pt>
                <c:pt idx="5352">
                  <c:v>2470.3200000000002</c:v>
                </c:pt>
                <c:pt idx="5353">
                  <c:v>2470.3200000000002</c:v>
                </c:pt>
                <c:pt idx="5354">
                  <c:v>2450.79</c:v>
                </c:pt>
                <c:pt idx="5355">
                  <c:v>2458.56</c:v>
                </c:pt>
                <c:pt idx="5356">
                  <c:v>2466.9499999999998</c:v>
                </c:pt>
                <c:pt idx="5357">
                  <c:v>2443.35</c:v>
                </c:pt>
                <c:pt idx="5358">
                  <c:v>2426</c:v>
                </c:pt>
                <c:pt idx="5359">
                  <c:v>2426</c:v>
                </c:pt>
                <c:pt idx="5360">
                  <c:v>2426</c:v>
                </c:pt>
                <c:pt idx="5361">
                  <c:v>2426.52</c:v>
                </c:pt>
                <c:pt idx="5362">
                  <c:v>2436.4299999999998</c:v>
                </c:pt>
                <c:pt idx="5363">
                  <c:v>2429.2399999999998</c:v>
                </c:pt>
                <c:pt idx="5364">
                  <c:v>2415.5100000000002</c:v>
                </c:pt>
                <c:pt idx="5365">
                  <c:v>2389.87</c:v>
                </c:pt>
                <c:pt idx="5366">
                  <c:v>2389.87</c:v>
                </c:pt>
                <c:pt idx="5367">
                  <c:v>2389.87</c:v>
                </c:pt>
                <c:pt idx="5368">
                  <c:v>2389.87</c:v>
                </c:pt>
                <c:pt idx="5369">
                  <c:v>2388.13</c:v>
                </c:pt>
                <c:pt idx="5370">
                  <c:v>2363.8200000000002</c:v>
                </c:pt>
                <c:pt idx="5371">
                  <c:v>2363.56</c:v>
                </c:pt>
                <c:pt idx="5372">
                  <c:v>2371.77</c:v>
                </c:pt>
                <c:pt idx="5373">
                  <c:v>2371.77</c:v>
                </c:pt>
                <c:pt idx="5374">
                  <c:v>2371.77</c:v>
                </c:pt>
                <c:pt idx="5375">
                  <c:v>2372.9499999999998</c:v>
                </c:pt>
                <c:pt idx="5376">
                  <c:v>2362.2800000000002</c:v>
                </c:pt>
                <c:pt idx="5377">
                  <c:v>2356.4899999999998</c:v>
                </c:pt>
                <c:pt idx="5378">
                  <c:v>2366.36</c:v>
                </c:pt>
                <c:pt idx="5379">
                  <c:v>2370.4899999999998</c:v>
                </c:pt>
                <c:pt idx="5380">
                  <c:v>2370.4899999999998</c:v>
                </c:pt>
                <c:pt idx="5381">
                  <c:v>2370.4899999999998</c:v>
                </c:pt>
                <c:pt idx="5382">
                  <c:v>2370.4899999999998</c:v>
                </c:pt>
                <c:pt idx="5383">
                  <c:v>2362.67</c:v>
                </c:pt>
                <c:pt idx="5384">
                  <c:v>2374.59</c:v>
                </c:pt>
                <c:pt idx="5385">
                  <c:v>2398</c:v>
                </c:pt>
                <c:pt idx="5386">
                  <c:v>2425.65</c:v>
                </c:pt>
                <c:pt idx="5387">
                  <c:v>2425.65</c:v>
                </c:pt>
                <c:pt idx="5388">
                  <c:v>2425.65</c:v>
                </c:pt>
                <c:pt idx="5389">
                  <c:v>2409.54</c:v>
                </c:pt>
                <c:pt idx="5390">
                  <c:v>2402.0700000000002</c:v>
                </c:pt>
                <c:pt idx="5391">
                  <c:v>2396.63</c:v>
                </c:pt>
                <c:pt idx="5392">
                  <c:v>2398.56</c:v>
                </c:pt>
                <c:pt idx="5393">
                  <c:v>2398.83</c:v>
                </c:pt>
                <c:pt idx="5394">
                  <c:v>2398.83</c:v>
                </c:pt>
                <c:pt idx="5395">
                  <c:v>2398.83</c:v>
                </c:pt>
                <c:pt idx="5396">
                  <c:v>2398.83</c:v>
                </c:pt>
                <c:pt idx="5397">
                  <c:v>2377.1799999999998</c:v>
                </c:pt>
                <c:pt idx="5398">
                  <c:v>2381.46</c:v>
                </c:pt>
                <c:pt idx="5399">
                  <c:v>2387.31</c:v>
                </c:pt>
                <c:pt idx="5400">
                  <c:v>2388.54</c:v>
                </c:pt>
                <c:pt idx="5401">
                  <c:v>2388.54</c:v>
                </c:pt>
                <c:pt idx="5402">
                  <c:v>2388.54</c:v>
                </c:pt>
                <c:pt idx="5403">
                  <c:v>2409.9299999999998</c:v>
                </c:pt>
                <c:pt idx="5404">
                  <c:v>2406.89</c:v>
                </c:pt>
                <c:pt idx="5405">
                  <c:v>2399.92</c:v>
                </c:pt>
                <c:pt idx="5406">
                  <c:v>2392.81</c:v>
                </c:pt>
                <c:pt idx="5407">
                  <c:v>2390.66</c:v>
                </c:pt>
                <c:pt idx="5408">
                  <c:v>2390.66</c:v>
                </c:pt>
                <c:pt idx="5409">
                  <c:v>2390.66</c:v>
                </c:pt>
                <c:pt idx="5410">
                  <c:v>2395.4299999999998</c:v>
                </c:pt>
                <c:pt idx="5411">
                  <c:v>2396.41</c:v>
                </c:pt>
                <c:pt idx="5412">
                  <c:v>2399.46</c:v>
                </c:pt>
                <c:pt idx="5413">
                  <c:v>2408.62</c:v>
                </c:pt>
                <c:pt idx="5414">
                  <c:v>2417.23</c:v>
                </c:pt>
                <c:pt idx="5415">
                  <c:v>2417.23</c:v>
                </c:pt>
                <c:pt idx="5416">
                  <c:v>2417.23</c:v>
                </c:pt>
                <c:pt idx="5417">
                  <c:v>2420.25</c:v>
                </c:pt>
                <c:pt idx="5418">
                  <c:v>2411.6799999999998</c:v>
                </c:pt>
                <c:pt idx="5419">
                  <c:v>2399.36</c:v>
                </c:pt>
                <c:pt idx="5420">
                  <c:v>2397.0700000000002</c:v>
                </c:pt>
                <c:pt idx="5421">
                  <c:v>2394.31</c:v>
                </c:pt>
                <c:pt idx="5422">
                  <c:v>2394.31</c:v>
                </c:pt>
                <c:pt idx="5423">
                  <c:v>2394.31</c:v>
                </c:pt>
                <c:pt idx="5424">
                  <c:v>2390.41</c:v>
                </c:pt>
                <c:pt idx="5425">
                  <c:v>2396.38</c:v>
                </c:pt>
                <c:pt idx="5426">
                  <c:v>2403.4299999999998</c:v>
                </c:pt>
                <c:pt idx="5427">
                  <c:v>2393.4699999999998</c:v>
                </c:pt>
                <c:pt idx="5428">
                  <c:v>2395.23</c:v>
                </c:pt>
                <c:pt idx="5429">
                  <c:v>2395.23</c:v>
                </c:pt>
                <c:pt idx="5430">
                  <c:v>2395.23</c:v>
                </c:pt>
                <c:pt idx="5431">
                  <c:v>2395.23</c:v>
                </c:pt>
                <c:pt idx="5432">
                  <c:v>2387.11</c:v>
                </c:pt>
                <c:pt idx="5433">
                  <c:v>2389.0700000000002</c:v>
                </c:pt>
                <c:pt idx="5434">
                  <c:v>2374.5100000000002</c:v>
                </c:pt>
                <c:pt idx="5435">
                  <c:v>2356.5300000000002</c:v>
                </c:pt>
                <c:pt idx="5436">
                  <c:v>2356.5300000000002</c:v>
                </c:pt>
                <c:pt idx="5437">
                  <c:v>2356.5300000000002</c:v>
                </c:pt>
                <c:pt idx="5438">
                  <c:v>2356.5300000000002</c:v>
                </c:pt>
                <c:pt idx="5439">
                  <c:v>2359.41</c:v>
                </c:pt>
                <c:pt idx="5440">
                  <c:v>2348.4299999999998</c:v>
                </c:pt>
                <c:pt idx="5441">
                  <c:v>2345.4899999999998</c:v>
                </c:pt>
                <c:pt idx="5442">
                  <c:v>2340.89</c:v>
                </c:pt>
                <c:pt idx="5443">
                  <c:v>2340.89</c:v>
                </c:pt>
                <c:pt idx="5444">
                  <c:v>2340.89</c:v>
                </c:pt>
                <c:pt idx="5445">
                  <c:v>2341.5100000000002</c:v>
                </c:pt>
                <c:pt idx="5446">
                  <c:v>2341.33</c:v>
                </c:pt>
                <c:pt idx="5447">
                  <c:v>2339.92</c:v>
                </c:pt>
                <c:pt idx="5448">
                  <c:v>2327.23</c:v>
                </c:pt>
                <c:pt idx="5449">
                  <c:v>2314.7600000000002</c:v>
                </c:pt>
                <c:pt idx="5450">
                  <c:v>2314.7600000000002</c:v>
                </c:pt>
                <c:pt idx="5451">
                  <c:v>2314.7600000000002</c:v>
                </c:pt>
                <c:pt idx="5452">
                  <c:v>2315.38</c:v>
                </c:pt>
                <c:pt idx="5453">
                  <c:v>2308.4899999999998</c:v>
                </c:pt>
                <c:pt idx="5454">
                  <c:v>2302.64</c:v>
                </c:pt>
                <c:pt idx="5455">
                  <c:v>2296.65</c:v>
                </c:pt>
                <c:pt idx="5456">
                  <c:v>2300.88</c:v>
                </c:pt>
                <c:pt idx="5457">
                  <c:v>2300.88</c:v>
                </c:pt>
                <c:pt idx="5458">
                  <c:v>2300.88</c:v>
                </c:pt>
                <c:pt idx="5459">
                  <c:v>2300.88</c:v>
                </c:pt>
                <c:pt idx="5460">
                  <c:v>2288.13</c:v>
                </c:pt>
                <c:pt idx="5461">
                  <c:v>2282.52</c:v>
                </c:pt>
                <c:pt idx="5462">
                  <c:v>2268.4699999999998</c:v>
                </c:pt>
                <c:pt idx="5463">
                  <c:v>2277.66</c:v>
                </c:pt>
                <c:pt idx="5464">
                  <c:v>2277.66</c:v>
                </c:pt>
                <c:pt idx="5465">
                  <c:v>2277.66</c:v>
                </c:pt>
                <c:pt idx="5466">
                  <c:v>2277.66</c:v>
                </c:pt>
                <c:pt idx="5467">
                  <c:v>2277.21</c:v>
                </c:pt>
                <c:pt idx="5468">
                  <c:v>2274.2600000000002</c:v>
                </c:pt>
                <c:pt idx="5469">
                  <c:v>2276.37</c:v>
                </c:pt>
                <c:pt idx="5470">
                  <c:v>2285.65</c:v>
                </c:pt>
                <c:pt idx="5471">
                  <c:v>2285.65</c:v>
                </c:pt>
                <c:pt idx="5472">
                  <c:v>2285.65</c:v>
                </c:pt>
                <c:pt idx="5473">
                  <c:v>2283.9899999999998</c:v>
                </c:pt>
                <c:pt idx="5474">
                  <c:v>2282.67</c:v>
                </c:pt>
                <c:pt idx="5475">
                  <c:v>2283.33</c:v>
                </c:pt>
                <c:pt idx="5476">
                  <c:v>2283.33</c:v>
                </c:pt>
                <c:pt idx="5477">
                  <c:v>2298.52</c:v>
                </c:pt>
                <c:pt idx="5478">
                  <c:v>2298.52</c:v>
                </c:pt>
                <c:pt idx="5479">
                  <c:v>2298.52</c:v>
                </c:pt>
                <c:pt idx="5480">
                  <c:v>2320.64</c:v>
                </c:pt>
                <c:pt idx="5481">
                  <c:v>2317.35</c:v>
                </c:pt>
                <c:pt idx="5482">
                  <c:v>2300.42</c:v>
                </c:pt>
                <c:pt idx="5483">
                  <c:v>2295.9899999999998</c:v>
                </c:pt>
                <c:pt idx="5484">
                  <c:v>2293.42</c:v>
                </c:pt>
                <c:pt idx="5485">
                  <c:v>2293.42</c:v>
                </c:pt>
                <c:pt idx="5486">
                  <c:v>2293.42</c:v>
                </c:pt>
                <c:pt idx="5487">
                  <c:v>2292.63</c:v>
                </c:pt>
                <c:pt idx="5488">
                  <c:v>2278.9699999999998</c:v>
                </c:pt>
                <c:pt idx="5489">
                  <c:v>2279.8200000000002</c:v>
                </c:pt>
                <c:pt idx="5490">
                  <c:v>2280.5</c:v>
                </c:pt>
                <c:pt idx="5491">
                  <c:v>2280.5</c:v>
                </c:pt>
                <c:pt idx="5492">
                  <c:v>2280.5</c:v>
                </c:pt>
                <c:pt idx="5493">
                  <c:v>2280.5</c:v>
                </c:pt>
                <c:pt idx="5494">
                  <c:v>2272.09</c:v>
                </c:pt>
                <c:pt idx="5495">
                  <c:v>2272.27</c:v>
                </c:pt>
                <c:pt idx="5496">
                  <c:v>2272.75</c:v>
                </c:pt>
                <c:pt idx="5497">
                  <c:v>2270.1799999999998</c:v>
                </c:pt>
                <c:pt idx="5498">
                  <c:v>2262.15</c:v>
                </c:pt>
                <c:pt idx="5499">
                  <c:v>2262.15</c:v>
                </c:pt>
                <c:pt idx="5500">
                  <c:v>2262.15</c:v>
                </c:pt>
                <c:pt idx="5501">
                  <c:v>2255.38</c:v>
                </c:pt>
                <c:pt idx="5502">
                  <c:v>2249.2800000000002</c:v>
                </c:pt>
                <c:pt idx="5503">
                  <c:v>2234.36</c:v>
                </c:pt>
                <c:pt idx="5504">
                  <c:v>2229.2800000000002</c:v>
                </c:pt>
                <c:pt idx="5505">
                  <c:v>2228.7600000000002</c:v>
                </c:pt>
                <c:pt idx="5506">
                  <c:v>2228.7600000000002</c:v>
                </c:pt>
                <c:pt idx="5507">
                  <c:v>2228.7600000000002</c:v>
                </c:pt>
                <c:pt idx="5508">
                  <c:v>2228.7600000000002</c:v>
                </c:pt>
                <c:pt idx="5509">
                  <c:v>2225.44</c:v>
                </c:pt>
                <c:pt idx="5510">
                  <c:v>2233.31</c:v>
                </c:pt>
                <c:pt idx="5511">
                  <c:v>2238.79</c:v>
                </c:pt>
                <c:pt idx="5512">
                  <c:v>2238.79</c:v>
                </c:pt>
                <c:pt idx="5513">
                  <c:v>2238.79</c:v>
                </c:pt>
                <c:pt idx="5514">
                  <c:v>2238.79</c:v>
                </c:pt>
                <c:pt idx="5515">
                  <c:v>2238.79</c:v>
                </c:pt>
                <c:pt idx="5516">
                  <c:v>2231.42</c:v>
                </c:pt>
                <c:pt idx="5517">
                  <c:v>2218.11</c:v>
                </c:pt>
                <c:pt idx="5518">
                  <c:v>2218.0500000000002</c:v>
                </c:pt>
                <c:pt idx="5519">
                  <c:v>2228.38</c:v>
                </c:pt>
                <c:pt idx="5520">
                  <c:v>2228.38</c:v>
                </c:pt>
                <c:pt idx="5521">
                  <c:v>2228.38</c:v>
                </c:pt>
                <c:pt idx="5522">
                  <c:v>2228.38</c:v>
                </c:pt>
                <c:pt idx="5523">
                  <c:v>2238.52</c:v>
                </c:pt>
                <c:pt idx="5524">
                  <c:v>2250.6</c:v>
                </c:pt>
                <c:pt idx="5525">
                  <c:v>2231.48</c:v>
                </c:pt>
                <c:pt idx="5526">
                  <c:v>2221.35</c:v>
                </c:pt>
                <c:pt idx="5527">
                  <c:v>2221.35</c:v>
                </c:pt>
                <c:pt idx="5528">
                  <c:v>2221.35</c:v>
                </c:pt>
                <c:pt idx="5529">
                  <c:v>2221.35</c:v>
                </c:pt>
                <c:pt idx="5530">
                  <c:v>2221.96</c:v>
                </c:pt>
                <c:pt idx="5531">
                  <c:v>2224.2199999999998</c:v>
                </c:pt>
                <c:pt idx="5532">
                  <c:v>2226.06</c:v>
                </c:pt>
                <c:pt idx="5533">
                  <c:v>2229.29</c:v>
                </c:pt>
                <c:pt idx="5534">
                  <c:v>2229.29</c:v>
                </c:pt>
                <c:pt idx="5535">
                  <c:v>2229.29</c:v>
                </c:pt>
                <c:pt idx="5536">
                  <c:v>2240.3200000000002</c:v>
                </c:pt>
                <c:pt idx="5537">
                  <c:v>2250.38</c:v>
                </c:pt>
                <c:pt idx="5538">
                  <c:v>2254.67</c:v>
                </c:pt>
                <c:pt idx="5539">
                  <c:v>2252.88</c:v>
                </c:pt>
                <c:pt idx="5540">
                  <c:v>2259.4299999999998</c:v>
                </c:pt>
                <c:pt idx="5541">
                  <c:v>2259.4299999999998</c:v>
                </c:pt>
                <c:pt idx="5542">
                  <c:v>2259.4299999999998</c:v>
                </c:pt>
                <c:pt idx="5543">
                  <c:v>2261.2199999999998</c:v>
                </c:pt>
                <c:pt idx="5544">
                  <c:v>2259.7199999999998</c:v>
                </c:pt>
                <c:pt idx="5545">
                  <c:v>2255.17</c:v>
                </c:pt>
                <c:pt idx="5546">
                  <c:v>2246.06</c:v>
                </c:pt>
                <c:pt idx="5547">
                  <c:v>2241.5300000000002</c:v>
                </c:pt>
                <c:pt idx="5548">
                  <c:v>2241.5300000000002</c:v>
                </c:pt>
                <c:pt idx="5549">
                  <c:v>2241.5300000000002</c:v>
                </c:pt>
                <c:pt idx="5550">
                  <c:v>2229.3000000000002</c:v>
                </c:pt>
                <c:pt idx="5551">
                  <c:v>2232.37</c:v>
                </c:pt>
                <c:pt idx="5552">
                  <c:v>2235.3000000000002</c:v>
                </c:pt>
                <c:pt idx="5553">
                  <c:v>2239.1999999999998</c:v>
                </c:pt>
                <c:pt idx="5554">
                  <c:v>2229.87</c:v>
                </c:pt>
                <c:pt idx="5555">
                  <c:v>2229.87</c:v>
                </c:pt>
                <c:pt idx="5556">
                  <c:v>2229.87</c:v>
                </c:pt>
                <c:pt idx="5557">
                  <c:v>2230.4</c:v>
                </c:pt>
                <c:pt idx="5558">
                  <c:v>2223.3000000000002</c:v>
                </c:pt>
                <c:pt idx="5559">
                  <c:v>2221.4299999999998</c:v>
                </c:pt>
                <c:pt idx="5560">
                  <c:v>2219.15</c:v>
                </c:pt>
                <c:pt idx="5561">
                  <c:v>2221.6999999999998</c:v>
                </c:pt>
                <c:pt idx="5562">
                  <c:v>2221.6999999999998</c:v>
                </c:pt>
                <c:pt idx="5563">
                  <c:v>2221.6999999999998</c:v>
                </c:pt>
                <c:pt idx="5564">
                  <c:v>2221.6999999999998</c:v>
                </c:pt>
                <c:pt idx="5565">
                  <c:v>2220.7600000000002</c:v>
                </c:pt>
                <c:pt idx="5566">
                  <c:v>2218.7800000000002</c:v>
                </c:pt>
                <c:pt idx="5567">
                  <c:v>2214.44</c:v>
                </c:pt>
                <c:pt idx="5568">
                  <c:v>2216.5700000000002</c:v>
                </c:pt>
                <c:pt idx="5569">
                  <c:v>2216.5700000000002</c:v>
                </c:pt>
                <c:pt idx="5570">
                  <c:v>2216.5700000000002</c:v>
                </c:pt>
                <c:pt idx="5571">
                  <c:v>2211.46</c:v>
                </c:pt>
                <c:pt idx="5572">
                  <c:v>2224.12</c:v>
                </c:pt>
                <c:pt idx="5573">
                  <c:v>2231.94</c:v>
                </c:pt>
                <c:pt idx="5574">
                  <c:v>2246.88</c:v>
                </c:pt>
                <c:pt idx="5575">
                  <c:v>2242.62</c:v>
                </c:pt>
                <c:pt idx="5576">
                  <c:v>2242.62</c:v>
                </c:pt>
                <c:pt idx="5577">
                  <c:v>2242.62</c:v>
                </c:pt>
                <c:pt idx="5578">
                  <c:v>2245.71</c:v>
                </c:pt>
                <c:pt idx="5579">
                  <c:v>2222.4499999999998</c:v>
                </c:pt>
                <c:pt idx="5580">
                  <c:v>2218.94</c:v>
                </c:pt>
                <c:pt idx="5581">
                  <c:v>2214.0500000000002</c:v>
                </c:pt>
                <c:pt idx="5582">
                  <c:v>2210.98</c:v>
                </c:pt>
                <c:pt idx="5583">
                  <c:v>2210.98</c:v>
                </c:pt>
                <c:pt idx="5584">
                  <c:v>2210.98</c:v>
                </c:pt>
                <c:pt idx="5585">
                  <c:v>2205.77</c:v>
                </c:pt>
                <c:pt idx="5586">
                  <c:v>2206.38</c:v>
                </c:pt>
                <c:pt idx="5587">
                  <c:v>2210.12</c:v>
                </c:pt>
                <c:pt idx="5588">
                  <c:v>2197.7600000000002</c:v>
                </c:pt>
                <c:pt idx="5589">
                  <c:v>2204.0500000000002</c:v>
                </c:pt>
                <c:pt idx="5590">
                  <c:v>2204.0500000000002</c:v>
                </c:pt>
                <c:pt idx="5591">
                  <c:v>2204.0500000000002</c:v>
                </c:pt>
                <c:pt idx="5592">
                  <c:v>2204.0500000000002</c:v>
                </c:pt>
                <c:pt idx="5593">
                  <c:v>2186.21</c:v>
                </c:pt>
                <c:pt idx="5594">
                  <c:v>2172.6</c:v>
                </c:pt>
                <c:pt idx="5595">
                  <c:v>2168.9499999999998</c:v>
                </c:pt>
                <c:pt idx="5596">
                  <c:v>2174.7199999999998</c:v>
                </c:pt>
                <c:pt idx="5597">
                  <c:v>2174.7199999999998</c:v>
                </c:pt>
                <c:pt idx="5598">
                  <c:v>2174.7199999999998</c:v>
                </c:pt>
                <c:pt idx="5599">
                  <c:v>2172.14</c:v>
                </c:pt>
                <c:pt idx="5600">
                  <c:v>2172.09</c:v>
                </c:pt>
                <c:pt idx="5601">
                  <c:v>2169.67</c:v>
                </c:pt>
                <c:pt idx="5602">
                  <c:v>2155.06</c:v>
                </c:pt>
                <c:pt idx="5603">
                  <c:v>2190.3000000000002</c:v>
                </c:pt>
                <c:pt idx="5604">
                  <c:v>2190.3000000000002</c:v>
                </c:pt>
                <c:pt idx="5605">
                  <c:v>2190.3000000000002</c:v>
                </c:pt>
                <c:pt idx="5606">
                  <c:v>2189.1799999999998</c:v>
                </c:pt>
                <c:pt idx="5607">
                  <c:v>2171.4699999999998</c:v>
                </c:pt>
                <c:pt idx="5608">
                  <c:v>2166.9299999999998</c:v>
                </c:pt>
                <c:pt idx="5609">
                  <c:v>2166.9299999999998</c:v>
                </c:pt>
                <c:pt idx="5610">
                  <c:v>2166.9299999999998</c:v>
                </c:pt>
                <c:pt idx="5611">
                  <c:v>2166.9299999999998</c:v>
                </c:pt>
                <c:pt idx="5612">
                  <c:v>2166.9299999999998</c:v>
                </c:pt>
                <c:pt idx="5613">
                  <c:v>2164.5500000000002</c:v>
                </c:pt>
                <c:pt idx="5614">
                  <c:v>2157.8200000000002</c:v>
                </c:pt>
                <c:pt idx="5615">
                  <c:v>2154.61</c:v>
                </c:pt>
                <c:pt idx="5616">
                  <c:v>2152.65</c:v>
                </c:pt>
                <c:pt idx="5617">
                  <c:v>2138.7399999999998</c:v>
                </c:pt>
                <c:pt idx="5618">
                  <c:v>2138.7399999999998</c:v>
                </c:pt>
                <c:pt idx="5619">
                  <c:v>2138.7399999999998</c:v>
                </c:pt>
                <c:pt idx="5620">
                  <c:v>2136.8200000000002</c:v>
                </c:pt>
                <c:pt idx="5621">
                  <c:v>2141.35</c:v>
                </c:pt>
                <c:pt idx="5622">
                  <c:v>2148.46</c:v>
                </c:pt>
                <c:pt idx="5623">
                  <c:v>2143.31</c:v>
                </c:pt>
                <c:pt idx="5624">
                  <c:v>2121.42</c:v>
                </c:pt>
                <c:pt idx="5625">
                  <c:v>2121.42</c:v>
                </c:pt>
                <c:pt idx="5626">
                  <c:v>2121.42</c:v>
                </c:pt>
                <c:pt idx="5627">
                  <c:v>2115.56</c:v>
                </c:pt>
                <c:pt idx="5628">
                  <c:v>2119.37</c:v>
                </c:pt>
                <c:pt idx="5629">
                  <c:v>2112.61</c:v>
                </c:pt>
                <c:pt idx="5630">
                  <c:v>2111.52</c:v>
                </c:pt>
                <c:pt idx="5631">
                  <c:v>2110.67</c:v>
                </c:pt>
                <c:pt idx="5632">
                  <c:v>2110.67</c:v>
                </c:pt>
                <c:pt idx="5633">
                  <c:v>2110.67</c:v>
                </c:pt>
                <c:pt idx="5634">
                  <c:v>2104.16</c:v>
                </c:pt>
                <c:pt idx="5635">
                  <c:v>2104.16</c:v>
                </c:pt>
                <c:pt idx="5636">
                  <c:v>2085.1799999999998</c:v>
                </c:pt>
                <c:pt idx="5637">
                  <c:v>2077.12</c:v>
                </c:pt>
                <c:pt idx="5638">
                  <c:v>2069.0100000000002</c:v>
                </c:pt>
                <c:pt idx="5639">
                  <c:v>2069.0100000000002</c:v>
                </c:pt>
                <c:pt idx="5640">
                  <c:v>2069.0100000000002</c:v>
                </c:pt>
                <c:pt idx="5641">
                  <c:v>2081.2399999999998</c:v>
                </c:pt>
                <c:pt idx="5642">
                  <c:v>2074.0300000000002</c:v>
                </c:pt>
                <c:pt idx="5643">
                  <c:v>2045.51</c:v>
                </c:pt>
                <c:pt idx="5644">
                  <c:v>2041.39</c:v>
                </c:pt>
                <c:pt idx="5645">
                  <c:v>2029.2</c:v>
                </c:pt>
                <c:pt idx="5646">
                  <c:v>2029.2</c:v>
                </c:pt>
                <c:pt idx="5647">
                  <c:v>2029.2</c:v>
                </c:pt>
                <c:pt idx="5648">
                  <c:v>2002.04</c:v>
                </c:pt>
                <c:pt idx="5649">
                  <c:v>1995.17</c:v>
                </c:pt>
                <c:pt idx="5650">
                  <c:v>1988.01</c:v>
                </c:pt>
                <c:pt idx="5651">
                  <c:v>1990.43</c:v>
                </c:pt>
                <c:pt idx="5652">
                  <c:v>1985.33</c:v>
                </c:pt>
                <c:pt idx="5653">
                  <c:v>1985.33</c:v>
                </c:pt>
                <c:pt idx="5654">
                  <c:v>1985.33</c:v>
                </c:pt>
                <c:pt idx="5655">
                  <c:v>1985.33</c:v>
                </c:pt>
                <c:pt idx="5656">
                  <c:v>1957.54</c:v>
                </c:pt>
                <c:pt idx="5657">
                  <c:v>1963.56</c:v>
                </c:pt>
                <c:pt idx="5658">
                  <c:v>1962.59</c:v>
                </c:pt>
                <c:pt idx="5659">
                  <c:v>1934.55</c:v>
                </c:pt>
                <c:pt idx="5660">
                  <c:v>1934.55</c:v>
                </c:pt>
                <c:pt idx="5661">
                  <c:v>1934.55</c:v>
                </c:pt>
                <c:pt idx="5662">
                  <c:v>1934.55</c:v>
                </c:pt>
                <c:pt idx="5663">
                  <c:v>1914.96</c:v>
                </c:pt>
                <c:pt idx="5664">
                  <c:v>1930.64</c:v>
                </c:pt>
                <c:pt idx="5665">
                  <c:v>1900.09</c:v>
                </c:pt>
                <c:pt idx="5666">
                  <c:v>1885.8</c:v>
                </c:pt>
                <c:pt idx="5667">
                  <c:v>1885.8</c:v>
                </c:pt>
                <c:pt idx="5668">
                  <c:v>1885.8</c:v>
                </c:pt>
                <c:pt idx="5669">
                  <c:v>1882.06</c:v>
                </c:pt>
                <c:pt idx="5670">
                  <c:v>1877.88</c:v>
                </c:pt>
                <c:pt idx="5671">
                  <c:v>1886.92</c:v>
                </c:pt>
                <c:pt idx="5672">
                  <c:v>1900.68</c:v>
                </c:pt>
                <c:pt idx="5673">
                  <c:v>1924.54</c:v>
                </c:pt>
                <c:pt idx="5674">
                  <c:v>1924.54</c:v>
                </c:pt>
                <c:pt idx="5675">
                  <c:v>1924.54</c:v>
                </c:pt>
                <c:pt idx="5676">
                  <c:v>1924.54</c:v>
                </c:pt>
                <c:pt idx="5677">
                  <c:v>1931.36</c:v>
                </c:pt>
                <c:pt idx="5678">
                  <c:v>1947.37</c:v>
                </c:pt>
                <c:pt idx="5679">
                  <c:v>1945.09</c:v>
                </c:pt>
                <c:pt idx="5680">
                  <c:v>1920.25</c:v>
                </c:pt>
                <c:pt idx="5681">
                  <c:v>1920.25</c:v>
                </c:pt>
                <c:pt idx="5682">
                  <c:v>1920.25</c:v>
                </c:pt>
                <c:pt idx="5683">
                  <c:v>1920.25</c:v>
                </c:pt>
                <c:pt idx="5684">
                  <c:v>1896.07</c:v>
                </c:pt>
                <c:pt idx="5685">
                  <c:v>1905.13</c:v>
                </c:pt>
                <c:pt idx="5686">
                  <c:v>1938.17</c:v>
                </c:pt>
                <c:pt idx="5687">
                  <c:v>1944.01</c:v>
                </c:pt>
                <c:pt idx="5688">
                  <c:v>1944.01</c:v>
                </c:pt>
                <c:pt idx="5689">
                  <c:v>1944.01</c:v>
                </c:pt>
                <c:pt idx="5690">
                  <c:v>1960.32</c:v>
                </c:pt>
                <c:pt idx="5691">
                  <c:v>1965.31</c:v>
                </c:pt>
                <c:pt idx="5692">
                  <c:v>1982.29</c:v>
                </c:pt>
                <c:pt idx="5693">
                  <c:v>1958.09</c:v>
                </c:pt>
                <c:pt idx="5694">
                  <c:v>1960.61</c:v>
                </c:pt>
                <c:pt idx="5695">
                  <c:v>1960.61</c:v>
                </c:pt>
                <c:pt idx="5696">
                  <c:v>1960.61</c:v>
                </c:pt>
                <c:pt idx="5697">
                  <c:v>1960.61</c:v>
                </c:pt>
                <c:pt idx="5698">
                  <c:v>1958.95</c:v>
                </c:pt>
                <c:pt idx="5699">
                  <c:v>1958.95</c:v>
                </c:pt>
                <c:pt idx="5700">
                  <c:v>1969.36</c:v>
                </c:pt>
                <c:pt idx="5701">
                  <c:v>1962.55</c:v>
                </c:pt>
                <c:pt idx="5702">
                  <c:v>1962.55</c:v>
                </c:pt>
                <c:pt idx="5703">
                  <c:v>1962.55</c:v>
                </c:pt>
                <c:pt idx="5704">
                  <c:v>1945.94</c:v>
                </c:pt>
                <c:pt idx="5705">
                  <c:v>1960.31</c:v>
                </c:pt>
                <c:pt idx="5706">
                  <c:v>1964.82</c:v>
                </c:pt>
                <c:pt idx="5707">
                  <c:v>1954.48</c:v>
                </c:pt>
                <c:pt idx="5708">
                  <c:v>1956.05</c:v>
                </c:pt>
                <c:pt idx="5709">
                  <c:v>1956.05</c:v>
                </c:pt>
                <c:pt idx="5710">
                  <c:v>1956.05</c:v>
                </c:pt>
                <c:pt idx="5711">
                  <c:v>1942.43</c:v>
                </c:pt>
                <c:pt idx="5712">
                  <c:v>1931.04</c:v>
                </c:pt>
                <c:pt idx="5713">
                  <c:v>1928.59</c:v>
                </c:pt>
                <c:pt idx="5714">
                  <c:v>1921.04</c:v>
                </c:pt>
                <c:pt idx="5715">
                  <c:v>1921.04</c:v>
                </c:pt>
                <c:pt idx="5716">
                  <c:v>1921.04</c:v>
                </c:pt>
                <c:pt idx="5717">
                  <c:v>1921.04</c:v>
                </c:pt>
                <c:pt idx="5718">
                  <c:v>1912.9</c:v>
                </c:pt>
                <c:pt idx="5719">
                  <c:v>1916.23</c:v>
                </c:pt>
                <c:pt idx="5720">
                  <c:v>1935.68</c:v>
                </c:pt>
                <c:pt idx="5721">
                  <c:v>1981.58</c:v>
                </c:pt>
                <c:pt idx="5722">
                  <c:v>1984.1</c:v>
                </c:pt>
                <c:pt idx="5723">
                  <c:v>1984.1</c:v>
                </c:pt>
                <c:pt idx="5724">
                  <c:v>1984.1</c:v>
                </c:pt>
                <c:pt idx="5725">
                  <c:v>1971.8</c:v>
                </c:pt>
                <c:pt idx="5726">
                  <c:v>1958.5</c:v>
                </c:pt>
                <c:pt idx="5727">
                  <c:v>1971.2</c:v>
                </c:pt>
                <c:pt idx="5728">
                  <c:v>1957.68</c:v>
                </c:pt>
                <c:pt idx="5729">
                  <c:v>1963.69</c:v>
                </c:pt>
                <c:pt idx="5730">
                  <c:v>1963.69</c:v>
                </c:pt>
                <c:pt idx="5731">
                  <c:v>1963.69</c:v>
                </c:pt>
                <c:pt idx="5732">
                  <c:v>1976.89</c:v>
                </c:pt>
                <c:pt idx="5733">
                  <c:v>1976.89</c:v>
                </c:pt>
                <c:pt idx="5734">
                  <c:v>1957.58</c:v>
                </c:pt>
                <c:pt idx="5735">
                  <c:v>1981.9</c:v>
                </c:pt>
                <c:pt idx="5736">
                  <c:v>2006.79</c:v>
                </c:pt>
                <c:pt idx="5737">
                  <c:v>2006.79</c:v>
                </c:pt>
                <c:pt idx="5738">
                  <c:v>2006.79</c:v>
                </c:pt>
                <c:pt idx="5739">
                  <c:v>1997.38</c:v>
                </c:pt>
                <c:pt idx="5740">
                  <c:v>2016.3</c:v>
                </c:pt>
                <c:pt idx="5741">
                  <c:v>2048.44</c:v>
                </c:pt>
                <c:pt idx="5742">
                  <c:v>2124.4</c:v>
                </c:pt>
                <c:pt idx="5743">
                  <c:v>2113.54</c:v>
                </c:pt>
                <c:pt idx="5744">
                  <c:v>2113.54</c:v>
                </c:pt>
                <c:pt idx="5745">
                  <c:v>2113.54</c:v>
                </c:pt>
                <c:pt idx="5746">
                  <c:v>2113.54</c:v>
                </c:pt>
                <c:pt idx="5747">
                  <c:v>2154.94</c:v>
                </c:pt>
                <c:pt idx="5748">
                  <c:v>2133.04</c:v>
                </c:pt>
                <c:pt idx="5749">
                  <c:v>2138.13</c:v>
                </c:pt>
                <c:pt idx="5750">
                  <c:v>2128.17</c:v>
                </c:pt>
                <c:pt idx="5751">
                  <c:v>2128.17</c:v>
                </c:pt>
                <c:pt idx="5752">
                  <c:v>2128.17</c:v>
                </c:pt>
                <c:pt idx="5753">
                  <c:v>2114.15</c:v>
                </c:pt>
                <c:pt idx="5754">
                  <c:v>2147.34</c:v>
                </c:pt>
                <c:pt idx="5755">
                  <c:v>2160.65</c:v>
                </c:pt>
                <c:pt idx="5756">
                  <c:v>2173.17</c:v>
                </c:pt>
                <c:pt idx="5757">
                  <c:v>2160.9899999999998</c:v>
                </c:pt>
                <c:pt idx="5758">
                  <c:v>2160.9899999999998</c:v>
                </c:pt>
                <c:pt idx="5759">
                  <c:v>2160.9899999999998</c:v>
                </c:pt>
                <c:pt idx="5760">
                  <c:v>2160.9899999999998</c:v>
                </c:pt>
                <c:pt idx="5761">
                  <c:v>2161.56</c:v>
                </c:pt>
                <c:pt idx="5762">
                  <c:v>2174.56</c:v>
                </c:pt>
                <c:pt idx="5763">
                  <c:v>2166.6</c:v>
                </c:pt>
                <c:pt idx="5764">
                  <c:v>2191</c:v>
                </c:pt>
                <c:pt idx="5765">
                  <c:v>2191</c:v>
                </c:pt>
                <c:pt idx="5766">
                  <c:v>2191</c:v>
                </c:pt>
                <c:pt idx="5767">
                  <c:v>2194.65</c:v>
                </c:pt>
                <c:pt idx="5768">
                  <c:v>2185.89</c:v>
                </c:pt>
                <c:pt idx="5769">
                  <c:v>2182.2199999999998</c:v>
                </c:pt>
                <c:pt idx="5770">
                  <c:v>2157.75</c:v>
                </c:pt>
                <c:pt idx="5771">
                  <c:v>2128.5</c:v>
                </c:pt>
                <c:pt idx="5772">
                  <c:v>2128.5</c:v>
                </c:pt>
                <c:pt idx="5773">
                  <c:v>2128.5</c:v>
                </c:pt>
                <c:pt idx="5774">
                  <c:v>2130.66</c:v>
                </c:pt>
                <c:pt idx="5775">
                  <c:v>2124.36</c:v>
                </c:pt>
                <c:pt idx="5776">
                  <c:v>2055.2800000000002</c:v>
                </c:pt>
                <c:pt idx="5777">
                  <c:v>2042.63</c:v>
                </c:pt>
                <c:pt idx="5778">
                  <c:v>2026.33</c:v>
                </c:pt>
                <c:pt idx="5779">
                  <c:v>2026.33</c:v>
                </c:pt>
                <c:pt idx="5780">
                  <c:v>2026.33</c:v>
                </c:pt>
                <c:pt idx="5781">
                  <c:v>2028.95</c:v>
                </c:pt>
                <c:pt idx="5782">
                  <c:v>2045.51</c:v>
                </c:pt>
                <c:pt idx="5783">
                  <c:v>2009.46</c:v>
                </c:pt>
                <c:pt idx="5784">
                  <c:v>2013.18</c:v>
                </c:pt>
                <c:pt idx="5785">
                  <c:v>2023.19</c:v>
                </c:pt>
                <c:pt idx="5786">
                  <c:v>2023.19</c:v>
                </c:pt>
                <c:pt idx="5787">
                  <c:v>2023.19</c:v>
                </c:pt>
                <c:pt idx="5788">
                  <c:v>2015.75</c:v>
                </c:pt>
                <c:pt idx="5789">
                  <c:v>2013.39</c:v>
                </c:pt>
                <c:pt idx="5790">
                  <c:v>2017.69</c:v>
                </c:pt>
                <c:pt idx="5791">
                  <c:v>2018.45</c:v>
                </c:pt>
                <c:pt idx="5792">
                  <c:v>1999.95</c:v>
                </c:pt>
                <c:pt idx="5793">
                  <c:v>1999.95</c:v>
                </c:pt>
                <c:pt idx="5794">
                  <c:v>1999.95</c:v>
                </c:pt>
                <c:pt idx="5795">
                  <c:v>1999.95</c:v>
                </c:pt>
                <c:pt idx="5796">
                  <c:v>1968.13</c:v>
                </c:pt>
                <c:pt idx="5797">
                  <c:v>1972.81</c:v>
                </c:pt>
                <c:pt idx="5798">
                  <c:v>1963.03</c:v>
                </c:pt>
                <c:pt idx="5799">
                  <c:v>1978.97</c:v>
                </c:pt>
                <c:pt idx="5800">
                  <c:v>1978.97</c:v>
                </c:pt>
                <c:pt idx="5801">
                  <c:v>1978.97</c:v>
                </c:pt>
                <c:pt idx="5802">
                  <c:v>1978.97</c:v>
                </c:pt>
                <c:pt idx="5803">
                  <c:v>2004.58</c:v>
                </c:pt>
                <c:pt idx="5804">
                  <c:v>1994.06</c:v>
                </c:pt>
                <c:pt idx="5805">
                  <c:v>2018.55</c:v>
                </c:pt>
                <c:pt idx="5806">
                  <c:v>2007.24</c:v>
                </c:pt>
                <c:pt idx="5807">
                  <c:v>2007.24</c:v>
                </c:pt>
                <c:pt idx="5808">
                  <c:v>2007.24</c:v>
                </c:pt>
                <c:pt idx="5809">
                  <c:v>2022.76</c:v>
                </c:pt>
                <c:pt idx="5810">
                  <c:v>2006.67</c:v>
                </c:pt>
                <c:pt idx="5811">
                  <c:v>2025.7</c:v>
                </c:pt>
                <c:pt idx="5812">
                  <c:v>2020.29</c:v>
                </c:pt>
                <c:pt idx="5813">
                  <c:v>2005.28</c:v>
                </c:pt>
                <c:pt idx="5814">
                  <c:v>2005.28</c:v>
                </c:pt>
                <c:pt idx="5815">
                  <c:v>2005.28</c:v>
                </c:pt>
                <c:pt idx="5816">
                  <c:v>1995.94</c:v>
                </c:pt>
                <c:pt idx="5817">
                  <c:v>1999.44</c:v>
                </c:pt>
                <c:pt idx="5818">
                  <c:v>1987.69</c:v>
                </c:pt>
                <c:pt idx="5819">
                  <c:v>2008.11</c:v>
                </c:pt>
                <c:pt idx="5820">
                  <c:v>2014.12</c:v>
                </c:pt>
                <c:pt idx="5821">
                  <c:v>2014.12</c:v>
                </c:pt>
                <c:pt idx="5822">
                  <c:v>2014.12</c:v>
                </c:pt>
                <c:pt idx="5823">
                  <c:v>2014.12</c:v>
                </c:pt>
                <c:pt idx="5824">
                  <c:v>2012.89</c:v>
                </c:pt>
                <c:pt idx="5825">
                  <c:v>2023.99</c:v>
                </c:pt>
                <c:pt idx="5826">
                  <c:v>2033.94</c:v>
                </c:pt>
                <c:pt idx="5827">
                  <c:v>2045.59</c:v>
                </c:pt>
                <c:pt idx="5828">
                  <c:v>2045.59</c:v>
                </c:pt>
                <c:pt idx="5829">
                  <c:v>2045.59</c:v>
                </c:pt>
                <c:pt idx="5830">
                  <c:v>2045.59</c:v>
                </c:pt>
                <c:pt idx="5831">
                  <c:v>2051.88</c:v>
                </c:pt>
                <c:pt idx="5832">
                  <c:v>2032.04</c:v>
                </c:pt>
                <c:pt idx="5833">
                  <c:v>2044.7</c:v>
                </c:pt>
                <c:pt idx="5834">
                  <c:v>2040.35</c:v>
                </c:pt>
                <c:pt idx="5835">
                  <c:v>2040.35</c:v>
                </c:pt>
                <c:pt idx="5836">
                  <c:v>2040.35</c:v>
                </c:pt>
                <c:pt idx="5837">
                  <c:v>2054.3000000000002</c:v>
                </c:pt>
                <c:pt idx="5838">
                  <c:v>2056.2800000000002</c:v>
                </c:pt>
                <c:pt idx="5839">
                  <c:v>2074.6</c:v>
                </c:pt>
                <c:pt idx="5840">
                  <c:v>2074.6</c:v>
                </c:pt>
                <c:pt idx="5841">
                  <c:v>2088.2399999999998</c:v>
                </c:pt>
                <c:pt idx="5842">
                  <c:v>2088.2399999999998</c:v>
                </c:pt>
                <c:pt idx="5843">
                  <c:v>2088.2399999999998</c:v>
                </c:pt>
                <c:pt idx="5844">
                  <c:v>2089.11</c:v>
                </c:pt>
                <c:pt idx="5845">
                  <c:v>2094.7399999999998</c:v>
                </c:pt>
                <c:pt idx="5846">
                  <c:v>2066.81</c:v>
                </c:pt>
                <c:pt idx="5847">
                  <c:v>2060.42</c:v>
                </c:pt>
                <c:pt idx="5848">
                  <c:v>2043.11</c:v>
                </c:pt>
                <c:pt idx="5849">
                  <c:v>2043.11</c:v>
                </c:pt>
                <c:pt idx="5850">
                  <c:v>2043.11</c:v>
                </c:pt>
                <c:pt idx="5851">
                  <c:v>2052.1799999999998</c:v>
                </c:pt>
                <c:pt idx="5852">
                  <c:v>2057.4</c:v>
                </c:pt>
                <c:pt idx="5853">
                  <c:v>2036.6</c:v>
                </c:pt>
                <c:pt idx="5854">
                  <c:v>2023.18</c:v>
                </c:pt>
                <c:pt idx="5855">
                  <c:v>2016.77</c:v>
                </c:pt>
                <c:pt idx="5856">
                  <c:v>2016.77</c:v>
                </c:pt>
                <c:pt idx="5857">
                  <c:v>2016.77</c:v>
                </c:pt>
                <c:pt idx="5858">
                  <c:v>2009.83</c:v>
                </c:pt>
                <c:pt idx="5859">
                  <c:v>2005.82</c:v>
                </c:pt>
                <c:pt idx="5860">
                  <c:v>2003.9</c:v>
                </c:pt>
                <c:pt idx="5861">
                  <c:v>2017.36</c:v>
                </c:pt>
                <c:pt idx="5862">
                  <c:v>2009.85</c:v>
                </c:pt>
                <c:pt idx="5863">
                  <c:v>2009.85</c:v>
                </c:pt>
                <c:pt idx="5864">
                  <c:v>2009.85</c:v>
                </c:pt>
                <c:pt idx="5865">
                  <c:v>2006.48</c:v>
                </c:pt>
                <c:pt idx="5866">
                  <c:v>2007.98</c:v>
                </c:pt>
                <c:pt idx="5867">
                  <c:v>2005.92</c:v>
                </c:pt>
                <c:pt idx="5868">
                  <c:v>2000.58</c:v>
                </c:pt>
                <c:pt idx="5869">
                  <c:v>1993.08</c:v>
                </c:pt>
                <c:pt idx="5870">
                  <c:v>1993.08</c:v>
                </c:pt>
                <c:pt idx="5871">
                  <c:v>1993.08</c:v>
                </c:pt>
                <c:pt idx="5872">
                  <c:v>1989.7</c:v>
                </c:pt>
                <c:pt idx="5873">
                  <c:v>1989.7</c:v>
                </c:pt>
                <c:pt idx="5874">
                  <c:v>1987.81</c:v>
                </c:pt>
                <c:pt idx="5875">
                  <c:v>2001.72</c:v>
                </c:pt>
                <c:pt idx="5876">
                  <c:v>2014.76</c:v>
                </c:pt>
                <c:pt idx="5877">
                  <c:v>2014.76</c:v>
                </c:pt>
                <c:pt idx="5878">
                  <c:v>2014.76</c:v>
                </c:pt>
                <c:pt idx="5879">
                  <c:v>2014.76</c:v>
                </c:pt>
                <c:pt idx="5880">
                  <c:v>2014.76</c:v>
                </c:pt>
                <c:pt idx="5881">
                  <c:v>2012.82</c:v>
                </c:pt>
                <c:pt idx="5882">
                  <c:v>2013.27</c:v>
                </c:pt>
                <c:pt idx="5883">
                  <c:v>2013.98</c:v>
                </c:pt>
                <c:pt idx="5884">
                  <c:v>2013.98</c:v>
                </c:pt>
                <c:pt idx="5885">
                  <c:v>2013.98</c:v>
                </c:pt>
                <c:pt idx="5886">
                  <c:v>2013.98</c:v>
                </c:pt>
                <c:pt idx="5887">
                  <c:v>2000.91</c:v>
                </c:pt>
                <c:pt idx="5888">
                  <c:v>2004.7</c:v>
                </c:pt>
                <c:pt idx="5889">
                  <c:v>2003.74</c:v>
                </c:pt>
                <c:pt idx="5890">
                  <c:v>1985.35</c:v>
                </c:pt>
                <c:pt idx="5891">
                  <c:v>1985.35</c:v>
                </c:pt>
                <c:pt idx="5892">
                  <c:v>1985.35</c:v>
                </c:pt>
                <c:pt idx="5893">
                  <c:v>1949.43</c:v>
                </c:pt>
                <c:pt idx="5894">
                  <c:v>1948.91</c:v>
                </c:pt>
                <c:pt idx="5895">
                  <c:v>1960.49</c:v>
                </c:pt>
                <c:pt idx="5896">
                  <c:v>1947.6</c:v>
                </c:pt>
                <c:pt idx="5897">
                  <c:v>1968.13</c:v>
                </c:pt>
                <c:pt idx="5898">
                  <c:v>1968.13</c:v>
                </c:pt>
                <c:pt idx="5899">
                  <c:v>1968.13</c:v>
                </c:pt>
                <c:pt idx="5900">
                  <c:v>1968.13</c:v>
                </c:pt>
                <c:pt idx="5901">
                  <c:v>2007.41</c:v>
                </c:pt>
                <c:pt idx="5902">
                  <c:v>2005.08</c:v>
                </c:pt>
                <c:pt idx="5903">
                  <c:v>1970.65</c:v>
                </c:pt>
                <c:pt idx="5904">
                  <c:v>1961.3</c:v>
                </c:pt>
                <c:pt idx="5905">
                  <c:v>1961.3</c:v>
                </c:pt>
                <c:pt idx="5906">
                  <c:v>1961.3</c:v>
                </c:pt>
                <c:pt idx="5907">
                  <c:v>1969.65</c:v>
                </c:pt>
                <c:pt idx="5908">
                  <c:v>1946.54</c:v>
                </c:pt>
                <c:pt idx="5909">
                  <c:v>1939.6</c:v>
                </c:pt>
                <c:pt idx="5910">
                  <c:v>1939.77</c:v>
                </c:pt>
                <c:pt idx="5911">
                  <c:v>1921.94</c:v>
                </c:pt>
                <c:pt idx="5912">
                  <c:v>1921.94</c:v>
                </c:pt>
                <c:pt idx="5913">
                  <c:v>1921.94</c:v>
                </c:pt>
                <c:pt idx="5914">
                  <c:v>1917.26</c:v>
                </c:pt>
                <c:pt idx="5915">
                  <c:v>1928.3</c:v>
                </c:pt>
                <c:pt idx="5916">
                  <c:v>1929.7</c:v>
                </c:pt>
                <c:pt idx="5917">
                  <c:v>1935.49</c:v>
                </c:pt>
                <c:pt idx="5918">
                  <c:v>1923.08</c:v>
                </c:pt>
                <c:pt idx="5919">
                  <c:v>1923.08</c:v>
                </c:pt>
                <c:pt idx="5920">
                  <c:v>1923.08</c:v>
                </c:pt>
                <c:pt idx="5921">
                  <c:v>1912.8</c:v>
                </c:pt>
                <c:pt idx="5922">
                  <c:v>1901.38</c:v>
                </c:pt>
                <c:pt idx="5923">
                  <c:v>1898.4</c:v>
                </c:pt>
                <c:pt idx="5924">
                  <c:v>1894.87</c:v>
                </c:pt>
                <c:pt idx="5925">
                  <c:v>1905.37</c:v>
                </c:pt>
                <c:pt idx="5926">
                  <c:v>1905.37</c:v>
                </c:pt>
                <c:pt idx="5927">
                  <c:v>1905.37</c:v>
                </c:pt>
                <c:pt idx="5928">
                  <c:v>1905.37</c:v>
                </c:pt>
                <c:pt idx="5929">
                  <c:v>1890.74</c:v>
                </c:pt>
                <c:pt idx="5930">
                  <c:v>1910.81</c:v>
                </c:pt>
                <c:pt idx="5931">
                  <c:v>1895.85</c:v>
                </c:pt>
                <c:pt idx="5932">
                  <c:v>1892</c:v>
                </c:pt>
                <c:pt idx="5933">
                  <c:v>1892</c:v>
                </c:pt>
                <c:pt idx="5934">
                  <c:v>1892</c:v>
                </c:pt>
                <c:pt idx="5935">
                  <c:v>1887.97</c:v>
                </c:pt>
                <c:pt idx="5936">
                  <c:v>1879.19</c:v>
                </c:pt>
                <c:pt idx="5937">
                  <c:v>1854.87</c:v>
                </c:pt>
                <c:pt idx="5938">
                  <c:v>1843.59</c:v>
                </c:pt>
                <c:pt idx="5939">
                  <c:v>1845.17</c:v>
                </c:pt>
                <c:pt idx="5940">
                  <c:v>1845.17</c:v>
                </c:pt>
                <c:pt idx="5941">
                  <c:v>1845.17</c:v>
                </c:pt>
                <c:pt idx="5942">
                  <c:v>1849.46</c:v>
                </c:pt>
                <c:pt idx="5943">
                  <c:v>1841.61</c:v>
                </c:pt>
                <c:pt idx="5944">
                  <c:v>1856.69</c:v>
                </c:pt>
                <c:pt idx="5945">
                  <c:v>1880.12</c:v>
                </c:pt>
                <c:pt idx="5946">
                  <c:v>1902.17</c:v>
                </c:pt>
                <c:pt idx="5947">
                  <c:v>1902.17</c:v>
                </c:pt>
                <c:pt idx="5948">
                  <c:v>1902.17</c:v>
                </c:pt>
                <c:pt idx="5949">
                  <c:v>1864.78</c:v>
                </c:pt>
                <c:pt idx="5950">
                  <c:v>1865.98</c:v>
                </c:pt>
                <c:pt idx="5951">
                  <c:v>1853.41</c:v>
                </c:pt>
                <c:pt idx="5952">
                  <c:v>1856.01</c:v>
                </c:pt>
                <c:pt idx="5953">
                  <c:v>1843.95</c:v>
                </c:pt>
                <c:pt idx="5954">
                  <c:v>1843.95</c:v>
                </c:pt>
                <c:pt idx="5955">
                  <c:v>1843.95</c:v>
                </c:pt>
                <c:pt idx="5956">
                  <c:v>1857.55</c:v>
                </c:pt>
                <c:pt idx="5957">
                  <c:v>1823.11</c:v>
                </c:pt>
                <c:pt idx="5958">
                  <c:v>1815.65</c:v>
                </c:pt>
                <c:pt idx="5959">
                  <c:v>1815.65</c:v>
                </c:pt>
                <c:pt idx="5960">
                  <c:v>1815.65</c:v>
                </c:pt>
                <c:pt idx="5961">
                  <c:v>1815.65</c:v>
                </c:pt>
                <c:pt idx="5962">
                  <c:v>1815.65</c:v>
                </c:pt>
                <c:pt idx="5963">
                  <c:v>1815.65</c:v>
                </c:pt>
                <c:pt idx="5964">
                  <c:v>1835.01</c:v>
                </c:pt>
                <c:pt idx="5965">
                  <c:v>1821.31</c:v>
                </c:pt>
                <c:pt idx="5966">
                  <c:v>1810.68</c:v>
                </c:pt>
                <c:pt idx="5967">
                  <c:v>1821.6</c:v>
                </c:pt>
                <c:pt idx="5968">
                  <c:v>1821.6</c:v>
                </c:pt>
                <c:pt idx="5969">
                  <c:v>1821.6</c:v>
                </c:pt>
                <c:pt idx="5970">
                  <c:v>1834.96</c:v>
                </c:pt>
                <c:pt idx="5971">
                  <c:v>1827.94</c:v>
                </c:pt>
                <c:pt idx="5972">
                  <c:v>1826.34</c:v>
                </c:pt>
                <c:pt idx="5973">
                  <c:v>1824.39</c:v>
                </c:pt>
                <c:pt idx="5974">
                  <c:v>1816.28</c:v>
                </c:pt>
                <c:pt idx="5975">
                  <c:v>1816.28</c:v>
                </c:pt>
                <c:pt idx="5976">
                  <c:v>1816.28</c:v>
                </c:pt>
                <c:pt idx="5977">
                  <c:v>1811.23</c:v>
                </c:pt>
                <c:pt idx="5978">
                  <c:v>1812.85</c:v>
                </c:pt>
                <c:pt idx="5979">
                  <c:v>1799.07</c:v>
                </c:pt>
                <c:pt idx="5980">
                  <c:v>1791.63</c:v>
                </c:pt>
                <c:pt idx="5981">
                  <c:v>1792.49</c:v>
                </c:pt>
                <c:pt idx="5982">
                  <c:v>1792.49</c:v>
                </c:pt>
                <c:pt idx="5983">
                  <c:v>1792.49</c:v>
                </c:pt>
                <c:pt idx="5984">
                  <c:v>1792.69</c:v>
                </c:pt>
                <c:pt idx="5985">
                  <c:v>1797.89</c:v>
                </c:pt>
                <c:pt idx="5986">
                  <c:v>1798.89</c:v>
                </c:pt>
                <c:pt idx="5987">
                  <c:v>1792.87</c:v>
                </c:pt>
                <c:pt idx="5988">
                  <c:v>1785.17</c:v>
                </c:pt>
                <c:pt idx="5989">
                  <c:v>1785.17</c:v>
                </c:pt>
                <c:pt idx="5990">
                  <c:v>1785.17</c:v>
                </c:pt>
                <c:pt idx="5991">
                  <c:v>1780.79</c:v>
                </c:pt>
                <c:pt idx="5992">
                  <c:v>1775.08</c:v>
                </c:pt>
                <c:pt idx="5993">
                  <c:v>1765.3</c:v>
                </c:pt>
                <c:pt idx="5994">
                  <c:v>1765.75</c:v>
                </c:pt>
                <c:pt idx="5995">
                  <c:v>1775.22</c:v>
                </c:pt>
                <c:pt idx="5996">
                  <c:v>1775.22</c:v>
                </c:pt>
                <c:pt idx="5997">
                  <c:v>1775.22</c:v>
                </c:pt>
                <c:pt idx="5998">
                  <c:v>1767.73</c:v>
                </c:pt>
                <c:pt idx="5999">
                  <c:v>1780.21</c:v>
                </c:pt>
                <c:pt idx="6000">
                  <c:v>1767.27</c:v>
                </c:pt>
                <c:pt idx="6001">
                  <c:v>1767.27</c:v>
                </c:pt>
                <c:pt idx="6002">
                  <c:v>1756.25</c:v>
                </c:pt>
                <c:pt idx="6003">
                  <c:v>1756.25</c:v>
                </c:pt>
                <c:pt idx="6004">
                  <c:v>1756.25</c:v>
                </c:pt>
                <c:pt idx="6005">
                  <c:v>1756.25</c:v>
                </c:pt>
                <c:pt idx="6006">
                  <c:v>1769.32</c:v>
                </c:pt>
                <c:pt idx="6007">
                  <c:v>1787.62</c:v>
                </c:pt>
                <c:pt idx="6008">
                  <c:v>1793.13</c:v>
                </c:pt>
                <c:pt idx="6009">
                  <c:v>1781.79</c:v>
                </c:pt>
                <c:pt idx="6010">
                  <c:v>1781.79</c:v>
                </c:pt>
                <c:pt idx="6011">
                  <c:v>1781.79</c:v>
                </c:pt>
                <c:pt idx="6012">
                  <c:v>1781.29</c:v>
                </c:pt>
                <c:pt idx="6013">
                  <c:v>1780.01</c:v>
                </c:pt>
                <c:pt idx="6014">
                  <c:v>1787.65</c:v>
                </c:pt>
                <c:pt idx="6015">
                  <c:v>1792.94</c:v>
                </c:pt>
                <c:pt idx="6016">
                  <c:v>1785.04</c:v>
                </c:pt>
                <c:pt idx="6017">
                  <c:v>1785.04</c:v>
                </c:pt>
                <c:pt idx="6018">
                  <c:v>1785.04</c:v>
                </c:pt>
                <c:pt idx="6019">
                  <c:v>1779.35</c:v>
                </c:pt>
                <c:pt idx="6020">
                  <c:v>1787.59</c:v>
                </c:pt>
                <c:pt idx="6021">
                  <c:v>1779.48</c:v>
                </c:pt>
                <c:pt idx="6022">
                  <c:v>1779.59</c:v>
                </c:pt>
                <c:pt idx="6023">
                  <c:v>1777.98</c:v>
                </c:pt>
                <c:pt idx="6024">
                  <c:v>1777.98</c:v>
                </c:pt>
                <c:pt idx="6025">
                  <c:v>1777.98</c:v>
                </c:pt>
                <c:pt idx="6026">
                  <c:v>1777.98</c:v>
                </c:pt>
                <c:pt idx="6027">
                  <c:v>1772.55</c:v>
                </c:pt>
                <c:pt idx="6028">
                  <c:v>1767.41</c:v>
                </c:pt>
                <c:pt idx="6029">
                  <c:v>1755.95</c:v>
                </c:pt>
                <c:pt idx="6030">
                  <c:v>1744.01</c:v>
                </c:pt>
                <c:pt idx="6031">
                  <c:v>1744.01</c:v>
                </c:pt>
                <c:pt idx="6032">
                  <c:v>1744.01</c:v>
                </c:pt>
                <c:pt idx="6033">
                  <c:v>1744.01</c:v>
                </c:pt>
                <c:pt idx="6034">
                  <c:v>1730.61</c:v>
                </c:pt>
                <c:pt idx="6035">
                  <c:v>1728.76</c:v>
                </c:pt>
                <c:pt idx="6036">
                  <c:v>1709.95</c:v>
                </c:pt>
                <c:pt idx="6037">
                  <c:v>1702.44</c:v>
                </c:pt>
                <c:pt idx="6038">
                  <c:v>1702.44</c:v>
                </c:pt>
                <c:pt idx="6039">
                  <c:v>1702.44</c:v>
                </c:pt>
                <c:pt idx="6040">
                  <c:v>1687.13</c:v>
                </c:pt>
                <c:pt idx="6041">
                  <c:v>1696.79</c:v>
                </c:pt>
                <c:pt idx="6042">
                  <c:v>1700.94</c:v>
                </c:pt>
                <c:pt idx="6043">
                  <c:v>1705.35</c:v>
                </c:pt>
                <c:pt idx="6044">
                  <c:v>1707.87</c:v>
                </c:pt>
                <c:pt idx="6045">
                  <c:v>1707.87</c:v>
                </c:pt>
                <c:pt idx="6046">
                  <c:v>1707.87</c:v>
                </c:pt>
                <c:pt idx="6047">
                  <c:v>1684.52</c:v>
                </c:pt>
                <c:pt idx="6048">
                  <c:v>1655.42</c:v>
                </c:pt>
                <c:pt idx="6049">
                  <c:v>1652.41</c:v>
                </c:pt>
                <c:pt idx="6050">
                  <c:v>1670.31</c:v>
                </c:pt>
                <c:pt idx="6051">
                  <c:v>1678.82</c:v>
                </c:pt>
                <c:pt idx="6052">
                  <c:v>1678.82</c:v>
                </c:pt>
                <c:pt idx="6053">
                  <c:v>1678.82</c:v>
                </c:pt>
                <c:pt idx="6054">
                  <c:v>1713.63</c:v>
                </c:pt>
                <c:pt idx="6055">
                  <c:v>1748.04</c:v>
                </c:pt>
                <c:pt idx="6056">
                  <c:v>1783.44</c:v>
                </c:pt>
                <c:pt idx="6057">
                  <c:v>1832.81</c:v>
                </c:pt>
                <c:pt idx="6058">
                  <c:v>1923.02</c:v>
                </c:pt>
                <c:pt idx="6059">
                  <c:v>1923.02</c:v>
                </c:pt>
                <c:pt idx="6060">
                  <c:v>1923.02</c:v>
                </c:pt>
                <c:pt idx="6061">
                  <c:v>1923.02</c:v>
                </c:pt>
                <c:pt idx="6062">
                  <c:v>1915.44</c:v>
                </c:pt>
                <c:pt idx="6063">
                  <c:v>1818.6</c:v>
                </c:pt>
                <c:pt idx="6064">
                  <c:v>1748.43</c:v>
                </c:pt>
                <c:pt idx="6065">
                  <c:v>1748.43</c:v>
                </c:pt>
                <c:pt idx="6066">
                  <c:v>1748.43</c:v>
                </c:pt>
                <c:pt idx="6067">
                  <c:v>1748.43</c:v>
                </c:pt>
                <c:pt idx="6068">
                  <c:v>1719.48</c:v>
                </c:pt>
                <c:pt idx="6069">
                  <c:v>1736.49</c:v>
                </c:pt>
                <c:pt idx="6070">
                  <c:v>1728.74</c:v>
                </c:pt>
                <c:pt idx="6071">
                  <c:v>1768.09</c:v>
                </c:pt>
                <c:pt idx="6072">
                  <c:v>1778.8</c:v>
                </c:pt>
                <c:pt idx="6073">
                  <c:v>1778.8</c:v>
                </c:pt>
                <c:pt idx="6074">
                  <c:v>1778.8</c:v>
                </c:pt>
                <c:pt idx="6075">
                  <c:v>1753.51</c:v>
                </c:pt>
                <c:pt idx="6076">
                  <c:v>1777.17</c:v>
                </c:pt>
                <c:pt idx="6077">
                  <c:v>1768.53</c:v>
                </c:pt>
                <c:pt idx="6078">
                  <c:v>1757.79</c:v>
                </c:pt>
                <c:pt idx="6079">
                  <c:v>1788.24</c:v>
                </c:pt>
                <c:pt idx="6080">
                  <c:v>1788.24</c:v>
                </c:pt>
                <c:pt idx="6081">
                  <c:v>1788.24</c:v>
                </c:pt>
                <c:pt idx="6082">
                  <c:v>1802.01</c:v>
                </c:pt>
                <c:pt idx="6083">
                  <c:v>1797.43</c:v>
                </c:pt>
                <c:pt idx="6084">
                  <c:v>1772.25</c:v>
                </c:pt>
                <c:pt idx="6085">
                  <c:v>1777.1</c:v>
                </c:pt>
                <c:pt idx="6086">
                  <c:v>1785.17</c:v>
                </c:pt>
                <c:pt idx="6087">
                  <c:v>1785.17</c:v>
                </c:pt>
                <c:pt idx="6088">
                  <c:v>1785.17</c:v>
                </c:pt>
                <c:pt idx="6089">
                  <c:v>1764.48</c:v>
                </c:pt>
                <c:pt idx="6090">
                  <c:v>1789.68</c:v>
                </c:pt>
                <c:pt idx="6091">
                  <c:v>1792.24</c:v>
                </c:pt>
                <c:pt idx="6092">
                  <c:v>1800.54</c:v>
                </c:pt>
                <c:pt idx="6093">
                  <c:v>1779.97</c:v>
                </c:pt>
                <c:pt idx="6094">
                  <c:v>1779.97</c:v>
                </c:pt>
                <c:pt idx="6095">
                  <c:v>1779.97</c:v>
                </c:pt>
                <c:pt idx="6096">
                  <c:v>1771.31</c:v>
                </c:pt>
                <c:pt idx="6097">
                  <c:v>1772.16</c:v>
                </c:pt>
                <c:pt idx="6098">
                  <c:v>1782.92</c:v>
                </c:pt>
                <c:pt idx="6099">
                  <c:v>1782.92</c:v>
                </c:pt>
                <c:pt idx="6100">
                  <c:v>1816.25</c:v>
                </c:pt>
                <c:pt idx="6101">
                  <c:v>1816.25</c:v>
                </c:pt>
                <c:pt idx="6102">
                  <c:v>1816.25</c:v>
                </c:pt>
                <c:pt idx="6103">
                  <c:v>1821.76</c:v>
                </c:pt>
                <c:pt idx="6104">
                  <c:v>1836.25</c:v>
                </c:pt>
                <c:pt idx="6105">
                  <c:v>1854.16</c:v>
                </c:pt>
                <c:pt idx="6106">
                  <c:v>1853.45</c:v>
                </c:pt>
                <c:pt idx="6107">
                  <c:v>1882.11</c:v>
                </c:pt>
                <c:pt idx="6108">
                  <c:v>1882.11</c:v>
                </c:pt>
                <c:pt idx="6109">
                  <c:v>1882.11</c:v>
                </c:pt>
                <c:pt idx="6110">
                  <c:v>1882.11</c:v>
                </c:pt>
                <c:pt idx="6111">
                  <c:v>1891.99</c:v>
                </c:pt>
                <c:pt idx="6112">
                  <c:v>1880.69</c:v>
                </c:pt>
                <c:pt idx="6113">
                  <c:v>1864.26</c:v>
                </c:pt>
                <c:pt idx="6114">
                  <c:v>1872.07</c:v>
                </c:pt>
                <c:pt idx="6115">
                  <c:v>1872.07</c:v>
                </c:pt>
                <c:pt idx="6116">
                  <c:v>1872.07</c:v>
                </c:pt>
                <c:pt idx="6117">
                  <c:v>1873.94</c:v>
                </c:pt>
                <c:pt idx="6118">
                  <c:v>1892.06</c:v>
                </c:pt>
                <c:pt idx="6119">
                  <c:v>1887.71</c:v>
                </c:pt>
                <c:pt idx="6120">
                  <c:v>1907.97</c:v>
                </c:pt>
                <c:pt idx="6121">
                  <c:v>1932.2</c:v>
                </c:pt>
                <c:pt idx="6122">
                  <c:v>1932.2</c:v>
                </c:pt>
                <c:pt idx="6123">
                  <c:v>1932.2</c:v>
                </c:pt>
                <c:pt idx="6124">
                  <c:v>1932.2</c:v>
                </c:pt>
                <c:pt idx="6125">
                  <c:v>1975.1</c:v>
                </c:pt>
                <c:pt idx="6126">
                  <c:v>1992.59</c:v>
                </c:pt>
                <c:pt idx="6127">
                  <c:v>2017.53</c:v>
                </c:pt>
                <c:pt idx="6128">
                  <c:v>2041.81</c:v>
                </c:pt>
                <c:pt idx="6129">
                  <c:v>2041.81</c:v>
                </c:pt>
                <c:pt idx="6130">
                  <c:v>2041.81</c:v>
                </c:pt>
                <c:pt idx="6131">
                  <c:v>2031.12</c:v>
                </c:pt>
                <c:pt idx="6132">
                  <c:v>2071.2399999999998</c:v>
                </c:pt>
                <c:pt idx="6133">
                  <c:v>2081.3200000000002</c:v>
                </c:pt>
                <c:pt idx="6134">
                  <c:v>2082.46</c:v>
                </c:pt>
                <c:pt idx="6135">
                  <c:v>2051.5500000000002</c:v>
                </c:pt>
                <c:pt idx="6136">
                  <c:v>2051.5500000000002</c:v>
                </c:pt>
                <c:pt idx="6137">
                  <c:v>2051.5500000000002</c:v>
                </c:pt>
                <c:pt idx="6138">
                  <c:v>2071.29</c:v>
                </c:pt>
                <c:pt idx="6139">
                  <c:v>2109.37</c:v>
                </c:pt>
                <c:pt idx="6140">
                  <c:v>2139.14</c:v>
                </c:pt>
                <c:pt idx="6141">
                  <c:v>2187.0100000000002</c:v>
                </c:pt>
                <c:pt idx="6142">
                  <c:v>2067.4499999999998</c:v>
                </c:pt>
                <c:pt idx="6143">
                  <c:v>2067.4499999999998</c:v>
                </c:pt>
                <c:pt idx="6144">
                  <c:v>2067.4499999999998</c:v>
                </c:pt>
                <c:pt idx="6145">
                  <c:v>2045.85</c:v>
                </c:pt>
                <c:pt idx="6146">
                  <c:v>2077.59</c:v>
                </c:pt>
                <c:pt idx="6147">
                  <c:v>2147.41</c:v>
                </c:pt>
                <c:pt idx="6148">
                  <c:v>2118.31</c:v>
                </c:pt>
                <c:pt idx="6149">
                  <c:v>2105.61</c:v>
                </c:pt>
                <c:pt idx="6150">
                  <c:v>2105.61</c:v>
                </c:pt>
                <c:pt idx="6151">
                  <c:v>2105.61</c:v>
                </c:pt>
                <c:pt idx="6152">
                  <c:v>2174.62</c:v>
                </c:pt>
                <c:pt idx="6153">
                  <c:v>2184.7600000000002</c:v>
                </c:pt>
                <c:pt idx="6154">
                  <c:v>2166.0500000000002</c:v>
                </c:pt>
                <c:pt idx="6155">
                  <c:v>2192.69</c:v>
                </c:pt>
                <c:pt idx="6156">
                  <c:v>2160.08</c:v>
                </c:pt>
                <c:pt idx="6157">
                  <c:v>2160.08</c:v>
                </c:pt>
                <c:pt idx="6158">
                  <c:v>2160.08</c:v>
                </c:pt>
                <c:pt idx="6159">
                  <c:v>2250.73</c:v>
                </c:pt>
                <c:pt idx="6160">
                  <c:v>2261.96</c:v>
                </c:pt>
                <c:pt idx="6161">
                  <c:v>2326.41</c:v>
                </c:pt>
                <c:pt idx="6162">
                  <c:v>2254.2399999999998</c:v>
                </c:pt>
                <c:pt idx="6163">
                  <c:v>2318.63</c:v>
                </c:pt>
                <c:pt idx="6164">
                  <c:v>2318.63</c:v>
                </c:pt>
                <c:pt idx="6165">
                  <c:v>2318.63</c:v>
                </c:pt>
                <c:pt idx="6166">
                  <c:v>2318.63</c:v>
                </c:pt>
                <c:pt idx="6167">
                  <c:v>2223.94</c:v>
                </c:pt>
                <c:pt idx="6168">
                  <c:v>2316.54</c:v>
                </c:pt>
                <c:pt idx="6169">
                  <c:v>2304.6799999999998</c:v>
                </c:pt>
                <c:pt idx="6170">
                  <c:v>2271.98</c:v>
                </c:pt>
                <c:pt idx="6171">
                  <c:v>2271.98</c:v>
                </c:pt>
                <c:pt idx="6172">
                  <c:v>2271.98</c:v>
                </c:pt>
                <c:pt idx="6173">
                  <c:v>2243.4899999999998</c:v>
                </c:pt>
                <c:pt idx="6174">
                  <c:v>2296.3200000000002</c:v>
                </c:pt>
                <c:pt idx="6175">
                  <c:v>2346.4699999999998</c:v>
                </c:pt>
                <c:pt idx="6176">
                  <c:v>2361.0100000000002</c:v>
                </c:pt>
                <c:pt idx="6177">
                  <c:v>2386.48</c:v>
                </c:pt>
                <c:pt idx="6178">
                  <c:v>2386.48</c:v>
                </c:pt>
                <c:pt idx="6179">
                  <c:v>2386.48</c:v>
                </c:pt>
                <c:pt idx="6180">
                  <c:v>2379.2399999999998</c:v>
                </c:pt>
                <c:pt idx="6181">
                  <c:v>2382.31</c:v>
                </c:pt>
                <c:pt idx="6182">
                  <c:v>2374.1</c:v>
                </c:pt>
                <c:pt idx="6183">
                  <c:v>2359.52</c:v>
                </c:pt>
                <c:pt idx="6184">
                  <c:v>2392.2800000000002</c:v>
                </c:pt>
                <c:pt idx="6185">
                  <c:v>2392.2800000000002</c:v>
                </c:pt>
                <c:pt idx="6186">
                  <c:v>2392.2800000000002</c:v>
                </c:pt>
                <c:pt idx="6187">
                  <c:v>2392.2800000000002</c:v>
                </c:pt>
                <c:pt idx="6188">
                  <c:v>2351.56</c:v>
                </c:pt>
                <c:pt idx="6189">
                  <c:v>2327.7800000000002</c:v>
                </c:pt>
                <c:pt idx="6190">
                  <c:v>2342.65</c:v>
                </c:pt>
                <c:pt idx="6191">
                  <c:v>2317.34</c:v>
                </c:pt>
                <c:pt idx="6192">
                  <c:v>2317.34</c:v>
                </c:pt>
                <c:pt idx="6193">
                  <c:v>2317.34</c:v>
                </c:pt>
                <c:pt idx="6194">
                  <c:v>2281.2399999999998</c:v>
                </c:pt>
                <c:pt idx="6195">
                  <c:v>2281.2399999999998</c:v>
                </c:pt>
                <c:pt idx="6196">
                  <c:v>2335.02</c:v>
                </c:pt>
                <c:pt idx="6197">
                  <c:v>2329.8200000000002</c:v>
                </c:pt>
                <c:pt idx="6198">
                  <c:v>2308.65</c:v>
                </c:pt>
                <c:pt idx="6199">
                  <c:v>2308.65</c:v>
                </c:pt>
                <c:pt idx="6200">
                  <c:v>2308.65</c:v>
                </c:pt>
                <c:pt idx="6201">
                  <c:v>2308.65</c:v>
                </c:pt>
                <c:pt idx="6202">
                  <c:v>2329.9</c:v>
                </c:pt>
                <c:pt idx="6203">
                  <c:v>2342.1799999999998</c:v>
                </c:pt>
                <c:pt idx="6204">
                  <c:v>2359.2600000000002</c:v>
                </c:pt>
                <c:pt idx="6205">
                  <c:v>2355.71</c:v>
                </c:pt>
                <c:pt idx="6206">
                  <c:v>2355.71</c:v>
                </c:pt>
                <c:pt idx="6207">
                  <c:v>2355.71</c:v>
                </c:pt>
                <c:pt idx="6208">
                  <c:v>2314.7199999999998</c:v>
                </c:pt>
                <c:pt idx="6209">
                  <c:v>2307.37</c:v>
                </c:pt>
                <c:pt idx="6210">
                  <c:v>2324.1</c:v>
                </c:pt>
                <c:pt idx="6211">
                  <c:v>2324.1</c:v>
                </c:pt>
                <c:pt idx="6212">
                  <c:v>2318</c:v>
                </c:pt>
                <c:pt idx="6213">
                  <c:v>2318</c:v>
                </c:pt>
                <c:pt idx="6214">
                  <c:v>2318</c:v>
                </c:pt>
                <c:pt idx="6215">
                  <c:v>2320.12</c:v>
                </c:pt>
                <c:pt idx="6216">
                  <c:v>2315.35</c:v>
                </c:pt>
                <c:pt idx="6217">
                  <c:v>2317.48</c:v>
                </c:pt>
                <c:pt idx="6218">
                  <c:v>2323.2800000000002</c:v>
                </c:pt>
                <c:pt idx="6219">
                  <c:v>2333.54</c:v>
                </c:pt>
                <c:pt idx="6220">
                  <c:v>2333.54</c:v>
                </c:pt>
                <c:pt idx="6221">
                  <c:v>2333.54</c:v>
                </c:pt>
                <c:pt idx="6222">
                  <c:v>2333.54</c:v>
                </c:pt>
                <c:pt idx="6223">
                  <c:v>2311.6999999999998</c:v>
                </c:pt>
                <c:pt idx="6224">
                  <c:v>2302.9299999999998</c:v>
                </c:pt>
                <c:pt idx="6225">
                  <c:v>2278.29</c:v>
                </c:pt>
                <c:pt idx="6226">
                  <c:v>2273.2399999999998</c:v>
                </c:pt>
                <c:pt idx="6227">
                  <c:v>2273.2399999999998</c:v>
                </c:pt>
                <c:pt idx="6228">
                  <c:v>2273.2399999999998</c:v>
                </c:pt>
                <c:pt idx="6229">
                  <c:v>2254.5</c:v>
                </c:pt>
                <c:pt idx="6230">
                  <c:v>2223.3000000000002</c:v>
                </c:pt>
                <c:pt idx="6231">
                  <c:v>2173.86</c:v>
                </c:pt>
                <c:pt idx="6232">
                  <c:v>2163.14</c:v>
                </c:pt>
                <c:pt idx="6233">
                  <c:v>2167.35</c:v>
                </c:pt>
                <c:pt idx="6234">
                  <c:v>2167.35</c:v>
                </c:pt>
                <c:pt idx="6235">
                  <c:v>2167.35</c:v>
                </c:pt>
                <c:pt idx="6236">
                  <c:v>2169.83</c:v>
                </c:pt>
                <c:pt idx="6237">
                  <c:v>2180.4899999999998</c:v>
                </c:pt>
                <c:pt idx="6238">
                  <c:v>2198.09</c:v>
                </c:pt>
                <c:pt idx="6239">
                  <c:v>2198.09</c:v>
                </c:pt>
                <c:pt idx="6240">
                  <c:v>2204.9499999999998</c:v>
                </c:pt>
                <c:pt idx="6241">
                  <c:v>2204.9499999999998</c:v>
                </c:pt>
                <c:pt idx="6242">
                  <c:v>2204.9499999999998</c:v>
                </c:pt>
                <c:pt idx="6243">
                  <c:v>2234</c:v>
                </c:pt>
                <c:pt idx="6244">
                  <c:v>2243.59</c:v>
                </c:pt>
                <c:pt idx="6245">
                  <c:v>2243.59</c:v>
                </c:pt>
                <c:pt idx="6246">
                  <c:v>2243.59</c:v>
                </c:pt>
                <c:pt idx="6247">
                  <c:v>2234.81</c:v>
                </c:pt>
                <c:pt idx="6248">
                  <c:v>2234.81</c:v>
                </c:pt>
                <c:pt idx="6249">
                  <c:v>2234.81</c:v>
                </c:pt>
                <c:pt idx="6250">
                  <c:v>2227.2399999999998</c:v>
                </c:pt>
                <c:pt idx="6251">
                  <c:v>2197.7199999999998</c:v>
                </c:pt>
                <c:pt idx="6252">
                  <c:v>2214.13</c:v>
                </c:pt>
                <c:pt idx="6253">
                  <c:v>2220.8200000000002</c:v>
                </c:pt>
                <c:pt idx="6254">
                  <c:v>2216.23</c:v>
                </c:pt>
                <c:pt idx="6255">
                  <c:v>2216.23</c:v>
                </c:pt>
                <c:pt idx="6256">
                  <c:v>2216.23</c:v>
                </c:pt>
                <c:pt idx="6257">
                  <c:v>2216.23</c:v>
                </c:pt>
                <c:pt idx="6258">
                  <c:v>2226.87</c:v>
                </c:pt>
                <c:pt idx="6259">
                  <c:v>2234.4</c:v>
                </c:pt>
                <c:pt idx="6260">
                  <c:v>2249.64</c:v>
                </c:pt>
                <c:pt idx="6261">
                  <c:v>2227.6799999999998</c:v>
                </c:pt>
                <c:pt idx="6262">
                  <c:v>2227.6799999999998</c:v>
                </c:pt>
                <c:pt idx="6263">
                  <c:v>2227.6799999999998</c:v>
                </c:pt>
                <c:pt idx="6264">
                  <c:v>2227.6799999999998</c:v>
                </c:pt>
                <c:pt idx="6265">
                  <c:v>2245.2800000000002</c:v>
                </c:pt>
                <c:pt idx="6266">
                  <c:v>2245.9699999999998</c:v>
                </c:pt>
                <c:pt idx="6267">
                  <c:v>2247.87</c:v>
                </c:pt>
                <c:pt idx="6268">
                  <c:v>2280.77</c:v>
                </c:pt>
                <c:pt idx="6269">
                  <c:v>2280.77</c:v>
                </c:pt>
                <c:pt idx="6270">
                  <c:v>2280.77</c:v>
                </c:pt>
                <c:pt idx="6271">
                  <c:v>2280.4299999999998</c:v>
                </c:pt>
                <c:pt idx="6272">
                  <c:v>2310.83</c:v>
                </c:pt>
                <c:pt idx="6273">
                  <c:v>2341.09</c:v>
                </c:pt>
                <c:pt idx="6274">
                  <c:v>2386.58</c:v>
                </c:pt>
                <c:pt idx="6275">
                  <c:v>2420.2600000000002</c:v>
                </c:pt>
                <c:pt idx="6276">
                  <c:v>2420.2600000000002</c:v>
                </c:pt>
                <c:pt idx="6277">
                  <c:v>2420.2600000000002</c:v>
                </c:pt>
                <c:pt idx="6278">
                  <c:v>2450.7800000000002</c:v>
                </c:pt>
                <c:pt idx="6279">
                  <c:v>2443.67</c:v>
                </c:pt>
                <c:pt idx="6280">
                  <c:v>2469.02</c:v>
                </c:pt>
                <c:pt idx="6281">
                  <c:v>2472.65</c:v>
                </c:pt>
                <c:pt idx="6282">
                  <c:v>2449.4899999999998</c:v>
                </c:pt>
                <c:pt idx="6283">
                  <c:v>2449.4899999999998</c:v>
                </c:pt>
                <c:pt idx="6284">
                  <c:v>2449.4899999999998</c:v>
                </c:pt>
                <c:pt idx="6285">
                  <c:v>2450.6</c:v>
                </c:pt>
                <c:pt idx="6286">
                  <c:v>2494.0700000000002</c:v>
                </c:pt>
                <c:pt idx="6287">
                  <c:v>2537.8200000000002</c:v>
                </c:pt>
                <c:pt idx="6288">
                  <c:v>2520.06</c:v>
                </c:pt>
                <c:pt idx="6289">
                  <c:v>2509.5</c:v>
                </c:pt>
                <c:pt idx="6290">
                  <c:v>2509.5</c:v>
                </c:pt>
                <c:pt idx="6291">
                  <c:v>2509.5</c:v>
                </c:pt>
                <c:pt idx="6292">
                  <c:v>2509.5</c:v>
                </c:pt>
                <c:pt idx="6293">
                  <c:v>2554.4</c:v>
                </c:pt>
                <c:pt idx="6294">
                  <c:v>2558.14</c:v>
                </c:pt>
                <c:pt idx="6295">
                  <c:v>2547.4</c:v>
                </c:pt>
                <c:pt idx="6296">
                  <c:v>2588.31</c:v>
                </c:pt>
                <c:pt idx="6297">
                  <c:v>2588.31</c:v>
                </c:pt>
                <c:pt idx="6298">
                  <c:v>2588.31</c:v>
                </c:pt>
                <c:pt idx="6299">
                  <c:v>2572.3000000000002</c:v>
                </c:pt>
                <c:pt idx="6300">
                  <c:v>2596.37</c:v>
                </c:pt>
                <c:pt idx="6301">
                  <c:v>2575.5</c:v>
                </c:pt>
                <c:pt idx="6302">
                  <c:v>2555.0500000000002</c:v>
                </c:pt>
                <c:pt idx="6303">
                  <c:v>2555.89</c:v>
                </c:pt>
                <c:pt idx="6304">
                  <c:v>2555.89</c:v>
                </c:pt>
                <c:pt idx="6305">
                  <c:v>2555.89</c:v>
                </c:pt>
                <c:pt idx="6306">
                  <c:v>2590.9699999999998</c:v>
                </c:pt>
                <c:pt idx="6307">
                  <c:v>2588.96</c:v>
                </c:pt>
                <c:pt idx="6308">
                  <c:v>2589.48</c:v>
                </c:pt>
                <c:pt idx="6309">
                  <c:v>2572.92</c:v>
                </c:pt>
                <c:pt idx="6310">
                  <c:v>2548.5700000000002</c:v>
                </c:pt>
                <c:pt idx="6311">
                  <c:v>2548.5700000000002</c:v>
                </c:pt>
                <c:pt idx="6312">
                  <c:v>2548.5700000000002</c:v>
                </c:pt>
                <c:pt idx="6313">
                  <c:v>2559.36</c:v>
                </c:pt>
                <c:pt idx="6314">
                  <c:v>2525.06</c:v>
                </c:pt>
                <c:pt idx="6315">
                  <c:v>2506.73</c:v>
                </c:pt>
                <c:pt idx="6316">
                  <c:v>2481.2600000000002</c:v>
                </c:pt>
                <c:pt idx="6317">
                  <c:v>2445.3000000000002</c:v>
                </c:pt>
                <c:pt idx="6318">
                  <c:v>2445.3000000000002</c:v>
                </c:pt>
                <c:pt idx="6319">
                  <c:v>2445.3000000000002</c:v>
                </c:pt>
                <c:pt idx="6320">
                  <c:v>2390.96</c:v>
                </c:pt>
                <c:pt idx="6321">
                  <c:v>2390.98</c:v>
                </c:pt>
                <c:pt idx="6322">
                  <c:v>2383.15</c:v>
                </c:pt>
                <c:pt idx="6323">
                  <c:v>2335.29</c:v>
                </c:pt>
                <c:pt idx="6324">
                  <c:v>2340.83</c:v>
                </c:pt>
                <c:pt idx="6325">
                  <c:v>2340.83</c:v>
                </c:pt>
                <c:pt idx="6326">
                  <c:v>2340.83</c:v>
                </c:pt>
                <c:pt idx="6327">
                  <c:v>2340.83</c:v>
                </c:pt>
                <c:pt idx="6328">
                  <c:v>2353.21</c:v>
                </c:pt>
                <c:pt idx="6329">
                  <c:v>2379.94</c:v>
                </c:pt>
                <c:pt idx="6330">
                  <c:v>2435.81</c:v>
                </c:pt>
                <c:pt idx="6331">
                  <c:v>2485.56</c:v>
                </c:pt>
                <c:pt idx="6332">
                  <c:v>2485.56</c:v>
                </c:pt>
                <c:pt idx="6333">
                  <c:v>2485.56</c:v>
                </c:pt>
                <c:pt idx="6334">
                  <c:v>2561.21</c:v>
                </c:pt>
                <c:pt idx="6335">
                  <c:v>2544.2399999999998</c:v>
                </c:pt>
                <c:pt idx="6336">
                  <c:v>2534.9899999999998</c:v>
                </c:pt>
                <c:pt idx="6337">
                  <c:v>2451.7199999999998</c:v>
                </c:pt>
                <c:pt idx="6338">
                  <c:v>2422.71</c:v>
                </c:pt>
                <c:pt idx="6339">
                  <c:v>2422.71</c:v>
                </c:pt>
                <c:pt idx="6340">
                  <c:v>2422.71</c:v>
                </c:pt>
                <c:pt idx="6341">
                  <c:v>2408.42</c:v>
                </c:pt>
                <c:pt idx="6342">
                  <c:v>2416.63</c:v>
                </c:pt>
                <c:pt idx="6343">
                  <c:v>2388.11</c:v>
                </c:pt>
                <c:pt idx="6344">
                  <c:v>2388.11</c:v>
                </c:pt>
                <c:pt idx="6345">
                  <c:v>2388.11</c:v>
                </c:pt>
                <c:pt idx="6346">
                  <c:v>2388.11</c:v>
                </c:pt>
                <c:pt idx="6347">
                  <c:v>2388.11</c:v>
                </c:pt>
                <c:pt idx="6348">
                  <c:v>2392.2199999999998</c:v>
                </c:pt>
                <c:pt idx="6349">
                  <c:v>2394.27</c:v>
                </c:pt>
                <c:pt idx="6350">
                  <c:v>2380.69</c:v>
                </c:pt>
                <c:pt idx="6351">
                  <c:v>2344.98</c:v>
                </c:pt>
                <c:pt idx="6352">
                  <c:v>2343.34</c:v>
                </c:pt>
                <c:pt idx="6353">
                  <c:v>2343.34</c:v>
                </c:pt>
                <c:pt idx="6354">
                  <c:v>2343.34</c:v>
                </c:pt>
                <c:pt idx="6355">
                  <c:v>2376.38</c:v>
                </c:pt>
                <c:pt idx="6356">
                  <c:v>2338.6</c:v>
                </c:pt>
                <c:pt idx="6357">
                  <c:v>2318.83</c:v>
                </c:pt>
                <c:pt idx="6358">
                  <c:v>2300.7399999999998</c:v>
                </c:pt>
                <c:pt idx="6359">
                  <c:v>2283.1999999999998</c:v>
                </c:pt>
                <c:pt idx="6360">
                  <c:v>2283.1999999999998</c:v>
                </c:pt>
                <c:pt idx="6361">
                  <c:v>2283.1999999999998</c:v>
                </c:pt>
                <c:pt idx="6362">
                  <c:v>2325.02</c:v>
                </c:pt>
                <c:pt idx="6363">
                  <c:v>2332.4699999999998</c:v>
                </c:pt>
                <c:pt idx="6364">
                  <c:v>2289.73</c:v>
                </c:pt>
                <c:pt idx="6365">
                  <c:v>2288.64</c:v>
                </c:pt>
                <c:pt idx="6366">
                  <c:v>2288.64</c:v>
                </c:pt>
                <c:pt idx="6367">
                  <c:v>2288.64</c:v>
                </c:pt>
                <c:pt idx="6368">
                  <c:v>2288.64</c:v>
                </c:pt>
                <c:pt idx="6369">
                  <c:v>2272.5500000000002</c:v>
                </c:pt>
                <c:pt idx="6370">
                  <c:v>2256.9899999999998</c:v>
                </c:pt>
                <c:pt idx="6371">
                  <c:v>2233.5</c:v>
                </c:pt>
                <c:pt idx="6372">
                  <c:v>2208.98</c:v>
                </c:pt>
                <c:pt idx="6373">
                  <c:v>2210.35</c:v>
                </c:pt>
                <c:pt idx="6374">
                  <c:v>2210.35</c:v>
                </c:pt>
                <c:pt idx="6375">
                  <c:v>2210.35</c:v>
                </c:pt>
                <c:pt idx="6376">
                  <c:v>2220.92</c:v>
                </c:pt>
                <c:pt idx="6377">
                  <c:v>2221.4</c:v>
                </c:pt>
                <c:pt idx="6378">
                  <c:v>2257.36</c:v>
                </c:pt>
                <c:pt idx="6379">
                  <c:v>2251.5300000000002</c:v>
                </c:pt>
                <c:pt idx="6380">
                  <c:v>2252.8000000000002</c:v>
                </c:pt>
                <c:pt idx="6381">
                  <c:v>2252.8000000000002</c:v>
                </c:pt>
                <c:pt idx="6382">
                  <c:v>2252.8000000000002</c:v>
                </c:pt>
                <c:pt idx="6383">
                  <c:v>2255.2199999999998</c:v>
                </c:pt>
                <c:pt idx="6384">
                  <c:v>2221.27</c:v>
                </c:pt>
                <c:pt idx="6385">
                  <c:v>2196.21</c:v>
                </c:pt>
                <c:pt idx="6386">
                  <c:v>2206.6</c:v>
                </c:pt>
                <c:pt idx="6387">
                  <c:v>2201.44</c:v>
                </c:pt>
                <c:pt idx="6388">
                  <c:v>2201.44</c:v>
                </c:pt>
                <c:pt idx="6389">
                  <c:v>2201.44</c:v>
                </c:pt>
                <c:pt idx="6390">
                  <c:v>2201.44</c:v>
                </c:pt>
                <c:pt idx="6391">
                  <c:v>2213.89</c:v>
                </c:pt>
                <c:pt idx="6392">
                  <c:v>2208.89</c:v>
                </c:pt>
                <c:pt idx="6393">
                  <c:v>2190.4499999999998</c:v>
                </c:pt>
                <c:pt idx="6394">
                  <c:v>2140.66</c:v>
                </c:pt>
                <c:pt idx="6395">
                  <c:v>2140.66</c:v>
                </c:pt>
                <c:pt idx="6396">
                  <c:v>2140.66</c:v>
                </c:pt>
                <c:pt idx="6397">
                  <c:v>2109.42</c:v>
                </c:pt>
                <c:pt idx="6398">
                  <c:v>2077.02</c:v>
                </c:pt>
                <c:pt idx="6399">
                  <c:v>2073.5500000000002</c:v>
                </c:pt>
                <c:pt idx="6400">
                  <c:v>2072</c:v>
                </c:pt>
                <c:pt idx="6401">
                  <c:v>2063.1</c:v>
                </c:pt>
                <c:pt idx="6402">
                  <c:v>2063.1</c:v>
                </c:pt>
                <c:pt idx="6403">
                  <c:v>2063.1</c:v>
                </c:pt>
                <c:pt idx="6404">
                  <c:v>2091.1</c:v>
                </c:pt>
                <c:pt idx="6405">
                  <c:v>2060.1799999999998</c:v>
                </c:pt>
                <c:pt idx="6406">
                  <c:v>2042.19</c:v>
                </c:pt>
                <c:pt idx="6407">
                  <c:v>2026.17</c:v>
                </c:pt>
                <c:pt idx="6408">
                  <c:v>2015.4</c:v>
                </c:pt>
                <c:pt idx="6409">
                  <c:v>2015.4</c:v>
                </c:pt>
                <c:pt idx="6410">
                  <c:v>2015.4</c:v>
                </c:pt>
                <c:pt idx="6411">
                  <c:v>2015.4</c:v>
                </c:pt>
                <c:pt idx="6412">
                  <c:v>2014.91</c:v>
                </c:pt>
                <c:pt idx="6413">
                  <c:v>2071.29</c:v>
                </c:pt>
                <c:pt idx="6414">
                  <c:v>2074.7199999999998</c:v>
                </c:pt>
                <c:pt idx="6415">
                  <c:v>2108.1999999999998</c:v>
                </c:pt>
                <c:pt idx="6416">
                  <c:v>2108.1999999999998</c:v>
                </c:pt>
                <c:pt idx="6417">
                  <c:v>2108.1999999999998</c:v>
                </c:pt>
                <c:pt idx="6418">
                  <c:v>2108.1999999999998</c:v>
                </c:pt>
                <c:pt idx="6419">
                  <c:v>2165</c:v>
                </c:pt>
                <c:pt idx="6420">
                  <c:v>2158.7199999999998</c:v>
                </c:pt>
                <c:pt idx="6421">
                  <c:v>2188.5</c:v>
                </c:pt>
                <c:pt idx="6422">
                  <c:v>2158.67</c:v>
                </c:pt>
                <c:pt idx="6423">
                  <c:v>2158.67</c:v>
                </c:pt>
                <c:pt idx="6424">
                  <c:v>2158.67</c:v>
                </c:pt>
                <c:pt idx="6425">
                  <c:v>2158.67</c:v>
                </c:pt>
                <c:pt idx="6426">
                  <c:v>2145.21</c:v>
                </c:pt>
                <c:pt idx="6427">
                  <c:v>2111.71</c:v>
                </c:pt>
                <c:pt idx="6428">
                  <c:v>2096.23</c:v>
                </c:pt>
                <c:pt idx="6429">
                  <c:v>2086.36</c:v>
                </c:pt>
                <c:pt idx="6430">
                  <c:v>2086.36</c:v>
                </c:pt>
                <c:pt idx="6431">
                  <c:v>2086.36</c:v>
                </c:pt>
                <c:pt idx="6432">
                  <c:v>2109.08</c:v>
                </c:pt>
                <c:pt idx="6433">
                  <c:v>2090.35</c:v>
                </c:pt>
                <c:pt idx="6434">
                  <c:v>2108.1999999999998</c:v>
                </c:pt>
                <c:pt idx="6435">
                  <c:v>2105.36</c:v>
                </c:pt>
                <c:pt idx="6436">
                  <c:v>2116.9899999999998</c:v>
                </c:pt>
                <c:pt idx="6437">
                  <c:v>2116.9899999999998</c:v>
                </c:pt>
                <c:pt idx="6438">
                  <c:v>2116.9899999999998</c:v>
                </c:pt>
                <c:pt idx="6439">
                  <c:v>2085.7399999999998</c:v>
                </c:pt>
                <c:pt idx="6440">
                  <c:v>2054.19</c:v>
                </c:pt>
                <c:pt idx="6441">
                  <c:v>2018.93</c:v>
                </c:pt>
                <c:pt idx="6442">
                  <c:v>2025.71</c:v>
                </c:pt>
                <c:pt idx="6443">
                  <c:v>2006.82</c:v>
                </c:pt>
                <c:pt idx="6444">
                  <c:v>2006.82</c:v>
                </c:pt>
                <c:pt idx="6445">
                  <c:v>2006.82</c:v>
                </c:pt>
                <c:pt idx="6446">
                  <c:v>2006.82</c:v>
                </c:pt>
                <c:pt idx="6447">
                  <c:v>1986.35</c:v>
                </c:pt>
                <c:pt idx="6448">
                  <c:v>1975.05</c:v>
                </c:pt>
                <c:pt idx="6449">
                  <c:v>1953.12</c:v>
                </c:pt>
                <c:pt idx="6450">
                  <c:v>1970.11</c:v>
                </c:pt>
                <c:pt idx="6451">
                  <c:v>1970.11</c:v>
                </c:pt>
                <c:pt idx="6452">
                  <c:v>1970.11</c:v>
                </c:pt>
                <c:pt idx="6453">
                  <c:v>1982.43</c:v>
                </c:pt>
                <c:pt idx="6454">
                  <c:v>2013.82</c:v>
                </c:pt>
                <c:pt idx="6455">
                  <c:v>2073.92</c:v>
                </c:pt>
                <c:pt idx="6456">
                  <c:v>2043.37</c:v>
                </c:pt>
                <c:pt idx="6457">
                  <c:v>2040.95</c:v>
                </c:pt>
                <c:pt idx="6458">
                  <c:v>2040.95</c:v>
                </c:pt>
                <c:pt idx="6459">
                  <c:v>2040.95</c:v>
                </c:pt>
                <c:pt idx="6460">
                  <c:v>2008.96</c:v>
                </c:pt>
                <c:pt idx="6461">
                  <c:v>1992.98</c:v>
                </c:pt>
                <c:pt idx="6462">
                  <c:v>1987.84</c:v>
                </c:pt>
                <c:pt idx="6463">
                  <c:v>1997.01</c:v>
                </c:pt>
                <c:pt idx="6464">
                  <c:v>1997.01</c:v>
                </c:pt>
                <c:pt idx="6465">
                  <c:v>1997.01</c:v>
                </c:pt>
                <c:pt idx="6466">
                  <c:v>1997.01</c:v>
                </c:pt>
                <c:pt idx="6467">
                  <c:v>2022.56</c:v>
                </c:pt>
                <c:pt idx="6468">
                  <c:v>2050.4499999999998</c:v>
                </c:pt>
                <c:pt idx="6469">
                  <c:v>2026.45</c:v>
                </c:pt>
                <c:pt idx="6470">
                  <c:v>1999.98</c:v>
                </c:pt>
                <c:pt idx="6471">
                  <c:v>2016.09</c:v>
                </c:pt>
                <c:pt idx="6472">
                  <c:v>2016.09</c:v>
                </c:pt>
                <c:pt idx="6473">
                  <c:v>2016.09</c:v>
                </c:pt>
                <c:pt idx="6474">
                  <c:v>2016.09</c:v>
                </c:pt>
                <c:pt idx="6475">
                  <c:v>2037.1</c:v>
                </c:pt>
                <c:pt idx="6476">
                  <c:v>2041.91</c:v>
                </c:pt>
                <c:pt idx="6477">
                  <c:v>2012.67</c:v>
                </c:pt>
                <c:pt idx="6478">
                  <c:v>1997.31</c:v>
                </c:pt>
                <c:pt idx="6479">
                  <c:v>1997.31</c:v>
                </c:pt>
                <c:pt idx="6480">
                  <c:v>1997.31</c:v>
                </c:pt>
                <c:pt idx="6481">
                  <c:v>1997.44</c:v>
                </c:pt>
                <c:pt idx="6482">
                  <c:v>2007.2</c:v>
                </c:pt>
                <c:pt idx="6483">
                  <c:v>2044.79</c:v>
                </c:pt>
                <c:pt idx="6484">
                  <c:v>2043.65</c:v>
                </c:pt>
                <c:pt idx="6485">
                  <c:v>2035</c:v>
                </c:pt>
                <c:pt idx="6486">
                  <c:v>2035</c:v>
                </c:pt>
                <c:pt idx="6487">
                  <c:v>2035</c:v>
                </c:pt>
                <c:pt idx="6488">
                  <c:v>2057.81</c:v>
                </c:pt>
                <c:pt idx="6489">
                  <c:v>2068.96</c:v>
                </c:pt>
                <c:pt idx="6490">
                  <c:v>2065.73</c:v>
                </c:pt>
                <c:pt idx="6491">
                  <c:v>2029.75</c:v>
                </c:pt>
                <c:pt idx="6492">
                  <c:v>2018.72</c:v>
                </c:pt>
                <c:pt idx="6493">
                  <c:v>2018.72</c:v>
                </c:pt>
                <c:pt idx="6494">
                  <c:v>2018.72</c:v>
                </c:pt>
                <c:pt idx="6495">
                  <c:v>2018.72</c:v>
                </c:pt>
                <c:pt idx="6496">
                  <c:v>1994.44</c:v>
                </c:pt>
                <c:pt idx="6497">
                  <c:v>1998.17</c:v>
                </c:pt>
                <c:pt idx="6498">
                  <c:v>2008.95</c:v>
                </c:pt>
                <c:pt idx="6499">
                  <c:v>1985.38</c:v>
                </c:pt>
                <c:pt idx="6500">
                  <c:v>1985.38</c:v>
                </c:pt>
                <c:pt idx="6501">
                  <c:v>1985.38</c:v>
                </c:pt>
                <c:pt idx="6502">
                  <c:v>1998.99</c:v>
                </c:pt>
                <c:pt idx="6503">
                  <c:v>1986.86</c:v>
                </c:pt>
                <c:pt idx="6504">
                  <c:v>1960.76</c:v>
                </c:pt>
                <c:pt idx="6505">
                  <c:v>1962.6</c:v>
                </c:pt>
                <c:pt idx="6506">
                  <c:v>1951.38</c:v>
                </c:pt>
                <c:pt idx="6507">
                  <c:v>1951.38</c:v>
                </c:pt>
                <c:pt idx="6508">
                  <c:v>1951.38</c:v>
                </c:pt>
                <c:pt idx="6509">
                  <c:v>1950.77</c:v>
                </c:pt>
                <c:pt idx="6510">
                  <c:v>1914.47</c:v>
                </c:pt>
                <c:pt idx="6511">
                  <c:v>1911.66</c:v>
                </c:pt>
                <c:pt idx="6512">
                  <c:v>1922.5</c:v>
                </c:pt>
                <c:pt idx="6513">
                  <c:v>1926.59</c:v>
                </c:pt>
                <c:pt idx="6514">
                  <c:v>1926.59</c:v>
                </c:pt>
                <c:pt idx="6515">
                  <c:v>1926.59</c:v>
                </c:pt>
                <c:pt idx="6516">
                  <c:v>1921.64</c:v>
                </c:pt>
                <c:pt idx="6517">
                  <c:v>1922</c:v>
                </c:pt>
                <c:pt idx="6518">
                  <c:v>1925.49</c:v>
                </c:pt>
                <c:pt idx="6519">
                  <c:v>1918.87</c:v>
                </c:pt>
                <c:pt idx="6520">
                  <c:v>1919.75</c:v>
                </c:pt>
                <c:pt idx="6521">
                  <c:v>1919.75</c:v>
                </c:pt>
                <c:pt idx="6522">
                  <c:v>1919.75</c:v>
                </c:pt>
                <c:pt idx="6523">
                  <c:v>1925.57</c:v>
                </c:pt>
                <c:pt idx="6524">
                  <c:v>1906.59</c:v>
                </c:pt>
                <c:pt idx="6525">
                  <c:v>1897.31</c:v>
                </c:pt>
                <c:pt idx="6526">
                  <c:v>1870.96</c:v>
                </c:pt>
                <c:pt idx="6527">
                  <c:v>1857.21</c:v>
                </c:pt>
                <c:pt idx="6528">
                  <c:v>1857.21</c:v>
                </c:pt>
                <c:pt idx="6529">
                  <c:v>1857.21</c:v>
                </c:pt>
                <c:pt idx="6530">
                  <c:v>1857.21</c:v>
                </c:pt>
                <c:pt idx="6531">
                  <c:v>1825.68</c:v>
                </c:pt>
                <c:pt idx="6532">
                  <c:v>1830.38</c:v>
                </c:pt>
                <c:pt idx="6533">
                  <c:v>1838.26</c:v>
                </c:pt>
                <c:pt idx="6534">
                  <c:v>1843.81</c:v>
                </c:pt>
                <c:pt idx="6535">
                  <c:v>1843.81</c:v>
                </c:pt>
                <c:pt idx="6536">
                  <c:v>1843.81</c:v>
                </c:pt>
                <c:pt idx="6537">
                  <c:v>1858.4</c:v>
                </c:pt>
                <c:pt idx="6538">
                  <c:v>1913.98</c:v>
                </c:pt>
                <c:pt idx="6539">
                  <c:v>1910.04</c:v>
                </c:pt>
                <c:pt idx="6540">
                  <c:v>1914.89</c:v>
                </c:pt>
                <c:pt idx="6541">
                  <c:v>1924.35</c:v>
                </c:pt>
                <c:pt idx="6542">
                  <c:v>1924.35</c:v>
                </c:pt>
                <c:pt idx="6543">
                  <c:v>1924.35</c:v>
                </c:pt>
                <c:pt idx="6544">
                  <c:v>1932.81</c:v>
                </c:pt>
                <c:pt idx="6545">
                  <c:v>1977.26</c:v>
                </c:pt>
                <c:pt idx="6546">
                  <c:v>2006.18</c:v>
                </c:pt>
                <c:pt idx="6547">
                  <c:v>2004.37</c:v>
                </c:pt>
                <c:pt idx="6548">
                  <c:v>1993.8</c:v>
                </c:pt>
                <c:pt idx="6549">
                  <c:v>1993.8</c:v>
                </c:pt>
                <c:pt idx="6550">
                  <c:v>1993.8</c:v>
                </c:pt>
                <c:pt idx="6551">
                  <c:v>1993.8</c:v>
                </c:pt>
                <c:pt idx="6552">
                  <c:v>2008.72</c:v>
                </c:pt>
                <c:pt idx="6553">
                  <c:v>1963.7</c:v>
                </c:pt>
                <c:pt idx="6554">
                  <c:v>1958.24</c:v>
                </c:pt>
                <c:pt idx="6555">
                  <c:v>1981.61</c:v>
                </c:pt>
                <c:pt idx="6556">
                  <c:v>1981.61</c:v>
                </c:pt>
                <c:pt idx="6557">
                  <c:v>1981.61</c:v>
                </c:pt>
                <c:pt idx="6558">
                  <c:v>1968.45</c:v>
                </c:pt>
                <c:pt idx="6559">
                  <c:v>1969.52</c:v>
                </c:pt>
                <c:pt idx="6560">
                  <c:v>1969.52</c:v>
                </c:pt>
                <c:pt idx="6561">
                  <c:v>1976.89</c:v>
                </c:pt>
                <c:pt idx="6562">
                  <c:v>1971.27</c:v>
                </c:pt>
                <c:pt idx="6563">
                  <c:v>1971.27</c:v>
                </c:pt>
                <c:pt idx="6564">
                  <c:v>1971.27</c:v>
                </c:pt>
                <c:pt idx="6565">
                  <c:v>1971.27</c:v>
                </c:pt>
                <c:pt idx="6566">
                  <c:v>1966.22</c:v>
                </c:pt>
                <c:pt idx="6567">
                  <c:v>1953.45</c:v>
                </c:pt>
                <c:pt idx="6568">
                  <c:v>1962.33</c:v>
                </c:pt>
                <c:pt idx="6569">
                  <c:v>1974.47</c:v>
                </c:pt>
                <c:pt idx="6570">
                  <c:v>1974.47</c:v>
                </c:pt>
                <c:pt idx="6571">
                  <c:v>1974.47</c:v>
                </c:pt>
                <c:pt idx="6572">
                  <c:v>1964.92</c:v>
                </c:pt>
                <c:pt idx="6573">
                  <c:v>1969.01</c:v>
                </c:pt>
                <c:pt idx="6574">
                  <c:v>1974.14</c:v>
                </c:pt>
                <c:pt idx="6575">
                  <c:v>1974.14</c:v>
                </c:pt>
                <c:pt idx="6576">
                  <c:v>1997.47</c:v>
                </c:pt>
                <c:pt idx="6577">
                  <c:v>1997.47</c:v>
                </c:pt>
                <c:pt idx="6578">
                  <c:v>1997.47</c:v>
                </c:pt>
                <c:pt idx="6579">
                  <c:v>1998.45</c:v>
                </c:pt>
                <c:pt idx="6580">
                  <c:v>1990.29</c:v>
                </c:pt>
                <c:pt idx="6581">
                  <c:v>1990.8</c:v>
                </c:pt>
                <c:pt idx="6582">
                  <c:v>1989.94</c:v>
                </c:pt>
                <c:pt idx="6583">
                  <c:v>2003.94</c:v>
                </c:pt>
                <c:pt idx="6584">
                  <c:v>2003.94</c:v>
                </c:pt>
                <c:pt idx="6585">
                  <c:v>2003.94</c:v>
                </c:pt>
                <c:pt idx="6586">
                  <c:v>2009.45</c:v>
                </c:pt>
                <c:pt idx="6587">
                  <c:v>2009.45</c:v>
                </c:pt>
                <c:pt idx="6588">
                  <c:v>2016.73</c:v>
                </c:pt>
                <c:pt idx="6589">
                  <c:v>2016.17</c:v>
                </c:pt>
                <c:pt idx="6590">
                  <c:v>2000.54</c:v>
                </c:pt>
                <c:pt idx="6591">
                  <c:v>2000.54</c:v>
                </c:pt>
                <c:pt idx="6592">
                  <c:v>2000.54</c:v>
                </c:pt>
                <c:pt idx="6593">
                  <c:v>1992.1</c:v>
                </c:pt>
                <c:pt idx="6594">
                  <c:v>2001.86</c:v>
                </c:pt>
                <c:pt idx="6595">
                  <c:v>2005.09</c:v>
                </c:pt>
                <c:pt idx="6596">
                  <c:v>2015.74</c:v>
                </c:pt>
                <c:pt idx="6597">
                  <c:v>2025.85</c:v>
                </c:pt>
                <c:pt idx="6598">
                  <c:v>2025.85</c:v>
                </c:pt>
                <c:pt idx="6599">
                  <c:v>2025.85</c:v>
                </c:pt>
                <c:pt idx="6600">
                  <c:v>2030.17</c:v>
                </c:pt>
                <c:pt idx="6601">
                  <c:v>2054.1</c:v>
                </c:pt>
                <c:pt idx="6602">
                  <c:v>2045.07</c:v>
                </c:pt>
                <c:pt idx="6603">
                  <c:v>2043.41</c:v>
                </c:pt>
                <c:pt idx="6604">
                  <c:v>2043.41</c:v>
                </c:pt>
                <c:pt idx="6605">
                  <c:v>2043.41</c:v>
                </c:pt>
                <c:pt idx="6606">
                  <c:v>2043.41</c:v>
                </c:pt>
                <c:pt idx="6607">
                  <c:v>2037.92</c:v>
                </c:pt>
                <c:pt idx="6608">
                  <c:v>2046.2</c:v>
                </c:pt>
                <c:pt idx="6609">
                  <c:v>2044.23</c:v>
                </c:pt>
                <c:pt idx="6610">
                  <c:v>2044.23</c:v>
                </c:pt>
                <c:pt idx="6611">
                  <c:v>2044.23</c:v>
                </c:pt>
                <c:pt idx="6612">
                  <c:v>2044.23</c:v>
                </c:pt>
                <c:pt idx="6613">
                  <c:v>2044.23</c:v>
                </c:pt>
                <c:pt idx="6614">
                  <c:v>2021.21</c:v>
                </c:pt>
                <c:pt idx="6615">
                  <c:v>1992.78</c:v>
                </c:pt>
                <c:pt idx="6616">
                  <c:v>1971.32</c:v>
                </c:pt>
                <c:pt idx="6617">
                  <c:v>1969.08</c:v>
                </c:pt>
                <c:pt idx="6618">
                  <c:v>1968.24</c:v>
                </c:pt>
                <c:pt idx="6619">
                  <c:v>1968.24</c:v>
                </c:pt>
                <c:pt idx="6620">
                  <c:v>1968.24</c:v>
                </c:pt>
                <c:pt idx="6621">
                  <c:v>1968.24</c:v>
                </c:pt>
                <c:pt idx="6622">
                  <c:v>1959.43</c:v>
                </c:pt>
                <c:pt idx="6623">
                  <c:v>1965.81</c:v>
                </c:pt>
                <c:pt idx="6624">
                  <c:v>1974.13</c:v>
                </c:pt>
                <c:pt idx="6625">
                  <c:v>1967.4</c:v>
                </c:pt>
                <c:pt idx="6626">
                  <c:v>1967.4</c:v>
                </c:pt>
                <c:pt idx="6627">
                  <c:v>1967.4</c:v>
                </c:pt>
                <c:pt idx="6628">
                  <c:v>1967.4</c:v>
                </c:pt>
                <c:pt idx="6629">
                  <c:v>1957.82</c:v>
                </c:pt>
                <c:pt idx="6630">
                  <c:v>1964.18</c:v>
                </c:pt>
                <c:pt idx="6631">
                  <c:v>1967.08</c:v>
                </c:pt>
                <c:pt idx="6632">
                  <c:v>1981.96</c:v>
                </c:pt>
                <c:pt idx="6633">
                  <c:v>1981.96</c:v>
                </c:pt>
                <c:pt idx="6634">
                  <c:v>1981.96</c:v>
                </c:pt>
                <c:pt idx="6635">
                  <c:v>1961.97</c:v>
                </c:pt>
                <c:pt idx="6636">
                  <c:v>1972.22</c:v>
                </c:pt>
                <c:pt idx="6637">
                  <c:v>1988.05</c:v>
                </c:pt>
                <c:pt idx="6638">
                  <c:v>1991.21</c:v>
                </c:pt>
                <c:pt idx="6639">
                  <c:v>1982.29</c:v>
                </c:pt>
                <c:pt idx="6640">
                  <c:v>1982.29</c:v>
                </c:pt>
                <c:pt idx="6641">
                  <c:v>1982.29</c:v>
                </c:pt>
                <c:pt idx="6642">
                  <c:v>1972.6</c:v>
                </c:pt>
                <c:pt idx="6643">
                  <c:v>1959.93</c:v>
                </c:pt>
                <c:pt idx="6644">
                  <c:v>1966.02</c:v>
                </c:pt>
                <c:pt idx="6645">
                  <c:v>1984.16</c:v>
                </c:pt>
                <c:pt idx="6646">
                  <c:v>1997.13</c:v>
                </c:pt>
                <c:pt idx="6647">
                  <c:v>1997.13</c:v>
                </c:pt>
                <c:pt idx="6648">
                  <c:v>1997.13</c:v>
                </c:pt>
                <c:pt idx="6649">
                  <c:v>2003.76</c:v>
                </c:pt>
                <c:pt idx="6650">
                  <c:v>1981.4</c:v>
                </c:pt>
                <c:pt idx="6651">
                  <c:v>1965.03</c:v>
                </c:pt>
                <c:pt idx="6652">
                  <c:v>1943.6</c:v>
                </c:pt>
                <c:pt idx="6653">
                  <c:v>1936.9</c:v>
                </c:pt>
                <c:pt idx="6654">
                  <c:v>1936.9</c:v>
                </c:pt>
                <c:pt idx="6655">
                  <c:v>1936.9</c:v>
                </c:pt>
                <c:pt idx="6656">
                  <c:v>1936.9</c:v>
                </c:pt>
                <c:pt idx="6657">
                  <c:v>1925.79</c:v>
                </c:pt>
                <c:pt idx="6658">
                  <c:v>1928.79</c:v>
                </c:pt>
                <c:pt idx="6659">
                  <c:v>1930.94</c:v>
                </c:pt>
                <c:pt idx="6660">
                  <c:v>1928.86</c:v>
                </c:pt>
                <c:pt idx="6661">
                  <c:v>1928.86</c:v>
                </c:pt>
                <c:pt idx="6662">
                  <c:v>1928.86</c:v>
                </c:pt>
                <c:pt idx="6663">
                  <c:v>1914.87</c:v>
                </c:pt>
                <c:pt idx="6664">
                  <c:v>1924.75</c:v>
                </c:pt>
                <c:pt idx="6665">
                  <c:v>1932.15</c:v>
                </c:pt>
                <c:pt idx="6666">
                  <c:v>1941.98</c:v>
                </c:pt>
                <c:pt idx="6667">
                  <c:v>1932.32</c:v>
                </c:pt>
                <c:pt idx="6668">
                  <c:v>1932.32</c:v>
                </c:pt>
                <c:pt idx="6669">
                  <c:v>1932.32</c:v>
                </c:pt>
                <c:pt idx="6670">
                  <c:v>1913.86</c:v>
                </c:pt>
                <c:pt idx="6671">
                  <c:v>1895.86</c:v>
                </c:pt>
                <c:pt idx="6672">
                  <c:v>1916.41</c:v>
                </c:pt>
                <c:pt idx="6673">
                  <c:v>1928.33</c:v>
                </c:pt>
                <c:pt idx="6674">
                  <c:v>1902.31</c:v>
                </c:pt>
                <c:pt idx="6675">
                  <c:v>1902.31</c:v>
                </c:pt>
                <c:pt idx="6676">
                  <c:v>1902.31</c:v>
                </c:pt>
                <c:pt idx="6677">
                  <c:v>1894.44</c:v>
                </c:pt>
                <c:pt idx="6678">
                  <c:v>1894.3</c:v>
                </c:pt>
                <c:pt idx="6679">
                  <c:v>1888.05</c:v>
                </c:pt>
                <c:pt idx="6680">
                  <c:v>1894.79</c:v>
                </c:pt>
                <c:pt idx="6681">
                  <c:v>1892.99</c:v>
                </c:pt>
                <c:pt idx="6682">
                  <c:v>1892.99</c:v>
                </c:pt>
                <c:pt idx="6683">
                  <c:v>1892.99</c:v>
                </c:pt>
                <c:pt idx="6684">
                  <c:v>1899.75</c:v>
                </c:pt>
                <c:pt idx="6685">
                  <c:v>1896.15</c:v>
                </c:pt>
                <c:pt idx="6686">
                  <c:v>1893.42</c:v>
                </c:pt>
                <c:pt idx="6687">
                  <c:v>1900.55</c:v>
                </c:pt>
                <c:pt idx="6688">
                  <c:v>1907.06</c:v>
                </c:pt>
                <c:pt idx="6689">
                  <c:v>1907.06</c:v>
                </c:pt>
                <c:pt idx="6690">
                  <c:v>1907.06</c:v>
                </c:pt>
                <c:pt idx="6691">
                  <c:v>1907.06</c:v>
                </c:pt>
                <c:pt idx="6692">
                  <c:v>1907.06</c:v>
                </c:pt>
                <c:pt idx="6693">
                  <c:v>1923.41</c:v>
                </c:pt>
                <c:pt idx="6694">
                  <c:v>1922.91</c:v>
                </c:pt>
                <c:pt idx="6695">
                  <c:v>1933.4</c:v>
                </c:pt>
                <c:pt idx="6696">
                  <c:v>1933.4</c:v>
                </c:pt>
                <c:pt idx="6697">
                  <c:v>1933.4</c:v>
                </c:pt>
                <c:pt idx="6698">
                  <c:v>1934.21</c:v>
                </c:pt>
                <c:pt idx="6699">
                  <c:v>1928.59</c:v>
                </c:pt>
                <c:pt idx="6700">
                  <c:v>1921.88</c:v>
                </c:pt>
                <c:pt idx="6701">
                  <c:v>1921.88</c:v>
                </c:pt>
                <c:pt idx="6702">
                  <c:v>1921.88</c:v>
                </c:pt>
                <c:pt idx="6703">
                  <c:v>1921.88</c:v>
                </c:pt>
                <c:pt idx="6704">
                  <c:v>1921.88</c:v>
                </c:pt>
                <c:pt idx="6705">
                  <c:v>1911.78</c:v>
                </c:pt>
                <c:pt idx="6706">
                  <c:v>1911.07</c:v>
                </c:pt>
                <c:pt idx="6707">
                  <c:v>1920.53</c:v>
                </c:pt>
                <c:pt idx="6708">
                  <c:v>1931.91</c:v>
                </c:pt>
                <c:pt idx="6709">
                  <c:v>1921.32</c:v>
                </c:pt>
                <c:pt idx="6710">
                  <c:v>1921.32</c:v>
                </c:pt>
                <c:pt idx="6711">
                  <c:v>1921.32</c:v>
                </c:pt>
                <c:pt idx="6712">
                  <c:v>1926.16</c:v>
                </c:pt>
                <c:pt idx="6713">
                  <c:v>1936.22</c:v>
                </c:pt>
                <c:pt idx="6714">
                  <c:v>1938.24</c:v>
                </c:pt>
                <c:pt idx="6715">
                  <c:v>1943.83</c:v>
                </c:pt>
                <c:pt idx="6716">
                  <c:v>1942.21</c:v>
                </c:pt>
                <c:pt idx="6717">
                  <c:v>1942.21</c:v>
                </c:pt>
                <c:pt idx="6718">
                  <c:v>1942.21</c:v>
                </c:pt>
                <c:pt idx="6719">
                  <c:v>1951.04</c:v>
                </c:pt>
                <c:pt idx="6720">
                  <c:v>1947.69</c:v>
                </c:pt>
                <c:pt idx="6721">
                  <c:v>1948.47</c:v>
                </c:pt>
                <c:pt idx="6722">
                  <c:v>1955.84</c:v>
                </c:pt>
                <c:pt idx="6723">
                  <c:v>1950.89</c:v>
                </c:pt>
                <c:pt idx="6724">
                  <c:v>1950.89</c:v>
                </c:pt>
                <c:pt idx="6725">
                  <c:v>1950.89</c:v>
                </c:pt>
                <c:pt idx="6726">
                  <c:v>1943.41</c:v>
                </c:pt>
                <c:pt idx="6727">
                  <c:v>1961.82</c:v>
                </c:pt>
                <c:pt idx="6728">
                  <c:v>1973.05</c:v>
                </c:pt>
                <c:pt idx="6729">
                  <c:v>1969.75</c:v>
                </c:pt>
                <c:pt idx="6730">
                  <c:v>1950.44</c:v>
                </c:pt>
                <c:pt idx="6731">
                  <c:v>1950.44</c:v>
                </c:pt>
                <c:pt idx="6732">
                  <c:v>1950.44</c:v>
                </c:pt>
                <c:pt idx="6733">
                  <c:v>1973.42</c:v>
                </c:pt>
                <c:pt idx="6734">
                  <c:v>1988.47</c:v>
                </c:pt>
                <c:pt idx="6735">
                  <c:v>2003.37</c:v>
                </c:pt>
                <c:pt idx="6736">
                  <c:v>2010.13</c:v>
                </c:pt>
                <c:pt idx="6737">
                  <c:v>2029.54</c:v>
                </c:pt>
                <c:pt idx="6738">
                  <c:v>2029.54</c:v>
                </c:pt>
                <c:pt idx="6739">
                  <c:v>2029.54</c:v>
                </c:pt>
                <c:pt idx="6740">
                  <c:v>1988.32</c:v>
                </c:pt>
                <c:pt idx="6741">
                  <c:v>1980.5</c:v>
                </c:pt>
                <c:pt idx="6742">
                  <c:v>1966.36</c:v>
                </c:pt>
                <c:pt idx="6743">
                  <c:v>1959.62</c:v>
                </c:pt>
                <c:pt idx="6744">
                  <c:v>1968.1</c:v>
                </c:pt>
                <c:pt idx="6745">
                  <c:v>1968.1</c:v>
                </c:pt>
                <c:pt idx="6746">
                  <c:v>1968.1</c:v>
                </c:pt>
                <c:pt idx="6747">
                  <c:v>1968.1</c:v>
                </c:pt>
                <c:pt idx="6748">
                  <c:v>1976.46</c:v>
                </c:pt>
                <c:pt idx="6749">
                  <c:v>1997.09</c:v>
                </c:pt>
                <c:pt idx="6750">
                  <c:v>2017.68</c:v>
                </c:pt>
                <c:pt idx="6751">
                  <c:v>1998.42</c:v>
                </c:pt>
                <c:pt idx="6752">
                  <c:v>1998.42</c:v>
                </c:pt>
                <c:pt idx="6753">
                  <c:v>1998.42</c:v>
                </c:pt>
                <c:pt idx="6754">
                  <c:v>1975.01</c:v>
                </c:pt>
                <c:pt idx="6755">
                  <c:v>1989.51</c:v>
                </c:pt>
                <c:pt idx="6756">
                  <c:v>1976.4</c:v>
                </c:pt>
                <c:pt idx="6757">
                  <c:v>1966.8</c:v>
                </c:pt>
                <c:pt idx="6758">
                  <c:v>1971.55</c:v>
                </c:pt>
                <c:pt idx="6759">
                  <c:v>1971.55</c:v>
                </c:pt>
                <c:pt idx="6760">
                  <c:v>1971.55</c:v>
                </c:pt>
                <c:pt idx="6761">
                  <c:v>1971.55</c:v>
                </c:pt>
                <c:pt idx="6762">
                  <c:v>1971.45</c:v>
                </c:pt>
                <c:pt idx="6763">
                  <c:v>1963.36</c:v>
                </c:pt>
                <c:pt idx="6764">
                  <c:v>1961.47</c:v>
                </c:pt>
                <c:pt idx="6765">
                  <c:v>1965.83</c:v>
                </c:pt>
                <c:pt idx="6766">
                  <c:v>1965.83</c:v>
                </c:pt>
                <c:pt idx="6767">
                  <c:v>1965.83</c:v>
                </c:pt>
                <c:pt idx="6768">
                  <c:v>1965.83</c:v>
                </c:pt>
                <c:pt idx="6769">
                  <c:v>1960.5</c:v>
                </c:pt>
                <c:pt idx="6770">
                  <c:v>1943.41</c:v>
                </c:pt>
                <c:pt idx="6771">
                  <c:v>1928.83</c:v>
                </c:pt>
                <c:pt idx="6772">
                  <c:v>1925.35</c:v>
                </c:pt>
                <c:pt idx="6773">
                  <c:v>1925.35</c:v>
                </c:pt>
                <c:pt idx="6774">
                  <c:v>1925.35</c:v>
                </c:pt>
                <c:pt idx="6775">
                  <c:v>1925.35</c:v>
                </c:pt>
                <c:pt idx="6776">
                  <c:v>1917.82</c:v>
                </c:pt>
                <c:pt idx="6777">
                  <c:v>1912.29</c:v>
                </c:pt>
                <c:pt idx="6778">
                  <c:v>1902.78</c:v>
                </c:pt>
                <c:pt idx="6779">
                  <c:v>1906.61</c:v>
                </c:pt>
                <c:pt idx="6780">
                  <c:v>1906.61</c:v>
                </c:pt>
                <c:pt idx="6781">
                  <c:v>1906.61</c:v>
                </c:pt>
                <c:pt idx="6782">
                  <c:v>1889.51</c:v>
                </c:pt>
                <c:pt idx="6783">
                  <c:v>1886.05</c:v>
                </c:pt>
                <c:pt idx="6784">
                  <c:v>1895.75</c:v>
                </c:pt>
                <c:pt idx="6785">
                  <c:v>1896.87</c:v>
                </c:pt>
                <c:pt idx="6786">
                  <c:v>1900.36</c:v>
                </c:pt>
                <c:pt idx="6787">
                  <c:v>1900.36</c:v>
                </c:pt>
                <c:pt idx="6788">
                  <c:v>1900.36</c:v>
                </c:pt>
                <c:pt idx="6789">
                  <c:v>1901.65</c:v>
                </c:pt>
                <c:pt idx="6790">
                  <c:v>1916.46</c:v>
                </c:pt>
                <c:pt idx="6791">
                  <c:v>1913.15</c:v>
                </c:pt>
                <c:pt idx="6792">
                  <c:v>1897.33</c:v>
                </c:pt>
                <c:pt idx="6793">
                  <c:v>1884.31</c:v>
                </c:pt>
                <c:pt idx="6794">
                  <c:v>1884.31</c:v>
                </c:pt>
                <c:pt idx="6795">
                  <c:v>1884.31</c:v>
                </c:pt>
                <c:pt idx="6796">
                  <c:v>1884.31</c:v>
                </c:pt>
                <c:pt idx="6797">
                  <c:v>1882.47</c:v>
                </c:pt>
                <c:pt idx="6798">
                  <c:v>1901.38</c:v>
                </c:pt>
                <c:pt idx="6799">
                  <c:v>1889.61</c:v>
                </c:pt>
                <c:pt idx="6800">
                  <c:v>1877.66</c:v>
                </c:pt>
                <c:pt idx="6801">
                  <c:v>1877.66</c:v>
                </c:pt>
                <c:pt idx="6802">
                  <c:v>1877.66</c:v>
                </c:pt>
                <c:pt idx="6803">
                  <c:v>1877.2</c:v>
                </c:pt>
                <c:pt idx="6804">
                  <c:v>1871.19</c:v>
                </c:pt>
                <c:pt idx="6805">
                  <c:v>1873.87</c:v>
                </c:pt>
                <c:pt idx="6806">
                  <c:v>1871.96</c:v>
                </c:pt>
                <c:pt idx="6807">
                  <c:v>1878.77</c:v>
                </c:pt>
                <c:pt idx="6808">
                  <c:v>1878.77</c:v>
                </c:pt>
                <c:pt idx="6809">
                  <c:v>1878.77</c:v>
                </c:pt>
                <c:pt idx="6810">
                  <c:v>1872.92</c:v>
                </c:pt>
                <c:pt idx="6811">
                  <c:v>1872.92</c:v>
                </c:pt>
                <c:pt idx="6812">
                  <c:v>1867.07</c:v>
                </c:pt>
                <c:pt idx="6813">
                  <c:v>1864.04</c:v>
                </c:pt>
                <c:pt idx="6814">
                  <c:v>1867.47</c:v>
                </c:pt>
                <c:pt idx="6815">
                  <c:v>1867.47</c:v>
                </c:pt>
                <c:pt idx="6816">
                  <c:v>1867.47</c:v>
                </c:pt>
                <c:pt idx="6817">
                  <c:v>1859.5</c:v>
                </c:pt>
                <c:pt idx="6818">
                  <c:v>1852.83</c:v>
                </c:pt>
                <c:pt idx="6819">
                  <c:v>1846.23</c:v>
                </c:pt>
                <c:pt idx="6820">
                  <c:v>1841.35</c:v>
                </c:pt>
                <c:pt idx="6821">
                  <c:v>1842.79</c:v>
                </c:pt>
                <c:pt idx="6822">
                  <c:v>1842.79</c:v>
                </c:pt>
                <c:pt idx="6823">
                  <c:v>1842.79</c:v>
                </c:pt>
                <c:pt idx="6824">
                  <c:v>1832.45</c:v>
                </c:pt>
                <c:pt idx="6825">
                  <c:v>1834.58</c:v>
                </c:pt>
                <c:pt idx="6826">
                  <c:v>1824.52</c:v>
                </c:pt>
                <c:pt idx="6827">
                  <c:v>1818.5</c:v>
                </c:pt>
                <c:pt idx="6828">
                  <c:v>1815.46</c:v>
                </c:pt>
                <c:pt idx="6829">
                  <c:v>1815.46</c:v>
                </c:pt>
                <c:pt idx="6830">
                  <c:v>1815.46</c:v>
                </c:pt>
                <c:pt idx="6831">
                  <c:v>1808.93</c:v>
                </c:pt>
                <c:pt idx="6832">
                  <c:v>1810.12</c:v>
                </c:pt>
                <c:pt idx="6833">
                  <c:v>1807.55</c:v>
                </c:pt>
                <c:pt idx="6834">
                  <c:v>1812.2</c:v>
                </c:pt>
                <c:pt idx="6835">
                  <c:v>1835.32</c:v>
                </c:pt>
                <c:pt idx="6836">
                  <c:v>1835.32</c:v>
                </c:pt>
                <c:pt idx="6837">
                  <c:v>1835.32</c:v>
                </c:pt>
                <c:pt idx="6838">
                  <c:v>1835.32</c:v>
                </c:pt>
                <c:pt idx="6839">
                  <c:v>1810.75</c:v>
                </c:pt>
                <c:pt idx="6840">
                  <c:v>1808.14</c:v>
                </c:pt>
                <c:pt idx="6841">
                  <c:v>1819.13</c:v>
                </c:pt>
                <c:pt idx="6842">
                  <c:v>1820.93</c:v>
                </c:pt>
                <c:pt idx="6843">
                  <c:v>1820.93</c:v>
                </c:pt>
                <c:pt idx="6844">
                  <c:v>1820.93</c:v>
                </c:pt>
                <c:pt idx="6845">
                  <c:v>1806.93</c:v>
                </c:pt>
                <c:pt idx="6846">
                  <c:v>1818.86</c:v>
                </c:pt>
                <c:pt idx="6847">
                  <c:v>1820.29</c:v>
                </c:pt>
                <c:pt idx="6848">
                  <c:v>1811.46</c:v>
                </c:pt>
                <c:pt idx="6849">
                  <c:v>1817.68</c:v>
                </c:pt>
                <c:pt idx="6850">
                  <c:v>1817.68</c:v>
                </c:pt>
                <c:pt idx="6851">
                  <c:v>1817.68</c:v>
                </c:pt>
                <c:pt idx="6852">
                  <c:v>1823.74</c:v>
                </c:pt>
                <c:pt idx="6853">
                  <c:v>1826.31</c:v>
                </c:pt>
                <c:pt idx="6854">
                  <c:v>1815.09</c:v>
                </c:pt>
                <c:pt idx="6855">
                  <c:v>1810.65</c:v>
                </c:pt>
                <c:pt idx="6856">
                  <c:v>1807.73</c:v>
                </c:pt>
                <c:pt idx="6857">
                  <c:v>1807.73</c:v>
                </c:pt>
                <c:pt idx="6858">
                  <c:v>1807.73</c:v>
                </c:pt>
                <c:pt idx="6859">
                  <c:v>1807.73</c:v>
                </c:pt>
                <c:pt idx="6860">
                  <c:v>1808.65</c:v>
                </c:pt>
                <c:pt idx="6861">
                  <c:v>1803</c:v>
                </c:pt>
                <c:pt idx="6862">
                  <c:v>1802.54</c:v>
                </c:pt>
                <c:pt idx="6863">
                  <c:v>1801.04</c:v>
                </c:pt>
                <c:pt idx="6864">
                  <c:v>1801.04</c:v>
                </c:pt>
                <c:pt idx="6865">
                  <c:v>1801.04</c:v>
                </c:pt>
                <c:pt idx="6866">
                  <c:v>1793.28</c:v>
                </c:pt>
                <c:pt idx="6867">
                  <c:v>1788.05</c:v>
                </c:pt>
                <c:pt idx="6868">
                  <c:v>1806.78</c:v>
                </c:pt>
                <c:pt idx="6869">
                  <c:v>1811.55</c:v>
                </c:pt>
                <c:pt idx="6870">
                  <c:v>1806.76</c:v>
                </c:pt>
                <c:pt idx="6871">
                  <c:v>1806.76</c:v>
                </c:pt>
                <c:pt idx="6872">
                  <c:v>1806.76</c:v>
                </c:pt>
                <c:pt idx="6873">
                  <c:v>1798.73</c:v>
                </c:pt>
                <c:pt idx="6874">
                  <c:v>1805.31</c:v>
                </c:pt>
                <c:pt idx="6875">
                  <c:v>1803.71</c:v>
                </c:pt>
                <c:pt idx="6876">
                  <c:v>1810.72</c:v>
                </c:pt>
                <c:pt idx="6877">
                  <c:v>1809.46</c:v>
                </c:pt>
                <c:pt idx="6878">
                  <c:v>1809.46</c:v>
                </c:pt>
                <c:pt idx="6879">
                  <c:v>1809.46</c:v>
                </c:pt>
                <c:pt idx="6880">
                  <c:v>1802.15</c:v>
                </c:pt>
                <c:pt idx="6881">
                  <c:v>1804.06</c:v>
                </c:pt>
                <c:pt idx="6882">
                  <c:v>1799.89</c:v>
                </c:pt>
                <c:pt idx="6883">
                  <c:v>1801.01</c:v>
                </c:pt>
                <c:pt idx="6884">
                  <c:v>1795.93</c:v>
                </c:pt>
                <c:pt idx="6885">
                  <c:v>1795.93</c:v>
                </c:pt>
                <c:pt idx="6886">
                  <c:v>1795.93</c:v>
                </c:pt>
                <c:pt idx="6887">
                  <c:v>1802.09</c:v>
                </c:pt>
                <c:pt idx="6888">
                  <c:v>1802.43</c:v>
                </c:pt>
                <c:pt idx="6889">
                  <c:v>1796.29</c:v>
                </c:pt>
                <c:pt idx="6890">
                  <c:v>1786.2</c:v>
                </c:pt>
                <c:pt idx="6891">
                  <c:v>1786.37</c:v>
                </c:pt>
                <c:pt idx="6892">
                  <c:v>1786.37</c:v>
                </c:pt>
                <c:pt idx="6893">
                  <c:v>1786.37</c:v>
                </c:pt>
                <c:pt idx="6894">
                  <c:v>1786.37</c:v>
                </c:pt>
                <c:pt idx="6895">
                  <c:v>1786.77</c:v>
                </c:pt>
                <c:pt idx="6896">
                  <c:v>1791.56</c:v>
                </c:pt>
                <c:pt idx="6897">
                  <c:v>1801.2</c:v>
                </c:pt>
                <c:pt idx="6898">
                  <c:v>1807.88</c:v>
                </c:pt>
                <c:pt idx="6899">
                  <c:v>1807.88</c:v>
                </c:pt>
                <c:pt idx="6900">
                  <c:v>1807.88</c:v>
                </c:pt>
                <c:pt idx="6901">
                  <c:v>1807.88</c:v>
                </c:pt>
                <c:pt idx="6902">
                  <c:v>1817.45</c:v>
                </c:pt>
                <c:pt idx="6903">
                  <c:v>1812.6</c:v>
                </c:pt>
                <c:pt idx="6904">
                  <c:v>1816.28</c:v>
                </c:pt>
                <c:pt idx="6905">
                  <c:v>1823.05</c:v>
                </c:pt>
                <c:pt idx="6906">
                  <c:v>1823.05</c:v>
                </c:pt>
                <c:pt idx="6907">
                  <c:v>1823.05</c:v>
                </c:pt>
                <c:pt idx="6908">
                  <c:v>1830.96</c:v>
                </c:pt>
                <c:pt idx="6909">
                  <c:v>1838.45</c:v>
                </c:pt>
                <c:pt idx="6910">
                  <c:v>1846.41</c:v>
                </c:pt>
                <c:pt idx="6911">
                  <c:v>1839.9</c:v>
                </c:pt>
                <c:pt idx="6912">
                  <c:v>1831.64</c:v>
                </c:pt>
                <c:pt idx="6913">
                  <c:v>1831.64</c:v>
                </c:pt>
                <c:pt idx="6914">
                  <c:v>1831.64</c:v>
                </c:pt>
                <c:pt idx="6915">
                  <c:v>1831.64</c:v>
                </c:pt>
                <c:pt idx="6916">
                  <c:v>1845.51</c:v>
                </c:pt>
                <c:pt idx="6917">
                  <c:v>1840.51</c:v>
                </c:pt>
                <c:pt idx="6918">
                  <c:v>1821.05</c:v>
                </c:pt>
                <c:pt idx="6919">
                  <c:v>1817.7</c:v>
                </c:pt>
                <c:pt idx="6920">
                  <c:v>1817.7</c:v>
                </c:pt>
                <c:pt idx="6921">
                  <c:v>1817.7</c:v>
                </c:pt>
                <c:pt idx="6922">
                  <c:v>1828.28</c:v>
                </c:pt>
                <c:pt idx="6923">
                  <c:v>1836.27</c:v>
                </c:pt>
                <c:pt idx="6924">
                  <c:v>1858.01</c:v>
                </c:pt>
                <c:pt idx="6925">
                  <c:v>1858.01</c:v>
                </c:pt>
                <c:pt idx="6926">
                  <c:v>1861.74</c:v>
                </c:pt>
                <c:pt idx="6927">
                  <c:v>1861.74</c:v>
                </c:pt>
                <c:pt idx="6928">
                  <c:v>1861.74</c:v>
                </c:pt>
                <c:pt idx="6929">
                  <c:v>1861.74</c:v>
                </c:pt>
                <c:pt idx="6930">
                  <c:v>1880.98</c:v>
                </c:pt>
                <c:pt idx="6931">
                  <c:v>1875.78</c:v>
                </c:pt>
                <c:pt idx="6932">
                  <c:v>1865.82</c:v>
                </c:pt>
                <c:pt idx="6933">
                  <c:v>1875.39</c:v>
                </c:pt>
                <c:pt idx="6934">
                  <c:v>1875.39</c:v>
                </c:pt>
                <c:pt idx="6935">
                  <c:v>1875.39</c:v>
                </c:pt>
                <c:pt idx="6936">
                  <c:v>1882</c:v>
                </c:pt>
                <c:pt idx="6937">
                  <c:v>1892.84</c:v>
                </c:pt>
                <c:pt idx="6938">
                  <c:v>1889.11</c:v>
                </c:pt>
                <c:pt idx="6939">
                  <c:v>1889.11</c:v>
                </c:pt>
                <c:pt idx="6940">
                  <c:v>1906.69</c:v>
                </c:pt>
                <c:pt idx="6941">
                  <c:v>1906.69</c:v>
                </c:pt>
                <c:pt idx="6942">
                  <c:v>1906.69</c:v>
                </c:pt>
                <c:pt idx="6943">
                  <c:v>1916.96</c:v>
                </c:pt>
                <c:pt idx="6944">
                  <c:v>1932.63</c:v>
                </c:pt>
                <c:pt idx="6945">
                  <c:v>1933.58</c:v>
                </c:pt>
                <c:pt idx="6946">
                  <c:v>1920</c:v>
                </c:pt>
                <c:pt idx="6947">
                  <c:v>1896.73</c:v>
                </c:pt>
                <c:pt idx="6948">
                  <c:v>1896.73</c:v>
                </c:pt>
                <c:pt idx="6949">
                  <c:v>1896.73</c:v>
                </c:pt>
                <c:pt idx="6950">
                  <c:v>1889.75</c:v>
                </c:pt>
                <c:pt idx="6951">
                  <c:v>1880.82</c:v>
                </c:pt>
                <c:pt idx="6952">
                  <c:v>1880.82</c:v>
                </c:pt>
                <c:pt idx="6953">
                  <c:v>1902.72</c:v>
                </c:pt>
                <c:pt idx="6954">
                  <c:v>1911.87</c:v>
                </c:pt>
                <c:pt idx="6955">
                  <c:v>1911.87</c:v>
                </c:pt>
                <c:pt idx="6956">
                  <c:v>1911.87</c:v>
                </c:pt>
                <c:pt idx="6957">
                  <c:v>1894.12</c:v>
                </c:pt>
                <c:pt idx="6958">
                  <c:v>1899.89</c:v>
                </c:pt>
                <c:pt idx="6959">
                  <c:v>1905.84</c:v>
                </c:pt>
                <c:pt idx="6960">
                  <c:v>1916.09</c:v>
                </c:pt>
                <c:pt idx="6961">
                  <c:v>1923.13</c:v>
                </c:pt>
                <c:pt idx="6962">
                  <c:v>1923.13</c:v>
                </c:pt>
                <c:pt idx="6963">
                  <c:v>1923.13</c:v>
                </c:pt>
                <c:pt idx="6964">
                  <c:v>1928.71</c:v>
                </c:pt>
                <c:pt idx="6965">
                  <c:v>1934.96</c:v>
                </c:pt>
                <c:pt idx="6966">
                  <c:v>1934.44</c:v>
                </c:pt>
                <c:pt idx="6967">
                  <c:v>1928.33</c:v>
                </c:pt>
                <c:pt idx="6968">
                  <c:v>1939.54</c:v>
                </c:pt>
                <c:pt idx="6969">
                  <c:v>1939.54</c:v>
                </c:pt>
                <c:pt idx="6970">
                  <c:v>1939.54</c:v>
                </c:pt>
                <c:pt idx="6971">
                  <c:v>1964.57</c:v>
                </c:pt>
                <c:pt idx="6972">
                  <c:v>2027.33</c:v>
                </c:pt>
                <c:pt idx="6973">
                  <c:v>1989.88</c:v>
                </c:pt>
                <c:pt idx="6974">
                  <c:v>1913.98</c:v>
                </c:pt>
                <c:pt idx="6975">
                  <c:v>1913.98</c:v>
                </c:pt>
                <c:pt idx="6976">
                  <c:v>1913.98</c:v>
                </c:pt>
                <c:pt idx="6977">
                  <c:v>1913.98</c:v>
                </c:pt>
                <c:pt idx="6978">
                  <c:v>1902.71</c:v>
                </c:pt>
                <c:pt idx="6979">
                  <c:v>1899.86</c:v>
                </c:pt>
                <c:pt idx="6980">
                  <c:v>1894.82</c:v>
                </c:pt>
                <c:pt idx="6981">
                  <c:v>1869.94</c:v>
                </c:pt>
                <c:pt idx="6982">
                  <c:v>1859.97</c:v>
                </c:pt>
                <c:pt idx="6983">
                  <c:v>1859.97</c:v>
                </c:pt>
                <c:pt idx="6984">
                  <c:v>1859.97</c:v>
                </c:pt>
                <c:pt idx="6985">
                  <c:v>1859.97</c:v>
                </c:pt>
                <c:pt idx="6986">
                  <c:v>1856.79</c:v>
                </c:pt>
                <c:pt idx="6987">
                  <c:v>1855.46</c:v>
                </c:pt>
                <c:pt idx="6988">
                  <c:v>1864.36</c:v>
                </c:pt>
                <c:pt idx="6989">
                  <c:v>1872.46</c:v>
                </c:pt>
                <c:pt idx="6990">
                  <c:v>1872.46</c:v>
                </c:pt>
                <c:pt idx="6991">
                  <c:v>1872.46</c:v>
                </c:pt>
                <c:pt idx="6992">
                  <c:v>1872.46</c:v>
                </c:pt>
                <c:pt idx="6993">
                  <c:v>1864.64</c:v>
                </c:pt>
                <c:pt idx="6994">
                  <c:v>1841.9</c:v>
                </c:pt>
                <c:pt idx="6995">
                  <c:v>1849.59</c:v>
                </c:pt>
                <c:pt idx="6996">
                  <c:v>1838.94</c:v>
                </c:pt>
                <c:pt idx="6997">
                  <c:v>1838.94</c:v>
                </c:pt>
                <c:pt idx="6998">
                  <c:v>1838.94</c:v>
                </c:pt>
                <c:pt idx="6999">
                  <c:v>1842.43</c:v>
                </c:pt>
                <c:pt idx="7000">
                  <c:v>1853.71</c:v>
                </c:pt>
                <c:pt idx="7001">
                  <c:v>1862.05</c:v>
                </c:pt>
                <c:pt idx="7002">
                  <c:v>1858.7</c:v>
                </c:pt>
                <c:pt idx="7003">
                  <c:v>1857.98</c:v>
                </c:pt>
                <c:pt idx="7004">
                  <c:v>1857.98</c:v>
                </c:pt>
                <c:pt idx="7005">
                  <c:v>1857.98</c:v>
                </c:pt>
                <c:pt idx="7006">
                  <c:v>1867.82</c:v>
                </c:pt>
                <c:pt idx="7007">
                  <c:v>1853.33</c:v>
                </c:pt>
                <c:pt idx="7008">
                  <c:v>1852.67</c:v>
                </c:pt>
                <c:pt idx="7009">
                  <c:v>1863.03</c:v>
                </c:pt>
                <c:pt idx="7010">
                  <c:v>1872.01</c:v>
                </c:pt>
                <c:pt idx="7011">
                  <c:v>1872.01</c:v>
                </c:pt>
                <c:pt idx="7012">
                  <c:v>1872.01</c:v>
                </c:pt>
                <c:pt idx="7013">
                  <c:v>1871.81</c:v>
                </c:pt>
                <c:pt idx="7014">
                  <c:v>1875.32</c:v>
                </c:pt>
                <c:pt idx="7015">
                  <c:v>1891.54</c:v>
                </c:pt>
                <c:pt idx="7016">
                  <c:v>1889.1</c:v>
                </c:pt>
                <c:pt idx="7017">
                  <c:v>1880.37</c:v>
                </c:pt>
                <c:pt idx="7018">
                  <c:v>1880.37</c:v>
                </c:pt>
                <c:pt idx="7019">
                  <c:v>1880.37</c:v>
                </c:pt>
                <c:pt idx="7020">
                  <c:v>1891.84</c:v>
                </c:pt>
                <c:pt idx="7021">
                  <c:v>1902.01</c:v>
                </c:pt>
                <c:pt idx="7022">
                  <c:v>1907.69</c:v>
                </c:pt>
                <c:pt idx="7023">
                  <c:v>1893.46</c:v>
                </c:pt>
                <c:pt idx="7024">
                  <c:v>1879.15</c:v>
                </c:pt>
                <c:pt idx="7025">
                  <c:v>1879.15</c:v>
                </c:pt>
                <c:pt idx="7026">
                  <c:v>1879.15</c:v>
                </c:pt>
                <c:pt idx="7027">
                  <c:v>1879.15</c:v>
                </c:pt>
                <c:pt idx="7028">
                  <c:v>1889.69</c:v>
                </c:pt>
                <c:pt idx="7029">
                  <c:v>1898.28</c:v>
                </c:pt>
                <c:pt idx="7030">
                  <c:v>1898.39</c:v>
                </c:pt>
                <c:pt idx="7031">
                  <c:v>1895.56</c:v>
                </c:pt>
                <c:pt idx="7032">
                  <c:v>1895.56</c:v>
                </c:pt>
                <c:pt idx="7033">
                  <c:v>1895.56</c:v>
                </c:pt>
                <c:pt idx="7034">
                  <c:v>1907.37</c:v>
                </c:pt>
                <c:pt idx="7035">
                  <c:v>1913.21</c:v>
                </c:pt>
                <c:pt idx="7036">
                  <c:v>1916.05</c:v>
                </c:pt>
                <c:pt idx="7037">
                  <c:v>1904.73</c:v>
                </c:pt>
                <c:pt idx="7038">
                  <c:v>1890.23</c:v>
                </c:pt>
                <c:pt idx="7039">
                  <c:v>1890.23</c:v>
                </c:pt>
                <c:pt idx="7040">
                  <c:v>1890.23</c:v>
                </c:pt>
                <c:pt idx="7041">
                  <c:v>1893.17</c:v>
                </c:pt>
                <c:pt idx="7042">
                  <c:v>1889.85</c:v>
                </c:pt>
                <c:pt idx="7043">
                  <c:v>1879.49</c:v>
                </c:pt>
                <c:pt idx="7044">
                  <c:v>1871.97</c:v>
                </c:pt>
                <c:pt idx="7045">
                  <c:v>1866.2</c:v>
                </c:pt>
                <c:pt idx="7046">
                  <c:v>1866.2</c:v>
                </c:pt>
                <c:pt idx="7047">
                  <c:v>1866.2</c:v>
                </c:pt>
                <c:pt idx="7048">
                  <c:v>1876.29</c:v>
                </c:pt>
                <c:pt idx="7049">
                  <c:v>1887.67</c:v>
                </c:pt>
                <c:pt idx="7050">
                  <c:v>1892.62</c:v>
                </c:pt>
                <c:pt idx="7051">
                  <c:v>1876.78</c:v>
                </c:pt>
                <c:pt idx="7052">
                  <c:v>1874.79</c:v>
                </c:pt>
                <c:pt idx="7053">
                  <c:v>1874.79</c:v>
                </c:pt>
                <c:pt idx="7054">
                  <c:v>1874.79</c:v>
                </c:pt>
                <c:pt idx="7055">
                  <c:v>1874.79</c:v>
                </c:pt>
                <c:pt idx="7056">
                  <c:v>1866.34</c:v>
                </c:pt>
                <c:pt idx="7057">
                  <c:v>1867.74</c:v>
                </c:pt>
                <c:pt idx="7058">
                  <c:v>1865.11</c:v>
                </c:pt>
                <c:pt idx="7059">
                  <c:v>1871.37</c:v>
                </c:pt>
                <c:pt idx="7060">
                  <c:v>1871.37</c:v>
                </c:pt>
                <c:pt idx="7061">
                  <c:v>1871.37</c:v>
                </c:pt>
                <c:pt idx="7062">
                  <c:v>1877.84</c:v>
                </c:pt>
                <c:pt idx="7063">
                  <c:v>1888</c:v>
                </c:pt>
                <c:pt idx="7064">
                  <c:v>1879.47</c:v>
                </c:pt>
                <c:pt idx="7065">
                  <c:v>1870.6</c:v>
                </c:pt>
                <c:pt idx="7066">
                  <c:v>1858.95</c:v>
                </c:pt>
                <c:pt idx="7067">
                  <c:v>1858.95</c:v>
                </c:pt>
                <c:pt idx="7068">
                  <c:v>1858.95</c:v>
                </c:pt>
                <c:pt idx="7069">
                  <c:v>1846.78</c:v>
                </c:pt>
                <c:pt idx="7070">
                  <c:v>1838.29</c:v>
                </c:pt>
                <c:pt idx="7071">
                  <c:v>1826.97</c:v>
                </c:pt>
                <c:pt idx="7072">
                  <c:v>1825.09</c:v>
                </c:pt>
                <c:pt idx="7073">
                  <c:v>1817.35</c:v>
                </c:pt>
                <c:pt idx="7074">
                  <c:v>1817.35</c:v>
                </c:pt>
                <c:pt idx="7075">
                  <c:v>1817.35</c:v>
                </c:pt>
                <c:pt idx="7076">
                  <c:v>1815.79</c:v>
                </c:pt>
                <c:pt idx="7077">
                  <c:v>1818.14</c:v>
                </c:pt>
                <c:pt idx="7078">
                  <c:v>1818.91</c:v>
                </c:pt>
                <c:pt idx="7079">
                  <c:v>1811.1</c:v>
                </c:pt>
                <c:pt idx="7080">
                  <c:v>1800.63</c:v>
                </c:pt>
                <c:pt idx="7081">
                  <c:v>1800.63</c:v>
                </c:pt>
                <c:pt idx="7082">
                  <c:v>1800.63</c:v>
                </c:pt>
                <c:pt idx="7083">
                  <c:v>1799.79</c:v>
                </c:pt>
                <c:pt idx="7084">
                  <c:v>1790.54</c:v>
                </c:pt>
                <c:pt idx="7085">
                  <c:v>1782.59</c:v>
                </c:pt>
                <c:pt idx="7086">
                  <c:v>1782.59</c:v>
                </c:pt>
                <c:pt idx="7087">
                  <c:v>1782.59</c:v>
                </c:pt>
                <c:pt idx="7088">
                  <c:v>1782.59</c:v>
                </c:pt>
                <c:pt idx="7089">
                  <c:v>1782.59</c:v>
                </c:pt>
                <c:pt idx="7090">
                  <c:v>1781.56</c:v>
                </c:pt>
                <c:pt idx="7091">
                  <c:v>1787.88</c:v>
                </c:pt>
                <c:pt idx="7092">
                  <c:v>1784.11</c:v>
                </c:pt>
                <c:pt idx="7093">
                  <c:v>1767.54</c:v>
                </c:pt>
                <c:pt idx="7094">
                  <c:v>1768.19</c:v>
                </c:pt>
                <c:pt idx="7095">
                  <c:v>1768.19</c:v>
                </c:pt>
                <c:pt idx="7096">
                  <c:v>1768.19</c:v>
                </c:pt>
                <c:pt idx="7097">
                  <c:v>1768.37</c:v>
                </c:pt>
                <c:pt idx="7098">
                  <c:v>1767.05</c:v>
                </c:pt>
                <c:pt idx="7099">
                  <c:v>1763.45</c:v>
                </c:pt>
                <c:pt idx="7100">
                  <c:v>1769.46</c:v>
                </c:pt>
                <c:pt idx="7101">
                  <c:v>1763.12</c:v>
                </c:pt>
                <c:pt idx="7102">
                  <c:v>1763.12</c:v>
                </c:pt>
                <c:pt idx="7103">
                  <c:v>1763.12</c:v>
                </c:pt>
                <c:pt idx="7104">
                  <c:v>1779.7</c:v>
                </c:pt>
                <c:pt idx="7105">
                  <c:v>1791.72</c:v>
                </c:pt>
                <c:pt idx="7106">
                  <c:v>1798.66</c:v>
                </c:pt>
                <c:pt idx="7107">
                  <c:v>1807.86</c:v>
                </c:pt>
                <c:pt idx="7108">
                  <c:v>1805.37</c:v>
                </c:pt>
                <c:pt idx="7109">
                  <c:v>1805.37</c:v>
                </c:pt>
                <c:pt idx="7110">
                  <c:v>1805.37</c:v>
                </c:pt>
                <c:pt idx="7111">
                  <c:v>1814.98</c:v>
                </c:pt>
                <c:pt idx="7112">
                  <c:v>1826.03</c:v>
                </c:pt>
                <c:pt idx="7113">
                  <c:v>1824.62</c:v>
                </c:pt>
                <c:pt idx="7114">
                  <c:v>1814.99</c:v>
                </c:pt>
                <c:pt idx="7115">
                  <c:v>1819.86</c:v>
                </c:pt>
                <c:pt idx="7116">
                  <c:v>1819.86</c:v>
                </c:pt>
                <c:pt idx="7117">
                  <c:v>1819.86</c:v>
                </c:pt>
                <c:pt idx="7118">
                  <c:v>1828.12</c:v>
                </c:pt>
                <c:pt idx="7119">
                  <c:v>1828.64</c:v>
                </c:pt>
                <c:pt idx="7120">
                  <c:v>1831.58</c:v>
                </c:pt>
                <c:pt idx="7121">
                  <c:v>1829.75</c:v>
                </c:pt>
                <c:pt idx="7122">
                  <c:v>1817.34</c:v>
                </c:pt>
                <c:pt idx="7123">
                  <c:v>1817.34</c:v>
                </c:pt>
                <c:pt idx="7124">
                  <c:v>1817.34</c:v>
                </c:pt>
                <c:pt idx="7125">
                  <c:v>1817.34</c:v>
                </c:pt>
                <c:pt idx="7126">
                  <c:v>1797.83</c:v>
                </c:pt>
                <c:pt idx="7127">
                  <c:v>1789.41</c:v>
                </c:pt>
                <c:pt idx="7128">
                  <c:v>1784.12</c:v>
                </c:pt>
                <c:pt idx="7129">
                  <c:v>1785.05</c:v>
                </c:pt>
                <c:pt idx="7130">
                  <c:v>1785.05</c:v>
                </c:pt>
                <c:pt idx="7131">
                  <c:v>1785.05</c:v>
                </c:pt>
                <c:pt idx="7132">
                  <c:v>1785.05</c:v>
                </c:pt>
                <c:pt idx="7133">
                  <c:v>1770.13</c:v>
                </c:pt>
                <c:pt idx="7134">
                  <c:v>1769.83</c:v>
                </c:pt>
                <c:pt idx="7135">
                  <c:v>1772.59</c:v>
                </c:pt>
                <c:pt idx="7136">
                  <c:v>1774.94</c:v>
                </c:pt>
                <c:pt idx="7137">
                  <c:v>1774.94</c:v>
                </c:pt>
                <c:pt idx="7138">
                  <c:v>1774.94</c:v>
                </c:pt>
                <c:pt idx="7139">
                  <c:v>1777.64</c:v>
                </c:pt>
                <c:pt idx="7140">
                  <c:v>1774.24</c:v>
                </c:pt>
                <c:pt idx="7141">
                  <c:v>1781.4</c:v>
                </c:pt>
                <c:pt idx="7142">
                  <c:v>1793.92</c:v>
                </c:pt>
                <c:pt idx="7143">
                  <c:v>1787.8</c:v>
                </c:pt>
                <c:pt idx="7144">
                  <c:v>1787.8</c:v>
                </c:pt>
                <c:pt idx="7145">
                  <c:v>1787.8</c:v>
                </c:pt>
                <c:pt idx="7146">
                  <c:v>1789.47</c:v>
                </c:pt>
                <c:pt idx="7147">
                  <c:v>1780.48</c:v>
                </c:pt>
                <c:pt idx="7148">
                  <c:v>1779.1</c:v>
                </c:pt>
                <c:pt idx="7149">
                  <c:v>1788.11</c:v>
                </c:pt>
                <c:pt idx="7150">
                  <c:v>1787.8</c:v>
                </c:pt>
                <c:pt idx="7151">
                  <c:v>1787.8</c:v>
                </c:pt>
                <c:pt idx="7152">
                  <c:v>1787.8</c:v>
                </c:pt>
                <c:pt idx="7153">
                  <c:v>1787.8</c:v>
                </c:pt>
                <c:pt idx="7154">
                  <c:v>1786.73</c:v>
                </c:pt>
                <c:pt idx="7155">
                  <c:v>1780.16</c:v>
                </c:pt>
                <c:pt idx="7156">
                  <c:v>1772.32</c:v>
                </c:pt>
                <c:pt idx="7157">
                  <c:v>1762.59</c:v>
                </c:pt>
                <c:pt idx="7158">
                  <c:v>1762.59</c:v>
                </c:pt>
                <c:pt idx="7159">
                  <c:v>1762.59</c:v>
                </c:pt>
                <c:pt idx="7160">
                  <c:v>1762.59</c:v>
                </c:pt>
                <c:pt idx="7161">
                  <c:v>1766.57</c:v>
                </c:pt>
                <c:pt idx="7162">
                  <c:v>1767.47</c:v>
                </c:pt>
                <c:pt idx="7163">
                  <c:v>1759.38</c:v>
                </c:pt>
                <c:pt idx="7164">
                  <c:v>1759.41</c:v>
                </c:pt>
                <c:pt idx="7165">
                  <c:v>1759.41</c:v>
                </c:pt>
                <c:pt idx="7166">
                  <c:v>1759.41</c:v>
                </c:pt>
                <c:pt idx="7167">
                  <c:v>1768.42</c:v>
                </c:pt>
                <c:pt idx="7168">
                  <c:v>1765.32</c:v>
                </c:pt>
                <c:pt idx="7169">
                  <c:v>1758.25</c:v>
                </c:pt>
                <c:pt idx="7170">
                  <c:v>1748.41</c:v>
                </c:pt>
                <c:pt idx="7171">
                  <c:v>1750.9</c:v>
                </c:pt>
                <c:pt idx="7172">
                  <c:v>1750.9</c:v>
                </c:pt>
                <c:pt idx="7173">
                  <c:v>1750.9</c:v>
                </c:pt>
                <c:pt idx="7174">
                  <c:v>1758.99</c:v>
                </c:pt>
                <c:pt idx="7175">
                  <c:v>1757.49</c:v>
                </c:pt>
                <c:pt idx="7176">
                  <c:v>1757.49</c:v>
                </c:pt>
                <c:pt idx="7177">
                  <c:v>1756.38</c:v>
                </c:pt>
                <c:pt idx="7178">
                  <c:v>1757.35</c:v>
                </c:pt>
                <c:pt idx="7179">
                  <c:v>1757.35</c:v>
                </c:pt>
                <c:pt idx="7180">
                  <c:v>1757.35</c:v>
                </c:pt>
                <c:pt idx="7181">
                  <c:v>1768.02</c:v>
                </c:pt>
                <c:pt idx="7182">
                  <c:v>1759.88</c:v>
                </c:pt>
                <c:pt idx="7183">
                  <c:v>1764.89</c:v>
                </c:pt>
                <c:pt idx="7184">
                  <c:v>1771.15</c:v>
                </c:pt>
                <c:pt idx="7185">
                  <c:v>1777.82</c:v>
                </c:pt>
                <c:pt idx="7186">
                  <c:v>1777.82</c:v>
                </c:pt>
                <c:pt idx="7187">
                  <c:v>1777.82</c:v>
                </c:pt>
                <c:pt idx="7188">
                  <c:v>1771.81</c:v>
                </c:pt>
                <c:pt idx="7189">
                  <c:v>1765.53</c:v>
                </c:pt>
                <c:pt idx="7190">
                  <c:v>1772.52</c:v>
                </c:pt>
                <c:pt idx="7191">
                  <c:v>1781.33</c:v>
                </c:pt>
                <c:pt idx="7192">
                  <c:v>1792.68</c:v>
                </c:pt>
                <c:pt idx="7193">
                  <c:v>1792.68</c:v>
                </c:pt>
                <c:pt idx="7194">
                  <c:v>1792.68</c:v>
                </c:pt>
                <c:pt idx="7195">
                  <c:v>1811.18</c:v>
                </c:pt>
                <c:pt idx="7196">
                  <c:v>1811.68</c:v>
                </c:pt>
                <c:pt idx="7197">
                  <c:v>1800.97</c:v>
                </c:pt>
                <c:pt idx="7198">
                  <c:v>1793.47</c:v>
                </c:pt>
                <c:pt idx="7199">
                  <c:v>1783.35</c:v>
                </c:pt>
                <c:pt idx="7200">
                  <c:v>1783.35</c:v>
                </c:pt>
                <c:pt idx="7201">
                  <c:v>1783.35</c:v>
                </c:pt>
                <c:pt idx="7202">
                  <c:v>1783.35</c:v>
                </c:pt>
                <c:pt idx="7203">
                  <c:v>1776.66</c:v>
                </c:pt>
                <c:pt idx="7204">
                  <c:v>1767.29</c:v>
                </c:pt>
                <c:pt idx="7205">
                  <c:v>1775.84</c:v>
                </c:pt>
                <c:pt idx="7206">
                  <c:v>1779.05</c:v>
                </c:pt>
                <c:pt idx="7207">
                  <c:v>1779.05</c:v>
                </c:pt>
                <c:pt idx="7208">
                  <c:v>1779.05</c:v>
                </c:pt>
                <c:pt idx="7209">
                  <c:v>1779.86</c:v>
                </c:pt>
                <c:pt idx="7210">
                  <c:v>1781.91</c:v>
                </c:pt>
                <c:pt idx="7211">
                  <c:v>1791.61</c:v>
                </c:pt>
                <c:pt idx="7212">
                  <c:v>1791.05</c:v>
                </c:pt>
                <c:pt idx="7213">
                  <c:v>1794.02</c:v>
                </c:pt>
                <c:pt idx="7214">
                  <c:v>1794.02</c:v>
                </c:pt>
                <c:pt idx="7215">
                  <c:v>1794.02</c:v>
                </c:pt>
                <c:pt idx="7216">
                  <c:v>1787.52</c:v>
                </c:pt>
                <c:pt idx="7217">
                  <c:v>1783.66</c:v>
                </c:pt>
                <c:pt idx="7218">
                  <c:v>1780.26</c:v>
                </c:pt>
                <c:pt idx="7219">
                  <c:v>1778.51</c:v>
                </c:pt>
                <c:pt idx="7220">
                  <c:v>1782.8</c:v>
                </c:pt>
                <c:pt idx="7221">
                  <c:v>1782.8</c:v>
                </c:pt>
                <c:pt idx="7222">
                  <c:v>1782.8</c:v>
                </c:pt>
                <c:pt idx="7223">
                  <c:v>1782.8</c:v>
                </c:pt>
                <c:pt idx="7224">
                  <c:v>1791.89</c:v>
                </c:pt>
                <c:pt idx="7225">
                  <c:v>1789.3</c:v>
                </c:pt>
                <c:pt idx="7226">
                  <c:v>1789.9</c:v>
                </c:pt>
                <c:pt idx="7227">
                  <c:v>1796.58</c:v>
                </c:pt>
                <c:pt idx="7228">
                  <c:v>1796.58</c:v>
                </c:pt>
                <c:pt idx="7229">
                  <c:v>1796.58</c:v>
                </c:pt>
                <c:pt idx="7230">
                  <c:v>1811.34</c:v>
                </c:pt>
                <c:pt idx="7231">
                  <c:v>1813.42</c:v>
                </c:pt>
                <c:pt idx="7232">
                  <c:v>1824.15</c:v>
                </c:pt>
                <c:pt idx="7233">
                  <c:v>1822.04</c:v>
                </c:pt>
                <c:pt idx="7234">
                  <c:v>1820.29</c:v>
                </c:pt>
                <c:pt idx="7235">
                  <c:v>1820.29</c:v>
                </c:pt>
                <c:pt idx="7236">
                  <c:v>1820.29</c:v>
                </c:pt>
                <c:pt idx="7237">
                  <c:v>1843.26</c:v>
                </c:pt>
                <c:pt idx="7238">
                  <c:v>1854.96</c:v>
                </c:pt>
                <c:pt idx="7239">
                  <c:v>1882.23</c:v>
                </c:pt>
                <c:pt idx="7240">
                  <c:v>1915.63</c:v>
                </c:pt>
                <c:pt idx="7241">
                  <c:v>1902.45</c:v>
                </c:pt>
                <c:pt idx="7242">
                  <c:v>1902.45</c:v>
                </c:pt>
                <c:pt idx="7243">
                  <c:v>1902.45</c:v>
                </c:pt>
                <c:pt idx="7244">
                  <c:v>1903.31</c:v>
                </c:pt>
                <c:pt idx="7245">
                  <c:v>1887.38</c:v>
                </c:pt>
                <c:pt idx="7246">
                  <c:v>1907.75</c:v>
                </c:pt>
                <c:pt idx="7247">
                  <c:v>1915.1</c:v>
                </c:pt>
                <c:pt idx="7248">
                  <c:v>1929.01</c:v>
                </c:pt>
                <c:pt idx="7249">
                  <c:v>1929.01</c:v>
                </c:pt>
                <c:pt idx="7250">
                  <c:v>1929.01</c:v>
                </c:pt>
                <c:pt idx="7251">
                  <c:v>1943.8</c:v>
                </c:pt>
                <c:pt idx="7252">
                  <c:v>1972.76</c:v>
                </c:pt>
                <c:pt idx="7253">
                  <c:v>1967.56</c:v>
                </c:pt>
                <c:pt idx="7254">
                  <c:v>1952.09</c:v>
                </c:pt>
                <c:pt idx="7255">
                  <c:v>1931.64</c:v>
                </c:pt>
                <c:pt idx="7256">
                  <c:v>1931.64</c:v>
                </c:pt>
                <c:pt idx="7257">
                  <c:v>1931.64</c:v>
                </c:pt>
                <c:pt idx="7258">
                  <c:v>1931.64</c:v>
                </c:pt>
                <c:pt idx="7259">
                  <c:v>1913.6</c:v>
                </c:pt>
                <c:pt idx="7260">
                  <c:v>1896.72</c:v>
                </c:pt>
                <c:pt idx="7261">
                  <c:v>1909.12</c:v>
                </c:pt>
                <c:pt idx="7262">
                  <c:v>1895.33</c:v>
                </c:pt>
                <c:pt idx="7263">
                  <c:v>1895.33</c:v>
                </c:pt>
                <c:pt idx="7264">
                  <c:v>1895.33</c:v>
                </c:pt>
                <c:pt idx="7265">
                  <c:v>1895.33</c:v>
                </c:pt>
                <c:pt idx="7266">
                  <c:v>1902.47</c:v>
                </c:pt>
                <c:pt idx="7267">
                  <c:v>1900.1</c:v>
                </c:pt>
                <c:pt idx="7268">
                  <c:v>1905.95</c:v>
                </c:pt>
                <c:pt idx="7269">
                  <c:v>1897.45</c:v>
                </c:pt>
                <c:pt idx="7270">
                  <c:v>1897.45</c:v>
                </c:pt>
                <c:pt idx="7271">
                  <c:v>1897.45</c:v>
                </c:pt>
                <c:pt idx="7272">
                  <c:v>1878.78</c:v>
                </c:pt>
                <c:pt idx="7273">
                  <c:v>1875.55</c:v>
                </c:pt>
                <c:pt idx="7274">
                  <c:v>1878.1</c:v>
                </c:pt>
                <c:pt idx="7275">
                  <c:v>1862.84</c:v>
                </c:pt>
                <c:pt idx="7276">
                  <c:v>1863.06</c:v>
                </c:pt>
                <c:pt idx="7277">
                  <c:v>1863.06</c:v>
                </c:pt>
                <c:pt idx="7278">
                  <c:v>1863.06</c:v>
                </c:pt>
                <c:pt idx="7279">
                  <c:v>1871.49</c:v>
                </c:pt>
                <c:pt idx="7280">
                  <c:v>1891.38</c:v>
                </c:pt>
                <c:pt idx="7281">
                  <c:v>1889.66</c:v>
                </c:pt>
                <c:pt idx="7282">
                  <c:v>1905.38</c:v>
                </c:pt>
                <c:pt idx="7283">
                  <c:v>1915.72</c:v>
                </c:pt>
                <c:pt idx="7284">
                  <c:v>1915.72</c:v>
                </c:pt>
                <c:pt idx="7285">
                  <c:v>1915.72</c:v>
                </c:pt>
                <c:pt idx="7286">
                  <c:v>1915.72</c:v>
                </c:pt>
                <c:pt idx="7287">
                  <c:v>1908.71</c:v>
                </c:pt>
                <c:pt idx="7288">
                  <c:v>1917.69</c:v>
                </c:pt>
                <c:pt idx="7289">
                  <c:v>1913.65</c:v>
                </c:pt>
                <c:pt idx="7290">
                  <c:v>1913.65</c:v>
                </c:pt>
                <c:pt idx="7291">
                  <c:v>1913.65</c:v>
                </c:pt>
                <c:pt idx="7292">
                  <c:v>1913.65</c:v>
                </c:pt>
                <c:pt idx="7293">
                  <c:v>1913.65</c:v>
                </c:pt>
                <c:pt idx="7294">
                  <c:v>1915.41</c:v>
                </c:pt>
                <c:pt idx="7295">
                  <c:v>1912.2</c:v>
                </c:pt>
                <c:pt idx="7296">
                  <c:v>1910.83</c:v>
                </c:pt>
                <c:pt idx="7297">
                  <c:v>1917.45</c:v>
                </c:pt>
                <c:pt idx="7298">
                  <c:v>1917.45</c:v>
                </c:pt>
                <c:pt idx="7299">
                  <c:v>1917.45</c:v>
                </c:pt>
                <c:pt idx="7300">
                  <c:v>1928.47</c:v>
                </c:pt>
                <c:pt idx="7301">
                  <c:v>1925.39</c:v>
                </c:pt>
                <c:pt idx="7302">
                  <c:v>1932.63</c:v>
                </c:pt>
                <c:pt idx="7303">
                  <c:v>1932.63</c:v>
                </c:pt>
                <c:pt idx="7304">
                  <c:v>1948.48</c:v>
                </c:pt>
                <c:pt idx="7305">
                  <c:v>1948.48</c:v>
                </c:pt>
                <c:pt idx="7306">
                  <c:v>1948.48</c:v>
                </c:pt>
                <c:pt idx="7307">
                  <c:v>1946.28</c:v>
                </c:pt>
                <c:pt idx="7308">
                  <c:v>1967.18</c:v>
                </c:pt>
                <c:pt idx="7309">
                  <c:v>1948.51</c:v>
                </c:pt>
                <c:pt idx="7310">
                  <c:v>1949.56</c:v>
                </c:pt>
                <c:pt idx="7311">
                  <c:v>1938.83</c:v>
                </c:pt>
                <c:pt idx="7312">
                  <c:v>1938.83</c:v>
                </c:pt>
                <c:pt idx="7313">
                  <c:v>1938.83</c:v>
                </c:pt>
                <c:pt idx="7314">
                  <c:v>1936.29</c:v>
                </c:pt>
                <c:pt idx="7315">
                  <c:v>1936.11</c:v>
                </c:pt>
                <c:pt idx="7316">
                  <c:v>1930.57</c:v>
                </c:pt>
                <c:pt idx="7317">
                  <c:v>1930.57</c:v>
                </c:pt>
                <c:pt idx="7318">
                  <c:v>1927.1</c:v>
                </c:pt>
                <c:pt idx="7319">
                  <c:v>1927.1</c:v>
                </c:pt>
                <c:pt idx="7320">
                  <c:v>1927.1</c:v>
                </c:pt>
                <c:pt idx="7321">
                  <c:v>1932.3</c:v>
                </c:pt>
                <c:pt idx="7322">
                  <c:v>1929.01</c:v>
                </c:pt>
                <c:pt idx="7323">
                  <c:v>1937.6</c:v>
                </c:pt>
                <c:pt idx="7324">
                  <c:v>1935.96</c:v>
                </c:pt>
                <c:pt idx="7325">
                  <c:v>1935.64</c:v>
                </c:pt>
                <c:pt idx="7326">
                  <c:v>1935.64</c:v>
                </c:pt>
                <c:pt idx="7327">
                  <c:v>1935.64</c:v>
                </c:pt>
                <c:pt idx="7328">
                  <c:v>1939.39</c:v>
                </c:pt>
                <c:pt idx="7329">
                  <c:v>1932.08</c:v>
                </c:pt>
                <c:pt idx="7330">
                  <c:v>1935.72</c:v>
                </c:pt>
                <c:pt idx="7331">
                  <c:v>1927.71</c:v>
                </c:pt>
                <c:pt idx="7332">
                  <c:v>1920.93</c:v>
                </c:pt>
                <c:pt idx="7333">
                  <c:v>1920.93</c:v>
                </c:pt>
                <c:pt idx="7334">
                  <c:v>1920.93</c:v>
                </c:pt>
                <c:pt idx="7335">
                  <c:v>1920.93</c:v>
                </c:pt>
                <c:pt idx="7336">
                  <c:v>1920.16</c:v>
                </c:pt>
                <c:pt idx="7337">
                  <c:v>1938.52</c:v>
                </c:pt>
                <c:pt idx="7338">
                  <c:v>1942.7</c:v>
                </c:pt>
                <c:pt idx="7339">
                  <c:v>1942.7</c:v>
                </c:pt>
                <c:pt idx="7340">
                  <c:v>1942.7</c:v>
                </c:pt>
                <c:pt idx="7341">
                  <c:v>1942.7</c:v>
                </c:pt>
                <c:pt idx="7342">
                  <c:v>1942.7</c:v>
                </c:pt>
                <c:pt idx="7343">
                  <c:v>1915.02</c:v>
                </c:pt>
                <c:pt idx="7344">
                  <c:v>1898.24</c:v>
                </c:pt>
                <c:pt idx="7345">
                  <c:v>1884.44</c:v>
                </c:pt>
                <c:pt idx="7346">
                  <c:v>1884.47</c:v>
                </c:pt>
                <c:pt idx="7347">
                  <c:v>1884.47</c:v>
                </c:pt>
                <c:pt idx="7348">
                  <c:v>1884.47</c:v>
                </c:pt>
                <c:pt idx="7349">
                  <c:v>1884.47</c:v>
                </c:pt>
                <c:pt idx="7350">
                  <c:v>1865.07</c:v>
                </c:pt>
                <c:pt idx="7351">
                  <c:v>1854.17</c:v>
                </c:pt>
                <c:pt idx="7352">
                  <c:v>1842.47</c:v>
                </c:pt>
                <c:pt idx="7353">
                  <c:v>1841.31</c:v>
                </c:pt>
                <c:pt idx="7354">
                  <c:v>1841.31</c:v>
                </c:pt>
                <c:pt idx="7355">
                  <c:v>1841.31</c:v>
                </c:pt>
                <c:pt idx="7356">
                  <c:v>1841.31</c:v>
                </c:pt>
                <c:pt idx="7357">
                  <c:v>1836.34</c:v>
                </c:pt>
                <c:pt idx="7358">
                  <c:v>1827.24</c:v>
                </c:pt>
                <c:pt idx="7359">
                  <c:v>1821.86</c:v>
                </c:pt>
                <c:pt idx="7360">
                  <c:v>1828.75</c:v>
                </c:pt>
                <c:pt idx="7361">
                  <c:v>1828.75</c:v>
                </c:pt>
                <c:pt idx="7362">
                  <c:v>1828.75</c:v>
                </c:pt>
                <c:pt idx="7363">
                  <c:v>1811.55</c:v>
                </c:pt>
                <c:pt idx="7364">
                  <c:v>1814.58</c:v>
                </c:pt>
                <c:pt idx="7365">
                  <c:v>1814.69</c:v>
                </c:pt>
                <c:pt idx="7366">
                  <c:v>1801.88</c:v>
                </c:pt>
                <c:pt idx="7367">
                  <c:v>1810.55</c:v>
                </c:pt>
                <c:pt idx="7368">
                  <c:v>1810.55</c:v>
                </c:pt>
                <c:pt idx="7369">
                  <c:v>1810.55</c:v>
                </c:pt>
                <c:pt idx="7370">
                  <c:v>1815.08</c:v>
                </c:pt>
                <c:pt idx="7371">
                  <c:v>1805.98</c:v>
                </c:pt>
                <c:pt idx="7372">
                  <c:v>1797.68</c:v>
                </c:pt>
                <c:pt idx="7373">
                  <c:v>1795.55</c:v>
                </c:pt>
                <c:pt idx="7374">
                  <c:v>1784.77</c:v>
                </c:pt>
                <c:pt idx="7375">
                  <c:v>1784.77</c:v>
                </c:pt>
                <c:pt idx="7376">
                  <c:v>1784.77</c:v>
                </c:pt>
                <c:pt idx="7377">
                  <c:v>1787.96</c:v>
                </c:pt>
                <c:pt idx="7378">
                  <c:v>1783.34</c:v>
                </c:pt>
                <c:pt idx="7379">
                  <c:v>1778.9</c:v>
                </c:pt>
                <c:pt idx="7380">
                  <c:v>1774.96</c:v>
                </c:pt>
                <c:pt idx="7381">
                  <c:v>1785.59</c:v>
                </c:pt>
                <c:pt idx="7382">
                  <c:v>1785.59</c:v>
                </c:pt>
                <c:pt idx="7383">
                  <c:v>1785.59</c:v>
                </c:pt>
                <c:pt idx="7384">
                  <c:v>1778.12</c:v>
                </c:pt>
                <c:pt idx="7385">
                  <c:v>1785.24</c:v>
                </c:pt>
                <c:pt idx="7386">
                  <c:v>1791.29</c:v>
                </c:pt>
                <c:pt idx="7387">
                  <c:v>1792.92</c:v>
                </c:pt>
                <c:pt idx="7388">
                  <c:v>1779.81</c:v>
                </c:pt>
                <c:pt idx="7389">
                  <c:v>1779.81</c:v>
                </c:pt>
                <c:pt idx="7390">
                  <c:v>1779.81</c:v>
                </c:pt>
                <c:pt idx="7391">
                  <c:v>1779.81</c:v>
                </c:pt>
                <c:pt idx="7392">
                  <c:v>1777.59</c:v>
                </c:pt>
                <c:pt idx="7393">
                  <c:v>1781.57</c:v>
                </c:pt>
                <c:pt idx="7394">
                  <c:v>1776.11</c:v>
                </c:pt>
                <c:pt idx="7395">
                  <c:v>1772.42</c:v>
                </c:pt>
                <c:pt idx="7396">
                  <c:v>1772.42</c:v>
                </c:pt>
                <c:pt idx="7397">
                  <c:v>1772.42</c:v>
                </c:pt>
                <c:pt idx="7398">
                  <c:v>1777.27</c:v>
                </c:pt>
                <c:pt idx="7399">
                  <c:v>1767.83</c:v>
                </c:pt>
                <c:pt idx="7400">
                  <c:v>1766.85</c:v>
                </c:pt>
                <c:pt idx="7401">
                  <c:v>1770.7</c:v>
                </c:pt>
                <c:pt idx="7402">
                  <c:v>1775.69</c:v>
                </c:pt>
                <c:pt idx="7403">
                  <c:v>1775.69</c:v>
                </c:pt>
                <c:pt idx="7404">
                  <c:v>1775.69</c:v>
                </c:pt>
                <c:pt idx="7405">
                  <c:v>1774.03</c:v>
                </c:pt>
                <c:pt idx="7406">
                  <c:v>1779.32</c:v>
                </c:pt>
                <c:pt idx="7407">
                  <c:v>1773.88</c:v>
                </c:pt>
                <c:pt idx="7408">
                  <c:v>1765.06</c:v>
                </c:pt>
                <c:pt idx="7409">
                  <c:v>1762.08</c:v>
                </c:pt>
                <c:pt idx="7410">
                  <c:v>1762.08</c:v>
                </c:pt>
                <c:pt idx="7411">
                  <c:v>1762.08</c:v>
                </c:pt>
                <c:pt idx="7412">
                  <c:v>1766.1</c:v>
                </c:pt>
                <c:pt idx="7413">
                  <c:v>1760.77</c:v>
                </c:pt>
                <c:pt idx="7414">
                  <c:v>1761.04</c:v>
                </c:pt>
                <c:pt idx="7415">
                  <c:v>1761.02</c:v>
                </c:pt>
                <c:pt idx="7416">
                  <c:v>1758.38</c:v>
                </c:pt>
                <c:pt idx="7417">
                  <c:v>1758.38</c:v>
                </c:pt>
                <c:pt idx="7418">
                  <c:v>1758.38</c:v>
                </c:pt>
                <c:pt idx="7419">
                  <c:v>1758.38</c:v>
                </c:pt>
                <c:pt idx="7420">
                  <c:v>1759.78</c:v>
                </c:pt>
                <c:pt idx="7421">
                  <c:v>1758.03</c:v>
                </c:pt>
                <c:pt idx="7422">
                  <c:v>1761.87</c:v>
                </c:pt>
                <c:pt idx="7423">
                  <c:v>1760.17</c:v>
                </c:pt>
                <c:pt idx="7424">
                  <c:v>1760.17</c:v>
                </c:pt>
                <c:pt idx="7425">
                  <c:v>1760.17</c:v>
                </c:pt>
                <c:pt idx="7426">
                  <c:v>1759.58</c:v>
                </c:pt>
                <c:pt idx="7427">
                  <c:v>1762.93</c:v>
                </c:pt>
                <c:pt idx="7428">
                  <c:v>1771.25</c:v>
                </c:pt>
                <c:pt idx="7429">
                  <c:v>1784.66</c:v>
                </c:pt>
                <c:pt idx="7430">
                  <c:v>1792.07</c:v>
                </c:pt>
                <c:pt idx="7431">
                  <c:v>1792.07</c:v>
                </c:pt>
                <c:pt idx="7432">
                  <c:v>1792.07</c:v>
                </c:pt>
                <c:pt idx="7433">
                  <c:v>1779.13</c:v>
                </c:pt>
                <c:pt idx="7434">
                  <c:v>1767.84</c:v>
                </c:pt>
                <c:pt idx="7435">
                  <c:v>1772.58</c:v>
                </c:pt>
                <c:pt idx="7436">
                  <c:v>1772.58</c:v>
                </c:pt>
                <c:pt idx="7437">
                  <c:v>1772.58</c:v>
                </c:pt>
                <c:pt idx="7438">
                  <c:v>1772.58</c:v>
                </c:pt>
                <c:pt idx="7439">
                  <c:v>1772.58</c:v>
                </c:pt>
                <c:pt idx="7440">
                  <c:v>1779.53</c:v>
                </c:pt>
                <c:pt idx="7441">
                  <c:v>1793.3</c:v>
                </c:pt>
                <c:pt idx="7442">
                  <c:v>1787.66</c:v>
                </c:pt>
                <c:pt idx="7443">
                  <c:v>1778.78</c:v>
                </c:pt>
                <c:pt idx="7444">
                  <c:v>1777.12</c:v>
                </c:pt>
                <c:pt idx="7445">
                  <c:v>1777.12</c:v>
                </c:pt>
                <c:pt idx="7446">
                  <c:v>1777.12</c:v>
                </c:pt>
                <c:pt idx="7447">
                  <c:v>1775.67</c:v>
                </c:pt>
                <c:pt idx="7448">
                  <c:v>1769.07</c:v>
                </c:pt>
                <c:pt idx="7449">
                  <c:v>1774.21</c:v>
                </c:pt>
                <c:pt idx="7450">
                  <c:v>1776.06</c:v>
                </c:pt>
                <c:pt idx="7451">
                  <c:v>1771.13</c:v>
                </c:pt>
                <c:pt idx="7452">
                  <c:v>1771.13</c:v>
                </c:pt>
                <c:pt idx="7453">
                  <c:v>1771.13</c:v>
                </c:pt>
                <c:pt idx="7454">
                  <c:v>1774.44</c:v>
                </c:pt>
                <c:pt idx="7455">
                  <c:v>1767.91</c:v>
                </c:pt>
                <c:pt idx="7456">
                  <c:v>1763.85</c:v>
                </c:pt>
                <c:pt idx="7457">
                  <c:v>1764.63</c:v>
                </c:pt>
                <c:pt idx="7458">
                  <c:v>1761.2</c:v>
                </c:pt>
                <c:pt idx="7459">
                  <c:v>1761.2</c:v>
                </c:pt>
                <c:pt idx="7460">
                  <c:v>1761.2</c:v>
                </c:pt>
                <c:pt idx="7461">
                  <c:v>1764</c:v>
                </c:pt>
                <c:pt idx="7462">
                  <c:v>1764</c:v>
                </c:pt>
                <c:pt idx="7463">
                  <c:v>1760.12</c:v>
                </c:pt>
                <c:pt idx="7464">
                  <c:v>1754.89</c:v>
                </c:pt>
                <c:pt idx="7465">
                  <c:v>1757.24</c:v>
                </c:pt>
                <c:pt idx="7466">
                  <c:v>1757.24</c:v>
                </c:pt>
                <c:pt idx="7467">
                  <c:v>1757.24</c:v>
                </c:pt>
                <c:pt idx="7468">
                  <c:v>1759.12</c:v>
                </c:pt>
                <c:pt idx="7469">
                  <c:v>1760.6</c:v>
                </c:pt>
                <c:pt idx="7470">
                  <c:v>1775.96</c:v>
                </c:pt>
                <c:pt idx="7471">
                  <c:v>1765</c:v>
                </c:pt>
                <c:pt idx="7472">
                  <c:v>1764.69</c:v>
                </c:pt>
                <c:pt idx="7473">
                  <c:v>1764.69</c:v>
                </c:pt>
                <c:pt idx="7474">
                  <c:v>1764.69</c:v>
                </c:pt>
                <c:pt idx="7475">
                  <c:v>1771.6</c:v>
                </c:pt>
                <c:pt idx="7476">
                  <c:v>1778.37</c:v>
                </c:pt>
                <c:pt idx="7477">
                  <c:v>1793.61</c:v>
                </c:pt>
                <c:pt idx="7478">
                  <c:v>1804.92</c:v>
                </c:pt>
                <c:pt idx="7479">
                  <c:v>1814.46</c:v>
                </c:pt>
                <c:pt idx="7480">
                  <c:v>1814.46</c:v>
                </c:pt>
                <c:pt idx="7481">
                  <c:v>1814.46</c:v>
                </c:pt>
                <c:pt idx="7482">
                  <c:v>1814.46</c:v>
                </c:pt>
                <c:pt idx="7483">
                  <c:v>1824.73</c:v>
                </c:pt>
                <c:pt idx="7484">
                  <c:v>1845.17</c:v>
                </c:pt>
                <c:pt idx="7485">
                  <c:v>1836.45</c:v>
                </c:pt>
                <c:pt idx="7486">
                  <c:v>1840.69</c:v>
                </c:pt>
                <c:pt idx="7487">
                  <c:v>1840.69</c:v>
                </c:pt>
                <c:pt idx="7488">
                  <c:v>1840.69</c:v>
                </c:pt>
                <c:pt idx="7489">
                  <c:v>1840.69</c:v>
                </c:pt>
                <c:pt idx="7490">
                  <c:v>1818.82</c:v>
                </c:pt>
                <c:pt idx="7491">
                  <c:v>1827.83</c:v>
                </c:pt>
                <c:pt idx="7492">
                  <c:v>1833.8</c:v>
                </c:pt>
                <c:pt idx="7493">
                  <c:v>1834.71</c:v>
                </c:pt>
                <c:pt idx="7494">
                  <c:v>1834.71</c:v>
                </c:pt>
                <c:pt idx="7495">
                  <c:v>1834.71</c:v>
                </c:pt>
                <c:pt idx="7496">
                  <c:v>1815.54</c:v>
                </c:pt>
                <c:pt idx="7497">
                  <c:v>1798.85</c:v>
                </c:pt>
                <c:pt idx="7498">
                  <c:v>1782.89</c:v>
                </c:pt>
                <c:pt idx="7499">
                  <c:v>1766.91</c:v>
                </c:pt>
                <c:pt idx="7500">
                  <c:v>1776.26</c:v>
                </c:pt>
                <c:pt idx="7501">
                  <c:v>1776.26</c:v>
                </c:pt>
                <c:pt idx="7502">
                  <c:v>1776.26</c:v>
                </c:pt>
                <c:pt idx="7503">
                  <c:v>1776.26</c:v>
                </c:pt>
                <c:pt idx="7504">
                  <c:v>1776.47</c:v>
                </c:pt>
                <c:pt idx="7505">
                  <c:v>1783.45</c:v>
                </c:pt>
                <c:pt idx="7506">
                  <c:v>1787.63</c:v>
                </c:pt>
                <c:pt idx="7507">
                  <c:v>1786.21</c:v>
                </c:pt>
                <c:pt idx="7508">
                  <c:v>1786.21</c:v>
                </c:pt>
                <c:pt idx="7509">
                  <c:v>1786.21</c:v>
                </c:pt>
                <c:pt idx="7510">
                  <c:v>1786.21</c:v>
                </c:pt>
                <c:pt idx="7511">
                  <c:v>1773.18</c:v>
                </c:pt>
                <c:pt idx="7512">
                  <c:v>1770.38</c:v>
                </c:pt>
                <c:pt idx="7513">
                  <c:v>1775.99</c:v>
                </c:pt>
                <c:pt idx="7514">
                  <c:v>1787.47</c:v>
                </c:pt>
                <c:pt idx="7515">
                  <c:v>1787.47</c:v>
                </c:pt>
                <c:pt idx="7516">
                  <c:v>1787.47</c:v>
                </c:pt>
                <c:pt idx="7517">
                  <c:v>1803.37</c:v>
                </c:pt>
                <c:pt idx="7518">
                  <c:v>1805.14</c:v>
                </c:pt>
                <c:pt idx="7519">
                  <c:v>1796.18</c:v>
                </c:pt>
                <c:pt idx="7520">
                  <c:v>1805.6</c:v>
                </c:pt>
                <c:pt idx="7521">
                  <c:v>1784.6</c:v>
                </c:pt>
                <c:pt idx="7522">
                  <c:v>1784.6</c:v>
                </c:pt>
                <c:pt idx="7523">
                  <c:v>1784.6</c:v>
                </c:pt>
                <c:pt idx="7524">
                  <c:v>1784.6</c:v>
                </c:pt>
                <c:pt idx="7525">
                  <c:v>1771.53</c:v>
                </c:pt>
                <c:pt idx="7526">
                  <c:v>1771.53</c:v>
                </c:pt>
                <c:pt idx="7527">
                  <c:v>1774.37</c:v>
                </c:pt>
                <c:pt idx="7528">
                  <c:v>1785.25</c:v>
                </c:pt>
                <c:pt idx="7529">
                  <c:v>1785.25</c:v>
                </c:pt>
                <c:pt idx="7530">
                  <c:v>1785.25</c:v>
                </c:pt>
                <c:pt idx="7531">
                  <c:v>1790.25</c:v>
                </c:pt>
                <c:pt idx="7532">
                  <c:v>1785.06</c:v>
                </c:pt>
                <c:pt idx="7533">
                  <c:v>1787.72</c:v>
                </c:pt>
                <c:pt idx="7534">
                  <c:v>1790.12</c:v>
                </c:pt>
                <c:pt idx="7535">
                  <c:v>1780.21</c:v>
                </c:pt>
                <c:pt idx="7536">
                  <c:v>1780.21</c:v>
                </c:pt>
                <c:pt idx="7537">
                  <c:v>1780.21</c:v>
                </c:pt>
                <c:pt idx="7538">
                  <c:v>1778.42</c:v>
                </c:pt>
                <c:pt idx="7539">
                  <c:v>1778.97</c:v>
                </c:pt>
                <c:pt idx="7540">
                  <c:v>1778.28</c:v>
                </c:pt>
                <c:pt idx="7541">
                  <c:v>1775.8</c:v>
                </c:pt>
                <c:pt idx="7542">
                  <c:v>1775.8</c:v>
                </c:pt>
                <c:pt idx="7543">
                  <c:v>1775.8</c:v>
                </c:pt>
                <c:pt idx="7544">
                  <c:v>1775.8</c:v>
                </c:pt>
                <c:pt idx="7545">
                  <c:v>1790.39</c:v>
                </c:pt>
                <c:pt idx="7546">
                  <c:v>1797.33</c:v>
                </c:pt>
                <c:pt idx="7547">
                  <c:v>1799.48</c:v>
                </c:pt>
                <c:pt idx="7548">
                  <c:v>1789.22</c:v>
                </c:pt>
                <c:pt idx="7549">
                  <c:v>1791.12</c:v>
                </c:pt>
                <c:pt idx="7550">
                  <c:v>1791.12</c:v>
                </c:pt>
                <c:pt idx="7551">
                  <c:v>1791.12</c:v>
                </c:pt>
                <c:pt idx="7552">
                  <c:v>1789.02</c:v>
                </c:pt>
                <c:pt idx="7553">
                  <c:v>1790.74</c:v>
                </c:pt>
                <c:pt idx="7554">
                  <c:v>1787.51</c:v>
                </c:pt>
                <c:pt idx="7555">
                  <c:v>1790.97</c:v>
                </c:pt>
                <c:pt idx="7556">
                  <c:v>1786.06</c:v>
                </c:pt>
                <c:pt idx="7557">
                  <c:v>1786.06</c:v>
                </c:pt>
                <c:pt idx="7558">
                  <c:v>1786.06</c:v>
                </c:pt>
                <c:pt idx="7559">
                  <c:v>1785.29</c:v>
                </c:pt>
                <c:pt idx="7560">
                  <c:v>1785.29</c:v>
                </c:pt>
                <c:pt idx="7561">
                  <c:v>1788.03</c:v>
                </c:pt>
                <c:pt idx="7562">
                  <c:v>1788.08</c:v>
                </c:pt>
                <c:pt idx="7563">
                  <c:v>1791.61</c:v>
                </c:pt>
                <c:pt idx="7564">
                  <c:v>1791.61</c:v>
                </c:pt>
                <c:pt idx="7565">
                  <c:v>1791.61</c:v>
                </c:pt>
                <c:pt idx="7566">
                  <c:v>1792.86</c:v>
                </c:pt>
                <c:pt idx="7567">
                  <c:v>1800.81</c:v>
                </c:pt>
                <c:pt idx="7568">
                  <c:v>1817.18</c:v>
                </c:pt>
                <c:pt idx="7569">
                  <c:v>1825.52</c:v>
                </c:pt>
                <c:pt idx="7570">
                  <c:v>1822.59</c:v>
                </c:pt>
                <c:pt idx="7571">
                  <c:v>1822.59</c:v>
                </c:pt>
                <c:pt idx="7572">
                  <c:v>1822.59</c:v>
                </c:pt>
                <c:pt idx="7573">
                  <c:v>1822.59</c:v>
                </c:pt>
                <c:pt idx="7574">
                  <c:v>1815.8</c:v>
                </c:pt>
                <c:pt idx="7575">
                  <c:v>1812.88</c:v>
                </c:pt>
                <c:pt idx="7576">
                  <c:v>1808.33</c:v>
                </c:pt>
                <c:pt idx="7577">
                  <c:v>1814.83</c:v>
                </c:pt>
                <c:pt idx="7578">
                  <c:v>1814.83</c:v>
                </c:pt>
                <c:pt idx="7579">
                  <c:v>1814.83</c:v>
                </c:pt>
                <c:pt idx="7580">
                  <c:v>1821.44</c:v>
                </c:pt>
                <c:pt idx="7581">
                  <c:v>1828.99</c:v>
                </c:pt>
                <c:pt idx="7582">
                  <c:v>1833.14</c:v>
                </c:pt>
                <c:pt idx="7583">
                  <c:v>1830.5</c:v>
                </c:pt>
                <c:pt idx="7584">
                  <c:v>1825.21</c:v>
                </c:pt>
                <c:pt idx="7585">
                  <c:v>1825.21</c:v>
                </c:pt>
                <c:pt idx="7586">
                  <c:v>1825.21</c:v>
                </c:pt>
                <c:pt idx="7587">
                  <c:v>1825.21</c:v>
                </c:pt>
                <c:pt idx="7588">
                  <c:v>1824.81</c:v>
                </c:pt>
                <c:pt idx="7589">
                  <c:v>1814.06</c:v>
                </c:pt>
                <c:pt idx="7590">
                  <c:v>1804.09</c:v>
                </c:pt>
                <c:pt idx="7591">
                  <c:v>1797.35</c:v>
                </c:pt>
                <c:pt idx="7592">
                  <c:v>1797.35</c:v>
                </c:pt>
                <c:pt idx="7593">
                  <c:v>1797.35</c:v>
                </c:pt>
                <c:pt idx="7594">
                  <c:v>1802.23</c:v>
                </c:pt>
                <c:pt idx="7595">
                  <c:v>1795.4</c:v>
                </c:pt>
                <c:pt idx="7596">
                  <c:v>1802.22</c:v>
                </c:pt>
                <c:pt idx="7597">
                  <c:v>1799.57</c:v>
                </c:pt>
                <c:pt idx="7598">
                  <c:v>1789.54</c:v>
                </c:pt>
                <c:pt idx="7599">
                  <c:v>1789.54</c:v>
                </c:pt>
                <c:pt idx="7600">
                  <c:v>1789.54</c:v>
                </c:pt>
                <c:pt idx="7601">
                  <c:v>1799.77</c:v>
                </c:pt>
                <c:pt idx="7602">
                  <c:v>1800.19</c:v>
                </c:pt>
                <c:pt idx="7603">
                  <c:v>1795.66</c:v>
                </c:pt>
                <c:pt idx="7604">
                  <c:v>1798.98</c:v>
                </c:pt>
                <c:pt idx="7605">
                  <c:v>1796.75</c:v>
                </c:pt>
                <c:pt idx="7606">
                  <c:v>1796.75</c:v>
                </c:pt>
                <c:pt idx="7607">
                  <c:v>1796.75</c:v>
                </c:pt>
                <c:pt idx="7608">
                  <c:v>1799.29</c:v>
                </c:pt>
                <c:pt idx="7609">
                  <c:v>1795.69</c:v>
                </c:pt>
                <c:pt idx="7610">
                  <c:v>1799.55</c:v>
                </c:pt>
                <c:pt idx="7611">
                  <c:v>1798.08</c:v>
                </c:pt>
                <c:pt idx="7612">
                  <c:v>1800.52</c:v>
                </c:pt>
                <c:pt idx="7613">
                  <c:v>1800.52</c:v>
                </c:pt>
                <c:pt idx="7614">
                  <c:v>1800.52</c:v>
                </c:pt>
                <c:pt idx="7615">
                  <c:v>1797.97</c:v>
                </c:pt>
                <c:pt idx="7616">
                  <c:v>1798.86</c:v>
                </c:pt>
                <c:pt idx="7617">
                  <c:v>1800.43</c:v>
                </c:pt>
                <c:pt idx="7618">
                  <c:v>1797.68</c:v>
                </c:pt>
                <c:pt idx="7619">
                  <c:v>1795.4</c:v>
                </c:pt>
                <c:pt idx="7620">
                  <c:v>1795.4</c:v>
                </c:pt>
                <c:pt idx="7621">
                  <c:v>1795.4</c:v>
                </c:pt>
                <c:pt idx="7622">
                  <c:v>1795.4</c:v>
                </c:pt>
                <c:pt idx="7623">
                  <c:v>1798.32</c:v>
                </c:pt>
                <c:pt idx="7624">
                  <c:v>1799.78</c:v>
                </c:pt>
                <c:pt idx="7625">
                  <c:v>1797.68</c:v>
                </c:pt>
                <c:pt idx="7626">
                  <c:v>1797.68</c:v>
                </c:pt>
                <c:pt idx="7627">
                  <c:v>1797.68</c:v>
                </c:pt>
                <c:pt idx="7628">
                  <c:v>1797.68</c:v>
                </c:pt>
                <c:pt idx="7629">
                  <c:v>1797.68</c:v>
                </c:pt>
                <c:pt idx="7630">
                  <c:v>1797.81</c:v>
                </c:pt>
                <c:pt idx="7631">
                  <c:v>1798.53</c:v>
                </c:pt>
                <c:pt idx="7632">
                  <c:v>1797.66</c:v>
                </c:pt>
                <c:pt idx="7633">
                  <c:v>1798.42</c:v>
                </c:pt>
                <c:pt idx="7634">
                  <c:v>1798.42</c:v>
                </c:pt>
                <c:pt idx="7635">
                  <c:v>1798.42</c:v>
                </c:pt>
                <c:pt idx="7636">
                  <c:v>1802.91</c:v>
                </c:pt>
                <c:pt idx="7637">
                  <c:v>1816.6</c:v>
                </c:pt>
                <c:pt idx="7638">
                  <c:v>1817.25</c:v>
                </c:pt>
                <c:pt idx="7639">
                  <c:v>1816.97</c:v>
                </c:pt>
                <c:pt idx="7640">
                  <c:v>1823.18</c:v>
                </c:pt>
                <c:pt idx="7641">
                  <c:v>1823.18</c:v>
                </c:pt>
                <c:pt idx="7642">
                  <c:v>1823.18</c:v>
                </c:pt>
                <c:pt idx="7643">
                  <c:v>1830.45</c:v>
                </c:pt>
                <c:pt idx="7644">
                  <c:v>1829.89</c:v>
                </c:pt>
                <c:pt idx="7645">
                  <c:v>1831.25</c:v>
                </c:pt>
                <c:pt idx="7646">
                  <c:v>1825.5</c:v>
                </c:pt>
                <c:pt idx="7647">
                  <c:v>1828.8</c:v>
                </c:pt>
                <c:pt idx="7648">
                  <c:v>1828.8</c:v>
                </c:pt>
                <c:pt idx="7649">
                  <c:v>1828.8</c:v>
                </c:pt>
                <c:pt idx="7650">
                  <c:v>1828.8</c:v>
                </c:pt>
                <c:pt idx="7651">
                  <c:v>1814.99</c:v>
                </c:pt>
                <c:pt idx="7652">
                  <c:v>1814.83</c:v>
                </c:pt>
                <c:pt idx="7653">
                  <c:v>1814.21</c:v>
                </c:pt>
                <c:pt idx="7654">
                  <c:v>1816.99</c:v>
                </c:pt>
                <c:pt idx="7655">
                  <c:v>1816.99</c:v>
                </c:pt>
                <c:pt idx="7656">
                  <c:v>1816.99</c:v>
                </c:pt>
                <c:pt idx="7657">
                  <c:v>1816.99</c:v>
                </c:pt>
                <c:pt idx="7658">
                  <c:v>1819.3</c:v>
                </c:pt>
                <c:pt idx="7659">
                  <c:v>1818.2</c:v>
                </c:pt>
                <c:pt idx="7660">
                  <c:v>1822.61</c:v>
                </c:pt>
                <c:pt idx="7661">
                  <c:v>1823.46</c:v>
                </c:pt>
                <c:pt idx="7662">
                  <c:v>1823.46</c:v>
                </c:pt>
                <c:pt idx="7663">
                  <c:v>1823.46</c:v>
                </c:pt>
                <c:pt idx="7664">
                  <c:v>1817.67</c:v>
                </c:pt>
                <c:pt idx="7665">
                  <c:v>1815.58</c:v>
                </c:pt>
                <c:pt idx="7666">
                  <c:v>1815.76</c:v>
                </c:pt>
                <c:pt idx="7667">
                  <c:v>1815.76</c:v>
                </c:pt>
                <c:pt idx="7668">
                  <c:v>1820.18</c:v>
                </c:pt>
                <c:pt idx="7669">
                  <c:v>1820.18</c:v>
                </c:pt>
                <c:pt idx="7670">
                  <c:v>1820.18</c:v>
                </c:pt>
                <c:pt idx="7671">
                  <c:v>1824.12</c:v>
                </c:pt>
                <c:pt idx="7672">
                  <c:v>1823.54</c:v>
                </c:pt>
                <c:pt idx="7673">
                  <c:v>1825.08</c:v>
                </c:pt>
                <c:pt idx="7674">
                  <c:v>1817.93</c:v>
                </c:pt>
                <c:pt idx="7675">
                  <c:v>1813.72</c:v>
                </c:pt>
                <c:pt idx="7676">
                  <c:v>1813.72</c:v>
                </c:pt>
                <c:pt idx="7677">
                  <c:v>1813.72</c:v>
                </c:pt>
                <c:pt idx="7678">
                  <c:v>1813.73</c:v>
                </c:pt>
                <c:pt idx="7679">
                  <c:v>1813.57</c:v>
                </c:pt>
                <c:pt idx="7680">
                  <c:v>1811.05</c:v>
                </c:pt>
                <c:pt idx="7681">
                  <c:v>1803.69</c:v>
                </c:pt>
                <c:pt idx="7682">
                  <c:v>1797.45</c:v>
                </c:pt>
                <c:pt idx="7683">
                  <c:v>1797.45</c:v>
                </c:pt>
                <c:pt idx="7684">
                  <c:v>1797.45</c:v>
                </c:pt>
                <c:pt idx="7685">
                  <c:v>1799.4</c:v>
                </c:pt>
                <c:pt idx="7686">
                  <c:v>1801.5</c:v>
                </c:pt>
                <c:pt idx="7687">
                  <c:v>1796.31</c:v>
                </c:pt>
                <c:pt idx="7688">
                  <c:v>1795.05</c:v>
                </c:pt>
                <c:pt idx="7689">
                  <c:v>1798.37</c:v>
                </c:pt>
                <c:pt idx="7690">
                  <c:v>1798.37</c:v>
                </c:pt>
                <c:pt idx="7691">
                  <c:v>1798.37</c:v>
                </c:pt>
                <c:pt idx="7692">
                  <c:v>1796.98</c:v>
                </c:pt>
                <c:pt idx="7693">
                  <c:v>1794.14</c:v>
                </c:pt>
                <c:pt idx="7694">
                  <c:v>1790.46</c:v>
                </c:pt>
                <c:pt idx="7695">
                  <c:v>1788.87</c:v>
                </c:pt>
                <c:pt idx="7696">
                  <c:v>1779.79</c:v>
                </c:pt>
                <c:pt idx="7697">
                  <c:v>1779.79</c:v>
                </c:pt>
                <c:pt idx="7698">
                  <c:v>1779.79</c:v>
                </c:pt>
                <c:pt idx="7699">
                  <c:v>1773.44</c:v>
                </c:pt>
                <c:pt idx="7700">
                  <c:v>1773.44</c:v>
                </c:pt>
                <c:pt idx="7701">
                  <c:v>1771.49</c:v>
                </c:pt>
                <c:pt idx="7702">
                  <c:v>1771.54</c:v>
                </c:pt>
                <c:pt idx="7703">
                  <c:v>1768.23</c:v>
                </c:pt>
                <c:pt idx="7704">
                  <c:v>1768.23</c:v>
                </c:pt>
                <c:pt idx="7705">
                  <c:v>1768.23</c:v>
                </c:pt>
                <c:pt idx="7706">
                  <c:v>1768.23</c:v>
                </c:pt>
                <c:pt idx="7707">
                  <c:v>1768.23</c:v>
                </c:pt>
                <c:pt idx="7708">
                  <c:v>1759.97</c:v>
                </c:pt>
                <c:pt idx="7709">
                  <c:v>1760.83</c:v>
                </c:pt>
                <c:pt idx="7710">
                  <c:v>1767.54</c:v>
                </c:pt>
                <c:pt idx="7711">
                  <c:v>1767.54</c:v>
                </c:pt>
                <c:pt idx="7712">
                  <c:v>1767.54</c:v>
                </c:pt>
                <c:pt idx="7713">
                  <c:v>1767.54</c:v>
                </c:pt>
                <c:pt idx="7714">
                  <c:v>1771.31</c:v>
                </c:pt>
                <c:pt idx="7715">
                  <c:v>1767.96</c:v>
                </c:pt>
                <c:pt idx="7716">
                  <c:v>1761.5</c:v>
                </c:pt>
                <c:pt idx="7717">
                  <c:v>1762.38</c:v>
                </c:pt>
                <c:pt idx="7718">
                  <c:v>1762.38</c:v>
                </c:pt>
                <c:pt idx="7719">
                  <c:v>1762.38</c:v>
                </c:pt>
                <c:pt idx="7720">
                  <c:v>1758.45</c:v>
                </c:pt>
                <c:pt idx="7721">
                  <c:v>1769.88</c:v>
                </c:pt>
                <c:pt idx="7722">
                  <c:v>1775.15</c:v>
                </c:pt>
                <c:pt idx="7723">
                  <c:v>1767.78</c:v>
                </c:pt>
                <c:pt idx="7724">
                  <c:v>1767.74</c:v>
                </c:pt>
                <c:pt idx="7725">
                  <c:v>1767.74</c:v>
                </c:pt>
                <c:pt idx="7726">
                  <c:v>1767.74</c:v>
                </c:pt>
                <c:pt idx="7727">
                  <c:v>1767.74</c:v>
                </c:pt>
                <c:pt idx="7728">
                  <c:v>1776.96</c:v>
                </c:pt>
                <c:pt idx="7729">
                  <c:v>1778.69</c:v>
                </c:pt>
                <c:pt idx="7730">
                  <c:v>1779.73</c:v>
                </c:pt>
                <c:pt idx="7731">
                  <c:v>1779.25</c:v>
                </c:pt>
                <c:pt idx="7732">
                  <c:v>1779.25</c:v>
                </c:pt>
                <c:pt idx="7733">
                  <c:v>1779.25</c:v>
                </c:pt>
                <c:pt idx="7734">
                  <c:v>1779.84</c:v>
                </c:pt>
                <c:pt idx="7735">
                  <c:v>1776.09</c:v>
                </c:pt>
                <c:pt idx="7736">
                  <c:v>1773.24</c:v>
                </c:pt>
                <c:pt idx="7737">
                  <c:v>1775.65</c:v>
                </c:pt>
                <c:pt idx="7738">
                  <c:v>1776.2</c:v>
                </c:pt>
                <c:pt idx="7739">
                  <c:v>1776.2</c:v>
                </c:pt>
                <c:pt idx="7740">
                  <c:v>1776.2</c:v>
                </c:pt>
                <c:pt idx="7741">
                  <c:v>1785.92</c:v>
                </c:pt>
                <c:pt idx="7742">
                  <c:v>1789.09</c:v>
                </c:pt>
                <c:pt idx="7743">
                  <c:v>1791.24</c:v>
                </c:pt>
                <c:pt idx="7744">
                  <c:v>1795.21</c:v>
                </c:pt>
                <c:pt idx="7745">
                  <c:v>1790.61</c:v>
                </c:pt>
                <c:pt idx="7746">
                  <c:v>1790.61</c:v>
                </c:pt>
                <c:pt idx="7747">
                  <c:v>1790.61</c:v>
                </c:pt>
                <c:pt idx="7748">
                  <c:v>1784.71</c:v>
                </c:pt>
                <c:pt idx="7749">
                  <c:v>1783.2</c:v>
                </c:pt>
                <c:pt idx="7750">
                  <c:v>1777.72</c:v>
                </c:pt>
                <c:pt idx="7751">
                  <c:v>1783.19</c:v>
                </c:pt>
                <c:pt idx="7752">
                  <c:v>1785.41</c:v>
                </c:pt>
                <c:pt idx="7753">
                  <c:v>1785.41</c:v>
                </c:pt>
                <c:pt idx="7754">
                  <c:v>1785.41</c:v>
                </c:pt>
                <c:pt idx="7755">
                  <c:v>1785.41</c:v>
                </c:pt>
                <c:pt idx="7756">
                  <c:v>1794.63</c:v>
                </c:pt>
                <c:pt idx="7757">
                  <c:v>1791.33</c:v>
                </c:pt>
                <c:pt idx="7758">
                  <c:v>1798.21</c:v>
                </c:pt>
                <c:pt idx="7759">
                  <c:v>1800.7</c:v>
                </c:pt>
                <c:pt idx="7760">
                  <c:v>1800.7</c:v>
                </c:pt>
                <c:pt idx="7761">
                  <c:v>1800.7</c:v>
                </c:pt>
                <c:pt idx="7762">
                  <c:v>1806.11</c:v>
                </c:pt>
                <c:pt idx="7763">
                  <c:v>1818.54</c:v>
                </c:pt>
                <c:pt idx="7764">
                  <c:v>1816.42</c:v>
                </c:pt>
                <c:pt idx="7765">
                  <c:v>1814.28</c:v>
                </c:pt>
                <c:pt idx="7766">
                  <c:v>1816.48</c:v>
                </c:pt>
                <c:pt idx="7767">
                  <c:v>1816.48</c:v>
                </c:pt>
                <c:pt idx="7768">
                  <c:v>1816.48</c:v>
                </c:pt>
                <c:pt idx="7769">
                  <c:v>1813.53</c:v>
                </c:pt>
                <c:pt idx="7770">
                  <c:v>1809.65</c:v>
                </c:pt>
                <c:pt idx="7771">
                  <c:v>1808</c:v>
                </c:pt>
                <c:pt idx="7772">
                  <c:v>1803.65</c:v>
                </c:pt>
                <c:pt idx="7773">
                  <c:v>1800.45</c:v>
                </c:pt>
                <c:pt idx="7774">
                  <c:v>1800.45</c:v>
                </c:pt>
                <c:pt idx="7775">
                  <c:v>1800.45</c:v>
                </c:pt>
                <c:pt idx="7776">
                  <c:v>1801.2</c:v>
                </c:pt>
                <c:pt idx="7777">
                  <c:v>1801.64</c:v>
                </c:pt>
                <c:pt idx="7778">
                  <c:v>1798.56</c:v>
                </c:pt>
                <c:pt idx="7779">
                  <c:v>1797.28</c:v>
                </c:pt>
                <c:pt idx="7780">
                  <c:v>1804.06</c:v>
                </c:pt>
                <c:pt idx="7781">
                  <c:v>1804.06</c:v>
                </c:pt>
                <c:pt idx="7782">
                  <c:v>1804.06</c:v>
                </c:pt>
                <c:pt idx="7783">
                  <c:v>1809.58</c:v>
                </c:pt>
                <c:pt idx="7784">
                  <c:v>1809.83</c:v>
                </c:pt>
                <c:pt idx="7785">
                  <c:v>1812.35</c:v>
                </c:pt>
                <c:pt idx="7786">
                  <c:v>1822.78</c:v>
                </c:pt>
                <c:pt idx="7787">
                  <c:v>1825.79</c:v>
                </c:pt>
                <c:pt idx="7788">
                  <c:v>1825.79</c:v>
                </c:pt>
                <c:pt idx="7789">
                  <c:v>1825.79</c:v>
                </c:pt>
                <c:pt idx="7790">
                  <c:v>1825.79</c:v>
                </c:pt>
                <c:pt idx="7791">
                  <c:v>1828.95</c:v>
                </c:pt>
                <c:pt idx="7792">
                  <c:v>1832.2</c:v>
                </c:pt>
                <c:pt idx="7793">
                  <c:v>1832.2</c:v>
                </c:pt>
                <c:pt idx="7794">
                  <c:v>1832.2</c:v>
                </c:pt>
                <c:pt idx="7795">
                  <c:v>1832.2</c:v>
                </c:pt>
                <c:pt idx="7796">
                  <c:v>1832.2</c:v>
                </c:pt>
                <c:pt idx="7797">
                  <c:v>1823.12</c:v>
                </c:pt>
                <c:pt idx="7798">
                  <c:v>1817.14</c:v>
                </c:pt>
                <c:pt idx="7799">
                  <c:v>1819.93</c:v>
                </c:pt>
                <c:pt idx="7800">
                  <c:v>1829.01</c:v>
                </c:pt>
                <c:pt idx="7801">
                  <c:v>1826.88</c:v>
                </c:pt>
                <c:pt idx="7802">
                  <c:v>1826.88</c:v>
                </c:pt>
                <c:pt idx="7803">
                  <c:v>1826.88</c:v>
                </c:pt>
                <c:pt idx="7804">
                  <c:v>1817.66</c:v>
                </c:pt>
                <c:pt idx="7805">
                  <c:v>1813.11</c:v>
                </c:pt>
                <c:pt idx="7806">
                  <c:v>1821.2</c:v>
                </c:pt>
                <c:pt idx="7807">
                  <c:v>1823.84</c:v>
                </c:pt>
                <c:pt idx="7808">
                  <c:v>1827.79</c:v>
                </c:pt>
                <c:pt idx="7809">
                  <c:v>1827.79</c:v>
                </c:pt>
                <c:pt idx="7810">
                  <c:v>1827.79</c:v>
                </c:pt>
                <c:pt idx="7811">
                  <c:v>1834.86</c:v>
                </c:pt>
                <c:pt idx="7812">
                  <c:v>1833.98</c:v>
                </c:pt>
                <c:pt idx="7813">
                  <c:v>1846.46</c:v>
                </c:pt>
                <c:pt idx="7814">
                  <c:v>1847.02</c:v>
                </c:pt>
                <c:pt idx="7815">
                  <c:v>1835.57</c:v>
                </c:pt>
                <c:pt idx="7816">
                  <c:v>1835.57</c:v>
                </c:pt>
                <c:pt idx="7817">
                  <c:v>1835.57</c:v>
                </c:pt>
                <c:pt idx="7818">
                  <c:v>1841.14</c:v>
                </c:pt>
                <c:pt idx="7819">
                  <c:v>1838.03</c:v>
                </c:pt>
                <c:pt idx="7820">
                  <c:v>1836.79</c:v>
                </c:pt>
                <c:pt idx="7821">
                  <c:v>1830.84</c:v>
                </c:pt>
                <c:pt idx="7822">
                  <c:v>1833.7</c:v>
                </c:pt>
                <c:pt idx="7823">
                  <c:v>1833.7</c:v>
                </c:pt>
                <c:pt idx="7824">
                  <c:v>1833.7</c:v>
                </c:pt>
                <c:pt idx="7825">
                  <c:v>1828.79</c:v>
                </c:pt>
                <c:pt idx="7826">
                  <c:v>1825.83</c:v>
                </c:pt>
                <c:pt idx="7827">
                  <c:v>1825.83</c:v>
                </c:pt>
                <c:pt idx="7828">
                  <c:v>1836.34</c:v>
                </c:pt>
                <c:pt idx="7829">
                  <c:v>1835.88</c:v>
                </c:pt>
                <c:pt idx="7830">
                  <c:v>1835.88</c:v>
                </c:pt>
                <c:pt idx="7831">
                  <c:v>1835.88</c:v>
                </c:pt>
                <c:pt idx="7832">
                  <c:v>1831.42</c:v>
                </c:pt>
                <c:pt idx="7833">
                  <c:v>1827.13</c:v>
                </c:pt>
                <c:pt idx="7834">
                  <c:v>1830.7</c:v>
                </c:pt>
                <c:pt idx="7835">
                  <c:v>1833.07</c:v>
                </c:pt>
                <c:pt idx="7836">
                  <c:v>1834.83</c:v>
                </c:pt>
                <c:pt idx="7837">
                  <c:v>1834.83</c:v>
                </c:pt>
                <c:pt idx="7838">
                  <c:v>1834.83</c:v>
                </c:pt>
                <c:pt idx="7839">
                  <c:v>1834.83</c:v>
                </c:pt>
                <c:pt idx="7840">
                  <c:v>1838.63</c:v>
                </c:pt>
                <c:pt idx="7841">
                  <c:v>1843.75</c:v>
                </c:pt>
                <c:pt idx="7842">
                  <c:v>1838.82</c:v>
                </c:pt>
                <c:pt idx="7843">
                  <c:v>1841.35</c:v>
                </c:pt>
                <c:pt idx="7844">
                  <c:v>1841.35</c:v>
                </c:pt>
                <c:pt idx="7845">
                  <c:v>1841.35</c:v>
                </c:pt>
                <c:pt idx="7846">
                  <c:v>1842.59</c:v>
                </c:pt>
                <c:pt idx="7847">
                  <c:v>1846.76</c:v>
                </c:pt>
                <c:pt idx="7848">
                  <c:v>1850.55</c:v>
                </c:pt>
                <c:pt idx="7849">
                  <c:v>1864.02</c:v>
                </c:pt>
                <c:pt idx="7850">
                  <c:v>1874.1</c:v>
                </c:pt>
                <c:pt idx="7851">
                  <c:v>1874.1</c:v>
                </c:pt>
                <c:pt idx="7852">
                  <c:v>1874.1</c:v>
                </c:pt>
                <c:pt idx="7853">
                  <c:v>1874.1</c:v>
                </c:pt>
                <c:pt idx="7854">
                  <c:v>1897.1</c:v>
                </c:pt>
                <c:pt idx="7855">
                  <c:v>1894.13</c:v>
                </c:pt>
                <c:pt idx="7856">
                  <c:v>1891.48</c:v>
                </c:pt>
                <c:pt idx="7857">
                  <c:v>1907.76</c:v>
                </c:pt>
                <c:pt idx="7858">
                  <c:v>1907.76</c:v>
                </c:pt>
                <c:pt idx="7859">
                  <c:v>1907.76</c:v>
                </c:pt>
                <c:pt idx="7860">
                  <c:v>1907.76</c:v>
                </c:pt>
                <c:pt idx="7861">
                  <c:v>1894.4</c:v>
                </c:pt>
                <c:pt idx="7862">
                  <c:v>1899.08</c:v>
                </c:pt>
                <c:pt idx="7863">
                  <c:v>1907.88</c:v>
                </c:pt>
                <c:pt idx="7864">
                  <c:v>1898.8</c:v>
                </c:pt>
                <c:pt idx="7865">
                  <c:v>1898.8</c:v>
                </c:pt>
                <c:pt idx="7866">
                  <c:v>1898.8</c:v>
                </c:pt>
                <c:pt idx="7867">
                  <c:v>1898.8</c:v>
                </c:pt>
                <c:pt idx="7868">
                  <c:v>1907.12</c:v>
                </c:pt>
                <c:pt idx="7869">
                  <c:v>1897.53</c:v>
                </c:pt>
                <c:pt idx="7870">
                  <c:v>1895.01</c:v>
                </c:pt>
                <c:pt idx="7871">
                  <c:v>1882.38</c:v>
                </c:pt>
                <c:pt idx="7872">
                  <c:v>1882.38</c:v>
                </c:pt>
                <c:pt idx="7873">
                  <c:v>1882.38</c:v>
                </c:pt>
                <c:pt idx="7874">
                  <c:v>1883.57</c:v>
                </c:pt>
                <c:pt idx="7875">
                  <c:v>1902.47</c:v>
                </c:pt>
                <c:pt idx="7876">
                  <c:v>1900.87</c:v>
                </c:pt>
                <c:pt idx="7877">
                  <c:v>1937.26</c:v>
                </c:pt>
                <c:pt idx="7878">
                  <c:v>1941.06</c:v>
                </c:pt>
                <c:pt idx="7879">
                  <c:v>1941.06</c:v>
                </c:pt>
                <c:pt idx="7880">
                  <c:v>1941.06</c:v>
                </c:pt>
                <c:pt idx="7881">
                  <c:v>1942.97</c:v>
                </c:pt>
                <c:pt idx="7882">
                  <c:v>1928.27</c:v>
                </c:pt>
                <c:pt idx="7883">
                  <c:v>1921.86</c:v>
                </c:pt>
                <c:pt idx="7884">
                  <c:v>1922.63</c:v>
                </c:pt>
                <c:pt idx="7885">
                  <c:v>1929</c:v>
                </c:pt>
                <c:pt idx="7886">
                  <c:v>1929</c:v>
                </c:pt>
                <c:pt idx="7887">
                  <c:v>1929</c:v>
                </c:pt>
                <c:pt idx="7888">
                  <c:v>1929</c:v>
                </c:pt>
                <c:pt idx="7889">
                  <c:v>1919.42</c:v>
                </c:pt>
                <c:pt idx="7890">
                  <c:v>1915.45</c:v>
                </c:pt>
                <c:pt idx="7891">
                  <c:v>1915.45</c:v>
                </c:pt>
                <c:pt idx="7892">
                  <c:v>1927.4</c:v>
                </c:pt>
                <c:pt idx="7893">
                  <c:v>1927.4</c:v>
                </c:pt>
                <c:pt idx="7894">
                  <c:v>1927.4</c:v>
                </c:pt>
                <c:pt idx="7895">
                  <c:v>1926.84</c:v>
                </c:pt>
                <c:pt idx="7896">
                  <c:v>1920.12</c:v>
                </c:pt>
                <c:pt idx="7897">
                  <c:v>1920.24</c:v>
                </c:pt>
                <c:pt idx="7898">
                  <c:v>1910.79</c:v>
                </c:pt>
                <c:pt idx="7899">
                  <c:v>1905.25</c:v>
                </c:pt>
                <c:pt idx="7900">
                  <c:v>1905.25</c:v>
                </c:pt>
                <c:pt idx="7901">
                  <c:v>1905.25</c:v>
                </c:pt>
                <c:pt idx="7902">
                  <c:v>1893.16</c:v>
                </c:pt>
                <c:pt idx="7903">
                  <c:v>1878.42</c:v>
                </c:pt>
                <c:pt idx="7904">
                  <c:v>1873.25</c:v>
                </c:pt>
                <c:pt idx="7905">
                  <c:v>1883.29</c:v>
                </c:pt>
                <c:pt idx="7906">
                  <c:v>1884.01</c:v>
                </c:pt>
                <c:pt idx="7907">
                  <c:v>1884.01</c:v>
                </c:pt>
                <c:pt idx="7908">
                  <c:v>1884.01</c:v>
                </c:pt>
                <c:pt idx="7909">
                  <c:v>1880.87</c:v>
                </c:pt>
                <c:pt idx="7910">
                  <c:v>1886.06</c:v>
                </c:pt>
                <c:pt idx="7911">
                  <c:v>1891.02</c:v>
                </c:pt>
                <c:pt idx="7912">
                  <c:v>1887.4</c:v>
                </c:pt>
                <c:pt idx="7913">
                  <c:v>1886.26</c:v>
                </c:pt>
                <c:pt idx="7914">
                  <c:v>1886.26</c:v>
                </c:pt>
                <c:pt idx="7915">
                  <c:v>1886.26</c:v>
                </c:pt>
                <c:pt idx="7916">
                  <c:v>1888.95</c:v>
                </c:pt>
                <c:pt idx="7917">
                  <c:v>1890.33</c:v>
                </c:pt>
                <c:pt idx="7918">
                  <c:v>1896.15</c:v>
                </c:pt>
                <c:pt idx="7919">
                  <c:v>1896.65</c:v>
                </c:pt>
                <c:pt idx="7920">
                  <c:v>1891.67</c:v>
                </c:pt>
                <c:pt idx="7921">
                  <c:v>1891.67</c:v>
                </c:pt>
                <c:pt idx="7922">
                  <c:v>1891.67</c:v>
                </c:pt>
                <c:pt idx="7923">
                  <c:v>1883.24</c:v>
                </c:pt>
                <c:pt idx="7924">
                  <c:v>1882.01</c:v>
                </c:pt>
                <c:pt idx="7925">
                  <c:v>1882.01</c:v>
                </c:pt>
                <c:pt idx="7926">
                  <c:v>1877.23</c:v>
                </c:pt>
                <c:pt idx="7927">
                  <c:v>1873.92</c:v>
                </c:pt>
                <c:pt idx="7928">
                  <c:v>1873.92</c:v>
                </c:pt>
                <c:pt idx="7929">
                  <c:v>1873.92</c:v>
                </c:pt>
                <c:pt idx="7930">
                  <c:v>1868.9</c:v>
                </c:pt>
                <c:pt idx="7931">
                  <c:v>1882.36</c:v>
                </c:pt>
                <c:pt idx="7932">
                  <c:v>1883.15</c:v>
                </c:pt>
                <c:pt idx="7933">
                  <c:v>1901.03</c:v>
                </c:pt>
                <c:pt idx="7934">
                  <c:v>1907.06</c:v>
                </c:pt>
                <c:pt idx="7935">
                  <c:v>1907.06</c:v>
                </c:pt>
                <c:pt idx="7936">
                  <c:v>1907.06</c:v>
                </c:pt>
                <c:pt idx="7937">
                  <c:v>1907.06</c:v>
                </c:pt>
                <c:pt idx="7938">
                  <c:v>1922.73</c:v>
                </c:pt>
                <c:pt idx="7939">
                  <c:v>1929.75</c:v>
                </c:pt>
                <c:pt idx="7940">
                  <c:v>1921.99</c:v>
                </c:pt>
                <c:pt idx="7941">
                  <c:v>1911.16</c:v>
                </c:pt>
                <c:pt idx="7942">
                  <c:v>1911.16</c:v>
                </c:pt>
                <c:pt idx="7943">
                  <c:v>1911.16</c:v>
                </c:pt>
                <c:pt idx="7944">
                  <c:v>1922.96</c:v>
                </c:pt>
                <c:pt idx="7945">
                  <c:v>1938.26</c:v>
                </c:pt>
                <c:pt idx="7946">
                  <c:v>1939.85</c:v>
                </c:pt>
                <c:pt idx="7947">
                  <c:v>1943.04</c:v>
                </c:pt>
                <c:pt idx="7948">
                  <c:v>1935.43</c:v>
                </c:pt>
                <c:pt idx="7949">
                  <c:v>1935.43</c:v>
                </c:pt>
                <c:pt idx="7950">
                  <c:v>1935.43</c:v>
                </c:pt>
                <c:pt idx="7951">
                  <c:v>1935.43</c:v>
                </c:pt>
                <c:pt idx="7952">
                  <c:v>1946.28</c:v>
                </c:pt>
                <c:pt idx="7953">
                  <c:v>1938.99</c:v>
                </c:pt>
                <c:pt idx="7954">
                  <c:v>1952.11</c:v>
                </c:pt>
                <c:pt idx="7955">
                  <c:v>1947.99</c:v>
                </c:pt>
                <c:pt idx="7956">
                  <c:v>1947.99</c:v>
                </c:pt>
                <c:pt idx="7957">
                  <c:v>1947.99</c:v>
                </c:pt>
                <c:pt idx="7958">
                  <c:v>1946.06</c:v>
                </c:pt>
                <c:pt idx="7959">
                  <c:v>1935.55</c:v>
                </c:pt>
                <c:pt idx="7960">
                  <c:v>1923.64</c:v>
                </c:pt>
                <c:pt idx="7961">
                  <c:v>1919.25</c:v>
                </c:pt>
                <c:pt idx="7962">
                  <c:v>1919.54</c:v>
                </c:pt>
                <c:pt idx="7963">
                  <c:v>1919.54</c:v>
                </c:pt>
                <c:pt idx="7964">
                  <c:v>1919.54</c:v>
                </c:pt>
                <c:pt idx="7965">
                  <c:v>1917.03</c:v>
                </c:pt>
                <c:pt idx="7966">
                  <c:v>1914.12</c:v>
                </c:pt>
                <c:pt idx="7967">
                  <c:v>1911.3</c:v>
                </c:pt>
                <c:pt idx="7968">
                  <c:v>1887.3</c:v>
                </c:pt>
                <c:pt idx="7969">
                  <c:v>1889.12</c:v>
                </c:pt>
                <c:pt idx="7970">
                  <c:v>1889.12</c:v>
                </c:pt>
                <c:pt idx="7971">
                  <c:v>1889.12</c:v>
                </c:pt>
                <c:pt idx="7972">
                  <c:v>1892.89</c:v>
                </c:pt>
                <c:pt idx="7973">
                  <c:v>1888.14</c:v>
                </c:pt>
                <c:pt idx="7974">
                  <c:v>1893.42</c:v>
                </c:pt>
                <c:pt idx="7975">
                  <c:v>1899.1</c:v>
                </c:pt>
                <c:pt idx="7976">
                  <c:v>1914.65</c:v>
                </c:pt>
                <c:pt idx="7977">
                  <c:v>1914.65</c:v>
                </c:pt>
                <c:pt idx="7978">
                  <c:v>1914.65</c:v>
                </c:pt>
                <c:pt idx="7979">
                  <c:v>1908.29</c:v>
                </c:pt>
                <c:pt idx="7980">
                  <c:v>1893.77</c:v>
                </c:pt>
                <c:pt idx="7981">
                  <c:v>1884.97</c:v>
                </c:pt>
                <c:pt idx="7982">
                  <c:v>1889.95</c:v>
                </c:pt>
                <c:pt idx="7983">
                  <c:v>1886.78</c:v>
                </c:pt>
                <c:pt idx="7984">
                  <c:v>1886.78</c:v>
                </c:pt>
                <c:pt idx="7985">
                  <c:v>1886.78</c:v>
                </c:pt>
                <c:pt idx="7986">
                  <c:v>1885.19</c:v>
                </c:pt>
                <c:pt idx="7987">
                  <c:v>1889.17</c:v>
                </c:pt>
                <c:pt idx="7988">
                  <c:v>1894.06</c:v>
                </c:pt>
                <c:pt idx="7989">
                  <c:v>1885.84</c:v>
                </c:pt>
                <c:pt idx="7990">
                  <c:v>1883.65</c:v>
                </c:pt>
                <c:pt idx="7991">
                  <c:v>1883.65</c:v>
                </c:pt>
                <c:pt idx="7992">
                  <c:v>1883.65</c:v>
                </c:pt>
                <c:pt idx="7993">
                  <c:v>1883.65</c:v>
                </c:pt>
                <c:pt idx="7994">
                  <c:v>1883.7</c:v>
                </c:pt>
                <c:pt idx="7995">
                  <c:v>1880.91</c:v>
                </c:pt>
                <c:pt idx="7996">
                  <c:v>1879.48</c:v>
                </c:pt>
                <c:pt idx="7997">
                  <c:v>1879.88</c:v>
                </c:pt>
                <c:pt idx="7998">
                  <c:v>1879.88</c:v>
                </c:pt>
                <c:pt idx="7999">
                  <c:v>1879.88</c:v>
                </c:pt>
                <c:pt idx="8000">
                  <c:v>1885.52</c:v>
                </c:pt>
                <c:pt idx="8001">
                  <c:v>1879.46</c:v>
                </c:pt>
                <c:pt idx="8002">
                  <c:v>1883.14</c:v>
                </c:pt>
                <c:pt idx="8003">
                  <c:v>1882.11</c:v>
                </c:pt>
                <c:pt idx="8004">
                  <c:v>1882.34</c:v>
                </c:pt>
                <c:pt idx="8005">
                  <c:v>1882.34</c:v>
                </c:pt>
                <c:pt idx="8006">
                  <c:v>1882.34</c:v>
                </c:pt>
                <c:pt idx="8007">
                  <c:v>1884.43</c:v>
                </c:pt>
                <c:pt idx="8008">
                  <c:v>1883.42</c:v>
                </c:pt>
                <c:pt idx="8009">
                  <c:v>1884.06</c:v>
                </c:pt>
                <c:pt idx="8010">
                  <c:v>1889.16</c:v>
                </c:pt>
                <c:pt idx="8011">
                  <c:v>1901.22</c:v>
                </c:pt>
                <c:pt idx="8012">
                  <c:v>1901.22</c:v>
                </c:pt>
                <c:pt idx="8013">
                  <c:v>1901.22</c:v>
                </c:pt>
                <c:pt idx="8014">
                  <c:v>1901.22</c:v>
                </c:pt>
                <c:pt idx="8015">
                  <c:v>1916.22</c:v>
                </c:pt>
                <c:pt idx="8016">
                  <c:v>1916.8</c:v>
                </c:pt>
                <c:pt idx="8017">
                  <c:v>1924.87</c:v>
                </c:pt>
                <c:pt idx="8018">
                  <c:v>1932.77</c:v>
                </c:pt>
                <c:pt idx="8019">
                  <c:v>1932.77</c:v>
                </c:pt>
                <c:pt idx="8020">
                  <c:v>1932.77</c:v>
                </c:pt>
                <c:pt idx="8021">
                  <c:v>1932.77</c:v>
                </c:pt>
                <c:pt idx="8022">
                  <c:v>1928.96</c:v>
                </c:pt>
                <c:pt idx="8023">
                  <c:v>1932.03</c:v>
                </c:pt>
                <c:pt idx="8024">
                  <c:v>1929.24</c:v>
                </c:pt>
                <c:pt idx="8025">
                  <c:v>1919.89</c:v>
                </c:pt>
                <c:pt idx="8026">
                  <c:v>1919.89</c:v>
                </c:pt>
                <c:pt idx="8027">
                  <c:v>1919.89</c:v>
                </c:pt>
                <c:pt idx="8028">
                  <c:v>1915.37</c:v>
                </c:pt>
                <c:pt idx="8029">
                  <c:v>1919.2</c:v>
                </c:pt>
                <c:pt idx="8030">
                  <c:v>1923.19</c:v>
                </c:pt>
                <c:pt idx="8031">
                  <c:v>1932.42</c:v>
                </c:pt>
                <c:pt idx="8032">
                  <c:v>1929.13</c:v>
                </c:pt>
                <c:pt idx="8033">
                  <c:v>1929.13</c:v>
                </c:pt>
                <c:pt idx="8034">
                  <c:v>1929.13</c:v>
                </c:pt>
                <c:pt idx="8035">
                  <c:v>1926.99</c:v>
                </c:pt>
                <c:pt idx="8036">
                  <c:v>1926.74</c:v>
                </c:pt>
                <c:pt idx="8037">
                  <c:v>1928.25</c:v>
                </c:pt>
                <c:pt idx="8038">
                  <c:v>1928.25</c:v>
                </c:pt>
                <c:pt idx="8039">
                  <c:v>1931.88</c:v>
                </c:pt>
                <c:pt idx="8040">
                  <c:v>1931.88</c:v>
                </c:pt>
                <c:pt idx="8041">
                  <c:v>1931.88</c:v>
                </c:pt>
                <c:pt idx="8042">
                  <c:v>1934.16</c:v>
                </c:pt>
                <c:pt idx="8043">
                  <c:v>1941.01</c:v>
                </c:pt>
                <c:pt idx="8044">
                  <c:v>1948.48</c:v>
                </c:pt>
                <c:pt idx="8045">
                  <c:v>1940.26</c:v>
                </c:pt>
                <c:pt idx="8046">
                  <c:v>1936.33</c:v>
                </c:pt>
                <c:pt idx="8047">
                  <c:v>1936.33</c:v>
                </c:pt>
                <c:pt idx="8048">
                  <c:v>1936.33</c:v>
                </c:pt>
                <c:pt idx="8049">
                  <c:v>1932.71</c:v>
                </c:pt>
                <c:pt idx="8050">
                  <c:v>1933.52</c:v>
                </c:pt>
                <c:pt idx="8051">
                  <c:v>1935.61</c:v>
                </c:pt>
                <c:pt idx="8052">
                  <c:v>1935.89</c:v>
                </c:pt>
                <c:pt idx="8053">
                  <c:v>1930.87</c:v>
                </c:pt>
                <c:pt idx="8054">
                  <c:v>1930.87</c:v>
                </c:pt>
                <c:pt idx="8055">
                  <c:v>1930.87</c:v>
                </c:pt>
                <c:pt idx="8056">
                  <c:v>1934.95</c:v>
                </c:pt>
                <c:pt idx="8057">
                  <c:v>1936.14</c:v>
                </c:pt>
                <c:pt idx="8058">
                  <c:v>1945.6</c:v>
                </c:pt>
                <c:pt idx="8059">
                  <c:v>1943.46</c:v>
                </c:pt>
                <c:pt idx="8060">
                  <c:v>1935.93</c:v>
                </c:pt>
                <c:pt idx="8061">
                  <c:v>1935.93</c:v>
                </c:pt>
                <c:pt idx="8062">
                  <c:v>1935.93</c:v>
                </c:pt>
                <c:pt idx="8063">
                  <c:v>1925.45</c:v>
                </c:pt>
                <c:pt idx="8064">
                  <c:v>1922.76</c:v>
                </c:pt>
                <c:pt idx="8065">
                  <c:v>1922.76</c:v>
                </c:pt>
                <c:pt idx="8066">
                  <c:v>1921.22</c:v>
                </c:pt>
                <c:pt idx="8067">
                  <c:v>1922.56</c:v>
                </c:pt>
                <c:pt idx="8068">
                  <c:v>1922.56</c:v>
                </c:pt>
                <c:pt idx="8069">
                  <c:v>1922.56</c:v>
                </c:pt>
                <c:pt idx="8070">
                  <c:v>1926.83</c:v>
                </c:pt>
                <c:pt idx="8071">
                  <c:v>1926.83</c:v>
                </c:pt>
                <c:pt idx="8072">
                  <c:v>1926.83</c:v>
                </c:pt>
                <c:pt idx="8073">
                  <c:v>1938.89</c:v>
                </c:pt>
                <c:pt idx="8074">
                  <c:v>1936.92</c:v>
                </c:pt>
                <c:pt idx="8075">
                  <c:v>1936.92</c:v>
                </c:pt>
                <c:pt idx="8076">
                  <c:v>1936.92</c:v>
                </c:pt>
                <c:pt idx="8077">
                  <c:v>1936.92</c:v>
                </c:pt>
                <c:pt idx="8078">
                  <c:v>1930.45</c:v>
                </c:pt>
                <c:pt idx="8079">
                  <c:v>1933.24</c:v>
                </c:pt>
                <c:pt idx="8080">
                  <c:v>1934.88</c:v>
                </c:pt>
                <c:pt idx="8081">
                  <c:v>1926.55</c:v>
                </c:pt>
                <c:pt idx="8082">
                  <c:v>1926.55</c:v>
                </c:pt>
                <c:pt idx="8083">
                  <c:v>1926.55</c:v>
                </c:pt>
                <c:pt idx="8084">
                  <c:v>1924.79</c:v>
                </c:pt>
                <c:pt idx="8085">
                  <c:v>1932.59</c:v>
                </c:pt>
                <c:pt idx="8086">
                  <c:v>1941.45</c:v>
                </c:pt>
                <c:pt idx="8087">
                  <c:v>1947.15</c:v>
                </c:pt>
                <c:pt idx="8088">
                  <c:v>1957.86</c:v>
                </c:pt>
                <c:pt idx="8089">
                  <c:v>1957.86</c:v>
                </c:pt>
                <c:pt idx="8090">
                  <c:v>1957.86</c:v>
                </c:pt>
                <c:pt idx="8091">
                  <c:v>1957.86</c:v>
                </c:pt>
                <c:pt idx="8092">
                  <c:v>1981.98</c:v>
                </c:pt>
                <c:pt idx="8093">
                  <c:v>1983.48</c:v>
                </c:pt>
                <c:pt idx="8094">
                  <c:v>1993.23</c:v>
                </c:pt>
                <c:pt idx="8095">
                  <c:v>2000.48</c:v>
                </c:pt>
                <c:pt idx="8096">
                  <c:v>2000.48</c:v>
                </c:pt>
                <c:pt idx="8097">
                  <c:v>2000.48</c:v>
                </c:pt>
                <c:pt idx="8098">
                  <c:v>1997.91</c:v>
                </c:pt>
                <c:pt idx="8099">
                  <c:v>2000.56</c:v>
                </c:pt>
                <c:pt idx="8100">
                  <c:v>2013.17</c:v>
                </c:pt>
                <c:pt idx="8101">
                  <c:v>2008.26</c:v>
                </c:pt>
                <c:pt idx="8102">
                  <c:v>2021.1</c:v>
                </c:pt>
                <c:pt idx="8103">
                  <c:v>2021.1</c:v>
                </c:pt>
                <c:pt idx="8104">
                  <c:v>2021.1</c:v>
                </c:pt>
                <c:pt idx="8105">
                  <c:v>2039.85</c:v>
                </c:pt>
                <c:pt idx="8106">
                  <c:v>2041.34</c:v>
                </c:pt>
                <c:pt idx="8107">
                  <c:v>2048.75</c:v>
                </c:pt>
                <c:pt idx="8108">
                  <c:v>2049.52</c:v>
                </c:pt>
                <c:pt idx="8109">
                  <c:v>2046.06</c:v>
                </c:pt>
                <c:pt idx="8110">
                  <c:v>2046.06</c:v>
                </c:pt>
                <c:pt idx="8111">
                  <c:v>2046.06</c:v>
                </c:pt>
                <c:pt idx="8112">
                  <c:v>2048.5500000000002</c:v>
                </c:pt>
                <c:pt idx="8113">
                  <c:v>2041.61</c:v>
                </c:pt>
                <c:pt idx="8114">
                  <c:v>2031.75</c:v>
                </c:pt>
                <c:pt idx="8115">
                  <c:v>2032.99</c:v>
                </c:pt>
                <c:pt idx="8116">
                  <c:v>2022.68</c:v>
                </c:pt>
                <c:pt idx="8117">
                  <c:v>2022.68</c:v>
                </c:pt>
                <c:pt idx="8118">
                  <c:v>2022.68</c:v>
                </c:pt>
                <c:pt idx="8119">
                  <c:v>2022.68</c:v>
                </c:pt>
                <c:pt idx="8120">
                  <c:v>2028.54</c:v>
                </c:pt>
                <c:pt idx="8121">
                  <c:v>2042.22</c:v>
                </c:pt>
                <c:pt idx="8122">
                  <c:v>2052.46</c:v>
                </c:pt>
                <c:pt idx="8123">
                  <c:v>2043.96</c:v>
                </c:pt>
                <c:pt idx="8124">
                  <c:v>2043.96</c:v>
                </c:pt>
                <c:pt idx="8125">
                  <c:v>2043.96</c:v>
                </c:pt>
                <c:pt idx="8126">
                  <c:v>2042.67</c:v>
                </c:pt>
                <c:pt idx="8127">
                  <c:v>2045.45</c:v>
                </c:pt>
                <c:pt idx="8128">
                  <c:v>2053.11</c:v>
                </c:pt>
                <c:pt idx="8129">
                  <c:v>2054.9</c:v>
                </c:pt>
                <c:pt idx="8130">
                  <c:v>2046.75</c:v>
                </c:pt>
                <c:pt idx="8131">
                  <c:v>2046.75</c:v>
                </c:pt>
                <c:pt idx="8132">
                  <c:v>2046.75</c:v>
                </c:pt>
                <c:pt idx="8133">
                  <c:v>2052.5100000000002</c:v>
                </c:pt>
                <c:pt idx="8134">
                  <c:v>2047.75</c:v>
                </c:pt>
                <c:pt idx="8135">
                  <c:v>2045.14</c:v>
                </c:pt>
                <c:pt idx="8136">
                  <c:v>2030.02</c:v>
                </c:pt>
                <c:pt idx="8137">
                  <c:v>2036.2</c:v>
                </c:pt>
                <c:pt idx="8138">
                  <c:v>2036.2</c:v>
                </c:pt>
                <c:pt idx="8139">
                  <c:v>2036.2</c:v>
                </c:pt>
                <c:pt idx="8140">
                  <c:v>2042.78</c:v>
                </c:pt>
                <c:pt idx="8141">
                  <c:v>2043.59</c:v>
                </c:pt>
                <c:pt idx="8142">
                  <c:v>2047.59</c:v>
                </c:pt>
                <c:pt idx="8143">
                  <c:v>2044.48</c:v>
                </c:pt>
                <c:pt idx="8144">
                  <c:v>2044.58</c:v>
                </c:pt>
                <c:pt idx="8145">
                  <c:v>2044.58</c:v>
                </c:pt>
                <c:pt idx="8146">
                  <c:v>2044.58</c:v>
                </c:pt>
                <c:pt idx="8147">
                  <c:v>2035.16</c:v>
                </c:pt>
                <c:pt idx="8148">
                  <c:v>2034.86</c:v>
                </c:pt>
                <c:pt idx="8149">
                  <c:v>2017.38</c:v>
                </c:pt>
                <c:pt idx="8150">
                  <c:v>1998.6</c:v>
                </c:pt>
                <c:pt idx="8151">
                  <c:v>1993.85</c:v>
                </c:pt>
                <c:pt idx="8152">
                  <c:v>1993.85</c:v>
                </c:pt>
                <c:pt idx="8153">
                  <c:v>1993.85</c:v>
                </c:pt>
                <c:pt idx="8154">
                  <c:v>1993.85</c:v>
                </c:pt>
                <c:pt idx="8155">
                  <c:v>1978.63</c:v>
                </c:pt>
                <c:pt idx="8156">
                  <c:v>1973.03</c:v>
                </c:pt>
                <c:pt idx="8157">
                  <c:v>1965.64</c:v>
                </c:pt>
                <c:pt idx="8158">
                  <c:v>1965.32</c:v>
                </c:pt>
                <c:pt idx="8159">
                  <c:v>1965.32</c:v>
                </c:pt>
                <c:pt idx="8160">
                  <c:v>1965.32</c:v>
                </c:pt>
                <c:pt idx="8161">
                  <c:v>1969.45</c:v>
                </c:pt>
                <c:pt idx="8162">
                  <c:v>1966.02</c:v>
                </c:pt>
                <c:pt idx="8163">
                  <c:v>1963.51</c:v>
                </c:pt>
                <c:pt idx="8164">
                  <c:v>1966.4</c:v>
                </c:pt>
                <c:pt idx="8165">
                  <c:v>1951.85</c:v>
                </c:pt>
                <c:pt idx="8166">
                  <c:v>1951.85</c:v>
                </c:pt>
                <c:pt idx="8167">
                  <c:v>1951.85</c:v>
                </c:pt>
                <c:pt idx="8168">
                  <c:v>1937.59</c:v>
                </c:pt>
                <c:pt idx="8169">
                  <c:v>1923.95</c:v>
                </c:pt>
                <c:pt idx="8170">
                  <c:v>1931.09</c:v>
                </c:pt>
                <c:pt idx="8171">
                  <c:v>1920.93</c:v>
                </c:pt>
                <c:pt idx="8172">
                  <c:v>1927.28</c:v>
                </c:pt>
                <c:pt idx="8173">
                  <c:v>1927.28</c:v>
                </c:pt>
                <c:pt idx="8174">
                  <c:v>1927.28</c:v>
                </c:pt>
                <c:pt idx="8175">
                  <c:v>1926.47</c:v>
                </c:pt>
                <c:pt idx="8176">
                  <c:v>1932.42</c:v>
                </c:pt>
                <c:pt idx="8177">
                  <c:v>1930.62</c:v>
                </c:pt>
                <c:pt idx="8178">
                  <c:v>1930.62</c:v>
                </c:pt>
                <c:pt idx="8179">
                  <c:v>1930.62</c:v>
                </c:pt>
                <c:pt idx="8180">
                  <c:v>1930.62</c:v>
                </c:pt>
                <c:pt idx="8181">
                  <c:v>1930.62</c:v>
                </c:pt>
                <c:pt idx="8182">
                  <c:v>1921.75</c:v>
                </c:pt>
                <c:pt idx="8183">
                  <c:v>1929.66</c:v>
                </c:pt>
                <c:pt idx="8184">
                  <c:v>1936.63</c:v>
                </c:pt>
                <c:pt idx="8185">
                  <c:v>1936.07</c:v>
                </c:pt>
                <c:pt idx="8186">
                  <c:v>1942.37</c:v>
                </c:pt>
                <c:pt idx="8187">
                  <c:v>1942.37</c:v>
                </c:pt>
                <c:pt idx="8188">
                  <c:v>1942.37</c:v>
                </c:pt>
                <c:pt idx="8189">
                  <c:v>1936.13</c:v>
                </c:pt>
                <c:pt idx="8190">
                  <c:v>1935.14</c:v>
                </c:pt>
                <c:pt idx="8191">
                  <c:v>1933.46</c:v>
                </c:pt>
                <c:pt idx="8192">
                  <c:v>1933.46</c:v>
                </c:pt>
                <c:pt idx="8193">
                  <c:v>1926.3</c:v>
                </c:pt>
                <c:pt idx="8194">
                  <c:v>1926.3</c:v>
                </c:pt>
                <c:pt idx="8195">
                  <c:v>1926.3</c:v>
                </c:pt>
                <c:pt idx="8196">
                  <c:v>1923.07</c:v>
                </c:pt>
                <c:pt idx="8197">
                  <c:v>1918.2</c:v>
                </c:pt>
                <c:pt idx="8198">
                  <c:v>1912.97</c:v>
                </c:pt>
                <c:pt idx="8199">
                  <c:v>1902.15</c:v>
                </c:pt>
                <c:pt idx="8200">
                  <c:v>1901.51</c:v>
                </c:pt>
                <c:pt idx="8201">
                  <c:v>1901.51</c:v>
                </c:pt>
                <c:pt idx="8202">
                  <c:v>1901.51</c:v>
                </c:pt>
                <c:pt idx="8203">
                  <c:v>1904.85</c:v>
                </c:pt>
                <c:pt idx="8204">
                  <c:v>1919.7</c:v>
                </c:pt>
                <c:pt idx="8205">
                  <c:v>1925.31</c:v>
                </c:pt>
                <c:pt idx="8206">
                  <c:v>1927.8</c:v>
                </c:pt>
                <c:pt idx="8207">
                  <c:v>1925.41</c:v>
                </c:pt>
                <c:pt idx="8208">
                  <c:v>1925.41</c:v>
                </c:pt>
                <c:pt idx="8209">
                  <c:v>1925.41</c:v>
                </c:pt>
                <c:pt idx="8210">
                  <c:v>1921.16</c:v>
                </c:pt>
                <c:pt idx="8211">
                  <c:v>1920.41</c:v>
                </c:pt>
                <c:pt idx="8212">
                  <c:v>1911.33</c:v>
                </c:pt>
                <c:pt idx="8213">
                  <c:v>1905.8</c:v>
                </c:pt>
                <c:pt idx="8214">
                  <c:v>1905.53</c:v>
                </c:pt>
                <c:pt idx="8215">
                  <c:v>1905.53</c:v>
                </c:pt>
                <c:pt idx="8216">
                  <c:v>1905.53</c:v>
                </c:pt>
                <c:pt idx="8217">
                  <c:v>1905.53</c:v>
                </c:pt>
                <c:pt idx="8218">
                  <c:v>1917.34</c:v>
                </c:pt>
                <c:pt idx="8219">
                  <c:v>1910.8</c:v>
                </c:pt>
                <c:pt idx="8220">
                  <c:v>1905.96</c:v>
                </c:pt>
                <c:pt idx="8221">
                  <c:v>1900.64</c:v>
                </c:pt>
                <c:pt idx="8222">
                  <c:v>1900.64</c:v>
                </c:pt>
                <c:pt idx="8223">
                  <c:v>1900.64</c:v>
                </c:pt>
                <c:pt idx="8224">
                  <c:v>1900.64</c:v>
                </c:pt>
                <c:pt idx="8225">
                  <c:v>1899.74</c:v>
                </c:pt>
                <c:pt idx="8226">
                  <c:v>1897.7</c:v>
                </c:pt>
                <c:pt idx="8227">
                  <c:v>1892.08</c:v>
                </c:pt>
                <c:pt idx="8228">
                  <c:v>1886.09</c:v>
                </c:pt>
                <c:pt idx="8229">
                  <c:v>1886.09</c:v>
                </c:pt>
                <c:pt idx="8230">
                  <c:v>1886.09</c:v>
                </c:pt>
                <c:pt idx="8231">
                  <c:v>1883.76</c:v>
                </c:pt>
                <c:pt idx="8232">
                  <c:v>1884.97</c:v>
                </c:pt>
                <c:pt idx="8233">
                  <c:v>1884.63</c:v>
                </c:pt>
                <c:pt idx="8234">
                  <c:v>1877.18</c:v>
                </c:pt>
                <c:pt idx="8235">
                  <c:v>1877.37</c:v>
                </c:pt>
                <c:pt idx="8236">
                  <c:v>1877.37</c:v>
                </c:pt>
                <c:pt idx="8237">
                  <c:v>1877.37</c:v>
                </c:pt>
                <c:pt idx="8238">
                  <c:v>1886.62</c:v>
                </c:pt>
                <c:pt idx="8239">
                  <c:v>1899.9</c:v>
                </c:pt>
                <c:pt idx="8240">
                  <c:v>1895.92</c:v>
                </c:pt>
                <c:pt idx="8241">
                  <c:v>1881.34</c:v>
                </c:pt>
                <c:pt idx="8242">
                  <c:v>1884.56</c:v>
                </c:pt>
                <c:pt idx="8243">
                  <c:v>1884.56</c:v>
                </c:pt>
                <c:pt idx="8244">
                  <c:v>1884.56</c:v>
                </c:pt>
                <c:pt idx="8245">
                  <c:v>1884.56</c:v>
                </c:pt>
                <c:pt idx="8246">
                  <c:v>1886.85</c:v>
                </c:pt>
                <c:pt idx="8247">
                  <c:v>1880.37</c:v>
                </c:pt>
                <c:pt idx="8248">
                  <c:v>1886.01</c:v>
                </c:pt>
                <c:pt idx="8249">
                  <c:v>1881.19</c:v>
                </c:pt>
                <c:pt idx="8250">
                  <c:v>1881.19</c:v>
                </c:pt>
                <c:pt idx="8251">
                  <c:v>1881.19</c:v>
                </c:pt>
                <c:pt idx="8252">
                  <c:v>1881.19</c:v>
                </c:pt>
                <c:pt idx="8253">
                  <c:v>1865.42</c:v>
                </c:pt>
                <c:pt idx="8254">
                  <c:v>1856.73</c:v>
                </c:pt>
                <c:pt idx="8255">
                  <c:v>1848.91</c:v>
                </c:pt>
                <c:pt idx="8256">
                  <c:v>1848.91</c:v>
                </c:pt>
                <c:pt idx="8257">
                  <c:v>1848.91</c:v>
                </c:pt>
                <c:pt idx="8258">
                  <c:v>1848.91</c:v>
                </c:pt>
                <c:pt idx="8259">
                  <c:v>1849.28</c:v>
                </c:pt>
                <c:pt idx="8260">
                  <c:v>1854.24</c:v>
                </c:pt>
                <c:pt idx="8261">
                  <c:v>1859.94</c:v>
                </c:pt>
                <c:pt idx="8262">
                  <c:v>1858.47</c:v>
                </c:pt>
                <c:pt idx="8263">
                  <c:v>1852.57</c:v>
                </c:pt>
                <c:pt idx="8264">
                  <c:v>1852.57</c:v>
                </c:pt>
                <c:pt idx="8265">
                  <c:v>1852.57</c:v>
                </c:pt>
                <c:pt idx="8266">
                  <c:v>1857.93</c:v>
                </c:pt>
                <c:pt idx="8267">
                  <c:v>1867.88</c:v>
                </c:pt>
                <c:pt idx="8268">
                  <c:v>1868.41</c:v>
                </c:pt>
                <c:pt idx="8269">
                  <c:v>1872.27</c:v>
                </c:pt>
                <c:pt idx="8270">
                  <c:v>1871.87</c:v>
                </c:pt>
                <c:pt idx="8271">
                  <c:v>1871.87</c:v>
                </c:pt>
                <c:pt idx="8272">
                  <c:v>1871.87</c:v>
                </c:pt>
                <c:pt idx="8273">
                  <c:v>1861.28</c:v>
                </c:pt>
                <c:pt idx="8274">
                  <c:v>1848.98</c:v>
                </c:pt>
                <c:pt idx="8275">
                  <c:v>1847.85</c:v>
                </c:pt>
                <c:pt idx="8276">
                  <c:v>1846.12</c:v>
                </c:pt>
                <c:pt idx="8277">
                  <c:v>1848.56</c:v>
                </c:pt>
                <c:pt idx="8278">
                  <c:v>1848.56</c:v>
                </c:pt>
                <c:pt idx="8279">
                  <c:v>1848.56</c:v>
                </c:pt>
                <c:pt idx="8280">
                  <c:v>1850.61</c:v>
                </c:pt>
                <c:pt idx="8281">
                  <c:v>1853.3</c:v>
                </c:pt>
                <c:pt idx="8282">
                  <c:v>1872.43</c:v>
                </c:pt>
                <c:pt idx="8283">
                  <c:v>1878.75</c:v>
                </c:pt>
                <c:pt idx="8284">
                  <c:v>1873.65</c:v>
                </c:pt>
                <c:pt idx="8285">
                  <c:v>1873.65</c:v>
                </c:pt>
                <c:pt idx="8286">
                  <c:v>1873.65</c:v>
                </c:pt>
                <c:pt idx="8287">
                  <c:v>1878.68</c:v>
                </c:pt>
                <c:pt idx="8288">
                  <c:v>1892.35</c:v>
                </c:pt>
                <c:pt idx="8289">
                  <c:v>1888.51</c:v>
                </c:pt>
                <c:pt idx="8290">
                  <c:v>1888.51</c:v>
                </c:pt>
                <c:pt idx="8291">
                  <c:v>1891.59</c:v>
                </c:pt>
                <c:pt idx="8292">
                  <c:v>1891.59</c:v>
                </c:pt>
                <c:pt idx="8293">
                  <c:v>1891.59</c:v>
                </c:pt>
                <c:pt idx="8294">
                  <c:v>1881.62</c:v>
                </c:pt>
                <c:pt idx="8295">
                  <c:v>1877.4</c:v>
                </c:pt>
                <c:pt idx="8296">
                  <c:v>1883.33</c:v>
                </c:pt>
                <c:pt idx="8297">
                  <c:v>1877.77</c:v>
                </c:pt>
                <c:pt idx="8298">
                  <c:v>1884.81</c:v>
                </c:pt>
                <c:pt idx="8299">
                  <c:v>1884.81</c:v>
                </c:pt>
                <c:pt idx="8300">
                  <c:v>1884.81</c:v>
                </c:pt>
                <c:pt idx="8301">
                  <c:v>1884.81</c:v>
                </c:pt>
                <c:pt idx="8302">
                  <c:v>1894.27</c:v>
                </c:pt>
                <c:pt idx="8303">
                  <c:v>1912.43</c:v>
                </c:pt>
                <c:pt idx="8304">
                  <c:v>1919.84</c:v>
                </c:pt>
                <c:pt idx="8305">
                  <c:v>1924.4</c:v>
                </c:pt>
                <c:pt idx="8306">
                  <c:v>1924.4</c:v>
                </c:pt>
                <c:pt idx="8307">
                  <c:v>1924.4</c:v>
                </c:pt>
                <c:pt idx="8308">
                  <c:v>1932.39</c:v>
                </c:pt>
                <c:pt idx="8309">
                  <c:v>1928.67</c:v>
                </c:pt>
                <c:pt idx="8310">
                  <c:v>1926.92</c:v>
                </c:pt>
                <c:pt idx="8311">
                  <c:v>1935.04</c:v>
                </c:pt>
                <c:pt idx="8312">
                  <c:v>1918.62</c:v>
                </c:pt>
                <c:pt idx="8313">
                  <c:v>1918.62</c:v>
                </c:pt>
                <c:pt idx="8314">
                  <c:v>1918.62</c:v>
                </c:pt>
                <c:pt idx="8315">
                  <c:v>1918.62</c:v>
                </c:pt>
                <c:pt idx="8316">
                  <c:v>1931.49</c:v>
                </c:pt>
                <c:pt idx="8317">
                  <c:v>1924.67</c:v>
                </c:pt>
                <c:pt idx="8318">
                  <c:v>1931.45</c:v>
                </c:pt>
                <c:pt idx="8319">
                  <c:v>1935.25</c:v>
                </c:pt>
                <c:pt idx="8320">
                  <c:v>1935.25</c:v>
                </c:pt>
                <c:pt idx="8321">
                  <c:v>1935.25</c:v>
                </c:pt>
                <c:pt idx="8322">
                  <c:v>1942.03</c:v>
                </c:pt>
                <c:pt idx="8323">
                  <c:v>1962.84</c:v>
                </c:pt>
                <c:pt idx="8324">
                  <c:v>1975.82</c:v>
                </c:pt>
                <c:pt idx="8325">
                  <c:v>1979.97</c:v>
                </c:pt>
                <c:pt idx="8326">
                  <c:v>1994.97</c:v>
                </c:pt>
                <c:pt idx="8327">
                  <c:v>1994.97</c:v>
                </c:pt>
                <c:pt idx="8328">
                  <c:v>1994.97</c:v>
                </c:pt>
                <c:pt idx="8329">
                  <c:v>1987.71</c:v>
                </c:pt>
                <c:pt idx="8330">
                  <c:v>1978.08</c:v>
                </c:pt>
                <c:pt idx="8331">
                  <c:v>1975.47</c:v>
                </c:pt>
                <c:pt idx="8332">
                  <c:v>1975.42</c:v>
                </c:pt>
                <c:pt idx="8333">
                  <c:v>1966.89</c:v>
                </c:pt>
                <c:pt idx="8334">
                  <c:v>1966.89</c:v>
                </c:pt>
                <c:pt idx="8335">
                  <c:v>1966.89</c:v>
                </c:pt>
                <c:pt idx="8336">
                  <c:v>1992.68</c:v>
                </c:pt>
                <c:pt idx="8337">
                  <c:v>1997.91</c:v>
                </c:pt>
                <c:pt idx="8338">
                  <c:v>2007.48</c:v>
                </c:pt>
                <c:pt idx="8339">
                  <c:v>2019.76</c:v>
                </c:pt>
                <c:pt idx="8340">
                  <c:v>2023.89</c:v>
                </c:pt>
                <c:pt idx="8341">
                  <c:v>2023.89</c:v>
                </c:pt>
                <c:pt idx="8342">
                  <c:v>2023.89</c:v>
                </c:pt>
                <c:pt idx="8343">
                  <c:v>2028.48</c:v>
                </c:pt>
                <c:pt idx="8344">
                  <c:v>2022</c:v>
                </c:pt>
                <c:pt idx="8345">
                  <c:v>2025.75</c:v>
                </c:pt>
                <c:pt idx="8346">
                  <c:v>2021.49</c:v>
                </c:pt>
                <c:pt idx="8347">
                  <c:v>2026.2</c:v>
                </c:pt>
                <c:pt idx="8348">
                  <c:v>2026.2</c:v>
                </c:pt>
                <c:pt idx="8349">
                  <c:v>2026.2</c:v>
                </c:pt>
                <c:pt idx="8350">
                  <c:v>2028.03</c:v>
                </c:pt>
                <c:pt idx="8351">
                  <c:v>2026.9</c:v>
                </c:pt>
                <c:pt idx="8352">
                  <c:v>2040.31</c:v>
                </c:pt>
                <c:pt idx="8353">
                  <c:v>2041.71</c:v>
                </c:pt>
                <c:pt idx="8354">
                  <c:v>2052.96</c:v>
                </c:pt>
                <c:pt idx="8355">
                  <c:v>2052.96</c:v>
                </c:pt>
                <c:pt idx="8356">
                  <c:v>2052.96</c:v>
                </c:pt>
                <c:pt idx="8357">
                  <c:v>2052.96</c:v>
                </c:pt>
                <c:pt idx="8358">
                  <c:v>2049.66</c:v>
                </c:pt>
                <c:pt idx="8359">
                  <c:v>2057.6999999999998</c:v>
                </c:pt>
                <c:pt idx="8360">
                  <c:v>2074.4</c:v>
                </c:pt>
                <c:pt idx="8361">
                  <c:v>2064.4299999999998</c:v>
                </c:pt>
                <c:pt idx="8362">
                  <c:v>2064.4299999999998</c:v>
                </c:pt>
                <c:pt idx="8363">
                  <c:v>2064.4299999999998</c:v>
                </c:pt>
                <c:pt idx="8364">
                  <c:v>2065.8200000000002</c:v>
                </c:pt>
                <c:pt idx="8365">
                  <c:v>2048.44</c:v>
                </c:pt>
                <c:pt idx="8366">
                  <c:v>2049.9</c:v>
                </c:pt>
                <c:pt idx="8367">
                  <c:v>2053.39</c:v>
                </c:pt>
                <c:pt idx="8368">
                  <c:v>2065.38</c:v>
                </c:pt>
                <c:pt idx="8369">
                  <c:v>2065.38</c:v>
                </c:pt>
                <c:pt idx="8370">
                  <c:v>2065.38</c:v>
                </c:pt>
                <c:pt idx="8371">
                  <c:v>2069.7199999999998</c:v>
                </c:pt>
                <c:pt idx="8372">
                  <c:v>2055.4299999999998</c:v>
                </c:pt>
                <c:pt idx="8373">
                  <c:v>2044.55</c:v>
                </c:pt>
                <c:pt idx="8374">
                  <c:v>2050.52</c:v>
                </c:pt>
                <c:pt idx="8375">
                  <c:v>2061.92</c:v>
                </c:pt>
                <c:pt idx="8376">
                  <c:v>2061.92</c:v>
                </c:pt>
                <c:pt idx="8377">
                  <c:v>2061.92</c:v>
                </c:pt>
                <c:pt idx="8378">
                  <c:v>2061.92</c:v>
                </c:pt>
                <c:pt idx="8379">
                  <c:v>2076.9899999999998</c:v>
                </c:pt>
                <c:pt idx="8380">
                  <c:v>2081.2399999999998</c:v>
                </c:pt>
                <c:pt idx="8381">
                  <c:v>2086.86</c:v>
                </c:pt>
                <c:pt idx="8382">
                  <c:v>2103.25</c:v>
                </c:pt>
                <c:pt idx="8383">
                  <c:v>2103.25</c:v>
                </c:pt>
                <c:pt idx="8384">
                  <c:v>2103.25</c:v>
                </c:pt>
                <c:pt idx="8385">
                  <c:v>2103.12</c:v>
                </c:pt>
                <c:pt idx="8386">
                  <c:v>2103.12</c:v>
                </c:pt>
                <c:pt idx="8387">
                  <c:v>2115.59</c:v>
                </c:pt>
                <c:pt idx="8388">
                  <c:v>2133.0300000000002</c:v>
                </c:pt>
                <c:pt idx="8389">
                  <c:v>2160.4699999999998</c:v>
                </c:pt>
                <c:pt idx="8390">
                  <c:v>2160.4699999999998</c:v>
                </c:pt>
                <c:pt idx="8391">
                  <c:v>2160.4699999999998</c:v>
                </c:pt>
                <c:pt idx="8392">
                  <c:v>2160.4699999999998</c:v>
                </c:pt>
                <c:pt idx="8393">
                  <c:v>2158.58</c:v>
                </c:pt>
                <c:pt idx="8394">
                  <c:v>2156.73</c:v>
                </c:pt>
                <c:pt idx="8395">
                  <c:v>2156.9299999999998</c:v>
                </c:pt>
                <c:pt idx="8396">
                  <c:v>2142.02</c:v>
                </c:pt>
                <c:pt idx="8397">
                  <c:v>2142.02</c:v>
                </c:pt>
                <c:pt idx="8398">
                  <c:v>2142.02</c:v>
                </c:pt>
                <c:pt idx="8399">
                  <c:v>2158.12</c:v>
                </c:pt>
                <c:pt idx="8400">
                  <c:v>2162.15</c:v>
                </c:pt>
                <c:pt idx="8401">
                  <c:v>2165.15</c:v>
                </c:pt>
                <c:pt idx="8402">
                  <c:v>2165.15</c:v>
                </c:pt>
                <c:pt idx="8403">
                  <c:v>2206.19</c:v>
                </c:pt>
                <c:pt idx="8404">
                  <c:v>2206.19</c:v>
                </c:pt>
                <c:pt idx="8405">
                  <c:v>2206.19</c:v>
                </c:pt>
                <c:pt idx="8406">
                  <c:v>2252.36</c:v>
                </c:pt>
                <c:pt idx="8407">
                  <c:v>2293.4699999999998</c:v>
                </c:pt>
                <c:pt idx="8408">
                  <c:v>2286.0300000000002</c:v>
                </c:pt>
                <c:pt idx="8409">
                  <c:v>2284.2399999999998</c:v>
                </c:pt>
                <c:pt idx="8410">
                  <c:v>2304.12</c:v>
                </c:pt>
                <c:pt idx="8411">
                  <c:v>2304.12</c:v>
                </c:pt>
                <c:pt idx="8412">
                  <c:v>2304.12</c:v>
                </c:pt>
                <c:pt idx="8413">
                  <c:v>2304.12</c:v>
                </c:pt>
                <c:pt idx="8414">
                  <c:v>2350.0100000000002</c:v>
                </c:pt>
                <c:pt idx="8415">
                  <c:v>2381.96</c:v>
                </c:pt>
                <c:pt idx="8416">
                  <c:v>2423.56</c:v>
                </c:pt>
                <c:pt idx="8417">
                  <c:v>2405.31</c:v>
                </c:pt>
                <c:pt idx="8418">
                  <c:v>2405.31</c:v>
                </c:pt>
                <c:pt idx="8419">
                  <c:v>2405.31</c:v>
                </c:pt>
                <c:pt idx="8420">
                  <c:v>2414.39</c:v>
                </c:pt>
                <c:pt idx="8421">
                  <c:v>2446.35</c:v>
                </c:pt>
                <c:pt idx="8422">
                  <c:v>2412.79</c:v>
                </c:pt>
                <c:pt idx="8423">
                  <c:v>2334.98</c:v>
                </c:pt>
                <c:pt idx="8424">
                  <c:v>2297.14</c:v>
                </c:pt>
                <c:pt idx="8425">
                  <c:v>2297.14</c:v>
                </c:pt>
                <c:pt idx="8426">
                  <c:v>2297.14</c:v>
                </c:pt>
                <c:pt idx="8427">
                  <c:v>2316.9299999999998</c:v>
                </c:pt>
                <c:pt idx="8428">
                  <c:v>2342.5700000000002</c:v>
                </c:pt>
                <c:pt idx="8429">
                  <c:v>2346.9</c:v>
                </c:pt>
                <c:pt idx="8430">
                  <c:v>2346.9</c:v>
                </c:pt>
                <c:pt idx="8431">
                  <c:v>2358.46</c:v>
                </c:pt>
                <c:pt idx="8432">
                  <c:v>2358.46</c:v>
                </c:pt>
                <c:pt idx="8433">
                  <c:v>2358.46</c:v>
                </c:pt>
                <c:pt idx="8434">
                  <c:v>2378.56</c:v>
                </c:pt>
                <c:pt idx="8435">
                  <c:v>2392.46</c:v>
                </c:pt>
                <c:pt idx="8436">
                  <c:v>2392.46</c:v>
                </c:pt>
                <c:pt idx="8437">
                  <c:v>2392.46</c:v>
                </c:pt>
                <c:pt idx="8438">
                  <c:v>2383.37</c:v>
                </c:pt>
                <c:pt idx="8439">
                  <c:v>2383.37</c:v>
                </c:pt>
                <c:pt idx="8440">
                  <c:v>2383.37</c:v>
                </c:pt>
                <c:pt idx="8441">
                  <c:v>2412.8200000000002</c:v>
                </c:pt>
                <c:pt idx="8442">
                  <c:v>2452.11</c:v>
                </c:pt>
                <c:pt idx="8443">
                  <c:v>2434.31</c:v>
                </c:pt>
                <c:pt idx="8444">
                  <c:v>2405.0300000000002</c:v>
                </c:pt>
                <c:pt idx="8445">
                  <c:v>2406.71</c:v>
                </c:pt>
                <c:pt idx="8446">
                  <c:v>2406.71</c:v>
                </c:pt>
                <c:pt idx="8447">
                  <c:v>2406.71</c:v>
                </c:pt>
                <c:pt idx="8448">
                  <c:v>2406.71</c:v>
                </c:pt>
                <c:pt idx="8449">
                  <c:v>2442.0300000000002</c:v>
                </c:pt>
                <c:pt idx="8450">
                  <c:v>2438.79</c:v>
                </c:pt>
                <c:pt idx="8451">
                  <c:v>2398.91</c:v>
                </c:pt>
                <c:pt idx="8452">
                  <c:v>2383.91</c:v>
                </c:pt>
                <c:pt idx="8453">
                  <c:v>2383.91</c:v>
                </c:pt>
                <c:pt idx="8454">
                  <c:v>2383.91</c:v>
                </c:pt>
                <c:pt idx="8455">
                  <c:v>2383.91</c:v>
                </c:pt>
                <c:pt idx="8456">
                  <c:v>2373.44</c:v>
                </c:pt>
                <c:pt idx="8457">
                  <c:v>2361.54</c:v>
                </c:pt>
                <c:pt idx="8458">
                  <c:v>2370.75</c:v>
                </c:pt>
                <c:pt idx="8459">
                  <c:v>2386.5</c:v>
                </c:pt>
                <c:pt idx="8460">
                  <c:v>2386.5</c:v>
                </c:pt>
                <c:pt idx="8461">
                  <c:v>2386.5</c:v>
                </c:pt>
                <c:pt idx="8462">
                  <c:v>2386.2800000000002</c:v>
                </c:pt>
                <c:pt idx="8463">
                  <c:v>2381.11</c:v>
                </c:pt>
                <c:pt idx="8464">
                  <c:v>2362.42</c:v>
                </c:pt>
                <c:pt idx="8465">
                  <c:v>2397.35</c:v>
                </c:pt>
                <c:pt idx="8466">
                  <c:v>2441.1</c:v>
                </c:pt>
                <c:pt idx="8467">
                  <c:v>2441.1</c:v>
                </c:pt>
                <c:pt idx="8468">
                  <c:v>2441.1</c:v>
                </c:pt>
                <c:pt idx="8469">
                  <c:v>2407.29</c:v>
                </c:pt>
                <c:pt idx="8470">
                  <c:v>2374.7199999999998</c:v>
                </c:pt>
                <c:pt idx="8471">
                  <c:v>2381.91</c:v>
                </c:pt>
                <c:pt idx="8472">
                  <c:v>2384.5300000000002</c:v>
                </c:pt>
                <c:pt idx="8473">
                  <c:v>2384.7600000000002</c:v>
                </c:pt>
                <c:pt idx="8474">
                  <c:v>2384.7600000000002</c:v>
                </c:pt>
                <c:pt idx="8475">
                  <c:v>2384.7600000000002</c:v>
                </c:pt>
                <c:pt idx="8476">
                  <c:v>2371.31</c:v>
                </c:pt>
                <c:pt idx="8477">
                  <c:v>2380.79</c:v>
                </c:pt>
                <c:pt idx="8478">
                  <c:v>2416.61</c:v>
                </c:pt>
                <c:pt idx="8479">
                  <c:v>2401.0300000000002</c:v>
                </c:pt>
                <c:pt idx="8480">
                  <c:v>2376.23</c:v>
                </c:pt>
                <c:pt idx="8481">
                  <c:v>2376.23</c:v>
                </c:pt>
                <c:pt idx="8482">
                  <c:v>2376.23</c:v>
                </c:pt>
                <c:pt idx="8483">
                  <c:v>2376.23</c:v>
                </c:pt>
                <c:pt idx="8484">
                  <c:v>2416.37</c:v>
                </c:pt>
                <c:pt idx="8485">
                  <c:v>2429.71</c:v>
                </c:pt>
                <c:pt idx="8486">
                  <c:v>2445.16</c:v>
                </c:pt>
                <c:pt idx="8487">
                  <c:v>2455.54</c:v>
                </c:pt>
                <c:pt idx="8488">
                  <c:v>2455.54</c:v>
                </c:pt>
                <c:pt idx="8489">
                  <c:v>2455.54</c:v>
                </c:pt>
                <c:pt idx="8490">
                  <c:v>2489.81</c:v>
                </c:pt>
                <c:pt idx="8491">
                  <c:v>2500.59</c:v>
                </c:pt>
                <c:pt idx="8492">
                  <c:v>2489.41</c:v>
                </c:pt>
                <c:pt idx="8493">
                  <c:v>2484.58</c:v>
                </c:pt>
                <c:pt idx="8494">
                  <c:v>2496.9899999999998</c:v>
                </c:pt>
                <c:pt idx="8495">
                  <c:v>2496.9899999999998</c:v>
                </c:pt>
                <c:pt idx="8496">
                  <c:v>2496.9899999999998</c:v>
                </c:pt>
                <c:pt idx="8497">
                  <c:v>2522.0300000000002</c:v>
                </c:pt>
                <c:pt idx="8498">
                  <c:v>2555.08</c:v>
                </c:pt>
                <c:pt idx="8499">
                  <c:v>2565.9</c:v>
                </c:pt>
                <c:pt idx="8500">
                  <c:v>2543.4699999999998</c:v>
                </c:pt>
                <c:pt idx="8501">
                  <c:v>2565.61</c:v>
                </c:pt>
                <c:pt idx="8502">
                  <c:v>2565.61</c:v>
                </c:pt>
                <c:pt idx="8503">
                  <c:v>2565.61</c:v>
                </c:pt>
                <c:pt idx="8504">
                  <c:v>2592.86</c:v>
                </c:pt>
                <c:pt idx="8505">
                  <c:v>2618.79</c:v>
                </c:pt>
                <c:pt idx="8506">
                  <c:v>2633.65</c:v>
                </c:pt>
                <c:pt idx="8507">
                  <c:v>2610.08</c:v>
                </c:pt>
                <c:pt idx="8508">
                  <c:v>2661.52</c:v>
                </c:pt>
                <c:pt idx="8509">
                  <c:v>2661.52</c:v>
                </c:pt>
                <c:pt idx="8510">
                  <c:v>2661.52</c:v>
                </c:pt>
                <c:pt idx="8511">
                  <c:v>2675.08</c:v>
                </c:pt>
                <c:pt idx="8512">
                  <c:v>2677.97</c:v>
                </c:pt>
                <c:pt idx="8513">
                  <c:v>2651.49</c:v>
                </c:pt>
                <c:pt idx="8514">
                  <c:v>2613.38</c:v>
                </c:pt>
                <c:pt idx="8515">
                  <c:v>2587.71</c:v>
                </c:pt>
                <c:pt idx="8516">
                  <c:v>2587.71</c:v>
                </c:pt>
                <c:pt idx="8517">
                  <c:v>2587.71</c:v>
                </c:pt>
                <c:pt idx="8518">
                  <c:v>2587.71</c:v>
                </c:pt>
                <c:pt idx="8519">
                  <c:v>2526.79</c:v>
                </c:pt>
                <c:pt idx="8520">
                  <c:v>2535.5500000000002</c:v>
                </c:pt>
                <c:pt idx="8521">
                  <c:v>2551.3000000000002</c:v>
                </c:pt>
                <c:pt idx="8522">
                  <c:v>2556.85</c:v>
                </c:pt>
                <c:pt idx="8523">
                  <c:v>2556.85</c:v>
                </c:pt>
                <c:pt idx="8524">
                  <c:v>2556.85</c:v>
                </c:pt>
                <c:pt idx="8525">
                  <c:v>2576.0500000000002</c:v>
                </c:pt>
                <c:pt idx="8526">
                  <c:v>2598.36</c:v>
                </c:pt>
                <c:pt idx="8527">
                  <c:v>2576.41</c:v>
                </c:pt>
                <c:pt idx="8528">
                  <c:v>2576.41</c:v>
                </c:pt>
                <c:pt idx="8529">
                  <c:v>2576.41</c:v>
                </c:pt>
                <c:pt idx="8530">
                  <c:v>2576.41</c:v>
                </c:pt>
                <c:pt idx="8531">
                  <c:v>2576.41</c:v>
                </c:pt>
                <c:pt idx="8532">
                  <c:v>2522.71</c:v>
                </c:pt>
                <c:pt idx="8533">
                  <c:v>2518.0500000000002</c:v>
                </c:pt>
                <c:pt idx="8534">
                  <c:v>2490.9</c:v>
                </c:pt>
                <c:pt idx="8535">
                  <c:v>2494.77</c:v>
                </c:pt>
                <c:pt idx="8536">
                  <c:v>2516.08</c:v>
                </c:pt>
                <c:pt idx="8537">
                  <c:v>2516.08</c:v>
                </c:pt>
                <c:pt idx="8538">
                  <c:v>2516.08</c:v>
                </c:pt>
                <c:pt idx="8539">
                  <c:v>2537.33</c:v>
                </c:pt>
                <c:pt idx="8540">
                  <c:v>2550.83</c:v>
                </c:pt>
                <c:pt idx="8541">
                  <c:v>2534.63</c:v>
                </c:pt>
                <c:pt idx="8542">
                  <c:v>2493.9299999999998</c:v>
                </c:pt>
                <c:pt idx="8543">
                  <c:v>2495.0100000000002</c:v>
                </c:pt>
                <c:pt idx="8544">
                  <c:v>2495.0100000000002</c:v>
                </c:pt>
                <c:pt idx="8545">
                  <c:v>2495.0100000000002</c:v>
                </c:pt>
                <c:pt idx="8546">
                  <c:v>2487.0700000000002</c:v>
                </c:pt>
                <c:pt idx="8547">
                  <c:v>2469.0300000000002</c:v>
                </c:pt>
                <c:pt idx="8548">
                  <c:v>2488.5</c:v>
                </c:pt>
                <c:pt idx="8549">
                  <c:v>2471.21</c:v>
                </c:pt>
                <c:pt idx="8550">
                  <c:v>2461.17</c:v>
                </c:pt>
                <c:pt idx="8551">
                  <c:v>2461.17</c:v>
                </c:pt>
                <c:pt idx="8552">
                  <c:v>2461.17</c:v>
                </c:pt>
                <c:pt idx="8553">
                  <c:v>2419.81</c:v>
                </c:pt>
                <c:pt idx="8554">
                  <c:v>2393.42</c:v>
                </c:pt>
                <c:pt idx="8555">
                  <c:v>2388.06</c:v>
                </c:pt>
                <c:pt idx="8556">
                  <c:v>2393.58</c:v>
                </c:pt>
                <c:pt idx="8557">
                  <c:v>2393.58</c:v>
                </c:pt>
                <c:pt idx="8558">
                  <c:v>2393.58</c:v>
                </c:pt>
                <c:pt idx="8559">
                  <c:v>2393.58</c:v>
                </c:pt>
                <c:pt idx="8560">
                  <c:v>2408.17</c:v>
                </c:pt>
                <c:pt idx="8561">
                  <c:v>2386.7199999999998</c:v>
                </c:pt>
                <c:pt idx="8562">
                  <c:v>2362.41</c:v>
                </c:pt>
                <c:pt idx="8563">
                  <c:v>2369.23</c:v>
                </c:pt>
                <c:pt idx="8564">
                  <c:v>2360.58</c:v>
                </c:pt>
                <c:pt idx="8565">
                  <c:v>2360.58</c:v>
                </c:pt>
                <c:pt idx="8566">
                  <c:v>2360.58</c:v>
                </c:pt>
                <c:pt idx="8567">
                  <c:v>2381.5300000000002</c:v>
                </c:pt>
                <c:pt idx="8568">
                  <c:v>2386.77</c:v>
                </c:pt>
                <c:pt idx="8569">
                  <c:v>2377.87</c:v>
                </c:pt>
                <c:pt idx="8570">
                  <c:v>2389.4899999999998</c:v>
                </c:pt>
                <c:pt idx="8571">
                  <c:v>2417.0100000000002</c:v>
                </c:pt>
                <c:pt idx="8572">
                  <c:v>2417.0100000000002</c:v>
                </c:pt>
                <c:pt idx="8573">
                  <c:v>2417.0100000000002</c:v>
                </c:pt>
                <c:pt idx="8574">
                  <c:v>2417.0100000000002</c:v>
                </c:pt>
                <c:pt idx="8575">
                  <c:v>2475.4499999999998</c:v>
                </c:pt>
                <c:pt idx="8576">
                  <c:v>2503.37</c:v>
                </c:pt>
                <c:pt idx="8577">
                  <c:v>2489.39</c:v>
                </c:pt>
                <c:pt idx="8578">
                  <c:v>2500.2199999999998</c:v>
                </c:pt>
                <c:pt idx="8579">
                  <c:v>2500.2199999999998</c:v>
                </c:pt>
                <c:pt idx="8580">
                  <c:v>2500.2199999999998</c:v>
                </c:pt>
                <c:pt idx="8581">
                  <c:v>2500.2199999999998</c:v>
                </c:pt>
                <c:pt idx="8582">
                  <c:v>2542.5300000000002</c:v>
                </c:pt>
                <c:pt idx="8583">
                  <c:v>2548.13</c:v>
                </c:pt>
                <c:pt idx="8584">
                  <c:v>2549.9699999999998</c:v>
                </c:pt>
                <c:pt idx="8585">
                  <c:v>2533.79</c:v>
                </c:pt>
                <c:pt idx="8586">
                  <c:v>2533.79</c:v>
                </c:pt>
                <c:pt idx="8587">
                  <c:v>2533.79</c:v>
                </c:pt>
                <c:pt idx="8588">
                  <c:v>2549.29</c:v>
                </c:pt>
                <c:pt idx="8589">
                  <c:v>2554.44</c:v>
                </c:pt>
                <c:pt idx="8590">
                  <c:v>2571.92</c:v>
                </c:pt>
                <c:pt idx="8591">
                  <c:v>2588.56</c:v>
                </c:pt>
                <c:pt idx="8592">
                  <c:v>2623.66</c:v>
                </c:pt>
                <c:pt idx="8593">
                  <c:v>2623.66</c:v>
                </c:pt>
                <c:pt idx="8594">
                  <c:v>2623.66</c:v>
                </c:pt>
                <c:pt idx="8595">
                  <c:v>2623.66</c:v>
                </c:pt>
                <c:pt idx="8596">
                  <c:v>2569.17</c:v>
                </c:pt>
                <c:pt idx="8597">
                  <c:v>2523</c:v>
                </c:pt>
                <c:pt idx="8598">
                  <c:v>2538.5500000000002</c:v>
                </c:pt>
                <c:pt idx="8599">
                  <c:v>2535.91</c:v>
                </c:pt>
                <c:pt idx="8600">
                  <c:v>2535.91</c:v>
                </c:pt>
                <c:pt idx="8601">
                  <c:v>2535.91</c:v>
                </c:pt>
                <c:pt idx="8602">
                  <c:v>2535.91</c:v>
                </c:pt>
                <c:pt idx="8603">
                  <c:v>2531.7199999999998</c:v>
                </c:pt>
                <c:pt idx="8604">
                  <c:v>2550.4299999999998</c:v>
                </c:pt>
                <c:pt idx="8605">
                  <c:v>2528.85</c:v>
                </c:pt>
                <c:pt idx="8606">
                  <c:v>2548.1999999999998</c:v>
                </c:pt>
                <c:pt idx="8607">
                  <c:v>2548.1999999999998</c:v>
                </c:pt>
                <c:pt idx="8608">
                  <c:v>2548.1999999999998</c:v>
                </c:pt>
                <c:pt idx="8609">
                  <c:v>2537.6799999999998</c:v>
                </c:pt>
                <c:pt idx="8610">
                  <c:v>2550.7399999999998</c:v>
                </c:pt>
                <c:pt idx="8611">
                  <c:v>2566.66</c:v>
                </c:pt>
                <c:pt idx="8612">
                  <c:v>2556.21</c:v>
                </c:pt>
                <c:pt idx="8613">
                  <c:v>2585.11</c:v>
                </c:pt>
                <c:pt idx="8614">
                  <c:v>2585.11</c:v>
                </c:pt>
                <c:pt idx="8615">
                  <c:v>2585.11</c:v>
                </c:pt>
                <c:pt idx="8616">
                  <c:v>2585.11</c:v>
                </c:pt>
                <c:pt idx="8617">
                  <c:v>2598.6799999999998</c:v>
                </c:pt>
                <c:pt idx="8618">
                  <c:v>2626.8</c:v>
                </c:pt>
                <c:pt idx="8619">
                  <c:v>2623.91</c:v>
                </c:pt>
                <c:pt idx="8620">
                  <c:v>2642.97</c:v>
                </c:pt>
                <c:pt idx="8621">
                  <c:v>2642.97</c:v>
                </c:pt>
                <c:pt idx="8622">
                  <c:v>2642.97</c:v>
                </c:pt>
                <c:pt idx="8623">
                  <c:v>2665.41</c:v>
                </c:pt>
                <c:pt idx="8624">
                  <c:v>2690.15</c:v>
                </c:pt>
                <c:pt idx="8625">
                  <c:v>2690.79</c:v>
                </c:pt>
                <c:pt idx="8626">
                  <c:v>2670.79</c:v>
                </c:pt>
                <c:pt idx="8627">
                  <c:v>2667.37</c:v>
                </c:pt>
                <c:pt idx="8628">
                  <c:v>2667.37</c:v>
                </c:pt>
                <c:pt idx="8629">
                  <c:v>2667.37</c:v>
                </c:pt>
                <c:pt idx="8630">
                  <c:v>2693.54</c:v>
                </c:pt>
                <c:pt idx="8631">
                  <c:v>2688.2</c:v>
                </c:pt>
                <c:pt idx="8632">
                  <c:v>2713.04</c:v>
                </c:pt>
                <c:pt idx="8633">
                  <c:v>2727.23</c:v>
                </c:pt>
                <c:pt idx="8634">
                  <c:v>2751.88</c:v>
                </c:pt>
                <c:pt idx="8635">
                  <c:v>2751.88</c:v>
                </c:pt>
                <c:pt idx="8636">
                  <c:v>2751.88</c:v>
                </c:pt>
                <c:pt idx="8637">
                  <c:v>2751.88</c:v>
                </c:pt>
                <c:pt idx="8638">
                  <c:v>2765.1</c:v>
                </c:pt>
                <c:pt idx="8639">
                  <c:v>2790.26</c:v>
                </c:pt>
                <c:pt idx="8640">
                  <c:v>2807.36</c:v>
                </c:pt>
                <c:pt idx="8641">
                  <c:v>2857.46</c:v>
                </c:pt>
                <c:pt idx="8642">
                  <c:v>2857.46</c:v>
                </c:pt>
                <c:pt idx="8643">
                  <c:v>2857.46</c:v>
                </c:pt>
                <c:pt idx="8644">
                  <c:v>2854.13</c:v>
                </c:pt>
                <c:pt idx="8645">
                  <c:v>2855.44</c:v>
                </c:pt>
                <c:pt idx="8646">
                  <c:v>2855.32</c:v>
                </c:pt>
                <c:pt idx="8647">
                  <c:v>2866.04</c:v>
                </c:pt>
                <c:pt idx="8648">
                  <c:v>2862.51</c:v>
                </c:pt>
                <c:pt idx="8649">
                  <c:v>2862.51</c:v>
                </c:pt>
                <c:pt idx="8650">
                  <c:v>2862.51</c:v>
                </c:pt>
                <c:pt idx="8651">
                  <c:v>2902.98</c:v>
                </c:pt>
                <c:pt idx="8652">
                  <c:v>2906.95</c:v>
                </c:pt>
                <c:pt idx="8653">
                  <c:v>2945.97</c:v>
                </c:pt>
                <c:pt idx="8654">
                  <c:v>2955.31</c:v>
                </c:pt>
                <c:pt idx="8655">
                  <c:v>2955.31</c:v>
                </c:pt>
                <c:pt idx="8656">
                  <c:v>2955.31</c:v>
                </c:pt>
                <c:pt idx="8657">
                  <c:v>2955.31</c:v>
                </c:pt>
                <c:pt idx="8658">
                  <c:v>2913.45</c:v>
                </c:pt>
                <c:pt idx="8659">
                  <c:v>2943.97</c:v>
                </c:pt>
                <c:pt idx="8660">
                  <c:v>2937.63</c:v>
                </c:pt>
                <c:pt idx="8661">
                  <c:v>2966.12</c:v>
                </c:pt>
                <c:pt idx="8662">
                  <c:v>2983.12</c:v>
                </c:pt>
                <c:pt idx="8663">
                  <c:v>2983.12</c:v>
                </c:pt>
                <c:pt idx="8664">
                  <c:v>2983.12</c:v>
                </c:pt>
                <c:pt idx="8665">
                  <c:v>2983.12</c:v>
                </c:pt>
                <c:pt idx="8666">
                  <c:v>3003.35</c:v>
                </c:pt>
                <c:pt idx="8667">
                  <c:v>3027.2</c:v>
                </c:pt>
                <c:pt idx="8668">
                  <c:v>3053.65</c:v>
                </c:pt>
                <c:pt idx="8669">
                  <c:v>3102.6</c:v>
                </c:pt>
                <c:pt idx="8670">
                  <c:v>3102.6</c:v>
                </c:pt>
                <c:pt idx="8671">
                  <c:v>3102.6</c:v>
                </c:pt>
                <c:pt idx="8672">
                  <c:v>3208.37</c:v>
                </c:pt>
                <c:pt idx="8673">
                  <c:v>3194.24</c:v>
                </c:pt>
                <c:pt idx="8674">
                  <c:v>3238.51</c:v>
                </c:pt>
                <c:pt idx="8675">
                  <c:v>3195.47</c:v>
                </c:pt>
                <c:pt idx="8676">
                  <c:v>3101.1</c:v>
                </c:pt>
                <c:pt idx="8677">
                  <c:v>3101.1</c:v>
                </c:pt>
                <c:pt idx="8678">
                  <c:v>3101.1</c:v>
                </c:pt>
                <c:pt idx="8679">
                  <c:v>3079.97</c:v>
                </c:pt>
                <c:pt idx="8680">
                  <c:v>3093.64</c:v>
                </c:pt>
                <c:pt idx="8681">
                  <c:v>3142.34</c:v>
                </c:pt>
                <c:pt idx="8682">
                  <c:v>3119.93</c:v>
                </c:pt>
                <c:pt idx="8683">
                  <c:v>3113.55</c:v>
                </c:pt>
                <c:pt idx="8684">
                  <c:v>3113.55</c:v>
                </c:pt>
                <c:pt idx="8685">
                  <c:v>3113.55</c:v>
                </c:pt>
                <c:pt idx="8686">
                  <c:v>3113.55</c:v>
                </c:pt>
                <c:pt idx="8687">
                  <c:v>3138.46</c:v>
                </c:pt>
                <c:pt idx="8688">
                  <c:v>3105.4</c:v>
                </c:pt>
                <c:pt idx="8689">
                  <c:v>3080.57</c:v>
                </c:pt>
                <c:pt idx="8690">
                  <c:v>3012.96</c:v>
                </c:pt>
                <c:pt idx="8691">
                  <c:v>3012.96</c:v>
                </c:pt>
                <c:pt idx="8692">
                  <c:v>3012.96</c:v>
                </c:pt>
                <c:pt idx="8693">
                  <c:v>3032.59</c:v>
                </c:pt>
                <c:pt idx="8694">
                  <c:v>3025.28</c:v>
                </c:pt>
                <c:pt idx="8695">
                  <c:v>2989.04</c:v>
                </c:pt>
                <c:pt idx="8696">
                  <c:v>2975.13</c:v>
                </c:pt>
                <c:pt idx="8697">
                  <c:v>2984.9</c:v>
                </c:pt>
                <c:pt idx="8698">
                  <c:v>2984.9</c:v>
                </c:pt>
                <c:pt idx="8699">
                  <c:v>2984.9</c:v>
                </c:pt>
                <c:pt idx="8700">
                  <c:v>3001.68</c:v>
                </c:pt>
                <c:pt idx="8701">
                  <c:v>3065.74</c:v>
                </c:pt>
                <c:pt idx="8702">
                  <c:v>3099.28</c:v>
                </c:pt>
                <c:pt idx="8703">
                  <c:v>3135.17</c:v>
                </c:pt>
                <c:pt idx="8704">
                  <c:v>3080.44</c:v>
                </c:pt>
                <c:pt idx="8705">
                  <c:v>3080.44</c:v>
                </c:pt>
                <c:pt idx="8706">
                  <c:v>3080.44</c:v>
                </c:pt>
                <c:pt idx="8707">
                  <c:v>3096.98</c:v>
                </c:pt>
                <c:pt idx="8708">
                  <c:v>3121.94</c:v>
                </c:pt>
                <c:pt idx="8709">
                  <c:v>3086.75</c:v>
                </c:pt>
                <c:pt idx="8710">
                  <c:v>3061.85</c:v>
                </c:pt>
                <c:pt idx="8711">
                  <c:v>3034.9</c:v>
                </c:pt>
                <c:pt idx="8712">
                  <c:v>3034.9</c:v>
                </c:pt>
                <c:pt idx="8713">
                  <c:v>3034.9</c:v>
                </c:pt>
                <c:pt idx="8714">
                  <c:v>2971.15</c:v>
                </c:pt>
                <c:pt idx="8715">
                  <c:v>2913.74</c:v>
                </c:pt>
                <c:pt idx="8716">
                  <c:v>2891.91</c:v>
                </c:pt>
                <c:pt idx="8717">
                  <c:v>2887.21</c:v>
                </c:pt>
                <c:pt idx="8718">
                  <c:v>2855.74</c:v>
                </c:pt>
                <c:pt idx="8719">
                  <c:v>2855.74</c:v>
                </c:pt>
                <c:pt idx="8720">
                  <c:v>2855.74</c:v>
                </c:pt>
                <c:pt idx="8721">
                  <c:v>2855.74</c:v>
                </c:pt>
                <c:pt idx="8722">
                  <c:v>2910.7</c:v>
                </c:pt>
                <c:pt idx="8723">
                  <c:v>2928.69</c:v>
                </c:pt>
                <c:pt idx="8724">
                  <c:v>2908.87</c:v>
                </c:pt>
                <c:pt idx="8725">
                  <c:v>2879.89</c:v>
                </c:pt>
                <c:pt idx="8726">
                  <c:v>2879.89</c:v>
                </c:pt>
                <c:pt idx="8727">
                  <c:v>2879.89</c:v>
                </c:pt>
                <c:pt idx="8728">
                  <c:v>2912.99</c:v>
                </c:pt>
                <c:pt idx="8729">
                  <c:v>2929.19</c:v>
                </c:pt>
                <c:pt idx="8730">
                  <c:v>2966.68</c:v>
                </c:pt>
                <c:pt idx="8731">
                  <c:v>2925.36</c:v>
                </c:pt>
                <c:pt idx="8732">
                  <c:v>2912.08</c:v>
                </c:pt>
                <c:pt idx="8733">
                  <c:v>2912.08</c:v>
                </c:pt>
                <c:pt idx="8734">
                  <c:v>2912.08</c:v>
                </c:pt>
                <c:pt idx="8735">
                  <c:v>2918.21</c:v>
                </c:pt>
                <c:pt idx="8736">
                  <c:v>2950.87</c:v>
                </c:pt>
                <c:pt idx="8737">
                  <c:v>2926.75</c:v>
                </c:pt>
                <c:pt idx="8738">
                  <c:v>2921.32</c:v>
                </c:pt>
                <c:pt idx="8739">
                  <c:v>2897.83</c:v>
                </c:pt>
                <c:pt idx="8740">
                  <c:v>2897.83</c:v>
                </c:pt>
                <c:pt idx="8741">
                  <c:v>2897.83</c:v>
                </c:pt>
                <c:pt idx="8742">
                  <c:v>2897.83</c:v>
                </c:pt>
                <c:pt idx="8743">
                  <c:v>2825.25</c:v>
                </c:pt>
                <c:pt idx="8744">
                  <c:v>2819.63</c:v>
                </c:pt>
                <c:pt idx="8745">
                  <c:v>2853.32</c:v>
                </c:pt>
                <c:pt idx="8746">
                  <c:v>2896.19</c:v>
                </c:pt>
                <c:pt idx="8747">
                  <c:v>2896.19</c:v>
                </c:pt>
                <c:pt idx="8748">
                  <c:v>2896.19</c:v>
                </c:pt>
                <c:pt idx="8749">
                  <c:v>2921.15</c:v>
                </c:pt>
                <c:pt idx="8750">
                  <c:v>2935.86</c:v>
                </c:pt>
                <c:pt idx="8751">
                  <c:v>2935.86</c:v>
                </c:pt>
                <c:pt idx="8752">
                  <c:v>3009.36</c:v>
                </c:pt>
                <c:pt idx="8753">
                  <c:v>3073.23</c:v>
                </c:pt>
                <c:pt idx="8754">
                  <c:v>3073.23</c:v>
                </c:pt>
                <c:pt idx="8755">
                  <c:v>3073.23</c:v>
                </c:pt>
                <c:pt idx="8756">
                  <c:v>3073.23</c:v>
                </c:pt>
                <c:pt idx="8757">
                  <c:v>3069.24</c:v>
                </c:pt>
                <c:pt idx="8758">
                  <c:v>3108.7</c:v>
                </c:pt>
                <c:pt idx="8759">
                  <c:v>3082.04</c:v>
                </c:pt>
                <c:pt idx="8760">
                  <c:v>3047.31</c:v>
                </c:pt>
                <c:pt idx="8761">
                  <c:v>3047.31</c:v>
                </c:pt>
                <c:pt idx="8762">
                  <c:v>3047.31</c:v>
                </c:pt>
                <c:pt idx="8763">
                  <c:v>3086.82</c:v>
                </c:pt>
                <c:pt idx="8764">
                  <c:v>3074.35</c:v>
                </c:pt>
                <c:pt idx="8765">
                  <c:v>3099.75</c:v>
                </c:pt>
                <c:pt idx="8766">
                  <c:v>3099.75</c:v>
                </c:pt>
                <c:pt idx="8767">
                  <c:v>3101.1</c:v>
                </c:pt>
                <c:pt idx="8768">
                  <c:v>3101.1</c:v>
                </c:pt>
                <c:pt idx="8769">
                  <c:v>3101.1</c:v>
                </c:pt>
                <c:pt idx="8770">
                  <c:v>3142.11</c:v>
                </c:pt>
                <c:pt idx="8771">
                  <c:v>3131.95</c:v>
                </c:pt>
                <c:pt idx="8772">
                  <c:v>3166.67</c:v>
                </c:pt>
                <c:pt idx="8773">
                  <c:v>3149.12</c:v>
                </c:pt>
                <c:pt idx="8774">
                  <c:v>3179.22</c:v>
                </c:pt>
                <c:pt idx="8775">
                  <c:v>3179.22</c:v>
                </c:pt>
                <c:pt idx="8776">
                  <c:v>3179.22</c:v>
                </c:pt>
                <c:pt idx="8777">
                  <c:v>3287.03</c:v>
                </c:pt>
                <c:pt idx="8778">
                  <c:v>3287.03</c:v>
                </c:pt>
                <c:pt idx="8779">
                  <c:v>3294.02</c:v>
                </c:pt>
                <c:pt idx="8780">
                  <c:v>3259.56</c:v>
                </c:pt>
                <c:pt idx="8781">
                  <c:v>3299.36</c:v>
                </c:pt>
                <c:pt idx="8782">
                  <c:v>3299.36</c:v>
                </c:pt>
                <c:pt idx="8783">
                  <c:v>3299.36</c:v>
                </c:pt>
                <c:pt idx="8784">
                  <c:v>3356</c:v>
                </c:pt>
                <c:pt idx="8785">
                  <c:v>3328.08</c:v>
                </c:pt>
                <c:pt idx="8786">
                  <c:v>3317.72</c:v>
                </c:pt>
                <c:pt idx="8787">
                  <c:v>3333.37</c:v>
                </c:pt>
                <c:pt idx="8788">
                  <c:v>3337.68</c:v>
                </c:pt>
                <c:pt idx="8789">
                  <c:v>3337.68</c:v>
                </c:pt>
                <c:pt idx="8790">
                  <c:v>3337.68</c:v>
                </c:pt>
                <c:pt idx="8791">
                  <c:v>3332.7</c:v>
                </c:pt>
                <c:pt idx="8792">
                  <c:v>3307.24</c:v>
                </c:pt>
                <c:pt idx="8793">
                  <c:v>3255.19</c:v>
                </c:pt>
                <c:pt idx="8794">
                  <c:v>3172.03</c:v>
                </c:pt>
                <c:pt idx="8795">
                  <c:v>3172.03</c:v>
                </c:pt>
                <c:pt idx="8796">
                  <c:v>3172.03</c:v>
                </c:pt>
                <c:pt idx="8797">
                  <c:v>3172.03</c:v>
                </c:pt>
                <c:pt idx="8798">
                  <c:v>3180.87</c:v>
                </c:pt>
                <c:pt idx="8799">
                  <c:v>3155.22</c:v>
                </c:pt>
                <c:pt idx="8800">
                  <c:v>3149.47</c:v>
                </c:pt>
                <c:pt idx="8801">
                  <c:v>3149.47</c:v>
                </c:pt>
                <c:pt idx="8802">
                  <c:v>3149.47</c:v>
                </c:pt>
                <c:pt idx="8803">
                  <c:v>3149.47</c:v>
                </c:pt>
                <c:pt idx="8804">
                  <c:v>3149.47</c:v>
                </c:pt>
                <c:pt idx="8805">
                  <c:v>3213.24</c:v>
                </c:pt>
                <c:pt idx="8806">
                  <c:v>3203.86</c:v>
                </c:pt>
                <c:pt idx="8807">
                  <c:v>3250.69</c:v>
                </c:pt>
                <c:pt idx="8808">
                  <c:v>3287.28</c:v>
                </c:pt>
                <c:pt idx="8809">
                  <c:v>3268.37</c:v>
                </c:pt>
                <c:pt idx="8810">
                  <c:v>3268.37</c:v>
                </c:pt>
                <c:pt idx="8811">
                  <c:v>3268.37</c:v>
                </c:pt>
                <c:pt idx="8812">
                  <c:v>3268.37</c:v>
                </c:pt>
                <c:pt idx="8813">
                  <c:v>3246.51</c:v>
                </c:pt>
                <c:pt idx="8814">
                  <c:v>3235.45</c:v>
                </c:pt>
                <c:pt idx="8815">
                  <c:v>3240.71</c:v>
                </c:pt>
                <c:pt idx="8816">
                  <c:v>3293.94</c:v>
                </c:pt>
                <c:pt idx="8817">
                  <c:v>3293.94</c:v>
                </c:pt>
                <c:pt idx="8818">
                  <c:v>3293.94</c:v>
                </c:pt>
                <c:pt idx="8819">
                  <c:v>3293.94</c:v>
                </c:pt>
                <c:pt idx="8820">
                  <c:v>3297.46</c:v>
                </c:pt>
                <c:pt idx="8821">
                  <c:v>3357.67</c:v>
                </c:pt>
                <c:pt idx="8822">
                  <c:v>3368.49</c:v>
                </c:pt>
                <c:pt idx="8823">
                  <c:v>3281.74</c:v>
                </c:pt>
                <c:pt idx="8824">
                  <c:v>3281.74</c:v>
                </c:pt>
                <c:pt idx="8825">
                  <c:v>3281.74</c:v>
                </c:pt>
                <c:pt idx="8826">
                  <c:v>3362.38</c:v>
                </c:pt>
                <c:pt idx="8827">
                  <c:v>3375.8</c:v>
                </c:pt>
                <c:pt idx="8828">
                  <c:v>3366.63</c:v>
                </c:pt>
                <c:pt idx="8829">
                  <c:v>3302.92</c:v>
                </c:pt>
                <c:pt idx="8830">
                  <c:v>3287.31</c:v>
                </c:pt>
                <c:pt idx="8831">
                  <c:v>3287.31</c:v>
                </c:pt>
                <c:pt idx="8832">
                  <c:v>3287.31</c:v>
                </c:pt>
                <c:pt idx="8833">
                  <c:v>3326.82</c:v>
                </c:pt>
                <c:pt idx="8834">
                  <c:v>3387.69</c:v>
                </c:pt>
                <c:pt idx="8835">
                  <c:v>3382.2</c:v>
                </c:pt>
                <c:pt idx="8836">
                  <c:v>3315.75</c:v>
                </c:pt>
                <c:pt idx="8837">
                  <c:v>3320.49</c:v>
                </c:pt>
                <c:pt idx="8838">
                  <c:v>3320.49</c:v>
                </c:pt>
                <c:pt idx="8839">
                  <c:v>3320.49</c:v>
                </c:pt>
                <c:pt idx="8840">
                  <c:v>3367.02</c:v>
                </c:pt>
                <c:pt idx="8841">
                  <c:v>3391.93</c:v>
                </c:pt>
                <c:pt idx="8842">
                  <c:v>3385.65</c:v>
                </c:pt>
                <c:pt idx="8843">
                  <c:v>3434.89</c:v>
                </c:pt>
                <c:pt idx="8844">
                  <c:v>3409.82</c:v>
                </c:pt>
                <c:pt idx="8845">
                  <c:v>3409.82</c:v>
                </c:pt>
                <c:pt idx="8846">
                  <c:v>3409.82</c:v>
                </c:pt>
                <c:pt idx="8847">
                  <c:v>3409.82</c:v>
                </c:pt>
                <c:pt idx="8848">
                  <c:v>3406.87</c:v>
                </c:pt>
                <c:pt idx="8849">
                  <c:v>3391.87</c:v>
                </c:pt>
                <c:pt idx="8850">
                  <c:v>3338.03</c:v>
                </c:pt>
                <c:pt idx="8851">
                  <c:v>3356.78</c:v>
                </c:pt>
                <c:pt idx="8852">
                  <c:v>3356.78</c:v>
                </c:pt>
                <c:pt idx="8853">
                  <c:v>3356.78</c:v>
                </c:pt>
                <c:pt idx="8854">
                  <c:v>3314.24</c:v>
                </c:pt>
                <c:pt idx="8855">
                  <c:v>3322.54</c:v>
                </c:pt>
                <c:pt idx="8856">
                  <c:v>3341.69</c:v>
                </c:pt>
                <c:pt idx="8857">
                  <c:v>3310.16</c:v>
                </c:pt>
                <c:pt idx="8858">
                  <c:v>3306</c:v>
                </c:pt>
                <c:pt idx="8859">
                  <c:v>3306</c:v>
                </c:pt>
                <c:pt idx="8860">
                  <c:v>3306</c:v>
                </c:pt>
                <c:pt idx="8861">
                  <c:v>3319.8</c:v>
                </c:pt>
                <c:pt idx="8862">
                  <c:v>3268.86</c:v>
                </c:pt>
                <c:pt idx="8863">
                  <c:v>3205.6</c:v>
                </c:pt>
                <c:pt idx="8864">
                  <c:v>3203.03</c:v>
                </c:pt>
                <c:pt idx="8865">
                  <c:v>3163.25</c:v>
                </c:pt>
                <c:pt idx="8866">
                  <c:v>3163.25</c:v>
                </c:pt>
                <c:pt idx="8867">
                  <c:v>3163.25</c:v>
                </c:pt>
                <c:pt idx="8868">
                  <c:v>3135.28</c:v>
                </c:pt>
                <c:pt idx="8869">
                  <c:v>3155.9</c:v>
                </c:pt>
                <c:pt idx="8870">
                  <c:v>3192.49</c:v>
                </c:pt>
                <c:pt idx="8871">
                  <c:v>3204.27</c:v>
                </c:pt>
                <c:pt idx="8872">
                  <c:v>3164.12</c:v>
                </c:pt>
                <c:pt idx="8873">
                  <c:v>3164.12</c:v>
                </c:pt>
                <c:pt idx="8874">
                  <c:v>3164.12</c:v>
                </c:pt>
                <c:pt idx="8875">
                  <c:v>3175.95</c:v>
                </c:pt>
                <c:pt idx="8876">
                  <c:v>3175.88</c:v>
                </c:pt>
                <c:pt idx="8877">
                  <c:v>3155.9</c:v>
                </c:pt>
                <c:pt idx="8878">
                  <c:v>3087.39</c:v>
                </c:pt>
                <c:pt idx="8879">
                  <c:v>3065.79</c:v>
                </c:pt>
                <c:pt idx="8880">
                  <c:v>3065.79</c:v>
                </c:pt>
                <c:pt idx="8881">
                  <c:v>3065.79</c:v>
                </c:pt>
                <c:pt idx="8882">
                  <c:v>3065.79</c:v>
                </c:pt>
                <c:pt idx="8883">
                  <c:v>3050.31</c:v>
                </c:pt>
                <c:pt idx="8884">
                  <c:v>3058.8</c:v>
                </c:pt>
                <c:pt idx="8885">
                  <c:v>3058.8</c:v>
                </c:pt>
                <c:pt idx="8886">
                  <c:v>3058.8</c:v>
                </c:pt>
                <c:pt idx="8887">
                  <c:v>3058.8</c:v>
                </c:pt>
                <c:pt idx="8888">
                  <c:v>3058.8</c:v>
                </c:pt>
                <c:pt idx="8889">
                  <c:v>3047.85</c:v>
                </c:pt>
                <c:pt idx="8890">
                  <c:v>3052.33</c:v>
                </c:pt>
                <c:pt idx="8891">
                  <c:v>3022.35</c:v>
                </c:pt>
                <c:pt idx="8892">
                  <c:v>3000.63</c:v>
                </c:pt>
                <c:pt idx="8893">
                  <c:v>3038.48</c:v>
                </c:pt>
                <c:pt idx="8894">
                  <c:v>3038.48</c:v>
                </c:pt>
                <c:pt idx="8895">
                  <c:v>3038.48</c:v>
                </c:pt>
                <c:pt idx="8896">
                  <c:v>3066.94</c:v>
                </c:pt>
                <c:pt idx="8897">
                  <c:v>3085.82</c:v>
                </c:pt>
                <c:pt idx="8898">
                  <c:v>3081.39</c:v>
                </c:pt>
                <c:pt idx="8899">
                  <c:v>3109.6</c:v>
                </c:pt>
                <c:pt idx="8900">
                  <c:v>3076.29</c:v>
                </c:pt>
                <c:pt idx="8901">
                  <c:v>3076.29</c:v>
                </c:pt>
                <c:pt idx="8902">
                  <c:v>3076.29</c:v>
                </c:pt>
                <c:pt idx="8903">
                  <c:v>3057.96</c:v>
                </c:pt>
                <c:pt idx="8904">
                  <c:v>3036.57</c:v>
                </c:pt>
                <c:pt idx="8905">
                  <c:v>3006.35</c:v>
                </c:pt>
                <c:pt idx="8906">
                  <c:v>3000.78</c:v>
                </c:pt>
                <c:pt idx="8907">
                  <c:v>2999.38</c:v>
                </c:pt>
                <c:pt idx="8908">
                  <c:v>2999.38</c:v>
                </c:pt>
                <c:pt idx="8909">
                  <c:v>2999.38</c:v>
                </c:pt>
                <c:pt idx="8910">
                  <c:v>2995.86</c:v>
                </c:pt>
                <c:pt idx="8911">
                  <c:v>2912.2</c:v>
                </c:pt>
                <c:pt idx="8912">
                  <c:v>2899.92</c:v>
                </c:pt>
                <c:pt idx="8913">
                  <c:v>2928.7</c:v>
                </c:pt>
                <c:pt idx="8914">
                  <c:v>2939.7</c:v>
                </c:pt>
                <c:pt idx="8915">
                  <c:v>2939.7</c:v>
                </c:pt>
                <c:pt idx="8916">
                  <c:v>2939.7</c:v>
                </c:pt>
                <c:pt idx="8917">
                  <c:v>2962.08</c:v>
                </c:pt>
                <c:pt idx="8918">
                  <c:v>2945.37</c:v>
                </c:pt>
                <c:pt idx="8919">
                  <c:v>2943.23</c:v>
                </c:pt>
                <c:pt idx="8920">
                  <c:v>2885.72</c:v>
                </c:pt>
                <c:pt idx="8921">
                  <c:v>2851.14</c:v>
                </c:pt>
                <c:pt idx="8922">
                  <c:v>2851.14</c:v>
                </c:pt>
                <c:pt idx="8923">
                  <c:v>2851.14</c:v>
                </c:pt>
                <c:pt idx="8924">
                  <c:v>2833.78</c:v>
                </c:pt>
                <c:pt idx="8925">
                  <c:v>2895.51</c:v>
                </c:pt>
                <c:pt idx="8926">
                  <c:v>2942.16</c:v>
                </c:pt>
                <c:pt idx="8927">
                  <c:v>2952.37</c:v>
                </c:pt>
                <c:pt idx="8928">
                  <c:v>2969.62</c:v>
                </c:pt>
                <c:pt idx="8929">
                  <c:v>2969.62</c:v>
                </c:pt>
                <c:pt idx="8930">
                  <c:v>2969.62</c:v>
                </c:pt>
                <c:pt idx="8931">
                  <c:v>2969.62</c:v>
                </c:pt>
                <c:pt idx="8932">
                  <c:v>2979.54</c:v>
                </c:pt>
                <c:pt idx="8933">
                  <c:v>2956.82</c:v>
                </c:pt>
                <c:pt idx="8934">
                  <c:v>2934.88</c:v>
                </c:pt>
                <c:pt idx="8935">
                  <c:v>2983.82</c:v>
                </c:pt>
                <c:pt idx="8936">
                  <c:v>2983.82</c:v>
                </c:pt>
                <c:pt idx="8937">
                  <c:v>2983.82</c:v>
                </c:pt>
                <c:pt idx="8938">
                  <c:v>3007.74</c:v>
                </c:pt>
                <c:pt idx="8939">
                  <c:v>3020.89</c:v>
                </c:pt>
                <c:pt idx="8940">
                  <c:v>3031.48</c:v>
                </c:pt>
                <c:pt idx="8941">
                  <c:v>3056.06</c:v>
                </c:pt>
                <c:pt idx="8942">
                  <c:v>3047.99</c:v>
                </c:pt>
                <c:pt idx="8943">
                  <c:v>3047.99</c:v>
                </c:pt>
                <c:pt idx="8944">
                  <c:v>3047.99</c:v>
                </c:pt>
                <c:pt idx="8945">
                  <c:v>3058.25</c:v>
                </c:pt>
                <c:pt idx="8946">
                  <c:v>3059.92</c:v>
                </c:pt>
                <c:pt idx="8947">
                  <c:v>3061.89</c:v>
                </c:pt>
                <c:pt idx="8948">
                  <c:v>3054.6</c:v>
                </c:pt>
                <c:pt idx="8949">
                  <c:v>3069.17</c:v>
                </c:pt>
                <c:pt idx="8950">
                  <c:v>3069.17</c:v>
                </c:pt>
                <c:pt idx="8951">
                  <c:v>3069.17</c:v>
                </c:pt>
                <c:pt idx="8952">
                  <c:v>3069.17</c:v>
                </c:pt>
                <c:pt idx="8953">
                  <c:v>3089.65</c:v>
                </c:pt>
                <c:pt idx="8954">
                  <c:v>3117.83</c:v>
                </c:pt>
                <c:pt idx="8955">
                  <c:v>3110.88</c:v>
                </c:pt>
                <c:pt idx="8956">
                  <c:v>3017.71</c:v>
                </c:pt>
                <c:pt idx="8957">
                  <c:v>3017.71</c:v>
                </c:pt>
                <c:pt idx="8958">
                  <c:v>3017.71</c:v>
                </c:pt>
                <c:pt idx="8959">
                  <c:v>3017.71</c:v>
                </c:pt>
                <c:pt idx="8960">
                  <c:v>2950.95</c:v>
                </c:pt>
                <c:pt idx="8961">
                  <c:v>2905.23</c:v>
                </c:pt>
                <c:pt idx="8962">
                  <c:v>2942.13</c:v>
                </c:pt>
                <c:pt idx="8963">
                  <c:v>2969.83</c:v>
                </c:pt>
                <c:pt idx="8964">
                  <c:v>2969.83</c:v>
                </c:pt>
                <c:pt idx="8965">
                  <c:v>2969.83</c:v>
                </c:pt>
                <c:pt idx="8966">
                  <c:v>2990.35</c:v>
                </c:pt>
                <c:pt idx="8967">
                  <c:v>3003.28</c:v>
                </c:pt>
                <c:pt idx="8968">
                  <c:v>2989.56</c:v>
                </c:pt>
                <c:pt idx="8969">
                  <c:v>3019.12</c:v>
                </c:pt>
                <c:pt idx="8970">
                  <c:v>3010.91</c:v>
                </c:pt>
                <c:pt idx="8971">
                  <c:v>3010.91</c:v>
                </c:pt>
                <c:pt idx="8972">
                  <c:v>3010.91</c:v>
                </c:pt>
                <c:pt idx="8973">
                  <c:v>2972.97</c:v>
                </c:pt>
                <c:pt idx="8974">
                  <c:v>2976.29</c:v>
                </c:pt>
                <c:pt idx="8975">
                  <c:v>2944.06</c:v>
                </c:pt>
                <c:pt idx="8976">
                  <c:v>2897.53</c:v>
                </c:pt>
                <c:pt idx="8977">
                  <c:v>2972.92</c:v>
                </c:pt>
                <c:pt idx="8978">
                  <c:v>2972.92</c:v>
                </c:pt>
                <c:pt idx="8979">
                  <c:v>2972.92</c:v>
                </c:pt>
                <c:pt idx="8980">
                  <c:v>3022.78</c:v>
                </c:pt>
                <c:pt idx="8981">
                  <c:v>3005.18</c:v>
                </c:pt>
                <c:pt idx="8982">
                  <c:v>2916.15</c:v>
                </c:pt>
                <c:pt idx="8983">
                  <c:v>2919.01</c:v>
                </c:pt>
                <c:pt idx="8984">
                  <c:v>2914.38</c:v>
                </c:pt>
                <c:pt idx="8985">
                  <c:v>2914.38</c:v>
                </c:pt>
                <c:pt idx="8986">
                  <c:v>2914.38</c:v>
                </c:pt>
                <c:pt idx="8987">
                  <c:v>2914.38</c:v>
                </c:pt>
                <c:pt idx="8988">
                  <c:v>2966.87</c:v>
                </c:pt>
                <c:pt idx="8989">
                  <c:v>3003.2</c:v>
                </c:pt>
                <c:pt idx="8990">
                  <c:v>2986.49</c:v>
                </c:pt>
                <c:pt idx="8991">
                  <c:v>2952.64</c:v>
                </c:pt>
                <c:pt idx="8992">
                  <c:v>2952.64</c:v>
                </c:pt>
                <c:pt idx="8993">
                  <c:v>2952.64</c:v>
                </c:pt>
                <c:pt idx="8994">
                  <c:v>2929.81</c:v>
                </c:pt>
                <c:pt idx="8995">
                  <c:v>2911.91</c:v>
                </c:pt>
                <c:pt idx="8996">
                  <c:v>2936.53</c:v>
                </c:pt>
                <c:pt idx="8997">
                  <c:v>2923.07</c:v>
                </c:pt>
                <c:pt idx="8998">
                  <c:v>2923.46</c:v>
                </c:pt>
                <c:pt idx="8999">
                  <c:v>2923.46</c:v>
                </c:pt>
                <c:pt idx="9000">
                  <c:v>2923.46</c:v>
                </c:pt>
                <c:pt idx="9001">
                  <c:v>2928.3</c:v>
                </c:pt>
                <c:pt idx="9002">
                  <c:v>2931.08</c:v>
                </c:pt>
                <c:pt idx="9003">
                  <c:v>2931.08</c:v>
                </c:pt>
                <c:pt idx="9004">
                  <c:v>2928.67</c:v>
                </c:pt>
                <c:pt idx="9005">
                  <c:v>2942.65</c:v>
                </c:pt>
                <c:pt idx="9006">
                  <c:v>2942.65</c:v>
                </c:pt>
                <c:pt idx="9007">
                  <c:v>2942.65</c:v>
                </c:pt>
                <c:pt idx="9008">
                  <c:v>2997.25</c:v>
                </c:pt>
                <c:pt idx="9009">
                  <c:v>3055.15</c:v>
                </c:pt>
                <c:pt idx="9010">
                  <c:v>3073.52</c:v>
                </c:pt>
                <c:pt idx="9011">
                  <c:v>3091.78</c:v>
                </c:pt>
                <c:pt idx="9012">
                  <c:v>3081.75</c:v>
                </c:pt>
                <c:pt idx="9013">
                  <c:v>3081.75</c:v>
                </c:pt>
                <c:pt idx="9014">
                  <c:v>3081.75</c:v>
                </c:pt>
                <c:pt idx="9015">
                  <c:v>3090.28</c:v>
                </c:pt>
                <c:pt idx="9016">
                  <c:v>3084.81</c:v>
                </c:pt>
                <c:pt idx="9017">
                  <c:v>3110.43</c:v>
                </c:pt>
                <c:pt idx="9018">
                  <c:v>3079.83</c:v>
                </c:pt>
                <c:pt idx="9019">
                  <c:v>3052.8</c:v>
                </c:pt>
                <c:pt idx="9020">
                  <c:v>3052.8</c:v>
                </c:pt>
                <c:pt idx="9021">
                  <c:v>3052.8</c:v>
                </c:pt>
                <c:pt idx="9022">
                  <c:v>2992.5</c:v>
                </c:pt>
                <c:pt idx="9023">
                  <c:v>2974.31</c:v>
                </c:pt>
                <c:pt idx="9024">
                  <c:v>2954.9</c:v>
                </c:pt>
                <c:pt idx="9025">
                  <c:v>2911.26</c:v>
                </c:pt>
                <c:pt idx="9026">
                  <c:v>2908.67</c:v>
                </c:pt>
                <c:pt idx="9027">
                  <c:v>2908.67</c:v>
                </c:pt>
                <c:pt idx="9028">
                  <c:v>2908.67</c:v>
                </c:pt>
                <c:pt idx="9029">
                  <c:v>2908.67</c:v>
                </c:pt>
              </c:numCache>
            </c:numRef>
          </c:val>
          <c:extLst>
            <c:ext xmlns:c16="http://schemas.microsoft.com/office/drawing/2014/chart" uri="{C3380CC4-5D6E-409C-BE32-E72D297353CC}">
              <c16:uniqueId val="{00000000-FE77-4626-BFFE-8EB0EF89BCBB}"/>
            </c:ext>
          </c:extLst>
        </c:ser>
        <c:dLbls>
          <c:showLegendKey val="0"/>
          <c:showVal val="0"/>
          <c:showCatName val="0"/>
          <c:showSerName val="0"/>
          <c:showPercent val="0"/>
          <c:showBubbleSize val="0"/>
        </c:dLbls>
        <c:gapWidth val="267"/>
        <c:overlap val="-43"/>
        <c:axId val="524440776"/>
        <c:axId val="524441952"/>
      </c:barChart>
      <c:catAx>
        <c:axId val="52444077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CO"/>
          </a:p>
        </c:txPr>
        <c:crossAx val="524441952"/>
        <c:crosses val="autoZero"/>
        <c:auto val="1"/>
        <c:lblAlgn val="ctr"/>
        <c:lblOffset val="100"/>
        <c:noMultiLvlLbl val="0"/>
      </c:catAx>
      <c:valAx>
        <c:axId val="524441952"/>
        <c:scaling>
          <c:orientation val="minMax"/>
        </c:scaling>
        <c:delete val="0"/>
        <c:axPos val="l"/>
        <c:majorGridlines>
          <c:spPr>
            <a:ln w="9525" cap="flat" cmpd="sng" algn="ctr">
              <a:solidFill>
                <a:schemeClr val="dk1">
                  <a:lumMod val="15000"/>
                  <a:lumOff val="85000"/>
                </a:schemeClr>
              </a:solidFill>
              <a:round/>
            </a:ln>
            <a:effectLst/>
          </c:spPr>
        </c:majorGridlines>
        <c:numFmt formatCode="[$$]\ #,##0.00;\-[$$]\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crossAx val="524440776"/>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Contribución Financiera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'Graficos Final'!$B$66</c:f>
              <c:strCache>
                <c:ptCount val="1"/>
                <c:pt idx="0">
                  <c:v>Optimista</c:v>
                </c:pt>
              </c:strCache>
            </c:strRef>
          </c:tx>
          <c:spPr>
            <a:ln w="28575" cap="rnd">
              <a:solidFill>
                <a:schemeClr val="accent1"/>
              </a:solidFill>
              <a:round/>
            </a:ln>
            <a:effectLst/>
          </c:spPr>
          <c:marker>
            <c:symbol val="none"/>
          </c:marker>
          <c:dLbls>
            <c:dLbl>
              <c:idx val="5"/>
              <c:layout>
                <c:manualLayout>
                  <c:x val="-6.5777777777777782E-2"/>
                  <c:y val="4.86457421988918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388-41FA-8897-08A316EE7904}"/>
                </c:ext>
              </c:extLst>
            </c:dLbl>
            <c:spPr>
              <a:noFill/>
              <a:ln>
                <a:solidFill>
                  <a:schemeClr val="accent1"/>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Final'!$C$65:$H$65</c:f>
              <c:numCache>
                <c:formatCode>General</c:formatCode>
                <c:ptCount val="6"/>
                <c:pt idx="0">
                  <c:v>2015</c:v>
                </c:pt>
                <c:pt idx="1">
                  <c:v>2016</c:v>
                </c:pt>
                <c:pt idx="2">
                  <c:v>2017</c:v>
                </c:pt>
                <c:pt idx="3">
                  <c:v>2018</c:v>
                </c:pt>
                <c:pt idx="4">
                  <c:v>2019</c:v>
                </c:pt>
                <c:pt idx="5">
                  <c:v>2020</c:v>
                </c:pt>
              </c:numCache>
            </c:numRef>
          </c:cat>
          <c:val>
            <c:numRef>
              <c:f>'Graficos Final'!$C$66:$H$66</c:f>
              <c:numCache>
                <c:formatCode>0.0%</c:formatCode>
                <c:ptCount val="6"/>
                <c:pt idx="0">
                  <c:v>-3.8543399253459759E-2</c:v>
                </c:pt>
                <c:pt idx="1">
                  <c:v>1.1489318658901904E-2</c:v>
                </c:pt>
                <c:pt idx="2">
                  <c:v>3.1130720690785096E-2</c:v>
                </c:pt>
                <c:pt idx="3">
                  <c:v>4.5972606374443281E-2</c:v>
                </c:pt>
                <c:pt idx="4">
                  <c:v>3.706793700677008E-2</c:v>
                </c:pt>
                <c:pt idx="5">
                  <c:v>1.9346787981496028E-2</c:v>
                </c:pt>
              </c:numCache>
            </c:numRef>
          </c:val>
          <c:smooth val="0"/>
          <c:extLst>
            <c:ext xmlns:c16="http://schemas.microsoft.com/office/drawing/2014/chart" uri="{C3380CC4-5D6E-409C-BE32-E72D297353CC}">
              <c16:uniqueId val="{00000000-B388-41FA-8897-08A316EE7904}"/>
            </c:ext>
          </c:extLst>
        </c:ser>
        <c:ser>
          <c:idx val="1"/>
          <c:order val="1"/>
          <c:tx>
            <c:strRef>
              <c:f>'Graficos Final'!$B$67</c:f>
              <c:strCache>
                <c:ptCount val="1"/>
                <c:pt idx="0">
                  <c:v>Realista</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B388-41FA-8897-08A316EE7904}"/>
                </c:ext>
              </c:extLst>
            </c:dLbl>
            <c:dLbl>
              <c:idx val="5"/>
              <c:layout>
                <c:manualLayout>
                  <c:x val="-5.744444444444434E-2"/>
                  <c:y val="-7.179389034703997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388-41FA-8897-08A316EE7904}"/>
                </c:ext>
              </c:extLst>
            </c:dLbl>
            <c:spPr>
              <a:noFill/>
              <a:ln>
                <a:solidFill>
                  <a:schemeClr val="accent2">
                    <a:lumMod val="75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Final'!$C$65:$H$65</c:f>
              <c:numCache>
                <c:formatCode>General</c:formatCode>
                <c:ptCount val="6"/>
                <c:pt idx="0">
                  <c:v>2015</c:v>
                </c:pt>
                <c:pt idx="1">
                  <c:v>2016</c:v>
                </c:pt>
                <c:pt idx="2">
                  <c:v>2017</c:v>
                </c:pt>
                <c:pt idx="3">
                  <c:v>2018</c:v>
                </c:pt>
                <c:pt idx="4">
                  <c:v>2019</c:v>
                </c:pt>
                <c:pt idx="5">
                  <c:v>2020</c:v>
                </c:pt>
              </c:numCache>
            </c:numRef>
          </c:cat>
          <c:val>
            <c:numRef>
              <c:f>'Graficos Final'!$C$67:$H$67</c:f>
              <c:numCache>
                <c:formatCode>0.0%</c:formatCode>
                <c:ptCount val="6"/>
                <c:pt idx="0">
                  <c:v>-3.8543399253459759E-2</c:v>
                </c:pt>
                <c:pt idx="1">
                  <c:v>-1.2996330304225312E-2</c:v>
                </c:pt>
                <c:pt idx="2">
                  <c:v>-1.9732383189591529E-3</c:v>
                </c:pt>
                <c:pt idx="3">
                  <c:v>1.549404986468475E-2</c:v>
                </c:pt>
                <c:pt idx="4">
                  <c:v>2.2167969831998979E-2</c:v>
                </c:pt>
                <c:pt idx="5">
                  <c:v>2.9196244007448413E-2</c:v>
                </c:pt>
              </c:numCache>
            </c:numRef>
          </c:val>
          <c:smooth val="0"/>
          <c:extLst>
            <c:ext xmlns:c16="http://schemas.microsoft.com/office/drawing/2014/chart" uri="{C3380CC4-5D6E-409C-BE32-E72D297353CC}">
              <c16:uniqueId val="{00000005-B388-41FA-8897-08A316EE7904}"/>
            </c:ext>
          </c:extLst>
        </c:ser>
        <c:ser>
          <c:idx val="2"/>
          <c:order val="2"/>
          <c:tx>
            <c:strRef>
              <c:f>'Graficos Final'!$B$68</c:f>
              <c:strCache>
                <c:ptCount val="1"/>
                <c:pt idx="0">
                  <c:v>Pesimista</c:v>
                </c:pt>
              </c:strCache>
            </c:strRef>
          </c:tx>
          <c:spPr>
            <a:ln w="28575" cap="rnd">
              <a:solidFill>
                <a:schemeClr val="accent3"/>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B388-41FA-8897-08A316EE7904}"/>
                </c:ext>
              </c:extLst>
            </c:dLbl>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Final'!$C$65:$H$65</c:f>
              <c:numCache>
                <c:formatCode>General</c:formatCode>
                <c:ptCount val="6"/>
                <c:pt idx="0">
                  <c:v>2015</c:v>
                </c:pt>
                <c:pt idx="1">
                  <c:v>2016</c:v>
                </c:pt>
                <c:pt idx="2">
                  <c:v>2017</c:v>
                </c:pt>
                <c:pt idx="3">
                  <c:v>2018</c:v>
                </c:pt>
                <c:pt idx="4">
                  <c:v>2019</c:v>
                </c:pt>
                <c:pt idx="5">
                  <c:v>2020</c:v>
                </c:pt>
              </c:numCache>
            </c:numRef>
          </c:cat>
          <c:val>
            <c:numRef>
              <c:f>'Graficos Final'!$C$68:$H$68</c:f>
              <c:numCache>
                <c:formatCode>0.0%</c:formatCode>
                <c:ptCount val="6"/>
                <c:pt idx="0">
                  <c:v>-3.8543399253459759E-2</c:v>
                </c:pt>
                <c:pt idx="1">
                  <c:v>-9.723824228760565E-2</c:v>
                </c:pt>
                <c:pt idx="2">
                  <c:v>-9.8420105700498528E-2</c:v>
                </c:pt>
                <c:pt idx="3">
                  <c:v>-0.1011557705992423</c:v>
                </c:pt>
                <c:pt idx="4">
                  <c:v>-8.9883702191504322E-2</c:v>
                </c:pt>
                <c:pt idx="5">
                  <c:v>-7.5499750457671766E-2</c:v>
                </c:pt>
              </c:numCache>
            </c:numRef>
          </c:val>
          <c:smooth val="0"/>
          <c:extLst>
            <c:ext xmlns:c16="http://schemas.microsoft.com/office/drawing/2014/chart" uri="{C3380CC4-5D6E-409C-BE32-E72D297353CC}">
              <c16:uniqueId val="{00000007-B388-41FA-8897-08A316EE7904}"/>
            </c:ext>
          </c:extLst>
        </c:ser>
        <c:dLbls>
          <c:showLegendKey val="0"/>
          <c:showVal val="0"/>
          <c:showCatName val="0"/>
          <c:showSerName val="0"/>
          <c:showPercent val="0"/>
          <c:showBubbleSize val="0"/>
        </c:dLbls>
        <c:smooth val="0"/>
        <c:axId val="817577200"/>
        <c:axId val="817575120"/>
      </c:lineChart>
      <c:catAx>
        <c:axId val="8175772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5120"/>
        <c:crosses val="autoZero"/>
        <c:auto val="1"/>
        <c:lblAlgn val="ctr"/>
        <c:lblOffset val="100"/>
        <c:noMultiLvlLbl val="0"/>
      </c:catAx>
      <c:valAx>
        <c:axId val="8175751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7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EVA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'Graficos Final'!$B$44</c:f>
              <c:strCache>
                <c:ptCount val="1"/>
                <c:pt idx="0">
                  <c:v>Optimista</c:v>
                </c:pt>
              </c:strCache>
            </c:strRef>
          </c:tx>
          <c:spPr>
            <a:solidFill>
              <a:schemeClr val="accent1"/>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DA67-491A-ADC4-0FFC7F92FDD0}"/>
                </c:ext>
              </c:extLst>
            </c:dLbl>
            <c:dLbl>
              <c:idx val="3"/>
              <c:layout>
                <c:manualLayout>
                  <c:x val="0"/>
                  <c:y val="1.851851851851847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67-491A-ADC4-0FFC7F92FDD0}"/>
                </c:ext>
              </c:extLst>
            </c:dLbl>
            <c:dLbl>
              <c:idx val="4"/>
              <c:layout>
                <c:manualLayout>
                  <c:x val="0"/>
                  <c:y val="3.240740740740740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A67-491A-ADC4-0FFC7F92FDD0}"/>
                </c:ext>
              </c:extLst>
            </c:dLbl>
            <c:dLbl>
              <c:idx val="5"/>
              <c:layout>
                <c:manualLayout>
                  <c:x val="-1.0185067526415994E-16"/>
                  <c:y val="2.77777777777778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67-491A-ADC4-0FFC7F92FDD0}"/>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Final'!$C$43:$H$43</c:f>
              <c:numCache>
                <c:formatCode>General</c:formatCode>
                <c:ptCount val="6"/>
                <c:pt idx="0">
                  <c:v>2015</c:v>
                </c:pt>
                <c:pt idx="1">
                  <c:v>2016</c:v>
                </c:pt>
                <c:pt idx="2">
                  <c:v>2017</c:v>
                </c:pt>
                <c:pt idx="3">
                  <c:v>2018</c:v>
                </c:pt>
                <c:pt idx="4">
                  <c:v>2019</c:v>
                </c:pt>
                <c:pt idx="5">
                  <c:v>2020</c:v>
                </c:pt>
              </c:numCache>
            </c:numRef>
          </c:cat>
          <c:val>
            <c:numRef>
              <c:f>'Graficos Final'!$C$44:$H$44</c:f>
              <c:numCache>
                <c:formatCode>_("$"* #,##0_);_("$"* \(#,##0\);_("$"* "-"_);_(@_)</c:formatCode>
                <c:ptCount val="6"/>
                <c:pt idx="0">
                  <c:v>5125828071.4746971</c:v>
                </c:pt>
                <c:pt idx="1">
                  <c:v>8016109012.2380199</c:v>
                </c:pt>
                <c:pt idx="2">
                  <c:v>12764883340.578962</c:v>
                </c:pt>
                <c:pt idx="3">
                  <c:v>18326721070.605808</c:v>
                </c:pt>
                <c:pt idx="4">
                  <c:v>25257213537.341908</c:v>
                </c:pt>
                <c:pt idx="5">
                  <c:v>34140652144.251598</c:v>
                </c:pt>
              </c:numCache>
            </c:numRef>
          </c:val>
          <c:extLst>
            <c:ext xmlns:c16="http://schemas.microsoft.com/office/drawing/2014/chart" uri="{C3380CC4-5D6E-409C-BE32-E72D297353CC}">
              <c16:uniqueId val="{00000001-DA67-491A-ADC4-0FFC7F92FDD0}"/>
            </c:ext>
          </c:extLst>
        </c:ser>
        <c:ser>
          <c:idx val="1"/>
          <c:order val="1"/>
          <c:tx>
            <c:strRef>
              <c:f>'Graficos Final'!$B$45</c:f>
              <c:strCache>
                <c:ptCount val="1"/>
                <c:pt idx="0">
                  <c:v>Realista</c:v>
                </c:pt>
              </c:strCache>
            </c:strRef>
          </c:tx>
          <c:spPr>
            <a:solidFill>
              <a:schemeClr val="accent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DA67-491A-ADC4-0FFC7F92FDD0}"/>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Final'!$C$43:$H$43</c:f>
              <c:numCache>
                <c:formatCode>General</c:formatCode>
                <c:ptCount val="6"/>
                <c:pt idx="0">
                  <c:v>2015</c:v>
                </c:pt>
                <c:pt idx="1">
                  <c:v>2016</c:v>
                </c:pt>
                <c:pt idx="2">
                  <c:v>2017</c:v>
                </c:pt>
                <c:pt idx="3">
                  <c:v>2018</c:v>
                </c:pt>
                <c:pt idx="4">
                  <c:v>2019</c:v>
                </c:pt>
                <c:pt idx="5">
                  <c:v>2020</c:v>
                </c:pt>
              </c:numCache>
            </c:numRef>
          </c:cat>
          <c:val>
            <c:numRef>
              <c:f>'Graficos Final'!$C$45:$H$45</c:f>
              <c:numCache>
                <c:formatCode>_("$"* #,##0_);_("$"* \(#,##0\);_("$"* "-"_);_(@_)</c:formatCode>
                <c:ptCount val="6"/>
                <c:pt idx="0">
                  <c:v>5125828071.4746971</c:v>
                </c:pt>
                <c:pt idx="1">
                  <c:v>5946371155.0457859</c:v>
                </c:pt>
                <c:pt idx="2">
                  <c:v>6864361649.8519354</c:v>
                </c:pt>
                <c:pt idx="3">
                  <c:v>8121103500.8101015</c:v>
                </c:pt>
                <c:pt idx="4">
                  <c:v>9465520895.4893265</c:v>
                </c:pt>
                <c:pt idx="5">
                  <c:v>11036170809.969893</c:v>
                </c:pt>
              </c:numCache>
            </c:numRef>
          </c:val>
          <c:extLst>
            <c:ext xmlns:c16="http://schemas.microsoft.com/office/drawing/2014/chart" uri="{C3380CC4-5D6E-409C-BE32-E72D297353CC}">
              <c16:uniqueId val="{00000004-DA67-491A-ADC4-0FFC7F92FDD0}"/>
            </c:ext>
          </c:extLst>
        </c:ser>
        <c:ser>
          <c:idx val="2"/>
          <c:order val="2"/>
          <c:tx>
            <c:strRef>
              <c:f>'Graficos Final'!$B$46</c:f>
              <c:strCache>
                <c:ptCount val="1"/>
                <c:pt idx="0">
                  <c:v>Pesimista</c:v>
                </c:pt>
              </c:strCache>
            </c:strRef>
          </c:tx>
          <c:spPr>
            <a:solidFill>
              <a:schemeClr val="accent3"/>
            </a:solidFill>
            <a:ln>
              <a:noFill/>
            </a:ln>
            <a:effectLst/>
          </c:spPr>
          <c:invertIfNegative val="0"/>
          <c:dLbls>
            <c:dLbl>
              <c:idx val="0"/>
              <c:layout>
                <c:manualLayout>
                  <c:x val="-2.5000000000000001E-2"/>
                  <c:y val="9.2592592592591737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67-491A-ADC4-0FFC7F92FDD0}"/>
                </c:ext>
              </c:extLst>
            </c:dLbl>
            <c:dLbl>
              <c:idx val="4"/>
              <c:layout>
                <c:manualLayout>
                  <c:x val="2.7777777777777779E-3"/>
                  <c:y val="0.1388888888888889"/>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67-491A-ADC4-0FFC7F92FDD0}"/>
                </c:ext>
              </c:extLst>
            </c:dLbl>
            <c:dLbl>
              <c:idx val="5"/>
              <c:layout>
                <c:manualLayout>
                  <c:x val="-1.0185067526415994E-16"/>
                  <c:y val="0.1805555555555555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67-491A-ADC4-0FFC7F92FDD0}"/>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Final'!$C$43:$H$43</c:f>
              <c:numCache>
                <c:formatCode>General</c:formatCode>
                <c:ptCount val="6"/>
                <c:pt idx="0">
                  <c:v>2015</c:v>
                </c:pt>
                <c:pt idx="1">
                  <c:v>2016</c:v>
                </c:pt>
                <c:pt idx="2">
                  <c:v>2017</c:v>
                </c:pt>
                <c:pt idx="3">
                  <c:v>2018</c:v>
                </c:pt>
                <c:pt idx="4">
                  <c:v>2019</c:v>
                </c:pt>
                <c:pt idx="5">
                  <c:v>2020</c:v>
                </c:pt>
              </c:numCache>
            </c:numRef>
          </c:cat>
          <c:val>
            <c:numRef>
              <c:f>'Graficos Final'!$C$46:$H$46</c:f>
              <c:numCache>
                <c:formatCode>_("$"* #,##0_);_("$"* \(#,##0\);_("$"* "-"_);_(@_)</c:formatCode>
                <c:ptCount val="6"/>
                <c:pt idx="0">
                  <c:v>5125828071.4746971</c:v>
                </c:pt>
                <c:pt idx="1">
                  <c:v>3205490993.7341862</c:v>
                </c:pt>
                <c:pt idx="2">
                  <c:v>1319773486.0928714</c:v>
                </c:pt>
                <c:pt idx="3">
                  <c:v>60098654.365596831</c:v>
                </c:pt>
                <c:pt idx="4">
                  <c:v>-941871551.83148289</c:v>
                </c:pt>
                <c:pt idx="5">
                  <c:v>-1747333204.510807</c:v>
                </c:pt>
              </c:numCache>
            </c:numRef>
          </c:val>
          <c:extLst>
            <c:ext xmlns:c16="http://schemas.microsoft.com/office/drawing/2014/chart" uri="{C3380CC4-5D6E-409C-BE32-E72D297353CC}">
              <c16:uniqueId val="{00000006-DA67-491A-ADC4-0FFC7F92FDD0}"/>
            </c:ext>
          </c:extLst>
        </c:ser>
        <c:dLbls>
          <c:showLegendKey val="0"/>
          <c:showVal val="0"/>
          <c:showCatName val="0"/>
          <c:showSerName val="0"/>
          <c:showPercent val="0"/>
          <c:showBubbleSize val="0"/>
        </c:dLbls>
        <c:gapWidth val="150"/>
        <c:axId val="817577200"/>
        <c:axId val="817575120"/>
      </c:barChart>
      <c:catAx>
        <c:axId val="8175772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5120"/>
        <c:crosses val="autoZero"/>
        <c:auto val="1"/>
        <c:lblAlgn val="ctr"/>
        <c:lblOffset val="100"/>
        <c:noMultiLvlLbl val="0"/>
      </c:catAx>
      <c:valAx>
        <c:axId val="8175751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7200"/>
        <c:crosses val="autoZero"/>
        <c:crossBetween val="between"/>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dispUnitsLbl>
        </c:dispUnits>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Tasa de Crecimiento Sostenible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'Graficos Final'!$B$131</c:f>
              <c:strCache>
                <c:ptCount val="1"/>
                <c:pt idx="0">
                  <c:v>Optimista</c:v>
                </c:pt>
              </c:strCache>
            </c:strRef>
          </c:tx>
          <c:spPr>
            <a:ln w="28575" cap="rnd">
              <a:solidFill>
                <a:schemeClr val="accent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12C3-4094-AF2B-8D497642B3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Final'!$C$130:$H$130</c:f>
              <c:numCache>
                <c:formatCode>General</c:formatCode>
                <c:ptCount val="6"/>
                <c:pt idx="0">
                  <c:v>2015</c:v>
                </c:pt>
                <c:pt idx="1">
                  <c:v>2016</c:v>
                </c:pt>
                <c:pt idx="2">
                  <c:v>2017</c:v>
                </c:pt>
                <c:pt idx="3">
                  <c:v>2018</c:v>
                </c:pt>
                <c:pt idx="4">
                  <c:v>2019</c:v>
                </c:pt>
                <c:pt idx="5">
                  <c:v>2020</c:v>
                </c:pt>
              </c:numCache>
            </c:numRef>
          </c:cat>
          <c:val>
            <c:numRef>
              <c:f>'Graficos Final'!$C$131:$H$131</c:f>
              <c:numCache>
                <c:formatCode>0.0%</c:formatCode>
                <c:ptCount val="6"/>
                <c:pt idx="0">
                  <c:v>0.13407215269236802</c:v>
                </c:pt>
                <c:pt idx="1">
                  <c:v>0.20097666185905158</c:v>
                </c:pt>
                <c:pt idx="2">
                  <c:v>0.26641498876080005</c:v>
                </c:pt>
                <c:pt idx="3">
                  <c:v>0.30982761361192185</c:v>
                </c:pt>
                <c:pt idx="4">
                  <c:v>0.32974590503110884</c:v>
                </c:pt>
                <c:pt idx="5">
                  <c:v>0.33907780952918398</c:v>
                </c:pt>
              </c:numCache>
            </c:numRef>
          </c:val>
          <c:smooth val="0"/>
          <c:extLst>
            <c:ext xmlns:c16="http://schemas.microsoft.com/office/drawing/2014/chart" uri="{C3380CC4-5D6E-409C-BE32-E72D297353CC}">
              <c16:uniqueId val="{00000001-12C3-4094-AF2B-8D497642B398}"/>
            </c:ext>
          </c:extLst>
        </c:ser>
        <c:ser>
          <c:idx val="1"/>
          <c:order val="1"/>
          <c:tx>
            <c:strRef>
              <c:f>'Graficos Final'!$B$132</c:f>
              <c:strCache>
                <c:ptCount val="1"/>
                <c:pt idx="0">
                  <c:v>Realista</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12C3-4094-AF2B-8D497642B3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Final'!$C$130:$H$130</c:f>
              <c:numCache>
                <c:formatCode>General</c:formatCode>
                <c:ptCount val="6"/>
                <c:pt idx="0">
                  <c:v>2015</c:v>
                </c:pt>
                <c:pt idx="1">
                  <c:v>2016</c:v>
                </c:pt>
                <c:pt idx="2">
                  <c:v>2017</c:v>
                </c:pt>
                <c:pt idx="3">
                  <c:v>2018</c:v>
                </c:pt>
                <c:pt idx="4">
                  <c:v>2019</c:v>
                </c:pt>
                <c:pt idx="5">
                  <c:v>2020</c:v>
                </c:pt>
              </c:numCache>
            </c:numRef>
          </c:cat>
          <c:val>
            <c:numRef>
              <c:f>'Graficos Final'!$C$132:$H$132</c:f>
              <c:numCache>
                <c:formatCode>0.0%</c:formatCode>
                <c:ptCount val="6"/>
                <c:pt idx="0">
                  <c:v>0.13407215269236802</c:v>
                </c:pt>
                <c:pt idx="1">
                  <c:v>0.15187168407849963</c:v>
                </c:pt>
                <c:pt idx="2">
                  <c:v>0.15954456171561068</c:v>
                </c:pt>
                <c:pt idx="3">
                  <c:v>0.17219275284471242</c:v>
                </c:pt>
                <c:pt idx="4">
                  <c:v>0.17675513418173303</c:v>
                </c:pt>
                <c:pt idx="5">
                  <c:v>0.18137027447381412</c:v>
                </c:pt>
              </c:numCache>
            </c:numRef>
          </c:val>
          <c:smooth val="0"/>
          <c:extLst>
            <c:ext xmlns:c16="http://schemas.microsoft.com/office/drawing/2014/chart" uri="{C3380CC4-5D6E-409C-BE32-E72D297353CC}">
              <c16:uniqueId val="{00000003-12C3-4094-AF2B-8D497642B398}"/>
            </c:ext>
          </c:extLst>
        </c:ser>
        <c:ser>
          <c:idx val="2"/>
          <c:order val="2"/>
          <c:tx>
            <c:strRef>
              <c:f>'Graficos Final'!$B$133</c:f>
              <c:strCache>
                <c:ptCount val="1"/>
                <c:pt idx="0">
                  <c:v>Pesimista</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Final'!$C$130:$H$130</c:f>
              <c:numCache>
                <c:formatCode>General</c:formatCode>
                <c:ptCount val="6"/>
                <c:pt idx="0">
                  <c:v>2015</c:v>
                </c:pt>
                <c:pt idx="1">
                  <c:v>2016</c:v>
                </c:pt>
                <c:pt idx="2">
                  <c:v>2017</c:v>
                </c:pt>
                <c:pt idx="3">
                  <c:v>2018</c:v>
                </c:pt>
                <c:pt idx="4">
                  <c:v>2019</c:v>
                </c:pt>
                <c:pt idx="5">
                  <c:v>2020</c:v>
                </c:pt>
              </c:numCache>
            </c:numRef>
          </c:cat>
          <c:val>
            <c:numRef>
              <c:f>'Graficos Final'!$C$133:$H$133</c:f>
              <c:numCache>
                <c:formatCode>0.0%</c:formatCode>
                <c:ptCount val="6"/>
                <c:pt idx="0">
                  <c:v>0.13407215269236802</c:v>
                </c:pt>
                <c:pt idx="1">
                  <c:v>6.5261553541858641E-2</c:v>
                </c:pt>
                <c:pt idx="2">
                  <c:v>3.1603252900874394E-2</c:v>
                </c:pt>
                <c:pt idx="3">
                  <c:v>7.0591413964163135E-3</c:v>
                </c:pt>
                <c:pt idx="4">
                  <c:v>-9.235494686111333E-3</c:v>
                </c:pt>
                <c:pt idx="5">
                  <c:v>-2.4229287254658546E-2</c:v>
                </c:pt>
              </c:numCache>
            </c:numRef>
          </c:val>
          <c:smooth val="0"/>
          <c:extLst>
            <c:ext xmlns:c16="http://schemas.microsoft.com/office/drawing/2014/chart" uri="{C3380CC4-5D6E-409C-BE32-E72D297353CC}">
              <c16:uniqueId val="{00000004-12C3-4094-AF2B-8D497642B398}"/>
            </c:ext>
          </c:extLst>
        </c:ser>
        <c:dLbls>
          <c:showLegendKey val="0"/>
          <c:showVal val="0"/>
          <c:showCatName val="0"/>
          <c:showSerName val="0"/>
          <c:showPercent val="0"/>
          <c:showBubbleSize val="0"/>
        </c:dLbls>
        <c:smooth val="0"/>
        <c:axId val="817577200"/>
        <c:axId val="817575120"/>
      </c:lineChart>
      <c:catAx>
        <c:axId val="8175772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5120"/>
        <c:crosses val="autoZero"/>
        <c:auto val="1"/>
        <c:lblAlgn val="ctr"/>
        <c:lblOffset val="100"/>
        <c:noMultiLvlLbl val="0"/>
      </c:catAx>
      <c:valAx>
        <c:axId val="817575120"/>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7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Ciclo de Efectivo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'Graficos Final'!$B$153</c:f>
              <c:strCache>
                <c:ptCount val="1"/>
                <c:pt idx="0">
                  <c:v>Optimista</c:v>
                </c:pt>
              </c:strCache>
            </c:strRef>
          </c:tx>
          <c:spPr>
            <a:ln w="28575" cap="rnd">
              <a:solidFill>
                <a:schemeClr val="accent1"/>
              </a:solidFill>
              <a:round/>
            </a:ln>
            <a:effectLst/>
          </c:spPr>
          <c:marker>
            <c:symbol val="none"/>
          </c:marker>
          <c:dLbls>
            <c:dLbl>
              <c:idx val="0"/>
              <c:delete val="1"/>
              <c:extLst>
                <c:ext xmlns:c15="http://schemas.microsoft.com/office/drawing/2012/chart" uri="{CE6537A1-D6FC-4f65-9D91-7224C49458BB}">
                  <c15:layout/>
                </c:ext>
                <c:ext xmlns:c16="http://schemas.microsoft.com/office/drawing/2014/chart" uri="{C3380CC4-5D6E-409C-BE32-E72D297353CC}">
                  <c16:uniqueId val="{00000002-3B10-4AD3-9F19-72F594F897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Final'!$C$152:$H$152</c:f>
              <c:numCache>
                <c:formatCode>General</c:formatCode>
                <c:ptCount val="6"/>
                <c:pt idx="0">
                  <c:v>2015</c:v>
                </c:pt>
                <c:pt idx="1">
                  <c:v>2016</c:v>
                </c:pt>
                <c:pt idx="2">
                  <c:v>2017</c:v>
                </c:pt>
                <c:pt idx="3">
                  <c:v>2018</c:v>
                </c:pt>
                <c:pt idx="4">
                  <c:v>2019</c:v>
                </c:pt>
                <c:pt idx="5">
                  <c:v>2020</c:v>
                </c:pt>
              </c:numCache>
            </c:numRef>
          </c:cat>
          <c:val>
            <c:numRef>
              <c:f>'Graficos Final'!$C$153:$H$153</c:f>
              <c:numCache>
                <c:formatCode>_-* #,##0_-;\-* #,##0_-;_-* "-"??_-;_-@_-</c:formatCode>
                <c:ptCount val="6"/>
                <c:pt idx="0">
                  <c:v>169.66949729985691</c:v>
                </c:pt>
                <c:pt idx="1">
                  <c:v>358.44497801133485</c:v>
                </c:pt>
                <c:pt idx="2">
                  <c:v>269.54923569649577</c:v>
                </c:pt>
                <c:pt idx="3">
                  <c:v>191.50847865874601</c:v>
                </c:pt>
                <c:pt idx="4">
                  <c:v>122.25688862829637</c:v>
                </c:pt>
                <c:pt idx="5">
                  <c:v>60.022330196692423</c:v>
                </c:pt>
              </c:numCache>
            </c:numRef>
          </c:val>
          <c:smooth val="0"/>
          <c:extLst>
            <c:ext xmlns:c16="http://schemas.microsoft.com/office/drawing/2014/chart" uri="{C3380CC4-5D6E-409C-BE32-E72D297353CC}">
              <c16:uniqueId val="{00000001-BF28-4F13-AAD1-865D68BF6ADA}"/>
            </c:ext>
          </c:extLst>
        </c:ser>
        <c:ser>
          <c:idx val="1"/>
          <c:order val="1"/>
          <c:tx>
            <c:strRef>
              <c:f>'Graficos Final'!$B$154</c:f>
              <c:strCache>
                <c:ptCount val="1"/>
                <c:pt idx="0">
                  <c:v>Realista</c:v>
                </c:pt>
              </c:strCache>
            </c:strRef>
          </c:tx>
          <c:spPr>
            <a:ln w="28575" cap="rnd">
              <a:solidFill>
                <a:schemeClr val="accent2"/>
              </a:solidFill>
              <a:round/>
            </a:ln>
            <a:effectLst/>
          </c:spPr>
          <c:marker>
            <c:symbol val="none"/>
          </c:marker>
          <c:dLbls>
            <c:dLbl>
              <c:idx val="1"/>
              <c:layout>
                <c:manualLayout>
                  <c:x val="-0.10099321959755035"/>
                  <c:y val="-4.39468503937007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B10-4AD3-9F19-72F594F897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Final'!$C$152:$H$152</c:f>
              <c:numCache>
                <c:formatCode>General</c:formatCode>
                <c:ptCount val="6"/>
                <c:pt idx="0">
                  <c:v>2015</c:v>
                </c:pt>
                <c:pt idx="1">
                  <c:v>2016</c:v>
                </c:pt>
                <c:pt idx="2">
                  <c:v>2017</c:v>
                </c:pt>
                <c:pt idx="3">
                  <c:v>2018</c:v>
                </c:pt>
                <c:pt idx="4">
                  <c:v>2019</c:v>
                </c:pt>
                <c:pt idx="5">
                  <c:v>2020</c:v>
                </c:pt>
              </c:numCache>
            </c:numRef>
          </c:cat>
          <c:val>
            <c:numRef>
              <c:f>'Graficos Final'!$C$154:$H$154</c:f>
              <c:numCache>
                <c:formatCode>_-* #,##0_-;\-* #,##0_-;_-* "-"??_-;_-@_-</c:formatCode>
                <c:ptCount val="6"/>
                <c:pt idx="0">
                  <c:v>169.66949729985691</c:v>
                </c:pt>
                <c:pt idx="1">
                  <c:v>364.40360115057115</c:v>
                </c:pt>
                <c:pt idx="2">
                  <c:v>298.16776809950312</c:v>
                </c:pt>
                <c:pt idx="3">
                  <c:v>239.29648734108736</c:v>
                </c:pt>
                <c:pt idx="4">
                  <c:v>186.81163574838143</c:v>
                </c:pt>
                <c:pt idx="5">
                  <c:v>139.85614429496738</c:v>
                </c:pt>
              </c:numCache>
            </c:numRef>
          </c:val>
          <c:smooth val="0"/>
          <c:extLst>
            <c:ext xmlns:c16="http://schemas.microsoft.com/office/drawing/2014/chart" uri="{C3380CC4-5D6E-409C-BE32-E72D297353CC}">
              <c16:uniqueId val="{00000003-BF28-4F13-AAD1-865D68BF6ADA}"/>
            </c:ext>
          </c:extLst>
        </c:ser>
        <c:ser>
          <c:idx val="2"/>
          <c:order val="2"/>
          <c:tx>
            <c:strRef>
              <c:f>'Graficos Final'!$B$155</c:f>
              <c:strCache>
                <c:ptCount val="1"/>
                <c:pt idx="0">
                  <c:v>Pesimista</c:v>
                </c:pt>
              </c:strCache>
            </c:strRef>
          </c:tx>
          <c:spPr>
            <a:ln w="28575" cap="rnd">
              <a:solidFill>
                <a:schemeClr val="accent3"/>
              </a:solidFill>
              <a:round/>
            </a:ln>
            <a:effectLst/>
          </c:spPr>
          <c:marker>
            <c:symbol val="none"/>
          </c:marker>
          <c:dLbls>
            <c:dLbl>
              <c:idx val="0"/>
              <c:delete val="1"/>
              <c:extLst>
                <c:ext xmlns:c15="http://schemas.microsoft.com/office/drawing/2012/chart" uri="{CE6537A1-D6FC-4f65-9D91-7224C49458BB}">
                  <c15:layout/>
                </c:ext>
                <c:ext xmlns:c16="http://schemas.microsoft.com/office/drawing/2014/chart" uri="{C3380CC4-5D6E-409C-BE32-E72D297353CC}">
                  <c16:uniqueId val="{00000003-3B10-4AD3-9F19-72F594F897D9}"/>
                </c:ext>
              </c:extLst>
            </c:dLbl>
            <c:dLbl>
              <c:idx val="1"/>
              <c:layout>
                <c:manualLayout>
                  <c:x val="-4.8215441819772581E-2"/>
                  <c:y val="-9.02431466899971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B10-4AD3-9F19-72F594F897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Final'!$C$152:$H$152</c:f>
              <c:numCache>
                <c:formatCode>General</c:formatCode>
                <c:ptCount val="6"/>
                <c:pt idx="0">
                  <c:v>2015</c:v>
                </c:pt>
                <c:pt idx="1">
                  <c:v>2016</c:v>
                </c:pt>
                <c:pt idx="2">
                  <c:v>2017</c:v>
                </c:pt>
                <c:pt idx="3">
                  <c:v>2018</c:v>
                </c:pt>
                <c:pt idx="4">
                  <c:v>2019</c:v>
                </c:pt>
                <c:pt idx="5">
                  <c:v>2020</c:v>
                </c:pt>
              </c:numCache>
            </c:numRef>
          </c:cat>
          <c:val>
            <c:numRef>
              <c:f>'Graficos Final'!$C$155:$H$155</c:f>
              <c:numCache>
                <c:formatCode>_-* #,##0_-;\-* #,##0_-;_-* "-"??_-;_-@_-</c:formatCode>
                <c:ptCount val="6"/>
                <c:pt idx="0">
                  <c:v>169.66949729985691</c:v>
                </c:pt>
                <c:pt idx="1">
                  <c:v>382.42285973888693</c:v>
                </c:pt>
                <c:pt idx="2">
                  <c:v>369.21870280248754</c:v>
                </c:pt>
                <c:pt idx="3">
                  <c:v>356.02925426030026</c:v>
                </c:pt>
                <c:pt idx="4">
                  <c:v>342.92886746013392</c:v>
                </c:pt>
                <c:pt idx="5">
                  <c:v>329.97934746760211</c:v>
                </c:pt>
              </c:numCache>
            </c:numRef>
          </c:val>
          <c:smooth val="0"/>
          <c:extLst>
            <c:ext xmlns:c16="http://schemas.microsoft.com/office/drawing/2014/chart" uri="{C3380CC4-5D6E-409C-BE32-E72D297353CC}">
              <c16:uniqueId val="{00000004-BF28-4F13-AAD1-865D68BF6ADA}"/>
            </c:ext>
          </c:extLst>
        </c:ser>
        <c:dLbls>
          <c:showLegendKey val="0"/>
          <c:showVal val="0"/>
          <c:showCatName val="0"/>
          <c:showSerName val="0"/>
          <c:showPercent val="0"/>
          <c:showBubbleSize val="0"/>
        </c:dLbls>
        <c:smooth val="0"/>
        <c:axId val="817577200"/>
        <c:axId val="817575120"/>
      </c:lineChart>
      <c:catAx>
        <c:axId val="8175772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5120"/>
        <c:crosses val="autoZero"/>
        <c:auto val="1"/>
        <c:lblAlgn val="ctr"/>
        <c:lblOffset val="100"/>
        <c:noMultiLvlLbl val="0"/>
      </c:catAx>
      <c:valAx>
        <c:axId val="81757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Días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7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Ciclo de Negocio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'Graficos Final'!$B$175</c:f>
              <c:strCache>
                <c:ptCount val="1"/>
                <c:pt idx="0">
                  <c:v>Optimista</c:v>
                </c:pt>
              </c:strCache>
            </c:strRef>
          </c:tx>
          <c:spPr>
            <a:ln w="28575" cap="rnd">
              <a:solidFill>
                <a:schemeClr val="accent1"/>
              </a:solidFill>
              <a:round/>
            </a:ln>
            <a:effectLst/>
          </c:spPr>
          <c:marker>
            <c:symbol val="none"/>
          </c:marker>
          <c:dLbls>
            <c:dLbl>
              <c:idx val="0"/>
              <c:delete val="1"/>
              <c:extLst>
                <c:ext xmlns:c15="http://schemas.microsoft.com/office/drawing/2012/chart" uri="{CE6537A1-D6FC-4f65-9D91-7224C49458BB}">
                  <c15:layout/>
                </c:ext>
                <c:ext xmlns:c16="http://schemas.microsoft.com/office/drawing/2014/chart" uri="{C3380CC4-5D6E-409C-BE32-E72D297353CC}">
                  <c16:uniqueId val="{00000000-6B51-4CAC-97A6-72E4F25D0735}"/>
                </c:ext>
              </c:extLst>
            </c:dLbl>
            <c:dLbl>
              <c:idx val="1"/>
              <c:delete val="1"/>
              <c:extLst>
                <c:ext xmlns:c15="http://schemas.microsoft.com/office/drawing/2012/chart" uri="{CE6537A1-D6FC-4f65-9D91-7224C49458BB}">
                  <c15:layout/>
                </c:ext>
                <c:ext xmlns:c16="http://schemas.microsoft.com/office/drawing/2014/chart" uri="{C3380CC4-5D6E-409C-BE32-E72D297353CC}">
                  <c16:uniqueId val="{00000001-6B51-4CAC-97A6-72E4F25D07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Final'!$C$174:$H$174</c:f>
              <c:numCache>
                <c:formatCode>General</c:formatCode>
                <c:ptCount val="6"/>
                <c:pt idx="0">
                  <c:v>2015</c:v>
                </c:pt>
                <c:pt idx="1">
                  <c:v>2016</c:v>
                </c:pt>
                <c:pt idx="2">
                  <c:v>2017</c:v>
                </c:pt>
                <c:pt idx="3">
                  <c:v>2018</c:v>
                </c:pt>
                <c:pt idx="4">
                  <c:v>2019</c:v>
                </c:pt>
                <c:pt idx="5">
                  <c:v>2020</c:v>
                </c:pt>
              </c:numCache>
            </c:numRef>
          </c:cat>
          <c:val>
            <c:numRef>
              <c:f>'Graficos Final'!$C$175:$H$175</c:f>
              <c:numCache>
                <c:formatCode>_-* #,##0_-;\-* #,##0_-;_-* "-"??_-;_-@_-</c:formatCode>
                <c:ptCount val="6"/>
                <c:pt idx="0">
                  <c:v>279.86097153974532</c:v>
                </c:pt>
                <c:pt idx="1">
                  <c:v>480</c:v>
                </c:pt>
                <c:pt idx="2">
                  <c:v>403.63967665473291</c:v>
                </c:pt>
                <c:pt idx="3">
                  <c:v>339.4270595796653</c:v>
                </c:pt>
                <c:pt idx="4">
                  <c:v>285.42964296708698</c:v>
                </c:pt>
                <c:pt idx="5">
                  <c:v>240.02235178114671</c:v>
                </c:pt>
              </c:numCache>
            </c:numRef>
          </c:val>
          <c:smooth val="0"/>
          <c:extLst>
            <c:ext xmlns:c16="http://schemas.microsoft.com/office/drawing/2014/chart" uri="{C3380CC4-5D6E-409C-BE32-E72D297353CC}">
              <c16:uniqueId val="{00000000-0161-42EA-B623-A578D8D650C1}"/>
            </c:ext>
          </c:extLst>
        </c:ser>
        <c:ser>
          <c:idx val="1"/>
          <c:order val="1"/>
          <c:tx>
            <c:strRef>
              <c:f>'Graficos Final'!$B$176</c:f>
              <c:strCache>
                <c:ptCount val="1"/>
                <c:pt idx="0">
                  <c:v>Realista</c:v>
                </c:pt>
              </c:strCache>
            </c:strRef>
          </c:tx>
          <c:spPr>
            <a:ln w="28575" cap="rnd">
              <a:solidFill>
                <a:schemeClr val="accent2"/>
              </a:solidFill>
              <a:round/>
            </a:ln>
            <a:effectLst/>
          </c:spPr>
          <c:marker>
            <c:symbol val="none"/>
          </c:marker>
          <c:dLbls>
            <c:dLbl>
              <c:idx val="1"/>
              <c:delete val="1"/>
              <c:extLst>
                <c:ext xmlns:c15="http://schemas.microsoft.com/office/drawing/2012/chart" uri="{CE6537A1-D6FC-4f65-9D91-7224C49458BB}">
                  <c15:layout/>
                </c:ext>
                <c:ext xmlns:c16="http://schemas.microsoft.com/office/drawing/2014/chart" uri="{C3380CC4-5D6E-409C-BE32-E72D297353CC}">
                  <c16:uniqueId val="{00000002-6B51-4CAC-97A6-72E4F25D0735}"/>
                </c:ext>
              </c:extLst>
            </c:dLbl>
            <c:dLbl>
              <c:idx val="2"/>
              <c:layout>
                <c:manualLayout>
                  <c:x val="-4.5437664041994855E-2"/>
                  <c:y val="-3.9317220764071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B51-4CAC-97A6-72E4F25D07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Final'!$C$174:$H$174</c:f>
              <c:numCache>
                <c:formatCode>General</c:formatCode>
                <c:ptCount val="6"/>
                <c:pt idx="0">
                  <c:v>2015</c:v>
                </c:pt>
                <c:pt idx="1">
                  <c:v>2016</c:v>
                </c:pt>
                <c:pt idx="2">
                  <c:v>2017</c:v>
                </c:pt>
                <c:pt idx="3">
                  <c:v>2018</c:v>
                </c:pt>
                <c:pt idx="4">
                  <c:v>2019</c:v>
                </c:pt>
                <c:pt idx="5">
                  <c:v>2020</c:v>
                </c:pt>
              </c:numCache>
            </c:numRef>
          </c:cat>
          <c:val>
            <c:numRef>
              <c:f>'Graficos Final'!$C$176:$H$176</c:f>
              <c:numCache>
                <c:formatCode>_-* #,##0_-;\-* #,##0_-;_-* "-"??_-;_-@_-</c:formatCode>
                <c:ptCount val="6"/>
                <c:pt idx="0">
                  <c:v>279.86097153974532</c:v>
                </c:pt>
                <c:pt idx="1">
                  <c:v>480</c:v>
                </c:pt>
                <c:pt idx="2">
                  <c:v>419.43420471932563</c:v>
                </c:pt>
                <c:pt idx="3">
                  <c:v>366.51107877160655</c:v>
                </c:pt>
                <c:pt idx="4">
                  <c:v>320.26614075350767</c:v>
                </c:pt>
                <c:pt idx="5">
                  <c:v>279.85663249282175</c:v>
                </c:pt>
              </c:numCache>
            </c:numRef>
          </c:val>
          <c:smooth val="0"/>
          <c:extLst>
            <c:ext xmlns:c16="http://schemas.microsoft.com/office/drawing/2014/chart" uri="{C3380CC4-5D6E-409C-BE32-E72D297353CC}">
              <c16:uniqueId val="{00000001-0161-42EA-B623-A578D8D650C1}"/>
            </c:ext>
          </c:extLst>
        </c:ser>
        <c:ser>
          <c:idx val="2"/>
          <c:order val="2"/>
          <c:tx>
            <c:strRef>
              <c:f>'Graficos Final'!$B$177</c:f>
              <c:strCache>
                <c:ptCount val="1"/>
                <c:pt idx="0">
                  <c:v>Pesimista</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Final'!$C$174:$H$174</c:f>
              <c:numCache>
                <c:formatCode>General</c:formatCode>
                <c:ptCount val="6"/>
                <c:pt idx="0">
                  <c:v>2015</c:v>
                </c:pt>
                <c:pt idx="1">
                  <c:v>2016</c:v>
                </c:pt>
                <c:pt idx="2">
                  <c:v>2017</c:v>
                </c:pt>
                <c:pt idx="3">
                  <c:v>2018</c:v>
                </c:pt>
                <c:pt idx="4">
                  <c:v>2019</c:v>
                </c:pt>
                <c:pt idx="5">
                  <c:v>2020</c:v>
                </c:pt>
              </c:numCache>
            </c:numRef>
          </c:cat>
          <c:val>
            <c:numRef>
              <c:f>'Graficos Final'!$C$177:$H$177</c:f>
              <c:numCache>
                <c:formatCode>_-* #,##0_-;\-* #,##0_-;_-* "-"??_-;_-@_-</c:formatCode>
                <c:ptCount val="6"/>
                <c:pt idx="0">
                  <c:v>279.86097153974532</c:v>
                </c:pt>
                <c:pt idx="1">
                  <c:v>480</c:v>
                </c:pt>
                <c:pt idx="2">
                  <c:v>455.6255538516798</c:v>
                </c:pt>
                <c:pt idx="3">
                  <c:v>432.54455167789359</c:v>
                </c:pt>
                <c:pt idx="4">
                  <c:v>410.68496165652692</c:v>
                </c:pt>
                <c:pt idx="5">
                  <c:v>389.97896134474672</c:v>
                </c:pt>
              </c:numCache>
            </c:numRef>
          </c:val>
          <c:smooth val="0"/>
          <c:extLst>
            <c:ext xmlns:c16="http://schemas.microsoft.com/office/drawing/2014/chart" uri="{C3380CC4-5D6E-409C-BE32-E72D297353CC}">
              <c16:uniqueId val="{00000002-0161-42EA-B623-A578D8D650C1}"/>
            </c:ext>
          </c:extLst>
        </c:ser>
        <c:dLbls>
          <c:showLegendKey val="0"/>
          <c:showVal val="0"/>
          <c:showCatName val="0"/>
          <c:showSerName val="0"/>
          <c:showPercent val="0"/>
          <c:showBubbleSize val="0"/>
        </c:dLbls>
        <c:smooth val="0"/>
        <c:axId val="817577200"/>
        <c:axId val="817575120"/>
      </c:lineChart>
      <c:catAx>
        <c:axId val="8175772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5120"/>
        <c:crosses val="autoZero"/>
        <c:auto val="1"/>
        <c:lblAlgn val="ctr"/>
        <c:lblOffset val="100"/>
        <c:noMultiLvlLbl val="0"/>
      </c:catAx>
      <c:valAx>
        <c:axId val="817575120"/>
        <c:scaling>
          <c:orientation val="minMax"/>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Días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7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Tendencia Rotación Cuentas por Cobrar e Inventarios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'Graficos Final'!$B$4</c:f>
              <c:strCache>
                <c:ptCount val="1"/>
                <c:pt idx="0">
                  <c:v>Rotación Cuentas por Cobrar</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Final'!$C$3:$H$3</c:f>
              <c:numCache>
                <c:formatCode>General</c:formatCode>
                <c:ptCount val="6"/>
                <c:pt idx="0">
                  <c:v>2015</c:v>
                </c:pt>
                <c:pt idx="1">
                  <c:v>2016</c:v>
                </c:pt>
                <c:pt idx="2">
                  <c:v>2017</c:v>
                </c:pt>
                <c:pt idx="3">
                  <c:v>2018</c:v>
                </c:pt>
                <c:pt idx="4">
                  <c:v>2019</c:v>
                </c:pt>
                <c:pt idx="5">
                  <c:v>2020</c:v>
                </c:pt>
              </c:numCache>
            </c:numRef>
          </c:cat>
          <c:val>
            <c:numRef>
              <c:f>'Graficos Final'!$C$4:$H$4</c:f>
              <c:numCache>
                <c:formatCode>_-* #,##0.00_-;\-* #,##0.00_-;_-* "-"_-;_-@_-</c:formatCode>
                <c:ptCount val="6"/>
                <c:pt idx="0">
                  <c:v>5.1020524081310112</c:v>
                </c:pt>
                <c:pt idx="1">
                  <c:v>3</c:v>
                </c:pt>
                <c:pt idx="2">
                  <c:v>3.4259037427582522</c:v>
                </c:pt>
                <c:pt idx="3">
                  <c:v>3.9122721515483336</c:v>
                </c:pt>
                <c:pt idx="4">
                  <c:v>4.4676892688927721</c:v>
                </c:pt>
                <c:pt idx="5">
                  <c:v>5.101957795926876</c:v>
                </c:pt>
              </c:numCache>
            </c:numRef>
          </c:val>
          <c:smooth val="0"/>
          <c:extLst>
            <c:ext xmlns:c16="http://schemas.microsoft.com/office/drawing/2014/chart" uri="{C3380CC4-5D6E-409C-BE32-E72D297353CC}">
              <c16:uniqueId val="{00000001-5019-4773-8114-B26EDA1A4904}"/>
            </c:ext>
          </c:extLst>
        </c:ser>
        <c:ser>
          <c:idx val="1"/>
          <c:order val="1"/>
          <c:tx>
            <c:strRef>
              <c:f>'Graficos Final'!$B$5</c:f>
              <c:strCache>
                <c:ptCount val="1"/>
                <c:pt idx="0">
                  <c:v>Rotación Inventarios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Final'!$C$3:$H$3</c:f>
              <c:numCache>
                <c:formatCode>General</c:formatCode>
                <c:ptCount val="6"/>
                <c:pt idx="0">
                  <c:v>2015</c:v>
                </c:pt>
                <c:pt idx="1">
                  <c:v>2016</c:v>
                </c:pt>
                <c:pt idx="2">
                  <c:v>2017</c:v>
                </c:pt>
                <c:pt idx="3">
                  <c:v>2018</c:v>
                </c:pt>
                <c:pt idx="4">
                  <c:v>2019</c:v>
                </c:pt>
                <c:pt idx="5">
                  <c:v>2020</c:v>
                </c:pt>
              </c:numCache>
            </c:numRef>
          </c:cat>
          <c:val>
            <c:numRef>
              <c:f>'Graficos Final'!$C$5:$H$5</c:f>
              <c:numCache>
                <c:formatCode>_-* #,##0.00_-;\-* #,##0.00_-;_-* "-"_-;_-@_-</c:formatCode>
                <c:ptCount val="6"/>
                <c:pt idx="0">
                  <c:v>1.720009809864969</c:v>
                </c:pt>
                <c:pt idx="1">
                  <c:v>1</c:v>
                </c:pt>
                <c:pt idx="2">
                  <c:v>1.1452113949139828</c:v>
                </c:pt>
                <c:pt idx="3">
                  <c:v>1.3115091390408304</c:v>
                </c:pt>
                <c:pt idx="4">
                  <c:v>1.501955210563386</c:v>
                </c:pt>
                <c:pt idx="5">
                  <c:v>1.7200562217876201</c:v>
                </c:pt>
              </c:numCache>
            </c:numRef>
          </c:val>
          <c:smooth val="0"/>
          <c:extLst>
            <c:ext xmlns:c16="http://schemas.microsoft.com/office/drawing/2014/chart" uri="{C3380CC4-5D6E-409C-BE32-E72D297353CC}">
              <c16:uniqueId val="{00000004-5019-4773-8114-B26EDA1A4904}"/>
            </c:ext>
          </c:extLst>
        </c:ser>
        <c:dLbls>
          <c:showLegendKey val="0"/>
          <c:showVal val="0"/>
          <c:showCatName val="0"/>
          <c:showSerName val="0"/>
          <c:showPercent val="0"/>
          <c:showBubbleSize val="0"/>
        </c:dLbls>
        <c:smooth val="0"/>
        <c:axId val="817577200"/>
        <c:axId val="817575120"/>
      </c:lineChart>
      <c:catAx>
        <c:axId val="8175772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5120"/>
        <c:crosses val="autoZero"/>
        <c:auto val="1"/>
        <c:lblAlgn val="ctr"/>
        <c:lblOffset val="100"/>
        <c:noMultiLvlLbl val="0"/>
      </c:catAx>
      <c:valAx>
        <c:axId val="81757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Rotación en veces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7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Tendencia Estructura de Capital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'Graficos Final'!$B$24</c:f>
              <c:strCache>
                <c:ptCount val="1"/>
                <c:pt idx="0">
                  <c:v>Estructura de Capital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'Graficos Final'!$C$23:$H$23</c:f>
              <c:numCache>
                <c:formatCode>General</c:formatCode>
                <c:ptCount val="6"/>
                <c:pt idx="0">
                  <c:v>2015</c:v>
                </c:pt>
                <c:pt idx="1">
                  <c:v>2016</c:v>
                </c:pt>
                <c:pt idx="2">
                  <c:v>2017</c:v>
                </c:pt>
                <c:pt idx="3">
                  <c:v>2018</c:v>
                </c:pt>
                <c:pt idx="4">
                  <c:v>2019</c:v>
                </c:pt>
                <c:pt idx="5">
                  <c:v>2020</c:v>
                </c:pt>
              </c:numCache>
            </c:numRef>
          </c:cat>
          <c:val>
            <c:numRef>
              <c:f>'Graficos Final'!$C$24:$H$24</c:f>
              <c:numCache>
                <c:formatCode>0.00%</c:formatCode>
                <c:ptCount val="6"/>
                <c:pt idx="0">
                  <c:v>0.78473767605672218</c:v>
                </c:pt>
                <c:pt idx="1">
                  <c:v>0.7763351766190284</c:v>
                </c:pt>
                <c:pt idx="2">
                  <c:v>0.753011614645128</c:v>
                </c:pt>
                <c:pt idx="3">
                  <c:v>0.75330260860929377</c:v>
                </c:pt>
                <c:pt idx="4">
                  <c:v>0.72726366896562045</c:v>
                </c:pt>
                <c:pt idx="5">
                  <c:v>0.69798872589632555</c:v>
                </c:pt>
              </c:numCache>
            </c:numRef>
          </c:val>
          <c:smooth val="0"/>
          <c:extLst>
            <c:ext xmlns:c16="http://schemas.microsoft.com/office/drawing/2014/chart" uri="{C3380CC4-5D6E-409C-BE32-E72D297353CC}">
              <c16:uniqueId val="{00000000-F16C-46D1-9344-38341360680B}"/>
            </c:ext>
          </c:extLst>
        </c:ser>
        <c:dLbls>
          <c:showLegendKey val="0"/>
          <c:showVal val="0"/>
          <c:showCatName val="0"/>
          <c:showSerName val="0"/>
          <c:showPercent val="0"/>
          <c:showBubbleSize val="0"/>
        </c:dLbls>
        <c:smooth val="0"/>
        <c:axId val="817577200"/>
        <c:axId val="817575120"/>
      </c:lineChart>
      <c:catAx>
        <c:axId val="8175772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5120"/>
        <c:crosses val="autoZero"/>
        <c:auto val="1"/>
        <c:lblAlgn val="ctr"/>
        <c:lblOffset val="100"/>
        <c:noMultiLvlLbl val="0"/>
      </c:catAx>
      <c:valAx>
        <c:axId val="817575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577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gif"/></Relationships>
</file>

<file path=xl/drawings/_rels/drawing14.xml.rels><?xml version="1.0" encoding="UTF-8" standalone="yes"?>
<Relationships xmlns="http://schemas.openxmlformats.org/package/2006/relationships"><Relationship Id="rId1" Type="http://schemas.openxmlformats.org/officeDocument/2006/relationships/image" Target="../media/image2.gif"/></Relationships>
</file>

<file path=xl/drawings/_rels/drawing1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2" Type="http://schemas.openxmlformats.org/officeDocument/2006/relationships/image" Target="cid:78e35f433" TargetMode="External"/><Relationship Id="rId1" Type="http://schemas.openxmlformats.org/officeDocument/2006/relationships/hyperlink" Target="Missing_/Precios/html/DESC_IPC.html"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112</xdr:row>
      <xdr:rowOff>0</xdr:rowOff>
    </xdr:from>
    <xdr:to>
      <xdr:col>5</xdr:col>
      <xdr:colOff>1152525</xdr:colOff>
      <xdr:row>126</xdr:row>
      <xdr:rowOff>76200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90</xdr:row>
      <xdr:rowOff>0</xdr:rowOff>
    </xdr:from>
    <xdr:to>
      <xdr:col>5</xdr:col>
      <xdr:colOff>1152525</xdr:colOff>
      <xdr:row>104</xdr:row>
      <xdr:rowOff>76200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69</xdr:row>
      <xdr:rowOff>0</xdr:rowOff>
    </xdr:from>
    <xdr:to>
      <xdr:col>5</xdr:col>
      <xdr:colOff>1152525</xdr:colOff>
      <xdr:row>83</xdr:row>
      <xdr:rowOff>76200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47</xdr:row>
      <xdr:rowOff>0</xdr:rowOff>
    </xdr:from>
    <xdr:to>
      <xdr:col>5</xdr:col>
      <xdr:colOff>1152525</xdr:colOff>
      <xdr:row>61</xdr:row>
      <xdr:rowOff>76200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134</xdr:row>
      <xdr:rowOff>0</xdr:rowOff>
    </xdr:from>
    <xdr:to>
      <xdr:col>5</xdr:col>
      <xdr:colOff>1152525</xdr:colOff>
      <xdr:row>148</xdr:row>
      <xdr:rowOff>76200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0</xdr:colOff>
      <xdr:row>156</xdr:row>
      <xdr:rowOff>0</xdr:rowOff>
    </xdr:from>
    <xdr:to>
      <xdr:col>5</xdr:col>
      <xdr:colOff>1152525</xdr:colOff>
      <xdr:row>170</xdr:row>
      <xdr:rowOff>76200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xdr:col>
      <xdr:colOff>0</xdr:colOff>
      <xdr:row>178</xdr:row>
      <xdr:rowOff>0</xdr:rowOff>
    </xdr:from>
    <xdr:to>
      <xdr:col>5</xdr:col>
      <xdr:colOff>1152525</xdr:colOff>
      <xdr:row>192</xdr:row>
      <xdr:rowOff>76200</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xdr:col>
      <xdr:colOff>0</xdr:colOff>
      <xdr:row>6</xdr:row>
      <xdr:rowOff>0</xdr:rowOff>
    </xdr:from>
    <xdr:to>
      <xdr:col>5</xdr:col>
      <xdr:colOff>1152525</xdr:colOff>
      <xdr:row>20</xdr:row>
      <xdr:rowOff>76200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0</xdr:colOff>
      <xdr:row>25</xdr:row>
      <xdr:rowOff>0</xdr:rowOff>
    </xdr:from>
    <xdr:to>
      <xdr:col>5</xdr:col>
      <xdr:colOff>1152525</xdr:colOff>
      <xdr:row>39</xdr:row>
      <xdr:rowOff>76200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0</xdr:col>
      <xdr:colOff>9525</xdr:colOff>
      <xdr:row>3</xdr:row>
      <xdr:rowOff>9525</xdr:rowOff>
    </xdr:from>
    <xdr:ext cx="1400175" cy="561975"/>
    <xdr:pic>
      <xdr:nvPicPr>
        <xdr:cNvPr id="2" name="Imagen 1"/>
        <xdr:cNvPicPr>
          <a:picLocks noChangeAspect="1"/>
        </xdr:cNvPicPr>
      </xdr:nvPicPr>
      <xdr:blipFill>
        <a:blip xmlns:r="http://schemas.openxmlformats.org/officeDocument/2006/relationships" r:embed="rId1"/>
        <a:stretch>
          <a:fillRect/>
        </a:stretch>
      </xdr:blipFill>
      <xdr:spPr>
        <a:xfrm>
          <a:off x="9525" y="9525"/>
          <a:ext cx="1400175" cy="56197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9525</xdr:rowOff>
    </xdr:from>
    <xdr:ext cx="1400175" cy="561975"/>
    <xdr:pic>
      <xdr:nvPicPr>
        <xdr:cNvPr id="2" name="Imagen 1"/>
        <xdr:cNvPicPr>
          <a:picLocks noChangeAspect="1"/>
        </xdr:cNvPicPr>
      </xdr:nvPicPr>
      <xdr:blipFill>
        <a:blip xmlns:r="http://schemas.openxmlformats.org/officeDocument/2006/relationships" r:embed="rId1"/>
        <a:stretch>
          <a:fillRect/>
        </a:stretch>
      </xdr:blipFill>
      <xdr:spPr>
        <a:xfrm>
          <a:off x="9525" y="9525"/>
          <a:ext cx="1400175" cy="56197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2</xdr:col>
      <xdr:colOff>228600</xdr:colOff>
      <xdr:row>4</xdr:row>
      <xdr:rowOff>28575</xdr:rowOff>
    </xdr:from>
    <xdr:to>
      <xdr:col>6</xdr:col>
      <xdr:colOff>371475</xdr:colOff>
      <xdr:row>18</xdr:row>
      <xdr:rowOff>104775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847725</xdr:colOff>
      <xdr:row>2</xdr:row>
      <xdr:rowOff>38100</xdr:rowOff>
    </xdr:to>
    <xdr:pic>
      <xdr:nvPicPr>
        <xdr:cNvPr id="2" name="1 Imagen" descr="D:\jesusm\Pictures\logo_legiscomex_ppl.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4792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847725</xdr:colOff>
      <xdr:row>2</xdr:row>
      <xdr:rowOff>38100</xdr:rowOff>
    </xdr:to>
    <xdr:pic>
      <xdr:nvPicPr>
        <xdr:cNvPr id="2" name="1 Imagen" descr="D:\jesusm\Pictures\logo_legiscomex_ppl.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4792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352425</xdr:colOff>
      <xdr:row>9021</xdr:row>
      <xdr:rowOff>28575</xdr:rowOff>
    </xdr:from>
    <xdr:to>
      <xdr:col>13</xdr:col>
      <xdr:colOff>190500</xdr:colOff>
      <xdr:row>9036</xdr:row>
      <xdr:rowOff>171450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1</xdr:row>
      <xdr:rowOff>142875</xdr:rowOff>
    </xdr:to>
    <xdr:pic>
      <xdr:nvPicPr>
        <xdr:cNvPr id="2" name="Picture 1" descr="cid:78e35f433">
          <a:hlinkClick xmlns:r="http://schemas.openxmlformats.org/officeDocument/2006/relationships" r:id="rId1" tgtFrame="_blank"/>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4049375" y="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52</xdr:row>
      <xdr:rowOff>0</xdr:rowOff>
    </xdr:from>
    <xdr:to>
      <xdr:col>6</xdr:col>
      <xdr:colOff>620184</xdr:colOff>
      <xdr:row>69</xdr:row>
      <xdr:rowOff>31749</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5</xdr:col>
      <xdr:colOff>100013</xdr:colOff>
      <xdr:row>44</xdr:row>
      <xdr:rowOff>38100</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76</xdr:row>
      <xdr:rowOff>0</xdr:rowOff>
    </xdr:from>
    <xdr:to>
      <xdr:col>6</xdr:col>
      <xdr:colOff>620184</xdr:colOff>
      <xdr:row>93</xdr:row>
      <xdr:rowOff>31749</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xdr:row>
      <xdr:rowOff>0</xdr:rowOff>
    </xdr:from>
    <xdr:to>
      <xdr:col>5</xdr:col>
      <xdr:colOff>0</xdr:colOff>
      <xdr:row>22</xdr:row>
      <xdr:rowOff>76200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38100</xdr:colOff>
      <xdr:row>21</xdr:row>
      <xdr:rowOff>76200</xdr:rowOff>
    </xdr:from>
    <xdr:to>
      <xdr:col>9</xdr:col>
      <xdr:colOff>209550</xdr:colOff>
      <xdr:row>35</xdr:row>
      <xdr:rowOff>152400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0</xdr:colOff>
      <xdr:row>42</xdr:row>
      <xdr:rowOff>0</xdr:rowOff>
    </xdr:from>
    <xdr:to>
      <xdr:col>9</xdr:col>
      <xdr:colOff>171450</xdr:colOff>
      <xdr:row>56</xdr:row>
      <xdr:rowOff>76200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0</xdr:colOff>
      <xdr:row>67</xdr:row>
      <xdr:rowOff>0</xdr:rowOff>
    </xdr:from>
    <xdr:to>
      <xdr:col>9</xdr:col>
      <xdr:colOff>171450</xdr:colOff>
      <xdr:row>81</xdr:row>
      <xdr:rowOff>76200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0</xdr:colOff>
      <xdr:row>146</xdr:row>
      <xdr:rowOff>0</xdr:rowOff>
    </xdr:from>
    <xdr:to>
      <xdr:col>10</xdr:col>
      <xdr:colOff>786591</xdr:colOff>
      <xdr:row>163</xdr:row>
      <xdr:rowOff>31749</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0</xdr:colOff>
      <xdr:row>184</xdr:row>
      <xdr:rowOff>0</xdr:rowOff>
    </xdr:from>
    <xdr:to>
      <xdr:col>10</xdr:col>
      <xdr:colOff>788025</xdr:colOff>
      <xdr:row>198</xdr:row>
      <xdr:rowOff>76200</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0</xdr:colOff>
      <xdr:row>219</xdr:row>
      <xdr:rowOff>0</xdr:rowOff>
    </xdr:from>
    <xdr:to>
      <xdr:col>10</xdr:col>
      <xdr:colOff>788025</xdr:colOff>
      <xdr:row>233</xdr:row>
      <xdr:rowOff>76200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0</xdr:col>
      <xdr:colOff>9525</xdr:colOff>
      <xdr:row>0</xdr:row>
      <xdr:rowOff>9525</xdr:rowOff>
    </xdr:from>
    <xdr:ext cx="1400175" cy="561975"/>
    <xdr:pic>
      <xdr:nvPicPr>
        <xdr:cNvPr id="2" name="Imagen 1"/>
        <xdr:cNvPicPr>
          <a:picLocks noChangeAspect="1"/>
        </xdr:cNvPicPr>
      </xdr:nvPicPr>
      <xdr:blipFill>
        <a:blip xmlns:r="http://schemas.openxmlformats.org/officeDocument/2006/relationships" r:embed="rId1"/>
        <a:stretch>
          <a:fillRect/>
        </a:stretch>
      </xdr:blipFill>
      <xdr:spPr>
        <a:xfrm>
          <a:off x="9525" y="9525"/>
          <a:ext cx="1400175" cy="5619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9525</xdr:colOff>
      <xdr:row>0</xdr:row>
      <xdr:rowOff>9525</xdr:rowOff>
    </xdr:from>
    <xdr:ext cx="1400175" cy="561975"/>
    <xdr:pic>
      <xdr:nvPicPr>
        <xdr:cNvPr id="2" name="Imagen 1"/>
        <xdr:cNvPicPr>
          <a:picLocks noChangeAspect="1"/>
        </xdr:cNvPicPr>
      </xdr:nvPicPr>
      <xdr:blipFill>
        <a:blip xmlns:r="http://schemas.openxmlformats.org/officeDocument/2006/relationships" r:embed="rId1"/>
        <a:stretch>
          <a:fillRect/>
        </a:stretch>
      </xdr:blipFill>
      <xdr:spPr>
        <a:xfrm>
          <a:off x="9525" y="9525"/>
          <a:ext cx="1400175" cy="5619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9525</xdr:colOff>
      <xdr:row>0</xdr:row>
      <xdr:rowOff>9525</xdr:rowOff>
    </xdr:from>
    <xdr:ext cx="1400175" cy="561975"/>
    <xdr:pic>
      <xdr:nvPicPr>
        <xdr:cNvPr id="2" name="Imagen 1"/>
        <xdr:cNvPicPr>
          <a:picLocks noChangeAspect="1"/>
        </xdr:cNvPicPr>
      </xdr:nvPicPr>
      <xdr:blipFill>
        <a:blip xmlns:r="http://schemas.openxmlformats.org/officeDocument/2006/relationships" r:embed="rId1"/>
        <a:stretch>
          <a:fillRect/>
        </a:stretch>
      </xdr:blipFill>
      <xdr:spPr>
        <a:xfrm>
          <a:off x="9525" y="9525"/>
          <a:ext cx="1400175" cy="56197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9525</xdr:colOff>
      <xdr:row>0</xdr:row>
      <xdr:rowOff>9525</xdr:rowOff>
    </xdr:from>
    <xdr:ext cx="1400175" cy="561975"/>
    <xdr:pic>
      <xdr:nvPicPr>
        <xdr:cNvPr id="2" name="Imagen 1"/>
        <xdr:cNvPicPr>
          <a:picLocks noChangeAspect="1"/>
        </xdr:cNvPicPr>
      </xdr:nvPicPr>
      <xdr:blipFill>
        <a:blip xmlns:r="http://schemas.openxmlformats.org/officeDocument/2006/relationships" r:embed="rId1"/>
        <a:stretch>
          <a:fillRect/>
        </a:stretch>
      </xdr:blipFill>
      <xdr:spPr>
        <a:xfrm>
          <a:off x="9525" y="9525"/>
          <a:ext cx="1400175" cy="56197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9525</xdr:colOff>
      <xdr:row>0</xdr:row>
      <xdr:rowOff>9525</xdr:rowOff>
    </xdr:from>
    <xdr:ext cx="1400175" cy="561975"/>
    <xdr:pic>
      <xdr:nvPicPr>
        <xdr:cNvPr id="2" name="Imagen 1"/>
        <xdr:cNvPicPr>
          <a:picLocks noChangeAspect="1"/>
        </xdr:cNvPicPr>
      </xdr:nvPicPr>
      <xdr:blipFill>
        <a:blip xmlns:r="http://schemas.openxmlformats.org/officeDocument/2006/relationships" r:embed="rId1"/>
        <a:stretch>
          <a:fillRect/>
        </a:stretch>
      </xdr:blipFill>
      <xdr:spPr>
        <a:xfrm>
          <a:off x="9525" y="9525"/>
          <a:ext cx="1400175" cy="56197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9525</xdr:colOff>
      <xdr:row>0</xdr:row>
      <xdr:rowOff>9525</xdr:rowOff>
    </xdr:from>
    <xdr:ext cx="1400175" cy="561975"/>
    <xdr:pic>
      <xdr:nvPicPr>
        <xdr:cNvPr id="2" name="Imagen 1"/>
        <xdr:cNvPicPr>
          <a:picLocks noChangeAspect="1"/>
        </xdr:cNvPicPr>
      </xdr:nvPicPr>
      <xdr:blipFill>
        <a:blip xmlns:r="http://schemas.openxmlformats.org/officeDocument/2006/relationships" r:embed="rId1"/>
        <a:stretch>
          <a:fillRect/>
        </a:stretch>
      </xdr:blipFill>
      <xdr:spPr>
        <a:xfrm>
          <a:off x="9525" y="9525"/>
          <a:ext cx="1400175" cy="561975"/>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ulio Cesar Poveda Valero" refreshedDate="42608.835552893521" createdVersion="6" refreshedVersion="6" minRefreshableVersion="3" recordCount="699">
  <cacheSource type="worksheet">
    <worksheetSource ref="A3:BI702" sheet="Detalle Exportación"/>
  </cacheSource>
  <cacheFields count="62">
    <cacheField name="fila" numFmtId="0">
      <sharedItems containsSemiMixedTypes="0" containsString="0" containsNumber="1" containsInteger="1" minValue="1" maxValue="699"/>
    </cacheField>
    <cacheField name="Año" numFmtId="0">
      <sharedItems containsSemiMixedTypes="0" containsString="0" containsNumber="1" containsInteger="1" minValue="2015" maxValue="2015"/>
    </cacheField>
    <cacheField name="Mes" numFmtId="0">
      <sharedItems containsSemiMixedTypes="0" containsString="0" containsNumber="1" containsInteger="1" minValue="1" maxValue="12"/>
    </cacheField>
    <cacheField name="Dia" numFmtId="0">
      <sharedItems containsSemiMixedTypes="0" containsString="0" containsNumber="1" containsInteger="1" minValue="1" maxValue="31"/>
    </cacheField>
    <cacheField name="Año de la Declaración Definitiva" numFmtId="0">
      <sharedItems/>
    </cacheField>
    <cacheField name="Mes de la declaración definitiva" numFmtId="0">
      <sharedItems/>
    </cacheField>
    <cacheField name="Dia de la Declaración Definitiva" numFmtId="0">
      <sharedItems/>
    </cacheField>
    <cacheField name="Tipo de declaración" numFmtId="0">
      <sharedItems/>
    </cacheField>
    <cacheField name="Fecha de Declaración de Exportación Definitiva" numFmtId="0">
      <sharedItems/>
    </cacheField>
    <cacheField name="Número de la declaración definitiva" numFmtId="0">
      <sharedItems/>
    </cacheField>
    <cacheField name="Fecha de Declaración de Exportación Anterior" numFmtId="0">
      <sharedItems/>
    </cacheField>
    <cacheField name="Número de declaración de exportación anterior" numFmtId="0">
      <sharedItems/>
    </cacheField>
    <cacheField name="Modalidad de importación" numFmtId="0">
      <sharedItems/>
    </cacheField>
    <cacheField name="Fecha De Declaración De Importación Anterior" numFmtId="0">
      <sharedItems/>
    </cacheField>
    <cacheField name="Número De Declaración De Importación Anterior" numFmtId="0">
      <sharedItems/>
    </cacheField>
    <cacheField name="Tipo De Datos" numFmtId="0">
      <sharedItems/>
    </cacheField>
    <cacheField name="Exportación en Tránsito" numFmtId="0">
      <sharedItems/>
    </cacheField>
    <cacheField name="Aduana" numFmtId="0">
      <sharedItems/>
    </cacheField>
    <cacheField name="Aduana De Embarque" numFmtId="0">
      <sharedItems/>
    </cacheField>
    <cacheField name="Oficina MinComercio" numFmtId="0">
      <sharedItems/>
    </cacheField>
    <cacheField name="Código Agente aduanero" numFmtId="0">
      <sharedItems/>
    </cacheField>
    <cacheField name="Agente aduanero(s)" numFmtId="0">
      <sharedItems/>
    </cacheField>
    <cacheField name="Usuario" numFmtId="0">
      <sharedItems/>
    </cacheField>
    <cacheField name="Código De Usuario" numFmtId="0">
      <sharedItems/>
    </cacheField>
    <cacheField name="NIT del exportador" numFmtId="0">
      <sharedItems/>
    </cacheField>
    <cacheField name="Razón social actual Exportador" numFmtId="0">
      <sharedItems/>
    </cacheField>
    <cacheField name="Municipio" numFmtId="0">
      <sharedItems/>
    </cacheField>
    <cacheField name="Dirección del Exportador" numFmtId="0">
      <sharedItems/>
    </cacheField>
    <cacheField name="Clase de Exportación" numFmtId="0">
      <sharedItems/>
    </cacheField>
    <cacheField name="Razón social del importador" numFmtId="0">
      <sharedItems/>
    </cacheField>
    <cacheField name="Dirección del Importador" numFmtId="0">
      <sharedItems/>
    </cacheField>
    <cacheField name="Código Partida" numFmtId="0">
      <sharedItems/>
    </cacheField>
    <cacheField name="Descripción de la partida arancelaria" numFmtId="0">
      <sharedItems/>
    </cacheField>
    <cacheField name="Unidad comercial" numFmtId="0">
      <sharedItems/>
    </cacheField>
    <cacheField name="Cantidad(es)" numFmtId="0">
      <sharedItems containsSemiMixedTypes="0" containsString="0" containsNumber="1" minValue="3" maxValue="7017500"/>
    </cacheField>
    <cacheField name="Peso en kilos netos" numFmtId="0">
      <sharedItems containsSemiMixedTypes="0" containsString="0" containsNumber="1" minValue="0.3" maxValue="14395.9"/>
    </cacheField>
    <cacheField name="Peso en kilos brutos" numFmtId="0">
      <sharedItems containsSemiMixedTypes="0" containsString="0" containsNumber="1" minValue="0.32" maxValue="15587.6"/>
    </cacheField>
    <cacheField name="Número de artículos" numFmtId="0">
      <sharedItems containsSemiMixedTypes="0" containsString="0" containsNumber="1" containsInteger="1" minValue="1" maxValue="12"/>
    </cacheField>
    <cacheField name="País de destino" numFmtId="0">
      <sharedItems count="46">
        <s v="RUSIA"/>
        <s v="ITALIA"/>
        <s v="ESTADOS UNIDOS"/>
        <s v="COSTA RICA"/>
        <s v="TURQUÍA"/>
        <s v="AUSTRALIA"/>
        <s v="BÉLGICA"/>
        <s v="ALEMANIA"/>
        <s v="JAPÓN"/>
        <s v="CHILE"/>
        <s v="ECUADOR"/>
        <s v="PANAMÁ"/>
        <s v="MALASIA"/>
        <s v="CHINA"/>
        <s v="VENEZUELA"/>
        <s v="SUDÁFRICA"/>
        <s v="SINGAPUR"/>
        <s v="COREA DEL SUR"/>
        <s v="LITUANIA"/>
        <s v="FINLANDIA"/>
        <s v="SUECIA"/>
        <s v="ESPAÑA"/>
        <s v="PARAGUAY"/>
        <s v="PERÚ"/>
        <s v="EL SALVADOR"/>
        <s v="BRASIL"/>
        <s v="TAIWÁN"/>
        <s v="IRLANDA"/>
        <s v="ISRAEL"/>
        <s v="ARABIA SAUDITA"/>
        <s v="HONG KONG"/>
        <s v="GUATEMALA"/>
        <s v="ESTONIA"/>
        <s v="REINO UNIDO"/>
        <s v="FRANCIA"/>
        <s v="GRECIA"/>
        <s v="INDIA"/>
        <s v="GEORGIA"/>
        <s v="BOLIVIA"/>
        <s v="KUWAIT"/>
        <s v="ANGOLA"/>
        <s v="EMIRATOS ÁRABES UNIDOS"/>
        <s v="TRINIDAD Y TOBAGO"/>
        <s v="TAILANDIA"/>
        <s v="LÍBANO"/>
        <s v="REPÚBLICA DOMINICANA"/>
      </sharedItems>
      <fieldGroup par="61"/>
    </cacheField>
    <cacheField name="Ciudad Pais Destino" numFmtId="0">
      <sharedItems/>
    </cacheField>
    <cacheField name="Departamento Origen" numFmtId="0">
      <sharedItems/>
    </cacheField>
    <cacheField name="Departamento De Procedencia" numFmtId="0">
      <sharedItems/>
    </cacheField>
    <cacheField name="Lugar de salida" numFmtId="0">
      <sharedItems/>
    </cacheField>
    <cacheField name="Fecha de Embarque" numFmtId="0">
      <sharedItems/>
    </cacheField>
    <cacheField name="Número de Autorización de Embarque" numFmtId="0">
      <sharedItems/>
    </cacheField>
    <cacheField name="Código de embarque" numFmtId="0">
      <sharedItems/>
    </cacheField>
    <cacheField name="Vía de transporte" numFmtId="0">
      <sharedItems/>
    </cacheField>
    <cacheField name="Nacionalidad del medio de transporte" numFmtId="0">
      <sharedItems/>
    </cacheField>
    <cacheField name="Regimen Exportacion" numFmtId="0">
      <sharedItems/>
    </cacheField>
    <cacheField name="Modalidad de exportación" numFmtId="0">
      <sharedItems/>
    </cacheField>
    <cacheField name="Certificado de Origen" numFmtId="0">
      <sharedItems/>
    </cacheField>
    <cacheField name="Sistemas Especiales" numFmtId="0">
      <sharedItems/>
    </cacheField>
    <cacheField name="Moneda de negociación" numFmtId="0">
      <sharedItems/>
    </cacheField>
    <cacheField name="Forma de pago" numFmtId="0">
      <sharedItems/>
    </cacheField>
    <cacheField name="Valor FOB (USD)" numFmtId="0">
      <sharedItems containsSemiMixedTypes="0" containsString="0" containsNumber="1" minValue="0.2" maxValue="193539"/>
    </cacheField>
    <cacheField name="Valor FOB (COP)" numFmtId="0">
      <sharedItems containsSemiMixedTypes="0" containsString="0" containsNumber="1" minValue="477.61" maxValue="596210437.23000002"/>
    </cacheField>
    <cacheField name="Valor Agregado Nacional (VAN)" numFmtId="0">
      <sharedItems containsSemiMixedTypes="0" containsString="0" containsNumber="1" containsInteger="1" minValue="0" maxValue="0"/>
    </cacheField>
    <cacheField name="Valor Flete" numFmtId="0">
      <sharedItems containsSemiMixedTypes="0" containsString="0" containsNumber="1" minValue="0" maxValue="9924.68"/>
    </cacheField>
    <cacheField name="Valor seguro" numFmtId="0">
      <sharedItems containsSemiMixedTypes="0" containsString="0" containsNumber="1" minValue="0" maxValue="481.65"/>
    </cacheField>
    <cacheField name="Valor otros" numFmtId="0">
      <sharedItems containsSemiMixedTypes="0" containsString="0" containsNumber="1" minValue="0" maxValue="2159.4"/>
    </cacheField>
    <cacheField name="Continente Destino" numFmtId="0">
      <sharedItems/>
    </cacheField>
    <cacheField name="País de destino2" numFmtId="0" databaseField="0">
      <fieldGroup base="38">
        <discretePr count="46">
          <x v="0"/>
          <x v="9"/>
          <x v="1"/>
          <x v="9"/>
          <x v="9"/>
          <x v="2"/>
          <x v="9"/>
          <x v="9"/>
          <x v="3"/>
          <x v="4"/>
          <x v="5"/>
          <x v="9"/>
          <x v="9"/>
          <x v="6"/>
          <x v="9"/>
          <x v="9"/>
          <x v="9"/>
          <x v="7"/>
          <x v="9"/>
          <x v="8"/>
          <x v="9"/>
          <x v="9"/>
          <x v="9"/>
          <x v="9"/>
          <x v="9"/>
          <x v="9"/>
          <x v="9"/>
          <x v="9"/>
          <x v="9"/>
          <x v="9"/>
          <x v="9"/>
          <x v="9"/>
          <x v="9"/>
          <x v="9"/>
          <x v="9"/>
          <x v="9"/>
          <x v="9"/>
          <x v="9"/>
          <x v="9"/>
          <x v="9"/>
          <x v="9"/>
          <x v="9"/>
          <x v="9"/>
          <x v="9"/>
          <x v="9"/>
          <x v="9"/>
        </discretePr>
        <groupItems count="10">
          <s v="RUSIA"/>
          <s v="ESTADOS UNIDOS"/>
          <s v="AUSTRALIA"/>
          <s v="JAPÓN"/>
          <s v="CHILE"/>
          <s v="ECUADOR"/>
          <s v="CHINA"/>
          <s v="COREA DEL SUR"/>
          <s v="FINLANDIA"/>
          <s v="Grupo1"/>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99">
  <r>
    <n v="1"/>
    <n v="2015"/>
    <n v="1"/>
    <n v="5"/>
    <s v="2015"/>
    <s v="01"/>
    <s v="05"/>
    <s v="INICIAL"/>
    <s v="20150105"/>
    <s v="600757711480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5451500"/>
    <n v="11133.19"/>
    <n v="12085.84"/>
    <n v="1"/>
    <x v="0"/>
    <s v="YEKATERINBURG"/>
    <s v="ATLÁNTICO"/>
    <s v="ATLÁNTICO"/>
    <s v="CARTAGENA"/>
    <s v="201412"/>
    <s v="6027580124197"/>
    <s v="ÚNICO"/>
    <s v="TRANSPORTE MARÍTIMO"/>
    <s v="LIBERIA"/>
    <s v="EXPORTACIONES DEFINITIVAS"/>
    <s v="EXPORTACIÓN DEFINITIVA DE MERCANCÍAS DE FABRICACIÓN Ó PRODUCCIÓN NACIONAL"/>
    <s v="NINGUNO"/>
    <s v="NO"/>
    <s v="Dólar de los Estados Unidos de América"/>
    <s v="CON REINTEGRO"/>
    <n v="160946.5"/>
    <n v="383595059.70999998"/>
    <n v="0"/>
    <n v="0"/>
    <n v="0"/>
    <n v="0"/>
    <s v="ASIA"/>
  </r>
  <r>
    <n v="2"/>
    <n v="2015"/>
    <n v="1"/>
    <n v="5"/>
    <s v="2015"/>
    <s v="01"/>
    <s v="05"/>
    <s v="INICIAL"/>
    <s v="20150105"/>
    <s v="600757711480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343000"/>
    <n v="873.08"/>
    <n v="947.79"/>
    <n v="2"/>
    <x v="0"/>
    <s v="YEKATERINBURG"/>
    <s v="ATLÁNTICO"/>
    <s v="ATLÁNTICO"/>
    <s v="CARTAGENA"/>
    <s v="201412"/>
    <s v="6027580124197"/>
    <s v="ÚNICO"/>
    <s v="TRANSPORTE MARÍTIMO"/>
    <s v="LIBERIA"/>
    <s v="EXPORTACIONES DEFINITIVAS"/>
    <s v="EXPORTACIÓN DEFINITIVA DE MERCANCÍAS DE FABRICACIÓN Ó PRODUCCIÓN NACIONAL"/>
    <s v="NINGUNO"/>
    <s v="NO"/>
    <s v="Dólar de los Estados Unidos de América"/>
    <s v="CON REINTEGRO"/>
    <n v="12590.3"/>
    <n v="30007343.309999999"/>
    <n v="0"/>
    <n v="0"/>
    <n v="0"/>
    <n v="0"/>
    <s v="ASIA"/>
  </r>
  <r>
    <n v="3"/>
    <n v="2015"/>
    <n v="1"/>
    <n v="5"/>
    <s v="2015"/>
    <s v="01"/>
    <s v="05"/>
    <s v="INICIAL"/>
    <s v="20150105"/>
    <s v="600757711480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600000"/>
    <n v="2115.23"/>
    <n v="2296.23"/>
    <n v="3"/>
    <x v="0"/>
    <s v="YEKATERINBURG"/>
    <s v="ATLÁNTICO"/>
    <s v="ATLÁNTICO"/>
    <s v="CARTAGENA"/>
    <s v="201412"/>
    <s v="6027580124197"/>
    <s v="ÚNICO"/>
    <s v="TRANSPORTE MARÍTIMO"/>
    <s v="LIBERIA"/>
    <s v="EXPORTACIONES DEFINITIVAS"/>
    <s v="EXPORTACIÓN DEFINITIVA DE MERCANCÍAS DE FABRICACIÓN Ó PRODUCCIÓN NACIONAL"/>
    <s v="NINGUNO"/>
    <s v="NO"/>
    <s v="Dólar de los Estados Unidos de América"/>
    <s v="CON REINTEGRO"/>
    <n v="53446.5"/>
    <n v="127382784.70999999"/>
    <n v="0"/>
    <n v="0"/>
    <n v="0"/>
    <n v="0"/>
    <s v="ASIA"/>
  </r>
  <r>
    <n v="4"/>
    <n v="2015"/>
    <n v="1"/>
    <n v="5"/>
    <s v="2015"/>
    <s v="01"/>
    <s v="05"/>
    <s v="INICIAL"/>
    <s v="20150105"/>
    <s v="600757711480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132000"/>
    <n v="485.76"/>
    <n v="527.33000000000004"/>
    <n v="4"/>
    <x v="0"/>
    <s v="YEKATERINBURG"/>
    <s v="ATLÁNTICO"/>
    <s v="ATLÁNTICO"/>
    <s v="CARTAGENA"/>
    <s v="201412"/>
    <s v="6027580124197"/>
    <s v="ÚNICO"/>
    <s v="TRANSPORTE MARÍTIMO"/>
    <s v="LIBERIA"/>
    <s v="EXPORTACIONES DEFINITIVAS"/>
    <s v="EXPORTACIÓN DEFINITIVA DE MERCANCÍAS DE FABRICACIÓN Ó PRODUCCIÓN NACIONAL"/>
    <s v="NINGUNO"/>
    <s v="NO"/>
    <s v="Dólar de los Estados Unidos de América"/>
    <s v="CON REINTEGRO"/>
    <n v="12091.2"/>
    <n v="28817803.34"/>
    <n v="0"/>
    <n v="0"/>
    <n v="0"/>
    <n v="0"/>
    <s v="ASIA"/>
  </r>
  <r>
    <n v="5"/>
    <n v="2015"/>
    <n v="1"/>
    <n v="5"/>
    <s v="2015"/>
    <s v="01"/>
    <s v="05"/>
    <s v="INICIAL"/>
    <s v="20150105"/>
    <s v="600757710830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9503009910"/>
    <s v="Globos de latex de caucho natural."/>
    <s v="UNIDADES"/>
    <n v="643500"/>
    <n v="1682.1"/>
    <n v="1821.97"/>
    <n v="1"/>
    <x v="1"/>
    <s v="POMEZIA"/>
    <s v="ATLÁNTICO"/>
    <s v="ATLÁNTICO"/>
    <s v="CARTAGENA"/>
    <s v="201412"/>
    <s v="6027579396579"/>
    <s v="ÚNICO"/>
    <s v="TRANSPORTE MARÍTIMO"/>
    <s v="ALEMANIA"/>
    <s v="EXPORTACIONES DEFINITIVAS"/>
    <s v="EXPORTACIÓN DEFINITIVA DE MERCANCÍAS DE FABRICACIÓN Ó PRODUCCIÓN NACIONAL"/>
    <s v="NINGUNO"/>
    <s v="NO"/>
    <s v="Dólar de los Estados Unidos de América"/>
    <s v="CON REINTEGRO"/>
    <n v="25396"/>
    <n v="60528064.520000003"/>
    <n v="0"/>
    <n v="165.2"/>
    <n v="63.9"/>
    <n v="0"/>
    <s v="EUROPA"/>
  </r>
  <r>
    <n v="6"/>
    <n v="2015"/>
    <n v="1"/>
    <n v="5"/>
    <s v="2015"/>
    <s v="01"/>
    <s v="05"/>
    <s v="INICIAL"/>
    <s v="20150105"/>
    <s v="600757710830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9503009910"/>
    <s v="Globos de latex de caucho natural."/>
    <s v="UNIDADES"/>
    <n v="56000"/>
    <n v="99.78"/>
    <n v="108.08"/>
    <n v="2"/>
    <x v="1"/>
    <s v="POMEZIA"/>
    <s v="ATLÁNTICO"/>
    <s v="ATLÁNTICO"/>
    <s v="CARTAGENA"/>
    <s v="201412"/>
    <s v="6027579396579"/>
    <s v="ÚNICO"/>
    <s v="TRANSPORTE MARÍTIMO"/>
    <s v="ALEMANIA"/>
    <s v="EXPORTACIONES DEFINITIVAS"/>
    <s v="EXPORTACIÓN DEFINITIVA DE MERCANCÍAS DE FABRICACIÓN Ó PRODUCCIÓN NACIONAL"/>
    <s v="NINGUNO"/>
    <s v="NO"/>
    <s v="Dólar de los Estados Unidos de América"/>
    <s v="CON REINTEGRO"/>
    <n v="1508"/>
    <n v="3594121.96"/>
    <n v="0"/>
    <n v="9.81"/>
    <n v="3.79"/>
    <n v="0"/>
    <s v="EUROPA"/>
  </r>
  <r>
    <n v="7"/>
    <n v="2015"/>
    <n v="1"/>
    <n v="5"/>
    <s v="2015"/>
    <s v="01"/>
    <s v="05"/>
    <s v="INICIAL"/>
    <s v="20150105"/>
    <s v="600757710830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9503009910"/>
    <s v="Globos de latex de caucho natural."/>
    <s v="UNIDADES"/>
    <n v="176400"/>
    <n v="783.32"/>
    <n v="848.46"/>
    <n v="3"/>
    <x v="1"/>
    <s v="POMEZIA"/>
    <s v="ATLÁNTICO"/>
    <s v="ATLÁNTICO"/>
    <s v="CARTAGENA"/>
    <s v="201412"/>
    <s v="6027579396579"/>
    <s v="ÚNICO"/>
    <s v="TRANSPORTE MARÍTIMO"/>
    <s v="ALEMANIA"/>
    <s v="EXPORTACIONES DEFINITIVAS"/>
    <s v="EXPORTACIÓN DEFINITIVA DE MERCANCÍAS DE FABRICACIÓN Ó PRODUCCIÓN NACIONAL"/>
    <s v="NINGUNO"/>
    <s v="NO"/>
    <s v="Dólar de los Estados Unidos de América"/>
    <s v="CON REINTEGRO"/>
    <n v="25070"/>
    <n v="59751085.899999999"/>
    <n v="0"/>
    <n v="163.07"/>
    <n v="63.08"/>
    <n v="0"/>
    <s v="EUROPA"/>
  </r>
  <r>
    <n v="8"/>
    <n v="2015"/>
    <n v="1"/>
    <n v="5"/>
    <s v="2015"/>
    <s v="01"/>
    <s v="05"/>
    <s v="INICIAL"/>
    <s v="20150105"/>
    <s v="600757710830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9503009910"/>
    <s v="Globos de latex de caucho natural."/>
    <s v="UNIDADES"/>
    <n v="20800"/>
    <n v="85.43"/>
    <n v="92.53"/>
    <n v="4"/>
    <x v="1"/>
    <s v="POMEZIA"/>
    <s v="ATLÁNTICO"/>
    <s v="ATLÁNTICO"/>
    <s v="CARTAGENA"/>
    <s v="201412"/>
    <s v="6027579396579"/>
    <s v="ÚNICO"/>
    <s v="TRANSPORTE MARÍTIMO"/>
    <s v="ALEMANIA"/>
    <s v="EXPORTACIONES DEFINITIVAS"/>
    <s v="EXPORTACIÓN DEFINITIVA DE MERCANCÍAS DE FABRICACIÓN Ó PRODUCCIÓN NACIONAL"/>
    <s v="NINGUNO"/>
    <s v="NO"/>
    <s v="Dólar de los Estados Unidos de América"/>
    <s v="CON REINTEGRO"/>
    <n v="3370"/>
    <n v="8031956.9000000004"/>
    <n v="0"/>
    <n v="21.92"/>
    <n v="8.48"/>
    <n v="0"/>
    <s v="EUROPA"/>
  </r>
  <r>
    <n v="9"/>
    <n v="2015"/>
    <n v="1"/>
    <n v="5"/>
    <s v="2015"/>
    <s v="01"/>
    <s v="05"/>
    <s v="INICIAL"/>
    <s v="20150105"/>
    <s v="600757710831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9503009910"/>
    <s v="Globos de latex de caucho natural."/>
    <s v="UNIDADES"/>
    <n v="1344000"/>
    <n v="2890"/>
    <n v="3205.84"/>
    <n v="1"/>
    <x v="1"/>
    <s v="POMEZIA"/>
    <s v="ATLÁNTICO"/>
    <s v="ATLÁNTICO"/>
    <s v="CARTAGENA"/>
    <s v="201412"/>
    <s v="6027579396665"/>
    <s v="ÚNICO"/>
    <s v="TRANSPORTE MARÍTIMO"/>
    <s v="ALEMANIA"/>
    <s v="EXPORTACIONES DEFINITIVAS"/>
    <s v="EXPORTACIÓN DEFINITIVA DE MERCANCÍAS DE FABRICACIÓN Ó PRODUCCIÓN NACIONAL"/>
    <s v="NINGUNO"/>
    <s v="NO"/>
    <s v="Dólar de los Estados Unidos de América"/>
    <s v="CON REINTEGRO"/>
    <n v="36492.5"/>
    <n v="86975129.730000004"/>
    <n v="0"/>
    <n v="514.89"/>
    <n v="92.52"/>
    <n v="0"/>
    <s v="EUROPA"/>
  </r>
  <r>
    <n v="10"/>
    <n v="2015"/>
    <n v="1"/>
    <n v="5"/>
    <s v="2015"/>
    <s v="01"/>
    <s v="05"/>
    <s v="INICIAL"/>
    <s v="20150105"/>
    <s v="600757710831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9503009910"/>
    <s v="Globos de latex de caucho natural."/>
    <s v="UNIDADES"/>
    <n v="40000"/>
    <n v="88.42"/>
    <n v="98.08"/>
    <n v="2"/>
    <x v="1"/>
    <s v="POMEZIA"/>
    <s v="ATLÁNTICO"/>
    <s v="ATLÁNTICO"/>
    <s v="CARTAGENA"/>
    <s v="201412"/>
    <s v="6027579396665"/>
    <s v="ÚNICO"/>
    <s v="TRANSPORTE MARÍTIMO"/>
    <s v="ALEMANIA"/>
    <s v="EXPORTACIONES DEFINITIVAS"/>
    <s v="EXPORTACIÓN DEFINITIVA DE MERCANCÍAS DE FABRICACIÓN Ó PRODUCCIÓN NACIONAL"/>
    <s v="NINGUNO"/>
    <s v="NO"/>
    <s v="Dólar de los Estados Unidos de América"/>
    <s v="CON REINTEGRO"/>
    <n v="1780"/>
    <n v="4242398.5999999996"/>
    <n v="0"/>
    <n v="25.11"/>
    <n v="4.51"/>
    <n v="0"/>
    <s v="EUROPA"/>
  </r>
  <r>
    <n v="11"/>
    <n v="2015"/>
    <n v="1"/>
    <n v="5"/>
    <s v="2015"/>
    <s v="01"/>
    <s v="05"/>
    <s v="INICIAL"/>
    <s v="20150105"/>
    <s v="600757713960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126400"/>
    <n v="382.39"/>
    <n v="443.73"/>
    <n v="2"/>
    <x v="2"/>
    <s v="SAINT LOUIS"/>
    <s v="ATLÁNTICO"/>
    <s v="ATLÁNTICO"/>
    <s v="BARRANQUILLA"/>
    <s v="201501"/>
    <s v="6027580485144"/>
    <s v="ÚNICO"/>
    <s v="TRANSPORTE MARÍTIMO"/>
    <s v="SINGAPUR"/>
    <s v="EXPORTACIONES DEFINITIVAS"/>
    <s v="LAS DEMÁS EXPORTACIONES DEFINITIVAS NO INCLUIDAS EN LOS ÍTEMS ANTERIORES"/>
    <s v="NINGUNO"/>
    <s v="NO"/>
    <s v="Dólar de los Estados Unidos de América"/>
    <s v="CON REINTEGRO"/>
    <n v="5295.6"/>
    <n v="12621374.17"/>
    <n v="0"/>
    <n v="27.14"/>
    <n v="0"/>
    <n v="0"/>
    <s v="AMÉRICA"/>
  </r>
  <r>
    <n v="12"/>
    <n v="2015"/>
    <n v="1"/>
    <n v="5"/>
    <s v="2015"/>
    <s v="01"/>
    <s v="05"/>
    <s v="INICIAL"/>
    <s v="20150105"/>
    <s v="600757713960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72000"/>
    <n v="274.22000000000003"/>
    <n v="318.2"/>
    <n v="3"/>
    <x v="2"/>
    <s v="SAINT LOUIS"/>
    <s v="ATLÁNTICO"/>
    <s v="ATLÁNTICO"/>
    <s v="BARRANQUILLA"/>
    <s v="201501"/>
    <s v="6027580485144"/>
    <s v="ÚNICO"/>
    <s v="TRANSPORTE MARÍTIMO"/>
    <s v="SINGAPUR"/>
    <s v="EXPORTACIONES DEFINITIVAS"/>
    <s v="LAS DEMÁS EXPORTACIONES DEFINITIVAS NO INCLUIDAS EN LOS ÍTEMS ANTERIORES"/>
    <s v="NINGUNO"/>
    <s v="NO"/>
    <s v="Dólar de los Estados Unidos de América"/>
    <s v="CON REINTEGRO"/>
    <n v="7533.6"/>
    <n v="17955356.23"/>
    <n v="0"/>
    <n v="38.61"/>
    <n v="0"/>
    <n v="0"/>
    <s v="AMÉRICA"/>
  </r>
  <r>
    <n v="13"/>
    <n v="2015"/>
    <n v="1"/>
    <n v="5"/>
    <s v="2015"/>
    <s v="01"/>
    <s v="05"/>
    <s v="INICIAL"/>
    <s v="20150105"/>
    <s v="600757713960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12000"/>
    <n v="48.45"/>
    <n v="56.22"/>
    <n v="4"/>
    <x v="2"/>
    <s v="SAINT LOUIS"/>
    <s v="ATLÁNTICO"/>
    <s v="ATLÁNTICO"/>
    <s v="BARRANQUILLA"/>
    <s v="201501"/>
    <s v="6027580485144"/>
    <s v="ÚNICO"/>
    <s v="TRANSPORTE MARÍTIMO"/>
    <s v="SINGAPUR"/>
    <s v="EXPORTACIONES DEFINITIVAS"/>
    <s v="LAS DEMÁS EXPORTACIONES DEFINITIVAS NO INCLUIDAS EN LOS ÍTEMS ANTERIORES"/>
    <s v="NINGUNO"/>
    <s v="NO"/>
    <s v="Dólar de los Estados Unidos de América"/>
    <s v="CON REINTEGRO"/>
    <n v="1334.4"/>
    <n v="3180368.93"/>
    <n v="0"/>
    <n v="6.84"/>
    <n v="0"/>
    <n v="0"/>
    <s v="AMÉRICA"/>
  </r>
  <r>
    <n v="14"/>
    <n v="2015"/>
    <n v="1"/>
    <n v="5"/>
    <s v="2015"/>
    <s v="01"/>
    <s v="05"/>
    <s v="INICIAL"/>
    <s v="20150105"/>
    <s v="600757713960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514040"/>
    <n v="1495.75"/>
    <n v="1735.67"/>
    <n v="1"/>
    <x v="2"/>
    <s v="SAINT LOUIS"/>
    <s v="ATLÁNTICO"/>
    <s v="ATLÁNTICO"/>
    <s v="BARRANQUILLA"/>
    <s v="201501"/>
    <s v="6027580485144"/>
    <s v="ÚNICO"/>
    <s v="TRANSPORTE MARÍTIMO"/>
    <s v="SINGAPUR"/>
    <s v="EXPORTACIONES DEFINITIVAS"/>
    <s v="LAS DEMÁS EXPORTACIONES DEFINITIVAS NO INCLUIDAS EN LOS ÍTEMS ANTERIORES"/>
    <s v="NINGUNO"/>
    <s v="NO"/>
    <s v="Dólar de los Estados Unidos de América"/>
    <s v="CON REINTEGRO"/>
    <n v="19005.599999999999"/>
    <n v="45297376.869999997"/>
    <n v="0"/>
    <n v="97.41"/>
    <n v="0"/>
    <n v="0"/>
    <s v="AMÉRICA"/>
  </r>
  <r>
    <n v="15"/>
    <n v="2015"/>
    <n v="1"/>
    <n v="9"/>
    <s v="2015"/>
    <s v="01"/>
    <s v="09"/>
    <s v="INICIAL"/>
    <s v="20150109"/>
    <s v="6007577248666"/>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GLOBALPAK DE COSTA RICA M.V.S.A"/>
    <s v="TIBAS, DEL ICE 100 NORTE Y 25 ESTE A MANO IZQUIERDA, BODEGA DEL FONDO CON PUERT"/>
    <s v="9503009910"/>
    <s v="Globos de latex de caucho natural."/>
    <s v="UNIDADES"/>
    <n v="827460"/>
    <n v="1572.27"/>
    <n v="1710.72"/>
    <n v="1"/>
    <x v="3"/>
    <s v="TIBAS-SAN"/>
    <s v="ATLÁNTICO"/>
    <s v="ATLÁNTICO"/>
    <s v="CARTAGENA"/>
    <s v="201501"/>
    <s v="6027580114264"/>
    <s v="ÚNICO"/>
    <s v="TRANSPORTE MARÍTIMO"/>
    <s v="CHIPRE"/>
    <s v="EXPORTACIONES DEFINITIVAS"/>
    <s v="EXPORTACIÓN DEFINITIVA DE MERCANCÍAS DE FABRICACIÓN Ó PRODUCCIÓN NACIONAL"/>
    <s v="NINGUNO"/>
    <s v="NO"/>
    <s v="Dólar de los Estados Unidos de América"/>
    <s v="CON REINTEGRO"/>
    <n v="25783.7"/>
    <n v="62010572.009999998"/>
    <n v="0"/>
    <n v="0"/>
    <n v="0"/>
    <n v="0"/>
    <s v="AMÉRICA"/>
  </r>
  <r>
    <n v="16"/>
    <n v="2015"/>
    <n v="1"/>
    <n v="9"/>
    <s v="2015"/>
    <s v="01"/>
    <s v="09"/>
    <s v="INICIAL"/>
    <s v="20150109"/>
    <s v="6007577248666"/>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GLOBALPAK DE COSTA RICA M.V.S.A"/>
    <s v="TIBAS, DEL ICE 100 NORTE Y 25 ESTE A MANO IZQUIERDA, BODEGA DEL FONDO CON PUERT"/>
    <s v="9503009910"/>
    <s v="Globos de latex de caucho natural."/>
    <s v="UNIDADES"/>
    <n v="53400"/>
    <n v="101.6"/>
    <n v="110.55"/>
    <n v="2"/>
    <x v="3"/>
    <s v="TIBAS-SAN"/>
    <s v="ATLÁNTICO"/>
    <s v="ATLÁNTICO"/>
    <s v="CARTAGENA"/>
    <s v="201501"/>
    <s v="6027580114264"/>
    <s v="ÚNICO"/>
    <s v="TRANSPORTE MARÍTIMO"/>
    <s v="CHIPRE"/>
    <s v="EXPORTACIONES DEFINITIVAS"/>
    <s v="EXPORTACIÓN DEFINITIVA DE MERCANCÍAS DE FABRICACIÓN Ó PRODUCCIÓN NACIONAL"/>
    <s v="NINGUNO"/>
    <s v="NO"/>
    <s v="Dólar de los Estados Unidos de América"/>
    <s v="CON REINTEGRO"/>
    <n v="1990.5"/>
    <n v="4787212.22"/>
    <n v="0"/>
    <n v="0"/>
    <n v="0"/>
    <n v="0"/>
    <s v="AMÉRICA"/>
  </r>
  <r>
    <n v="17"/>
    <n v="2015"/>
    <n v="1"/>
    <n v="9"/>
    <s v="2015"/>
    <s v="01"/>
    <s v="09"/>
    <s v="INICIAL"/>
    <s v="20150109"/>
    <s v="6007577248666"/>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GLOBALPAK DE COSTA RICA M.V.S.A"/>
    <s v="TIBAS, DEL ICE 100 NORTE Y 25 ESTE A MANO IZQUIERDA, BODEGA DEL FONDO CON PUERT"/>
    <s v="9503009910"/>
    <s v="Globos de latex de caucho natural."/>
    <s v="UNIDADES"/>
    <n v="94010"/>
    <n v="394.67"/>
    <n v="429.42"/>
    <n v="3"/>
    <x v="3"/>
    <s v="TIBAS-SAN"/>
    <s v="ATLÁNTICO"/>
    <s v="ATLÁNTICO"/>
    <s v="CARTAGENA"/>
    <s v="201501"/>
    <s v="6027580114264"/>
    <s v="ÚNICO"/>
    <s v="TRANSPORTE MARÍTIMO"/>
    <s v="CHIPRE"/>
    <s v="EXPORTACIONES DEFINITIVAS"/>
    <s v="EXPORTACIÓN DEFINITIVA DE MERCANCÍAS DE FABRICACIÓN Ó PRODUCCIÓN NACIONAL"/>
    <s v="NINGUNO"/>
    <s v="NO"/>
    <s v="Dólar de los Estados Unidos de América"/>
    <s v="CON REINTEGRO"/>
    <n v="10096"/>
    <n v="24281182.879999999"/>
    <n v="0"/>
    <n v="0"/>
    <n v="0"/>
    <n v="0"/>
    <s v="AMÉRICA"/>
  </r>
  <r>
    <n v="18"/>
    <n v="2015"/>
    <n v="1"/>
    <n v="9"/>
    <s v="2015"/>
    <s v="01"/>
    <s v="09"/>
    <s v="INICIAL"/>
    <s v="20150109"/>
    <s v="6007577248666"/>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GLOBALPAK DE COSTA RICA M.V.S.A"/>
    <s v="TIBAS, DEL ICE 100 NORTE Y 25 ESTE A MANO IZQUIERDA, BODEGA DEL FONDO CON PUERT"/>
    <s v="9503009910"/>
    <s v="Globos de latex de caucho natural."/>
    <s v="UNIDADES"/>
    <n v="6480"/>
    <n v="11.97"/>
    <n v="13.02"/>
    <n v="4"/>
    <x v="3"/>
    <s v="TIBAS-SAN"/>
    <s v="ATLÁNTICO"/>
    <s v="ATLÁNTICO"/>
    <s v="CARTAGENA"/>
    <s v="201501"/>
    <s v="6027580114264"/>
    <s v="ÚNICO"/>
    <s v="TRANSPORTE MARÍTIMO"/>
    <s v="CHIPRE"/>
    <s v="EXPORTACIONES DEFINITIVAS"/>
    <s v="EXPORTACIÓN DEFINITIVA DE MERCANCÍAS DE FABRICACIÓN Ó PRODUCCIÓN NACIONAL"/>
    <s v="NINGUNO"/>
    <s v="NO"/>
    <s v="Dólar de los Estados Unidos de América"/>
    <s v="CON REINTEGRO"/>
    <n v="804"/>
    <n v="1933644.12"/>
    <n v="0"/>
    <n v="0"/>
    <n v="0"/>
    <n v="0"/>
    <s v="AMÉRICA"/>
  </r>
  <r>
    <n v="19"/>
    <n v="2015"/>
    <n v="1"/>
    <n v="9"/>
    <s v="2015"/>
    <s v="01"/>
    <s v="09"/>
    <s v="INICIAL"/>
    <s v="20150109"/>
    <s v="6007577248673"/>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GLOBALPAK DE COSTA RICA M.V.S.A"/>
    <s v="TIBAS, DEL ICE 100 NORTE Y 25 ESTE A MANO IZQUIERDA, BODEGA DEL FONDO CON PUERT"/>
    <s v="8414200000"/>
    <s v="Bombas de aire, de mano o pedal."/>
    <s v="UNIDADES"/>
    <n v="2502"/>
    <n v="273.77999999999997"/>
    <n v="320.27999999999997"/>
    <n v="1"/>
    <x v="3"/>
    <s v="TIBAS-SAN"/>
    <s v="ATLÁNTICO"/>
    <s v="ATLÁNTICO"/>
    <s v="CARTAGENA"/>
    <s v="201501"/>
    <s v="6027580114709"/>
    <s v="ÚNICO"/>
    <s v="TRANSPORTE MARÍTIMO"/>
    <s v="CHIPRE"/>
    <s v="EXPORTACIONES DEFINITIVAS"/>
    <s v="EXPORTACIÓN DEFINITIVA DE MERCANCÍAS DE FABRICACIÓN Ó PRODUCCIÓN NACIONAL"/>
    <s v="NINGUNO"/>
    <s v="NO"/>
    <s v="Dólar de los Estados Unidos de América"/>
    <s v="CON REINTEGRO"/>
    <n v="2947.3"/>
    <n v="7088344.9199999999"/>
    <n v="0"/>
    <n v="0"/>
    <n v="0"/>
    <n v="0"/>
    <s v="AMÉRICA"/>
  </r>
  <r>
    <n v="20"/>
    <n v="2015"/>
    <n v="1"/>
    <n v="13"/>
    <s v="2015"/>
    <s v="01"/>
    <s v="13"/>
    <s v="INICIAL"/>
    <s v="20150113"/>
    <s v="600757696230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BETALLIC L.L.C."/>
    <s v="2326 GRISSOM DRIVE SAINT LOUIS, MISSOURI 63146"/>
    <s v="9503009910"/>
    <s v="Globos de latex de caucho natural."/>
    <s v="UNIDADES"/>
    <n v="95280"/>
    <n v="323.43"/>
    <n v="369"/>
    <n v="1"/>
    <x v="2"/>
    <s v="SAINT LOUIS"/>
    <s v="ATLÁNTICO"/>
    <s v="ATLÁNTICO"/>
    <s v="BOGOTÁ"/>
    <s v="201412"/>
    <s v="6027580467901"/>
    <s v="ÚNICO"/>
    <s v="TRANSPORTE AÉREO"/>
    <s v="ESTADOS UNIDOS"/>
    <s v="EXPORTACIONES DEFINITIVAS"/>
    <s v="EXPORTACIÓN DEFINITIVA DE MERCANCÍAS DE FABRICACIÓN Ó PRODUCCIÓN NACIONAL"/>
    <s v="NINGUNO"/>
    <s v="NO"/>
    <s v="Dólar de los Estados Unidos de América"/>
    <s v="CON REINTEGRO"/>
    <n v="5970.8"/>
    <n v="14369984.07"/>
    <n v="0"/>
    <n v="972.56"/>
    <n v="0"/>
    <n v="0"/>
    <s v="AMÉRICA"/>
  </r>
  <r>
    <n v="21"/>
    <n v="2015"/>
    <n v="1"/>
    <n v="13"/>
    <s v="2015"/>
    <s v="01"/>
    <s v="13"/>
    <s v="INICIAL"/>
    <s v="20150113"/>
    <s v="6007577146674"/>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BETALLIC L.L.C."/>
    <s v="2326 GRISSOM DRIVE SAINT LOUIS, MISSOURI 63146"/>
    <s v="9503009910"/>
    <s v="Globos de latex de caucho natural."/>
    <s v="UNIDADES"/>
    <n v="36000"/>
    <n v="114.29"/>
    <n v="134"/>
    <n v="1"/>
    <x v="2"/>
    <s v="SAINT LOUIS"/>
    <s v="ATLÁNTICO"/>
    <s v="ATLÁNTICO"/>
    <s v="BOGOTÁ"/>
    <s v="201501"/>
    <s v="6027580714371"/>
    <s v="ÚNICO"/>
    <s v="TRANSPORTE AÉREO"/>
    <s v="ESTADOS UNIDOS"/>
    <s v="EXPORTACIONES DEFINITIVAS"/>
    <s v="EXPORTACIÓN DEFINITIVA DE MERCANCÍAS DE FABRICACIÓN Ó PRODUCCIÓN NACIONAL"/>
    <s v="NINGUNO"/>
    <s v="NO"/>
    <s v="Dólar de los Estados Unidos de América"/>
    <s v="CON REINTEGRO"/>
    <n v="2475.6"/>
    <n v="5958051.2800000003"/>
    <n v="0"/>
    <n v="972.56"/>
    <n v="0"/>
    <n v="0"/>
    <s v="AMÉRICA"/>
  </r>
  <r>
    <n v="22"/>
    <n v="2015"/>
    <n v="1"/>
    <n v="13"/>
    <s v="2015"/>
    <s v="01"/>
    <s v="13"/>
    <s v="INICIAL"/>
    <s v="20150113"/>
    <s v="600757707569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ERA BALON VE OYUNCAK SANAYI"/>
    <s v="UZUN CARSI CADDESI. GORENLI HAN. 187/11 TAHTAKALE/EMINONU"/>
    <s v="9503009910"/>
    <s v="Globos de latex de caucho natural."/>
    <s v="UNIDADES"/>
    <n v="23575"/>
    <n v="513.32000000000005"/>
    <n v="531"/>
    <n v="1"/>
    <x v="4"/>
    <s v="ISTANBUL"/>
    <s v="ATLÁNTICO"/>
    <s v="ATLÁNTICO"/>
    <s v="BARRANQUILLA"/>
    <s v="201412"/>
    <s v="6027580713209"/>
    <s v="ÚNICO"/>
    <s v="TRANSPORTE AÉREO"/>
    <s v="COLOMBIA"/>
    <s v="EXPORTACIONES DEFINITIVAS"/>
    <s v="EXPORTACIÓN DEFINITIVA DE MERCANCÍAS DE FABRICACIÓN Ó PRODUCCIÓN NACIONAL"/>
    <s v="NINGUNO"/>
    <s v="NO"/>
    <s v="Dólar de los Estados Unidos de América"/>
    <s v="CON REINTEGRO"/>
    <n v="9987.5"/>
    <n v="24037016.129999999"/>
    <n v="0"/>
    <n v="1742.5"/>
    <n v="0"/>
    <n v="0"/>
    <s v="ASIA"/>
  </r>
  <r>
    <n v="23"/>
    <n v="2015"/>
    <n v="1"/>
    <n v="14"/>
    <s v="2015"/>
    <s v="01"/>
    <s v="14"/>
    <s v="INICIAL"/>
    <s v="20150114"/>
    <s v="600757713961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6075000"/>
    <n v="12300.3"/>
    <n v="13053.6"/>
    <n v="1"/>
    <x v="2"/>
    <s v="SAINT LOUIS"/>
    <s v="ATLÁNTICO"/>
    <s v="ATLÁNTICO"/>
    <s v="BARRANQUILLA"/>
    <s v="201501"/>
    <s v="6027580485183"/>
    <s v="ÚNICO"/>
    <s v="TRANSPORTE MARÍTIMO"/>
    <s v="SINGAPUR"/>
    <s v="EXPORTACIONES DEFINITIVAS"/>
    <s v="EXPORTACIÓN DEFINITIVA DE MERCANCÍAS DE FABRICACIÓN Ó PRODUCCIÓN NACIONAL"/>
    <s v="NINGUNO"/>
    <s v="NO"/>
    <s v="Dólar de los Estados Unidos de América"/>
    <s v="CON REINTEGRO"/>
    <n v="137178.07999999999"/>
    <n v="334992986.69999999"/>
    <n v="0"/>
    <n v="2382"/>
    <n v="0"/>
    <n v="0"/>
    <s v="AMÉRICA"/>
  </r>
  <r>
    <n v="24"/>
    <n v="2015"/>
    <n v="1"/>
    <n v="17"/>
    <s v="2015"/>
    <s v="01"/>
    <s v="17"/>
    <s v="INICIAL"/>
    <s v="20150117"/>
    <s v="600757761009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LPEN PRODUCTS PTY LTD"/>
    <s v="PO BOX 469, DEE WHY NSW 2099"/>
    <s v="9503009910"/>
    <s v="Globos de latex de caucho natural."/>
    <s v="UNIDADES"/>
    <n v="18000"/>
    <n v="65.319999999999993"/>
    <n v="71.92"/>
    <n v="3"/>
    <x v="5"/>
    <s v="Sidney"/>
    <s v="ATLÁNTICO"/>
    <s v="ATLÁNTICO"/>
    <s v="CARTAGENA"/>
    <s v="201501"/>
    <s v="6027580367821"/>
    <s v="ÚNICO"/>
    <s v="TRANSPORTE MARÍTIMO"/>
    <s v="LIBERIA"/>
    <s v="EXPORTACIONES DEFINITIVAS"/>
    <s v="EXPORTACIÓN DEFINITIVA DE MERCANCÍAS DE FABRICACIÓN Ó PRODUCCIÓN NACIONAL"/>
    <s v="NINGUNO"/>
    <s v="NO"/>
    <s v="Dólar de los Estados Unidos de América"/>
    <s v="CON REINTEGRO"/>
    <n v="1848"/>
    <n v="4405465.68"/>
    <n v="0"/>
    <n v="70.13"/>
    <n v="0"/>
    <n v="0"/>
    <s v="OCEANÍA"/>
  </r>
  <r>
    <n v="25"/>
    <n v="2015"/>
    <n v="1"/>
    <n v="17"/>
    <s v="2015"/>
    <s v="01"/>
    <s v="17"/>
    <s v="INICIAL"/>
    <s v="20150117"/>
    <s v="6007577610113"/>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LPEN PRODUCTS PTY LTD"/>
    <s v="PO BOX 469, DEE WHY NSW 2099"/>
    <s v="9503009910"/>
    <s v="Globos de latex de caucho natural."/>
    <s v="UNIDADES"/>
    <n v="6000"/>
    <n v="20.48"/>
    <n v="22.64"/>
    <n v="1"/>
    <x v="5"/>
    <s v="Sidney"/>
    <s v="ATLÁNTICO"/>
    <s v="ATLÁNTICO"/>
    <s v="CARTAGENA"/>
    <s v="201501"/>
    <s v="6027580367869"/>
    <s v="ÚNICO"/>
    <s v="TRANSPORTE MARÍTIMO"/>
    <s v="LIBERIA"/>
    <s v="EXPORTACIONES DEFINITIVAS"/>
    <s v="EXPORTACIÓN DEFINITIVA DE MERCANCÍAS DE FABRICACIÓN Ó PRODUCCIÓN NACIONAL"/>
    <s v="NINGUNO"/>
    <s v="NO"/>
    <s v="Dólar de los Estados Unidos de América"/>
    <s v="CON REINTEGRO"/>
    <n v="480"/>
    <n v="1144276.8"/>
    <n v="0"/>
    <n v="100"/>
    <n v="0"/>
    <n v="0"/>
    <s v="OCEANÍA"/>
  </r>
  <r>
    <n v="26"/>
    <n v="2015"/>
    <n v="1"/>
    <n v="17"/>
    <s v="2015"/>
    <s v="01"/>
    <s v="17"/>
    <s v="INICIAL"/>
    <s v="20150117"/>
    <s v="600757761009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LPEN PRODUCTS PTY LTD"/>
    <s v="PO BOX 469, DEE WHY NSW 2099"/>
    <s v="9503009910"/>
    <s v="Globos de latex de caucho natural."/>
    <s v="UNIDADES"/>
    <n v="511940"/>
    <n v="1638.42"/>
    <n v="1804.09"/>
    <n v="1"/>
    <x v="5"/>
    <s v="Sidney"/>
    <s v="ATLÁNTICO"/>
    <s v="ATLÁNTICO"/>
    <s v="CARTAGENA"/>
    <s v="201501"/>
    <s v="6027580367821"/>
    <s v="ÚNICO"/>
    <s v="TRANSPORTE MARÍTIMO"/>
    <s v="LIBERIA"/>
    <s v="EXPORTACIONES DEFINITIVAS"/>
    <s v="EXPORTACIÓN DEFINITIVA DE MERCANCÍAS DE FABRICACIÓN Ó PRODUCCIÓN NACIONAL"/>
    <s v="NINGUNO"/>
    <s v="NO"/>
    <s v="Dólar de los Estados Unidos de América"/>
    <s v="CON REINTEGRO"/>
    <n v="23722"/>
    <n v="56551113.020000003"/>
    <n v="0"/>
    <n v="900.25"/>
    <n v="0"/>
    <n v="0"/>
    <s v="OCEANÍA"/>
  </r>
  <r>
    <n v="27"/>
    <n v="2015"/>
    <n v="1"/>
    <n v="17"/>
    <s v="2015"/>
    <s v="01"/>
    <s v="17"/>
    <s v="INICIAL"/>
    <s v="20150117"/>
    <s v="600757761009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LPEN PRODUCTS PTY LTD"/>
    <s v="PO BOX 469, DEE WHY NSW 2099"/>
    <s v="9503009910"/>
    <s v="Globos de latex de caucho natural."/>
    <s v="UNIDADES"/>
    <n v="837240"/>
    <n v="2825.02"/>
    <n v="3110.67"/>
    <n v="2"/>
    <x v="5"/>
    <s v="Sidney"/>
    <s v="ATLÁNTICO"/>
    <s v="ATLÁNTICO"/>
    <s v="CARTAGENA"/>
    <s v="201501"/>
    <s v="6027580367821"/>
    <s v="ÚNICO"/>
    <s v="TRANSPORTE MARÍTIMO"/>
    <s v="LIBERIA"/>
    <s v="EXPORTACIONES DEFINITIVAS"/>
    <s v="EXPORTACIÓN DEFINITIVA DE MERCANCÍAS DE FABRICACIÓN Ó PRODUCCIÓN NACIONAL"/>
    <s v="NINGUNO"/>
    <s v="NO"/>
    <s v="Dólar de los Estados Unidos de América"/>
    <s v="CON REINTEGRO"/>
    <n v="40991.599999999999"/>
    <n v="97720285.159999996"/>
    <n v="0"/>
    <n v="1555.62"/>
    <n v="0"/>
    <n v="0"/>
    <s v="OCEANÍA"/>
  </r>
  <r>
    <n v="28"/>
    <n v="2015"/>
    <n v="1"/>
    <n v="17"/>
    <s v="2015"/>
    <s v="01"/>
    <s v="17"/>
    <s v="INICIAL"/>
    <s v="20150117"/>
    <s v="6007577287437"/>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77800"/>
    <n v="278.51"/>
    <n v="301.32"/>
    <n v="3"/>
    <x v="6"/>
    <s v="GENK"/>
    <s v="ATLÁNTICO"/>
    <s v="ATLÁNTICO"/>
    <s v="CARTAGENA"/>
    <s v="201501"/>
    <s v="6027580484605"/>
    <s v="ÚNICO"/>
    <s v="TRANSPORTE MARÍTIMO"/>
    <s v="MARSHALL ISLAS"/>
    <s v="EXPORTACIONES DEFINITIVAS"/>
    <s v="EXPORTACIÓN DEFINITIVA DE MERCANCÍAS DE FABRICACIÓN Ó PRODUCCIÓN NACIONAL"/>
    <s v="NINGUNO"/>
    <s v="NO"/>
    <s v="Dólar de los Estados Unidos de América"/>
    <s v="CON REINTEGRO"/>
    <n v="9468"/>
    <n v="22570859.879999999"/>
    <n v="0"/>
    <n v="199.7"/>
    <n v="24.17"/>
    <n v="0"/>
    <s v="EUROPA"/>
  </r>
  <r>
    <n v="29"/>
    <n v="2015"/>
    <n v="1"/>
    <n v="17"/>
    <s v="2015"/>
    <s v="01"/>
    <s v="17"/>
    <s v="INICIAL"/>
    <s v="20150117"/>
    <s v="6007577287437"/>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9000"/>
    <n v="34.81"/>
    <n v="37.659999999999997"/>
    <n v="4"/>
    <x v="6"/>
    <s v="GENK"/>
    <s v="ATLÁNTICO"/>
    <s v="ATLÁNTICO"/>
    <s v="CARTAGENA"/>
    <s v="201501"/>
    <s v="6027580484605"/>
    <s v="ÚNICO"/>
    <s v="TRANSPORTE MARÍTIMO"/>
    <s v="MARSHALL ISLAS"/>
    <s v="EXPORTACIONES DEFINITIVAS"/>
    <s v="EXPORTACIÓN DEFINITIVA DE MERCANCÍAS DE FABRICACIÓN Ó PRODUCCIÓN NACIONAL"/>
    <s v="NINGUNO"/>
    <s v="NO"/>
    <s v="Dólar de los Estados Unidos de América"/>
    <s v="CON REINTEGRO"/>
    <n v="900"/>
    <n v="2145519"/>
    <n v="0"/>
    <n v="18.98"/>
    <n v="2.2999999999999998"/>
    <n v="0"/>
    <s v="EUROPA"/>
  </r>
  <r>
    <n v="30"/>
    <n v="2015"/>
    <n v="1"/>
    <n v="17"/>
    <s v="2015"/>
    <s v="01"/>
    <s v="17"/>
    <s v="INICIAL"/>
    <s v="20150117"/>
    <s v="6007577287437"/>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922000"/>
    <n v="2532.52"/>
    <n v="2739.93"/>
    <n v="1"/>
    <x v="6"/>
    <s v="GENK"/>
    <s v="ATLÁNTICO"/>
    <s v="ATLÁNTICO"/>
    <s v="CARTAGENA"/>
    <s v="201501"/>
    <s v="6027580484605"/>
    <s v="ÚNICO"/>
    <s v="TRANSPORTE MARÍTIMO"/>
    <s v="MARSHALL ISLAS"/>
    <s v="EXPORTACIONES DEFINITIVAS"/>
    <s v="EXPORTACIÓN DEFINITIVA DE MERCANCÍAS DE FABRICACIÓN Ó PRODUCCIÓN NACIONAL"/>
    <s v="NINGUNO"/>
    <s v="NO"/>
    <s v="Dólar de los Estados Unidos de América"/>
    <s v="CON REINTEGRO"/>
    <n v="41508.400000000001"/>
    <n v="98952289.840000004"/>
    <n v="0"/>
    <n v="875.52"/>
    <n v="105.96"/>
    <n v="0"/>
    <s v="EUROPA"/>
  </r>
  <r>
    <n v="31"/>
    <n v="2015"/>
    <n v="1"/>
    <n v="17"/>
    <s v="2015"/>
    <s v="01"/>
    <s v="17"/>
    <s v="INICIAL"/>
    <s v="20150117"/>
    <s v="6007577287437"/>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327000"/>
    <n v="742.48"/>
    <n v="803.29"/>
    <n v="2"/>
    <x v="6"/>
    <s v="GENK"/>
    <s v="ATLÁNTICO"/>
    <s v="ATLÁNTICO"/>
    <s v="CARTAGENA"/>
    <s v="201501"/>
    <s v="6027580484605"/>
    <s v="ÚNICO"/>
    <s v="TRANSPORTE MARÍTIMO"/>
    <s v="MARSHALL ISLAS"/>
    <s v="EXPORTACIONES DEFINITIVAS"/>
    <s v="EXPORTACIÓN DEFINITIVA DE MERCANCÍAS DE FABRICACIÓN Ó PRODUCCIÓN NACIONAL"/>
    <s v="NINGUNO"/>
    <s v="NO"/>
    <s v="Dólar de los Estados Unidos de América"/>
    <s v="CON REINTEGRO"/>
    <n v="11416.2"/>
    <n v="27215193.34"/>
    <n v="0"/>
    <n v="240.8"/>
    <n v="29.14"/>
    <n v="0"/>
    <s v="EUROPA"/>
  </r>
  <r>
    <n v="32"/>
    <n v="2015"/>
    <n v="1"/>
    <n v="17"/>
    <s v="2015"/>
    <s v="01"/>
    <s v="17"/>
    <s v="INICIAL"/>
    <s v="20150117"/>
    <s v="600757734484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15000"/>
    <n v="53.46"/>
    <n v="58.49"/>
    <n v="2"/>
    <x v="7"/>
    <s v="BREMEN"/>
    <s v="ATLÁNTICO"/>
    <s v="ATLÁNTICO"/>
    <s v="CARTAGENA"/>
    <s v="201501"/>
    <s v="6027580483607"/>
    <s v="ÚNICO"/>
    <s v="TRANSPORTE MARÍTIMO"/>
    <s v="CHIPRE"/>
    <s v="EXPORTACIONES DEFINITIVAS"/>
    <s v="EXPORTACIÓN DEFINITIVA DE MERCANCÍAS DE FABRICACIÓN Ó PRODUCCIÓN NACIONAL"/>
    <s v="NINGUNO"/>
    <s v="NO"/>
    <s v="Dólar de los Estados Unidos de América"/>
    <s v="CON REINTEGRO"/>
    <n v="1485"/>
    <n v="3540106.35"/>
    <n v="0"/>
    <n v="97.06"/>
    <n v="3.96"/>
    <n v="0"/>
    <s v="EUROPA"/>
  </r>
  <r>
    <n v="33"/>
    <n v="2015"/>
    <n v="1"/>
    <n v="17"/>
    <s v="2015"/>
    <s v="01"/>
    <s v="17"/>
    <s v="INICIAL"/>
    <s v="20150117"/>
    <s v="600757734485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25000"/>
    <n v="83"/>
    <n v="89.1"/>
    <n v="1"/>
    <x v="7"/>
    <s v="BREMEN"/>
    <s v="ATLÁNTICO"/>
    <s v="ATLÁNTICO"/>
    <s v="CARTAGENA"/>
    <s v="201501"/>
    <s v="6027580483646"/>
    <s v="ÚNICO"/>
    <s v="TRANSPORTE MARÍTIMO"/>
    <s v="CHIPRE"/>
    <s v="EXPORTACIONES DEFINITIVAS"/>
    <s v="EXPORTACIÓN DEFINITIVA DE MERCANCÍAS DE FABRICACIÓN Ó PRODUCCIÓN NACIONAL"/>
    <s v="NINGUNO"/>
    <s v="NO"/>
    <s v="Dólar de los Estados Unidos de América"/>
    <s v="CON REINTEGRO"/>
    <n v="2475"/>
    <n v="5900177.25"/>
    <n v="0"/>
    <n v="200"/>
    <n v="12"/>
    <n v="0"/>
    <s v="EUROPA"/>
  </r>
  <r>
    <n v="34"/>
    <n v="2015"/>
    <n v="1"/>
    <n v="17"/>
    <s v="2015"/>
    <s v="01"/>
    <s v="17"/>
    <s v="INICIAL"/>
    <s v="20150117"/>
    <s v="600757734484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584000"/>
    <n v="703.87"/>
    <n v="770.07"/>
    <n v="1"/>
    <x v="7"/>
    <s v="BREMEN"/>
    <s v="ATLÁNTICO"/>
    <s v="ATLÁNTICO"/>
    <s v="CARTAGENA"/>
    <s v="201501"/>
    <s v="6027580483607"/>
    <s v="ÚNICO"/>
    <s v="TRANSPORTE MARÍTIMO"/>
    <s v="CHIPRE"/>
    <s v="EXPORTACIONES DEFINITIVAS"/>
    <s v="EXPORTACIÓN DEFINITIVA DE MERCANCÍAS DE FABRICACIÓN Ó PRODUCCIÓN NACIONAL"/>
    <s v="NINGUNO"/>
    <s v="NO"/>
    <s v="Dólar de los Estados Unidos de América"/>
    <s v="CON REINTEGRO"/>
    <n v="11213.2"/>
    <n v="26731259.609999999"/>
    <n v="0"/>
    <n v="732.94"/>
    <n v="29.86"/>
    <n v="0"/>
    <s v="EUROPA"/>
  </r>
  <r>
    <n v="35"/>
    <n v="2015"/>
    <n v="1"/>
    <n v="17"/>
    <s v="2015"/>
    <s v="01"/>
    <s v="17"/>
    <s v="INICIAL"/>
    <s v="20150117"/>
    <s v="600757736302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UZUKI LATEX INDUSTRY CO, LTD."/>
    <s v="1-9-1, NAKASE, MIHAMA-KU, CHIBA261-0023, JAPAN"/>
    <s v="9503009910"/>
    <s v="Globos de latex de caucho natural."/>
    <s v="UNIDADES"/>
    <n v="2880000"/>
    <n v="6174.8"/>
    <n v="6721.64"/>
    <n v="1"/>
    <x v="8"/>
    <s v="YOKOHAMA"/>
    <s v="ATLÁNTICO"/>
    <s v="ATLÁNTICO"/>
    <s v="BARRANQUILLA"/>
    <s v="201501"/>
    <s v="6027580678021"/>
    <s v="ÚNICO"/>
    <s v="TRANSPORTE MARÍTIMO"/>
    <s v="ANTIGUA Y BARBUDA"/>
    <s v="EXPORTACIONES DEFINITIVAS"/>
    <s v="EXPORTACIÓN DEFINITIVA DE MERCANCÍAS DE FABRICACIÓN Ó PRODUCCIÓN NACIONAL"/>
    <s v="NINGUNO"/>
    <s v="NO"/>
    <s v="Dólar de los Estados Unidos de América"/>
    <s v="CON REINTEGRO"/>
    <n v="95199.43"/>
    <n v="226946873.16999999"/>
    <n v="0"/>
    <n v="1005"/>
    <n v="240.51"/>
    <n v="0"/>
    <s v="ASIA"/>
  </r>
  <r>
    <n v="36"/>
    <n v="2015"/>
    <n v="1"/>
    <n v="17"/>
    <s v="2015"/>
    <s v="01"/>
    <s v="17"/>
    <s v="INICIAL"/>
    <s v="20150117"/>
    <s v="600757747885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11520"/>
    <n v="48.26"/>
    <n v="52.31"/>
    <n v="4"/>
    <x v="9"/>
    <s v="SANTIAGO"/>
    <s v="ATLÁNTICO"/>
    <s v="ATLÁNTICO"/>
    <s v="BARRANQUILLA"/>
    <s v="201501"/>
    <s v="6027580694493"/>
    <s v="ÚNICO"/>
    <s v="TRANSPORTE MARÍTIMO"/>
    <s v="LIBERIA"/>
    <s v="EXPORTACIONES DEFINITIVAS"/>
    <s v="EXPORTACIÓN DEFINITIVA DE MERCANCÍAS DE FABRICACIÓN Ó PRODUCCIÓN NACIONAL"/>
    <s v="ALADI"/>
    <s v="NO"/>
    <s v="Dólar de los Estados Unidos de América"/>
    <s v="CON REINTEGRO"/>
    <n v="1248"/>
    <n v="2975119.68"/>
    <n v="0"/>
    <n v="14.9"/>
    <n v="3.16"/>
    <n v="0"/>
    <s v="AMÉRICA"/>
  </r>
  <r>
    <n v="37"/>
    <n v="2015"/>
    <n v="1"/>
    <n v="17"/>
    <s v="2015"/>
    <s v="01"/>
    <s v="17"/>
    <s v="INICIAL"/>
    <s v="20150117"/>
    <s v="600757747885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2577024"/>
    <n v="5320.88"/>
    <n v="5767.55"/>
    <n v="1"/>
    <x v="9"/>
    <s v="SANTIAGO"/>
    <s v="ATLÁNTICO"/>
    <s v="ATLÁNTICO"/>
    <s v="BARRANQUILLA"/>
    <s v="201501"/>
    <s v="6027580694493"/>
    <s v="ÚNICO"/>
    <s v="TRANSPORTE MARÍTIMO"/>
    <s v="LIBERIA"/>
    <s v="EXPORTACIONES DEFINITIVAS"/>
    <s v="EXPORTACIÓN DEFINITIVA DE MERCANCÍAS DE FABRICACIÓN Ó PRODUCCIÓN NACIONAL"/>
    <s v="ALADI"/>
    <s v="NO"/>
    <s v="Dólar de los Estados Unidos de América"/>
    <s v="CON REINTEGRO"/>
    <n v="74139.12"/>
    <n v="176740989.56"/>
    <n v="0"/>
    <n v="884.99"/>
    <n v="187.56"/>
    <n v="0"/>
    <s v="AMÉRICA"/>
  </r>
  <r>
    <n v="38"/>
    <n v="2015"/>
    <n v="1"/>
    <n v="17"/>
    <s v="2015"/>
    <s v="01"/>
    <s v="17"/>
    <s v="INICIAL"/>
    <s v="20150117"/>
    <s v="600757747885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280416"/>
    <n v="662.55"/>
    <n v="718.17"/>
    <n v="2"/>
    <x v="9"/>
    <s v="SANTIAGO"/>
    <s v="ATLÁNTICO"/>
    <s v="ATLÁNTICO"/>
    <s v="BARRANQUILLA"/>
    <s v="201501"/>
    <s v="6027580694493"/>
    <s v="ÚNICO"/>
    <s v="TRANSPORTE MARÍTIMO"/>
    <s v="LIBERIA"/>
    <s v="EXPORTACIONES DEFINITIVAS"/>
    <s v="EXPORTACIÓN DEFINITIVA DE MERCANCÍAS DE FABRICACIÓN Ó PRODUCCIÓN NACIONAL"/>
    <s v="ALADI"/>
    <s v="NO"/>
    <s v="Dólar de los Estados Unidos de América"/>
    <s v="CON REINTEGRO"/>
    <n v="9771.84"/>
    <n v="23295187.09"/>
    <n v="0"/>
    <n v="116.65"/>
    <n v="24.72"/>
    <n v="0"/>
    <s v="AMÉRICA"/>
  </r>
  <r>
    <n v="39"/>
    <n v="2015"/>
    <n v="1"/>
    <n v="17"/>
    <s v="2015"/>
    <s v="01"/>
    <s v="17"/>
    <s v="INICIAL"/>
    <s v="20150117"/>
    <s v="600757747885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142560"/>
    <n v="482.45"/>
    <n v="522.95000000000005"/>
    <n v="3"/>
    <x v="9"/>
    <s v="SANTIAGO"/>
    <s v="ATLÁNTICO"/>
    <s v="ATLÁNTICO"/>
    <s v="BARRANQUILLA"/>
    <s v="201501"/>
    <s v="6027580694493"/>
    <s v="ÚNICO"/>
    <s v="TRANSPORTE MARÍTIMO"/>
    <s v="LIBERIA"/>
    <s v="EXPORTACIONES DEFINITIVAS"/>
    <s v="EXPORTACIÓN DEFINITIVA DE MERCANCÍAS DE FABRICACIÓN Ó PRODUCCIÓN NACIONAL"/>
    <s v="ALADI"/>
    <s v="NO"/>
    <s v="Dólar de los Estados Unidos de América"/>
    <s v="CON REINTEGRO"/>
    <n v="12856.8"/>
    <n v="30649454.09"/>
    <n v="0"/>
    <n v="153.47"/>
    <n v="32.53"/>
    <n v="0"/>
    <s v="AMÉRICA"/>
  </r>
  <r>
    <n v="40"/>
    <n v="2015"/>
    <n v="1"/>
    <n v="20"/>
    <s v="2015"/>
    <s v="01"/>
    <s v="20"/>
    <s v="INICIAL"/>
    <s v="20150120"/>
    <s v="600757768153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LMACENES ESTUARDO SANCHEZ S.A."/>
    <s v="SUCRE 828 Y L DE GARAICOA"/>
    <s v="9503009910"/>
    <s v="Globos de latex de caucho natural."/>
    <s v="UNIDADES"/>
    <n v="549800"/>
    <n v="2022"/>
    <n v="2197.79"/>
    <n v="3"/>
    <x v="10"/>
    <s v="GUAYAQUIL"/>
    <s v="ATLÁNTICO"/>
    <s v="ATLÁNTICO"/>
    <s v="BARRANQUILLA"/>
    <s v="201501"/>
    <s v="6027580953639"/>
    <s v="ÚNICO"/>
    <s v="TRANSPORTE MARÍTIMO"/>
    <s v="CHIPRE"/>
    <s v="EXPORTACIONES DEFINITIVAS"/>
    <s v="EXPORTACIÓN DEFINITIVA DE MERCANCÍAS DE FABRICACIÓN Ó PRODUCCIÓN NACIONAL"/>
    <s v="CAN"/>
    <s v="NO"/>
    <s v="Dólar de los Estados Unidos de América"/>
    <s v="CON REINTEGRO"/>
    <n v="53304"/>
    <n v="127071938.64"/>
    <n v="0"/>
    <n v="0"/>
    <n v="0"/>
    <n v="0"/>
    <s v="AMÉRICA"/>
  </r>
  <r>
    <n v="41"/>
    <n v="2015"/>
    <n v="1"/>
    <n v="20"/>
    <s v="2015"/>
    <s v="01"/>
    <s v="20"/>
    <s v="INICIAL"/>
    <s v="20150120"/>
    <s v="600757768153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LMACENES ESTUARDO SANCHEZ S.A."/>
    <s v="SUCRE 828 Y L DE GARAICOA"/>
    <s v="9503009910"/>
    <s v="Globos de latex de caucho natural."/>
    <s v="UNIDADES"/>
    <n v="1617800"/>
    <n v="3083.34"/>
    <n v="3351.41"/>
    <n v="2"/>
    <x v="10"/>
    <s v="GUAYAQUIL"/>
    <s v="ATLÁNTICO"/>
    <s v="ATLÁNTICO"/>
    <s v="BARRANQUILLA"/>
    <s v="201501"/>
    <s v="6027580953639"/>
    <s v="ÚNICO"/>
    <s v="TRANSPORTE MARÍTIMO"/>
    <s v="CHIPRE"/>
    <s v="EXPORTACIONES DEFINITIVAS"/>
    <s v="EXPORTACIÓN DEFINITIVA DE MERCANCÍAS DE FABRICACIÓN Ó PRODUCCIÓN NACIONAL"/>
    <s v="CAN"/>
    <s v="NO"/>
    <s v="Dólar de los Estados Unidos de América"/>
    <s v="CON REINTEGRO"/>
    <n v="43635.199999999997"/>
    <n v="104022389.63"/>
    <n v="0"/>
    <n v="0"/>
    <n v="0"/>
    <n v="0"/>
    <s v="AMÉRICA"/>
  </r>
  <r>
    <n v="42"/>
    <n v="2015"/>
    <n v="1"/>
    <n v="20"/>
    <s v="2015"/>
    <s v="01"/>
    <s v="20"/>
    <s v="INICIAL"/>
    <s v="20150120"/>
    <s v="600757768153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LMACENES ESTUARDO SANCHEZ S.A."/>
    <s v="SUCRE 828 Y L DE GARAICOA"/>
    <s v="9503009910"/>
    <s v="Globos de latex de caucho natural."/>
    <s v="UNIDADES"/>
    <n v="4546600"/>
    <n v="9239.24"/>
    <n v="10042.51"/>
    <n v="1"/>
    <x v="10"/>
    <s v="GUAYAQUIL"/>
    <s v="ATLÁNTICO"/>
    <s v="ATLÁNTICO"/>
    <s v="BARRANQUILLA"/>
    <s v="201501"/>
    <s v="6027580953639"/>
    <s v="ÚNICO"/>
    <s v="TRANSPORTE MARÍTIMO"/>
    <s v="CHIPRE"/>
    <s v="EXPORTACIONES DEFINITIVAS"/>
    <s v="EXPORTACIÓN DEFINITIVA DE MERCANCÍAS DE FABRICACIÓN Ó PRODUCCIÓN NACIONAL"/>
    <s v="CAN"/>
    <s v="NO"/>
    <s v="Dólar de los Estados Unidos de América"/>
    <s v="CON REINTEGRO"/>
    <n v="125183.7"/>
    <n v="298426674.26999998"/>
    <n v="0"/>
    <n v="0"/>
    <n v="0"/>
    <n v="0"/>
    <s v="AMÉRICA"/>
  </r>
  <r>
    <n v="43"/>
    <n v="2015"/>
    <n v="1"/>
    <n v="21"/>
    <s v="2015"/>
    <s v="01"/>
    <s v="21"/>
    <s v="INICIAL"/>
    <s v="20150121"/>
    <s v="6007577744294"/>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BRAVO LTD"/>
    <s v="620089, YEKATERINBURG, BASOVEI ST. BUILDING 52, FIRST FLOOR"/>
    <s v="9503009910"/>
    <s v="Globos de latex de caucho natural."/>
    <s v="UNIDADES"/>
    <n v="84000"/>
    <n v="409.31"/>
    <n v="439"/>
    <n v="1"/>
    <x v="0"/>
    <s v="YEKATERINBURG"/>
    <s v="ATLÁNTICO"/>
    <s v="ATLÁNTICO"/>
    <s v="BOGOTÁ"/>
    <s v="201501"/>
    <s v="6027581267399"/>
    <s v="ÚNICO"/>
    <s v="TRANSPORTE AÉREO"/>
    <s v="COLOMBIA"/>
    <s v="EXPORTACIONES DEFINITIVAS"/>
    <s v="LAS DEMÁS EXPORTACIONES DEFINITIVAS NO INCLUIDAS EN LOS ÍTEMS ANTERIORES"/>
    <s v="NINGUNO"/>
    <s v="NO"/>
    <s v="Dólar de los Estados Unidos de América"/>
    <s v="CON REINTEGRO"/>
    <n v="7089"/>
    <n v="16825316.16"/>
    <n v="0"/>
    <n v="2508"/>
    <n v="24"/>
    <n v="0"/>
    <s v="ASIA"/>
  </r>
  <r>
    <n v="44"/>
    <n v="2015"/>
    <n v="1"/>
    <n v="28"/>
    <s v="2015"/>
    <s v="01"/>
    <s v="28"/>
    <s v="INICIAL"/>
    <s v="20150128"/>
    <s v="6007577908889"/>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SUZUKI LATEX INDUSTRY CO. LTD"/>
    <s v="1-9-1, NKASE, MIHAMA-KU CO. LTD. CHIBA261-0023"/>
    <s v="9503009910"/>
    <s v="Globos de latex de caucho natural."/>
    <s v="UNIDADES"/>
    <n v="243500"/>
    <n v="532.92999999999995"/>
    <n v="568"/>
    <n v="1"/>
    <x v="8"/>
    <s v="TOKYO"/>
    <s v="ATLÁNTICO"/>
    <s v="ATLÁNTICO"/>
    <s v="BOGOTÁ"/>
    <s v="201501"/>
    <s v="6027581540921"/>
    <s v="ÚNICO"/>
    <s v="TRANSPORTE AÉREO"/>
    <s v="ESTADOS UNIDOS"/>
    <s v="EXPORTACIONES DEFINITIVAS"/>
    <s v="EXPORTACIÓN DEFINITIVA DE MERCANCÍAS DE FABRICACIÓN Ó PRODUCCIÓN NACIONAL"/>
    <s v="NINGUNO"/>
    <s v="NO"/>
    <s v="Dólar de los Estados Unidos de América"/>
    <s v="CON REINTEGRO"/>
    <n v="8044.14"/>
    <n v="19153982.199999999"/>
    <n v="0"/>
    <n v="1684.92"/>
    <n v="24.32"/>
    <n v="0"/>
    <s v="ASIA"/>
  </r>
  <r>
    <n v="45"/>
    <n v="2015"/>
    <n v="1"/>
    <n v="28"/>
    <s v="2015"/>
    <s v="01"/>
    <s v="28"/>
    <s v="INICIAL"/>
    <s v="20150128"/>
    <s v="6007577870123"/>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DISTRIBUIDORA G DE P"/>
    <s v="CALLE 70 Y AVENIDA TERCERA SAN FRANCISCO"/>
    <s v="9503009910"/>
    <s v="Globos de latex de caucho natural."/>
    <s v="UNIDADES"/>
    <n v="55600"/>
    <n v="136.01"/>
    <n v="149"/>
    <n v="1"/>
    <x v="11"/>
    <s v="PANAMA"/>
    <s v="ATLÁNTICO"/>
    <s v="ATLÁNTICO"/>
    <s v="BARRANQUILLA"/>
    <s v="201501"/>
    <s v="6027581541310"/>
    <s v="ÚNICO"/>
    <s v="TRANSPORTE AÉREO"/>
    <s v="PANAMÁ"/>
    <s v="EXPORTACIONES DEFINITIVAS"/>
    <s v="EXPORTACIÓN DEFINITIVA DE MERCANCÍAS DE FABRICACIÓN Ó PRODUCCIÓN NACIONAL"/>
    <s v="NINGUNO"/>
    <s v="NO"/>
    <s v="Dólar de los Estados Unidos de América"/>
    <s v="CON REINTEGRO"/>
    <n v="2605.6"/>
    <n v="6204220.2199999997"/>
    <n v="0"/>
    <n v="248.1"/>
    <n v="12"/>
    <n v="0"/>
    <s v="AMÉRICA"/>
  </r>
  <r>
    <n v="46"/>
    <n v="2015"/>
    <n v="1"/>
    <n v="31"/>
    <s v="2015"/>
    <s v="01"/>
    <s v="31"/>
    <s v="INICIAL"/>
    <s v="20150131"/>
    <s v="6007578179403"/>
    <s v="000"/>
    <s v="NO REGISTRA"/>
    <s v="OTRAS MODALIDADES"/>
    <s v="000"/>
    <s v="NO REGISTRA"/>
    <s v="DEFINITIVOS AL EMBARQUE"/>
    <s v="NO"/>
    <s v="BOGOTÁ"/>
    <s v="BOGOTÁ"/>
    <s v="NO DILIGENCIADO"/>
    <s v="830076778"/>
    <s v="S.I.A. DHL EXPRESS COLOMBIA LTDA"/>
    <s v="USUARIO OPERADOR DE ZONA FRANCA"/>
    <s v="36"/>
    <s v="890101272"/>
    <s v="SEMPERTEX DE COLOMBIA S A"/>
    <s v="BOGOTÁ, D.C."/>
    <s v="CR 106 15 A 25 MZ 9 BG 12 ET 2"/>
    <s v="PRIVADO"/>
    <s v="JUAN DIAZ"/>
    <s v="LLANO BONITO, CALLE PRINCIPAL MULTISTORAGE GALERA 77 PANAMA"/>
    <s v="9503009910"/>
    <s v="Globos de latex de caucho natural."/>
    <s v="UNIDADES"/>
    <n v="9500"/>
    <n v="32.31"/>
    <n v="33.24"/>
    <n v="1"/>
    <x v="11"/>
    <s v="PANAMA"/>
    <s v="ATLÁNTICO"/>
    <s v="ATLÁNTICO"/>
    <s v="BOGOTÁ"/>
    <s v="201501"/>
    <s v="6027581886318"/>
    <s v="ÚNICO"/>
    <s v="TRANSPORTE AÉREO"/>
    <s v="ESTADOS UNIDOS"/>
    <s v="EXPORTACIONES DEFINITIVAS"/>
    <s v="EXPORTACIÓN DEFINITIVA DE MERCANCÍAS DE FABRICACIÓN Ó PRODUCCIÓN NACIONAL"/>
    <s v="NINGUNO"/>
    <s v="NO"/>
    <s v="Dólar de los Estados Unidos de América"/>
    <s v="CON REINTEGRO"/>
    <n v="656"/>
    <n v="1601361.6"/>
    <n v="0"/>
    <n v="235.5"/>
    <n v="0"/>
    <n v="0"/>
    <s v="AMÉRICA"/>
  </r>
  <r>
    <n v="47"/>
    <n v="2015"/>
    <n v="2"/>
    <n v="1"/>
    <s v="2015"/>
    <s v="02"/>
    <s v="01"/>
    <s v="INICIAL"/>
    <s v="20150201"/>
    <s v="600757825806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1082000"/>
    <n v="3845.76"/>
    <n v="4176.68"/>
    <n v="3"/>
    <x v="0"/>
    <s v="YEKATERINBURG"/>
    <s v="ATLÁNTICO"/>
    <s v="ATLÁNTICO"/>
    <s v="CARTAGENA"/>
    <s v="201501"/>
    <s v="6027580964316"/>
    <s v="ÚNICO"/>
    <s v="TRANSPORTE MARÍTIMO"/>
    <s v="ALEMANIA"/>
    <s v="EXPORTACIONES DEFINITIVAS"/>
    <s v="EXPORTACIÓN DEFINITIVA DE MERCANCÍAS DE FABRICACIÓN Ó PRODUCCIÓN NACIONAL"/>
    <s v="NINGUNO"/>
    <s v="NO"/>
    <s v="Dólar de los Estados Unidos de América"/>
    <s v="CON REINTEGRO"/>
    <n v="100219.8"/>
    <n v="244646553.78"/>
    <n v="0"/>
    <n v="0"/>
    <n v="0"/>
    <n v="0"/>
    <s v="ASIA"/>
  </r>
  <r>
    <n v="48"/>
    <n v="2015"/>
    <n v="2"/>
    <n v="1"/>
    <s v="2015"/>
    <s v="02"/>
    <s v="01"/>
    <s v="INICIAL"/>
    <s v="20150201"/>
    <s v="600757825806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264000"/>
    <n v="969.32"/>
    <n v="1052.73"/>
    <n v="4"/>
    <x v="0"/>
    <s v="YEKATERINBURG"/>
    <s v="ATLÁNTICO"/>
    <s v="ATLÁNTICO"/>
    <s v="CARTAGENA"/>
    <s v="201501"/>
    <s v="6027580964316"/>
    <s v="ÚNICO"/>
    <s v="TRANSPORTE MARÍTIMO"/>
    <s v="ALEMANIA"/>
    <s v="EXPORTACIONES DEFINITIVAS"/>
    <s v="EXPORTACIÓN DEFINITIVA DE MERCANCÍAS DE FABRICACIÓN Ó PRODUCCIÓN NACIONAL"/>
    <s v="NINGUNO"/>
    <s v="NO"/>
    <s v="Dólar de los Estados Unidos de América"/>
    <s v="CON REINTEGRO"/>
    <n v="23727"/>
    <n v="57919979.700000003"/>
    <n v="0"/>
    <n v="0"/>
    <n v="0"/>
    <n v="0"/>
    <s v="ASIA"/>
  </r>
  <r>
    <n v="49"/>
    <n v="2015"/>
    <n v="2"/>
    <n v="1"/>
    <s v="2015"/>
    <s v="02"/>
    <s v="01"/>
    <s v="INICIAL"/>
    <s v="20150201"/>
    <s v="6007578258075"/>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4911100000"/>
    <s v="Impresos publicitarios, catalogos comerciales y similares."/>
    <s v="KILOGRAMO"/>
    <n v="6.37"/>
    <n v="6.37"/>
    <n v="7.3"/>
    <n v="1"/>
    <x v="0"/>
    <s v="YEKATERINBURG"/>
    <s v="ATLÁNTICO"/>
    <s v="ATLÁNTICO"/>
    <s v="CARTAGENA"/>
    <s v="201501"/>
    <s v="6027580965608"/>
    <s v="ÚNICO"/>
    <s v="TRANSPORTE MARÍTIMO"/>
    <s v="ALEMANIA"/>
    <s v="EXPORTACIONES DEFINITIVAS"/>
    <s v="EXPORTACION TEMPORAL PARA PERFECCIONAMIENTO PASIVO"/>
    <s v="NINGUNO"/>
    <s v="NO"/>
    <s v="Dólar de los Estados Unidos de América"/>
    <s v="SIN REINTEGRO"/>
    <n v="1.25"/>
    <n v="3051.38"/>
    <n v="0"/>
    <n v="0"/>
    <n v="0"/>
    <n v="0"/>
    <s v="ASIA"/>
  </r>
  <r>
    <n v="50"/>
    <n v="2015"/>
    <n v="2"/>
    <n v="1"/>
    <s v="2015"/>
    <s v="02"/>
    <s v="01"/>
    <s v="INICIAL"/>
    <s v="20150201"/>
    <s v="600757826970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2517000"/>
    <n v="6001.69"/>
    <n v="6522.55"/>
    <n v="1"/>
    <x v="12"/>
    <s v="KUALA LUMPUR"/>
    <s v="ATLÁNTICO"/>
    <s v="ATLÁNTICO"/>
    <s v="BARRANQUILLA"/>
    <s v="201501"/>
    <s v="6027581502708"/>
    <s v="ÚNICO"/>
    <s v="TRANSPORTE MARÍTIMO"/>
    <s v="HONG KONG"/>
    <s v="EXPORTACIONES DEFINITIVAS"/>
    <s v="EXPORTACIÓN DEFINITIVA DE MERCANCÍAS DE FABRICACIÓN Ó PRODUCCIÓN NACIONAL"/>
    <s v="NINGUNO"/>
    <s v="NO"/>
    <s v="Dólar de los Estados Unidos de América"/>
    <s v="CON REINTEGRO"/>
    <n v="85020.44"/>
    <n v="207543396.08000001"/>
    <n v="0"/>
    <n v="956.79"/>
    <n v="214.94"/>
    <n v="0"/>
    <s v="ASIA"/>
  </r>
  <r>
    <n v="51"/>
    <n v="2015"/>
    <n v="2"/>
    <n v="1"/>
    <s v="2015"/>
    <s v="02"/>
    <s v="01"/>
    <s v="INICIAL"/>
    <s v="20150201"/>
    <s v="600757826970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76500"/>
    <n v="256.47000000000003"/>
    <n v="278.73"/>
    <n v="2"/>
    <x v="12"/>
    <s v="KUALA LUMPUR"/>
    <s v="ATLÁNTICO"/>
    <s v="ATLÁNTICO"/>
    <s v="BARRANQUILLA"/>
    <s v="201501"/>
    <s v="6027581502708"/>
    <s v="ÚNICO"/>
    <s v="TRANSPORTE MARÍTIMO"/>
    <s v="HONG KONG"/>
    <s v="EXPORTACIONES DEFINITIVAS"/>
    <s v="EXPORTACIÓN DEFINITIVA DE MERCANCÍAS DE FABRICACIÓN Ó PRODUCCIÓN NACIONAL"/>
    <s v="NINGUNO"/>
    <s v="NO"/>
    <s v="Dólar de los Estados Unidos de América"/>
    <s v="CON REINTEGRO"/>
    <n v="3839.92"/>
    <n v="9373628.7100000009"/>
    <n v="0"/>
    <n v="43.21"/>
    <n v="9.7100000000000009"/>
    <n v="0"/>
    <s v="ASIA"/>
  </r>
  <r>
    <n v="52"/>
    <n v="2015"/>
    <n v="2"/>
    <n v="1"/>
    <s v="2015"/>
    <s v="02"/>
    <s v="01"/>
    <s v="INICIAL"/>
    <s v="20150201"/>
    <s v="600757825806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3824000"/>
    <n v="8071.62"/>
    <n v="8766.17"/>
    <n v="1"/>
    <x v="0"/>
    <s v="YEKATERINBURG"/>
    <s v="ATLÁNTICO"/>
    <s v="ATLÁNTICO"/>
    <s v="CARTAGENA"/>
    <s v="201501"/>
    <s v="6027580964316"/>
    <s v="ÚNICO"/>
    <s v="TRANSPORTE MARÍTIMO"/>
    <s v="ALEMANIA"/>
    <s v="EXPORTACIONES DEFINITIVAS"/>
    <s v="EXPORTACIÓN DEFINITIVA DE MERCANCÍAS DE FABRICACIÓN Ó PRODUCCIÓN NACIONAL"/>
    <s v="NINGUNO"/>
    <s v="NO"/>
    <s v="Dólar de los Estados Unidos de América"/>
    <s v="CON REINTEGRO"/>
    <n v="121274.9"/>
    <n v="296044158.38999999"/>
    <n v="0"/>
    <n v="0"/>
    <n v="0"/>
    <n v="0"/>
    <s v="ASIA"/>
  </r>
  <r>
    <n v="53"/>
    <n v="2015"/>
    <n v="2"/>
    <n v="1"/>
    <s v="2015"/>
    <s v="02"/>
    <s v="01"/>
    <s v="INICIAL"/>
    <s v="20150201"/>
    <s v="600757825806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658500"/>
    <n v="1628.25"/>
    <n v="1768.36"/>
    <n v="2"/>
    <x v="0"/>
    <s v="YEKATERINBURG"/>
    <s v="ATLÁNTICO"/>
    <s v="ATLÁNTICO"/>
    <s v="CARTAGENA"/>
    <s v="201501"/>
    <s v="6027580964316"/>
    <s v="ÚNICO"/>
    <s v="TRANSPORTE MARÍTIMO"/>
    <s v="ALEMANIA"/>
    <s v="EXPORTACIONES DEFINITIVAS"/>
    <s v="EXPORTACIÓN DEFINITIVA DE MERCANCÍAS DE FABRICACIÓN Ó PRODUCCIÓN NACIONAL"/>
    <s v="NINGUNO"/>
    <s v="NO"/>
    <s v="Dólar de los Estados Unidos de América"/>
    <s v="CON REINTEGRO"/>
    <n v="24134.2"/>
    <n v="58913995.619999997"/>
    <n v="0"/>
    <n v="0"/>
    <n v="0"/>
    <n v="0"/>
    <s v="ASIA"/>
  </r>
  <r>
    <n v="54"/>
    <n v="2015"/>
    <n v="2"/>
    <n v="5"/>
    <s v="2015"/>
    <s v="02"/>
    <s v="05"/>
    <s v="INICIAL"/>
    <s v="20150205"/>
    <s v="600757845053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AI TO WIN IMP Y EXP CO. LTD"/>
    <s v="no.122 LANE 399 PU QUAN ROAD PU JIAN YI CHENG"/>
    <s v="9503009910"/>
    <s v="Globos de latex de caucho natural."/>
    <s v="UNIDADES"/>
    <n v="6125000"/>
    <n v="13242.35"/>
    <n v="14414.12"/>
    <n v="1"/>
    <x v="13"/>
    <s v="SHANGAI"/>
    <s v="ATLÁNTICO"/>
    <s v="ATLÁNTICO"/>
    <s v="BARRANQUILLA"/>
    <s v="201502"/>
    <s v="6027581515674"/>
    <s v="ÚNICO"/>
    <s v="TRANSPORTE MARÍTIMO"/>
    <s v="SAN VICENTE Y LAS GRANADINAS"/>
    <s v="EXPORTACIONES DEFINITIVAS"/>
    <s v="EXPORTACIÓN DEFINITIVA DE MERCANCÍAS DE FABRICACIÓN Ó PRODUCCIÓN NACIONAL"/>
    <s v="NINGUNO"/>
    <s v="NO"/>
    <s v="Dólar de los Estados Unidos de América"/>
    <s v="CON REINTEGRO"/>
    <n v="179491"/>
    <n v="427531407.81"/>
    <n v="0"/>
    <n v="901.19"/>
    <n v="450.98"/>
    <n v="0"/>
    <s v="ASIA"/>
  </r>
  <r>
    <n v="55"/>
    <n v="2015"/>
    <n v="2"/>
    <n v="5"/>
    <s v="2015"/>
    <s v="02"/>
    <s v="05"/>
    <s v="INICIAL"/>
    <s v="20150205"/>
    <s v="600757845053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AI TO WIN IMP Y EXP CO. LTD"/>
    <s v="no.122 LANE 399 PU QUAN ROAD PU JIAN YI CHENG"/>
    <s v="9503009910"/>
    <s v="Globos de latex de caucho natural."/>
    <s v="UNIDADES"/>
    <n v="468500"/>
    <n v="883.24"/>
    <n v="961.39"/>
    <n v="2"/>
    <x v="13"/>
    <s v="SHANGAI"/>
    <s v="ATLÁNTICO"/>
    <s v="ATLÁNTICO"/>
    <s v="BARRANQUILLA"/>
    <s v="201502"/>
    <s v="6027581515674"/>
    <s v="ÚNICO"/>
    <s v="TRANSPORTE MARÍTIMO"/>
    <s v="SAN VICENTE Y LAS GRANADINAS"/>
    <s v="EXPORTACIONES DEFINITIVAS"/>
    <s v="EXPORTACIÓN DEFINITIVA DE MERCANCÍAS DE FABRICACIÓN Ó PRODUCCIÓN NACIONAL"/>
    <s v="NINGUNO"/>
    <s v="NO"/>
    <s v="Dólar de los Estados Unidos de América"/>
    <s v="CON REINTEGRO"/>
    <n v="11714"/>
    <n v="27901693.739999998"/>
    <n v="0"/>
    <n v="58.81"/>
    <n v="29.43"/>
    <n v="0"/>
    <s v="ASIA"/>
  </r>
  <r>
    <n v="56"/>
    <n v="2015"/>
    <n v="2"/>
    <n v="5"/>
    <s v="2015"/>
    <s v="02"/>
    <s v="05"/>
    <s v="INICIAL"/>
    <s v="20150205"/>
    <s v="6007578483367"/>
    <s v="000"/>
    <s v="NO REGISTRA"/>
    <s v="OTRAS MODALIDADES"/>
    <s v="000"/>
    <s v="NO REGISTRA"/>
    <s v="DEFINITIVOS AL EMBARQUE"/>
    <s v="NO"/>
    <s v="BOGOTÁ"/>
    <s v="BOGOTÁ"/>
    <s v="NO DILIGENCIADO"/>
    <s v="830076778"/>
    <s v="S.I.A. DHL EXPRESS COLOMBIA LTDA"/>
    <s v="USUARIO OPERADOR DE ZONA FRANCA"/>
    <s v="36"/>
    <s v="890101272"/>
    <s v="SEMPERTEX DE COLOMBIA S A"/>
    <s v="BOGOTÁ, D.C."/>
    <s v="CR 106 15 A 25 MZ 9 BG 12 ET 2"/>
    <s v="PRIVADO"/>
    <s v="GRUPO LO SPRINCIPITOS CA"/>
    <s v="AV FRANCISCO DE MIRANDA, LOS PALOS GRANDES EDIF, PARQUE CRISTAL, TORRE ESTE, PIS"/>
    <s v="9503009910"/>
    <s v="Globos de latex de caucho natural."/>
    <s v="UNIDADES"/>
    <n v="150"/>
    <n v="50.8"/>
    <n v="54.46"/>
    <n v="1"/>
    <x v="14"/>
    <s v="CARACAS EL LLANITO"/>
    <s v="ATLÁNTICO"/>
    <s v="ATLÁNTICO"/>
    <s v="BOGOTÁ"/>
    <s v="201502"/>
    <s v="6027582122980"/>
    <s v="ÚNICO"/>
    <s v="TRANSPORTE AÉREO"/>
    <s v="PANAMÁ"/>
    <s v="EXPORTACIONES DEFINITIVAS"/>
    <s v="EXPORTACIÓN DEFINITIVA DE MERCANCÍAS DE FABRICACIÓN Ó PRODUCCIÓN NACIONAL"/>
    <s v="NINGUNO"/>
    <s v="NO"/>
    <s v="Dólar de los Estados Unidos de América"/>
    <s v="CON REINTEGRO"/>
    <n v="1050"/>
    <n v="2501005.5"/>
    <n v="0"/>
    <n v="288.61"/>
    <n v="12"/>
    <n v="0"/>
    <s v="AMÉRICA"/>
  </r>
  <r>
    <n v="57"/>
    <n v="2015"/>
    <n v="2"/>
    <n v="5"/>
    <s v="2015"/>
    <s v="02"/>
    <s v="05"/>
    <s v="INICIAL"/>
    <s v="20150205"/>
    <s v="600757837135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749700"/>
    <n v="2176.29"/>
    <n v="2347.52"/>
    <n v="1"/>
    <x v="15"/>
    <s v="CARLSWSALD, MIDRAND"/>
    <s v="ATLÁNTICO"/>
    <s v="ATLÁNTICO"/>
    <s v="CARTAGENA"/>
    <s v="201502"/>
    <s v="6027581022402"/>
    <s v="ÚNICO"/>
    <s v="TRANSPORTE MARÍTIMO"/>
    <s v="HONG KONG"/>
    <s v="EXPORTACIONES DEFINITIVAS"/>
    <s v="LAS DEMÁS EXPORTACIONES DEFINITIVAS NO INCLUIDAS EN LOS ÍTEMS ANTERIORES"/>
    <s v="NINGUNO"/>
    <s v="NO"/>
    <s v="Dólar de los Estados Unidos de América"/>
    <s v="CON REINTEGRO"/>
    <n v="35482.5"/>
    <n v="84516121.579999998"/>
    <n v="0"/>
    <n v="0"/>
    <n v="0"/>
    <n v="0"/>
    <s v="ÁFRICA"/>
  </r>
  <r>
    <n v="58"/>
    <n v="2015"/>
    <n v="2"/>
    <n v="5"/>
    <s v="2015"/>
    <s v="02"/>
    <s v="05"/>
    <s v="INICIAL"/>
    <s v="20150205"/>
    <s v="600757837135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122600"/>
    <n v="417.36"/>
    <n v="450.2"/>
    <n v="2"/>
    <x v="15"/>
    <s v="CARLSWSALD, MIDRAND"/>
    <s v="ATLÁNTICO"/>
    <s v="ATLÁNTICO"/>
    <s v="CARTAGENA"/>
    <s v="201502"/>
    <s v="6027581022402"/>
    <s v="ÚNICO"/>
    <s v="TRANSPORTE MARÍTIMO"/>
    <s v="HONG KONG"/>
    <s v="EXPORTACIONES DEFINITIVAS"/>
    <s v="LAS DEMÁS EXPORTACIONES DEFINITIVAS NO INCLUIDAS EN LOS ÍTEMS ANTERIORES"/>
    <s v="NINGUNO"/>
    <s v="NO"/>
    <s v="Dólar de los Estados Unidos de América"/>
    <s v="CON REINTEGRO"/>
    <n v="7391.7"/>
    <n v="17606364.149999999"/>
    <n v="0"/>
    <n v="0"/>
    <n v="0"/>
    <n v="0"/>
    <s v="ÁFRICA"/>
  </r>
  <r>
    <n v="59"/>
    <n v="2015"/>
    <n v="2"/>
    <n v="5"/>
    <s v="2015"/>
    <s v="02"/>
    <s v="05"/>
    <s v="INICIAL"/>
    <s v="20150205"/>
    <s v="600757837135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66000"/>
    <n v="231.3"/>
    <n v="249.5"/>
    <n v="3"/>
    <x v="15"/>
    <s v="CARLSWSALD, MIDRAND"/>
    <s v="ATLÁNTICO"/>
    <s v="ATLÁNTICO"/>
    <s v="CARTAGENA"/>
    <s v="201502"/>
    <s v="6027581022402"/>
    <s v="ÚNICO"/>
    <s v="TRANSPORTE MARÍTIMO"/>
    <s v="HONG KONG"/>
    <s v="EXPORTACIONES DEFINITIVAS"/>
    <s v="LAS DEMÁS EXPORTACIONES DEFINITIVAS NO INCLUIDAS EN LOS ÍTEMS ANTERIORES"/>
    <s v="NINGUNO"/>
    <s v="NO"/>
    <s v="Dólar de los Estados Unidos de América"/>
    <s v="CON REINTEGRO"/>
    <n v="5966.4"/>
    <n v="14211427.82"/>
    <n v="0"/>
    <n v="0"/>
    <n v="0"/>
    <n v="0"/>
    <s v="ÁFRICA"/>
  </r>
  <r>
    <n v="60"/>
    <n v="2015"/>
    <n v="2"/>
    <n v="9"/>
    <s v="2015"/>
    <s v="02"/>
    <s v="09"/>
    <s v="INICIAL"/>
    <s v="20150209"/>
    <s v="6007578356247"/>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BETALLIC L.L.C."/>
    <s v="2326 GRISSOM DRIVE SAINT LOUIS, MISSOURI 63146"/>
    <s v="9503009910"/>
    <s v="Globos de latex de caucho natural."/>
    <s v="UNIDADES"/>
    <n v="50000"/>
    <n v="190.32"/>
    <n v="207"/>
    <n v="1"/>
    <x v="2"/>
    <s v="SAINT LOUIS"/>
    <s v="ATLÁNTICO"/>
    <s v="ATLÁNTICO"/>
    <s v="BOGOTÁ"/>
    <s v="201502"/>
    <s v="6027581871511"/>
    <s v="ÚNICO"/>
    <s v="TRANSPORTE AÉREO"/>
    <s v="ESTADOS UNIDOS"/>
    <s v="EXPORTACIONES DEFINITIVAS"/>
    <s v="EXPORTACIÓN DEFINITIVA DE MERCANCÍAS DE FABRICACIÓN Ó PRODUCCIÓN NACIONAL"/>
    <s v="NINGUNO"/>
    <s v="NO"/>
    <s v="Dólar de los Estados Unidos de América"/>
    <s v="CON REINTEGRO"/>
    <n v="2466"/>
    <n v="5880818.1600000001"/>
    <n v="0"/>
    <n v="590.96"/>
    <n v="0"/>
    <n v="0"/>
    <s v="AMÉRICA"/>
  </r>
  <r>
    <n v="61"/>
    <n v="2015"/>
    <n v="2"/>
    <n v="9"/>
    <s v="2015"/>
    <s v="02"/>
    <s v="09"/>
    <s v="INICIAL"/>
    <s v="20150209"/>
    <s v="6007578309113"/>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BLD ORIENTAL CO., LTD"/>
    <s v="OSAKA-FU IZUMISANO-SHI AOI-CHO 4-6-45"/>
    <s v="9503009910"/>
    <s v="Globos de latex de caucho natural."/>
    <s v="UNIDADES"/>
    <n v="10000"/>
    <n v="360.2"/>
    <n v="379"/>
    <n v="1"/>
    <x v="8"/>
    <s v="OSAKA"/>
    <s v="ATLÁNTICO"/>
    <s v="ATLÁNTICO"/>
    <s v="BARRANQUILLA"/>
    <s v="201502"/>
    <s v="6027581996949"/>
    <s v="ÚNICO"/>
    <s v="TRANSPORTE AÉREO"/>
    <s v="ESTADOS UNIDOS"/>
    <s v="EXPORTACIONES DEFINITIVAS"/>
    <s v="EXPORTACIÓN DEFINITIVA DE MERCANCÍAS DE FABRICACIÓN Ó PRODUCCIÓN NACIONAL"/>
    <s v="NINGUNO"/>
    <s v="NO"/>
    <s v="Dólar de los Estados Unidos de América"/>
    <s v="CON REINTEGRO"/>
    <n v="11000"/>
    <n v="26232360"/>
    <n v="0"/>
    <n v="1336.1"/>
    <n v="30.84"/>
    <n v="0"/>
    <s v="ASIA"/>
  </r>
  <r>
    <n v="62"/>
    <n v="2015"/>
    <n v="2"/>
    <n v="9"/>
    <s v="2015"/>
    <s v="02"/>
    <s v="09"/>
    <s v="INICIAL"/>
    <s v="20150209"/>
    <s v="6007578424952"/>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BALLOON BARON SPECIALTIES"/>
    <s v="BLK 9008 TAMPINES ST. 93 # 04-47 SINGAPORE 528843"/>
    <s v="9503009910"/>
    <s v="Globos de latex de caucho natural."/>
    <s v="UNIDADES"/>
    <n v="30000"/>
    <n v="64.38"/>
    <n v="69"/>
    <n v="1"/>
    <x v="16"/>
    <s v="SINGAPUR"/>
    <s v="ATLÁNTICO"/>
    <s v="ATLÁNTICO"/>
    <s v="BOGOTÁ"/>
    <s v="201502"/>
    <s v="6027581994168"/>
    <s v="ÚNICO"/>
    <s v="TRANSPORTE AÉREO"/>
    <s v="ESTADOS UNIDOS"/>
    <s v="EXPORTACIONES DEFINITIVAS"/>
    <s v="EXPORTACIÓN DEFINITIVA DE MERCANCÍAS DE FABRICACIÓN Ó PRODUCCIÓN NACIONAL"/>
    <s v="NINGUNO"/>
    <s v="NO"/>
    <s v="Dólar de los Estados Unidos de América"/>
    <s v="CON REINTEGRO"/>
    <n v="840"/>
    <n v="2003198.4"/>
    <n v="0"/>
    <n v="450"/>
    <n v="12"/>
    <n v="0"/>
    <s v="ASIA"/>
  </r>
  <r>
    <n v="63"/>
    <n v="2015"/>
    <n v="2"/>
    <n v="9"/>
    <s v="2015"/>
    <s v="02"/>
    <s v="09"/>
    <s v="INICIAL"/>
    <s v="20150209"/>
    <s v="600757842496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JUNG JEAN COMPANY"/>
    <s v="#174-1 3/F MOOK-DONG, JOONGRANG"/>
    <s v="9503009910"/>
    <s v="Globos de latex de caucho natural."/>
    <s v="UNIDADES"/>
    <n v="405960"/>
    <n v="1056.29"/>
    <n v="1126"/>
    <n v="1"/>
    <x v="17"/>
    <s v="SEOUL"/>
    <s v="ATLÁNTICO"/>
    <s v="ATLÁNTICO"/>
    <s v="BOGOTÁ"/>
    <s v="201502"/>
    <s v="6027581999366"/>
    <s v="ÚNICO"/>
    <s v="TRANSPORTE AÉREO"/>
    <s v="ESTADOS UNIDOS"/>
    <s v="EXPORTACIONES DEFINITIVAS"/>
    <s v="EXPORTACIÓN DEFINITIVA DE MERCANCÍAS DE FABRICACIÓN Ó PRODUCCIÓN NACIONAL"/>
    <s v="NINGUNO"/>
    <s v="NO"/>
    <s v="Dólar de los Estados Unidos de América"/>
    <s v="CON REINTEGRO"/>
    <n v="16877"/>
    <n v="40247594.520000003"/>
    <n v="0"/>
    <n v="3023.58"/>
    <n v="49.75"/>
    <n v="0"/>
    <s v="ASIA"/>
  </r>
  <r>
    <n v="64"/>
    <n v="2015"/>
    <n v="2"/>
    <n v="11"/>
    <s v="2015"/>
    <s v="02"/>
    <s v="11"/>
    <s v="INICIAL"/>
    <s v="20150211"/>
    <s v="600757868209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RANSIT TECHNOLOGY"/>
    <s v="PANERIU 51, OFFICE 412, VILNIUS, LITHUANIA"/>
    <s v="9503009910"/>
    <s v="Globos de latex de caucho natural."/>
    <s v="UNIDADES"/>
    <n v="12000"/>
    <n v="39.4"/>
    <n v="43.12"/>
    <n v="1"/>
    <x v="18"/>
    <s v="VILNIUS"/>
    <s v="ATLÁNTICO"/>
    <s v="ATLÁNTICO"/>
    <s v="BARRANQUILLA"/>
    <s v="201502"/>
    <s v="6027581976323"/>
    <s v="ÚNICO"/>
    <s v="TRANSPORTE MARÍTIMO"/>
    <s v="LIBERIA"/>
    <s v="EXPORTACIONES DEFINITIVAS"/>
    <s v="EXPORTACIÓN DEFINITIVA DE MERCANCÍAS DE FABRICACIÓN Ó PRODUCCIÓN NACIONAL"/>
    <s v="NINGUNO"/>
    <s v="NO"/>
    <s v="Dólar de los Estados Unidos de América"/>
    <s v="CON REINTEGRO"/>
    <n v="844.8"/>
    <n v="2011291.39"/>
    <n v="0"/>
    <n v="100"/>
    <n v="12"/>
    <n v="0"/>
    <s v="EUROPA"/>
  </r>
  <r>
    <n v="65"/>
    <n v="2015"/>
    <n v="2"/>
    <n v="11"/>
    <s v="2015"/>
    <s v="02"/>
    <s v="11"/>
    <s v="INICIAL"/>
    <s v="20150211"/>
    <s v="600757868210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RANSIT TECHNOLOGY"/>
    <s v="PANERIU 51, OFFICE 412, VILNIUS, LITHUANIA"/>
    <s v="9503009910"/>
    <s v="Globos de latex de caucho natural."/>
    <s v="UNIDADES"/>
    <n v="4508500"/>
    <n v="9781.08"/>
    <n v="10608.39"/>
    <n v="1"/>
    <x v="18"/>
    <s v="VILNIUS"/>
    <s v="ATLÁNTICO"/>
    <s v="ATLÁNTICO"/>
    <s v="BARRANQUILLA"/>
    <s v="201502"/>
    <s v="6027581976411"/>
    <s v="ÚNICO"/>
    <s v="TRANSPORTE MARÍTIMO"/>
    <s v="LIBERIA"/>
    <s v="EXPORTACIONES DEFINITIVAS"/>
    <s v="EXPORTACIÓN DEFINITIVA DE MERCANCÍAS DE FABRICACIÓN Ó PRODUCCIÓN NACIONAL"/>
    <s v="NINGUNO"/>
    <s v="NO"/>
    <s v="Dólar de los Estados Unidos de América"/>
    <s v="CON REINTEGRO"/>
    <n v="149457.4"/>
    <n v="355826683.35000002"/>
    <n v="0"/>
    <n v="1780.09"/>
    <n v="378.09"/>
    <n v="0"/>
    <s v="EUROPA"/>
  </r>
  <r>
    <n v="66"/>
    <n v="2015"/>
    <n v="2"/>
    <n v="11"/>
    <s v="2015"/>
    <s v="02"/>
    <s v="11"/>
    <s v="INICIAL"/>
    <s v="20150211"/>
    <s v="600757868210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RANSIT TECHNOLOGY"/>
    <s v="PANERIU 51, OFFICE 412, VILNIUS, LITHUANIA"/>
    <s v="9503009910"/>
    <s v="Globos de latex de caucho natural."/>
    <s v="UNIDADES"/>
    <n v="459000"/>
    <n v="1188.8499999999999"/>
    <n v="1289.4100000000001"/>
    <n v="2"/>
    <x v="18"/>
    <s v="VILNIUS"/>
    <s v="ATLÁNTICO"/>
    <s v="ATLÁNTICO"/>
    <s v="BARRANQUILLA"/>
    <s v="201502"/>
    <s v="6027581976411"/>
    <s v="ÚNICO"/>
    <s v="TRANSPORTE MARÍTIMO"/>
    <s v="LIBERIA"/>
    <s v="EXPORTACIONES DEFINITIVAS"/>
    <s v="EXPORTACIÓN DEFINITIVA DE MERCANCÍAS DE FABRICACIÓN Ó PRODUCCIÓN NACIONAL"/>
    <s v="NINGUNO"/>
    <s v="NO"/>
    <s v="Dólar de los Estados Unidos de América"/>
    <s v="CON REINTEGRO"/>
    <n v="18762"/>
    <n v="44668381.979999997"/>
    <n v="0"/>
    <n v="223.46"/>
    <n v="47.46"/>
    <n v="0"/>
    <s v="EUROPA"/>
  </r>
  <r>
    <n v="67"/>
    <n v="2015"/>
    <n v="2"/>
    <n v="11"/>
    <s v="2015"/>
    <s v="02"/>
    <s v="11"/>
    <s v="INICIAL"/>
    <s v="20150211"/>
    <s v="600757868210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RANSIT TECHNOLOGY"/>
    <s v="PANERIU 51, OFFICE 412, VILNIUS, LITHUANIA"/>
    <s v="9503009910"/>
    <s v="Globos de latex de caucho natural."/>
    <s v="UNIDADES"/>
    <n v="498200"/>
    <n v="1894.37"/>
    <n v="2054.6"/>
    <n v="3"/>
    <x v="18"/>
    <s v="VILNIUS"/>
    <s v="ATLÁNTICO"/>
    <s v="ATLÁNTICO"/>
    <s v="BARRANQUILLA"/>
    <s v="201502"/>
    <s v="6027581976411"/>
    <s v="ÚNICO"/>
    <s v="TRANSPORTE MARÍTIMO"/>
    <s v="LIBERIA"/>
    <s v="EXPORTACIONES DEFINITIVAS"/>
    <s v="EXPORTACIÓN DEFINITIVA DE MERCANCÍAS DE FABRICACIÓN Ó PRODUCCIÓN NACIONAL"/>
    <s v="NINGUNO"/>
    <s v="NO"/>
    <s v="Dólar de los Estados Unidos de América"/>
    <s v="CON REINTEGRO"/>
    <n v="51757.599999999999"/>
    <n v="123223976.5"/>
    <n v="0"/>
    <n v="616.45000000000005"/>
    <n v="130.93"/>
    <n v="0"/>
    <s v="EUROPA"/>
  </r>
  <r>
    <n v="68"/>
    <n v="2015"/>
    <n v="2"/>
    <n v="11"/>
    <s v="2015"/>
    <s v="02"/>
    <s v="11"/>
    <s v="INICIAL"/>
    <s v="20150211"/>
    <s v="600757868212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RANSIT TECHNOLOGY"/>
    <s v="PANERIU 51, OFFICE 412, VILNIUS, LITHUANIA"/>
    <s v="4911100000"/>
    <s v="Impresos publicitarios, catalogos comerciales y similares."/>
    <s v="KILOGRAMO"/>
    <n v="39.14"/>
    <n v="39.14"/>
    <n v="41"/>
    <n v="1"/>
    <x v="18"/>
    <s v="VILNIUS"/>
    <s v="ATLÁNTICO"/>
    <s v="ATLÁNTICO"/>
    <s v="BARRANQUILLA"/>
    <s v="201502"/>
    <s v="6027581976601"/>
    <s v="ÚNICO"/>
    <s v="TRANSPORTE MARÍTIMO"/>
    <s v="LIBERIA"/>
    <s v="EXPORTACIONES DEFINITIVAS"/>
    <s v="EXPORTACION TEMPORAL PARA PERFECCIONAMIENTO PASIVO"/>
    <s v="NINGUNO"/>
    <s v="NO"/>
    <s v="Dólar de los Estados Unidos de América"/>
    <s v="SIN REINTEGRO"/>
    <n v="4.8499999999999996"/>
    <n v="11546.83"/>
    <n v="0"/>
    <n v="0"/>
    <n v="0"/>
    <n v="0"/>
    <s v="EUROPA"/>
  </r>
  <r>
    <n v="69"/>
    <n v="2015"/>
    <n v="2"/>
    <n v="12"/>
    <s v="2015"/>
    <s v="02"/>
    <s v="12"/>
    <s v="INICIAL"/>
    <s v="20150212"/>
    <s v="600757871866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6000000"/>
    <n v="12476"/>
    <n v="13220"/>
    <n v="1"/>
    <x v="2"/>
    <s v="SAINT LOUIS"/>
    <s v="ATLÁNTICO"/>
    <s v="ATLÁNTICO"/>
    <s v="BARRANQUILLA"/>
    <s v="201502"/>
    <s v="6027581984701"/>
    <s v="ÚNICO"/>
    <s v="TRANSPORTE MARÍTIMO"/>
    <s v="MARSHALL ISLAS"/>
    <s v="EXPORTACIONES DEFINITIVAS"/>
    <s v="EXPORTACIÓN DEFINITIVA DE MERCANCÍAS DE FABRICACIÓN Ó PRODUCCIÓN NACIONAL"/>
    <s v="NINGUNO"/>
    <s v="NO"/>
    <s v="Dólar de los Estados Unidos de América"/>
    <s v="CON REINTEGRO"/>
    <n v="136599.15"/>
    <n v="330106871.88"/>
    <n v="0"/>
    <n v="2391"/>
    <n v="0"/>
    <n v="1600"/>
    <s v="AMÉRICA"/>
  </r>
  <r>
    <n v="70"/>
    <n v="2015"/>
    <n v="2"/>
    <n v="12"/>
    <s v="2015"/>
    <s v="02"/>
    <s v="12"/>
    <s v="INICIAL"/>
    <s v="20150212"/>
    <s v="600757871867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232080"/>
    <n v="830.79"/>
    <n v="945.16"/>
    <n v="1"/>
    <x v="2"/>
    <s v="SAINT LOUIS"/>
    <s v="ATLÁNTICO"/>
    <s v="ATLÁNTICO"/>
    <s v="BARRANQUILLA"/>
    <s v="201502"/>
    <s v="6027581984765"/>
    <s v="ÚNICO"/>
    <s v="TRANSPORTE MARÍTIMO"/>
    <s v="MARSHALL ISLAS"/>
    <s v="EXPORTACIONES DEFINITIVAS"/>
    <s v="EXPORTACIÓN DEFINITIVA DE MERCANCÍAS DE FABRICACIÓN Ó PRODUCCIÓN NACIONAL"/>
    <s v="NINGUNO"/>
    <s v="NO"/>
    <s v="Dólar de los Estados Unidos de América"/>
    <s v="CON REINTEGRO"/>
    <n v="12758.4"/>
    <n v="30832077.02"/>
    <n v="0"/>
    <n v="211.18"/>
    <n v="0"/>
    <n v="0"/>
    <s v="AMÉRICA"/>
  </r>
  <r>
    <n v="71"/>
    <n v="2015"/>
    <n v="2"/>
    <n v="12"/>
    <s v="2015"/>
    <s v="02"/>
    <s v="12"/>
    <s v="INICIAL"/>
    <s v="20150212"/>
    <s v="600757871867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132000"/>
    <n v="488.52"/>
    <n v="555.77"/>
    <n v="2"/>
    <x v="2"/>
    <s v="SAINT LOUIS"/>
    <s v="ATLÁNTICO"/>
    <s v="ATLÁNTICO"/>
    <s v="BARRANQUILLA"/>
    <s v="201502"/>
    <s v="6027581984765"/>
    <s v="ÚNICO"/>
    <s v="TRANSPORTE MARÍTIMO"/>
    <s v="MARSHALL ISLAS"/>
    <s v="EXPORTACIONES DEFINITIVAS"/>
    <s v="EXPORTACIÓN DEFINITIVA DE MERCANCÍAS DE FABRICACIÓN Ó PRODUCCIÓN NACIONAL"/>
    <s v="NINGUNO"/>
    <s v="NO"/>
    <s v="Dólar de los Estados Unidos de América"/>
    <s v="CON REINTEGRO"/>
    <n v="6564.8"/>
    <n v="15864561.33"/>
    <n v="0"/>
    <n v="108.66"/>
    <n v="0"/>
    <n v="0"/>
    <s v="AMÉRICA"/>
  </r>
  <r>
    <n v="72"/>
    <n v="2015"/>
    <n v="2"/>
    <n v="12"/>
    <s v="2015"/>
    <s v="02"/>
    <s v="12"/>
    <s v="INICIAL"/>
    <s v="20150212"/>
    <s v="600757871867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36000"/>
    <n v="135.63"/>
    <n v="154.30000000000001"/>
    <n v="3"/>
    <x v="2"/>
    <s v="SAINT LOUIS"/>
    <s v="ATLÁNTICO"/>
    <s v="ATLÁNTICO"/>
    <s v="BARRANQUILLA"/>
    <s v="201502"/>
    <s v="6027581984765"/>
    <s v="ÚNICO"/>
    <s v="TRANSPORTE MARÍTIMO"/>
    <s v="MARSHALL ISLAS"/>
    <s v="EXPORTACIONES DEFINITIVAS"/>
    <s v="EXPORTACIÓN DEFINITIVA DE MERCANCÍAS DE FABRICACIÓN Ó PRODUCCIÓN NACIONAL"/>
    <s v="NINGUNO"/>
    <s v="NO"/>
    <s v="Dólar de los Estados Unidos de América"/>
    <s v="CON REINTEGRO"/>
    <n v="4178.3999999999996"/>
    <n v="10097563.220000001"/>
    <n v="0"/>
    <n v="69.16"/>
    <n v="0"/>
    <n v="0"/>
    <s v="AMÉRICA"/>
  </r>
  <r>
    <n v="73"/>
    <n v="2015"/>
    <n v="2"/>
    <n v="18"/>
    <s v="2015"/>
    <s v="02"/>
    <s v="18"/>
    <s v="INICIAL"/>
    <s v="20150218"/>
    <s v="600757895308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1930000"/>
    <n v="5155.67"/>
    <n v="5572.69"/>
    <n v="1"/>
    <x v="19"/>
    <s v="HAMINA"/>
    <s v="ATLÁNTICO"/>
    <s v="ATLÁNTICO"/>
    <s v="CARTAGENA"/>
    <s v="201502"/>
    <s v="6027581972829"/>
    <s v="ÚNICO"/>
    <s v="TRANSPORTE MARÍTIMO"/>
    <s v="LIBERIA"/>
    <s v="EXPORTACIONES DEFINITIVAS"/>
    <s v="EXPORTACIÓN DEFINITIVA DE MERCANCÍAS DE FABRICACIÓN Ó PRODUCCIÓN NACIONAL"/>
    <s v="NINGUNO"/>
    <s v="NO"/>
    <s v="Dólar de los Estados Unidos de América"/>
    <s v="CON REINTEGRO"/>
    <n v="84671"/>
    <n v="204596464.27000001"/>
    <n v="0"/>
    <n v="1452.23"/>
    <n v="215.31"/>
    <n v="0"/>
    <s v="EUROPA"/>
  </r>
  <r>
    <n v="74"/>
    <n v="2015"/>
    <n v="2"/>
    <n v="18"/>
    <s v="2015"/>
    <s v="02"/>
    <s v="18"/>
    <s v="INICIAL"/>
    <s v="20150218"/>
    <s v="600757895308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33000"/>
    <n v="162.22999999999999"/>
    <n v="175.35"/>
    <n v="3"/>
    <x v="19"/>
    <s v="HAMINA"/>
    <s v="ATLÁNTICO"/>
    <s v="ATLÁNTICO"/>
    <s v="CARTAGENA"/>
    <s v="201502"/>
    <s v="6027581972829"/>
    <s v="ÚNICO"/>
    <s v="TRANSPORTE MARÍTIMO"/>
    <s v="LIBERIA"/>
    <s v="EXPORTACIONES DEFINITIVAS"/>
    <s v="EXPORTACIÓN DEFINITIVA DE MERCANCÍAS DE FABRICACIÓN Ó PRODUCCIÓN NACIONAL"/>
    <s v="NINGUNO"/>
    <s v="NO"/>
    <s v="Dólar de los Estados Unidos de América"/>
    <s v="CON REINTEGRO"/>
    <n v="4276.5"/>
    <n v="10333606.310000001"/>
    <n v="0"/>
    <n v="73.349999999999994"/>
    <n v="10.87"/>
    <n v="0"/>
    <s v="EUROPA"/>
  </r>
  <r>
    <n v="75"/>
    <n v="2015"/>
    <n v="2"/>
    <n v="18"/>
    <s v="2015"/>
    <s v="02"/>
    <s v="18"/>
    <s v="INICIAL"/>
    <s v="20150218"/>
    <s v="600757895309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4911100000"/>
    <s v="Impresos publicitarios, catalogos comerciales y similares."/>
    <s v="KILOGRAMO"/>
    <n v="31.85"/>
    <n v="31.85"/>
    <n v="36.5"/>
    <n v="1"/>
    <x v="19"/>
    <s v="HAMINA"/>
    <s v="ATLÁNTICO"/>
    <s v="ATLÁNTICO"/>
    <s v="CARTAGENA"/>
    <s v="201502"/>
    <s v="6027581972993"/>
    <s v="ÚNICO"/>
    <s v="TRANSPORTE MARÍTIMO"/>
    <s v="LIBERIA"/>
    <s v="EXPORTACIONES DEFINITIVAS"/>
    <s v="EXPORTACION TEMPORAL PARA PERFECCIONAMIENTO PASIVO"/>
    <s v="NINGUNO"/>
    <s v="NO"/>
    <s v="Dólar de los Estados Unidos de América"/>
    <s v="SIN REINTEGRO"/>
    <n v="6.25"/>
    <n v="15102.31"/>
    <n v="0"/>
    <n v="0"/>
    <n v="0"/>
    <n v="0"/>
    <s v="EUROPA"/>
  </r>
  <r>
    <n v="76"/>
    <n v="2015"/>
    <n v="2"/>
    <n v="18"/>
    <s v="2015"/>
    <s v="02"/>
    <s v="18"/>
    <s v="INICIAL"/>
    <s v="20150218"/>
    <s v="600757895310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SOCIETE FINANCIERE POUR L´ETRANGER NV"/>
    <s v="J. CARDIJNSTRAAT 18 B9420"/>
    <s v="9503009910"/>
    <s v="Globos de latex de caucho natural."/>
    <s v="UNIDADES"/>
    <n v="970000"/>
    <n v="2073.5700000000002"/>
    <n v="2256.7800000000002"/>
    <n v="1"/>
    <x v="6"/>
    <s v="ERPE-MERE"/>
    <s v="ATLÁNTICO"/>
    <s v="ATLÁNTICO"/>
    <s v="CARTAGENA"/>
    <s v="201502"/>
    <s v="6027581979080"/>
    <s v="ÚNICO"/>
    <s v="TRANSPORTE MARÍTIMO"/>
    <s v="LIBERIA"/>
    <s v="EXPORTACIONES DEFINITIVAS"/>
    <s v="EXPORTACIÓN DEFINITIVA DE MERCANCÍAS DE FABRICACIÓN Ó PRODUCCIÓN NACIONAL"/>
    <s v="NINGUNO"/>
    <s v="NO"/>
    <s v="Dólar de los Estados Unidos de América"/>
    <s v="CON REINTEGRO"/>
    <n v="29050"/>
    <n v="70195548.5"/>
    <n v="0"/>
    <n v="1050"/>
    <n v="75.25"/>
    <n v="0"/>
    <s v="EUROPA"/>
  </r>
  <r>
    <n v="77"/>
    <n v="2015"/>
    <n v="2"/>
    <n v="18"/>
    <s v="2015"/>
    <s v="02"/>
    <s v="18"/>
    <s v="INICIAL"/>
    <s v="20150218"/>
    <s v="600757895308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550000"/>
    <n v="1391.64"/>
    <n v="1504.2"/>
    <n v="2"/>
    <x v="19"/>
    <s v="HAMINA"/>
    <s v="ATLÁNTICO"/>
    <s v="ATLÁNTICO"/>
    <s v="CARTAGENA"/>
    <s v="201502"/>
    <s v="6027581972829"/>
    <s v="ÚNICO"/>
    <s v="TRANSPORTE MARÍTIMO"/>
    <s v="LIBERIA"/>
    <s v="EXPORTACIONES DEFINITIVAS"/>
    <s v="EXPORTACIÓN DEFINITIVA DE MERCANCÍAS DE FABRICACIÓN Ó PRODUCCIÓN NACIONAL"/>
    <s v="NINGUNO"/>
    <s v="NO"/>
    <s v="Dólar de los Estados Unidos de América"/>
    <s v="CON REINTEGRO"/>
    <n v="21830"/>
    <n v="52749357.100000001"/>
    <n v="0"/>
    <n v="374.42"/>
    <n v="55.51"/>
    <n v="0"/>
    <s v="EUROPA"/>
  </r>
  <r>
    <n v="78"/>
    <n v="2015"/>
    <n v="2"/>
    <n v="21"/>
    <s v="2015"/>
    <s v="02"/>
    <s v="21"/>
    <s v="INICIAL"/>
    <s v="20150221"/>
    <s v="600757905818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NARANJA INC"/>
    <s v="1-53-10-1E ITABASHI ITABASHI-KU TOKYO 173-0004"/>
    <s v="9503009910"/>
    <s v="Globos de latex de caucho natural."/>
    <s v="UNIDADES"/>
    <n v="2497850"/>
    <n v="4987.7"/>
    <n v="5431.79"/>
    <n v="1"/>
    <x v="8"/>
    <s v="TOKYO"/>
    <s v="ATLÁNTICO"/>
    <s v="ATLÁNTICO"/>
    <s v="BARRANQUILLA"/>
    <s v="201502"/>
    <s v="6027582221487"/>
    <s v="ÚNICO"/>
    <s v="TRANSPORTE MARÍTIMO"/>
    <s v="PANAMÁ"/>
    <s v="EXPORTACIONES DEFINITIVAS"/>
    <s v="LAS DEMÁS EXPORTACIONES DEFINITIVAS NO INCLUIDAS EN LOS ÍTEMS ANTERIORES"/>
    <s v="NINGUNO"/>
    <s v="NO"/>
    <s v="Dólar de los Estados Unidos de América"/>
    <s v="CON REINTEGRO"/>
    <n v="84233.45"/>
    <n v="206838605.81"/>
    <n v="0"/>
    <n v="760.18"/>
    <n v="212.48"/>
    <n v="0"/>
    <s v="ASIA"/>
  </r>
  <r>
    <n v="79"/>
    <n v="2015"/>
    <n v="2"/>
    <n v="21"/>
    <s v="2015"/>
    <s v="02"/>
    <s v="21"/>
    <s v="INICIAL"/>
    <s v="20150221"/>
    <s v="600757905818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NARANJA INC"/>
    <s v="1-53-10-1E ITABASHI ITABASHI-KU TOKYO 173-0004"/>
    <s v="9503009910"/>
    <s v="Globos de latex de caucho natural."/>
    <s v="UNIDADES"/>
    <n v="629200"/>
    <n v="1221.43"/>
    <n v="1330.18"/>
    <n v="2"/>
    <x v="8"/>
    <s v="TOKYO"/>
    <s v="ATLÁNTICO"/>
    <s v="ATLÁNTICO"/>
    <s v="BARRANQUILLA"/>
    <s v="201502"/>
    <s v="6027582221487"/>
    <s v="ÚNICO"/>
    <s v="TRANSPORTE MARÍTIMO"/>
    <s v="PANAMÁ"/>
    <s v="EXPORTACIONES DEFINITIVAS"/>
    <s v="LAS DEMÁS EXPORTACIONES DEFINITIVAS NO INCLUIDAS EN LOS ÍTEMS ANTERIORES"/>
    <s v="NINGUNO"/>
    <s v="NO"/>
    <s v="Dólar de los Estados Unidos de América"/>
    <s v="CON REINTEGRO"/>
    <n v="23578.5"/>
    <n v="57897949.890000001"/>
    <n v="0"/>
    <n v="212.79"/>
    <n v="59.48"/>
    <n v="0"/>
    <s v="ASIA"/>
  </r>
  <r>
    <n v="80"/>
    <n v="2015"/>
    <n v="2"/>
    <n v="21"/>
    <s v="2015"/>
    <s v="02"/>
    <s v="21"/>
    <s v="INICIAL"/>
    <s v="20150221"/>
    <s v="600757905818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NARANJA INC"/>
    <s v="1-53-10-1E ITABASHI ITABASHI-KU TOKYO 173-0004"/>
    <s v="9503009910"/>
    <s v="Globos de latex de caucho natural."/>
    <s v="UNIDADES"/>
    <n v="13000"/>
    <n v="19.93"/>
    <n v="21.7"/>
    <n v="3"/>
    <x v="8"/>
    <s v="TOKYO"/>
    <s v="ATLÁNTICO"/>
    <s v="ATLÁNTICO"/>
    <s v="BARRANQUILLA"/>
    <s v="201502"/>
    <s v="6027582221487"/>
    <s v="ÚNICO"/>
    <s v="TRANSPORTE MARÍTIMO"/>
    <s v="PANAMÁ"/>
    <s v="EXPORTACIONES DEFINITIVAS"/>
    <s v="LAS DEMÁS EXPORTACIONES DEFINITIVAS NO INCLUIDAS EN LOS ÍTEMS ANTERIORES"/>
    <s v="NINGUNO"/>
    <s v="NO"/>
    <s v="Dólar de los Estados Unidos de América"/>
    <s v="CON REINTEGRO"/>
    <n v="779.6"/>
    <n v="1914338.98"/>
    <n v="0"/>
    <n v="7.04"/>
    <n v="1.97"/>
    <n v="0"/>
    <s v="ASIA"/>
  </r>
  <r>
    <n v="81"/>
    <n v="2015"/>
    <n v="2"/>
    <n v="25"/>
    <s v="2015"/>
    <s v="02"/>
    <s v="25"/>
    <s v="INICIAL"/>
    <s v="20150225"/>
    <s v="600757922789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251000"/>
    <n v="589.79999999999995"/>
    <n v="639.46"/>
    <n v="1"/>
    <x v="7"/>
    <s v="BREMEN"/>
    <s v="ATLÁNTICO"/>
    <s v="ATLÁNTICO"/>
    <s v="CARTAGENA"/>
    <s v="201502"/>
    <s v="6027582213392"/>
    <s v="ÚNICO"/>
    <s v="TRANSPORTE MARÍTIMO"/>
    <s v="LIBERIA"/>
    <s v="EXPORTACIONES DEFINITIVAS"/>
    <s v="EXPORTACIÓN DEFINITIVA DE MERCANCÍAS DE FABRICACIÓN Ó PRODUCCIÓN NACIONAL"/>
    <s v="NINGUNO"/>
    <s v="NO"/>
    <s v="Dólar de los Estados Unidos de América"/>
    <s v="CON REINTEGRO"/>
    <n v="9297.5"/>
    <n v="23249235.530000001"/>
    <n v="0"/>
    <n v="338.4"/>
    <n v="24.09"/>
    <n v="0"/>
    <s v="EUROPA"/>
  </r>
  <r>
    <n v="82"/>
    <n v="2015"/>
    <n v="2"/>
    <n v="25"/>
    <s v="2015"/>
    <s v="02"/>
    <s v="25"/>
    <s v="INICIAL"/>
    <s v="20150225"/>
    <s v="600757922789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55000"/>
    <n v="194.04"/>
    <n v="210.38"/>
    <n v="2"/>
    <x v="7"/>
    <s v="BREMEN"/>
    <s v="ATLÁNTICO"/>
    <s v="ATLÁNTICO"/>
    <s v="CARTAGENA"/>
    <s v="201502"/>
    <s v="6027582213392"/>
    <s v="ÚNICO"/>
    <s v="TRANSPORTE MARÍTIMO"/>
    <s v="LIBERIA"/>
    <s v="EXPORTACIONES DEFINITIVAS"/>
    <s v="EXPORTACIÓN DEFINITIVA DE MERCANCÍAS DE FABRICACIÓN Ó PRODUCCIÓN NACIONAL"/>
    <s v="NINGUNO"/>
    <s v="NO"/>
    <s v="Dólar de los Estados Unidos de América"/>
    <s v="CON REINTEGRO"/>
    <n v="2777.5"/>
    <n v="6945388.7300000004"/>
    <n v="0"/>
    <n v="101.09"/>
    <n v="7.2"/>
    <n v="0"/>
    <s v="EUROPA"/>
  </r>
  <r>
    <n v="83"/>
    <n v="2015"/>
    <n v="2"/>
    <n v="25"/>
    <s v="2015"/>
    <s v="02"/>
    <s v="25"/>
    <s v="INICIAL"/>
    <s v="20150225"/>
    <s v="600757922789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128000"/>
    <n v="436.04"/>
    <n v="472.75"/>
    <n v="3"/>
    <x v="7"/>
    <s v="BREMEN"/>
    <s v="ATLÁNTICO"/>
    <s v="ATLÁNTICO"/>
    <s v="CARTAGENA"/>
    <s v="201502"/>
    <s v="6027582213392"/>
    <s v="ÚNICO"/>
    <s v="TRANSPORTE MARÍTIMO"/>
    <s v="LIBERIA"/>
    <s v="EXPORTACIONES DEFINITIVAS"/>
    <s v="EXPORTACIÓN DEFINITIVA DE MERCANCÍAS DE FABRICACIÓN Ó PRODUCCIÓN NACIONAL"/>
    <s v="NINGUNO"/>
    <s v="NO"/>
    <s v="Dólar de los Estados Unidos de América"/>
    <s v="CON REINTEGRO"/>
    <n v="12486.4"/>
    <n v="31223366.98"/>
    <n v="0"/>
    <n v="454.47"/>
    <n v="32.35"/>
    <n v="0"/>
    <s v="EUROPA"/>
  </r>
  <r>
    <n v="84"/>
    <n v="2015"/>
    <n v="2"/>
    <n v="25"/>
    <s v="2015"/>
    <s v="02"/>
    <s v="25"/>
    <s v="INICIAL"/>
    <s v="20150225"/>
    <s v="600757922789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10000"/>
    <n v="35.32"/>
    <n v="38.29"/>
    <n v="4"/>
    <x v="7"/>
    <s v="BREMEN"/>
    <s v="ATLÁNTICO"/>
    <s v="ATLÁNTICO"/>
    <s v="CARTAGENA"/>
    <s v="201502"/>
    <s v="6027582213392"/>
    <s v="ÚNICO"/>
    <s v="TRANSPORTE MARÍTIMO"/>
    <s v="LIBERIA"/>
    <s v="EXPORTACIONES DEFINITIVAS"/>
    <s v="EXPORTACIÓN DEFINITIVA DE MERCANCÍAS DE FABRICACIÓN Ó PRODUCCIÓN NACIONAL"/>
    <s v="NINGUNO"/>
    <s v="NO"/>
    <s v="Dólar de los Estados Unidos de América"/>
    <s v="CON REINTEGRO"/>
    <n v="990"/>
    <n v="2475584.1"/>
    <n v="0"/>
    <n v="36.03"/>
    <n v="2.56"/>
    <n v="0"/>
    <s v="EUROPA"/>
  </r>
  <r>
    <n v="85"/>
    <n v="2015"/>
    <n v="2"/>
    <n v="25"/>
    <s v="2015"/>
    <s v="02"/>
    <s v="25"/>
    <s v="INICIAL"/>
    <s v="20150225"/>
    <s v="600757922792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UTTERICKS LECO AB"/>
    <s v="SUNE SAGARES VAG 4 310 38 SIMLANGSDALEN"/>
    <s v="9503009910"/>
    <s v="Globos de latex de caucho natural."/>
    <s v="UNIDADES"/>
    <n v="152000"/>
    <n v="610.87"/>
    <n v="671.07"/>
    <n v="1"/>
    <x v="20"/>
    <s v="SUECIA"/>
    <s v="ATLÁNTICO"/>
    <s v="ATLÁNTICO"/>
    <s v="CARTAGENA"/>
    <s v="201502"/>
    <s v="6027582213511"/>
    <s v="ÚNICO"/>
    <s v="TRANSPORTE MARÍTIMO"/>
    <s v="LIBERIA"/>
    <s v="EXPORTACIONES DEFINITIVAS"/>
    <s v="EXPORTACIÓN DEFINITIVA DE MERCANCÍAS DE FABRICACIÓN Ó PRODUCCIÓN NACIONAL"/>
    <s v="NINGUNO"/>
    <s v="NO"/>
    <s v="Dólar de los Estados Unidos de América"/>
    <s v="CON REINTEGRO"/>
    <n v="9650"/>
    <n v="24130693.5"/>
    <n v="0"/>
    <n v="637.74"/>
    <n v="25.72"/>
    <n v="0"/>
    <s v="EUROPA"/>
  </r>
  <r>
    <n v="86"/>
    <n v="2015"/>
    <n v="2"/>
    <n v="25"/>
    <s v="2015"/>
    <s v="02"/>
    <s v="25"/>
    <s v="INICIAL"/>
    <s v="20150225"/>
    <s v="600757922792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UTTERICKS LECO AB"/>
    <s v="SUNE SAGARES VAG 4 310 38 SIMLANGSDALEN"/>
    <s v="9503009910"/>
    <s v="Globos de latex de caucho natural."/>
    <s v="UNIDADES"/>
    <n v="92000"/>
    <n v="443.12"/>
    <n v="486.79"/>
    <n v="2"/>
    <x v="20"/>
    <s v="SUECIA"/>
    <s v="ATLÁNTICO"/>
    <s v="ATLÁNTICO"/>
    <s v="CARTAGENA"/>
    <s v="201502"/>
    <s v="6027582213511"/>
    <s v="ÚNICO"/>
    <s v="TRANSPORTE MARÍTIMO"/>
    <s v="LIBERIA"/>
    <s v="EXPORTACIONES DEFINITIVAS"/>
    <s v="EXPORTACIÓN DEFINITIVA DE MERCANCÍAS DE FABRICACIÓN Ó PRODUCCIÓN NACIONAL"/>
    <s v="NINGUNO"/>
    <s v="NO"/>
    <s v="Dólar de los Estados Unidos de América"/>
    <s v="CON REINTEGRO"/>
    <n v="7450"/>
    <n v="18629395.5"/>
    <n v="0"/>
    <n v="492.35"/>
    <n v="19.86"/>
    <n v="0"/>
    <s v="EUROPA"/>
  </r>
  <r>
    <n v="87"/>
    <n v="2015"/>
    <n v="2"/>
    <n v="25"/>
    <s v="2015"/>
    <s v="02"/>
    <s v="25"/>
    <s v="INICIAL"/>
    <s v="20150225"/>
    <s v="600757922792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UTTERICKS LECO AB"/>
    <s v="SUNE SAGARES VAG 4 310 38 SIMLANGSDALEN"/>
    <s v="9503009910"/>
    <s v="Globos de latex de caucho natural."/>
    <s v="UNIDADES"/>
    <n v="86000"/>
    <n v="408.66"/>
    <n v="448.94"/>
    <n v="3"/>
    <x v="20"/>
    <s v="SUECIA"/>
    <s v="ATLÁNTICO"/>
    <s v="ATLÁNTICO"/>
    <s v="CARTAGENA"/>
    <s v="201502"/>
    <s v="6027582213511"/>
    <s v="ÚNICO"/>
    <s v="TRANSPORTE MARÍTIMO"/>
    <s v="LIBERIA"/>
    <s v="EXPORTACIONES DEFINITIVAS"/>
    <s v="EXPORTACIÓN DEFINITIVA DE MERCANCÍAS DE FABRICACIÓN Ó PRODUCCIÓN NACIONAL"/>
    <s v="NINGUNO"/>
    <s v="NO"/>
    <s v="Dólar de los Estados Unidos de América"/>
    <s v="CON REINTEGRO"/>
    <n v="11650"/>
    <n v="29131873.5"/>
    <n v="0"/>
    <n v="769.91"/>
    <n v="31.05"/>
    <n v="0"/>
    <s v="EUROPA"/>
  </r>
  <r>
    <n v="88"/>
    <n v="2015"/>
    <n v="2"/>
    <n v="25"/>
    <s v="2015"/>
    <s v="02"/>
    <s v="25"/>
    <s v="INICIAL"/>
    <s v="20150225"/>
    <s v="600757922791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12000"/>
    <n v="40.93"/>
    <n v="44.3"/>
    <n v="1"/>
    <x v="7"/>
    <s v="BREMEN"/>
    <s v="ATLÁNTICO"/>
    <s v="ATLÁNTICO"/>
    <s v="CARTAGENA"/>
    <s v="201502"/>
    <s v="6027582213489"/>
    <s v="ÚNICO"/>
    <s v="TRANSPORTE MARÍTIMO"/>
    <s v="LIBERIA"/>
    <s v="EXPORTACIONES DEFINITIVAS"/>
    <s v="EXPORTACIÓN DEFINITIVA DE MERCANCÍAS DE FABRICACIÓN Ó PRODUCCIÓN NACIONAL"/>
    <s v="NINGUNO"/>
    <s v="NO"/>
    <s v="Dólar de los Estados Unidos de América"/>
    <s v="CON REINTEGRO"/>
    <n v="1188"/>
    <n v="2970700.92"/>
    <n v="0"/>
    <n v="100"/>
    <n v="12"/>
    <n v="0"/>
    <s v="EUROPA"/>
  </r>
  <r>
    <n v="89"/>
    <n v="2015"/>
    <n v="2"/>
    <n v="27"/>
    <s v="2015"/>
    <s v="02"/>
    <s v="27"/>
    <s v="INICIAL"/>
    <s v="20150227"/>
    <s v="6007579341867"/>
    <s v="000"/>
    <s v="NO REGISTRA"/>
    <s v="OTRAS MODALIDADES"/>
    <s v="000"/>
    <s v="NO REGISTRA"/>
    <s v="DEFINITIVOS AL EMBARQUE"/>
    <s v="NO"/>
    <s v="BOGOTÁ"/>
    <s v="BOGOTÁ"/>
    <s v="NO DILIGENCIADO"/>
    <s v="830076778"/>
    <s v="S.I.A. DHL EXPRESS COLOMBIA LTDA"/>
    <s v="USUARIO OPERADOR DE ZONA FRANCA"/>
    <s v="36"/>
    <s v="890101272"/>
    <s v="SEMPERTEX DE COLOMBIA S A"/>
    <s v="BOGOTÁ, D.C."/>
    <s v="CR 106 15 A 25 MZ 9 BG 12 ET 2"/>
    <s v="PRIVADO"/>
    <s v="LIRAGRAM ESPAÑA"/>
    <s v="C/RIO TER N 7 POLIGONO EL NOGAL 28110 ALGETE"/>
    <s v="9503009910"/>
    <s v="Globos de latex de caucho natural."/>
    <s v="UNIDADES"/>
    <n v="3000"/>
    <n v="11.15"/>
    <n v="12.08"/>
    <n v="1"/>
    <x v="21"/>
    <s v="ALGETE"/>
    <s v="ATLÁNTICO"/>
    <s v="ATLÁNTICO"/>
    <s v="BOGOTÁ"/>
    <s v="201502"/>
    <s v="6027582774171"/>
    <s v="ÚNICO"/>
    <s v="TRANSPORTE AÉREO"/>
    <s v="VENEZUELA"/>
    <s v="EXPORTACIONES DEFINITIVAS"/>
    <s v="EXPORTACIÓN DEFINITIVA DE MERCANCÍAS DE FABRICACIÓN Ó PRODUCCIÓN NACIONAL"/>
    <s v="NINGUNO"/>
    <s v="NO"/>
    <s v="Dólar de los Estados Unidos de América"/>
    <s v="CON REINTEGRO"/>
    <n v="192"/>
    <n v="477039.35999999999"/>
    <n v="0"/>
    <n v="180"/>
    <n v="12"/>
    <n v="0"/>
    <s v="EUROPA"/>
  </r>
  <r>
    <n v="90"/>
    <n v="2015"/>
    <n v="3"/>
    <n v="2"/>
    <s v="2015"/>
    <s v="03"/>
    <s v="02"/>
    <s v="INICIAL"/>
    <s v="20150302"/>
    <s v="600757883445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9505900000"/>
    <s v="Los demás artículos para fiestas, carnaval u otras diversiones, incluidos los de magia y artículos sorpresa."/>
    <s v="UNIDADES"/>
    <n v="2202"/>
    <n v="183.36"/>
    <n v="202.35"/>
    <n v="12"/>
    <x v="22"/>
    <s v="ASUNCION"/>
    <s v="ATLÁNTICO"/>
    <s v="ATLÁNTICO"/>
    <s v="BOGOTÁ"/>
    <s v="201502"/>
    <s v="6027582196788"/>
    <s v="ÚNICO"/>
    <s v="TRANSPORTE AÉREO"/>
    <s v="COLOMBIA"/>
    <s v="EXPORTACIONES DEFINITIVAS"/>
    <s v="EXPORTACIÓN DEFINITIVA DE MERCANCÍAS DE FABRICACIÓN Ó PRODUCCIÓN NACIONAL"/>
    <s v="NINGUNO"/>
    <s v="NO"/>
    <s v="Dólar de los Estados Unidos de América"/>
    <s v="CON REINTEGRO"/>
    <n v="2716.86"/>
    <n v="6783972.25"/>
    <n v="0"/>
    <n v="402.43"/>
    <n v="0"/>
    <n v="0"/>
    <s v="AMÉRICA"/>
  </r>
  <r>
    <n v="91"/>
    <n v="2015"/>
    <n v="3"/>
    <n v="2"/>
    <s v="2015"/>
    <s v="03"/>
    <s v="02"/>
    <s v="INICIAL"/>
    <s v="20150302"/>
    <s v="6007579327953"/>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JUNG JEAN COMPANY"/>
    <s v="#174-1 3/F MOOK-DONG, JOONGRANG-GU, SEOUL 131-848, KOREA"/>
    <s v="9503009910"/>
    <s v="Globos de latex de caucho natural."/>
    <s v="UNIDADES"/>
    <n v="109000"/>
    <n v="365.83"/>
    <n v="396"/>
    <n v="1"/>
    <x v="17"/>
    <s v="SEOUL"/>
    <s v="ATLÁNTICO"/>
    <s v="ATLÁNTICO"/>
    <s v="BOGOTÁ"/>
    <s v="201502"/>
    <s v="6027582631887"/>
    <s v="ÚNICO"/>
    <s v="TRANSPORTE AÉREO"/>
    <s v="ESTADOS UNIDOS"/>
    <s v="EXPORTACIONES DEFINITIVAS"/>
    <s v="EXPORTACIÓN DEFINITIVA DE MERCANCÍAS DE FABRICACIÓN Ó PRODUCCIÓN NACIONAL"/>
    <s v="NINGUNO"/>
    <s v="NO"/>
    <s v="Dólar de los Estados Unidos de América"/>
    <s v="CON REINTEGRO"/>
    <n v="5195.8"/>
    <n v="12973860.640000001"/>
    <n v="0"/>
    <n v="1103.2"/>
    <n v="15.75"/>
    <n v="0"/>
    <s v="ASIA"/>
  </r>
  <r>
    <n v="92"/>
    <n v="2015"/>
    <n v="3"/>
    <n v="2"/>
    <s v="2015"/>
    <s v="03"/>
    <s v="02"/>
    <s v="INICIAL"/>
    <s v="20150302"/>
    <s v="6007579327960"/>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BLD ORIENTAL CO., LTD"/>
    <s v="OSAKA-FU IZUMISANO-SHI AOI-CHO 4-6-45"/>
    <s v="9503009910"/>
    <s v="Globos de latex de caucho natural."/>
    <s v="UNIDADES"/>
    <n v="10000"/>
    <n v="355.8"/>
    <n v="373"/>
    <n v="1"/>
    <x v="8"/>
    <s v="OSAKA"/>
    <s v="ATLÁNTICO"/>
    <s v="ATLÁNTICO"/>
    <s v="BOGOTÁ"/>
    <s v="201502"/>
    <s v="6027582632878"/>
    <s v="ÚNICO"/>
    <s v="TRANSPORTE AÉREO"/>
    <s v="ESTADOS UNIDOS"/>
    <s v="EXPORTACIONES DEFINITIVAS"/>
    <s v="EXPORTACIÓN DEFINITIVA DE MERCANCÍAS DE FABRICACIÓN Ó PRODUCCIÓN NACIONAL"/>
    <s v="NINGUNO"/>
    <s v="NO"/>
    <s v="Dólar de los Estados Unidos de América"/>
    <s v="CON REINTEGRO"/>
    <n v="11000"/>
    <n v="27466890"/>
    <n v="0"/>
    <n v="1223.2"/>
    <n v="30.56"/>
    <n v="0"/>
    <s v="ASIA"/>
  </r>
  <r>
    <n v="93"/>
    <n v="2015"/>
    <n v="3"/>
    <n v="2"/>
    <s v="2015"/>
    <s v="03"/>
    <s v="02"/>
    <s v="INICIAL"/>
    <s v="20150302"/>
    <s v="600757883445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4818300000"/>
    <s v="Manteles y servilletas, de pasta de papel, papel y guata de celulosa."/>
    <s v="KILOGRAMO"/>
    <n v="72"/>
    <n v="72"/>
    <n v="79.459999999999994"/>
    <n v="6"/>
    <x v="22"/>
    <s v="ASUNCION"/>
    <s v="ATLÁNTICO"/>
    <s v="ATLÁNTICO"/>
    <s v="BOGOTÁ"/>
    <s v="201502"/>
    <s v="6027582196788"/>
    <s v="ÚNICO"/>
    <s v="TRANSPORTE AÉREO"/>
    <s v="COLOMBIA"/>
    <s v="EXPORTACIONES DEFINITIVAS"/>
    <s v="EXPORTACIÓN DEFINITIVA DE MERCANCÍAS DE FABRICACIÓN Ó PRODUCCIÓN NACIONAL"/>
    <s v="NINGUNO"/>
    <s v="NO"/>
    <s v="Dólar de los Estados Unidos de América"/>
    <s v="CON REINTEGRO"/>
    <n v="379.44"/>
    <n v="947457.89"/>
    <n v="0"/>
    <n v="56.2"/>
    <n v="0"/>
    <n v="0"/>
    <s v="AMÉRICA"/>
  </r>
  <r>
    <n v="94"/>
    <n v="2015"/>
    <n v="3"/>
    <n v="2"/>
    <s v="2015"/>
    <s v="03"/>
    <s v="02"/>
    <s v="INICIAL"/>
    <s v="20150302"/>
    <s v="600757883445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4823690000"/>
    <s v="Las demás bandejas, fuentes, platos, tazas, vasos y artículos similares, de papel o cartón."/>
    <s v="KILOGRAMO"/>
    <n v="26"/>
    <n v="26"/>
    <n v="28.69"/>
    <n v="7"/>
    <x v="22"/>
    <s v="ASUNCION"/>
    <s v="ATLÁNTICO"/>
    <s v="ATLÁNTICO"/>
    <s v="BOGOTÁ"/>
    <s v="201502"/>
    <s v="6027582196788"/>
    <s v="ÚNICO"/>
    <s v="TRANSPORTE AÉREO"/>
    <s v="COLOMBIA"/>
    <s v="EXPORTACIONES DEFINITIVAS"/>
    <s v="EXPORTACIÓN DEFINITIVA DE MERCANCÍAS DE FABRICACIÓN Ó PRODUCCIÓN NACIONAL"/>
    <s v="NINGUNO"/>
    <s v="NO"/>
    <s v="Dólar de los Estados Unidos de América"/>
    <s v="CON REINTEGRO"/>
    <n v="619.61"/>
    <n v="1547159.97"/>
    <n v="0"/>
    <n v="91.78"/>
    <n v="0"/>
    <n v="0"/>
    <s v="AMÉRICA"/>
  </r>
  <r>
    <n v="95"/>
    <n v="2015"/>
    <n v="3"/>
    <n v="2"/>
    <s v="2015"/>
    <s v="03"/>
    <s v="02"/>
    <s v="INICIAL"/>
    <s v="20150302"/>
    <s v="600757883445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4909000000"/>
    <s v="Tarjetas postales impresas o ilustradas; tarjetas impresas con felicitaciones o comunicaciones personales, incluso con ilustraciones, adornos o aplicaciones, o con sobre."/>
    <s v="UNIDADES"/>
    <n v="102"/>
    <n v="10"/>
    <n v="11.04"/>
    <n v="8"/>
    <x v="22"/>
    <s v="ASUNCION"/>
    <s v="ATLÁNTICO"/>
    <s v="ATLÁNTICO"/>
    <s v="BOGOTÁ"/>
    <s v="201502"/>
    <s v="6027582196788"/>
    <s v="ÚNICO"/>
    <s v="TRANSPORTE AÉREO"/>
    <s v="COLOMBIA"/>
    <s v="EXPORTACIONES DEFINITIVAS"/>
    <s v="EXPORTACIÓN DEFINITIVA DE MERCANCÍAS DE FABRICACIÓN Ó PRODUCCIÓN NACIONAL"/>
    <s v="NINGUNO"/>
    <s v="NO"/>
    <s v="Dólar de los Estados Unidos de América"/>
    <s v="CON REINTEGRO"/>
    <n v="72.42"/>
    <n v="180832.02"/>
    <n v="0"/>
    <n v="10.73"/>
    <n v="0"/>
    <n v="0"/>
    <s v="AMÉRICA"/>
  </r>
  <r>
    <n v="96"/>
    <n v="2015"/>
    <n v="3"/>
    <n v="2"/>
    <s v="2015"/>
    <s v="03"/>
    <s v="02"/>
    <s v="INICIAL"/>
    <s v="20150302"/>
    <s v="600757883445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4911100000"/>
    <s v="Impresos publicitarios, catalogos comerciales y similares."/>
    <s v="KILOGRAMO"/>
    <n v="18"/>
    <n v="18"/>
    <n v="19.86"/>
    <n v="9"/>
    <x v="22"/>
    <s v="ASUNCION"/>
    <s v="ATLÁNTICO"/>
    <s v="ATLÁNTICO"/>
    <s v="BOGOTÁ"/>
    <s v="201502"/>
    <s v="6027582196788"/>
    <s v="ÚNICO"/>
    <s v="TRANSPORTE AÉREO"/>
    <s v="COLOMBIA"/>
    <s v="EXPORTACIONES DEFINITIVAS"/>
    <s v="EXPORTACIÓN DEFINITIVA DE MERCANCÍAS DE FABRICACIÓN Ó PRODUCCIÓN NACIONAL"/>
    <s v="NINGUNO"/>
    <s v="NO"/>
    <s v="Dólar de los Estados Unidos de América"/>
    <s v="CON REINTEGRO"/>
    <n v="105.84"/>
    <n v="264281.42"/>
    <n v="0"/>
    <n v="15.68"/>
    <n v="0"/>
    <n v="0"/>
    <s v="AMÉRICA"/>
  </r>
  <r>
    <n v="97"/>
    <n v="2015"/>
    <n v="3"/>
    <n v="2"/>
    <s v="2015"/>
    <s v="03"/>
    <s v="02"/>
    <s v="INICIAL"/>
    <s v="20150302"/>
    <s v="600757883445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8414200000"/>
    <s v="Bombas de aire, de mano o pedal."/>
    <s v="UNIDADES"/>
    <n v="300"/>
    <n v="26"/>
    <n v="28.69"/>
    <n v="10"/>
    <x v="22"/>
    <s v="ASUNCION"/>
    <s v="ATLÁNTICO"/>
    <s v="ATLÁNTICO"/>
    <s v="BOGOTÁ"/>
    <s v="201502"/>
    <s v="6027582196788"/>
    <s v="ÚNICO"/>
    <s v="TRANSPORTE AÉREO"/>
    <s v="COLOMBIA"/>
    <s v="EXPORTACIONES DEFINITIVAS"/>
    <s v="EXPORTACIÓN DEFINITIVA DE MERCANCÍAS DE FABRICACIÓN Ó PRODUCCIÓN NACIONAL"/>
    <s v="NINGUNO"/>
    <s v="NO"/>
    <s v="Dólar de los Estados Unidos de América"/>
    <s v="CON REINTEGRO"/>
    <n v="375"/>
    <n v="936371.25"/>
    <n v="0"/>
    <n v="55.55"/>
    <n v="0"/>
    <n v="0"/>
    <s v="AMÉRICA"/>
  </r>
  <r>
    <n v="98"/>
    <n v="2015"/>
    <n v="3"/>
    <n v="2"/>
    <s v="2015"/>
    <s v="03"/>
    <s v="02"/>
    <s v="INICIAL"/>
    <s v="20150302"/>
    <s v="600757883445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9503009910"/>
    <s v="Globos de latex de caucho natural."/>
    <s v="UNIDADES"/>
    <n v="408"/>
    <n v="35"/>
    <n v="38.619999999999997"/>
    <n v="11"/>
    <x v="22"/>
    <s v="ASUNCION"/>
    <s v="ATLÁNTICO"/>
    <s v="ATLÁNTICO"/>
    <s v="BOGOTÁ"/>
    <s v="201502"/>
    <s v="6027582196788"/>
    <s v="ÚNICO"/>
    <s v="TRANSPORTE AÉREO"/>
    <s v="COLOMBIA"/>
    <s v="EXPORTACIONES DEFINITIVAS"/>
    <s v="EXPORTACIÓN DEFINITIVA DE MERCANCÍAS DE FABRICACIÓN Ó PRODUCCIÓN NACIONAL"/>
    <s v="NINGUNO"/>
    <s v="NO"/>
    <s v="Dólar de los Estados Unidos de América"/>
    <s v="CON REINTEGRO"/>
    <n v="142.80000000000001"/>
    <n v="356570.17"/>
    <n v="0"/>
    <n v="21.15"/>
    <n v="0"/>
    <n v="0"/>
    <s v="AMÉRICA"/>
  </r>
  <r>
    <n v="99"/>
    <n v="2015"/>
    <n v="3"/>
    <n v="2"/>
    <s v="2015"/>
    <s v="03"/>
    <s v="02"/>
    <s v="INICIAL"/>
    <s v="20150302"/>
    <s v="600757883445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9503009910"/>
    <s v="Globos de latex de caucho natural."/>
    <s v="UNIDADES"/>
    <n v="244214"/>
    <n v="698.68"/>
    <n v="771.04"/>
    <n v="1"/>
    <x v="22"/>
    <s v="ASUNCION"/>
    <s v="ATLÁNTICO"/>
    <s v="ATLÁNTICO"/>
    <s v="BOGOTÁ"/>
    <s v="201502"/>
    <s v="6027582196788"/>
    <s v="ÚNICO"/>
    <s v="TRANSPORTE AÉREO"/>
    <s v="COLOMBIA"/>
    <s v="EXPORTACIONES DEFINITIVAS"/>
    <s v="EXPORTACIÓN DEFINITIVA DE MERCANCÍAS DE FABRICACIÓN Ó PRODUCCIÓN NACIONAL"/>
    <s v="NINGUNO"/>
    <s v="NO"/>
    <s v="Dólar de los Estados Unidos de América"/>
    <s v="CON REINTEGRO"/>
    <n v="16262.2"/>
    <n v="40606550.780000001"/>
    <n v="0"/>
    <n v="2408.81"/>
    <n v="0"/>
    <n v="0"/>
    <s v="AMÉRICA"/>
  </r>
  <r>
    <n v="100"/>
    <n v="2015"/>
    <n v="3"/>
    <n v="2"/>
    <s v="2015"/>
    <s v="03"/>
    <s v="02"/>
    <s v="INICIAL"/>
    <s v="20150302"/>
    <s v="600757883445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3406000000"/>
    <s v="Velas, cirios y artículos similares."/>
    <s v="KILOGRAMO"/>
    <n v="30"/>
    <n v="30"/>
    <n v="33.11"/>
    <n v="2"/>
    <x v="22"/>
    <s v="ASUNCION"/>
    <s v="ATLÁNTICO"/>
    <s v="ATLÁNTICO"/>
    <s v="BOGOTÁ"/>
    <s v="201502"/>
    <s v="6027582196788"/>
    <s v="ÚNICO"/>
    <s v="TRANSPORTE AÉREO"/>
    <s v="COLOMBIA"/>
    <s v="EXPORTACIONES DEFINITIVAS"/>
    <s v="EXPORTACIÓN DEFINITIVA DE MERCANCÍAS DE FABRICACIÓN Ó PRODUCCIÓN NACIONAL"/>
    <s v="NINGUNO"/>
    <s v="NO"/>
    <s v="Dólar de los Estados Unidos de América"/>
    <s v="CON REINTEGRO"/>
    <n v="210.12"/>
    <n v="524667.54"/>
    <n v="0"/>
    <n v="31.12"/>
    <n v="0"/>
    <n v="0"/>
    <s v="AMÉRICA"/>
  </r>
  <r>
    <n v="101"/>
    <n v="2015"/>
    <n v="3"/>
    <n v="2"/>
    <s v="2015"/>
    <s v="03"/>
    <s v="02"/>
    <s v="INICIAL"/>
    <s v="20150302"/>
    <s v="600757883445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3923210000"/>
    <s v="Sacos, bolsas y cucuruchos, de polímeros de etileno."/>
    <s v="UNIDADES"/>
    <n v="40"/>
    <n v="3.08"/>
    <n v="3.4"/>
    <n v="3"/>
    <x v="22"/>
    <s v="ASUNCION"/>
    <s v="ATLÁNTICO"/>
    <s v="ATLÁNTICO"/>
    <s v="BOGOTÁ"/>
    <s v="201502"/>
    <s v="6027582196788"/>
    <s v="ÚNICO"/>
    <s v="TRANSPORTE AÉREO"/>
    <s v="COLOMBIA"/>
    <s v="EXPORTACIONES DEFINITIVAS"/>
    <s v="EXPORTACIÓN DEFINITIVA DE MERCANCÍAS DE FABRICACIÓN Ó PRODUCCIÓN NACIONAL"/>
    <s v="NINGUNO"/>
    <s v="NO"/>
    <s v="Dólar de los Estados Unidos de América"/>
    <s v="CON REINTEGRO"/>
    <n v="26"/>
    <n v="64921.74"/>
    <n v="0"/>
    <n v="3.85"/>
    <n v="0"/>
    <n v="0"/>
    <s v="AMÉRICA"/>
  </r>
  <r>
    <n v="102"/>
    <n v="2015"/>
    <n v="3"/>
    <n v="2"/>
    <s v="2015"/>
    <s v="03"/>
    <s v="02"/>
    <s v="INICIAL"/>
    <s v="20150302"/>
    <s v="600757883445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3924109000"/>
    <s v="Las demás vajillas y demás artículos para el servicio de mesa o de cocina, de plástico."/>
    <s v="UNIDADES"/>
    <n v="714"/>
    <n v="67.5"/>
    <n v="74.489999999999995"/>
    <n v="4"/>
    <x v="22"/>
    <s v="ASUNCION"/>
    <s v="ATLÁNTICO"/>
    <s v="ATLÁNTICO"/>
    <s v="BOGOTÁ"/>
    <s v="201502"/>
    <s v="6027582196788"/>
    <s v="ÚNICO"/>
    <s v="TRANSPORTE AÉREO"/>
    <s v="COLOMBIA"/>
    <s v="EXPORTACIONES DEFINITIVAS"/>
    <s v="EXPORTACIÓN DEFINITIVA DE MERCANCÍAS DE FABRICACIÓN Ó PRODUCCIÓN NACIONAL"/>
    <s v="NINGUNO"/>
    <s v="NO"/>
    <s v="Dólar de los Estados Unidos de América"/>
    <s v="CON REINTEGRO"/>
    <n v="503.88"/>
    <n v="1258183.32"/>
    <n v="0"/>
    <n v="74.64"/>
    <n v="0"/>
    <n v="0"/>
    <s v="AMÉRICA"/>
  </r>
  <r>
    <n v="103"/>
    <n v="2015"/>
    <n v="3"/>
    <n v="2"/>
    <s v="2015"/>
    <s v="03"/>
    <s v="02"/>
    <s v="INICIAL"/>
    <s v="20150302"/>
    <s v="600757883445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3924900000"/>
    <s v="Los demás artículos de uso doméstico y artículos de higiene o de tocador, de plástico."/>
    <s v="UNIDADES"/>
    <n v="510"/>
    <n v="41"/>
    <n v="45.25"/>
    <n v="5"/>
    <x v="22"/>
    <s v="ASUNCION"/>
    <s v="ATLÁNTICO"/>
    <s v="ATLÁNTICO"/>
    <s v="BOGOTÁ"/>
    <s v="201502"/>
    <s v="6027582196788"/>
    <s v="ÚNICO"/>
    <s v="TRANSPORTE AÉREO"/>
    <s v="COLOMBIA"/>
    <s v="EXPORTACIONES DEFINITIVAS"/>
    <s v="EXPORTACIÓN DEFINITIVA DE MERCANCÍAS DE FABRICACIÓN Ó PRODUCCIÓN NACIONAL"/>
    <s v="NINGUNO"/>
    <s v="NO"/>
    <s v="Dólar de los Estados Unidos de América"/>
    <s v="CON REINTEGRO"/>
    <n v="635.82000000000005"/>
    <n v="1587636.18"/>
    <n v="0"/>
    <n v="94.18"/>
    <n v="0"/>
    <n v="0"/>
    <s v="AMÉRICA"/>
  </r>
  <r>
    <n v="104"/>
    <n v="2015"/>
    <n v="3"/>
    <n v="2"/>
    <s v="2015"/>
    <s v="03"/>
    <s v="02"/>
    <s v="INICIAL"/>
    <s v="20150302"/>
    <s v="6007578651276"/>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GLOOB PARTY SAC"/>
    <s v="CALLE TEODORO CARDENAS 640 CERCADO DE LIMA"/>
    <s v="9503009910"/>
    <s v="Globos de latex de caucho natural."/>
    <s v="UNIDADES"/>
    <n v="50000"/>
    <n v="435.3"/>
    <n v="485"/>
    <n v="1"/>
    <x v="23"/>
    <s v="LIMA"/>
    <s v="ATLÁNTICO"/>
    <s v="ATLÁNTICO"/>
    <s v="BOGOTÁ"/>
    <s v="201502"/>
    <s v="6027582079419"/>
    <s v="ÚNICO"/>
    <s v="TRANSPORTE AÉREO"/>
    <s v="PERÚ"/>
    <s v="EXPORTACIONES DEFINITIVAS"/>
    <s v="EXPORTACIÓN DEFINITIVA DE MERCANCÍAS DE FABRICACIÓN Ó PRODUCCIÓN NACIONAL"/>
    <s v="NINGUNO"/>
    <s v="NO"/>
    <s v="Dólar de los Estados Unidos de América"/>
    <s v="CON REINTEGRO"/>
    <n v="7700"/>
    <n v="19226823"/>
    <n v="0"/>
    <n v="683.16"/>
    <n v="20.96"/>
    <n v="0"/>
    <s v="AMÉRICA"/>
  </r>
  <r>
    <n v="105"/>
    <n v="2015"/>
    <n v="3"/>
    <n v="2"/>
    <s v="2015"/>
    <s v="03"/>
    <s v="02"/>
    <s v="INICIAL"/>
    <s v="20150302"/>
    <s v="6007578878515"/>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MATERIALES Y SOLUCIONES S.A. DE C.V."/>
    <s v="79 AV NORTE 507-3, ENTRE 7a Y 9a CALLE PONIENTE"/>
    <s v="9503009910"/>
    <s v="Globos de latex de caucho natural."/>
    <s v="UNIDADES"/>
    <n v="105500"/>
    <n v="288.70999999999998"/>
    <n v="312.55"/>
    <n v="2"/>
    <x v="24"/>
    <s v="SAN SALVADOR"/>
    <s v="ATLÁNTICO"/>
    <s v="ATLÁNTICO"/>
    <s v="BOGOTÁ"/>
    <s v="201502"/>
    <s v="6027582329951"/>
    <s v="ÚNICO"/>
    <s v="TRANSPORTE AÉREO"/>
    <s v="COLOMBIA"/>
    <s v="EXPORTACIONES DEFINITIVAS"/>
    <s v="EXPORTACIÓN DEFINITIVA DE MERCANCÍAS DE FABRICACIÓN Ó PRODUCCIÓN NACIONAL"/>
    <s v="NINGUNO"/>
    <s v="NO"/>
    <s v="Dólar de los Estados Unidos de América"/>
    <s v="CON REINTEGRO"/>
    <n v="4581.2"/>
    <n v="11439210.59"/>
    <n v="0"/>
    <n v="563.61"/>
    <n v="24.17"/>
    <n v="0"/>
    <s v="AMÉRICA"/>
  </r>
  <r>
    <n v="106"/>
    <n v="2015"/>
    <n v="3"/>
    <n v="2"/>
    <s v="2015"/>
    <s v="03"/>
    <s v="02"/>
    <s v="INICIAL"/>
    <s v="20150302"/>
    <s v="6007578878515"/>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MATERIALES Y SOLUCIONES S.A. DE C.V."/>
    <s v="79 AV NORTE 507-3, ENTRE 7a Y 9a CALLE PONIENTE"/>
    <s v="8414200000"/>
    <s v="Bombas de aire, de mano o pedal."/>
    <s v="UNIDADES"/>
    <n v="102"/>
    <n v="11.5"/>
    <n v="12.45"/>
    <n v="1"/>
    <x v="24"/>
    <s v="SAN SALVADOR"/>
    <s v="ATLÁNTICO"/>
    <s v="ATLÁNTICO"/>
    <s v="BOGOTÁ"/>
    <s v="201502"/>
    <s v="6027582329951"/>
    <s v="ÚNICO"/>
    <s v="TRANSPORTE AÉREO"/>
    <s v="COLOMBIA"/>
    <s v="EXPORTACIONES DEFINITIVAS"/>
    <s v="EXPORTACIÓN DEFINITIVA DE MERCANCÍAS DE FABRICACIÓN Ó PRODUCCIÓN NACIONAL"/>
    <s v="NINGUNO"/>
    <s v="NO"/>
    <s v="Dólar de los Estados Unidos de América"/>
    <s v="CON REINTEGRO"/>
    <n v="127.5"/>
    <n v="318366.23"/>
    <n v="0"/>
    <n v="15.69"/>
    <n v="0.67"/>
    <n v="0"/>
    <s v="AMÉRICA"/>
  </r>
  <r>
    <n v="107"/>
    <n v="2015"/>
    <n v="3"/>
    <n v="2"/>
    <s v="2015"/>
    <s v="03"/>
    <s v="02"/>
    <s v="INICIAL"/>
    <s v="20150302"/>
    <s v="6007579452095"/>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SUZUKI LATEX INDUSTRY CO. LTD"/>
    <s v="1-9-1, NKASE, MIHAMA-KU CO. LTD. CHIBA261-0023"/>
    <s v="9503009910"/>
    <s v="Globos de latex de caucho natural."/>
    <s v="UNIDADES"/>
    <n v="250000"/>
    <n v="519.5"/>
    <n v="559"/>
    <n v="1"/>
    <x v="8"/>
    <s v="TOKYO"/>
    <s v="ATLÁNTICO"/>
    <s v="ATLÁNTICO"/>
    <s v="BOGOTÁ"/>
    <s v="201503"/>
    <s v="6027582926448"/>
    <s v="ÚNICO"/>
    <s v="TRANSPORTE AÉREO"/>
    <s v="ESTADOS UNIDOS"/>
    <s v="EXPORTACIONES DEFINITIVAS"/>
    <s v="EXPORTACIÓN DEFINITIVA DE MERCANCÍAS DE FABRICACIÓN Ó PRODUCCIÓN NACIONAL"/>
    <s v="NINGUNO"/>
    <s v="NO"/>
    <s v="Dólar de los Estados Unidos de América"/>
    <s v="CON REINTEGRO"/>
    <n v="8250"/>
    <n v="20600167.5"/>
    <n v="0"/>
    <n v="1538.3"/>
    <n v="24.47"/>
    <n v="0"/>
    <s v="ASIA"/>
  </r>
  <r>
    <n v="108"/>
    <n v="2015"/>
    <n v="3"/>
    <n v="2"/>
    <s v="2015"/>
    <s v="03"/>
    <s v="02"/>
    <s v="INICIAL"/>
    <s v="20150302"/>
    <s v="6007579403875"/>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1269500"/>
    <n v="4481.3500000000004"/>
    <n v="4874.07"/>
    <n v="3"/>
    <x v="0"/>
    <s v="YEKATERINBURG"/>
    <s v="ATLÁNTICO"/>
    <s v="ATLÁNTICO"/>
    <s v="CARTAGENA"/>
    <s v="201502"/>
    <s v="6027582223247"/>
    <s v="ÚNICO"/>
    <s v="TRANSPORTE MARÍTIMO"/>
    <s v="LIBERIA"/>
    <s v="EXPORTACIONES DEFINITIVAS"/>
    <s v="EXPORTACIÓN DEFINITIVA DE MERCANCÍAS DE FABRICACIÓN Ó PRODUCCIÓN NACIONAL"/>
    <s v="NINGUNO"/>
    <s v="NO"/>
    <s v="Dólar de los Estados Unidos de América"/>
    <s v="CON REINTEGRO"/>
    <n v="119332.8"/>
    <n v="297972808.26999998"/>
    <n v="0"/>
    <n v="0"/>
    <n v="0"/>
    <n v="0"/>
    <s v="ASIA"/>
  </r>
  <r>
    <n v="109"/>
    <n v="2015"/>
    <n v="3"/>
    <n v="2"/>
    <s v="2015"/>
    <s v="03"/>
    <s v="02"/>
    <s v="INICIAL"/>
    <s v="20150302"/>
    <s v="6007579403875"/>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264000"/>
    <n v="977.92"/>
    <n v="1063.6199999999999"/>
    <n v="4"/>
    <x v="0"/>
    <s v="YEKATERINBURG"/>
    <s v="ATLÁNTICO"/>
    <s v="ATLÁNTICO"/>
    <s v="CARTAGENA"/>
    <s v="201502"/>
    <s v="6027582223247"/>
    <s v="ÚNICO"/>
    <s v="TRANSPORTE MARÍTIMO"/>
    <s v="LIBERIA"/>
    <s v="EXPORTACIONES DEFINITIVAS"/>
    <s v="EXPORTACIÓN DEFINITIVA DE MERCANCÍAS DE FABRICACIÓN Ó PRODUCCIÓN NACIONAL"/>
    <s v="NINGUNO"/>
    <s v="NO"/>
    <s v="Dólar de los Estados Unidos de América"/>
    <s v="CON REINTEGRO"/>
    <n v="24186.6"/>
    <n v="60393698.329999998"/>
    <n v="0"/>
    <n v="0"/>
    <n v="0"/>
    <n v="0"/>
    <s v="ASIA"/>
  </r>
  <r>
    <n v="110"/>
    <n v="2015"/>
    <n v="3"/>
    <n v="2"/>
    <s v="2015"/>
    <s v="03"/>
    <s v="02"/>
    <s v="INICIAL"/>
    <s v="20150302"/>
    <s v="6007579403882"/>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4911100000"/>
    <s v="Impresos publicitarios, catalogos comerciales y similares."/>
    <s v="KILOGRAMO"/>
    <n v="6.37"/>
    <n v="6.37"/>
    <n v="7.3"/>
    <n v="1"/>
    <x v="0"/>
    <s v="YEKATERINBURG"/>
    <s v="ATLÁNTICO"/>
    <s v="ATLÁNTICO"/>
    <s v="CARTAGENA"/>
    <s v="201502"/>
    <s v="6027582223286"/>
    <s v="ÚNICO"/>
    <s v="TRANSPORTE MARÍTIMO"/>
    <s v="LIBERIA"/>
    <s v="EXPORTACIONES DEFINITIVAS"/>
    <s v="EXPORTACION TEMPORAL PARA PERFECCIONAMIENTO PASIVO"/>
    <s v="NINGUNO"/>
    <s v="NO"/>
    <s v="Dólar de los Estados Unidos de América"/>
    <s v="SIN REINTEGRO"/>
    <n v="1.25"/>
    <n v="3121.24"/>
    <n v="0"/>
    <n v="0"/>
    <n v="0"/>
    <n v="0"/>
    <s v="ASIA"/>
  </r>
  <r>
    <n v="111"/>
    <n v="2015"/>
    <n v="3"/>
    <n v="2"/>
    <s v="2015"/>
    <s v="03"/>
    <s v="02"/>
    <s v="INICIAL"/>
    <s v="20150302"/>
    <s v="600757940386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5172000"/>
    <n v="10203.780000000001"/>
    <n v="11080.61"/>
    <n v="1"/>
    <x v="0"/>
    <s v="YEKATERINBURG"/>
    <s v="ATLÁNTICO"/>
    <s v="ATLÁNTICO"/>
    <s v="CARTAGENA"/>
    <s v="201502"/>
    <s v="6027582215351"/>
    <s v="ÚNICO"/>
    <s v="TRANSPORTE MARÍTIMO"/>
    <s v="LIBERIA"/>
    <s v="EXPORTACIONES DEFINITIVAS"/>
    <s v="EXPORTACIÓN DEFINITIVA DE MERCANCÍAS DE FABRICACIÓN Ó PRODUCCIÓN NACIONAL"/>
    <s v="NINGUNO"/>
    <s v="NO"/>
    <s v="Dólar de los Estados Unidos de América"/>
    <s v="CON REINTEGRO"/>
    <n v="157558.20000000001"/>
    <n v="393421249.81999999"/>
    <n v="0"/>
    <n v="0"/>
    <n v="0"/>
    <n v="0"/>
    <s v="ASIA"/>
  </r>
  <r>
    <n v="112"/>
    <n v="2015"/>
    <n v="3"/>
    <n v="2"/>
    <s v="2015"/>
    <s v="03"/>
    <s v="02"/>
    <s v="INICIAL"/>
    <s v="20150302"/>
    <s v="600757940386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2088000"/>
    <n v="4341.74"/>
    <n v="4714.83"/>
    <n v="2"/>
    <x v="0"/>
    <s v="YEKATERINBURG"/>
    <s v="ATLÁNTICO"/>
    <s v="ATLÁNTICO"/>
    <s v="CARTAGENA"/>
    <s v="201502"/>
    <s v="6027582215351"/>
    <s v="ÚNICO"/>
    <s v="TRANSPORTE MARÍTIMO"/>
    <s v="LIBERIA"/>
    <s v="EXPORTACIONES DEFINITIVAS"/>
    <s v="EXPORTACIÓN DEFINITIVA DE MERCANCÍAS DE FABRICACIÓN Ó PRODUCCIÓN NACIONAL"/>
    <s v="NINGUNO"/>
    <s v="NO"/>
    <s v="Dólar de los Estados Unidos de América"/>
    <s v="CON REINTEGRO"/>
    <n v="66253.100000000006"/>
    <n v="165433328.16999999"/>
    <n v="0"/>
    <n v="0"/>
    <n v="0"/>
    <n v="0"/>
    <s v="ASIA"/>
  </r>
  <r>
    <n v="113"/>
    <n v="2015"/>
    <n v="3"/>
    <n v="2"/>
    <s v="2015"/>
    <s v="03"/>
    <s v="02"/>
    <s v="INICIAL"/>
    <s v="20150302"/>
    <s v="6007579403875"/>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3620000"/>
    <n v="7725.12"/>
    <n v="8402.11"/>
    <n v="1"/>
    <x v="0"/>
    <s v="YEKATERINBURG"/>
    <s v="ATLÁNTICO"/>
    <s v="ATLÁNTICO"/>
    <s v="CARTAGENA"/>
    <s v="201502"/>
    <s v="6027582223247"/>
    <s v="ÚNICO"/>
    <s v="TRANSPORTE MARÍTIMO"/>
    <s v="LIBERIA"/>
    <s v="EXPORTACIONES DEFINITIVAS"/>
    <s v="EXPORTACIÓN DEFINITIVA DE MERCANCÍAS DE FABRICACIÓN Ó PRODUCCIÓN NACIONAL"/>
    <s v="NINGUNO"/>
    <s v="NO"/>
    <s v="Dólar de los Estados Unidos de América"/>
    <s v="CON REINTEGRO"/>
    <n v="107333.9"/>
    <n v="268011674.96000001"/>
    <n v="0"/>
    <n v="0"/>
    <n v="0"/>
    <n v="0"/>
    <s v="ASIA"/>
  </r>
  <r>
    <n v="114"/>
    <n v="2015"/>
    <n v="3"/>
    <n v="2"/>
    <s v="2015"/>
    <s v="03"/>
    <s v="02"/>
    <s v="INICIAL"/>
    <s v="20150302"/>
    <s v="6007579403875"/>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418500"/>
    <n v="1067.8599999999999"/>
    <n v="1161.44"/>
    <n v="2"/>
    <x v="0"/>
    <s v="YEKATERINBURG"/>
    <s v="ATLÁNTICO"/>
    <s v="ATLÁNTICO"/>
    <s v="CARTAGENA"/>
    <s v="201502"/>
    <s v="6027582223247"/>
    <s v="ÚNICO"/>
    <s v="TRANSPORTE MARÍTIMO"/>
    <s v="LIBERIA"/>
    <s v="EXPORTACIONES DEFINITIVAS"/>
    <s v="EXPORTACIÓN DEFINITIVA DE MERCANCÍAS DE FABRICACIÓN Ó PRODUCCIÓN NACIONAL"/>
    <s v="NINGUNO"/>
    <s v="NO"/>
    <s v="Dólar de los Estados Unidos de América"/>
    <s v="CON REINTEGRO"/>
    <n v="16666.099999999999"/>
    <n v="41615085.039999999"/>
    <n v="0"/>
    <n v="0"/>
    <n v="0"/>
    <n v="0"/>
    <s v="ASIA"/>
  </r>
  <r>
    <n v="115"/>
    <n v="2015"/>
    <n v="3"/>
    <n v="6"/>
    <s v="2015"/>
    <s v="03"/>
    <s v="06"/>
    <s v="INICIAL"/>
    <s v="20150306"/>
    <s v="6007579321352"/>
    <s v="000"/>
    <s v="NO REGISTRA"/>
    <s v="OTRAS MODALIDADES"/>
    <s v="000"/>
    <s v="NO REGISTRA"/>
    <s v="DEFINITIVOS AL EMBARQUE"/>
    <s v="NO"/>
    <s v="BOGOTÁ"/>
    <s v="BOGOTÁ"/>
    <s v="NO DILIGENCIADO"/>
    <s v="860061308"/>
    <s v="AGENCIA DE ADUANAS PASAR LTDA NIVEL I"/>
    <s v="USUARIO OPERADOR DE ZONA FRANCA"/>
    <s v="36"/>
    <s v="890101272"/>
    <s v="SEMPERTEX DE COLOMBIA S A"/>
    <s v="BOGOTÁ, D.C."/>
    <s v="CR 102 A 25 H 45 OF 206 BRR FONTIBON"/>
    <s v="PRIVADO"/>
    <s v="TIB HEYNE &amp; CO GMBH"/>
    <s v="SPEICHER I, KONSUL-SMIDT-STR-8B 28217 BREMEN"/>
    <s v="9503009910"/>
    <s v="Globos de latex de caucho natural."/>
    <s v="UNIDADES"/>
    <n v="200"/>
    <n v="71"/>
    <n v="72.2"/>
    <n v="1"/>
    <x v="7"/>
    <s v="BREMERHAVEN"/>
    <s v="ATLÁNTICO"/>
    <s v="ATLÁNTICO"/>
    <s v="BOGOTÁ"/>
    <s v="201502"/>
    <s v="6027582774227"/>
    <s v="ÚNICO"/>
    <s v="TRANSPORTE AÉREO"/>
    <s v="ESTADOS UNIDOS"/>
    <s v="EXPORTACIONES DEFINITIVAS"/>
    <s v="EXPORTACIÓN DEFINITIVA DE MERCANCÍAS DE FABRICACIÓN Ó PRODUCCIÓN NACIONAL"/>
    <s v="NINGUNO"/>
    <s v="NO"/>
    <s v="Dólar de los Estados Unidos de América"/>
    <s v="CON REINTEGRO"/>
    <n v="1980"/>
    <n v="5036070.5999999996"/>
    <n v="0"/>
    <n v="0"/>
    <n v="0"/>
    <n v="0"/>
    <s v="EUROPA"/>
  </r>
  <r>
    <n v="116"/>
    <n v="2015"/>
    <n v="3"/>
    <n v="9"/>
    <s v="2015"/>
    <s v="03"/>
    <s v="09"/>
    <s v="INICIAL"/>
    <s v="20150309"/>
    <s v="6007579657188"/>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LIRAGRAM ESPAÑA"/>
    <s v="C/ RIO TER NO 7 POLIGONO EL NOGAL 28110 ALGETE MADRID"/>
    <s v="9503009910"/>
    <s v="Globos de latex de caucho natural."/>
    <s v="UNIDADES"/>
    <n v="3253600"/>
    <n v="8093.86"/>
    <n v="8769.7199999999993"/>
    <n v="1"/>
    <x v="21"/>
    <s v="MADRID"/>
    <s v="ATLÁNTICO"/>
    <s v="ATLÁNTICO"/>
    <s v="CARTAGENA"/>
    <s v="201503"/>
    <s v="6027582686185"/>
    <s v="ÚNICO"/>
    <s v="TRANSPORTE MARÍTIMO"/>
    <s v="ANTIGUA Y BARBUDA"/>
    <s v="EXPORTACIONES DEFINITIVAS"/>
    <s v="EXPORTACIÓN DEFINITIVA DE MERCANCÍAS DE FABRICACIÓN Ó PRODUCCIÓN NACIONAL"/>
    <s v="NINGUNO"/>
    <s v="NO"/>
    <s v="Dólar de los Estados Unidos de América"/>
    <s v="CON REINTEGRO"/>
    <n v="115633.2"/>
    <n v="296669694.25"/>
    <n v="0"/>
    <n v="0"/>
    <n v="0"/>
    <n v="0"/>
    <s v="EUROPA"/>
  </r>
  <r>
    <n v="117"/>
    <n v="2015"/>
    <n v="3"/>
    <n v="9"/>
    <s v="2015"/>
    <s v="03"/>
    <s v="09"/>
    <s v="INICIAL"/>
    <s v="20150309"/>
    <s v="6007579657170"/>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LIRAGRAM ESPAÑA"/>
    <s v="C/ RIO TER NO 7 POLIGONO EL NOGAL 28110 ALGETE MADRID"/>
    <s v="4911100000"/>
    <s v="Impresos publicitarios, catalogos comerciales y similares."/>
    <s v="KILOGRAMO"/>
    <n v="15.82"/>
    <n v="15.82"/>
    <n v="16.96"/>
    <n v="1"/>
    <x v="21"/>
    <s v="MADRID"/>
    <s v="ATLÁNTICO"/>
    <s v="ATLÁNTICO"/>
    <s v="CARTAGENA"/>
    <s v="201503"/>
    <s v="6027582685915"/>
    <s v="ÚNICO"/>
    <s v="TRANSPORTE MARÍTIMO"/>
    <s v="ANTIGUA Y BARBUDA"/>
    <s v="EXPORTACIONES DEFINITIVAS"/>
    <s v="EXPORTACION TEMPORAL PARA PERFECCIONAMIENTO PASIVO"/>
    <s v="NINGUNO"/>
    <s v="NO"/>
    <s v="Dólar de los Estados Unidos de América"/>
    <s v="SIN REINTEGRO"/>
    <n v="3.75"/>
    <n v="9621.0400000000009"/>
    <n v="0"/>
    <n v="0"/>
    <n v="0"/>
    <n v="0"/>
    <s v="EUROPA"/>
  </r>
  <r>
    <n v="118"/>
    <n v="2015"/>
    <n v="3"/>
    <n v="9"/>
    <s v="2015"/>
    <s v="03"/>
    <s v="09"/>
    <s v="INICIAL"/>
    <s v="20150309"/>
    <s v="6007579657170"/>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LIRAGRAM ESPAÑA"/>
    <s v="C/ RIO TER NO 7 POLIGONO EL NOGAL 28110 ALGETE MADRID"/>
    <s v="4902909000"/>
    <s v="Los demás diarios y públicaciones periodicas, impresos, incluso ilustrados o con publicidad."/>
    <s v="UNIDADES"/>
    <n v="150"/>
    <n v="22.89"/>
    <n v="24.54"/>
    <n v="2"/>
    <x v="21"/>
    <s v="MADRID"/>
    <s v="ATLÁNTICO"/>
    <s v="ATLÁNTICO"/>
    <s v="CARTAGENA"/>
    <s v="201503"/>
    <s v="6027582685915"/>
    <s v="ÚNICO"/>
    <s v="TRANSPORTE MARÍTIMO"/>
    <s v="ANTIGUA Y BARBUDA"/>
    <s v="EXPORTACIONES DEFINITIVAS"/>
    <s v="EXPORTACION TEMPORAL PARA PERFECCIONAMIENTO PASIVO"/>
    <s v="NINGUNO"/>
    <s v="NO"/>
    <s v="Dólar de los Estados Unidos de América"/>
    <s v="SIN REINTEGRO"/>
    <n v="5"/>
    <n v="12828.05"/>
    <n v="0"/>
    <n v="0"/>
    <n v="0"/>
    <n v="0"/>
    <s v="EUROPA"/>
  </r>
  <r>
    <n v="119"/>
    <n v="2015"/>
    <n v="3"/>
    <n v="9"/>
    <s v="2015"/>
    <s v="03"/>
    <s v="09"/>
    <s v="INICIAL"/>
    <s v="20150309"/>
    <s v="6007579657188"/>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LIRAGRAM ESPAÑA"/>
    <s v="C/ RIO TER NO 7 POLIGONO EL NOGAL 28110 ALGETE MADRID"/>
    <s v="9503009910"/>
    <s v="Globos de latex de caucho natural."/>
    <s v="UNIDADES"/>
    <n v="1403500"/>
    <n v="3427.83"/>
    <n v="3714.06"/>
    <n v="2"/>
    <x v="21"/>
    <s v="MADRID"/>
    <s v="ATLÁNTICO"/>
    <s v="ATLÁNTICO"/>
    <s v="CARTAGENA"/>
    <s v="201503"/>
    <s v="6027582686185"/>
    <s v="ÚNICO"/>
    <s v="TRANSPORTE MARÍTIMO"/>
    <s v="ANTIGUA Y BARBUDA"/>
    <s v="EXPORTACIONES DEFINITIVAS"/>
    <s v="EXPORTACIÓN DEFINITIVA DE MERCANCÍAS DE FABRICACIÓN Ó PRODUCCIÓN NACIONAL"/>
    <s v="NINGUNO"/>
    <s v="NO"/>
    <s v="Dólar de los Estados Unidos de América"/>
    <s v="CON REINTEGRO"/>
    <n v="48513.599999999999"/>
    <n v="124466977.3"/>
    <n v="0"/>
    <n v="0"/>
    <n v="0"/>
    <n v="0"/>
    <s v="EUROPA"/>
  </r>
  <r>
    <n v="120"/>
    <n v="2015"/>
    <n v="3"/>
    <n v="9"/>
    <s v="2015"/>
    <s v="03"/>
    <s v="09"/>
    <s v="INICIAL"/>
    <s v="20150309"/>
    <s v="6007579657188"/>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LIRAGRAM ESPAÑA"/>
    <s v="C/ RIO TER NO 7 POLIGONO EL NOGAL 28110 ALGETE MADRID"/>
    <s v="9503009910"/>
    <s v="Globos de latex de caucho natural."/>
    <s v="UNIDADES"/>
    <n v="309880"/>
    <n v="1224.29"/>
    <n v="1326.52"/>
    <n v="3"/>
    <x v="21"/>
    <s v="MADRID"/>
    <s v="ATLÁNTICO"/>
    <s v="ATLÁNTICO"/>
    <s v="CARTAGENA"/>
    <s v="201503"/>
    <s v="6027582686185"/>
    <s v="ÚNICO"/>
    <s v="TRANSPORTE MARÍTIMO"/>
    <s v="ANTIGUA Y BARBUDA"/>
    <s v="EXPORTACIONES DEFINITIVAS"/>
    <s v="EXPORTACIÓN DEFINITIVA DE MERCANCÍAS DE FABRICACIÓN Ó PRODUCCIÓN NACIONAL"/>
    <s v="NINGUNO"/>
    <s v="NO"/>
    <s v="Dólar de los Estados Unidos de América"/>
    <s v="CON REINTEGRO"/>
    <n v="34256.14"/>
    <n v="87887895.349999994"/>
    <n v="0"/>
    <n v="0"/>
    <n v="0"/>
    <n v="0"/>
    <s v="EUROPA"/>
  </r>
  <r>
    <n v="121"/>
    <n v="2015"/>
    <n v="3"/>
    <n v="9"/>
    <s v="2015"/>
    <s v="03"/>
    <s v="09"/>
    <s v="INICIAL"/>
    <s v="20150309"/>
    <s v="6007579657188"/>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LIRAGRAM ESPAÑA"/>
    <s v="C/ RIO TER NO 7 POLIGONO EL NOGAL 28110 ALGETE MADRID"/>
    <s v="9503009910"/>
    <s v="Globos de latex de caucho natural."/>
    <s v="UNIDADES"/>
    <n v="74400"/>
    <n v="306.97000000000003"/>
    <n v="332.6"/>
    <n v="4"/>
    <x v="21"/>
    <s v="MADRID"/>
    <s v="ATLÁNTICO"/>
    <s v="ATLÁNTICO"/>
    <s v="CARTAGENA"/>
    <s v="201503"/>
    <s v="6027582686185"/>
    <s v="ÚNICO"/>
    <s v="TRANSPORTE MARÍTIMO"/>
    <s v="ANTIGUA Y BARBUDA"/>
    <s v="EXPORTACIONES DEFINITIVAS"/>
    <s v="EXPORTACIÓN DEFINITIVA DE MERCANCÍAS DE FABRICACIÓN Ó PRODUCCIÓN NACIONAL"/>
    <s v="NINGUNO"/>
    <s v="NO"/>
    <s v="Dólar de los Estados Unidos de América"/>
    <s v="CON REINTEGRO"/>
    <n v="7843.7"/>
    <n v="20123875.16"/>
    <n v="0"/>
    <n v="0"/>
    <n v="0"/>
    <n v="0"/>
    <s v="EUROPA"/>
  </r>
  <r>
    <n v="122"/>
    <n v="2015"/>
    <n v="3"/>
    <n v="9"/>
    <s v="2015"/>
    <s v="03"/>
    <s v="09"/>
    <s v="INICIAL"/>
    <s v="20150309"/>
    <s v="600757968552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50000"/>
    <n v="185.49"/>
    <n v="201.03"/>
    <n v="3"/>
    <x v="17"/>
    <s v="SEOUL"/>
    <s v="ATLÁNTICO"/>
    <s v="ATLÁNTICO"/>
    <s v="BARRANQUILLA"/>
    <s v="201503"/>
    <s v="6027582697281"/>
    <s v="ÚNICO"/>
    <s v="TRANSPORTE MARÍTIMO"/>
    <s v="PANAMÁ"/>
    <s v="EXPORTACIONES DEFINITIVAS"/>
    <s v="EXPORTACIÓN DEFINITIVA DE MERCANCÍAS DE FABRICACIÓN Ó PRODUCCIÓN NACIONAL"/>
    <s v="NINGUNO"/>
    <s v="NO"/>
    <s v="Dólar de los Estados Unidos de América"/>
    <s v="CON REINTEGRO"/>
    <n v="4262"/>
    <n v="10934629.82"/>
    <n v="0"/>
    <n v="49.78"/>
    <n v="10.78"/>
    <n v="25.73"/>
    <s v="ASIA"/>
  </r>
  <r>
    <n v="123"/>
    <n v="2015"/>
    <n v="3"/>
    <n v="9"/>
    <s v="2015"/>
    <s v="03"/>
    <s v="09"/>
    <s v="INICIAL"/>
    <s v="20150309"/>
    <s v="600757968552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9000"/>
    <n v="34.07"/>
    <n v="36.92"/>
    <n v="4"/>
    <x v="17"/>
    <s v="SEOUL"/>
    <s v="ATLÁNTICO"/>
    <s v="ATLÁNTICO"/>
    <s v="BARRANQUILLA"/>
    <s v="201503"/>
    <s v="6027582697281"/>
    <s v="ÚNICO"/>
    <s v="TRANSPORTE MARÍTIMO"/>
    <s v="PANAMÁ"/>
    <s v="EXPORTACIONES DEFINITIVAS"/>
    <s v="EXPORTACIÓN DEFINITIVA DE MERCANCÍAS DE FABRICACIÓN Ó PRODUCCIÓN NACIONAL"/>
    <s v="NINGUNO"/>
    <s v="NO"/>
    <s v="Dólar de los Estados Unidos de América"/>
    <s v="CON REINTEGRO"/>
    <n v="738"/>
    <n v="1893420.18"/>
    <n v="0"/>
    <n v="8.6199999999999992"/>
    <n v="1.87"/>
    <n v="4.46"/>
    <s v="ASIA"/>
  </r>
  <r>
    <n v="124"/>
    <n v="2015"/>
    <n v="3"/>
    <n v="9"/>
    <s v="2015"/>
    <s v="03"/>
    <s v="09"/>
    <s v="INICIAL"/>
    <s v="20150309"/>
    <s v="600757968552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1076000"/>
    <n v="2504.9299999999998"/>
    <n v="2714.76"/>
    <n v="2"/>
    <x v="17"/>
    <s v="SEOUL"/>
    <s v="ATLÁNTICO"/>
    <s v="ATLÁNTICO"/>
    <s v="BARRANQUILLA"/>
    <s v="201503"/>
    <s v="6027582697281"/>
    <s v="ÚNICO"/>
    <s v="TRANSPORTE MARÍTIMO"/>
    <s v="PANAMÁ"/>
    <s v="EXPORTACIONES DEFINITIVAS"/>
    <s v="EXPORTACIÓN DEFINITIVA DE MERCANCÍAS DE FABRICACIÓN Ó PRODUCCIÓN NACIONAL"/>
    <s v="NINGUNO"/>
    <s v="NO"/>
    <s v="Dólar de los Estados Unidos de América"/>
    <s v="CON REINTEGRO"/>
    <n v="32058.9"/>
    <n v="82250634.430000007"/>
    <n v="0"/>
    <n v="374.42"/>
    <n v="81.08"/>
    <n v="193.57"/>
    <s v="ASIA"/>
  </r>
  <r>
    <n v="125"/>
    <n v="2015"/>
    <n v="3"/>
    <n v="9"/>
    <s v="2015"/>
    <s v="03"/>
    <s v="09"/>
    <s v="INICIAL"/>
    <s v="20150309"/>
    <s v="600757968552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1439500"/>
    <n v="3914.67"/>
    <n v="4242.59"/>
    <n v="1"/>
    <x v="17"/>
    <s v="SEOUL"/>
    <s v="ATLÁNTICO"/>
    <s v="ATLÁNTICO"/>
    <s v="BARRANQUILLA"/>
    <s v="201503"/>
    <s v="6027582697281"/>
    <s v="ÚNICO"/>
    <s v="TRANSPORTE MARÍTIMO"/>
    <s v="PANAMÁ"/>
    <s v="EXPORTACIONES DEFINITIVAS"/>
    <s v="EXPORTACIÓN DEFINITIVA DE MERCANCÍAS DE FABRICACIÓN Ó PRODUCCIÓN NACIONAL"/>
    <s v="NINGUNO"/>
    <s v="NO"/>
    <s v="Dólar de los Estados Unidos de América"/>
    <s v="CON REINTEGRO"/>
    <n v="57125.5"/>
    <n v="146561754.06"/>
    <n v="0"/>
    <n v="667.18"/>
    <n v="144.47999999999999"/>
    <n v="344.93"/>
    <s v="ASIA"/>
  </r>
  <r>
    <n v="126"/>
    <n v="2015"/>
    <n v="3"/>
    <n v="11"/>
    <s v="2015"/>
    <s v="03"/>
    <s v="11"/>
    <s v="INICIAL"/>
    <s v="20150311"/>
    <s v="6007579783239"/>
    <s v="201503"/>
    <s v="6007579761161"/>
    <s v="OTRAS MODALIDADES"/>
    <s v="000"/>
    <s v="NO REGISTRA"/>
    <s v="DEFINITIVOS DESPUÉS DEL EMBARQUE"/>
    <s v="NO"/>
    <s v="BARRANQUILLA"/>
    <s v="BARRANQUILLA"/>
    <s v="NO DILIGENCIADO"/>
    <s v="830003079"/>
    <s v="SIA PROFESIONAL SA"/>
    <s v="USUARIO OPERADOR DE ZONA FRANCA"/>
    <s v="36"/>
    <s v="890101272"/>
    <s v="SEMPERTEX DE COLOMBIA S A"/>
    <s v="BOGOTÁ, D.C."/>
    <s v="CL 25 G 100 26"/>
    <s v="PRIVADO"/>
    <s v="PLASTENG INDUSTRIA E COMERCIO LTDA"/>
    <s v="ESTRADA DOS ROMEIROS, 796 CHACARA DAS MOCAS CEP:06500-000"/>
    <s v="9503009910"/>
    <s v="Globos de latex de caucho natural."/>
    <s v="UNIDADES"/>
    <n v="33000"/>
    <n v="125.93"/>
    <n v="136.72"/>
    <n v="4"/>
    <x v="25"/>
    <s v="SANTOS"/>
    <s v="ATLÁNTICO"/>
    <s v="ATLÁNTICO"/>
    <s v="BARRANQUILLA"/>
    <s v="201503"/>
    <s v="6027582892333"/>
    <s v="ÚNICO"/>
    <s v="TRANSPORTE MARÍTIMO"/>
    <s v="ANTIGUA Y BARBUDA"/>
    <s v="EXPORTACIONES DEFINITIVAS"/>
    <s v="LAS DEMÁS EXPORTACIONES DEFINITIVAS NO INCLUIDAS EN LOS ÍTEMS ANTERIORES"/>
    <s v="ALADI"/>
    <s v="NO"/>
    <s v="Dólar de los Estados Unidos de América"/>
    <s v="CON REINTEGRO"/>
    <n v="2937"/>
    <n v="7691386.2300000004"/>
    <n v="0"/>
    <n v="24.49"/>
    <n v="7.4"/>
    <n v="0"/>
    <s v="AMÉRICA"/>
  </r>
  <r>
    <n v="127"/>
    <n v="2015"/>
    <n v="3"/>
    <n v="11"/>
    <s v="2015"/>
    <s v="03"/>
    <s v="11"/>
    <s v="INICIAL"/>
    <s v="20150311"/>
    <s v="6007579783239"/>
    <s v="201503"/>
    <s v="6007579761161"/>
    <s v="OTRAS MODALIDADES"/>
    <s v="000"/>
    <s v="NO REGISTRA"/>
    <s v="DEFINITIVOS DESPUÉS DEL EMBARQUE"/>
    <s v="NO"/>
    <s v="BARRANQUILLA"/>
    <s v="BARRANQUILLA"/>
    <s v="NO DILIGENCIADO"/>
    <s v="830003079"/>
    <s v="SIA PROFESIONAL SA"/>
    <s v="USUARIO OPERADOR DE ZONA FRANCA"/>
    <s v="36"/>
    <s v="890101272"/>
    <s v="SEMPERTEX DE COLOMBIA S A"/>
    <s v="BOGOTÁ, D.C."/>
    <s v="CL 25 G 100 26"/>
    <s v="PRIVADO"/>
    <s v="PLASTENG INDUSTRIA E COMERCIO LTDA"/>
    <s v="ESTRADA DOS ROMEIROS, 796 CHACARA DAS MOCAS CEP:06500-000"/>
    <s v="9503009910"/>
    <s v="Globos de latex de caucho natural."/>
    <s v="UNIDADES"/>
    <n v="1798000"/>
    <n v="4015.61"/>
    <n v="4359.53"/>
    <n v="1"/>
    <x v="25"/>
    <s v="SANTOS"/>
    <s v="ATLÁNTICO"/>
    <s v="ATLÁNTICO"/>
    <s v="BARRANQUILLA"/>
    <s v="201503"/>
    <s v="6027582892333"/>
    <s v="ÚNICO"/>
    <s v="TRANSPORTE MARÍTIMO"/>
    <s v="ANTIGUA Y BARBUDA"/>
    <s v="EXPORTACIONES DEFINITIVAS"/>
    <s v="LAS DEMÁS EXPORTACIONES DEFINITIVAS NO INCLUIDAS EN LOS ÍTEMS ANTERIORES"/>
    <s v="ALADI"/>
    <s v="NO"/>
    <s v="Dólar de los Estados Unidos de América"/>
    <s v="CON REINTEGRO"/>
    <n v="58606"/>
    <n v="153476806.74000001"/>
    <n v="0"/>
    <n v="488.6"/>
    <n v="147.74"/>
    <n v="0"/>
    <s v="AMÉRICA"/>
  </r>
  <r>
    <n v="128"/>
    <n v="2015"/>
    <n v="3"/>
    <n v="11"/>
    <s v="2015"/>
    <s v="03"/>
    <s v="11"/>
    <s v="INICIAL"/>
    <s v="20150311"/>
    <s v="6007579783239"/>
    <s v="201503"/>
    <s v="6007579761161"/>
    <s v="OTRAS MODALIDADES"/>
    <s v="000"/>
    <s v="NO REGISTRA"/>
    <s v="DEFINITIVOS DESPUÉS DEL EMBARQUE"/>
    <s v="NO"/>
    <s v="BARRANQUILLA"/>
    <s v="BARRANQUILLA"/>
    <s v="NO DILIGENCIADO"/>
    <s v="830003079"/>
    <s v="SIA PROFESIONAL SA"/>
    <s v="USUARIO OPERADOR DE ZONA FRANCA"/>
    <s v="36"/>
    <s v="890101272"/>
    <s v="SEMPERTEX DE COLOMBIA S A"/>
    <s v="BOGOTÁ, D.C."/>
    <s v="CL 25 G 100 26"/>
    <s v="PRIVADO"/>
    <s v="PLASTENG INDUSTRIA E COMERCIO LTDA"/>
    <s v="ESTRADA DOS ROMEIROS, 796 CHACARA DAS MOCAS CEP:06500-000"/>
    <s v="9503009910"/>
    <s v="Globos de latex de caucho natural."/>
    <s v="UNIDADES"/>
    <n v="448500"/>
    <n v="1040.02"/>
    <n v="1129.0899999999999"/>
    <n v="2"/>
    <x v="25"/>
    <s v="SANTOS"/>
    <s v="ATLÁNTICO"/>
    <s v="ATLÁNTICO"/>
    <s v="BARRANQUILLA"/>
    <s v="201503"/>
    <s v="6027582892333"/>
    <s v="ÚNICO"/>
    <s v="TRANSPORTE MARÍTIMO"/>
    <s v="ANTIGUA Y BARBUDA"/>
    <s v="EXPORTACIONES DEFINITIVAS"/>
    <s v="LAS DEMÁS EXPORTACIONES DEFINITIVAS NO INCLUIDAS EN LOS ÍTEMS ANTERIORES"/>
    <s v="ALADI"/>
    <s v="NO"/>
    <s v="Dólar de los Estados Unidos de América"/>
    <s v="CON REINTEGRO"/>
    <n v="15213.5"/>
    <n v="39840961.670000002"/>
    <n v="0"/>
    <n v="126.84"/>
    <n v="38.35"/>
    <n v="0"/>
    <s v="AMÉRICA"/>
  </r>
  <r>
    <n v="129"/>
    <n v="2015"/>
    <n v="3"/>
    <n v="11"/>
    <s v="2015"/>
    <s v="03"/>
    <s v="11"/>
    <s v="INICIAL"/>
    <s v="20150311"/>
    <s v="6007579783239"/>
    <s v="201503"/>
    <s v="6007579761161"/>
    <s v="OTRAS MODALIDADES"/>
    <s v="000"/>
    <s v="NO REGISTRA"/>
    <s v="DEFINITIVOS DESPUÉS DEL EMBARQUE"/>
    <s v="NO"/>
    <s v="BARRANQUILLA"/>
    <s v="BARRANQUILLA"/>
    <s v="NO DILIGENCIADO"/>
    <s v="830003079"/>
    <s v="SIA PROFESIONAL SA"/>
    <s v="USUARIO OPERADOR DE ZONA FRANCA"/>
    <s v="36"/>
    <s v="890101272"/>
    <s v="SEMPERTEX DE COLOMBIA S A"/>
    <s v="BOGOTÁ, D.C."/>
    <s v="CL 25 G 100 26"/>
    <s v="PRIVADO"/>
    <s v="PLASTENG INDUSTRIA E COMERCIO LTDA"/>
    <s v="ESTRADA DOS ROMEIROS, 796 CHACARA DAS MOCAS CEP:06500-000"/>
    <s v="9503009910"/>
    <s v="Globos de latex de caucho natural."/>
    <s v="UNIDADES"/>
    <n v="228000"/>
    <n v="812.48"/>
    <n v="882.06"/>
    <n v="3"/>
    <x v="25"/>
    <s v="SANTOS"/>
    <s v="ATLÁNTICO"/>
    <s v="ATLÁNTICO"/>
    <s v="BARRANQUILLA"/>
    <s v="201503"/>
    <s v="6027582892333"/>
    <s v="ÚNICO"/>
    <s v="TRANSPORTE MARÍTIMO"/>
    <s v="ANTIGUA Y BARBUDA"/>
    <s v="EXPORTACIONES DEFINITIVAS"/>
    <s v="LAS DEMÁS EXPORTACIONES DEFINITIVAS NO INCLUIDAS EN LOS ÍTEMS ANTERIORES"/>
    <s v="ALADI"/>
    <s v="NO"/>
    <s v="Dólar de los Estados Unidos de América"/>
    <s v="CON REINTEGRO"/>
    <n v="19200"/>
    <n v="50280768"/>
    <n v="0"/>
    <n v="160.07"/>
    <n v="48.4"/>
    <n v="0"/>
    <s v="AMÉRICA"/>
  </r>
  <r>
    <n v="130"/>
    <n v="2015"/>
    <n v="3"/>
    <n v="13"/>
    <s v="2015"/>
    <s v="03"/>
    <s v="13"/>
    <s v="INICIAL"/>
    <s v="20150313"/>
    <s v="600757985375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EROTOP INTERNATIONAL CORP"/>
    <s v="NO.10, ALLEY, LANE 70 SEC 2 ACADEMIA RD,15574"/>
    <s v="9503009910"/>
    <s v="Globos de latex de caucho natural."/>
    <s v="UNIDADES"/>
    <n v="72000"/>
    <n v="255.1"/>
    <n v="276.64"/>
    <n v="3"/>
    <x v="26"/>
    <s v="TAIPEI"/>
    <s v="ATLÁNTICO"/>
    <s v="ATLÁNTICO"/>
    <s v="BARRANQUILLA"/>
    <s v="201503"/>
    <s v="6027582981602"/>
    <s v="ÚNICO"/>
    <s v="TRANSPORTE MARÍTIMO"/>
    <s v="MARSHALL ISLAS"/>
    <s v="EXPORTACIONES DEFINITIVAS"/>
    <s v="EXPORTACIÓN DEFINITIVA DE MERCANCÍAS DE FABRICACIÓN Ó PRODUCCIÓN NACIONAL"/>
    <s v="NINGUNO"/>
    <s v="NO"/>
    <s v="Dólar de los Estados Unidos de América"/>
    <s v="CON REINTEGRO"/>
    <n v="6907.2"/>
    <n v="18028344.579999998"/>
    <n v="0"/>
    <n v="85.52"/>
    <n v="17.48"/>
    <n v="0"/>
    <s v="ASIA"/>
  </r>
  <r>
    <n v="131"/>
    <n v="2015"/>
    <n v="3"/>
    <n v="13"/>
    <s v="2015"/>
    <s v="03"/>
    <s v="13"/>
    <s v="INICIAL"/>
    <s v="20150313"/>
    <s v="600757985376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EROTOP INTERNATIONAL CORP"/>
    <s v="NO.10, ALLEY, LANE 70 SEC 2 ACADEMIA RD,15574"/>
    <s v="4911100000"/>
    <s v="Impresos publicitarios, catalogos comerciales y similares."/>
    <s v="KILOGRAMO"/>
    <n v="12.54"/>
    <n v="12.54"/>
    <n v="14.4"/>
    <n v="1"/>
    <x v="26"/>
    <s v="TAIPEI"/>
    <s v="ATLÁNTICO"/>
    <s v="ATLÁNTICO"/>
    <s v="BARRANQUILLA"/>
    <s v="201503"/>
    <s v="6027582981888"/>
    <s v="ÚNICO"/>
    <s v="TRANSPORTE MARÍTIMO"/>
    <s v="MARSHALL ISLAS"/>
    <s v="EXPORTACIONES DEFINITIVAS"/>
    <s v="EXPORTACION TEMPORAL PARA PERFECCIONAMIENTO PASIVO"/>
    <s v="NINGUNO"/>
    <s v="NO"/>
    <s v="Dólar de los Estados Unidos de América"/>
    <s v="SIN REINTEGRO"/>
    <n v="2.5"/>
    <n v="6525.2"/>
    <n v="0"/>
    <n v="0"/>
    <n v="0"/>
    <n v="0"/>
    <s v="ASIA"/>
  </r>
  <r>
    <n v="132"/>
    <n v="2015"/>
    <n v="3"/>
    <n v="13"/>
    <s v="2015"/>
    <s v="03"/>
    <s v="13"/>
    <s v="INICIAL"/>
    <s v="20150313"/>
    <s v="600757985375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EROTOP INTERNATIONAL CORP"/>
    <s v="NO.10, ALLEY, LANE 70 SEC 2 ACADEMIA RD,15574"/>
    <s v="9503009910"/>
    <s v="Globos de latex de caucho natural."/>
    <s v="UNIDADES"/>
    <n v="2007000"/>
    <n v="4950.09"/>
    <n v="5368.13"/>
    <n v="1"/>
    <x v="26"/>
    <s v="TAIPEI"/>
    <s v="ATLÁNTICO"/>
    <s v="ATLÁNTICO"/>
    <s v="BARRANQUILLA"/>
    <s v="201503"/>
    <s v="6027582981602"/>
    <s v="ÚNICO"/>
    <s v="TRANSPORTE MARÍTIMO"/>
    <s v="MARSHALL ISLAS"/>
    <s v="EXPORTACIONES DEFINITIVAS"/>
    <s v="EXPORTACIÓN DEFINITIVA DE MERCANCÍAS DE FABRICACIÓN Ó PRODUCCIÓN NACIONAL"/>
    <s v="NINGUNO"/>
    <s v="NO"/>
    <s v="Dólar de los Estados Unidos de América"/>
    <s v="CON REINTEGRO"/>
    <n v="71101.8"/>
    <n v="185581386.13999999"/>
    <n v="0"/>
    <n v="880.36"/>
    <n v="179.95"/>
    <n v="0"/>
    <s v="ASIA"/>
  </r>
  <r>
    <n v="133"/>
    <n v="2015"/>
    <n v="3"/>
    <n v="13"/>
    <s v="2015"/>
    <s v="03"/>
    <s v="13"/>
    <s v="INICIAL"/>
    <s v="20150313"/>
    <s v="600757985375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EROTOP INTERNATIONAL CORP"/>
    <s v="NO.10, ALLEY, LANE 70 SEC 2 ACADEMIA RD,15574"/>
    <s v="9503009910"/>
    <s v="Globos de latex de caucho natural."/>
    <s v="UNIDADES"/>
    <n v="414000"/>
    <n v="1237.06"/>
    <n v="1341.53"/>
    <n v="2"/>
    <x v="26"/>
    <s v="TAIPEI"/>
    <s v="ATLÁNTICO"/>
    <s v="ATLÁNTICO"/>
    <s v="BARRANQUILLA"/>
    <s v="201503"/>
    <s v="6027582981602"/>
    <s v="ÚNICO"/>
    <s v="TRANSPORTE MARÍTIMO"/>
    <s v="MARSHALL ISLAS"/>
    <s v="EXPORTACIONES DEFINITIVAS"/>
    <s v="EXPORTACIÓN DEFINITIVA DE MERCANCÍAS DE FABRICACIÓN Ó PRODUCCIÓN NACIONAL"/>
    <s v="NINGUNO"/>
    <s v="NO"/>
    <s v="Dólar de los Estados Unidos de América"/>
    <s v="CON REINTEGRO"/>
    <n v="18908.599999999999"/>
    <n v="49352958.689999998"/>
    <n v="0"/>
    <n v="234.12"/>
    <n v="47.86"/>
    <n v="0"/>
    <s v="ASIA"/>
  </r>
  <r>
    <n v="134"/>
    <n v="2015"/>
    <n v="3"/>
    <n v="13"/>
    <s v="2015"/>
    <s v="03"/>
    <s v="13"/>
    <s v="INICIAL"/>
    <s v="20150313"/>
    <s v="600757987545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4080000"/>
    <n v="8220.32"/>
    <n v="8726.24"/>
    <n v="1"/>
    <x v="2"/>
    <s v="SAINT LOUIS"/>
    <s v="ATLÁNTICO"/>
    <s v="ATLÁNTICO"/>
    <s v="BARRANQUILLA"/>
    <s v="201503"/>
    <s v="6027582987167"/>
    <s v="ÚNICO"/>
    <s v="TRANSPORTE MARÍTIMO"/>
    <s v="MARSHALL ISLAS"/>
    <s v="EXPORTACIONES DEFINITIVAS"/>
    <s v="EXPORTACIÓN DEFINITIVA DE MERCANCÍAS DE FABRICACIÓN Ó PRODUCCIÓN NACIONAL"/>
    <s v="NINGUNO"/>
    <s v="NO"/>
    <s v="Dólar de los Estados Unidos de América"/>
    <s v="CON REINTEGRO"/>
    <n v="89687.44"/>
    <n v="234091393.40000001"/>
    <n v="0"/>
    <n v="2080"/>
    <n v="0"/>
    <n v="0"/>
    <s v="AMÉRICA"/>
  </r>
  <r>
    <n v="135"/>
    <n v="2015"/>
    <n v="3"/>
    <n v="13"/>
    <s v="2015"/>
    <s v="03"/>
    <s v="13"/>
    <s v="INICIAL"/>
    <s v="20150313"/>
    <s v="600757987546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5000"/>
    <n v="16.98"/>
    <n v="19.34"/>
    <n v="1"/>
    <x v="2"/>
    <s v="SAINT LOUIS"/>
    <s v="ATLÁNTICO"/>
    <s v="ATLÁNTICO"/>
    <s v="BARRANQUILLA"/>
    <s v="201503"/>
    <s v="6027582987292"/>
    <s v="ÚNICO"/>
    <s v="TRANSPORTE MARÍTIMO"/>
    <s v="MARSHALL ISLAS"/>
    <s v="EXPORTACIONES DEFINITIVAS"/>
    <s v="EXPORTACIÓN DEFINITIVA DE MERCANCÍAS DE FABRICACIÓN Ó PRODUCCIÓN NACIONAL"/>
    <s v="NINGUNO"/>
    <s v="NO"/>
    <s v="Dólar de los Estados Unidos de América"/>
    <s v="CON REINTEGRO"/>
    <n v="288"/>
    <n v="751703.04000000004"/>
    <n v="0"/>
    <n v="5.03"/>
    <n v="0"/>
    <n v="0"/>
    <s v="AMÉRICA"/>
  </r>
  <r>
    <n v="136"/>
    <n v="2015"/>
    <n v="3"/>
    <n v="13"/>
    <s v="2015"/>
    <s v="03"/>
    <s v="13"/>
    <s v="INICIAL"/>
    <s v="20150313"/>
    <s v="600757987546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8000"/>
    <n v="28.22"/>
    <n v="32.14"/>
    <n v="2"/>
    <x v="2"/>
    <s v="SAINT LOUIS"/>
    <s v="ATLÁNTICO"/>
    <s v="ATLÁNTICO"/>
    <s v="BARRANQUILLA"/>
    <s v="201503"/>
    <s v="6027582987292"/>
    <s v="ÚNICO"/>
    <s v="TRANSPORTE MARÍTIMO"/>
    <s v="MARSHALL ISLAS"/>
    <s v="EXPORTACIONES DEFINITIVAS"/>
    <s v="EXPORTACIÓN DEFINITIVA DE MERCANCÍAS DE FABRICACIÓN Ó PRODUCCIÓN NACIONAL"/>
    <s v="NINGUNO"/>
    <s v="NO"/>
    <s v="Dólar de los Estados Unidos de América"/>
    <s v="CON REINTEGRO"/>
    <n v="857.6"/>
    <n v="2238404.61"/>
    <n v="0"/>
    <n v="14.97"/>
    <n v="0"/>
    <n v="0"/>
    <s v="AMÉRICA"/>
  </r>
  <r>
    <n v="137"/>
    <n v="2015"/>
    <n v="3"/>
    <n v="13"/>
    <s v="2015"/>
    <s v="03"/>
    <s v="13"/>
    <s v="INICIAL"/>
    <s v="20150313"/>
    <s v="6007579805715"/>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264500"/>
    <n v="423.7"/>
    <n v="461.03"/>
    <n v="2"/>
    <x v="19"/>
    <s v="HAMINA"/>
    <s v="ATLÁNTICO"/>
    <s v="ATLÁNTICO"/>
    <s v="CARTAGENA"/>
    <s v="201503"/>
    <s v="6027582690861"/>
    <s v="ÚNICO"/>
    <s v="TRANSPORTE MARÍTIMO"/>
    <s v="MALTA"/>
    <s v="EXPORTACIONES DEFINITIVAS"/>
    <s v="EXPORTACIÓN DEFINITIVA DE MERCANCÍAS DE FABRICACIÓN Ó PRODUCCIÓN NACIONAL"/>
    <s v="NINGUNO"/>
    <s v="NO"/>
    <s v="Dólar de los Estados Unidos de América"/>
    <s v="CON REINTEGRO"/>
    <n v="8194.2999999999993"/>
    <n v="21387778.539999999"/>
    <n v="0"/>
    <n v="139.54"/>
    <n v="20.83"/>
    <n v="0"/>
    <s v="EUROPA"/>
  </r>
  <r>
    <n v="138"/>
    <n v="2015"/>
    <n v="3"/>
    <n v="13"/>
    <s v="2015"/>
    <s v="03"/>
    <s v="13"/>
    <s v="INICIAL"/>
    <s v="20150313"/>
    <s v="6007579805715"/>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13500"/>
    <n v="156"/>
    <n v="169.75"/>
    <n v="3"/>
    <x v="19"/>
    <s v="HAMINA"/>
    <s v="ATLÁNTICO"/>
    <s v="ATLÁNTICO"/>
    <s v="CARTAGENA"/>
    <s v="201503"/>
    <s v="6027582690861"/>
    <s v="ÚNICO"/>
    <s v="TRANSPORTE MARÍTIMO"/>
    <s v="MALTA"/>
    <s v="EXPORTACIONES DEFINITIVAS"/>
    <s v="EXPORTACIÓN DEFINITIVA DE MERCANCÍAS DE FABRICACIÓN Ó PRODUCCIÓN NACIONAL"/>
    <s v="NINGUNO"/>
    <s v="NO"/>
    <s v="Dólar de los Estados Unidos de América"/>
    <s v="CON REINTEGRO"/>
    <n v="5824.2"/>
    <n v="15201627.939999999"/>
    <n v="0"/>
    <n v="99.18"/>
    <n v="14.81"/>
    <n v="0"/>
    <s v="EUROPA"/>
  </r>
  <r>
    <n v="139"/>
    <n v="2015"/>
    <n v="3"/>
    <n v="13"/>
    <s v="2015"/>
    <s v="03"/>
    <s v="13"/>
    <s v="INICIAL"/>
    <s v="20150313"/>
    <s v="6007579805715"/>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2847000"/>
    <n v="5573.41"/>
    <n v="6064.52"/>
    <n v="1"/>
    <x v="19"/>
    <s v="HAMINA"/>
    <s v="ATLÁNTICO"/>
    <s v="ATLÁNTICO"/>
    <s v="CARTAGENA"/>
    <s v="201503"/>
    <s v="6027582690861"/>
    <s v="ÚNICO"/>
    <s v="TRANSPORTE MARÍTIMO"/>
    <s v="MALTA"/>
    <s v="EXPORTACIONES DEFINITIVAS"/>
    <s v="EXPORTACIÓN DEFINITIVA DE MERCANCÍAS DE FABRICACIÓN Ó PRODUCCIÓN NACIONAL"/>
    <s v="NINGUNO"/>
    <s v="NO"/>
    <s v="Dólar de los Estados Unidos de América"/>
    <s v="CON REINTEGRO"/>
    <n v="85811"/>
    <n v="223973574.88"/>
    <n v="0"/>
    <n v="1461.28"/>
    <n v="218.18"/>
    <n v="0"/>
    <s v="EUROPA"/>
  </r>
  <r>
    <n v="140"/>
    <n v="2015"/>
    <n v="3"/>
    <n v="13"/>
    <s v="2015"/>
    <s v="03"/>
    <s v="13"/>
    <s v="INICIAL"/>
    <s v="20150313"/>
    <s v="6007579805722"/>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UTTERICKS LECO AB"/>
    <s v="SUNE SAGARES VAG 4 310 38 SIMLANGSDALEN"/>
    <s v="9503009910"/>
    <s v="Globos de latex de caucho natural."/>
    <s v="UNIDADES"/>
    <n v="242000"/>
    <n v="670.26"/>
    <n v="739.48"/>
    <n v="1"/>
    <x v="20"/>
    <s v="SUECIA"/>
    <s v="ATLÁNTICO"/>
    <s v="ATLÁNTICO"/>
    <s v="CARTAGENA"/>
    <s v="201503"/>
    <s v="6027582695887"/>
    <s v="ÚNICO"/>
    <s v="TRANSPORTE MARÍTIMO"/>
    <s v="MALTA"/>
    <s v="EXPORTACIONES DEFINITIVAS"/>
    <s v="EXPORTACIÓN DEFINITIVA DE MERCANCÍAS DE FABRICACIÓN Ó PRODUCCIÓN NACIONAL"/>
    <s v="NINGUNO"/>
    <s v="NO"/>
    <s v="Dólar de los Estados Unidos de América"/>
    <s v="CON REINTEGRO"/>
    <n v="10820"/>
    <n v="28241065.600000001"/>
    <n v="0"/>
    <n v="1232.8399999999999"/>
    <n v="30.13"/>
    <n v="0"/>
    <s v="EUROPA"/>
  </r>
  <r>
    <n v="141"/>
    <n v="2015"/>
    <n v="3"/>
    <n v="13"/>
    <s v="2015"/>
    <s v="03"/>
    <s v="13"/>
    <s v="INICIAL"/>
    <s v="20150313"/>
    <s v="6007579805722"/>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UTTERICKS LECO AB"/>
    <s v="SUNE SAGARES VAG 4 310 38 SIMLANGSDALEN"/>
    <s v="9503009910"/>
    <s v="Globos de latex de caucho natural."/>
    <s v="UNIDADES"/>
    <n v="60000"/>
    <n v="284.3"/>
    <n v="313.66000000000003"/>
    <n v="2"/>
    <x v="20"/>
    <s v="SUECIA"/>
    <s v="ATLÁNTICO"/>
    <s v="ATLÁNTICO"/>
    <s v="CARTAGENA"/>
    <s v="201503"/>
    <s v="6027582695887"/>
    <s v="ÚNICO"/>
    <s v="TRANSPORTE MARÍTIMO"/>
    <s v="MALTA"/>
    <s v="EXPORTACIONES DEFINITIVAS"/>
    <s v="EXPORTACIÓN DEFINITIVA DE MERCANCÍAS DE FABRICACIÓN Ó PRODUCCIÓN NACIONAL"/>
    <s v="NINGUNO"/>
    <s v="NO"/>
    <s v="Dólar de los Estados Unidos de América"/>
    <s v="CON REINTEGRO"/>
    <n v="7400"/>
    <n v="19314592"/>
    <n v="0"/>
    <n v="843.16"/>
    <n v="20.61"/>
    <n v="0"/>
    <s v="EUROPA"/>
  </r>
  <r>
    <n v="142"/>
    <n v="2015"/>
    <n v="3"/>
    <n v="19"/>
    <s v="2015"/>
    <s v="03"/>
    <s v="19"/>
    <s v="INICIAL"/>
    <s v="20150319"/>
    <s v="600758009084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FIVE STAR QUALITY PRODUCTS"/>
    <s v="130 NEWTON ROAD,WETHERILL PARK 2164;SYDNEY NSW"/>
    <s v="9503009910"/>
    <s v="Globos de latex de caucho natural."/>
    <s v="UNIDADES"/>
    <n v="1103000"/>
    <n v="3421.7"/>
    <n v="3739.55"/>
    <n v="1"/>
    <x v="5"/>
    <s v="Sydney"/>
    <s v="ATLÁNTICO"/>
    <s v="ATLÁNTICO"/>
    <s v="CARTAGENA"/>
    <s v="201503"/>
    <s v="6027582696411"/>
    <s v="ÚNICO"/>
    <s v="TRANSPORTE MARÍTIMO"/>
    <s v="LÍBANO"/>
    <s v="EXPORTACIONES DEFINITIVAS"/>
    <s v="EXPORTACIÓN DEFINITIVA DE MERCANCÍAS DE FABRICACIÓN Ó PRODUCCIÓN NACIONAL"/>
    <s v="NINGUNO"/>
    <s v="NO"/>
    <s v="Dólar de los Estados Unidos de América"/>
    <s v="CON REINTEGRO"/>
    <n v="49287.199999999997"/>
    <n v="130684517.93000001"/>
    <n v="0"/>
    <n v="0"/>
    <n v="0"/>
    <n v="0"/>
    <s v="OCEANÍA"/>
  </r>
  <r>
    <n v="143"/>
    <n v="2015"/>
    <n v="3"/>
    <n v="19"/>
    <s v="2015"/>
    <s v="03"/>
    <s v="19"/>
    <s v="INICIAL"/>
    <s v="20150319"/>
    <s v="600758009084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FIVE STAR QUALITY PRODUCTS"/>
    <s v="130 NEWTON ROAD,WETHERILL PARK 2164;SYDNEY NSW"/>
    <s v="9503009910"/>
    <s v="Globos de latex de caucho natural."/>
    <s v="UNIDADES"/>
    <n v="761600"/>
    <n v="2623.92"/>
    <n v="2867.67"/>
    <n v="2"/>
    <x v="5"/>
    <s v="Sydney"/>
    <s v="ATLÁNTICO"/>
    <s v="ATLÁNTICO"/>
    <s v="CARTAGENA"/>
    <s v="201503"/>
    <s v="6027582696411"/>
    <s v="ÚNICO"/>
    <s v="TRANSPORTE MARÍTIMO"/>
    <s v="LÍBANO"/>
    <s v="EXPORTACIONES DEFINITIVAS"/>
    <s v="EXPORTACIÓN DEFINITIVA DE MERCANCÍAS DE FABRICACIÓN Ó PRODUCCIÓN NACIONAL"/>
    <s v="NINGUNO"/>
    <s v="NO"/>
    <s v="Dólar de los Estados Unidos de América"/>
    <s v="CON REINTEGRO"/>
    <n v="40201.5"/>
    <n v="106593875.23999999"/>
    <n v="0"/>
    <n v="0"/>
    <n v="0"/>
    <n v="0"/>
    <s v="OCEANÍA"/>
  </r>
  <r>
    <n v="144"/>
    <n v="2015"/>
    <n v="3"/>
    <n v="20"/>
    <s v="2015"/>
    <s v="03"/>
    <s v="20"/>
    <s v="INICIAL"/>
    <s v="20150320"/>
    <s v="6007580177913"/>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LPEN PRODUCTS PTY LTD"/>
    <s v="PO BOX 469, DEE WHY NSW 2099"/>
    <s v="9503009910"/>
    <s v="Globos de latex de caucho natural."/>
    <s v="UNIDADES"/>
    <n v="778280"/>
    <n v="2342.6999999999998"/>
    <n v="2580.29"/>
    <n v="1"/>
    <x v="5"/>
    <s v="Sidney"/>
    <s v="ATLÁNTICO"/>
    <s v="ATLÁNTICO"/>
    <s v="CARTAGENA"/>
    <s v="201503"/>
    <s v="6027582695561"/>
    <s v="ÚNICO"/>
    <s v="TRANSPORTE MARÍTIMO"/>
    <s v="DINAMARCA"/>
    <s v="EXPORTACIONES DEFINITIVAS"/>
    <s v="EXPORTACIÓN DEFINITIVA DE MERCANCÍAS DE FABRICACIÓN Ó PRODUCCIÓN NACIONAL"/>
    <s v="NINGUNO"/>
    <s v="NO"/>
    <s v="Dólar de los Estados Unidos de América"/>
    <s v="CON REINTEGRO"/>
    <n v="35009.5"/>
    <n v="91493127.109999999"/>
    <n v="0"/>
    <n v="867.29"/>
    <n v="0"/>
    <n v="0"/>
    <s v="OCEANÍA"/>
  </r>
  <r>
    <n v="145"/>
    <n v="2015"/>
    <n v="3"/>
    <n v="20"/>
    <s v="2015"/>
    <s v="03"/>
    <s v="20"/>
    <s v="INICIAL"/>
    <s v="20150320"/>
    <s v="6007580177913"/>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LPEN PRODUCTS PTY LTD"/>
    <s v="PO BOX 469, DEE WHY NSW 2099"/>
    <s v="9503009910"/>
    <s v="Globos de latex de caucho natural."/>
    <s v="UNIDADES"/>
    <n v="1019320"/>
    <n v="3253.49"/>
    <n v="3583.45"/>
    <n v="2"/>
    <x v="5"/>
    <s v="Sidney"/>
    <s v="ATLÁNTICO"/>
    <s v="ATLÁNTICO"/>
    <s v="CARTAGENA"/>
    <s v="201503"/>
    <s v="6027582695561"/>
    <s v="ÚNICO"/>
    <s v="TRANSPORTE MARÍTIMO"/>
    <s v="DINAMARCA"/>
    <s v="EXPORTACIONES DEFINITIVAS"/>
    <s v="EXPORTACIÓN DEFINITIVA DE MERCANCÍAS DE FABRICACIÓN Ó PRODUCCIÓN NACIONAL"/>
    <s v="NINGUNO"/>
    <s v="NO"/>
    <s v="Dólar de los Estados Unidos de América"/>
    <s v="CON REINTEGRO"/>
    <n v="47290.8"/>
    <n v="123588830.90000001"/>
    <n v="0"/>
    <n v="1171.54"/>
    <n v="0"/>
    <n v="0"/>
    <s v="OCEANÍA"/>
  </r>
  <r>
    <n v="146"/>
    <n v="2015"/>
    <n v="3"/>
    <n v="20"/>
    <s v="2015"/>
    <s v="03"/>
    <s v="20"/>
    <s v="INICIAL"/>
    <s v="20150320"/>
    <s v="6007580177913"/>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LPEN PRODUCTS PTY LTD"/>
    <s v="PO BOX 469, DEE WHY NSW 2099"/>
    <s v="9503009910"/>
    <s v="Globos de latex de caucho natural."/>
    <s v="UNIDADES"/>
    <n v="30000"/>
    <n v="106.34"/>
    <n v="117.12"/>
    <n v="3"/>
    <x v="5"/>
    <s v="Sidney"/>
    <s v="ATLÁNTICO"/>
    <s v="ATLÁNTICO"/>
    <s v="CARTAGENA"/>
    <s v="201503"/>
    <s v="6027582695561"/>
    <s v="ÚNICO"/>
    <s v="TRANSPORTE MARÍTIMO"/>
    <s v="DINAMARCA"/>
    <s v="EXPORTACIONES DEFINITIVAS"/>
    <s v="EXPORTACIÓN DEFINITIVA DE MERCANCÍAS DE FABRICACIÓN Ó PRODUCCIÓN NACIONAL"/>
    <s v="NINGUNO"/>
    <s v="NO"/>
    <s v="Dólar de los Estados Unidos de América"/>
    <s v="CON REINTEGRO"/>
    <n v="3084"/>
    <n v="8059663.9199999999"/>
    <n v="0"/>
    <n v="76.400000000000006"/>
    <n v="0"/>
    <n v="0"/>
    <s v="OCEANÍA"/>
  </r>
  <r>
    <n v="147"/>
    <n v="2015"/>
    <n v="3"/>
    <n v="20"/>
    <s v="2015"/>
    <s v="03"/>
    <s v="20"/>
    <s v="INICIAL"/>
    <s v="20150320"/>
    <s v="6007580177913"/>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LPEN PRODUCTS PTY LTD"/>
    <s v="PO BOX 469, DEE WHY NSW 2099"/>
    <s v="9503009910"/>
    <s v="Globos de latex de caucho natural."/>
    <s v="UNIDADES"/>
    <n v="36000"/>
    <n v="138.4"/>
    <n v="152.44"/>
    <n v="4"/>
    <x v="5"/>
    <s v="Sidney"/>
    <s v="ATLÁNTICO"/>
    <s v="ATLÁNTICO"/>
    <s v="CARTAGENA"/>
    <s v="201503"/>
    <s v="6027582695561"/>
    <s v="ÚNICO"/>
    <s v="TRANSPORTE MARÍTIMO"/>
    <s v="DINAMARCA"/>
    <s v="EXPORTACIONES DEFINITIVAS"/>
    <s v="EXPORTACIÓN DEFINITIVA DE MERCANCÍAS DE FABRICACIÓN Ó PRODUCCIÓN NACIONAL"/>
    <s v="NINGUNO"/>
    <s v="NO"/>
    <s v="Dólar de los Estados Unidos de América"/>
    <s v="CON REINTEGRO"/>
    <n v="3816"/>
    <n v="9972658.0800000001"/>
    <n v="0"/>
    <n v="94.53"/>
    <n v="0"/>
    <n v="0"/>
    <s v="OCEANÍA"/>
  </r>
  <r>
    <n v="148"/>
    <n v="2015"/>
    <n v="3"/>
    <n v="20"/>
    <s v="2015"/>
    <s v="03"/>
    <s v="20"/>
    <s v="INICIAL"/>
    <s v="20150320"/>
    <s v="600758014566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LD ORIENTAL CO., LTD."/>
    <s v="OSAKA-FU IZUMISANO-SHI AOI-CHO 4-6-45"/>
    <s v="9503009910"/>
    <s v="Globos de latex de caucho natural."/>
    <s v="UNIDADES"/>
    <n v="1581500"/>
    <n v="8487.3799999999992"/>
    <n v="9034.2199999999993"/>
    <n v="1"/>
    <x v="8"/>
    <s v="OSAKA"/>
    <s v="ATLÁNTICO"/>
    <s v="ATLÁNTICO"/>
    <s v="BARRANQUILLA"/>
    <s v="201503"/>
    <s v="6027583286517"/>
    <s v="ÚNICO"/>
    <s v="TRANSPORTE MARÍTIMO"/>
    <s v="PANAMÁ"/>
    <s v="EXPORTACIONES DEFINITIVAS"/>
    <s v="EXPORTACIÓN DEFINITIVA DE MERCANCÍAS DE FABRICACIÓN Ó PRODUCCIÓN NACIONAL"/>
    <s v="NINGUNO"/>
    <s v="NO"/>
    <s v="Dólar de los Estados Unidos de América"/>
    <s v="CON REINTEGRO"/>
    <n v="191560"/>
    <n v="500619072.80000001"/>
    <n v="0"/>
    <n v="1095.4000000000001"/>
    <n v="481.64"/>
    <n v="0"/>
    <s v="ASIA"/>
  </r>
  <r>
    <n v="149"/>
    <n v="2015"/>
    <n v="3"/>
    <n v="24"/>
    <s v="2015"/>
    <s v="03"/>
    <s v="24"/>
    <s v="INICIAL"/>
    <s v="20150324"/>
    <s v="6007579989502"/>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JUNG JEAN COMPANY"/>
    <s v="#174-1 3/F MOOK-DONG, JOONGRANG-GU, SEOUL 131-848, KOREA"/>
    <s v="9503009910"/>
    <s v="Globos de latex de caucho natural."/>
    <s v="UNIDADES"/>
    <n v="73600"/>
    <n v="274"/>
    <n v="274"/>
    <n v="1"/>
    <x v="17"/>
    <s v="SEOUL"/>
    <s v="ATLÁNTICO"/>
    <s v="ATLÁNTICO"/>
    <s v="BOGOTÁ"/>
    <s v="201503"/>
    <s v="6027583420831"/>
    <s v="ÚNICO"/>
    <s v="TRANSPORTE AÉREO"/>
    <s v="ESTADOS UNIDOS"/>
    <s v="EXPORTACIONES DEFINITIVAS"/>
    <s v="EXPORTACIÓN DEFINITIVA DE MERCANCÍAS DE FABRICACIÓN Ó PRODUCCIÓN NACIONAL"/>
    <s v="NINGUNO"/>
    <s v="NO"/>
    <s v="Dólar de los Estados Unidos de América"/>
    <s v="CON REINTEGRO"/>
    <n v="4115"/>
    <n v="10648426.65"/>
    <n v="0"/>
    <n v="851.87"/>
    <n v="12.42"/>
    <n v="0"/>
    <s v="ASIA"/>
  </r>
  <r>
    <n v="150"/>
    <n v="2015"/>
    <n v="3"/>
    <n v="24"/>
    <s v="2015"/>
    <s v="03"/>
    <s v="24"/>
    <s v="INICIAL"/>
    <s v="20150324"/>
    <s v="6007580156242"/>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BALIONU KARALIAI"/>
    <s v="PERKUNKIEMIO 19A, LT - 12120"/>
    <s v="9503009910"/>
    <s v="Globos de latex de caucho natural."/>
    <s v="UNIDADES"/>
    <n v="172450"/>
    <n v="477.4"/>
    <n v="517"/>
    <n v="1"/>
    <x v="18"/>
    <s v="VILNIUS"/>
    <s v="ATLÁNTICO"/>
    <s v="ATLÁNTICO"/>
    <s v="BOGOTÁ"/>
    <s v="201503"/>
    <s v="6027583528919"/>
    <s v="ÚNICO"/>
    <s v="TRANSPORTE AÉREO"/>
    <s v="ESPAÑA"/>
    <s v="EXPORTACIONES DEFINITIVAS"/>
    <s v="EXPORTACIÓN DEFINITIVA DE MERCANCÍAS DE FABRICACIÓN Ó PRODUCCIÓN NACIONAL"/>
    <s v="NINGUNO"/>
    <s v="NO"/>
    <s v="Dólar de los Estados Unidos de América"/>
    <s v="CON REINTEGRO"/>
    <n v="9044.6"/>
    <n v="23404801.870000001"/>
    <n v="0"/>
    <n v="0"/>
    <n v="0"/>
    <n v="0"/>
    <s v="EUROPA"/>
  </r>
  <r>
    <n v="151"/>
    <n v="2015"/>
    <n v="3"/>
    <n v="24"/>
    <s v="2015"/>
    <s v="03"/>
    <s v="24"/>
    <s v="INICIAL"/>
    <s v="20150324"/>
    <s v="6007579746994"/>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FIVE STAR QUALITY PRODUCTS"/>
    <s v="130 NEWTON ROAD, WETHERILL PARK 2164"/>
    <s v="9503009910"/>
    <s v="Globos de latex de caucho natural."/>
    <s v="UNIDADES"/>
    <n v="367400"/>
    <n v="1246.42"/>
    <n v="1384"/>
    <n v="1"/>
    <x v="5"/>
    <s v="SYDNEY"/>
    <s v="ATLÁNTICO"/>
    <s v="ATLÁNTICO"/>
    <s v="BOGOTÁ"/>
    <s v="201503"/>
    <s v="6027583033474"/>
    <s v="ÚNICO"/>
    <s v="TRANSPORTE AÉREO"/>
    <s v="CANADÁ"/>
    <s v="EXPORTACIONES DEFINITIVAS"/>
    <s v="LAS DEMÁS EXPORTACIONES DEFINITIVAS NO INCLUIDAS EN LOS ÍTEMS ANTERIORES"/>
    <s v="NINGUNO"/>
    <s v="NO"/>
    <s v="Dólar de los Estados Unidos de América"/>
    <s v="CON REINTEGRO"/>
    <n v="17791.900000000001"/>
    <n v="46040277.549999997"/>
    <n v="0"/>
    <n v="0"/>
    <n v="0"/>
    <n v="0"/>
    <s v="OCEANÍA"/>
  </r>
  <r>
    <n v="152"/>
    <n v="2015"/>
    <n v="3"/>
    <n v="24"/>
    <s v="2015"/>
    <s v="03"/>
    <s v="24"/>
    <s v="INICIAL"/>
    <s v="20150324"/>
    <s v="6007579703526"/>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TY PIECES"/>
    <s v="28 LIFFORD GARDENS, BALLINACURRA, LIMERICK"/>
    <s v="4911100000"/>
    <s v="Impresos publicitarios, catalogos comerciales y similares."/>
    <s v="KILOGRAMO"/>
    <n v="6.27"/>
    <n v="6.27"/>
    <n v="7"/>
    <n v="1"/>
    <x v="27"/>
    <s v="SHANNON"/>
    <s v="ATLÁNTICO"/>
    <s v="ATLÁNTICO"/>
    <s v="BARRANQUILLA"/>
    <s v="201503"/>
    <s v="6027583081259"/>
    <s v="ÚNICO"/>
    <s v="TRANSPORTE AÉREO"/>
    <s v="COLOMBIA"/>
    <s v="EXPORTACIONES DEFINITIVAS"/>
    <s v="EXPORTACION TEMPORAL PARA PERFECCIONAMIENTO PASIVO"/>
    <s v="NINGUNO"/>
    <s v="NO"/>
    <s v="Dólar de los Estados Unidos de América"/>
    <s v="SIN REINTEGRO"/>
    <n v="0.5"/>
    <n v="1293.8599999999999"/>
    <n v="0"/>
    <n v="0"/>
    <n v="0"/>
    <n v="0"/>
    <s v="EUROPA"/>
  </r>
  <r>
    <n v="153"/>
    <n v="2015"/>
    <n v="3"/>
    <n v="24"/>
    <s v="2015"/>
    <s v="03"/>
    <s v="24"/>
    <s v="INICIAL"/>
    <s v="20150324"/>
    <s v="6007579812983"/>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JUNG JEAN COMPANY"/>
    <s v="#174-1 3/F MOOK-DONG, JOONGRANG-GU, SEOUL 131-848, KOREA"/>
    <s v="9503009910"/>
    <s v="Globos de latex de caucho natural."/>
    <s v="UNIDADES"/>
    <n v="84000"/>
    <n v="305.86"/>
    <n v="317"/>
    <n v="1"/>
    <x v="17"/>
    <s v="SEOUL"/>
    <s v="ATLÁNTICO"/>
    <s v="ATLÁNTICO"/>
    <s v="BOGOTÁ"/>
    <s v="201503"/>
    <s v="6027583157160"/>
    <s v="ÚNICO"/>
    <s v="TRANSPORTE AÉREO"/>
    <s v="ESTADOS UNIDOS"/>
    <s v="EXPORTACIONES DEFINITIVAS"/>
    <s v="EXPORTACIÓN DEFINITIVA DE MERCANCÍAS DE FABRICACIÓN Ó PRODUCCIÓN NACIONAL"/>
    <s v="NINGUNO"/>
    <s v="NO"/>
    <s v="Dólar de los Estados Unidos de América"/>
    <s v="CON REINTEGRO"/>
    <n v="3654"/>
    <n v="9455492.3399999999"/>
    <n v="0"/>
    <n v="939.71"/>
    <n v="12"/>
    <n v="0"/>
    <s v="ASIA"/>
  </r>
  <r>
    <n v="154"/>
    <n v="2015"/>
    <n v="3"/>
    <n v="24"/>
    <s v="2015"/>
    <s v="03"/>
    <s v="24"/>
    <s v="INICIAL"/>
    <s v="20150324"/>
    <s v="6007579703519"/>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TY PIECES"/>
    <s v="28 LIFFORD GARDENS, BALLINACURRA, LIMERICK"/>
    <s v="9503009910"/>
    <s v="Globos de latex de caucho natural."/>
    <s v="UNIDADES"/>
    <n v="196000"/>
    <n v="500.08"/>
    <n v="539"/>
    <n v="1"/>
    <x v="27"/>
    <s v="SHANNON"/>
    <s v="ATLÁNTICO"/>
    <s v="ATLÁNTICO"/>
    <s v="BARRANQUILLA"/>
    <s v="201503"/>
    <s v="6027583081109"/>
    <s v="ÚNICO"/>
    <s v="TRANSPORTE AÉREO"/>
    <s v="COLOMBIA"/>
    <s v="EXPORTACIONES DEFINITIVAS"/>
    <s v="EXPORTACIÓN DEFINITIVA DE MERCANCÍAS DE FABRICACIÓN Ó PRODUCCIÓN NACIONAL"/>
    <s v="NINGUNO"/>
    <s v="NO"/>
    <s v="Dólar de los Estados Unidos de América"/>
    <s v="CON REINTEGRO"/>
    <n v="9519"/>
    <n v="24632411.489999998"/>
    <n v="0"/>
    <n v="1923.17"/>
    <n v="28.61"/>
    <n v="0"/>
    <s v="EUROPA"/>
  </r>
  <r>
    <n v="155"/>
    <n v="2015"/>
    <n v="3"/>
    <n v="25"/>
    <s v="2015"/>
    <s v="03"/>
    <s v="25"/>
    <s v="INICIAL"/>
    <s v="20150325"/>
    <s v="600758028657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MISRAD HASIMHA / YAIR RONINSON"/>
    <s v="9380782, ISRAEL. JERUSALEM"/>
    <s v="4911100000"/>
    <s v="Impresos publicitarios, catalogos comerciales y similares."/>
    <s v="KILOGRAMO"/>
    <n v="17.61"/>
    <n v="17.61"/>
    <n v="19.22"/>
    <n v="1"/>
    <x v="28"/>
    <s v="JERUSALEM"/>
    <s v="ATLÁNTICO"/>
    <s v="ATLÁNTICO"/>
    <s v="BARRANQUILLA"/>
    <s v="201503"/>
    <s v="6027583440848"/>
    <s v="ÚNICO"/>
    <s v="TRANSPORTE MARÍTIMO"/>
    <s v="HONG KONG"/>
    <s v="EXPORTACIONES DEFINITIVAS"/>
    <s v="EXPORTACION TEMPORAL PARA PERFECCIONAMIENTO PASIVO"/>
    <s v="NINGUNO"/>
    <s v="NO"/>
    <s v="Dólar de los Estados Unidos de América"/>
    <s v="SIN REINTEGRO"/>
    <n v="3.75"/>
    <n v="9475.4599999999991"/>
    <n v="0"/>
    <n v="0"/>
    <n v="0"/>
    <n v="0"/>
    <s v="ASIA"/>
  </r>
  <r>
    <n v="156"/>
    <n v="2015"/>
    <n v="3"/>
    <n v="25"/>
    <s v="2015"/>
    <s v="03"/>
    <s v="25"/>
    <s v="INICIAL"/>
    <s v="20150325"/>
    <s v="600758028657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MISRAD HASIMHA / YAIR RONINSON"/>
    <s v="9380782, ISRAEL. JERUSALEM"/>
    <s v="4902909000"/>
    <s v="Los demás diarios y públicaciones periodicas, impresos, incluso ilustrados o con publicidad."/>
    <s v="UNIDADES"/>
    <n v="150"/>
    <n v="23.19"/>
    <n v="25.3"/>
    <n v="2"/>
    <x v="28"/>
    <s v="JERUSALEM"/>
    <s v="ATLÁNTICO"/>
    <s v="ATLÁNTICO"/>
    <s v="BARRANQUILLA"/>
    <s v="201503"/>
    <s v="6027583440848"/>
    <s v="ÚNICO"/>
    <s v="TRANSPORTE MARÍTIMO"/>
    <s v="HONG KONG"/>
    <s v="EXPORTACIONES DEFINITIVAS"/>
    <s v="EXPORTACION TEMPORAL PARA PERFECCIONAMIENTO PASIVO"/>
    <s v="NINGUNO"/>
    <s v="NO"/>
    <s v="Dólar de los Estados Unidos de América"/>
    <s v="SIN REINTEGRO"/>
    <n v="4.5"/>
    <n v="11370.56"/>
    <n v="0"/>
    <n v="0"/>
    <n v="0"/>
    <n v="0"/>
    <s v="ASIA"/>
  </r>
  <r>
    <n v="157"/>
    <n v="2015"/>
    <n v="3"/>
    <n v="25"/>
    <s v="2015"/>
    <s v="03"/>
    <s v="25"/>
    <s v="INICIAL"/>
    <s v="20150325"/>
    <s v="600758028403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54200"/>
    <n v="184.62"/>
    <n v="199.94"/>
    <n v="4"/>
    <x v="12"/>
    <s v="KUALA LUMPUR"/>
    <s v="ATLÁNTICO"/>
    <s v="ATLÁNTICO"/>
    <s v="BARRANQUILLA"/>
    <s v="201503"/>
    <s v="6027583443193"/>
    <s v="ÚNICO"/>
    <s v="TRANSPORTE MARÍTIMO"/>
    <s v="HONG KONG"/>
    <s v="EXPORTACIONES DEFINITIVAS"/>
    <s v="EXPORTACIÓN DEFINITIVA DE MERCANCÍAS DE FABRICACIÓN Ó PRODUCCIÓN NACIONAL"/>
    <s v="NINGUNO"/>
    <s v="NO"/>
    <s v="Dólar de los Estados Unidos de América"/>
    <s v="CON REINTEGRO"/>
    <n v="4900"/>
    <n v="12381271"/>
    <n v="0"/>
    <n v="37.1"/>
    <n v="12.34"/>
    <n v="0"/>
    <s v="ASIA"/>
  </r>
  <r>
    <n v="158"/>
    <n v="2015"/>
    <n v="3"/>
    <n v="25"/>
    <s v="2015"/>
    <s v="03"/>
    <s v="25"/>
    <s v="INICIAL"/>
    <s v="20150325"/>
    <s v="600758028403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2679300"/>
    <n v="7104.1"/>
    <n v="7693.44"/>
    <n v="1"/>
    <x v="12"/>
    <s v="KUALA LUMPUR"/>
    <s v="ATLÁNTICO"/>
    <s v="ATLÁNTICO"/>
    <s v="BARRANQUILLA"/>
    <s v="201503"/>
    <s v="6027583443193"/>
    <s v="ÚNICO"/>
    <s v="TRANSPORTE MARÍTIMO"/>
    <s v="HONG KONG"/>
    <s v="EXPORTACIONES DEFINITIVAS"/>
    <s v="EXPORTACIÓN DEFINITIVA DE MERCANCÍAS DE FABRICACIÓN Ó PRODUCCIÓN NACIONAL"/>
    <s v="NINGUNO"/>
    <s v="NO"/>
    <s v="Dólar de los Estados Unidos de América"/>
    <s v="CON REINTEGRO"/>
    <n v="101028"/>
    <n v="255276540.12"/>
    <n v="0"/>
    <n v="765.02"/>
    <n v="254.48"/>
    <n v="0"/>
    <s v="ASIA"/>
  </r>
  <r>
    <n v="159"/>
    <n v="2015"/>
    <n v="3"/>
    <n v="25"/>
    <s v="2015"/>
    <s v="03"/>
    <s v="25"/>
    <s v="INICIAL"/>
    <s v="20150325"/>
    <s v="600758028403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1382700"/>
    <n v="3861.01"/>
    <n v="4181.3100000000004"/>
    <n v="2"/>
    <x v="12"/>
    <s v="KUALA LUMPUR"/>
    <s v="ATLÁNTICO"/>
    <s v="ATLÁNTICO"/>
    <s v="BARRANQUILLA"/>
    <s v="201503"/>
    <s v="6027583443193"/>
    <s v="ÚNICO"/>
    <s v="TRANSPORTE MARÍTIMO"/>
    <s v="HONG KONG"/>
    <s v="EXPORTACIONES DEFINITIVAS"/>
    <s v="EXPORTACIÓN DEFINITIVA DE MERCANCÍAS DE FABRICACIÓN Ó PRODUCCIÓN NACIONAL"/>
    <s v="NINGUNO"/>
    <s v="NO"/>
    <s v="Dólar de los Estados Unidos de América"/>
    <s v="CON REINTEGRO"/>
    <n v="52370"/>
    <n v="132327992.3"/>
    <n v="0"/>
    <n v="396.57"/>
    <n v="131.91999999999999"/>
    <n v="0"/>
    <s v="ASIA"/>
  </r>
  <r>
    <n v="160"/>
    <n v="2015"/>
    <n v="3"/>
    <n v="25"/>
    <s v="2015"/>
    <s v="03"/>
    <s v="25"/>
    <s v="INICIAL"/>
    <s v="20150325"/>
    <s v="600758028403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140800"/>
    <n v="598.92999999999995"/>
    <n v="648.62"/>
    <n v="3"/>
    <x v="12"/>
    <s v="KUALA LUMPUR"/>
    <s v="ATLÁNTICO"/>
    <s v="ATLÁNTICO"/>
    <s v="BARRANQUILLA"/>
    <s v="201503"/>
    <s v="6027583443193"/>
    <s v="ÚNICO"/>
    <s v="TRANSPORTE MARÍTIMO"/>
    <s v="HONG KONG"/>
    <s v="EXPORTACIONES DEFINITIVAS"/>
    <s v="EXPORTACIÓN DEFINITIVA DE MERCANCÍAS DE FABRICACIÓN Ó PRODUCCIÓN NACIONAL"/>
    <s v="NINGUNO"/>
    <s v="NO"/>
    <s v="Dólar de los Estados Unidos de América"/>
    <s v="CON REINTEGRO"/>
    <n v="13378"/>
    <n v="33803396.619999997"/>
    <n v="0"/>
    <n v="101.3"/>
    <n v="33.700000000000003"/>
    <n v="0"/>
    <s v="ASIA"/>
  </r>
  <r>
    <n v="161"/>
    <n v="2015"/>
    <n v="3"/>
    <n v="27"/>
    <s v="2015"/>
    <s v="03"/>
    <s v="27"/>
    <s v="INICIAL"/>
    <s v="20150327"/>
    <s v="600758040619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3622500"/>
    <n v="7366.75"/>
    <n v="7815.94"/>
    <n v="1"/>
    <x v="2"/>
    <s v="SAINT LOUIS"/>
    <s v="ATLÁNTICO"/>
    <s v="ATLÁNTICO"/>
    <s v="BARRANQUILLA"/>
    <s v="201503"/>
    <s v="6027583662381"/>
    <s v="ÚNICO"/>
    <s v="TRANSPORTE MARÍTIMO"/>
    <s v="MARSHALL ISLAS"/>
    <s v="EXPORTACIONES DEFINITIVAS"/>
    <s v="EXPORTACIÓN DEFINITIVA DE MERCANCÍAS DE FABRICACIÓN Ó PRODUCCIÓN NACIONAL"/>
    <s v="NINGUNO"/>
    <s v="NO"/>
    <s v="Dólar de los Estados Unidos de América"/>
    <s v="CON REINTEGRO"/>
    <n v="78213.19"/>
    <n v="199545311.65000001"/>
    <n v="0"/>
    <n v="1748.4"/>
    <n v="0"/>
    <n v="2159.4"/>
    <s v="AMÉRICA"/>
  </r>
  <r>
    <n v="162"/>
    <n v="2015"/>
    <n v="3"/>
    <n v="27"/>
    <s v="2015"/>
    <s v="03"/>
    <s v="27"/>
    <s v="INICIAL"/>
    <s v="20150327"/>
    <s v="600758040620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1097080"/>
    <n v="3017.92"/>
    <n v="3517.69"/>
    <n v="1"/>
    <x v="2"/>
    <s v="SAINT LOUIS"/>
    <s v="ATLÁNTICO"/>
    <s v="ATLÁNTICO"/>
    <s v="BARRANQUILLA"/>
    <s v="201503"/>
    <s v="6027583662951"/>
    <s v="ÚNICO"/>
    <s v="TRANSPORTE MARÍTIMO"/>
    <s v="MARSHALL ISLAS"/>
    <s v="EXPORTACIONES DEFINITIVAS"/>
    <s v="EXPORTACIÓN DEFINITIVA DE MERCANCÍAS DE FABRICACIÓN Ó PRODUCCIÓN NACIONAL"/>
    <s v="NINGUNO"/>
    <s v="NO"/>
    <s v="Dólar de los Estados Unidos de América"/>
    <s v="CON REINTEGRO"/>
    <n v="39500"/>
    <n v="100776350"/>
    <n v="0"/>
    <n v="789.92"/>
    <n v="0"/>
    <n v="0"/>
    <s v="AMÉRICA"/>
  </r>
  <r>
    <n v="163"/>
    <n v="2015"/>
    <n v="3"/>
    <n v="27"/>
    <s v="2015"/>
    <s v="03"/>
    <s v="27"/>
    <s v="INICIAL"/>
    <s v="20150327"/>
    <s v="600758040620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105000"/>
    <n v="322.67"/>
    <n v="376.1"/>
    <n v="2"/>
    <x v="2"/>
    <s v="SAINT LOUIS"/>
    <s v="ATLÁNTICO"/>
    <s v="ATLÁNTICO"/>
    <s v="BARRANQUILLA"/>
    <s v="201503"/>
    <s v="6027583662951"/>
    <s v="ÚNICO"/>
    <s v="TRANSPORTE MARÍTIMO"/>
    <s v="MARSHALL ISLAS"/>
    <s v="EXPORTACIONES DEFINITIVAS"/>
    <s v="EXPORTACIÓN DEFINITIVA DE MERCANCÍAS DE FABRICACIÓN Ó PRODUCCIÓN NACIONAL"/>
    <s v="NINGUNO"/>
    <s v="NO"/>
    <s v="Dólar de los Estados Unidos de América"/>
    <s v="CON REINTEGRO"/>
    <n v="4460"/>
    <n v="11378798"/>
    <n v="0"/>
    <n v="89.19"/>
    <n v="0"/>
    <n v="0"/>
    <s v="AMÉRICA"/>
  </r>
  <r>
    <n v="164"/>
    <n v="2015"/>
    <n v="3"/>
    <n v="27"/>
    <s v="2015"/>
    <s v="03"/>
    <s v="27"/>
    <s v="INICIAL"/>
    <s v="20150327"/>
    <s v="600758040620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36000"/>
    <n v="130.01"/>
    <n v="151.54"/>
    <n v="3"/>
    <x v="2"/>
    <s v="SAINT LOUIS"/>
    <s v="ATLÁNTICO"/>
    <s v="ATLÁNTICO"/>
    <s v="BARRANQUILLA"/>
    <s v="201503"/>
    <s v="6027583662951"/>
    <s v="ÚNICO"/>
    <s v="TRANSPORTE MARÍTIMO"/>
    <s v="MARSHALL ISLAS"/>
    <s v="EXPORTACIONES DEFINITIVAS"/>
    <s v="EXPORTACIÓN DEFINITIVA DE MERCANCÍAS DE FABRICACIÓN Ó PRODUCCIÓN NACIONAL"/>
    <s v="NINGUNO"/>
    <s v="NO"/>
    <s v="Dólar de los Estados Unidos de América"/>
    <s v="CON REINTEGRO"/>
    <n v="3523.2"/>
    <n v="8988740.1600000001"/>
    <n v="0"/>
    <n v="70.459999999999994"/>
    <n v="0"/>
    <n v="0"/>
    <s v="AMÉRICA"/>
  </r>
  <r>
    <n v="165"/>
    <n v="2015"/>
    <n v="3"/>
    <n v="27"/>
    <s v="2015"/>
    <s v="03"/>
    <s v="27"/>
    <s v="INICIAL"/>
    <s v="20150327"/>
    <s v="600758040617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1261000"/>
    <n v="3476.72"/>
    <n v="3765.51"/>
    <n v="1"/>
    <x v="17"/>
    <s v="SEOUL"/>
    <s v="ATLÁNTICO"/>
    <s v="ATLÁNTICO"/>
    <s v="BARRANQUILLA"/>
    <s v="201503"/>
    <s v="6027583657100"/>
    <s v="ÚNICO"/>
    <s v="TRANSPORTE MARÍTIMO"/>
    <s v="MARSHALL ISLAS"/>
    <s v="EXPORTACIONES DEFINITIVAS"/>
    <s v="EXPORTACIÓN DEFINITIVA DE MERCANCÍAS DE FABRICACIÓN Ó PRODUCCIÓN NACIONAL"/>
    <s v="NINGUNO"/>
    <s v="NO"/>
    <s v="Dólar de los Estados Unidos de América"/>
    <s v="CON REINTEGRO"/>
    <n v="42693"/>
    <n v="108922650.90000001"/>
    <n v="0"/>
    <n v="685.22"/>
    <n v="108.45"/>
    <n v="0"/>
    <s v="ASIA"/>
  </r>
  <r>
    <n v="166"/>
    <n v="2015"/>
    <n v="3"/>
    <n v="27"/>
    <s v="2015"/>
    <s v="03"/>
    <s v="27"/>
    <s v="INICIAL"/>
    <s v="20150327"/>
    <s v="600758040617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510000"/>
    <n v="814.83"/>
    <n v="882.51"/>
    <n v="2"/>
    <x v="17"/>
    <s v="SEOUL"/>
    <s v="ATLÁNTICO"/>
    <s v="ATLÁNTICO"/>
    <s v="BARRANQUILLA"/>
    <s v="201503"/>
    <s v="6027583657100"/>
    <s v="ÚNICO"/>
    <s v="TRANSPORTE MARÍTIMO"/>
    <s v="MARSHALL ISLAS"/>
    <s v="EXPORTACIONES DEFINITIVAS"/>
    <s v="EXPORTACIÓN DEFINITIVA DE MERCANCÍAS DE FABRICACIÓN Ó PRODUCCIÓN NACIONAL"/>
    <s v="NINGUNO"/>
    <s v="NO"/>
    <s v="Dólar de los Estados Unidos de América"/>
    <s v="CON REINTEGRO"/>
    <n v="11485.8"/>
    <n v="29303721.539999999"/>
    <n v="0"/>
    <n v="184.35"/>
    <n v="29.18"/>
    <n v="0"/>
    <s v="ASIA"/>
  </r>
  <r>
    <n v="167"/>
    <n v="2015"/>
    <n v="3"/>
    <n v="27"/>
    <s v="2015"/>
    <s v="03"/>
    <s v="27"/>
    <s v="INICIAL"/>
    <s v="20150327"/>
    <s v="600758040617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24000"/>
    <n v="86.16"/>
    <n v="93.32"/>
    <n v="3"/>
    <x v="17"/>
    <s v="SEOUL"/>
    <s v="ATLÁNTICO"/>
    <s v="ATLÁNTICO"/>
    <s v="BARRANQUILLA"/>
    <s v="201503"/>
    <s v="6027583657100"/>
    <s v="ÚNICO"/>
    <s v="TRANSPORTE MARÍTIMO"/>
    <s v="MARSHALL ISLAS"/>
    <s v="EXPORTACIONES DEFINITIVAS"/>
    <s v="EXPORTACIÓN DEFINITIVA DE MERCANCÍAS DE FABRICACIÓN Ó PRODUCCIÓN NACIONAL"/>
    <s v="NINGUNO"/>
    <s v="NO"/>
    <s v="Dólar de los Estados Unidos de América"/>
    <s v="CON REINTEGRO"/>
    <n v="1896"/>
    <n v="4837264.8"/>
    <n v="0"/>
    <n v="30.43"/>
    <n v="4.82"/>
    <n v="0"/>
    <s v="ASIA"/>
  </r>
  <r>
    <n v="168"/>
    <n v="2015"/>
    <n v="3"/>
    <n v="27"/>
    <s v="2015"/>
    <s v="03"/>
    <s v="27"/>
    <s v="INICIAL"/>
    <s v="20150327"/>
    <s v="600758040618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12000"/>
    <n v="63.7"/>
    <n v="67.42"/>
    <n v="1"/>
    <x v="17"/>
    <s v="SEOUL"/>
    <s v="ATLÁNTICO"/>
    <s v="ATLÁNTICO"/>
    <s v="BARRANQUILLA"/>
    <s v="201503"/>
    <s v="6027583657268"/>
    <s v="ÚNICO"/>
    <s v="TRANSPORTE MARÍTIMO"/>
    <s v="MARSHALL ISLAS"/>
    <s v="EXPORTACIONES DEFINITIVAS"/>
    <s v="EXPORTACIÓN DEFINITIVA DE MERCANCÍAS DE FABRICACIÓN Ó PRODUCCIÓN NACIONAL"/>
    <s v="NINGUNO"/>
    <s v="NO"/>
    <s v="Dólar de los Estados Unidos de América"/>
    <s v="CON REINTEGRO"/>
    <n v="570"/>
    <n v="1454241"/>
    <n v="0"/>
    <n v="100"/>
    <n v="12"/>
    <n v="0"/>
    <s v="ASIA"/>
  </r>
  <r>
    <n v="169"/>
    <n v="2015"/>
    <n v="3"/>
    <n v="27"/>
    <s v="2015"/>
    <s v="03"/>
    <s v="27"/>
    <s v="INICIAL"/>
    <s v="20150327"/>
    <s v="600758040620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36000"/>
    <n v="145.47"/>
    <n v="169.56"/>
    <n v="4"/>
    <x v="2"/>
    <s v="SAINT LOUIS"/>
    <s v="ATLÁNTICO"/>
    <s v="ATLÁNTICO"/>
    <s v="BARRANQUILLA"/>
    <s v="201503"/>
    <s v="6027583662951"/>
    <s v="ÚNICO"/>
    <s v="TRANSPORTE MARÍTIMO"/>
    <s v="MARSHALL ISLAS"/>
    <s v="EXPORTACIONES DEFINITIVAS"/>
    <s v="EXPORTACIÓN DEFINITIVA DE MERCANCÍAS DE FABRICACIÓN Ó PRODUCCIÓN NACIONAL"/>
    <s v="NINGUNO"/>
    <s v="NO"/>
    <s v="Dólar de los Estados Unidos de América"/>
    <s v="CON REINTEGRO"/>
    <n v="4104"/>
    <n v="10470535.199999999"/>
    <n v="0"/>
    <n v="82.07"/>
    <n v="0"/>
    <n v="0"/>
    <s v="AMÉRICA"/>
  </r>
  <r>
    <n v="170"/>
    <n v="2015"/>
    <n v="3"/>
    <n v="27"/>
    <s v="2015"/>
    <s v="03"/>
    <s v="27"/>
    <s v="INICIAL"/>
    <s v="20150327"/>
    <s v="600758028656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MISRAD HASIMHA / YAIR RONINSON"/>
    <s v="9380782, ISRAEL. JERUSALEM"/>
    <s v="9503009910"/>
    <s v="Globos de latex de caucho natural."/>
    <s v="UNIDADES"/>
    <n v="834750"/>
    <n v="1550.27"/>
    <n v="1687.31"/>
    <n v="1"/>
    <x v="28"/>
    <s v="JERUSALEM"/>
    <s v="ATLÁNTICO"/>
    <s v="ATLÁNTICO"/>
    <s v="BARRANQUILLA"/>
    <s v="201503"/>
    <s v="6027583440522"/>
    <s v="ÚNICO"/>
    <s v="TRANSPORTE MARÍTIMO"/>
    <s v="HONG KONG"/>
    <s v="EXPORTACIONES DEFINITIVAS"/>
    <s v="EXPORTACIÓN DEFINITIVA DE MERCANCÍAS DE FABRICACIÓN Ó PRODUCCIÓN NACIONAL"/>
    <s v="NINGUNO"/>
    <s v="NO"/>
    <s v="Dólar de los Estados Unidos de América"/>
    <s v="CON REINTEGRO"/>
    <n v="23428.75"/>
    <n v="59773769.880000003"/>
    <n v="0"/>
    <n v="1801.51"/>
    <n v="0"/>
    <n v="0"/>
    <s v="ASIA"/>
  </r>
  <r>
    <n v="171"/>
    <n v="2015"/>
    <n v="3"/>
    <n v="27"/>
    <s v="2015"/>
    <s v="03"/>
    <s v="27"/>
    <s v="INICIAL"/>
    <s v="20150327"/>
    <s v="600758028656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MISRAD HASIMHA / YAIR RONINSON"/>
    <s v="9380782, ISRAEL. JERUSALEM"/>
    <s v="9503009910"/>
    <s v="Globos de latex de caucho natural."/>
    <s v="UNIDADES"/>
    <n v="209000"/>
    <n v="400.93"/>
    <n v="436.37"/>
    <n v="2"/>
    <x v="28"/>
    <s v="JERUSALEM"/>
    <s v="ATLÁNTICO"/>
    <s v="ATLÁNTICO"/>
    <s v="BARRANQUILLA"/>
    <s v="201503"/>
    <s v="6027583440522"/>
    <s v="ÚNICO"/>
    <s v="TRANSPORTE MARÍTIMO"/>
    <s v="HONG KONG"/>
    <s v="EXPORTACIONES DEFINITIVAS"/>
    <s v="EXPORTACIÓN DEFINITIVA DE MERCANCÍAS DE FABRICACIÓN Ó PRODUCCIÓN NACIONAL"/>
    <s v="NINGUNO"/>
    <s v="NO"/>
    <s v="Dólar de los Estados Unidos de América"/>
    <s v="CON REINTEGRO"/>
    <n v="6462.25"/>
    <n v="16487138.43"/>
    <n v="0"/>
    <n v="496.9"/>
    <n v="0"/>
    <n v="0"/>
    <s v="ASIA"/>
  </r>
  <r>
    <n v="172"/>
    <n v="2015"/>
    <n v="3"/>
    <n v="27"/>
    <s v="2015"/>
    <s v="03"/>
    <s v="27"/>
    <s v="INICIAL"/>
    <s v="20150327"/>
    <s v="600758028656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MISRAD HASIMHA / YAIR RONINSON"/>
    <s v="9380782, ISRAEL. JERUSALEM"/>
    <s v="9503009910"/>
    <s v="Globos de latex de caucho natural."/>
    <s v="UNIDADES"/>
    <n v="102200"/>
    <n v="412.41"/>
    <n v="448.87"/>
    <n v="3"/>
    <x v="28"/>
    <s v="JERUSALEM"/>
    <s v="ATLÁNTICO"/>
    <s v="ATLÁNTICO"/>
    <s v="BARRANQUILLA"/>
    <s v="201503"/>
    <s v="6027583440522"/>
    <s v="ÚNICO"/>
    <s v="TRANSPORTE MARÍTIMO"/>
    <s v="HONG KONG"/>
    <s v="EXPORTACIONES DEFINITIVAS"/>
    <s v="EXPORTACIÓN DEFINITIVA DE MERCANCÍAS DE FABRICACIÓN Ó PRODUCCIÓN NACIONAL"/>
    <s v="NINGUNO"/>
    <s v="NO"/>
    <s v="Dólar de los Estados Unidos de América"/>
    <s v="CON REINTEGRO"/>
    <n v="11789.6"/>
    <n v="30078806.48"/>
    <n v="0"/>
    <n v="906.54"/>
    <n v="0"/>
    <n v="0"/>
    <s v="ASIA"/>
  </r>
  <r>
    <n v="173"/>
    <n v="2015"/>
    <n v="3"/>
    <n v="27"/>
    <s v="2015"/>
    <s v="03"/>
    <s v="27"/>
    <s v="INICIAL"/>
    <s v="20150327"/>
    <s v="600758028656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MISRAD HASIMHA / YAIR RONINSON"/>
    <s v="9380782, ISRAEL. JERUSALEM"/>
    <s v="9503009910"/>
    <s v="Globos de latex de caucho natural."/>
    <s v="UNIDADES"/>
    <n v="12000"/>
    <n v="45.88"/>
    <n v="49.94"/>
    <n v="4"/>
    <x v="28"/>
    <s v="JERUSALEM"/>
    <s v="ATLÁNTICO"/>
    <s v="ATLÁNTICO"/>
    <s v="BARRANQUILLA"/>
    <s v="201503"/>
    <s v="6027583440522"/>
    <s v="ÚNICO"/>
    <s v="TRANSPORTE MARÍTIMO"/>
    <s v="HONG KONG"/>
    <s v="EXPORTACIONES DEFINITIVAS"/>
    <s v="EXPORTACIÓN DEFINITIVA DE MERCANCÍAS DE FABRICACIÓN Ó PRODUCCIÓN NACIONAL"/>
    <s v="NINGUNO"/>
    <s v="NO"/>
    <s v="Dólar de los Estados Unidos de América"/>
    <s v="CON REINTEGRO"/>
    <n v="1236"/>
    <n v="3153406.8"/>
    <n v="0"/>
    <n v="95.04"/>
    <n v="0"/>
    <n v="0"/>
    <s v="ASIA"/>
  </r>
  <r>
    <n v="174"/>
    <n v="2015"/>
    <n v="3"/>
    <n v="27"/>
    <s v="2015"/>
    <s v="03"/>
    <s v="27"/>
    <s v="INICIAL"/>
    <s v="20150327"/>
    <s v="600758035502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60300"/>
    <n v="353.84"/>
    <n v="382.26"/>
    <n v="3"/>
    <x v="6"/>
    <s v="GENK"/>
    <s v="ATLÁNTICO"/>
    <s v="ATLÁNTICO"/>
    <s v="CARTAGENA"/>
    <s v="201503"/>
    <s v="6027583278991"/>
    <s v="ÚNICO"/>
    <s v="TRANSPORTE MARÍTIMO"/>
    <s v="CHIPRE"/>
    <s v="EXPORTACIONES DEFINITIVAS"/>
    <s v="EXPORTACIÓN DEFINITIVA DE MERCANCÍAS DE FABRICACIÓN Ó PRODUCCIÓN NACIONAL"/>
    <s v="NINGUNO"/>
    <s v="NO"/>
    <s v="Dólar de los Estados Unidos de América"/>
    <s v="CON REINTEGRO"/>
    <n v="11641.6"/>
    <n v="29701214.079999998"/>
    <n v="0"/>
    <n v="180.04"/>
    <n v="29.55"/>
    <n v="0"/>
    <s v="EUROPA"/>
  </r>
  <r>
    <n v="175"/>
    <n v="2015"/>
    <n v="3"/>
    <n v="27"/>
    <s v="2015"/>
    <s v="03"/>
    <s v="27"/>
    <s v="INICIAL"/>
    <s v="20150327"/>
    <s v="600758035502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400"/>
    <n v="15.69"/>
    <n v="16.95"/>
    <n v="4"/>
    <x v="6"/>
    <s v="GENK"/>
    <s v="ATLÁNTICO"/>
    <s v="ATLÁNTICO"/>
    <s v="CARTAGENA"/>
    <s v="201503"/>
    <s v="6027583278991"/>
    <s v="ÚNICO"/>
    <s v="TRANSPORTE MARÍTIMO"/>
    <s v="CHIPRE"/>
    <s v="EXPORTACIONES DEFINITIVAS"/>
    <s v="EXPORTACIÓN DEFINITIVA DE MERCANCÍAS DE FABRICACIÓN Ó PRODUCCIÓN NACIONAL"/>
    <s v="NINGUNO"/>
    <s v="NO"/>
    <s v="Dólar de los Estados Unidos de América"/>
    <s v="CON REINTEGRO"/>
    <n v="604"/>
    <n v="1540985.2"/>
    <n v="0"/>
    <n v="9.34"/>
    <n v="1.53"/>
    <n v="0"/>
    <s v="EUROPA"/>
  </r>
  <r>
    <n v="176"/>
    <n v="2015"/>
    <n v="3"/>
    <n v="27"/>
    <s v="2015"/>
    <s v="03"/>
    <s v="27"/>
    <s v="INICIAL"/>
    <s v="20150327"/>
    <s v="600758035502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1071500"/>
    <n v="2906.34"/>
    <n v="3139.75"/>
    <n v="1"/>
    <x v="6"/>
    <s v="GENK"/>
    <s v="ATLÁNTICO"/>
    <s v="ATLÁNTICO"/>
    <s v="CARTAGENA"/>
    <s v="201503"/>
    <s v="6027583278991"/>
    <s v="ÚNICO"/>
    <s v="TRANSPORTE MARÍTIMO"/>
    <s v="CHIPRE"/>
    <s v="EXPORTACIONES DEFINITIVAS"/>
    <s v="EXPORTACIÓN DEFINITIVA DE MERCANCÍAS DE FABRICACIÓN Ó PRODUCCIÓN NACIONAL"/>
    <s v="NINGUNO"/>
    <s v="NO"/>
    <s v="Dólar de los Estados Unidos de América"/>
    <s v="CON REINTEGRO"/>
    <n v="43532"/>
    <n v="111063191.59999999"/>
    <n v="0"/>
    <n v="673.24"/>
    <n v="110.51"/>
    <n v="0"/>
    <s v="EUROPA"/>
  </r>
  <r>
    <n v="177"/>
    <n v="2015"/>
    <n v="3"/>
    <n v="27"/>
    <s v="2015"/>
    <s v="03"/>
    <s v="27"/>
    <s v="INICIAL"/>
    <s v="20150327"/>
    <s v="600758035502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274500"/>
    <n v="835.04"/>
    <n v="902.1"/>
    <n v="2"/>
    <x v="6"/>
    <s v="GENK"/>
    <s v="ATLÁNTICO"/>
    <s v="ATLÁNTICO"/>
    <s v="CARTAGENA"/>
    <s v="201503"/>
    <s v="6027583278991"/>
    <s v="ÚNICO"/>
    <s v="TRANSPORTE MARÍTIMO"/>
    <s v="CHIPRE"/>
    <s v="EXPORTACIONES DEFINITIVAS"/>
    <s v="EXPORTACIÓN DEFINITIVA DE MERCANCÍAS DE FABRICACIÓN Ó PRODUCCIÓN NACIONAL"/>
    <s v="NINGUNO"/>
    <s v="NO"/>
    <s v="Dólar de los Estados Unidos de América"/>
    <s v="CON REINTEGRO"/>
    <n v="12115.8"/>
    <n v="30911040.539999999"/>
    <n v="0"/>
    <n v="187.38"/>
    <n v="30.76"/>
    <n v="0"/>
    <s v="EUROPA"/>
  </r>
  <r>
    <n v="178"/>
    <n v="2015"/>
    <n v="3"/>
    <n v="27"/>
    <s v="2015"/>
    <s v="03"/>
    <s v="27"/>
    <s v="INICIAL"/>
    <s v="20150327"/>
    <s v="6007580355042"/>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20000"/>
    <n v="69.92"/>
    <n v="76.34"/>
    <n v="2"/>
    <x v="7"/>
    <s v="BREMEN"/>
    <s v="ATLÁNTICO"/>
    <s v="ATLÁNTICO"/>
    <s v="CARTAGENA"/>
    <s v="201503"/>
    <s v="6027583279121"/>
    <s v="ÚNICO"/>
    <s v="TRANSPORTE MARÍTIMO"/>
    <s v="CHIPRE"/>
    <s v="EXPORTACIONES DEFINITIVAS"/>
    <s v="EXPORTACIÓN DEFINITIVA DE MERCANCÍAS DE FABRICACIÓN Ó PRODUCCIÓN NACIONAL"/>
    <s v="NINGUNO"/>
    <s v="NO"/>
    <s v="Dólar de los Estados Unidos de América"/>
    <s v="CON REINTEGRO"/>
    <n v="1010"/>
    <n v="2576813"/>
    <n v="0"/>
    <n v="93.44"/>
    <n v="2.76"/>
    <n v="0"/>
    <s v="EUROPA"/>
  </r>
  <r>
    <n v="179"/>
    <n v="2015"/>
    <n v="3"/>
    <n v="27"/>
    <s v="2015"/>
    <s v="03"/>
    <s v="27"/>
    <s v="INICIAL"/>
    <s v="20150327"/>
    <s v="6007580355042"/>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35000"/>
    <n v="120.28"/>
    <n v="131.32"/>
    <n v="3"/>
    <x v="7"/>
    <s v="BREMEN"/>
    <s v="ATLÁNTICO"/>
    <s v="ATLÁNTICO"/>
    <s v="CARTAGENA"/>
    <s v="201503"/>
    <s v="6027583279121"/>
    <s v="ÚNICO"/>
    <s v="TRANSPORTE MARÍTIMO"/>
    <s v="CHIPRE"/>
    <s v="EXPORTACIONES DEFINITIVAS"/>
    <s v="EXPORTACIÓN DEFINITIVA DE MERCANCÍAS DE FABRICACIÓN Ó PRODUCCIÓN NACIONAL"/>
    <s v="NINGUNO"/>
    <s v="NO"/>
    <s v="Dólar de los Estados Unidos de América"/>
    <s v="CON REINTEGRO"/>
    <n v="3465"/>
    <n v="8840254.5"/>
    <n v="0"/>
    <n v="320.58"/>
    <n v="9.4600000000000009"/>
    <n v="0"/>
    <s v="EUROPA"/>
  </r>
  <r>
    <n v="180"/>
    <n v="2015"/>
    <n v="3"/>
    <n v="27"/>
    <s v="2015"/>
    <s v="03"/>
    <s v="27"/>
    <s v="INICIAL"/>
    <s v="20150327"/>
    <s v="6007580355042"/>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5000"/>
    <n v="19.22"/>
    <n v="20.98"/>
    <n v="4"/>
    <x v="7"/>
    <s v="BREMEN"/>
    <s v="ATLÁNTICO"/>
    <s v="ATLÁNTICO"/>
    <s v="CARTAGENA"/>
    <s v="201503"/>
    <s v="6027583279121"/>
    <s v="ÚNICO"/>
    <s v="TRANSPORTE MARÍTIMO"/>
    <s v="CHIPRE"/>
    <s v="EXPORTACIONES DEFINITIVAS"/>
    <s v="EXPORTACIÓN DEFINITIVA DE MERCANCÍAS DE FABRICACIÓN Ó PRODUCCIÓN NACIONAL"/>
    <s v="NINGUNO"/>
    <s v="NO"/>
    <s v="Dólar de los Estados Unidos de América"/>
    <s v="CON REINTEGRO"/>
    <n v="495"/>
    <n v="1262893.5"/>
    <n v="0"/>
    <n v="45.8"/>
    <n v="1.35"/>
    <n v="0"/>
    <s v="EUROPA"/>
  </r>
  <r>
    <n v="181"/>
    <n v="2015"/>
    <n v="3"/>
    <n v="27"/>
    <s v="2015"/>
    <s v="03"/>
    <s v="27"/>
    <s v="INICIAL"/>
    <s v="20150327"/>
    <s v="6007580355035"/>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4902909000"/>
    <s v="Los demás diarios y públicaciones periodicas, impresos, incluso ilustrados o con publicidad."/>
    <s v="UNIDADES"/>
    <n v="300"/>
    <n v="22.22"/>
    <n v="24.08"/>
    <n v="1"/>
    <x v="6"/>
    <s v="GENK"/>
    <s v="ATLÁNTICO"/>
    <s v="ATLÁNTICO"/>
    <s v="CARTAGENA"/>
    <s v="201503"/>
    <s v="6027583279019"/>
    <s v="ÚNICO"/>
    <s v="TRANSPORTE MARÍTIMO"/>
    <s v="CHIPRE"/>
    <s v="EXPORTACIONES DEFINITIVAS"/>
    <s v="EXPORTACION TEMPORAL PARA PERFECCIONAMIENTO PASIVO"/>
    <s v="NINGUNO"/>
    <s v="NO"/>
    <s v="Dólar de los Estados Unidos de América"/>
    <s v="SIN REINTEGRO"/>
    <n v="6"/>
    <n v="15307.8"/>
    <n v="0"/>
    <n v="0"/>
    <n v="0"/>
    <n v="0"/>
    <s v="EUROPA"/>
  </r>
  <r>
    <n v="182"/>
    <n v="2015"/>
    <n v="3"/>
    <n v="27"/>
    <s v="2015"/>
    <s v="03"/>
    <s v="27"/>
    <s v="INICIAL"/>
    <s v="20150327"/>
    <s v="6007580355042"/>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236000"/>
    <n v="428.62"/>
    <n v="467.96"/>
    <n v="1"/>
    <x v="7"/>
    <s v="BREMEN"/>
    <s v="ATLÁNTICO"/>
    <s v="ATLÁNTICO"/>
    <s v="CARTAGENA"/>
    <s v="201503"/>
    <s v="6027583279121"/>
    <s v="ÚNICO"/>
    <s v="TRANSPORTE MARÍTIMO"/>
    <s v="CHIPRE"/>
    <s v="EXPORTACIONES DEFINITIVAS"/>
    <s v="EXPORTACIÓN DEFINITIVA DE MERCANCÍAS DE FABRICACIÓN Ó PRODUCCIÓN NACIONAL"/>
    <s v="NINGUNO"/>
    <s v="NO"/>
    <s v="Dólar de los Estados Unidos de América"/>
    <s v="CON REINTEGRO"/>
    <n v="6487.2"/>
    <n v="16550793.359999999"/>
    <n v="0"/>
    <n v="600.17999999999995"/>
    <n v="17.72"/>
    <n v="0"/>
    <s v="EUROPA"/>
  </r>
  <r>
    <n v="183"/>
    <n v="2015"/>
    <n v="3"/>
    <n v="27"/>
    <s v="2015"/>
    <s v="03"/>
    <s v="27"/>
    <s v="INICIAL"/>
    <s v="20150327"/>
    <s v="600758039498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AI TO WIN IMP Y EXP CO. LTD"/>
    <s v="no.122 LANE 399 PU QUAN ROAD PU JIAN YI CHENG"/>
    <s v="9503009910"/>
    <s v="Globos de latex de caucho natural."/>
    <s v="UNIDADES"/>
    <n v="6571000"/>
    <n v="13133.6"/>
    <n v="14327.42"/>
    <n v="1"/>
    <x v="13"/>
    <s v="SHANGAI"/>
    <s v="ATLÁNTICO"/>
    <s v="ATLÁNTICO"/>
    <s v="BARRANQUILLA"/>
    <s v="201503"/>
    <s v="6027583447773"/>
    <s v="ÚNICO"/>
    <s v="TRANSPORTE MARÍTIMO"/>
    <s v="MARSHALL ISLAS"/>
    <s v="EXPORTACIONES DEFINITIVAS"/>
    <s v="EXPORTACIÓN DEFINITIVA DE MERCANCÍAS DE FABRICACIÓN Ó PRODUCCIÓN NACIONAL"/>
    <s v="NINGUNO"/>
    <s v="NO"/>
    <s v="Dólar de los Estados Unidos de América"/>
    <s v="CON REINTEGRO"/>
    <n v="165040"/>
    <n v="421066552"/>
    <n v="0"/>
    <n v="954.42"/>
    <n v="414.98"/>
    <n v="0"/>
    <s v="ASIA"/>
  </r>
  <r>
    <n v="184"/>
    <n v="2015"/>
    <n v="3"/>
    <n v="27"/>
    <s v="2015"/>
    <s v="03"/>
    <s v="27"/>
    <s v="INICIAL"/>
    <s v="20150327"/>
    <s v="600758039498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AI TO WIN IMP Y EXP CO. LTD"/>
    <s v="no.122 LANE 399 PU QUAN ROAD PU JIAN YI CHENG"/>
    <s v="9503009910"/>
    <s v="Globos de latex de caucho natural."/>
    <s v="UNIDADES"/>
    <n v="285000"/>
    <n v="586.45000000000005"/>
    <n v="639.76"/>
    <n v="2"/>
    <x v="13"/>
    <s v="SHANGAI"/>
    <s v="ATLÁNTICO"/>
    <s v="ATLÁNTICO"/>
    <s v="BARRANQUILLA"/>
    <s v="201503"/>
    <s v="6027583447773"/>
    <s v="ÚNICO"/>
    <s v="TRANSPORTE MARÍTIMO"/>
    <s v="MARSHALL ISLAS"/>
    <s v="EXPORTACIONES DEFINITIVAS"/>
    <s v="EXPORTACIÓN DEFINITIVA DE MERCANCÍAS DE FABRICACIÓN Ó PRODUCCIÓN NACIONAL"/>
    <s v="NINGUNO"/>
    <s v="NO"/>
    <s v="Dólar de los Estados Unidos de América"/>
    <s v="CON REINTEGRO"/>
    <n v="7881.5"/>
    <n v="20108070.949999999"/>
    <n v="0"/>
    <n v="45.58"/>
    <n v="19.82"/>
    <n v="0"/>
    <s v="ASIA"/>
  </r>
  <r>
    <n v="185"/>
    <n v="2015"/>
    <n v="3"/>
    <n v="27"/>
    <s v="2015"/>
    <s v="03"/>
    <s v="27"/>
    <s v="INICIAL"/>
    <s v="20150327"/>
    <s v="600758039499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AI TO WIN IMP Y EXP CO. LTD"/>
    <s v="no.122 LANE 399 PU QUAN ROAD PU JIAN YI CHENG"/>
    <s v="4911100000"/>
    <s v="Impresos publicitarios, catalogos comerciales y similares."/>
    <s v="KILOGRAMO"/>
    <n v="18.21"/>
    <n v="18.21"/>
    <n v="21"/>
    <n v="1"/>
    <x v="13"/>
    <s v="SHANGAI"/>
    <s v="ATLÁNTICO"/>
    <s v="ATLÁNTICO"/>
    <s v="BARRANQUILLA"/>
    <s v="201503"/>
    <s v="6027583447838"/>
    <s v="ÚNICO"/>
    <s v="TRANSPORTE MARÍTIMO"/>
    <s v="MARSHALL ISLAS"/>
    <s v="EXPORTACIONES DEFINITIVAS"/>
    <s v="EXPORTACION TEMPORAL PARA PERFECCIONAMIENTO PASIVO"/>
    <s v="NINGUNO"/>
    <s v="NO"/>
    <s v="Dólar de los Estados Unidos de América"/>
    <s v="SIN REINTEGRO"/>
    <n v="3.75"/>
    <n v="9567.3799999999992"/>
    <n v="0"/>
    <n v="0"/>
    <n v="0"/>
    <n v="0"/>
    <s v="ASIA"/>
  </r>
  <r>
    <n v="186"/>
    <n v="2015"/>
    <n v="3"/>
    <n v="27"/>
    <s v="2015"/>
    <s v="03"/>
    <s v="27"/>
    <s v="INICIAL"/>
    <s v="20150327"/>
    <s v="600758039500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TIBAS, DEL ICE 100 NORTE Y 25 ESTE A MANO IZQUIERDA, BODEGA DEL FONDO CON PUERT"/>
    <s v="9503009910"/>
    <s v="Globos de latex de caucho natural."/>
    <s v="UNIDADES"/>
    <n v="772820"/>
    <n v="1674.46"/>
    <n v="1815.95"/>
    <n v="1"/>
    <x v="3"/>
    <s v="TIBAS-SAN"/>
    <s v="ATLÁNTICO"/>
    <s v="ATLÁNTICO"/>
    <s v="BARRANQUILLA"/>
    <s v="201503"/>
    <s v="6027583448456"/>
    <s v="ÚNICO"/>
    <s v="TRANSPORTE MARÍTIMO"/>
    <s v="MARSHALL ISLAS"/>
    <s v="EXPORTACIONES DEFINITIVAS"/>
    <s v="EXPORTACIÓN DEFINITIVA DE MERCANCÍAS DE FABRICACIÓN Ó PRODUCCIÓN NACIONAL"/>
    <s v="ALADI"/>
    <s v="NO"/>
    <s v="Dólar de los Estados Unidos de América"/>
    <s v="CON REINTEGRO"/>
    <n v="25445"/>
    <n v="64917828.5"/>
    <n v="0"/>
    <n v="0"/>
    <n v="0"/>
    <n v="0"/>
    <s v="AMÉRICA"/>
  </r>
  <r>
    <n v="187"/>
    <n v="2015"/>
    <n v="3"/>
    <n v="27"/>
    <s v="2015"/>
    <s v="03"/>
    <s v="27"/>
    <s v="INICIAL"/>
    <s v="20150327"/>
    <s v="600758039500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TIBAS, DEL ICE 100 NORTE Y 25 ESTE A MANO IZQUIERDA, BODEGA DEL FONDO CON PUERT"/>
    <s v="9503009910"/>
    <s v="Globos de latex de caucho natural."/>
    <s v="UNIDADES"/>
    <n v="120900"/>
    <n v="247.27"/>
    <n v="268.16000000000003"/>
    <n v="2"/>
    <x v="3"/>
    <s v="TIBAS-SAN"/>
    <s v="ATLÁNTICO"/>
    <s v="ATLÁNTICO"/>
    <s v="BARRANQUILLA"/>
    <s v="201503"/>
    <s v="6027583448456"/>
    <s v="ÚNICO"/>
    <s v="TRANSPORTE MARÍTIMO"/>
    <s v="MARSHALL ISLAS"/>
    <s v="EXPORTACIONES DEFINITIVAS"/>
    <s v="EXPORTACIÓN DEFINITIVA DE MERCANCÍAS DE FABRICACIÓN Ó PRODUCCIÓN NACIONAL"/>
    <s v="ALADI"/>
    <s v="NO"/>
    <s v="Dólar de los Estados Unidos de América"/>
    <s v="CON REINTEGRO"/>
    <n v="4813.3"/>
    <n v="12280172.289999999"/>
    <n v="0"/>
    <n v="0"/>
    <n v="0"/>
    <n v="0"/>
    <s v="AMÉRICA"/>
  </r>
  <r>
    <n v="188"/>
    <n v="2015"/>
    <n v="3"/>
    <n v="27"/>
    <s v="2015"/>
    <s v="03"/>
    <s v="27"/>
    <s v="INICIAL"/>
    <s v="20150327"/>
    <s v="600758039500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TIBAS, DEL ICE 100 NORTE Y 25 ESTE A MANO IZQUIERDA, BODEGA DEL FONDO CON PUERT"/>
    <s v="9503009910"/>
    <s v="Globos de latex de caucho natural."/>
    <s v="UNIDADES"/>
    <n v="173475"/>
    <n v="694.64"/>
    <n v="753.34"/>
    <n v="3"/>
    <x v="3"/>
    <s v="TIBAS-SAN"/>
    <s v="ATLÁNTICO"/>
    <s v="ATLÁNTICO"/>
    <s v="BARRANQUILLA"/>
    <s v="201503"/>
    <s v="6027583448456"/>
    <s v="ÚNICO"/>
    <s v="TRANSPORTE MARÍTIMO"/>
    <s v="MARSHALL ISLAS"/>
    <s v="EXPORTACIONES DEFINITIVAS"/>
    <s v="EXPORTACIÓN DEFINITIVA DE MERCANCÍAS DE FABRICACIÓN Ó PRODUCCIÓN NACIONAL"/>
    <s v="ALADI"/>
    <s v="NO"/>
    <s v="Dólar de los Estados Unidos de América"/>
    <s v="CON REINTEGRO"/>
    <n v="18327.45"/>
    <n v="46758823.189999998"/>
    <n v="0"/>
    <n v="0"/>
    <n v="0"/>
    <n v="0"/>
    <s v="AMÉRICA"/>
  </r>
  <r>
    <n v="189"/>
    <n v="2015"/>
    <n v="3"/>
    <n v="27"/>
    <s v="2015"/>
    <s v="03"/>
    <s v="27"/>
    <s v="INICIAL"/>
    <s v="20150327"/>
    <s v="600758039500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TIBAS, DEL ICE 100 NORTE Y 25 ESTE A MANO IZQUIERDA, BODEGA DEL FONDO CON PUERT"/>
    <s v="9503009910"/>
    <s v="Globos de latex de caucho natural."/>
    <s v="UNIDADES"/>
    <n v="7200"/>
    <n v="36.049999999999997"/>
    <n v="39.1"/>
    <n v="4"/>
    <x v="3"/>
    <s v="TIBAS-SAN"/>
    <s v="ATLÁNTICO"/>
    <s v="ATLÁNTICO"/>
    <s v="BARRANQUILLA"/>
    <s v="201503"/>
    <s v="6027583448456"/>
    <s v="ÚNICO"/>
    <s v="TRANSPORTE MARÍTIMO"/>
    <s v="MARSHALL ISLAS"/>
    <s v="EXPORTACIONES DEFINITIVAS"/>
    <s v="EXPORTACIÓN DEFINITIVA DE MERCANCÍAS DE FABRICACIÓN Ó PRODUCCIÓN NACIONAL"/>
    <s v="ALADI"/>
    <s v="NO"/>
    <s v="Dólar de los Estados Unidos de América"/>
    <s v="CON REINTEGRO"/>
    <n v="787.8"/>
    <n v="2009914.14"/>
    <n v="0"/>
    <n v="0"/>
    <n v="0"/>
    <n v="0"/>
    <s v="AMÉRICA"/>
  </r>
  <r>
    <n v="190"/>
    <n v="2015"/>
    <n v="3"/>
    <n v="27"/>
    <s v="2015"/>
    <s v="03"/>
    <s v="27"/>
    <s v="INICIAL"/>
    <s v="20150327"/>
    <s v="600758039501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TIBAS, DEL ICE 100 NORTE Y 25 ESTE A MANO IZQUIERDA, BODEGA DEL FONDO CON PUERT"/>
    <s v="8414200000"/>
    <s v="Bombas de aire, de mano o pedal."/>
    <s v="UNIDADES"/>
    <n v="3"/>
    <n v="5.99"/>
    <n v="7.08"/>
    <n v="1"/>
    <x v="3"/>
    <s v="TIBAS-SAN"/>
    <s v="ATLÁNTICO"/>
    <s v="ATLÁNTICO"/>
    <s v="BARRANQUILLA"/>
    <s v="201503"/>
    <s v="6027583448804"/>
    <s v="ÚNICO"/>
    <s v="TRANSPORTE MARÍTIMO"/>
    <s v="MARSHALL ISLAS"/>
    <s v="EXPORTACIONES DEFINITIVAS"/>
    <s v="EXPORTACIÓN DEFINITIVA DE MERCANCÍAS DE FABRICACIÓN Ó PRODUCCIÓN NACIONAL"/>
    <s v="ALADI"/>
    <s v="NO"/>
    <s v="Dólar de los Estados Unidos de América"/>
    <s v="CON REINTEGRO"/>
    <n v="385.2"/>
    <n v="982760.76"/>
    <n v="0"/>
    <n v="0"/>
    <n v="0"/>
    <n v="0"/>
    <s v="AMÉRICA"/>
  </r>
  <r>
    <n v="191"/>
    <n v="2015"/>
    <n v="3"/>
    <n v="27"/>
    <s v="2015"/>
    <s v="03"/>
    <s v="27"/>
    <s v="INICIAL"/>
    <s v="20150327"/>
    <s v="600758039501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TIBAS, DEL ICE 100 NORTE Y 25 ESTE A MANO IZQUIERDA, BODEGA DEL FONDO CON PUERT"/>
    <s v="8414802100"/>
    <s v="Los demás compresores  de potencia inferior a 30 kw (40 hp), para vehículos automóviles."/>
    <s v="UNIDADES"/>
    <n v="8"/>
    <n v="21.08"/>
    <n v="24.92"/>
    <n v="2"/>
    <x v="3"/>
    <s v="TIBAS-SAN"/>
    <s v="ATLÁNTICO"/>
    <s v="ATLÁNTICO"/>
    <s v="BARRANQUILLA"/>
    <s v="201503"/>
    <s v="6027583448804"/>
    <s v="ÚNICO"/>
    <s v="TRANSPORTE MARÍTIMO"/>
    <s v="MARSHALL ISLAS"/>
    <s v="EXPORTACIONES DEFINITIVAS"/>
    <s v="EXPORTACIÓN DEFINITIVA DE MERCANCÍAS DE FABRICACIÓN Ó PRODUCCIÓN NACIONAL"/>
    <s v="ALADI"/>
    <s v="NO"/>
    <s v="Dólar de los Estados Unidos de América"/>
    <s v="CON REINTEGRO"/>
    <n v="399.44"/>
    <n v="1019091.27"/>
    <n v="0"/>
    <n v="0"/>
    <n v="0"/>
    <n v="0"/>
    <s v="AMÉRICA"/>
  </r>
  <r>
    <n v="192"/>
    <n v="2015"/>
    <n v="3"/>
    <n v="27"/>
    <s v="2015"/>
    <s v="03"/>
    <s v="27"/>
    <s v="INICIAL"/>
    <s v="20150327"/>
    <s v="600758039501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TIBAS, DEL ICE 100 NORTE Y 25 ESTE A MANO IZQUIERDA, BODEGA DEL FONDO CON PUERT"/>
    <s v="3926909090"/>
    <s v="Las demás manufacturas de plástico y manufacturas de las demás materias de las partidas 39.01 a 39.14."/>
    <s v="UNIDADES"/>
    <n v="500"/>
    <n v="5.16"/>
    <n v="6.1"/>
    <n v="3"/>
    <x v="3"/>
    <s v="TIBAS-SAN"/>
    <s v="ATLÁNTICO"/>
    <s v="ATLÁNTICO"/>
    <s v="BARRANQUILLA"/>
    <s v="201503"/>
    <s v="6027583448804"/>
    <s v="ÚNICO"/>
    <s v="TRANSPORTE MARÍTIMO"/>
    <s v="MARSHALL ISLAS"/>
    <s v="EXPORTACIONES DEFINITIVAS"/>
    <s v="EXPORTACIÓN DEFINITIVA DE MERCANCÍAS DE FABRICACIÓN Ó PRODUCCIÓN NACIONAL"/>
    <s v="ALADI"/>
    <s v="NO"/>
    <s v="Dólar de los Estados Unidos de América"/>
    <s v="CON REINTEGRO"/>
    <n v="115"/>
    <n v="293399.5"/>
    <n v="0"/>
    <n v="0"/>
    <n v="0"/>
    <n v="0"/>
    <s v="AMÉRICA"/>
  </r>
  <r>
    <n v="193"/>
    <n v="2015"/>
    <n v="3"/>
    <n v="31"/>
    <s v="2015"/>
    <s v="03"/>
    <s v="31"/>
    <s v="INICIAL"/>
    <s v="20150331"/>
    <s v="600758058890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1582000"/>
    <n v="3709.2"/>
    <n v="4026.23"/>
    <n v="2"/>
    <x v="0"/>
    <s v="YEKATERINBURG"/>
    <s v="ATLÁNTICO"/>
    <s v="ATLÁNTICO"/>
    <s v="CARTAGENA"/>
    <s v="201503"/>
    <s v="6027582988316"/>
    <s v="ÚNICO"/>
    <s v="TRANSPORTE MARÍTIMO"/>
    <s v="ALEMANIA"/>
    <s v="EXPORTACIONES DEFINITIVAS"/>
    <s v="LAS DEMÁS EXPORTACIONES DEFINITIVAS NO INCLUIDAS EN LOS ÍTEMS ANTERIORES"/>
    <s v="NINGUNO"/>
    <s v="NO"/>
    <s v="Dólar de los Estados Unidos de América"/>
    <s v="CON REINTEGRO"/>
    <n v="55189.4"/>
    <n v="142170653.87"/>
    <n v="0"/>
    <n v="0"/>
    <n v="0"/>
    <n v="0"/>
    <s v="ASIA"/>
  </r>
  <r>
    <n v="194"/>
    <n v="2015"/>
    <n v="3"/>
    <n v="31"/>
    <s v="2015"/>
    <s v="03"/>
    <s v="31"/>
    <s v="INICIAL"/>
    <s v="20150331"/>
    <s v="600758058895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2394500"/>
    <n v="5491.89"/>
    <n v="5965.99"/>
    <n v="1"/>
    <x v="0"/>
    <s v="YEKATERINBURG"/>
    <s v="ATLÁNTICO"/>
    <s v="ATLÁNTICO"/>
    <s v="CARTAGENA"/>
    <s v="201503"/>
    <s v="6027583273589"/>
    <s v="ÚNICO"/>
    <s v="TRANSPORTE MARÍTIMO"/>
    <s v="ALEMANIA"/>
    <s v="EXPORTACIONES DEFINITIVAS"/>
    <s v="EXPORTACIÓN DEFINITIVA DE MERCANCÍAS DE FABRICACIÓN Ó PRODUCCIÓN NACIONAL"/>
    <s v="NINGUNO"/>
    <s v="NO"/>
    <s v="Dólar de los Estados Unidos de América"/>
    <s v="CON REINTEGRO"/>
    <n v="76330.7"/>
    <n v="196631699.74000001"/>
    <n v="0"/>
    <n v="0"/>
    <n v="0"/>
    <n v="0"/>
    <s v="ASIA"/>
  </r>
  <r>
    <n v="195"/>
    <n v="2015"/>
    <n v="3"/>
    <n v="31"/>
    <s v="2015"/>
    <s v="03"/>
    <s v="31"/>
    <s v="INICIAL"/>
    <s v="20150331"/>
    <s v="600758058895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222000"/>
    <n v="456.42"/>
    <n v="495.82"/>
    <n v="2"/>
    <x v="0"/>
    <s v="YEKATERINBURG"/>
    <s v="ATLÁNTICO"/>
    <s v="ATLÁNTICO"/>
    <s v="CARTAGENA"/>
    <s v="201503"/>
    <s v="6027583273589"/>
    <s v="ÚNICO"/>
    <s v="TRANSPORTE MARÍTIMO"/>
    <s v="ALEMANIA"/>
    <s v="EXPORTACIONES DEFINITIVAS"/>
    <s v="EXPORTACIÓN DEFINITIVA DE MERCANCÍAS DE FABRICACIÓN Ó PRODUCCIÓN NACIONAL"/>
    <s v="NINGUNO"/>
    <s v="NO"/>
    <s v="Dólar de los Estados Unidos de América"/>
    <s v="CON REINTEGRO"/>
    <n v="7050.2"/>
    <n v="18161667.710000001"/>
    <n v="0"/>
    <n v="0"/>
    <n v="0"/>
    <n v="0"/>
    <s v="ASIA"/>
  </r>
  <r>
    <n v="196"/>
    <n v="2015"/>
    <n v="3"/>
    <n v="31"/>
    <s v="2015"/>
    <s v="03"/>
    <s v="31"/>
    <s v="INICIAL"/>
    <s v="20150331"/>
    <s v="600758058895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1855500"/>
    <n v="6539.9"/>
    <n v="7104.47"/>
    <n v="3"/>
    <x v="0"/>
    <s v="YEKATERINBURG"/>
    <s v="ATLÁNTICO"/>
    <s v="ATLÁNTICO"/>
    <s v="CARTAGENA"/>
    <s v="201503"/>
    <s v="6027583273589"/>
    <s v="ÚNICO"/>
    <s v="TRANSPORTE MARÍTIMO"/>
    <s v="ALEMANIA"/>
    <s v="EXPORTACIONES DEFINITIVAS"/>
    <s v="EXPORTACIÓN DEFINITIVA DE MERCANCÍAS DE FABRICACIÓN Ó PRODUCCIÓN NACIONAL"/>
    <s v="NINGUNO"/>
    <s v="NO"/>
    <s v="Dólar de los Estados Unidos de América"/>
    <s v="CON REINTEGRO"/>
    <n v="165080.4"/>
    <n v="425255364.42000002"/>
    <n v="0"/>
    <n v="0"/>
    <n v="0"/>
    <n v="0"/>
    <s v="ASIA"/>
  </r>
  <r>
    <n v="197"/>
    <n v="2015"/>
    <n v="3"/>
    <n v="31"/>
    <s v="2015"/>
    <s v="03"/>
    <s v="31"/>
    <s v="INICIAL"/>
    <s v="20150331"/>
    <s v="600758058895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528000"/>
    <n v="1980"/>
    <n v="2150.9299999999998"/>
    <n v="4"/>
    <x v="0"/>
    <s v="YEKATERINBURG"/>
    <s v="ATLÁNTICO"/>
    <s v="ATLÁNTICO"/>
    <s v="CARTAGENA"/>
    <s v="201503"/>
    <s v="6027583273589"/>
    <s v="ÚNICO"/>
    <s v="TRANSPORTE MARÍTIMO"/>
    <s v="ALEMANIA"/>
    <s v="EXPORTACIONES DEFINITIVAS"/>
    <s v="EXPORTACIÓN DEFINITIVA DE MERCANCÍAS DE FABRICACIÓN Ó PRODUCCIÓN NACIONAL"/>
    <s v="NINGUNO"/>
    <s v="NO"/>
    <s v="Dólar de los Estados Unidos de América"/>
    <s v="CON REINTEGRO"/>
    <n v="48279"/>
    <n v="124369117.95"/>
    <n v="0"/>
    <n v="0"/>
    <n v="0"/>
    <n v="0"/>
    <s v="ASIA"/>
  </r>
  <r>
    <n v="198"/>
    <n v="2015"/>
    <n v="3"/>
    <n v="31"/>
    <s v="2015"/>
    <s v="03"/>
    <s v="31"/>
    <s v="INICIAL"/>
    <s v="20150331"/>
    <s v="6007580588963"/>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4911100000"/>
    <s v="Impresos publicitarios, catalogos comerciales y similares."/>
    <s v="KILOGRAMO"/>
    <n v="6.27"/>
    <n v="6.27"/>
    <n v="7.2"/>
    <n v="1"/>
    <x v="0"/>
    <s v="YEKATERINBURG"/>
    <s v="ATLÁNTICO"/>
    <s v="ATLÁNTICO"/>
    <s v="CARTAGENA"/>
    <s v="201503"/>
    <s v="6027583274096"/>
    <s v="ÚNICO"/>
    <s v="TRANSPORTE MARÍTIMO"/>
    <s v="ALEMANIA"/>
    <s v="EXPORTACIONES DEFINITIVAS"/>
    <s v="EXPORTACION TEMPORAL PARA PERFECCIONAMIENTO PASIVO"/>
    <s v="NINGUNO"/>
    <s v="NO"/>
    <s v="Dólar de los Estados Unidos de América"/>
    <s v="SIN REINTEGRO"/>
    <n v="1.25"/>
    <n v="3220.06"/>
    <n v="0"/>
    <n v="0"/>
    <n v="0"/>
    <n v="0"/>
    <s v="ASIA"/>
  </r>
  <r>
    <n v="199"/>
    <n v="2015"/>
    <n v="3"/>
    <n v="31"/>
    <s v="2015"/>
    <s v="03"/>
    <s v="31"/>
    <s v="INICIAL"/>
    <s v="20150331"/>
    <s v="600758058890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5604000"/>
    <n v="10914.72"/>
    <n v="11847.61"/>
    <n v="1"/>
    <x v="0"/>
    <s v="YEKATERINBURG"/>
    <s v="ATLÁNTICO"/>
    <s v="ATLÁNTICO"/>
    <s v="CARTAGENA"/>
    <s v="201503"/>
    <s v="6027582988316"/>
    <s v="ÚNICO"/>
    <s v="TRANSPORTE MARÍTIMO"/>
    <s v="ALEMANIA"/>
    <s v="EXPORTACIONES DEFINITIVAS"/>
    <s v="LAS DEMÁS EXPORTACIONES DEFINITIVAS NO INCLUIDAS EN LOS ÍTEMS ANTERIORES"/>
    <s v="NINGUNO"/>
    <s v="NO"/>
    <s v="Dólar de los Estados Unidos de América"/>
    <s v="CON REINTEGRO"/>
    <n v="165469"/>
    <n v="426256417.44999999"/>
    <n v="0"/>
    <n v="0"/>
    <n v="0"/>
    <n v="0"/>
    <s v="ASIA"/>
  </r>
  <r>
    <n v="200"/>
    <n v="2015"/>
    <n v="4"/>
    <n v="6"/>
    <s v="2015"/>
    <s v="04"/>
    <s v="06"/>
    <s v="INICIAL"/>
    <s v="20150406"/>
    <s v="6007580625538"/>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DISTRIBUIDORA G DE P"/>
    <s v="CALLE 70 Y AVENIDA TERCERA SAN FRANCISCO"/>
    <s v="4823690000"/>
    <s v="Las demás bandejas, fuentes, platos, tazas, vasos y artículos similares, de papel o cartón."/>
    <s v="KILOGRAMO"/>
    <n v="35.979999999999997"/>
    <n v="35.979999999999997"/>
    <n v="38.75"/>
    <n v="1"/>
    <x v="11"/>
    <s v="PANAMA"/>
    <s v="ATLÁNTICO"/>
    <s v="ATLÁNTICO"/>
    <s v="BARRANQUILLA"/>
    <s v="201503"/>
    <s v="6027584160515"/>
    <s v="ÚNICO"/>
    <s v="TRANSPORTE AÉREO"/>
    <s v="PANAMÁ"/>
    <s v="EXPORTACIONES DEFINITIVAS"/>
    <s v="EXPORTACIÓN DEFINITIVA DE MERCANCÍAS DE FABRICACIÓN Ó PRODUCCIÓN NACIONAL"/>
    <s v="NINGUNO"/>
    <s v="NO"/>
    <s v="Dólar de los Estados Unidos de América"/>
    <s v="CON REINTEGRO"/>
    <n v="180"/>
    <n v="463753.8"/>
    <n v="0"/>
    <n v="10.74"/>
    <n v="0.6"/>
    <n v="0"/>
    <s v="AMÉRICA"/>
  </r>
  <r>
    <n v="201"/>
    <n v="2015"/>
    <n v="4"/>
    <n v="6"/>
    <s v="2015"/>
    <s v="04"/>
    <s v="06"/>
    <s v="INICIAL"/>
    <s v="20150406"/>
    <s v="6007580625538"/>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DISTRIBUIDORA G DE P"/>
    <s v="CALLE 70 Y AVENIDA TERCERA SAN FRANCISCO"/>
    <s v="9503009910"/>
    <s v="Globos de latex de caucho natural."/>
    <s v="UNIDADES"/>
    <n v="298860"/>
    <n v="828.48"/>
    <n v="892.25"/>
    <n v="2"/>
    <x v="11"/>
    <s v="PANAMA"/>
    <s v="ATLÁNTICO"/>
    <s v="ATLÁNTICO"/>
    <s v="BARRANQUILLA"/>
    <s v="201503"/>
    <s v="6027584160515"/>
    <s v="ÚNICO"/>
    <s v="TRANSPORTE AÉREO"/>
    <s v="PANAMÁ"/>
    <s v="EXPORTACIONES DEFINITIVAS"/>
    <s v="EXPORTACIÓN DEFINITIVA DE MERCANCÍAS DE FABRICACIÓN Ó PRODUCCIÓN NACIONAL"/>
    <s v="NINGUNO"/>
    <s v="NO"/>
    <s v="Dólar de los Estados Unidos de América"/>
    <s v="CON REINTEGRO"/>
    <n v="16191.8"/>
    <n v="41716715.439999998"/>
    <n v="0"/>
    <n v="966.43"/>
    <n v="54.23"/>
    <n v="0"/>
    <s v="AMÉRICA"/>
  </r>
  <r>
    <n v="202"/>
    <n v="2015"/>
    <n v="4"/>
    <n v="10"/>
    <s v="2015"/>
    <s v="04"/>
    <s v="10"/>
    <s v="INICIAL"/>
    <s v="20150410"/>
    <s v="600758066760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UR TRADING INTERNACIONAL S.A."/>
    <s v="ZONA LIBRE DE COLON"/>
    <s v="9503009910"/>
    <s v="Globos de latex de caucho natural."/>
    <s v="UNIDADES"/>
    <n v="731500"/>
    <n v="2022.23"/>
    <n v="2188.34"/>
    <n v="2"/>
    <x v="11"/>
    <s v="PANAMA"/>
    <s v="ATLÁNTICO"/>
    <s v="ATLÁNTICO"/>
    <s v="BARRANQUILLA"/>
    <s v="201504"/>
    <s v="6027583773418"/>
    <s v="ÚNICO"/>
    <s v="TRANSPORTE MARÍTIMO"/>
    <s v="PANAMÁ"/>
    <s v="EXPORTACIONES DEFINITIVAS"/>
    <s v="EXPORTACIÓN DEFINITIVA DE MERCANCÍAS DE FABRICACIÓN Ó PRODUCCIÓN NACIONAL"/>
    <s v="ALADI"/>
    <s v="NO"/>
    <s v="Dólar de los Estados Unidos de América"/>
    <s v="CON REINTEGRO"/>
    <n v="19383.099999999999"/>
    <n v="48356376.390000001"/>
    <n v="0"/>
    <n v="67.7"/>
    <n v="48.63"/>
    <n v="0"/>
    <s v="AMÉRICA"/>
  </r>
  <r>
    <n v="203"/>
    <n v="2015"/>
    <n v="4"/>
    <n v="10"/>
    <s v="2015"/>
    <s v="04"/>
    <s v="10"/>
    <s v="INICIAL"/>
    <s v="20150410"/>
    <s v="600758066759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UR TRADING INTERNACIONAL S.A."/>
    <s v="ZONA LIBRE DE COLON"/>
    <s v="9503009910"/>
    <s v="Globos de latex de caucho natural."/>
    <s v="UNIDADES"/>
    <n v="21000"/>
    <n v="70.790000000000006"/>
    <n v="77.3"/>
    <n v="1"/>
    <x v="11"/>
    <s v="PANAMA"/>
    <s v="ATLÁNTICO"/>
    <s v="ATLÁNTICO"/>
    <s v="BARRANQUILLA"/>
    <s v="201504"/>
    <s v="6027583772309"/>
    <s v="ÚNICO"/>
    <s v="TRANSPORTE MARÍTIMO"/>
    <s v="PANAMÁ"/>
    <s v="EXPORTACIONES DEFINITIVAS"/>
    <s v="EXPORTACIÓN DEFINITIVA DE MERCANCÍAS DE FABRICACIÓN Ó PRODUCCIÓN NACIONAL"/>
    <s v="ALADI"/>
    <s v="NO"/>
    <s v="Dólar de los Estados Unidos de América"/>
    <s v="CON REINTEGRO"/>
    <n v="1801.8"/>
    <n v="4495076.59"/>
    <n v="0"/>
    <n v="100"/>
    <n v="12"/>
    <n v="0"/>
    <s v="AMÉRICA"/>
  </r>
  <r>
    <n v="204"/>
    <n v="2015"/>
    <n v="4"/>
    <n v="10"/>
    <s v="2015"/>
    <s v="04"/>
    <s v="10"/>
    <s v="INICIAL"/>
    <s v="20150410"/>
    <s v="600758066760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UR TRADING INTERNACIONAL S.A."/>
    <s v="ZONA LIBRE DE COLON"/>
    <s v="9503009910"/>
    <s v="Globos de latex de caucho natural."/>
    <s v="UNIDADES"/>
    <n v="3857800"/>
    <n v="8686.89"/>
    <n v="9400.44"/>
    <n v="1"/>
    <x v="11"/>
    <s v="PANAMA"/>
    <s v="ATLÁNTICO"/>
    <s v="ATLÁNTICO"/>
    <s v="BARRANQUILLA"/>
    <s v="201504"/>
    <s v="6027583773418"/>
    <s v="ÚNICO"/>
    <s v="TRANSPORTE MARÍTIMO"/>
    <s v="PANAMÁ"/>
    <s v="EXPORTACIONES DEFINITIVAS"/>
    <s v="EXPORTACIÓN DEFINITIVA DE MERCANCÍAS DE FABRICACIÓN Ó PRODUCCIÓN NACIONAL"/>
    <s v="ALADI"/>
    <s v="NO"/>
    <s v="Dólar de los Estados Unidos de América"/>
    <s v="CON REINTEGRO"/>
    <n v="78324.7"/>
    <n v="195402111.81999999"/>
    <n v="0"/>
    <n v="273.55"/>
    <n v="196.5"/>
    <n v="0"/>
    <s v="AMÉRICA"/>
  </r>
  <r>
    <n v="205"/>
    <n v="2015"/>
    <n v="4"/>
    <n v="10"/>
    <s v="2015"/>
    <s v="04"/>
    <s v="10"/>
    <s v="INICIAL"/>
    <s v="20150410"/>
    <s v="600758066760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UR TRADING INTERNACIONAL S.A."/>
    <s v="ZONA LIBRE DE COLON"/>
    <s v="9503009910"/>
    <s v="Globos de latex de caucho natural."/>
    <s v="UNIDADES"/>
    <n v="630700"/>
    <n v="3255.83"/>
    <n v="3523.27"/>
    <n v="3"/>
    <x v="11"/>
    <s v="PANAMA"/>
    <s v="ATLÁNTICO"/>
    <s v="ATLÁNTICO"/>
    <s v="BARRANQUILLA"/>
    <s v="201504"/>
    <s v="6027583773418"/>
    <s v="ÚNICO"/>
    <s v="TRANSPORTE MARÍTIMO"/>
    <s v="PANAMÁ"/>
    <s v="EXPORTACIONES DEFINITIVAS"/>
    <s v="EXPORTACIÓN DEFINITIVA DE MERCANCÍAS DE FABRICACIÓN Ó PRODUCCIÓN NACIONAL"/>
    <s v="ALADI"/>
    <s v="NO"/>
    <s v="Dólar de los Estados Unidos de América"/>
    <s v="CON REINTEGRO"/>
    <n v="56565.9"/>
    <n v="141118910.34"/>
    <n v="0"/>
    <n v="197.56"/>
    <n v="141.91"/>
    <n v="0"/>
    <s v="AMÉRICA"/>
  </r>
  <r>
    <n v="206"/>
    <n v="2015"/>
    <n v="4"/>
    <n v="10"/>
    <s v="2015"/>
    <s v="04"/>
    <s v="10"/>
    <s v="INICIAL"/>
    <s v="20150410"/>
    <s v="600758066760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UR TRADING INTERNACIONAL S.A."/>
    <s v="ZONA LIBRE DE COLON"/>
    <s v="9503009910"/>
    <s v="Globos de latex de caucho natural."/>
    <s v="UNIDADES"/>
    <n v="300400"/>
    <n v="1138.6099999999999"/>
    <n v="1232.1400000000001"/>
    <n v="4"/>
    <x v="11"/>
    <s v="PANAMA"/>
    <s v="ATLÁNTICO"/>
    <s v="ATLÁNTICO"/>
    <s v="BARRANQUILLA"/>
    <s v="201504"/>
    <s v="6027583773418"/>
    <s v="ÚNICO"/>
    <s v="TRANSPORTE MARÍTIMO"/>
    <s v="PANAMÁ"/>
    <s v="EXPORTACIONES DEFINITIVAS"/>
    <s v="EXPORTACIÓN DEFINITIVA DE MERCANCÍAS DE FABRICACIÓN Ó PRODUCCIÓN NACIONAL"/>
    <s v="ALADI"/>
    <s v="NO"/>
    <s v="Dólar de los Estados Unidos de América"/>
    <s v="CON REINTEGRO"/>
    <n v="17520.8"/>
    <n v="43710366.219999999"/>
    <n v="0"/>
    <n v="61.19"/>
    <n v="43.96"/>
    <n v="0"/>
    <s v="AMÉRICA"/>
  </r>
  <r>
    <n v="207"/>
    <n v="2015"/>
    <n v="4"/>
    <n v="16"/>
    <s v="2015"/>
    <s v="04"/>
    <s v="16"/>
    <s v="INICIAL"/>
    <s v="20150416"/>
    <s v="6007581153247"/>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46000"/>
    <n v="177.1"/>
    <n v="190.52"/>
    <n v="1"/>
    <x v="7"/>
    <s v="BREMEN"/>
    <s v="ATLÁNTICO"/>
    <s v="ATLÁNTICO"/>
    <s v="CARTAGENA"/>
    <s v="201504"/>
    <s v="6027583765165"/>
    <s v="ÚNICO"/>
    <s v="TRANSPORTE MARÍTIMO"/>
    <s v="LIBERIA"/>
    <s v="EXPORTACIONES DEFINITIVAS"/>
    <s v="EXPORTACIÓN DEFINITIVA DE MERCANCÍAS DE FABRICACIÓN Ó PRODUCCIÓN NACIONAL"/>
    <s v="NINGUNO"/>
    <s v="NO"/>
    <s v="Dólar de los Estados Unidos de América"/>
    <s v="CON REINTEGRO"/>
    <n v="3795.5"/>
    <n v="9620188.1699999999"/>
    <n v="0"/>
    <n v="348.87"/>
    <n v="10.36"/>
    <n v="0"/>
    <s v="EUROPA"/>
  </r>
  <r>
    <n v="208"/>
    <n v="2015"/>
    <n v="4"/>
    <n v="16"/>
    <s v="2015"/>
    <s v="04"/>
    <s v="16"/>
    <s v="INICIAL"/>
    <s v="20150416"/>
    <s v="6007581153247"/>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90000"/>
    <n v="305.77999999999997"/>
    <n v="328.96"/>
    <n v="2"/>
    <x v="7"/>
    <s v="BREMEN"/>
    <s v="ATLÁNTICO"/>
    <s v="ATLÁNTICO"/>
    <s v="CARTAGENA"/>
    <s v="201504"/>
    <s v="6027583765165"/>
    <s v="ÚNICO"/>
    <s v="TRANSPORTE MARÍTIMO"/>
    <s v="LIBERIA"/>
    <s v="EXPORTACIONES DEFINITIVAS"/>
    <s v="EXPORTACIÓN DEFINITIVA DE MERCANCÍAS DE FABRICACIÓN Ó PRODUCCIÓN NACIONAL"/>
    <s v="NINGUNO"/>
    <s v="NO"/>
    <s v="Dólar de los Estados Unidos de América"/>
    <s v="CON REINTEGRO"/>
    <n v="8933.5"/>
    <n v="22643117.109999999"/>
    <n v="0"/>
    <n v="821.13"/>
    <n v="24.39"/>
    <n v="0"/>
    <s v="EUROPA"/>
  </r>
  <r>
    <n v="209"/>
    <n v="2015"/>
    <n v="4"/>
    <n v="16"/>
    <s v="2015"/>
    <s v="04"/>
    <s v="16"/>
    <s v="INICIAL"/>
    <s v="20150416"/>
    <s v="600758115323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1277500"/>
    <n v="3416.03"/>
    <n v="3682.02"/>
    <n v="1"/>
    <x v="6"/>
    <s v="GENK"/>
    <s v="ATLÁNTICO"/>
    <s v="ATLÁNTICO"/>
    <s v="CARTAGENA"/>
    <s v="201504"/>
    <s v="6027583763223"/>
    <s v="ÚNICO"/>
    <s v="TRANSPORTE MARÍTIMO"/>
    <s v="LIBERIA"/>
    <s v="EXPORTACIONES DEFINITIVAS"/>
    <s v="EXPORTACIÓN DEFINITIVA DE MERCANCÍAS DE FABRICACIÓN Ó PRODUCCIÓN NACIONAL"/>
    <s v="NINGUNO"/>
    <s v="NO"/>
    <s v="Dólar de los Estados Unidos de América"/>
    <s v="CON REINTEGRO"/>
    <n v="48558"/>
    <n v="123076563.54000001"/>
    <n v="0"/>
    <n v="901.47"/>
    <n v="123.65"/>
    <n v="0"/>
    <s v="EUROPA"/>
  </r>
  <r>
    <n v="210"/>
    <n v="2015"/>
    <n v="4"/>
    <n v="16"/>
    <s v="2015"/>
    <s v="04"/>
    <s v="16"/>
    <s v="INICIAL"/>
    <s v="20150416"/>
    <s v="600758115323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159000"/>
    <n v="413.25"/>
    <n v="445.43"/>
    <n v="2"/>
    <x v="6"/>
    <s v="GENK"/>
    <s v="ATLÁNTICO"/>
    <s v="ATLÁNTICO"/>
    <s v="CARTAGENA"/>
    <s v="201504"/>
    <s v="6027583763223"/>
    <s v="ÚNICO"/>
    <s v="TRANSPORTE MARÍTIMO"/>
    <s v="LIBERIA"/>
    <s v="EXPORTACIONES DEFINITIVAS"/>
    <s v="EXPORTACIÓN DEFINITIVA DE MERCANCÍAS DE FABRICACIÓN Ó PRODUCCIÓN NACIONAL"/>
    <s v="NINGUNO"/>
    <s v="NO"/>
    <s v="Dólar de los Estados Unidos de América"/>
    <s v="CON REINTEGRO"/>
    <n v="6010.8"/>
    <n v="15235154"/>
    <n v="0"/>
    <n v="111.59"/>
    <n v="15.31"/>
    <n v="0"/>
    <s v="EUROPA"/>
  </r>
  <r>
    <n v="211"/>
    <n v="2015"/>
    <n v="4"/>
    <n v="16"/>
    <s v="2015"/>
    <s v="04"/>
    <s v="16"/>
    <s v="INICIAL"/>
    <s v="20150416"/>
    <s v="600758115323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24000"/>
    <n v="88.28"/>
    <n v="95.15"/>
    <n v="3"/>
    <x v="6"/>
    <s v="GENK"/>
    <s v="ATLÁNTICO"/>
    <s v="ATLÁNTICO"/>
    <s v="CARTAGENA"/>
    <s v="201504"/>
    <s v="6027583763223"/>
    <s v="ÚNICO"/>
    <s v="TRANSPORTE MARÍTIMO"/>
    <s v="LIBERIA"/>
    <s v="EXPORTACIONES DEFINITIVAS"/>
    <s v="EXPORTACIÓN DEFINITIVA DE MERCANCÍAS DE FABRICACIÓN Ó PRODUCCIÓN NACIONAL"/>
    <s v="NINGUNO"/>
    <s v="NO"/>
    <s v="Dólar de los Estados Unidos de América"/>
    <s v="CON REINTEGRO"/>
    <n v="1989.6"/>
    <n v="5042899.8499999996"/>
    <n v="0"/>
    <n v="36.94"/>
    <n v="5.07"/>
    <n v="0"/>
    <s v="EUROPA"/>
  </r>
  <r>
    <n v="212"/>
    <n v="2015"/>
    <n v="4"/>
    <n v="17"/>
    <s v="2015"/>
    <s v="04"/>
    <s v="17"/>
    <s v="INICIAL"/>
    <s v="20150417"/>
    <s v="600758125119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ROCK SPRING TRADING"/>
    <s v="P.O. BOX 5564 RIYADH 11432"/>
    <s v="9503009910"/>
    <s v="Globos de latex de caucho natural."/>
    <s v="UNIDADES"/>
    <n v="1307000"/>
    <n v="4128.1499999999996"/>
    <n v="4474.5200000000004"/>
    <n v="1"/>
    <x v="29"/>
    <s v="RIYADH"/>
    <s v="ATLÁNTICO"/>
    <s v="ATLÁNTICO"/>
    <s v="CARTAGENA"/>
    <s v="201504"/>
    <s v="6027583770209"/>
    <s v="ÚNICO"/>
    <s v="TRANSPORTE MARÍTIMO"/>
    <s v="HONG KONG"/>
    <s v="EXPORTACIONES DEFINITIVAS"/>
    <s v="EXPORTACIÓN DEFINITIVA DE MERCANCÍAS DE FABRICACIÓN Ó PRODUCCIÓN NACIONAL"/>
    <s v="NINGUNO"/>
    <s v="NO"/>
    <s v="Dólar de los Estados Unidos de América"/>
    <s v="CON REINTEGRO"/>
    <n v="60761.5"/>
    <n v="151534927.69999999"/>
    <n v="0"/>
    <n v="817.09"/>
    <n v="0"/>
    <n v="163.93"/>
    <s v="ASIA"/>
  </r>
  <r>
    <n v="213"/>
    <n v="2015"/>
    <n v="4"/>
    <n v="17"/>
    <s v="2015"/>
    <s v="04"/>
    <s v="17"/>
    <s v="INICIAL"/>
    <s v="20150417"/>
    <s v="600758123395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1553720"/>
    <n v="4260.71"/>
    <n v="4934.09"/>
    <n v="1"/>
    <x v="2"/>
    <s v="SAINT LOUIS"/>
    <s v="ATLÁNTICO"/>
    <s v="ATLÁNTICO"/>
    <s v="BARRANQUILLA"/>
    <s v="201504"/>
    <s v="6027584183709"/>
    <s v="ÚNICO"/>
    <s v="TRANSPORTE MARÍTIMO"/>
    <s v="PANAMÁ"/>
    <s v="EXPORTACIONES DEFINITIVAS"/>
    <s v="EXPORTACIÓN DEFINITIVA DE MERCANCÍAS DE FABRICACIÓN Ó PRODUCCIÓN NACIONAL"/>
    <s v="NINGUNO"/>
    <s v="NO"/>
    <s v="Dólar de los Estados Unidos de América"/>
    <s v="CON REINTEGRO"/>
    <n v="57548.4"/>
    <n v="143521681.21000001"/>
    <n v="0"/>
    <n v="1896.27"/>
    <n v="0"/>
    <n v="0"/>
    <s v="AMÉRICA"/>
  </r>
  <r>
    <n v="214"/>
    <n v="2015"/>
    <n v="4"/>
    <n v="17"/>
    <s v="2015"/>
    <s v="04"/>
    <s v="17"/>
    <s v="INICIAL"/>
    <s v="20150417"/>
    <s v="600758123395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327000"/>
    <n v="1024.02"/>
    <n v="1185.8599999999999"/>
    <n v="2"/>
    <x v="2"/>
    <s v="SAINT LOUIS"/>
    <s v="ATLÁNTICO"/>
    <s v="ATLÁNTICO"/>
    <s v="BARRANQUILLA"/>
    <s v="201504"/>
    <s v="6027584183709"/>
    <s v="ÚNICO"/>
    <s v="TRANSPORTE MARÍTIMO"/>
    <s v="PANAMÁ"/>
    <s v="EXPORTACIONES DEFINITIVAS"/>
    <s v="EXPORTACIÓN DEFINITIVA DE MERCANCÍAS DE FABRICACIÓN Ó PRODUCCIÓN NACIONAL"/>
    <s v="NINGUNO"/>
    <s v="NO"/>
    <s v="Dólar de los Estados Unidos de América"/>
    <s v="CON REINTEGRO"/>
    <n v="14308.8"/>
    <n v="35685145.579999998"/>
    <n v="0"/>
    <n v="471.49"/>
    <n v="0"/>
    <n v="0"/>
    <s v="AMÉRICA"/>
  </r>
  <r>
    <n v="215"/>
    <n v="2015"/>
    <n v="4"/>
    <n v="17"/>
    <s v="2015"/>
    <s v="04"/>
    <s v="17"/>
    <s v="INICIAL"/>
    <s v="20150417"/>
    <s v="600758123395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84000"/>
    <n v="315.75"/>
    <n v="365.65"/>
    <n v="3"/>
    <x v="2"/>
    <s v="SAINT LOUIS"/>
    <s v="ATLÁNTICO"/>
    <s v="ATLÁNTICO"/>
    <s v="BARRANQUILLA"/>
    <s v="201504"/>
    <s v="6027584183709"/>
    <s v="ÚNICO"/>
    <s v="TRANSPORTE MARÍTIMO"/>
    <s v="PANAMÁ"/>
    <s v="EXPORTACIONES DEFINITIVAS"/>
    <s v="EXPORTACIÓN DEFINITIVA DE MERCANCÍAS DE FABRICACIÓN Ó PRODUCCIÓN NACIONAL"/>
    <s v="NINGUNO"/>
    <s v="NO"/>
    <s v="Dólar de los Estados Unidos de América"/>
    <s v="CON REINTEGRO"/>
    <n v="9926.4"/>
    <n v="24755746.75"/>
    <n v="0"/>
    <n v="327.08"/>
    <n v="0"/>
    <n v="0"/>
    <s v="AMÉRICA"/>
  </r>
  <r>
    <n v="216"/>
    <n v="2015"/>
    <n v="4"/>
    <n v="17"/>
    <s v="2015"/>
    <s v="04"/>
    <s v="17"/>
    <s v="INICIAL"/>
    <s v="20150417"/>
    <s v="600758123395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24000"/>
    <n v="92.64"/>
    <n v="107.28"/>
    <n v="4"/>
    <x v="2"/>
    <s v="SAINT LOUIS"/>
    <s v="ATLÁNTICO"/>
    <s v="ATLÁNTICO"/>
    <s v="BARRANQUILLA"/>
    <s v="201504"/>
    <s v="6027584183709"/>
    <s v="ÚNICO"/>
    <s v="TRANSPORTE MARÍTIMO"/>
    <s v="PANAMÁ"/>
    <s v="EXPORTACIONES DEFINITIVAS"/>
    <s v="EXPORTACIÓN DEFINITIVA DE MERCANCÍAS DE FABRICACIÓN Ó PRODUCCIÓN NACIONAL"/>
    <s v="NINGUNO"/>
    <s v="NO"/>
    <s v="Dólar de los Estados Unidos de América"/>
    <s v="CON REINTEGRO"/>
    <n v="2736"/>
    <n v="6823392.4800000004"/>
    <n v="0"/>
    <n v="90.15"/>
    <n v="0"/>
    <n v="0"/>
    <s v="AMÉRICA"/>
  </r>
  <r>
    <n v="217"/>
    <n v="2015"/>
    <n v="4"/>
    <n v="17"/>
    <s v="2015"/>
    <s v="04"/>
    <s v="17"/>
    <s v="INICIAL"/>
    <s v="20150417"/>
    <s v="600758125119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ROCK SPRING TRADING"/>
    <s v="P.O. BOX 5564 RIYADH 11432"/>
    <s v="9503009910"/>
    <s v="Globos de latex de caucho natural."/>
    <s v="UNIDADES"/>
    <n v="492000"/>
    <n v="1771.38"/>
    <n v="1920.01"/>
    <n v="3"/>
    <x v="29"/>
    <s v="RIYADH"/>
    <s v="ATLÁNTICO"/>
    <s v="ATLÁNTICO"/>
    <s v="CARTAGENA"/>
    <s v="201504"/>
    <s v="6027583770209"/>
    <s v="ÚNICO"/>
    <s v="TRANSPORTE MARÍTIMO"/>
    <s v="HONG KONG"/>
    <s v="EXPORTACIONES DEFINITIVAS"/>
    <s v="EXPORTACIÓN DEFINITIVA DE MERCANCÍAS DE FABRICACIÓN Ó PRODUCCIÓN NACIONAL"/>
    <s v="NINGUNO"/>
    <s v="NO"/>
    <s v="Dólar de los Estados Unidos de América"/>
    <s v="CON REINTEGRO"/>
    <n v="47664"/>
    <n v="118870679.52"/>
    <n v="0"/>
    <n v="640.96"/>
    <n v="0"/>
    <n v="128.59"/>
    <s v="ASIA"/>
  </r>
  <r>
    <n v="218"/>
    <n v="2015"/>
    <n v="4"/>
    <n v="17"/>
    <s v="2015"/>
    <s v="04"/>
    <s v="17"/>
    <s v="INICIAL"/>
    <s v="20150417"/>
    <s v="600758125119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ROCK SPRING TRADING"/>
    <s v="P.O. BOX 5564 RIYADH 11432"/>
    <s v="9503009910"/>
    <s v="Globos de latex de caucho natural."/>
    <s v="UNIDADES"/>
    <n v="30000"/>
    <n v="116.26"/>
    <n v="126.01"/>
    <n v="4"/>
    <x v="29"/>
    <s v="RIYADH"/>
    <s v="ATLÁNTICO"/>
    <s v="ATLÁNTICO"/>
    <s v="CARTAGENA"/>
    <s v="201504"/>
    <s v="6027583770209"/>
    <s v="ÚNICO"/>
    <s v="TRANSPORTE MARÍTIMO"/>
    <s v="HONG KONG"/>
    <s v="EXPORTACIONES DEFINITIVAS"/>
    <s v="EXPORTACIÓN DEFINITIVA DE MERCANCÍAS DE FABRICACIÓN Ó PRODUCCIÓN NACIONAL"/>
    <s v="NINGUNO"/>
    <s v="NO"/>
    <s v="Dólar de los Estados Unidos de América"/>
    <s v="CON REINTEGRO"/>
    <n v="3180"/>
    <n v="7930697.4000000004"/>
    <n v="0"/>
    <n v="42.76"/>
    <n v="0"/>
    <n v="8.58"/>
    <s v="ASIA"/>
  </r>
  <r>
    <n v="219"/>
    <n v="2015"/>
    <n v="4"/>
    <n v="17"/>
    <s v="2015"/>
    <s v="04"/>
    <s v="17"/>
    <s v="INICIAL"/>
    <s v="20150417"/>
    <s v="600758125119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ROCK SPRING TRADING"/>
    <s v="P.O. BOX 5564 RIYADH 11432"/>
    <s v="9503009910"/>
    <s v="Globos de latex de caucho natural."/>
    <s v="UNIDADES"/>
    <n v="143000"/>
    <n v="501.69"/>
    <n v="543.78"/>
    <n v="2"/>
    <x v="29"/>
    <s v="RIYADH"/>
    <s v="ATLÁNTICO"/>
    <s v="ATLÁNTICO"/>
    <s v="CARTAGENA"/>
    <s v="201504"/>
    <s v="6027583770209"/>
    <s v="ÚNICO"/>
    <s v="TRANSPORTE MARÍTIMO"/>
    <s v="HONG KONG"/>
    <s v="EXPORTACIONES DEFINITIVAS"/>
    <s v="EXPORTACIÓN DEFINITIVA DE MERCANCÍAS DE FABRICACIÓN Ó PRODUCCIÓN NACIONAL"/>
    <s v="NINGUNO"/>
    <s v="NO"/>
    <s v="Dólar de los Estados Unidos de América"/>
    <s v="CON REINTEGRO"/>
    <n v="7376"/>
    <n v="18395227.68"/>
    <n v="0"/>
    <n v="99.19"/>
    <n v="0"/>
    <n v="19.899999999999999"/>
    <s v="ASIA"/>
  </r>
  <r>
    <n v="220"/>
    <n v="2015"/>
    <n v="4"/>
    <n v="21"/>
    <s v="2015"/>
    <s v="04"/>
    <s v="21"/>
    <s v="INICIAL"/>
    <s v="20150421"/>
    <s v="60075814045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3923299000"/>
    <s v="Sacos (bolsas), bolsitas y cucuruchos."/>
    <s v="UNIDADES"/>
    <n v="3000"/>
    <n v="19.73"/>
    <n v="20.66"/>
    <n v="1"/>
    <x v="12"/>
    <s v="KUALA LUMPUR"/>
    <s v="ATLÁNTICO"/>
    <s v="ATLÁNTICO"/>
    <s v="BARRANQUILLA"/>
    <s v="201504"/>
    <s v="6027584614408"/>
    <s v="ÚNICO"/>
    <s v="TRANSPORTE MARÍTIMO"/>
    <s v="HONG KONG"/>
    <s v="EXPORTACIONES DEFINITIVAS"/>
    <s v="EXPORTACIÓN DEFINITIVA DE MERCANCÍAS DE FABRICACIÓN Ó PRODUCCIÓN NACIONAL"/>
    <s v="NINGUNO"/>
    <s v="NO"/>
    <s v="Dólar de los Estados Unidos de América"/>
    <s v="CON REINTEGRO"/>
    <n v="160"/>
    <n v="397931.2"/>
    <n v="0"/>
    <n v="30"/>
    <n v="12"/>
    <n v="0"/>
    <s v="ASIA"/>
  </r>
  <r>
    <n v="221"/>
    <n v="2015"/>
    <n v="4"/>
    <n v="21"/>
    <s v="2015"/>
    <s v="04"/>
    <s v="21"/>
    <s v="INICIAL"/>
    <s v="20150421"/>
    <s v="600758140471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94000"/>
    <n v="362.17"/>
    <n v="391.97"/>
    <n v="3"/>
    <x v="12"/>
    <s v="KUALA LUMPUR"/>
    <s v="ATLÁNTICO"/>
    <s v="ATLÁNTICO"/>
    <s v="BARRANQUILLA"/>
    <s v="201504"/>
    <s v="6027584614311"/>
    <s v="ÚNICO"/>
    <s v="TRANSPORTE MARÍTIMO"/>
    <s v="HONG KONG"/>
    <s v="EXPORTACIONES DEFINITIVAS"/>
    <s v="EXPORTACIÓN DEFINITIVA DE MERCANCÍAS DE FABRICACIÓN Ó PRODUCCIÓN NACIONAL"/>
    <s v="NINGUNO"/>
    <s v="NO"/>
    <s v="Dólar de los Estados Unidos de América"/>
    <s v="CON REINTEGRO"/>
    <n v="8416"/>
    <n v="20931181.120000001"/>
    <n v="0"/>
    <n v="97.81"/>
    <n v="21.28"/>
    <n v="0"/>
    <s v="ASIA"/>
  </r>
  <r>
    <n v="222"/>
    <n v="2015"/>
    <n v="4"/>
    <n v="21"/>
    <s v="2015"/>
    <s v="04"/>
    <s v="21"/>
    <s v="INICIAL"/>
    <s v="20150421"/>
    <s v="600758140471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1441750"/>
    <n v="3739.42"/>
    <n v="4047.14"/>
    <n v="1"/>
    <x v="12"/>
    <s v="KUALA LUMPUR"/>
    <s v="ATLÁNTICO"/>
    <s v="ATLÁNTICO"/>
    <s v="BARRANQUILLA"/>
    <s v="201504"/>
    <s v="6027584614311"/>
    <s v="ÚNICO"/>
    <s v="TRANSPORTE MARÍTIMO"/>
    <s v="HONG KONG"/>
    <s v="EXPORTACIONES DEFINITIVAS"/>
    <s v="EXPORTACIÓN DEFINITIVA DE MERCANCÍAS DE FABRICACIÓN Ó PRODUCCIÓN NACIONAL"/>
    <s v="NINGUNO"/>
    <s v="NO"/>
    <s v="Dólar de los Estados Unidos de América"/>
    <s v="CON REINTEGRO"/>
    <n v="50618"/>
    <n v="125890509.26000001"/>
    <n v="0"/>
    <n v="588.26"/>
    <n v="128.01"/>
    <n v="0"/>
    <s v="ASIA"/>
  </r>
  <r>
    <n v="223"/>
    <n v="2015"/>
    <n v="4"/>
    <n v="21"/>
    <s v="2015"/>
    <s v="04"/>
    <s v="21"/>
    <s v="INICIAL"/>
    <s v="20150421"/>
    <s v="600758140471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991750"/>
    <n v="2520.9699999999998"/>
    <n v="2728.42"/>
    <n v="2"/>
    <x v="12"/>
    <s v="KUALA LUMPUR"/>
    <s v="ATLÁNTICO"/>
    <s v="ATLÁNTICO"/>
    <s v="BARRANQUILLA"/>
    <s v="201504"/>
    <s v="6027584614311"/>
    <s v="ÚNICO"/>
    <s v="TRANSPORTE MARÍTIMO"/>
    <s v="HONG KONG"/>
    <s v="EXPORTACIONES DEFINITIVAS"/>
    <s v="EXPORTACIÓN DEFINITIVA DE MERCANCÍAS DE FABRICACIÓN Ó PRODUCCIÓN NACIONAL"/>
    <s v="NINGUNO"/>
    <s v="NO"/>
    <s v="Dólar de los Estados Unidos de América"/>
    <s v="CON REINTEGRO"/>
    <n v="34757"/>
    <n v="86443091.989999995"/>
    <n v="0"/>
    <n v="403.93"/>
    <n v="87.9"/>
    <n v="0"/>
    <s v="ASIA"/>
  </r>
  <r>
    <n v="224"/>
    <n v="2015"/>
    <n v="4"/>
    <n v="22"/>
    <s v="2015"/>
    <s v="04"/>
    <s v="22"/>
    <s v="INICIAL"/>
    <s v="20150422"/>
    <s v="6007581106460"/>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9503009910"/>
    <s v="Globos de latex de caucho natural."/>
    <s v="UNIDADES"/>
    <n v="105000"/>
    <n v="326.29000000000002"/>
    <n v="347"/>
    <n v="1"/>
    <x v="22"/>
    <s v="ASUNCION"/>
    <s v="ATLÁNTICO"/>
    <s v="ATLÁNTICO"/>
    <s v="BOGOTÁ"/>
    <s v="201504"/>
    <s v="6027584493504"/>
    <s v="ÚNICO"/>
    <s v="TRANSPORTE AÉREO"/>
    <s v="COLOMBIA"/>
    <s v="EXPORTACIONES DEFINITIVAS"/>
    <s v="EXPORTACIÓN DEFINITIVA DE MERCANCÍAS DE FABRICACIÓN Ó PRODUCCIÓN NACIONAL"/>
    <s v="NINGUNO"/>
    <s v="NO"/>
    <s v="Dólar de los Estados Unidos de América"/>
    <s v="CON REINTEGRO"/>
    <n v="4811"/>
    <n v="11878503.33"/>
    <n v="0"/>
    <n v="943.36"/>
    <n v="0"/>
    <n v="0"/>
    <s v="AMÉRICA"/>
  </r>
  <r>
    <n v="225"/>
    <n v="2015"/>
    <n v="4"/>
    <n v="22"/>
    <s v="2015"/>
    <s v="04"/>
    <s v="22"/>
    <s v="INICIAL"/>
    <s v="20150422"/>
    <s v="6007580946304"/>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BETALLIC L.L.C."/>
    <s v="2326 GRISSOM DRIVE SAINT LOUIS, MISSOURI 63146"/>
    <s v="9503009910"/>
    <s v="Globos de latex de caucho natural."/>
    <s v="UNIDADES"/>
    <n v="78000"/>
    <n v="237.26"/>
    <n v="271"/>
    <n v="1"/>
    <x v="2"/>
    <s v="SAINT LOUIS"/>
    <s v="ATLÁNTICO"/>
    <s v="ATLÁNTICO"/>
    <s v="BOGOTÁ"/>
    <s v="201504"/>
    <s v="6027584443114"/>
    <s v="ÚNICO"/>
    <s v="TRANSPORTE AÉREO"/>
    <s v="ESTADOS UNIDOS"/>
    <s v="EXPORTACIONES DEFINITIVAS"/>
    <s v="EXPORTACIÓN DEFINITIVA DE MERCANCÍAS DE FABRICACIÓN Ó PRODUCCIÓN NACIONAL"/>
    <s v="NINGUNO"/>
    <s v="NO"/>
    <s v="Dólar de los Estados Unidos de América"/>
    <s v="CON REINTEGRO"/>
    <n v="5067.2"/>
    <n v="12511068.82"/>
    <n v="0"/>
    <n v="737.37"/>
    <n v="0"/>
    <n v="0"/>
    <s v="AMÉRICA"/>
  </r>
  <r>
    <n v="226"/>
    <n v="2015"/>
    <n v="4"/>
    <n v="22"/>
    <s v="2015"/>
    <s v="04"/>
    <s v="22"/>
    <s v="INICIAL"/>
    <s v="20150422"/>
    <s v="6007581051642"/>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JUNG JEAN COMPANY"/>
    <s v="#174-1 3/F MOOK-DONG, JOONGRANG-GU, SEOUL 131-848, KOREA"/>
    <s v="9503009910"/>
    <s v="Globos de latex de caucho natural."/>
    <s v="UNIDADES"/>
    <n v="21900"/>
    <n v="365.1"/>
    <n v="388"/>
    <n v="1"/>
    <x v="17"/>
    <s v="SEOUL"/>
    <s v="ATLÁNTICO"/>
    <s v="ATLÁNTICO"/>
    <s v="BOGOTÁ"/>
    <s v="201504"/>
    <s v="6027584494598"/>
    <s v="ÚNICO"/>
    <s v="TRANSPORTE AÉREO"/>
    <s v="ESTADOS UNIDOS"/>
    <s v="EXPORTACIONES DEFINITIVAS"/>
    <s v="EXPORTACIÓN DEFINITIVA DE MERCANCÍAS DE FABRICACIÓN Ó PRODUCCIÓN NACIONAL"/>
    <s v="NINGUNO"/>
    <s v="NO"/>
    <s v="Dólar de los Estados Unidos de América"/>
    <s v="CON REINTEGRO"/>
    <n v="11693"/>
    <n v="28870367.789999999"/>
    <n v="0"/>
    <n v="1087.92"/>
    <n v="31.95"/>
    <n v="0"/>
    <s v="ASIA"/>
  </r>
  <r>
    <n v="227"/>
    <n v="2015"/>
    <n v="4"/>
    <n v="28"/>
    <s v="2015"/>
    <s v="04"/>
    <s v="28"/>
    <s v="INICIAL"/>
    <s v="20150428"/>
    <s v="600758168199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MIRACLE ATELIER COMPANY"/>
    <s v="RMA3,4/F, FUK CHEONG FTY. BLDG. 1 WALNUT ST., TAI KOK TSUI"/>
    <s v="9503009910"/>
    <s v="Globos de latex de caucho natural."/>
    <s v="UNIDADES"/>
    <n v="339000"/>
    <n v="780.67"/>
    <n v="836"/>
    <n v="1"/>
    <x v="30"/>
    <s v="HONG KONG"/>
    <s v="ATLÁNTICO"/>
    <s v="ATLÁNTICO"/>
    <s v="BOGOTÁ"/>
    <s v="201504"/>
    <s v="6027585157491"/>
    <s v="ÚNICO"/>
    <s v="TRANSPORTE AÉREO"/>
    <s v="ESTADOS UNIDOS"/>
    <s v="EXPORTACIONES DEFINITIVAS"/>
    <s v="EXPORTACIÓN DEFINITIVA DE MERCANCÍAS DE FABRICACIÓN Ó PRODUCCIÓN NACIONAL"/>
    <s v="NINGUNO"/>
    <s v="NO"/>
    <s v="Dólar de los Estados Unidos de América"/>
    <s v="CON REINTEGRO"/>
    <n v="13023.75"/>
    <n v="31515000.489999998"/>
    <n v="0"/>
    <n v="2258.83"/>
    <n v="38.21"/>
    <n v="0"/>
    <s v="ASIA"/>
  </r>
  <r>
    <n v="228"/>
    <n v="2015"/>
    <n v="4"/>
    <n v="28"/>
    <s v="2015"/>
    <s v="04"/>
    <s v="28"/>
    <s v="INICIAL"/>
    <s v="20150428"/>
    <s v="600758173886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9503009910"/>
    <s v="Globos de latex de caucho natural."/>
    <s v="UNIDADES"/>
    <n v="80400"/>
    <n v="247.43"/>
    <n v="268.54000000000002"/>
    <n v="3"/>
    <x v="1"/>
    <s v="POMEZIA"/>
    <s v="ATLÁNTICO"/>
    <s v="ATLÁNTICO"/>
    <s v="CARTAGENA"/>
    <s v="201504"/>
    <s v="6027584189041"/>
    <s v="ÚNICO"/>
    <s v="TRANSPORTE MARÍTIMO"/>
    <s v="LIBERIA"/>
    <s v="EXPORTACIONES DEFINITIVAS"/>
    <s v="EXPORTACIÓN DEFINITIVA DE MERCANCÍAS DE FABRICACIÓN Ó PRODUCCIÓN NACIONAL"/>
    <s v="NINGUNO"/>
    <s v="NO"/>
    <s v="Dólar de los Estados Unidos de América"/>
    <s v="CON REINTEGRO"/>
    <n v="5275"/>
    <n v="12764497.75"/>
    <n v="0"/>
    <n v="48.59"/>
    <n v="13.31"/>
    <n v="0"/>
    <s v="EUROPA"/>
  </r>
  <r>
    <n v="229"/>
    <n v="2015"/>
    <n v="4"/>
    <n v="28"/>
    <s v="2015"/>
    <s v="04"/>
    <s v="28"/>
    <s v="INICIAL"/>
    <s v="20150428"/>
    <s v="600758173887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4911100000"/>
    <s v="Impresos publicitarios, catalogos comerciales y similares."/>
    <s v="KILOGRAMO"/>
    <n v="11.86"/>
    <n v="11.86"/>
    <n v="12.81"/>
    <n v="1"/>
    <x v="1"/>
    <s v="POMEZIA"/>
    <s v="ATLÁNTICO"/>
    <s v="ATLÁNTICO"/>
    <s v="CARTAGENA"/>
    <s v="201504"/>
    <s v="6027584192128"/>
    <s v="ÚNICO"/>
    <s v="TRANSPORTE MARÍTIMO"/>
    <s v="LIBERIA"/>
    <s v="EXPORTACIONES DEFINITIVAS"/>
    <s v="EXPORTACION TEMPORAL PARA PERFECCIONAMIENTO PASIVO"/>
    <s v="NINGUNO"/>
    <s v="NO"/>
    <s v="Dólar de los Estados Unidos de América"/>
    <s v="SIN REINTEGRO"/>
    <n v="2.5"/>
    <n v="6049.53"/>
    <n v="0"/>
    <n v="0"/>
    <n v="0"/>
    <n v="0"/>
    <s v="EUROPA"/>
  </r>
  <r>
    <n v="230"/>
    <n v="2015"/>
    <n v="4"/>
    <n v="28"/>
    <s v="2015"/>
    <s v="04"/>
    <s v="28"/>
    <s v="INICIAL"/>
    <s v="20150428"/>
    <s v="600758173886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9503009910"/>
    <s v="Globos de latex de caucho natural."/>
    <s v="UNIDADES"/>
    <n v="2660000"/>
    <n v="5030.7299999999996"/>
    <n v="5459.92"/>
    <n v="1"/>
    <x v="1"/>
    <s v="POMEZIA"/>
    <s v="ATLÁNTICO"/>
    <s v="ATLÁNTICO"/>
    <s v="CARTAGENA"/>
    <s v="201504"/>
    <s v="6027584189041"/>
    <s v="ÚNICO"/>
    <s v="TRANSPORTE MARÍTIMO"/>
    <s v="LIBERIA"/>
    <s v="EXPORTACIONES DEFINITIVAS"/>
    <s v="EXPORTACIÓN DEFINITIVA DE MERCANCÍAS DE FABRICACIÓN Ó PRODUCCIÓN NACIONAL"/>
    <s v="NINGUNO"/>
    <s v="NO"/>
    <s v="Dólar de los Estados Unidos de América"/>
    <s v="CON REINTEGRO"/>
    <n v="80058.5"/>
    <n v="193726358.88999999"/>
    <n v="0"/>
    <n v="737.45"/>
    <n v="201.99"/>
    <n v="0"/>
    <s v="EUROPA"/>
  </r>
  <r>
    <n v="231"/>
    <n v="2015"/>
    <n v="4"/>
    <n v="28"/>
    <s v="2015"/>
    <s v="04"/>
    <s v="28"/>
    <s v="INICIAL"/>
    <s v="20150428"/>
    <s v="600758173886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9503009910"/>
    <s v="Globos de latex de caucho natural."/>
    <s v="UNIDADES"/>
    <n v="61700"/>
    <n v="1098.8499999999999"/>
    <n v="1192.5999999999999"/>
    <n v="2"/>
    <x v="1"/>
    <s v="POMEZIA"/>
    <s v="ATLÁNTICO"/>
    <s v="ATLÁNTICO"/>
    <s v="CARTAGENA"/>
    <s v="201504"/>
    <s v="6027584189041"/>
    <s v="ÚNICO"/>
    <s v="TRANSPORTE MARÍTIMO"/>
    <s v="LIBERIA"/>
    <s v="EXPORTACIONES DEFINITIVAS"/>
    <s v="EXPORTACIÓN DEFINITIVA DE MERCANCÍAS DE FABRICACIÓN Ó PRODUCCIÓN NACIONAL"/>
    <s v="NINGUNO"/>
    <s v="NO"/>
    <s v="Dólar de los Estados Unidos de América"/>
    <s v="CON REINTEGRO"/>
    <n v="18885"/>
    <n v="45698111.850000001"/>
    <n v="0"/>
    <n v="173.96"/>
    <n v="47.65"/>
    <n v="0"/>
    <s v="EUROPA"/>
  </r>
  <r>
    <n v="232"/>
    <n v="2015"/>
    <n v="4"/>
    <n v="28"/>
    <s v="2015"/>
    <s v="04"/>
    <s v="28"/>
    <s v="INICIAL"/>
    <s v="20150428"/>
    <s v="600758173887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4902909000"/>
    <s v="Los demás diarios y públicaciones periodicas, impresos, incluso ilustrados o con publicidad."/>
    <s v="UNIDADES"/>
    <n v="150"/>
    <n v="23.07"/>
    <n v="24.91"/>
    <n v="2"/>
    <x v="1"/>
    <s v="POMEZIA"/>
    <s v="ATLÁNTICO"/>
    <s v="ATLÁNTICO"/>
    <s v="CARTAGENA"/>
    <s v="201504"/>
    <s v="6027584192128"/>
    <s v="ÚNICO"/>
    <s v="TRANSPORTE MARÍTIMO"/>
    <s v="LIBERIA"/>
    <s v="EXPORTACIONES DEFINITIVAS"/>
    <s v="EXPORTACION TEMPORAL PARA PERFECCIONAMIENTO PASIVO"/>
    <s v="NINGUNO"/>
    <s v="NO"/>
    <s v="Dólar de los Estados Unidos de América"/>
    <s v="SIN REINTEGRO"/>
    <n v="7.5"/>
    <n v="18148.580000000002"/>
    <n v="0"/>
    <n v="0"/>
    <n v="0"/>
    <n v="0"/>
    <s v="EUROPA"/>
  </r>
  <r>
    <n v="233"/>
    <n v="2015"/>
    <n v="4"/>
    <n v="28"/>
    <s v="2015"/>
    <s v="04"/>
    <s v="28"/>
    <s v="INICIAL"/>
    <s v="20150428"/>
    <s v="6007581740022"/>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MATERIALES Y SOLUCIONES S.A. DE C.V."/>
    <s v="79 AV NORTE 507-3, ENTRE 7a Y 9a CALLE PONIENTE"/>
    <s v="9503009910"/>
    <s v="Globos de latex de caucho natural."/>
    <s v="UNIDADES"/>
    <n v="110650"/>
    <n v="293.27"/>
    <n v="315"/>
    <n v="1"/>
    <x v="24"/>
    <s v="SAN SALVADOR"/>
    <s v="ATLÁNTICO"/>
    <s v="ATLÁNTICO"/>
    <s v="BOGOTÁ"/>
    <s v="201504"/>
    <s v="6027584991003"/>
    <s v="ÚNICO"/>
    <s v="TRANSPORTE AÉREO"/>
    <s v="COLOMBIA"/>
    <s v="EXPORTACIONES DEFINITIVAS"/>
    <s v="EXPORTACIÓN DEFINITIVA DE MERCANCÍAS DE FABRICACIÓN Ó PRODUCCIÓN NACIONAL"/>
    <s v="NINGUNO"/>
    <s v="NO"/>
    <s v="Dólar de los Estados Unidos de América"/>
    <s v="CON REINTEGRO"/>
    <n v="4487.3"/>
    <n v="10858413.41"/>
    <n v="0"/>
    <n v="592.05999999999995"/>
    <n v="12.7"/>
    <n v="0"/>
    <s v="AMÉRICA"/>
  </r>
  <r>
    <n v="234"/>
    <n v="2015"/>
    <n v="4"/>
    <n v="30"/>
    <s v="2015"/>
    <s v="04"/>
    <s v="30"/>
    <s v="INICIAL"/>
    <s v="20150430"/>
    <s v="600758179778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1222400"/>
    <n v="3518.39"/>
    <n v="3786.81"/>
    <n v="1"/>
    <x v="15"/>
    <s v="CARLSWSALD, MIDRAND"/>
    <s v="ATLÁNTICO"/>
    <s v="ATLÁNTICO"/>
    <s v="CARTAGENA"/>
    <s v="201504"/>
    <s v="6027584093931"/>
    <s v="ÚNICO"/>
    <s v="TRANSPORTE MARÍTIMO"/>
    <s v="ALEMANIA"/>
    <s v="EXPORTACIONES DEFINITIVAS"/>
    <s v="EXPORTACIÓN DEFINITIVA DE MERCANCÍAS DE FABRICACIÓN Ó PRODUCCIÓN NACIONAL"/>
    <s v="NINGUNO"/>
    <s v="NO"/>
    <s v="Dólar de los Estados Unidos de América"/>
    <s v="CON REINTEGRO"/>
    <n v="52783.6"/>
    <n v="126050403.81999999"/>
    <n v="0"/>
    <n v="0"/>
    <n v="0"/>
    <n v="0"/>
    <s v="ÁFRICA"/>
  </r>
  <r>
    <n v="235"/>
    <n v="2015"/>
    <n v="4"/>
    <n v="30"/>
    <s v="2015"/>
    <s v="04"/>
    <s v="30"/>
    <s v="INICIAL"/>
    <s v="20150430"/>
    <s v="600758179778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132600"/>
    <n v="482.11"/>
    <n v="518.89"/>
    <n v="2"/>
    <x v="15"/>
    <s v="CARLSWSALD, MIDRAND"/>
    <s v="ATLÁNTICO"/>
    <s v="ATLÁNTICO"/>
    <s v="CARTAGENA"/>
    <s v="201504"/>
    <s v="6027584093931"/>
    <s v="ÚNICO"/>
    <s v="TRANSPORTE MARÍTIMO"/>
    <s v="ALEMANIA"/>
    <s v="EXPORTACIONES DEFINITIVAS"/>
    <s v="EXPORTACIÓN DEFINITIVA DE MERCANCÍAS DE FABRICACIÓN Ó PRODUCCIÓN NACIONAL"/>
    <s v="NINGUNO"/>
    <s v="NO"/>
    <s v="Dólar de los Estados Unidos de América"/>
    <s v="CON REINTEGRO"/>
    <n v="7749.9"/>
    <n v="18507226.190000001"/>
    <n v="0"/>
    <n v="0"/>
    <n v="0"/>
    <n v="0"/>
    <s v="ÁFRICA"/>
  </r>
  <r>
    <n v="236"/>
    <n v="2015"/>
    <n v="4"/>
    <n v="30"/>
    <s v="2015"/>
    <s v="04"/>
    <s v="30"/>
    <s v="INICIAL"/>
    <s v="20150430"/>
    <s v="600758179778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54000"/>
    <n v="192.92"/>
    <n v="207.64"/>
    <n v="3"/>
    <x v="15"/>
    <s v="CARLSWSALD, MIDRAND"/>
    <s v="ATLÁNTICO"/>
    <s v="ATLÁNTICO"/>
    <s v="CARTAGENA"/>
    <s v="201504"/>
    <s v="6027584093931"/>
    <s v="ÚNICO"/>
    <s v="TRANSPORTE MARÍTIMO"/>
    <s v="ALEMANIA"/>
    <s v="EXPORTACIONES DEFINITIVAS"/>
    <s v="EXPORTACIÓN DEFINITIVA DE MERCANCÍAS DE FABRICACIÓN Ó PRODUCCIÓN NACIONAL"/>
    <s v="NINGUNO"/>
    <s v="NO"/>
    <s v="Dólar de los Estados Unidos de América"/>
    <s v="CON REINTEGRO"/>
    <n v="4619.8599999999997"/>
    <n v="11032502.869999999"/>
    <n v="0"/>
    <n v="0"/>
    <n v="0"/>
    <n v="0"/>
    <s v="ÁFRICA"/>
  </r>
  <r>
    <n v="237"/>
    <n v="2015"/>
    <n v="4"/>
    <n v="30"/>
    <s v="2015"/>
    <s v="04"/>
    <s v="30"/>
    <s v="INICIAL"/>
    <s v="20150430"/>
    <s v="600758170968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4902909000"/>
    <s v="Los demás diarios y públicaciones periodicas, impresos, incluso ilustrados o con publicidad."/>
    <s v="UNIDADES"/>
    <n v="10"/>
    <n v="1.55"/>
    <n v="1.62"/>
    <n v="2"/>
    <x v="31"/>
    <s v="GUATEMALA"/>
    <s v="ATLÁNTICO"/>
    <s v="ATLÁNTICO"/>
    <s v="BARRANQUILLA"/>
    <s v="201504"/>
    <s v="6027584943481"/>
    <s v="ÚNICO"/>
    <s v="TRANSPORTE MARÍTIMO"/>
    <s v="PANAMÁ"/>
    <s v="EXPORTACIONES DEFINITIVAS"/>
    <s v="EXPORTACION TEMPORAL PARA PERFECCIONAMIENTO PASIVO"/>
    <s v="NINGUNO"/>
    <s v="NO"/>
    <s v="Dólar de los Estados Unidos de América"/>
    <s v="SIN REINTEGRO"/>
    <n v="0.2"/>
    <n v="477.61"/>
    <n v="0"/>
    <n v="0"/>
    <n v="0"/>
    <n v="0"/>
    <s v="AMÉRICA"/>
  </r>
  <r>
    <n v="238"/>
    <n v="2015"/>
    <n v="4"/>
    <n v="30"/>
    <s v="2015"/>
    <s v="04"/>
    <s v="30"/>
    <s v="INICIAL"/>
    <s v="20150430"/>
    <s v="600758170969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3923299000"/>
    <s v="Sacos (bolsas), bolsitas y cucuruchos."/>
    <s v="UNIDADES"/>
    <n v="4960"/>
    <n v="28.12"/>
    <n v="31.31"/>
    <n v="1"/>
    <x v="31"/>
    <s v="GUATEMALA"/>
    <s v="ATLÁNTICO"/>
    <s v="ATLÁNTICO"/>
    <s v="BARRANQUILLA"/>
    <s v="201504"/>
    <s v="6027584943949"/>
    <s v="ÚNICO"/>
    <s v="TRANSPORTE MARÍTIMO"/>
    <s v="PANAMÁ"/>
    <s v="EXPORTACIONES DEFINITIVAS"/>
    <s v="EXPORTACIÓN DEFINITIVA DE MERCANCÍAS DE FABRICACIÓN Ó PRODUCCIÓN NACIONAL"/>
    <s v="ALADI"/>
    <s v="NO"/>
    <s v="Dólar de los Estados Unidos de América"/>
    <s v="CON REINTEGRO"/>
    <n v="248"/>
    <n v="592238.88"/>
    <n v="0"/>
    <n v="0"/>
    <n v="0"/>
    <n v="0"/>
    <s v="AMÉRICA"/>
  </r>
  <r>
    <n v="239"/>
    <n v="2015"/>
    <n v="4"/>
    <n v="30"/>
    <s v="2015"/>
    <s v="04"/>
    <s v="30"/>
    <s v="INICIAL"/>
    <s v="20150430"/>
    <s v="600758170969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3924900000"/>
    <s v="Los demás artículos de uso doméstico y artículos de higiene o de tocador, de plástico."/>
    <s v="UNIDADES"/>
    <n v="648"/>
    <n v="87.02"/>
    <n v="96.89"/>
    <n v="2"/>
    <x v="31"/>
    <s v="GUATEMALA"/>
    <s v="ATLÁNTICO"/>
    <s v="ATLÁNTICO"/>
    <s v="BARRANQUILLA"/>
    <s v="201504"/>
    <s v="6027584943949"/>
    <s v="ÚNICO"/>
    <s v="TRANSPORTE MARÍTIMO"/>
    <s v="PANAMÁ"/>
    <s v="EXPORTACIONES DEFINITIVAS"/>
    <s v="EXPORTACIÓN DEFINITIVA DE MERCANCÍAS DE FABRICACIÓN Ó PRODUCCIÓN NACIONAL"/>
    <s v="ALADI"/>
    <s v="NO"/>
    <s v="Dólar de los Estados Unidos de América"/>
    <s v="CON REINTEGRO"/>
    <n v="524.16"/>
    <n v="1251725.53"/>
    <n v="0"/>
    <n v="0"/>
    <n v="0"/>
    <n v="0"/>
    <s v="AMÉRICA"/>
  </r>
  <r>
    <n v="240"/>
    <n v="2015"/>
    <n v="4"/>
    <n v="30"/>
    <s v="2015"/>
    <s v="04"/>
    <s v="30"/>
    <s v="INICIAL"/>
    <s v="20150430"/>
    <s v="600758170969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4818300000"/>
    <s v="Manteles y servilletas, de pasta de papel, papel y guata de celulosa."/>
    <s v="KILOGRAMO"/>
    <n v="191.82"/>
    <n v="191.82"/>
    <n v="213.57"/>
    <n v="3"/>
    <x v="31"/>
    <s v="GUATEMALA"/>
    <s v="ATLÁNTICO"/>
    <s v="ATLÁNTICO"/>
    <s v="BARRANQUILLA"/>
    <s v="201504"/>
    <s v="6027584943949"/>
    <s v="ÚNICO"/>
    <s v="TRANSPORTE MARÍTIMO"/>
    <s v="PANAMÁ"/>
    <s v="EXPORTACIONES DEFINITIVAS"/>
    <s v="EXPORTACIÓN DEFINITIVA DE MERCANCÍAS DE FABRICACIÓN Ó PRODUCCIÓN NACIONAL"/>
    <s v="ALADI"/>
    <s v="NO"/>
    <s v="Dólar de los Estados Unidos de América"/>
    <s v="CON REINTEGRO"/>
    <n v="1663.2"/>
    <n v="3971821.39"/>
    <n v="0"/>
    <n v="0"/>
    <n v="0"/>
    <n v="0"/>
    <s v="AMÉRICA"/>
  </r>
  <r>
    <n v="241"/>
    <n v="2015"/>
    <n v="4"/>
    <n v="30"/>
    <s v="2015"/>
    <s v="04"/>
    <s v="30"/>
    <s v="INICIAL"/>
    <s v="20150430"/>
    <s v="600758170969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4823690000"/>
    <s v="Las demás bandejas, fuentes, platos, tazas, vasos y artículos similares, de papel o cartón."/>
    <s v="KILOGRAMO"/>
    <n v="628.58000000000004"/>
    <n v="628.58000000000004"/>
    <n v="699.85"/>
    <n v="4"/>
    <x v="31"/>
    <s v="GUATEMALA"/>
    <s v="ATLÁNTICO"/>
    <s v="ATLÁNTICO"/>
    <s v="BARRANQUILLA"/>
    <s v="201504"/>
    <s v="6027584943949"/>
    <s v="ÚNICO"/>
    <s v="TRANSPORTE MARÍTIMO"/>
    <s v="PANAMÁ"/>
    <s v="EXPORTACIONES DEFINITIVAS"/>
    <s v="EXPORTACIÓN DEFINITIVA DE MERCANCÍAS DE FABRICACIÓN Ó PRODUCCIÓN NACIONAL"/>
    <s v="ALADI"/>
    <s v="NO"/>
    <s v="Dólar de los Estados Unidos de América"/>
    <s v="CON REINTEGRO"/>
    <n v="3944.16"/>
    <n v="9418890.7300000004"/>
    <n v="0"/>
    <n v="0"/>
    <n v="0"/>
    <n v="0"/>
    <s v="AMÉRICA"/>
  </r>
  <r>
    <n v="242"/>
    <n v="2015"/>
    <n v="4"/>
    <n v="30"/>
    <s v="2015"/>
    <s v="04"/>
    <s v="30"/>
    <s v="INICIAL"/>
    <s v="20150430"/>
    <s v="600758170969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4823909000"/>
    <s v="Los demás papeles, cartónes, guata de celulosa y napa de fibras de celulosa, cortados en formato; los demás artículos de pasta de papel, papel, cartón, guata de celulosa o napa de fibras de celulosa."/>
    <s v="KILOGRAMO"/>
    <n v="20.32"/>
    <n v="20.32"/>
    <n v="22.62"/>
    <n v="5"/>
    <x v="31"/>
    <s v="GUATEMALA"/>
    <s v="ATLÁNTICO"/>
    <s v="ATLÁNTICO"/>
    <s v="BARRANQUILLA"/>
    <s v="201504"/>
    <s v="6027584943949"/>
    <s v="ÚNICO"/>
    <s v="TRANSPORTE MARÍTIMO"/>
    <s v="PANAMÁ"/>
    <s v="EXPORTACIONES DEFINITIVAS"/>
    <s v="EXPORTACIÓN DEFINITIVA DE MERCANCÍAS DE FABRICACIÓN Ó PRODUCCIÓN NACIONAL"/>
    <s v="ALADI"/>
    <s v="NO"/>
    <s v="Dólar de los Estados Unidos de América"/>
    <s v="CON REINTEGRO"/>
    <n v="302.39999999999998"/>
    <n v="722149.34"/>
    <n v="0"/>
    <n v="0"/>
    <n v="0"/>
    <n v="0"/>
    <s v="AMÉRICA"/>
  </r>
  <r>
    <n v="243"/>
    <n v="2015"/>
    <n v="4"/>
    <n v="30"/>
    <s v="2015"/>
    <s v="04"/>
    <s v="30"/>
    <s v="INICIAL"/>
    <s v="20150430"/>
    <s v="600758170969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4911100000"/>
    <s v="Impresos publicitarios, catalogos comerciales y similares."/>
    <s v="KILOGRAMO"/>
    <n v="8.7200000000000006"/>
    <n v="8.7200000000000006"/>
    <n v="9.7100000000000009"/>
    <n v="6"/>
    <x v="31"/>
    <s v="GUATEMALA"/>
    <s v="ATLÁNTICO"/>
    <s v="ATLÁNTICO"/>
    <s v="BARRANQUILLA"/>
    <s v="201504"/>
    <s v="6027584943949"/>
    <s v="ÚNICO"/>
    <s v="TRANSPORTE MARÍTIMO"/>
    <s v="PANAMÁ"/>
    <s v="EXPORTACIONES DEFINITIVAS"/>
    <s v="EXPORTACIÓN DEFINITIVA DE MERCANCÍAS DE FABRICACIÓN Ó PRODUCCIÓN NACIONAL"/>
    <s v="ALADI"/>
    <s v="NO"/>
    <s v="Dólar de los Estados Unidos de América"/>
    <s v="CON REINTEGRO"/>
    <n v="189.72"/>
    <n v="453062.74"/>
    <n v="0"/>
    <n v="0"/>
    <n v="0"/>
    <n v="0"/>
    <s v="AMÉRICA"/>
  </r>
  <r>
    <n v="244"/>
    <n v="2015"/>
    <n v="4"/>
    <n v="30"/>
    <s v="2015"/>
    <s v="04"/>
    <s v="30"/>
    <s v="INICIAL"/>
    <s v="20150430"/>
    <s v="600758170969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9505900000"/>
    <s v="Los demás artículos para fiestas, carnaval u otras diversiones, incluidos los de magia y artículos sorpresa."/>
    <s v="UNIDADES"/>
    <n v="3744"/>
    <n v="256.92"/>
    <n v="286.05"/>
    <n v="7"/>
    <x v="31"/>
    <s v="GUATEMALA"/>
    <s v="ATLÁNTICO"/>
    <s v="ATLÁNTICO"/>
    <s v="BARRANQUILLA"/>
    <s v="201504"/>
    <s v="6027584943949"/>
    <s v="ÚNICO"/>
    <s v="TRANSPORTE MARÍTIMO"/>
    <s v="PANAMÁ"/>
    <s v="EXPORTACIONES DEFINITIVAS"/>
    <s v="EXPORTACIÓN DEFINITIVA DE MERCANCÍAS DE FABRICACIÓN Ó PRODUCCIÓN NACIONAL"/>
    <s v="ALADI"/>
    <s v="NO"/>
    <s v="Dólar de los Estados Unidos de América"/>
    <s v="CON REINTEGRO"/>
    <n v="2609.2800000000002"/>
    <n v="6231117.2000000002"/>
    <n v="0"/>
    <n v="0"/>
    <n v="0"/>
    <n v="0"/>
    <s v="AMÉRICA"/>
  </r>
  <r>
    <n v="245"/>
    <n v="2015"/>
    <n v="4"/>
    <n v="30"/>
    <s v="2015"/>
    <s v="04"/>
    <s v="30"/>
    <s v="INICIAL"/>
    <s v="20150430"/>
    <s v="600758170967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9503009910"/>
    <s v="Globos de latex de caucho natural."/>
    <s v="UNIDADES"/>
    <n v="227520"/>
    <n v="917.09"/>
    <n v="992.15"/>
    <n v="3"/>
    <x v="31"/>
    <s v="GUATEMALA"/>
    <s v="ATLÁNTICO"/>
    <s v="ATLÁNTICO"/>
    <s v="BARRANQUILLA"/>
    <s v="201504"/>
    <s v="6027584943164"/>
    <s v="ÚNICO"/>
    <s v="TRANSPORTE MARÍTIMO"/>
    <s v="PANAMÁ"/>
    <s v="EXPORTACIONES DEFINITIVAS"/>
    <s v="EXPORTACIÓN DEFINITIVA DE MERCANCÍAS DE FABRICACIÓN Ó PRODUCCIÓN NACIONAL"/>
    <s v="ALADI"/>
    <s v="NO"/>
    <s v="Dólar de los Estados Unidos de América"/>
    <s v="CON REINTEGRO"/>
    <n v="25394.400000000001"/>
    <n v="60643350.859999999"/>
    <n v="0"/>
    <n v="0"/>
    <n v="0"/>
    <n v="0"/>
    <s v="AMÉRICA"/>
  </r>
  <r>
    <n v="246"/>
    <n v="2015"/>
    <n v="4"/>
    <n v="30"/>
    <s v="2015"/>
    <s v="04"/>
    <s v="30"/>
    <s v="INICIAL"/>
    <s v="20150430"/>
    <s v="600758170967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9503009910"/>
    <s v="Globos de latex de caucho natural."/>
    <s v="UNIDADES"/>
    <n v="5760"/>
    <n v="25.32"/>
    <n v="27.39"/>
    <n v="4"/>
    <x v="31"/>
    <s v="GUATEMALA"/>
    <s v="ATLÁNTICO"/>
    <s v="ATLÁNTICO"/>
    <s v="BARRANQUILLA"/>
    <s v="201504"/>
    <s v="6027584943164"/>
    <s v="ÚNICO"/>
    <s v="TRANSPORTE MARÍTIMO"/>
    <s v="PANAMÁ"/>
    <s v="EXPORTACIONES DEFINITIVAS"/>
    <s v="EXPORTACIÓN DEFINITIVA DE MERCANCÍAS DE FABRICACIÓN Ó PRODUCCIÓN NACIONAL"/>
    <s v="ALADI"/>
    <s v="NO"/>
    <s v="Dólar de los Estados Unidos de América"/>
    <s v="CON REINTEGRO"/>
    <n v="667.2"/>
    <n v="1593313.63"/>
    <n v="0"/>
    <n v="0"/>
    <n v="0"/>
    <n v="0"/>
    <s v="AMÉRICA"/>
  </r>
  <r>
    <n v="247"/>
    <n v="2015"/>
    <n v="4"/>
    <n v="30"/>
    <s v="2015"/>
    <s v="04"/>
    <s v="30"/>
    <s v="INICIAL"/>
    <s v="20150430"/>
    <s v="600758170968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4911100000"/>
    <s v="Impresos publicitarios, catalogos comerciales y similares."/>
    <s v="KILOGRAMO"/>
    <n v="17.72"/>
    <n v="17.72"/>
    <n v="18.579999999999998"/>
    <n v="1"/>
    <x v="31"/>
    <s v="GUATEMALA"/>
    <s v="ATLÁNTICO"/>
    <s v="ATLÁNTICO"/>
    <s v="BARRANQUILLA"/>
    <s v="201504"/>
    <s v="6027584943481"/>
    <s v="ÚNICO"/>
    <s v="TRANSPORTE MARÍTIMO"/>
    <s v="PANAMÁ"/>
    <s v="EXPORTACIONES DEFINITIVAS"/>
    <s v="EXPORTACION TEMPORAL PARA PERFECCIONAMIENTO PASIVO"/>
    <s v="NINGUNO"/>
    <s v="NO"/>
    <s v="Dólar de los Estados Unidos de América"/>
    <s v="SIN REINTEGRO"/>
    <n v="1.5"/>
    <n v="3582.09"/>
    <n v="0"/>
    <n v="0"/>
    <n v="0"/>
    <n v="0"/>
    <s v="AMÉRICA"/>
  </r>
  <r>
    <n v="248"/>
    <n v="2015"/>
    <n v="4"/>
    <n v="30"/>
    <s v="2015"/>
    <s v="04"/>
    <s v="30"/>
    <s v="INICIAL"/>
    <s v="20150430"/>
    <s v="600758170967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9503009910"/>
    <s v="Globos de latex de caucho natural."/>
    <s v="UNIDADES"/>
    <n v="564500"/>
    <n v="1325.1"/>
    <n v="1433.55"/>
    <n v="1"/>
    <x v="31"/>
    <s v="GUATEMALA"/>
    <s v="ATLÁNTICO"/>
    <s v="ATLÁNTICO"/>
    <s v="BARRANQUILLA"/>
    <s v="201504"/>
    <s v="6027584943164"/>
    <s v="ÚNICO"/>
    <s v="TRANSPORTE MARÍTIMO"/>
    <s v="PANAMÁ"/>
    <s v="EXPORTACIONES DEFINITIVAS"/>
    <s v="EXPORTACIÓN DEFINITIVA DE MERCANCÍAS DE FABRICACIÓN Ó PRODUCCIÓN NACIONAL"/>
    <s v="ALADI"/>
    <s v="NO"/>
    <s v="Dólar de los Estados Unidos de América"/>
    <s v="CON REINTEGRO"/>
    <n v="20187"/>
    <n v="48207767.219999999"/>
    <n v="0"/>
    <n v="0"/>
    <n v="0"/>
    <n v="0"/>
    <s v="AMÉRICA"/>
  </r>
  <r>
    <n v="249"/>
    <n v="2015"/>
    <n v="4"/>
    <n v="30"/>
    <s v="2015"/>
    <s v="04"/>
    <s v="30"/>
    <s v="INICIAL"/>
    <s v="20150430"/>
    <s v="600758170967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9503009910"/>
    <s v="Globos de latex de caucho natural."/>
    <s v="UNIDADES"/>
    <n v="55000"/>
    <n v="118.71"/>
    <n v="128.43"/>
    <n v="2"/>
    <x v="31"/>
    <s v="GUATEMALA"/>
    <s v="ATLÁNTICO"/>
    <s v="ATLÁNTICO"/>
    <s v="BARRANQUILLA"/>
    <s v="201504"/>
    <s v="6027584943164"/>
    <s v="ÚNICO"/>
    <s v="TRANSPORTE MARÍTIMO"/>
    <s v="PANAMÁ"/>
    <s v="EXPORTACIONES DEFINITIVAS"/>
    <s v="EXPORTACIÓN DEFINITIVA DE MERCANCÍAS DE FABRICACIÓN Ó PRODUCCIÓN NACIONAL"/>
    <s v="ALADI"/>
    <s v="NO"/>
    <s v="Dólar de los Estados Unidos de América"/>
    <s v="CON REINTEGRO"/>
    <n v="1749"/>
    <n v="4176716.94"/>
    <n v="0"/>
    <n v="0"/>
    <n v="0"/>
    <n v="0"/>
    <s v="AMÉRICA"/>
  </r>
  <r>
    <n v="250"/>
    <n v="2015"/>
    <n v="4"/>
    <n v="30"/>
    <s v="2015"/>
    <s v="04"/>
    <s v="30"/>
    <s v="INICIAL"/>
    <s v="20150430"/>
    <s v="600758184092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TO WIN IMP. &amp; EXP. CO., LTD"/>
    <s v="no.122 LANE 399 PU QUAN ROAD PU JIAN YI CHENG"/>
    <s v="9503009910"/>
    <s v="Globos de latex de caucho natural."/>
    <s v="UNIDADES"/>
    <n v="6247000"/>
    <n v="12766.34"/>
    <n v="13917.83"/>
    <n v="1"/>
    <x v="13"/>
    <s v="SHANGAI"/>
    <s v="ATLÁNTICO"/>
    <s v="ATLÁNTICO"/>
    <s v="BARRANQUILLA"/>
    <s v="201504"/>
    <s v="6027584938391"/>
    <s v="ÚNICO"/>
    <s v="TRANSPORTE MARÍTIMO"/>
    <s v="PANAMÁ"/>
    <s v="EXPORTACIONES DEFINITIVAS"/>
    <s v="LAS DEMÁS EXPORTACIONES DEFINITIVAS NO INCLUIDAS EN LOS ÍTEMS ANTERIORES"/>
    <s v="NINGUNO"/>
    <s v="NO"/>
    <s v="Dólar de los Estados Unidos de América"/>
    <s v="CON REINTEGRO"/>
    <n v="164215"/>
    <n v="392155272.89999998"/>
    <n v="0"/>
    <n v="878.4"/>
    <n v="412.74"/>
    <n v="0"/>
    <s v="ASIA"/>
  </r>
  <r>
    <n v="251"/>
    <n v="2015"/>
    <n v="4"/>
    <n v="30"/>
    <s v="2015"/>
    <s v="04"/>
    <s v="30"/>
    <s v="INICIAL"/>
    <s v="20150430"/>
    <s v="600758184090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TO WIN IMP. &amp; EXP. CO., LTD"/>
    <s v="no.122 LANE 399 PU QUAN ROAD PU JIAN YI CHENG"/>
    <s v="4902909000"/>
    <s v="Los demás diarios y públicaciones periodicas, impresos, incluso ilustrados o con publicidad."/>
    <s v="UNIDADES"/>
    <n v="150"/>
    <n v="18.41"/>
    <n v="19.34"/>
    <n v="1"/>
    <x v="13"/>
    <s v="SHANGAI"/>
    <s v="ATLÁNTICO"/>
    <s v="ATLÁNTICO"/>
    <s v="BARRANQUILLA"/>
    <s v="201504"/>
    <s v="6027584938350"/>
    <s v="ÚNICO"/>
    <s v="TRANSPORTE MARÍTIMO"/>
    <s v="PANAMÁ"/>
    <s v="EXPORTACIONES DEFINITIVAS"/>
    <s v="EXPORTACION TEMPORAL PARA PERFECCIONAMIENTO PASIVO"/>
    <s v="NINGUNO"/>
    <s v="NO"/>
    <s v="Dólar de los Estados Unidos de América"/>
    <s v="SIN REINTEGRO"/>
    <n v="3"/>
    <n v="7164.18"/>
    <n v="0"/>
    <n v="0"/>
    <n v="0"/>
    <n v="0"/>
    <s v="ASIA"/>
  </r>
  <r>
    <n v="252"/>
    <n v="2015"/>
    <n v="4"/>
    <n v="30"/>
    <s v="2015"/>
    <s v="04"/>
    <s v="30"/>
    <s v="INICIAL"/>
    <s v="20150430"/>
    <s v="600758184092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TO WIN IMP. &amp; EXP. CO., LTD"/>
    <s v="no.122 LANE 399 PU QUAN ROAD PU JIAN YI CHENG"/>
    <s v="9503009910"/>
    <s v="Globos de latex de caucho natural."/>
    <s v="UNIDADES"/>
    <n v="202000"/>
    <n v="421.98"/>
    <n v="460.04"/>
    <n v="2"/>
    <x v="13"/>
    <s v="SHANGAI"/>
    <s v="ATLÁNTICO"/>
    <s v="ATLÁNTICO"/>
    <s v="BARRANQUILLA"/>
    <s v="201504"/>
    <s v="6027584938391"/>
    <s v="ÚNICO"/>
    <s v="TRANSPORTE MARÍTIMO"/>
    <s v="PANAMÁ"/>
    <s v="EXPORTACIONES DEFINITIVAS"/>
    <s v="LAS DEMÁS EXPORTACIONES DEFINITIVAS NO INCLUIDAS EN LOS ÍTEMS ANTERIORES"/>
    <s v="NINGUNO"/>
    <s v="NO"/>
    <s v="Dólar de los Estados Unidos de América"/>
    <s v="CON REINTEGRO"/>
    <n v="5808"/>
    <n v="13869852.48"/>
    <n v="0"/>
    <n v="31.07"/>
    <n v="14.6"/>
    <n v="0"/>
    <s v="ASIA"/>
  </r>
  <r>
    <n v="253"/>
    <n v="2015"/>
    <n v="4"/>
    <n v="30"/>
    <s v="2015"/>
    <s v="04"/>
    <s v="30"/>
    <s v="INICIAL"/>
    <s v="20150430"/>
    <s v="600758184092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TO WIN IMP. &amp; EXP. CO., LTD"/>
    <s v="no.122 LANE 399 PU QUAN ROAD PU JIAN YI CHENG"/>
    <s v="9503009910"/>
    <s v="Globos de latex de caucho natural."/>
    <s v="UNIDADES"/>
    <n v="28500"/>
    <n v="153.69999999999999"/>
    <n v="167.56"/>
    <n v="3"/>
    <x v="13"/>
    <s v="SHANGAI"/>
    <s v="ATLÁNTICO"/>
    <s v="ATLÁNTICO"/>
    <s v="BARRANQUILLA"/>
    <s v="201504"/>
    <s v="6027584938391"/>
    <s v="ÚNICO"/>
    <s v="TRANSPORTE MARÍTIMO"/>
    <s v="PANAMÁ"/>
    <s v="EXPORTACIONES DEFINITIVAS"/>
    <s v="LAS DEMÁS EXPORTACIONES DEFINITIVAS NO INCLUIDAS EN LOS ÍTEMS ANTERIORES"/>
    <s v="NINGUNO"/>
    <s v="NO"/>
    <s v="Dólar de los Estados Unidos de América"/>
    <s v="CON REINTEGRO"/>
    <n v="3838"/>
    <n v="9165374.2799999993"/>
    <n v="0"/>
    <n v="20.53"/>
    <n v="9.65"/>
    <n v="0"/>
    <s v="ASIA"/>
  </r>
  <r>
    <n v="254"/>
    <n v="2015"/>
    <n v="4"/>
    <n v="30"/>
    <s v="2015"/>
    <s v="04"/>
    <s v="30"/>
    <s v="INICIAL"/>
    <s v="20150430"/>
    <s v="600758184093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UZUKI LATEX INDUSTRY CO, LTD."/>
    <s v="1-9-1, NAKASE, MIHAMA-KU, CHIBA261-0023, JAPAN"/>
    <s v="9503009910"/>
    <s v="Globos de latex de caucho natural."/>
    <s v="UNIDADES"/>
    <n v="2909500"/>
    <n v="6068.18"/>
    <n v="6615.02"/>
    <n v="1"/>
    <x v="8"/>
    <s v="YOKOHAMA"/>
    <s v="ATLÁNTICO"/>
    <s v="ATLÁNTICO"/>
    <s v="BARRANQUILLA"/>
    <s v="201504"/>
    <s v="6027584953398"/>
    <s v="ÚNICO"/>
    <s v="TRANSPORTE MARÍTIMO"/>
    <s v="PANAMÁ"/>
    <s v="EXPORTACIONES DEFINITIVAS"/>
    <s v="EXPORTACIÓN DEFINITIVA DE MERCANCÍAS DE FABRICACIÓN Ó PRODUCCIÓN NACIONAL"/>
    <s v="NINGUNO"/>
    <s v="NO"/>
    <s v="Dólar de los Estados Unidos de América"/>
    <s v="CON REINTEGRO"/>
    <n v="87196.15"/>
    <n v="208229637.97"/>
    <n v="0"/>
    <n v="1005"/>
    <n v="220.5"/>
    <n v="0"/>
    <s v="ASIA"/>
  </r>
  <r>
    <n v="255"/>
    <n v="2015"/>
    <n v="4"/>
    <n v="30"/>
    <s v="2015"/>
    <s v="04"/>
    <s v="30"/>
    <s v="INICIAL"/>
    <s v="20150430"/>
    <s v="600758184109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amp;S TRADING COMPANY"/>
    <s v="UNIT 01, 11/F., BLOCK A KO FAI INDUSTRIAL BUILDING 7 KO FAID ROAD"/>
    <s v="9503009910"/>
    <s v="Globos de latex de caucho natural."/>
    <s v="UNIDADES"/>
    <n v="1173000"/>
    <n v="2480.16"/>
    <n v="2694.33"/>
    <n v="2"/>
    <x v="30"/>
    <s v="KOWLOON"/>
    <s v="ATLÁNTICO"/>
    <s v="ATLÁNTICO"/>
    <s v="BARRANQUILLA"/>
    <s v="201504"/>
    <s v="6027585133174"/>
    <s v="ÚNICO"/>
    <s v="TRANSPORTE MARÍTIMO"/>
    <s v="PANAMÁ"/>
    <s v="EXPORTACIONES DEFINITIVAS"/>
    <s v="EXPORTACIÓN DEFINITIVA DE MERCANCÍAS DE FABRICACIÓN Ó PRODUCCIÓN NACIONAL"/>
    <s v="NINGUNO"/>
    <s v="NO"/>
    <s v="Dólar de los Estados Unidos de América"/>
    <s v="CON REINTEGRO"/>
    <n v="39638.199999999997"/>
    <n v="94658399.890000001"/>
    <n v="0"/>
    <n v="260.56"/>
    <n v="0"/>
    <n v="0"/>
    <s v="ASIA"/>
  </r>
  <r>
    <n v="256"/>
    <n v="2015"/>
    <n v="4"/>
    <n v="30"/>
    <s v="2015"/>
    <s v="04"/>
    <s v="30"/>
    <s v="INICIAL"/>
    <s v="20150430"/>
    <s v="600758184109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amp;S TRADING COMPANY"/>
    <s v="UNIT 01, 11/F., BLOCK A KO FAI INDUSTRIAL BUILDING 7 KO FAID ROAD"/>
    <s v="9503009910"/>
    <s v="Globos de latex de caucho natural."/>
    <s v="UNIDADES"/>
    <n v="15000"/>
    <n v="51.75"/>
    <n v="56.22"/>
    <n v="3"/>
    <x v="30"/>
    <s v="KOWLOON"/>
    <s v="ATLÁNTICO"/>
    <s v="ATLÁNTICO"/>
    <s v="BARRANQUILLA"/>
    <s v="201504"/>
    <s v="6027585133174"/>
    <s v="ÚNICO"/>
    <s v="TRANSPORTE MARÍTIMO"/>
    <s v="PANAMÁ"/>
    <s v="EXPORTACIONES DEFINITIVAS"/>
    <s v="EXPORTACIÓN DEFINITIVA DE MERCANCÍAS DE FABRICACIÓN Ó PRODUCCIÓN NACIONAL"/>
    <s v="NINGUNO"/>
    <s v="NO"/>
    <s v="Dólar de los Estados Unidos de América"/>
    <s v="CON REINTEGRO"/>
    <n v="1177.5"/>
    <n v="2811940.65"/>
    <n v="0"/>
    <n v="7.74"/>
    <n v="0"/>
    <n v="0"/>
    <s v="ASIA"/>
  </r>
  <r>
    <n v="257"/>
    <n v="2015"/>
    <n v="4"/>
    <n v="30"/>
    <s v="2015"/>
    <s v="04"/>
    <s v="30"/>
    <s v="INICIAL"/>
    <s v="20150430"/>
    <s v="600758184110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amp;S TRADING COMPANY"/>
    <s v="UNIT 01, 11/F., BLOCK A KO FAI INDUSTRIAL BUILDING 7 KO FAID ROAD"/>
    <s v="4902909000"/>
    <s v="Los demás diarios y públicaciones periodicas, impresos, incluso ilustrados o con publicidad."/>
    <s v="UNIDADES"/>
    <n v="150"/>
    <n v="22.57"/>
    <n v="23.5"/>
    <n v="1"/>
    <x v="30"/>
    <s v="KOWLOON"/>
    <s v="ATLÁNTICO"/>
    <s v="ATLÁNTICO"/>
    <s v="BARRANQUILLA"/>
    <s v="201504"/>
    <s v="6027585133221"/>
    <s v="ÚNICO"/>
    <s v="TRANSPORTE MARÍTIMO"/>
    <s v="PANAMÁ"/>
    <s v="EXPORTACIONES DEFINITIVAS"/>
    <s v="EXPORTACION TEMPORAL PARA PERFECCIONAMIENTO PASIVO"/>
    <s v="NINGUNO"/>
    <s v="NO"/>
    <s v="Dólar de los Estados Unidos de América"/>
    <s v="SIN REINTEGRO"/>
    <n v="7.5"/>
    <n v="17910.45"/>
    <n v="0"/>
    <n v="0"/>
    <n v="0"/>
    <n v="0"/>
    <s v="ASIA"/>
  </r>
  <r>
    <n v="258"/>
    <n v="2015"/>
    <n v="4"/>
    <n v="30"/>
    <s v="2015"/>
    <s v="04"/>
    <s v="30"/>
    <s v="INICIAL"/>
    <s v="20150430"/>
    <s v="60075818411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716500"/>
    <n v="1360.81"/>
    <n v="1484.11"/>
    <n v="1"/>
    <x v="17"/>
    <s v="SEOUL"/>
    <s v="ATLÁNTICO"/>
    <s v="ATLÁNTICO"/>
    <s v="BARRANQUILLA"/>
    <s v="201504"/>
    <s v="6027585133554"/>
    <s v="ÚNICO"/>
    <s v="TRANSPORTE MARÍTIMO"/>
    <s v="PANAMÁ"/>
    <s v="EXPORTACIONES DEFINITIVAS"/>
    <s v="EXPORTACIÓN DEFINITIVA DE MERCANCÍAS DE FABRICACIÓN Ó PRODUCCIÓN NACIONAL"/>
    <s v="NINGUNO"/>
    <s v="NO"/>
    <s v="Dólar de los Estados Unidos de América"/>
    <s v="CON REINTEGRO"/>
    <n v="19614.400000000001"/>
    <n v="46840364.060000002"/>
    <n v="0"/>
    <n v="454.38"/>
    <n v="50.17"/>
    <n v="300.64"/>
    <s v="ASIA"/>
  </r>
  <r>
    <n v="259"/>
    <n v="2015"/>
    <n v="4"/>
    <n v="30"/>
    <s v="2015"/>
    <s v="04"/>
    <s v="30"/>
    <s v="INICIAL"/>
    <s v="20150430"/>
    <s v="60075818411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826000"/>
    <n v="1552.02"/>
    <n v="1692.65"/>
    <n v="2"/>
    <x v="17"/>
    <s v="SEOUL"/>
    <s v="ATLÁNTICO"/>
    <s v="ATLÁNTICO"/>
    <s v="BARRANQUILLA"/>
    <s v="201504"/>
    <s v="6027585133554"/>
    <s v="ÚNICO"/>
    <s v="TRANSPORTE MARÍTIMO"/>
    <s v="PANAMÁ"/>
    <s v="EXPORTACIONES DEFINITIVAS"/>
    <s v="EXPORTACIÓN DEFINITIVA DE MERCANCÍAS DE FABRICACIÓN Ó PRODUCCIÓN NACIONAL"/>
    <s v="NINGUNO"/>
    <s v="NO"/>
    <s v="Dólar de los Estados Unidos de América"/>
    <s v="CON REINTEGRO"/>
    <n v="20636.8"/>
    <n v="49281916.609999999"/>
    <n v="0"/>
    <n v="478.07"/>
    <n v="52.79"/>
    <n v="316.31"/>
    <s v="ASIA"/>
  </r>
  <r>
    <n v="260"/>
    <n v="2015"/>
    <n v="4"/>
    <n v="30"/>
    <s v="2015"/>
    <s v="04"/>
    <s v="30"/>
    <s v="INICIAL"/>
    <s v="20150430"/>
    <s v="60075818411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9000"/>
    <n v="32.450000000000003"/>
    <n v="35.39"/>
    <n v="3"/>
    <x v="17"/>
    <s v="SEOUL"/>
    <s v="ATLÁNTICO"/>
    <s v="ATLÁNTICO"/>
    <s v="BARRANQUILLA"/>
    <s v="201504"/>
    <s v="6027585133554"/>
    <s v="ÚNICO"/>
    <s v="TRANSPORTE MARÍTIMO"/>
    <s v="PANAMÁ"/>
    <s v="EXPORTACIONES DEFINITIVAS"/>
    <s v="EXPORTACIÓN DEFINITIVA DE MERCANCÍAS DE FABRICACIÓN Ó PRODUCCIÓN NACIONAL"/>
    <s v="NINGUNO"/>
    <s v="NO"/>
    <s v="Dólar de los Estados Unidos de América"/>
    <s v="CON REINTEGRO"/>
    <n v="702"/>
    <n v="1676418.12"/>
    <n v="0"/>
    <n v="16.260000000000002"/>
    <n v="1.8"/>
    <n v="10.76"/>
    <s v="ASIA"/>
  </r>
  <r>
    <n v="261"/>
    <n v="2015"/>
    <n v="4"/>
    <n v="30"/>
    <s v="2015"/>
    <s v="04"/>
    <s v="30"/>
    <s v="INICIAL"/>
    <s v="20150430"/>
    <s v="600758184109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amp;S TRADING COMPANY"/>
    <s v="UNIT 01, 11/F., BLOCK A KO FAI INDUSTRIAL BUILDING 7 KO FAID ROAD"/>
    <s v="9503009910"/>
    <s v="Globos de latex de caucho natural."/>
    <s v="UNIDADES"/>
    <n v="3685000"/>
    <n v="7666.88"/>
    <n v="8328.9500000000007"/>
    <n v="1"/>
    <x v="30"/>
    <s v="KOWLOON"/>
    <s v="ATLÁNTICO"/>
    <s v="ATLÁNTICO"/>
    <s v="BARRANQUILLA"/>
    <s v="201504"/>
    <s v="6027585133174"/>
    <s v="ÚNICO"/>
    <s v="TRANSPORTE MARÍTIMO"/>
    <s v="PANAMÁ"/>
    <s v="EXPORTACIONES DEFINITIVAS"/>
    <s v="EXPORTACIÓN DEFINITIVA DE MERCANCÍAS DE FABRICACIÓN Ó PRODUCCIÓN NACIONAL"/>
    <s v="NINGUNO"/>
    <s v="NO"/>
    <s v="Dólar de los Estados Unidos de América"/>
    <s v="CON REINTEGRO"/>
    <n v="111314.1"/>
    <n v="265824749.65000001"/>
    <n v="0"/>
    <n v="731.7"/>
    <n v="0"/>
    <n v="0"/>
    <s v="ASIA"/>
  </r>
  <r>
    <n v="262"/>
    <n v="2015"/>
    <n v="4"/>
    <n v="30"/>
    <s v="2015"/>
    <s v="04"/>
    <s v="30"/>
    <s v="INICIAL"/>
    <s v="20150430"/>
    <s v="60075818411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27000"/>
    <n v="103.11"/>
    <n v="112.45"/>
    <n v="4"/>
    <x v="17"/>
    <s v="SEOUL"/>
    <s v="ATLÁNTICO"/>
    <s v="ATLÁNTICO"/>
    <s v="BARRANQUILLA"/>
    <s v="201504"/>
    <s v="6027585133554"/>
    <s v="ÚNICO"/>
    <s v="TRANSPORTE MARÍTIMO"/>
    <s v="PANAMÁ"/>
    <s v="EXPORTACIONES DEFINITIVAS"/>
    <s v="EXPORTACIÓN DEFINITIVA DE MERCANCÍAS DE FABRICACIÓN Ó PRODUCCIÓN NACIONAL"/>
    <s v="NINGUNO"/>
    <s v="NO"/>
    <s v="Dólar de los Estados Unidos de América"/>
    <s v="CON REINTEGRO"/>
    <n v="2214"/>
    <n v="5287164.84"/>
    <n v="0"/>
    <n v="51.29"/>
    <n v="5.66"/>
    <n v="33.93"/>
    <s v="ASIA"/>
  </r>
  <r>
    <n v="263"/>
    <n v="2015"/>
    <n v="5"/>
    <n v="4"/>
    <s v="2015"/>
    <s v="05"/>
    <s v="04"/>
    <s v="INICIAL"/>
    <s v="20150504"/>
    <s v="600758189961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385000"/>
    <n v="887.44"/>
    <n v="963.46"/>
    <n v="2"/>
    <x v="32"/>
    <s v="HAMINA"/>
    <s v="ATLÁNTICO"/>
    <s v="ATLÁNTICO"/>
    <s v="CARTAGENA"/>
    <s v="201504"/>
    <s v="6027584618971"/>
    <s v="ÚNICO"/>
    <s v="TRANSPORTE MARÍTIMO"/>
    <s v="CHIPRE"/>
    <s v="EXPORTACIONES DEFINITIVAS"/>
    <s v="EXPORTACIÓN DEFINITIVA DE MERCANCÍAS DE FABRICACIÓN Ó PRODUCCIÓN NACIONAL"/>
    <s v="NINGUNO"/>
    <s v="NO"/>
    <s v="Dólar de los Estados Unidos de América"/>
    <s v="CON REINTEGRO"/>
    <n v="11865.8"/>
    <n v="28401741.559999999"/>
    <n v="0"/>
    <n v="192.88"/>
    <n v="30.15"/>
    <n v="0"/>
    <s v="EUROPA"/>
  </r>
  <r>
    <n v="264"/>
    <n v="2015"/>
    <n v="5"/>
    <n v="4"/>
    <s v="2015"/>
    <s v="05"/>
    <s v="04"/>
    <s v="INICIAL"/>
    <s v="20150504"/>
    <s v="600758189961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537000"/>
    <n v="1832.79"/>
    <n v="1989.79"/>
    <n v="3"/>
    <x v="32"/>
    <s v="HAMINA"/>
    <s v="ATLÁNTICO"/>
    <s v="ATLÁNTICO"/>
    <s v="CARTAGENA"/>
    <s v="201504"/>
    <s v="6027584618971"/>
    <s v="ÚNICO"/>
    <s v="TRANSPORTE MARÍTIMO"/>
    <s v="CHIPRE"/>
    <s v="EXPORTACIONES DEFINITIVAS"/>
    <s v="EXPORTACIÓN DEFINITIVA DE MERCANCÍAS DE FABRICACIÓN Ó PRODUCCIÓN NACIONAL"/>
    <s v="NINGUNO"/>
    <s v="NO"/>
    <s v="Dólar de los Estados Unidos de América"/>
    <s v="CON REINTEGRO"/>
    <n v="44092"/>
    <n v="105537729.36"/>
    <n v="0"/>
    <n v="716.71"/>
    <n v="112.02"/>
    <n v="0"/>
    <s v="EUROPA"/>
  </r>
  <r>
    <n v="265"/>
    <n v="2015"/>
    <n v="5"/>
    <n v="4"/>
    <s v="2015"/>
    <s v="05"/>
    <s v="04"/>
    <s v="INICIAL"/>
    <s v="20150504"/>
    <s v="6007581899623"/>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3000"/>
    <n v="12.57"/>
    <n v="13.5"/>
    <n v="1"/>
    <x v="32"/>
    <s v="HAMINA"/>
    <s v="ATLÁNTICO"/>
    <s v="ATLÁNTICO"/>
    <s v="CARTAGENA"/>
    <s v="201504"/>
    <s v="6027584619193"/>
    <s v="ÚNICO"/>
    <s v="TRANSPORTE MARÍTIMO"/>
    <s v="CHIPRE"/>
    <s v="EXPORTACIONES DEFINITIVAS"/>
    <s v="EXPORTACIÓN DEFINITIVA DE MERCANCÍAS DE FABRICACIÓN Ó PRODUCCIÓN NACIONAL"/>
    <s v="NINGUNO"/>
    <s v="NO"/>
    <s v="Dólar de los Estados Unidos de América"/>
    <s v="CON REINTEGRO"/>
    <n v="279"/>
    <n v="667808.81999999995"/>
    <n v="0"/>
    <n v="50"/>
    <n v="12"/>
    <n v="0"/>
    <s v="EUROPA"/>
  </r>
  <r>
    <n v="266"/>
    <n v="2015"/>
    <n v="5"/>
    <n v="4"/>
    <s v="2015"/>
    <s v="05"/>
    <s v="04"/>
    <s v="INICIAL"/>
    <s v="20150504"/>
    <s v="600758189961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1634000"/>
    <n v="3641.87"/>
    <n v="3953.83"/>
    <n v="1"/>
    <x v="32"/>
    <s v="HAMINA"/>
    <s v="ATLÁNTICO"/>
    <s v="ATLÁNTICO"/>
    <s v="CARTAGENA"/>
    <s v="201504"/>
    <s v="6027584618971"/>
    <s v="ÚNICO"/>
    <s v="TRANSPORTE MARÍTIMO"/>
    <s v="CHIPRE"/>
    <s v="EXPORTACIONES DEFINITIVAS"/>
    <s v="EXPORTACIÓN DEFINITIVA DE MERCANCÍAS DE FABRICACIÓN Ó PRODUCCIÓN NACIONAL"/>
    <s v="NINGUNO"/>
    <s v="NO"/>
    <s v="Dólar de los Estados Unidos de América"/>
    <s v="CON REINTEGRO"/>
    <n v="45550.5"/>
    <n v="109028765.79000001"/>
    <n v="0"/>
    <n v="740.42"/>
    <n v="115.73"/>
    <n v="0"/>
    <s v="EUROPA"/>
  </r>
  <r>
    <n v="267"/>
    <n v="2015"/>
    <n v="5"/>
    <n v="8"/>
    <s v="2015"/>
    <s v="05"/>
    <s v="08"/>
    <s v="INICIAL"/>
    <s v="20150508"/>
    <s v="60075821115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COMERCIAL REUTTER S.A."/>
    <s v="AV. EL SALTO 4447, HUECHURABA"/>
    <s v="9503009910"/>
    <s v="Globos de latex de caucho natural."/>
    <s v="UNIDADES"/>
    <n v="5986500"/>
    <n v="11750.69"/>
    <n v="13879.77"/>
    <n v="1"/>
    <x v="9"/>
    <s v="SANTIAGO"/>
    <s v="ATLÁNTICO"/>
    <s v="ATLÁNTICO"/>
    <s v="BARRANQUILLA"/>
    <s v="201505"/>
    <s v="6027585365338"/>
    <s v="ÚNICO"/>
    <s v="TRANSPORTE MARÍTIMO"/>
    <s v="MARSHALL ISLAS"/>
    <s v="EXPORTACIONES DEFINITIVAS"/>
    <s v="EXPORTACIÓN DEFINITIVA DE MERCANCÍAS DE FABRICACIÓN Ó PRODUCCIÓN NACIONAL"/>
    <s v="NINGUNO"/>
    <s v="NO"/>
    <s v="Dólar de los Estados Unidos de América"/>
    <s v="CON REINTEGRO"/>
    <n v="159912"/>
    <n v="378868307.75999999"/>
    <n v="0"/>
    <n v="0"/>
    <n v="0"/>
    <n v="0"/>
    <s v="AMÉRICA"/>
  </r>
  <r>
    <n v="268"/>
    <n v="2015"/>
    <n v="5"/>
    <n v="8"/>
    <s v="2015"/>
    <s v="05"/>
    <s v="08"/>
    <s v="INICIAL"/>
    <s v="20150508"/>
    <s v="60075821115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COMERCIAL REUTTER S.A."/>
    <s v="AV. EL SALTO 4447, HUECHURABA"/>
    <s v="9503009910"/>
    <s v="Globos de latex de caucho natural."/>
    <s v="UNIDADES"/>
    <n v="621000"/>
    <n v="1165.44"/>
    <n v="1376.6"/>
    <n v="2"/>
    <x v="9"/>
    <s v="SANTIAGO"/>
    <s v="ATLÁNTICO"/>
    <s v="ATLÁNTICO"/>
    <s v="BARRANQUILLA"/>
    <s v="201505"/>
    <s v="6027585365338"/>
    <s v="ÚNICO"/>
    <s v="TRANSPORTE MARÍTIMO"/>
    <s v="MARSHALL ISLAS"/>
    <s v="EXPORTACIONES DEFINITIVAS"/>
    <s v="EXPORTACIÓN DEFINITIVA DE MERCANCÍAS DE FABRICACIÓN Ó PRODUCCIÓN NACIONAL"/>
    <s v="NINGUNO"/>
    <s v="NO"/>
    <s v="Dólar de los Estados Unidos de América"/>
    <s v="CON REINTEGRO"/>
    <n v="17766"/>
    <n v="42091740.18"/>
    <n v="0"/>
    <n v="0"/>
    <n v="0"/>
    <n v="0"/>
    <s v="AMÉRICA"/>
  </r>
  <r>
    <n v="269"/>
    <n v="2015"/>
    <n v="5"/>
    <n v="8"/>
    <s v="2015"/>
    <s v="05"/>
    <s v="08"/>
    <s v="INICIAL"/>
    <s v="20150508"/>
    <s v="60075821115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COMERCIAL REUTTER S.A."/>
    <s v="AV. EL SALTO 4447, HUECHURABA"/>
    <s v="9503009910"/>
    <s v="Globos de latex de caucho natural."/>
    <s v="UNIDADES"/>
    <n v="69000"/>
    <n v="270.02"/>
    <n v="318.94"/>
    <n v="3"/>
    <x v="9"/>
    <s v="SANTIAGO"/>
    <s v="ATLÁNTICO"/>
    <s v="ATLÁNTICO"/>
    <s v="BARRANQUILLA"/>
    <s v="201505"/>
    <s v="6027585365338"/>
    <s v="ÚNICO"/>
    <s v="TRANSPORTE MARÍTIMO"/>
    <s v="MARSHALL ISLAS"/>
    <s v="EXPORTACIONES DEFINITIVAS"/>
    <s v="EXPORTACIÓN DEFINITIVA DE MERCANCÍAS DE FABRICACIÓN Ó PRODUCCIÓN NACIONAL"/>
    <s v="NINGUNO"/>
    <s v="NO"/>
    <s v="Dólar de los Estados Unidos de América"/>
    <s v="CON REINTEGRO"/>
    <n v="7203.6"/>
    <n v="17066985.23"/>
    <n v="0"/>
    <n v="0"/>
    <n v="0"/>
    <n v="0"/>
    <s v="AMÉRICA"/>
  </r>
  <r>
    <n v="270"/>
    <n v="2015"/>
    <n v="5"/>
    <n v="15"/>
    <s v="2015"/>
    <s v="05"/>
    <s v="15"/>
    <s v="INICIAL"/>
    <s v="20150515"/>
    <s v="600758241925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PON INDUSTRIAL CO.LIMITED"/>
    <s v="FLAT A-11, 7/F, HOW MING FACTYORY BUILDING, 99 HOW MING STREET, KWUN TONG, KOWLO"/>
    <s v="9503009910"/>
    <s v="Globos de latex de caucho natural."/>
    <s v="UNIDADES"/>
    <n v="4526000"/>
    <n v="14395.9"/>
    <n v="15460.88"/>
    <n v="1"/>
    <x v="30"/>
    <s v="KOWLOON"/>
    <s v="ATLÁNTICO"/>
    <s v="ATLÁNTICO"/>
    <s v="BARRANQUILLA"/>
    <s v="201505"/>
    <s v="6027585573879"/>
    <s v="ÚNICO"/>
    <s v="TRANSPORTE MARÍTIMO"/>
    <s v="PANAMÁ"/>
    <s v="EXPORTACIONES DEFINITIVAS"/>
    <s v="EXPORTACIÓN DEFINITIVA DE MERCANCÍAS DE FABRICACIÓN Ó PRODUCCIÓN NACIONAL"/>
    <s v="NINGUNO"/>
    <s v="NO"/>
    <s v="Dólar de los Estados Unidos de América"/>
    <s v="CON REINTEGRO"/>
    <n v="189264.64000000001"/>
    <n v="452245964.63"/>
    <n v="0"/>
    <n v="891.19"/>
    <n v="480.13"/>
    <n v="0"/>
    <s v="ASIA"/>
  </r>
  <r>
    <n v="271"/>
    <n v="2015"/>
    <n v="5"/>
    <n v="15"/>
    <s v="2015"/>
    <s v="05"/>
    <s v="15"/>
    <s v="INICIAL"/>
    <s v="20150515"/>
    <s v="600758241925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PON INDUSTRIAL CO.LIMITED"/>
    <s v="FLAT A-11, 7/F, HOW MING FACTYORY BUILDING, 99 HOW MING STREET, KWUN TONG, KOWLO"/>
    <s v="9503009910"/>
    <s v="Globos de latex de caucho natural."/>
    <s v="UNIDADES"/>
    <n v="500000"/>
    <n v="1934.29"/>
    <n v="2077.38"/>
    <n v="2"/>
    <x v="30"/>
    <s v="KOWLOON"/>
    <s v="ATLÁNTICO"/>
    <s v="ATLÁNTICO"/>
    <s v="BARRANQUILLA"/>
    <s v="201505"/>
    <s v="6027585573879"/>
    <s v="ÚNICO"/>
    <s v="TRANSPORTE MARÍTIMO"/>
    <s v="PANAMÁ"/>
    <s v="EXPORTACIONES DEFINITIVAS"/>
    <s v="EXPORTACIÓN DEFINITIVA DE MERCANCÍAS DE FABRICACIÓN Ó PRODUCCIÓN NACIONAL"/>
    <s v="NINGUNO"/>
    <s v="NO"/>
    <s v="Dólar de los Estados Unidos de América"/>
    <s v="CON REINTEGRO"/>
    <n v="23108.6"/>
    <n v="55217768.609999999"/>
    <n v="0"/>
    <n v="108.81"/>
    <n v="58.62"/>
    <n v="0"/>
    <s v="ASIA"/>
  </r>
  <r>
    <n v="272"/>
    <n v="2015"/>
    <n v="5"/>
    <n v="15"/>
    <s v="2015"/>
    <s v="05"/>
    <s v="15"/>
    <s v="INICIAL"/>
    <s v="20150515"/>
    <s v="600758241944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4230000"/>
    <n v="8632.4"/>
    <n v="9160.2900000000009"/>
    <n v="1"/>
    <x v="2"/>
    <s v="SAINT LOUIS"/>
    <s v="ATLÁNTICO"/>
    <s v="ATLÁNTICO"/>
    <s v="BARRANQUILLA"/>
    <s v="201505"/>
    <s v="6027585734559"/>
    <s v="ÚNICO"/>
    <s v="TRANSPORTE MARÍTIMO"/>
    <s v="PANAMÁ"/>
    <s v="EXPORTACIONES DEFINITIVAS"/>
    <s v="EXPORTACIÓN DEFINITIVA DE MERCANCÍAS DE FABRICACIÓN Ó PRODUCCIÓN NACIONAL"/>
    <s v="NINGUNO"/>
    <s v="NO"/>
    <s v="Dólar de los Estados Unidos de América"/>
    <s v="CON REINTEGRO"/>
    <n v="94479.56"/>
    <n v="225757963.81999999"/>
    <n v="0"/>
    <n v="2729.74"/>
    <n v="0"/>
    <n v="1045.3"/>
    <s v="AMÉRICA"/>
  </r>
  <r>
    <n v="273"/>
    <n v="2015"/>
    <n v="5"/>
    <n v="15"/>
    <s v="2015"/>
    <s v="05"/>
    <s v="15"/>
    <s v="INICIAL"/>
    <s v="20150515"/>
    <s v="600758241944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400"/>
    <n v="13.79"/>
    <n v="14.63"/>
    <n v="2"/>
    <x v="2"/>
    <s v="SAINT LOUIS"/>
    <s v="ATLÁNTICO"/>
    <s v="ATLÁNTICO"/>
    <s v="BARRANQUILLA"/>
    <s v="201505"/>
    <s v="6027585734559"/>
    <s v="ÚNICO"/>
    <s v="TRANSPORTE MARÍTIMO"/>
    <s v="PANAMÁ"/>
    <s v="EXPORTACIONES DEFINITIVAS"/>
    <s v="EXPORTACIÓN DEFINITIVA DE MERCANCÍAS DE FABRICACIÓN Ó PRODUCCIÓN NACIONAL"/>
    <s v="NINGUNO"/>
    <s v="NO"/>
    <s v="Dólar de los Estados Unidos de América"/>
    <s v="CON REINTEGRO"/>
    <n v="424.4"/>
    <n v="1014099.56"/>
    <n v="0"/>
    <n v="12.26"/>
    <n v="0"/>
    <n v="4.7"/>
    <s v="AMÉRICA"/>
  </r>
  <r>
    <n v="274"/>
    <n v="2015"/>
    <n v="5"/>
    <n v="15"/>
    <s v="2015"/>
    <s v="05"/>
    <s v="15"/>
    <s v="INICIAL"/>
    <s v="20150515"/>
    <s v="600758241945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3923299000"/>
    <s v="Sacos (bolsas), bolsitas y cucuruchos."/>
    <s v="UNIDADES"/>
    <n v="41000"/>
    <n v="206.65"/>
    <n v="215.02"/>
    <n v="1"/>
    <x v="2"/>
    <s v="SAINT LOUIS"/>
    <s v="ATLÁNTICO"/>
    <s v="ATLÁNTICO"/>
    <s v="BARRANQUILLA"/>
    <s v="201505"/>
    <s v="6027585735858"/>
    <s v="ÚNICO"/>
    <s v="TRANSPORTE MARÍTIMO"/>
    <s v="PANAMÁ"/>
    <s v="EXPORTACIONES DEFINITIVAS"/>
    <s v="EXPORTACIÓN DEFINITIVA DE MERCANCÍAS DE FABRICACIÓN Ó PRODUCCIÓN NACIONAL"/>
    <s v="NINGUNO"/>
    <s v="NO"/>
    <s v="Dólar de los Estados Unidos de América"/>
    <s v="CON REINTEGRO"/>
    <n v="983"/>
    <n v="2348868.67"/>
    <n v="0"/>
    <n v="44"/>
    <n v="0"/>
    <n v="0"/>
    <s v="AMÉRICA"/>
  </r>
  <r>
    <n v="275"/>
    <n v="2015"/>
    <n v="5"/>
    <n v="21"/>
    <s v="2015"/>
    <s v="05"/>
    <s v="21"/>
    <s v="INICIAL"/>
    <s v="20150521"/>
    <s v="600758261405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OAKTREE UK LIMITED."/>
    <s v="66 James Carter Road, Industrial Estate Mildenhall, Suffokl IP28 7DE"/>
    <s v="9503009910"/>
    <s v="Globos de latex de caucho natural."/>
    <s v="UNIDADES"/>
    <n v="417500"/>
    <n v="1045.52"/>
    <n v="1176.75"/>
    <n v="1"/>
    <x v="33"/>
    <s v="ENGLAND"/>
    <s v="ATLÁNTICO"/>
    <s v="ATLÁNTICO"/>
    <s v="CARTAGENA"/>
    <s v="201505"/>
    <s v="6027585365171"/>
    <s v="ÚNICO"/>
    <s v="TRANSPORTE MARÍTIMO"/>
    <s v="SINGAPUR"/>
    <s v="EXPORTACIONES DEFINITIVAS"/>
    <s v="EXPORTACIÓN DEFINITIVA DE MERCANCÍAS DE FABRICACIÓN Ó PRODUCCIÓN NACIONAL"/>
    <s v="NINGUNO"/>
    <s v="NO"/>
    <s v="Dólar de los Estados Unidos de América"/>
    <s v="CON REINTEGRO"/>
    <n v="14323.7"/>
    <n v="35857520.869999997"/>
    <n v="0"/>
    <n v="425.36"/>
    <n v="0"/>
    <n v="0"/>
    <s v="EUROPA"/>
  </r>
  <r>
    <n v="276"/>
    <n v="2015"/>
    <n v="5"/>
    <n v="21"/>
    <s v="2015"/>
    <s v="05"/>
    <s v="21"/>
    <s v="INICIAL"/>
    <s v="20150521"/>
    <s v="600758261405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OAKTREE UK LIMITED."/>
    <s v="66 James Carter Road, Industrial Estate Mildenhall, Suffokl IP28 7DE"/>
    <s v="9503009910"/>
    <s v="Globos de latex de caucho natural."/>
    <s v="UNIDADES"/>
    <n v="628000"/>
    <n v="2009.03"/>
    <n v="2261.19"/>
    <n v="2"/>
    <x v="33"/>
    <s v="ENGLAND"/>
    <s v="ATLÁNTICO"/>
    <s v="ATLÁNTICO"/>
    <s v="CARTAGENA"/>
    <s v="201505"/>
    <s v="6027585365171"/>
    <s v="ÚNICO"/>
    <s v="TRANSPORTE MARÍTIMO"/>
    <s v="SINGAPUR"/>
    <s v="EXPORTACIONES DEFINITIVAS"/>
    <s v="EXPORTACIÓN DEFINITIVA DE MERCANCÍAS DE FABRICACIÓN Ó PRODUCCIÓN NACIONAL"/>
    <s v="NINGUNO"/>
    <s v="NO"/>
    <s v="Dólar de los Estados Unidos de América"/>
    <s v="CON REINTEGRO"/>
    <n v="28746.5"/>
    <n v="71963125.709999993"/>
    <n v="0"/>
    <n v="853.66"/>
    <n v="0"/>
    <n v="0"/>
    <s v="EUROPA"/>
  </r>
  <r>
    <n v="277"/>
    <n v="2015"/>
    <n v="5"/>
    <n v="21"/>
    <s v="2015"/>
    <s v="05"/>
    <s v="21"/>
    <s v="INICIAL"/>
    <s v="20150521"/>
    <s v="600758261405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OAKTREE UK LIMITED."/>
    <s v="66 James Carter Road, Industrial Estate Mildenhall, Suffokl IP28 7DE"/>
    <s v="9503009910"/>
    <s v="Globos de latex de caucho natural."/>
    <s v="UNIDADES"/>
    <n v="2100"/>
    <n v="21.18"/>
    <n v="23.84"/>
    <n v="3"/>
    <x v="33"/>
    <s v="ENGLAND"/>
    <s v="ATLÁNTICO"/>
    <s v="ATLÁNTICO"/>
    <s v="CARTAGENA"/>
    <s v="201505"/>
    <s v="6027585365171"/>
    <s v="ÚNICO"/>
    <s v="TRANSPORTE MARÍTIMO"/>
    <s v="SINGAPUR"/>
    <s v="EXPORTACIONES DEFINITIVAS"/>
    <s v="EXPORTACIÓN DEFINITIVA DE MERCANCÍAS DE FABRICACIÓN Ó PRODUCCIÓN NACIONAL"/>
    <s v="NINGUNO"/>
    <s v="NO"/>
    <s v="Dólar de los Estados Unidos de América"/>
    <s v="CON REINTEGRO"/>
    <n v="802.7"/>
    <n v="2009455.1"/>
    <n v="0"/>
    <n v="23.84"/>
    <n v="0"/>
    <n v="0"/>
    <s v="EUROPA"/>
  </r>
  <r>
    <n v="278"/>
    <n v="2015"/>
    <n v="5"/>
    <n v="21"/>
    <s v="2015"/>
    <s v="05"/>
    <s v="21"/>
    <s v="INICIAL"/>
    <s v="20150521"/>
    <s v="600758261405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OAKTREE UK LIMITED."/>
    <s v="66 James Carter Road, Industrial Estate Mildenhall, Suffokl IP28 7DE"/>
    <s v="9503009910"/>
    <s v="Globos de latex de caucho natural."/>
    <s v="UNIDADES"/>
    <n v="12000"/>
    <n v="43.72"/>
    <n v="49.21"/>
    <n v="4"/>
    <x v="33"/>
    <s v="ENGLAND"/>
    <s v="ATLÁNTICO"/>
    <s v="ATLÁNTICO"/>
    <s v="CARTAGENA"/>
    <s v="201505"/>
    <s v="6027585365171"/>
    <s v="ÚNICO"/>
    <s v="TRANSPORTE MARÍTIMO"/>
    <s v="SINGAPUR"/>
    <s v="EXPORTACIONES DEFINITIVAS"/>
    <s v="EXPORTACIÓN DEFINITIVA DE MERCANCÍAS DE FABRICACIÓN Ó PRODUCCIÓN NACIONAL"/>
    <s v="NINGUNO"/>
    <s v="NO"/>
    <s v="Dólar de los Estados Unidos de América"/>
    <s v="CON REINTEGRO"/>
    <n v="1082.4000000000001"/>
    <n v="2709647.69"/>
    <n v="0"/>
    <n v="32.14"/>
    <n v="0"/>
    <n v="0"/>
    <s v="EUROPA"/>
  </r>
  <r>
    <n v="279"/>
    <n v="2015"/>
    <n v="5"/>
    <n v="22"/>
    <s v="2015"/>
    <s v="05"/>
    <s v="22"/>
    <s v="INICIAL"/>
    <s v="20150522"/>
    <s v="600758271839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ALLOON BARON SPECIALTIES"/>
    <s v="BLK 9008 TAMPINES ST. 93 #04-47 SINGAPORE 528843"/>
    <s v="9503009910"/>
    <s v="Globos de latex de caucho natural."/>
    <s v="UNIDADES"/>
    <n v="12000"/>
    <n v="44.68"/>
    <n v="48.51"/>
    <n v="4"/>
    <x v="16"/>
    <s v="SINGAPUR"/>
    <s v="ATLÁNTICO"/>
    <s v="ATLÁNTICO"/>
    <s v="BARRANQUILLA"/>
    <s v="201505"/>
    <s v="6027585847740"/>
    <s v="ÚNICO"/>
    <s v="TRANSPORTE MARÍTIMO"/>
    <s v="MARSHALL ISLAS"/>
    <s v="EXPORTACIONES DEFINITIVAS"/>
    <s v="EXPORTACIÓN DEFINITIVA DE MERCANCÍAS DE FABRICACIÓN Ó PRODUCCIÓN NACIONAL"/>
    <s v="NINGUNO"/>
    <s v="NO"/>
    <s v="Dólar de los Estados Unidos de América"/>
    <s v="CON REINTEGRO"/>
    <n v="1296"/>
    <n v="3226249.44"/>
    <n v="0"/>
    <n v="14.29"/>
    <n v="3.28"/>
    <n v="0"/>
    <s v="ASIA"/>
  </r>
  <r>
    <n v="280"/>
    <n v="2015"/>
    <n v="5"/>
    <n v="22"/>
    <s v="2015"/>
    <s v="05"/>
    <s v="22"/>
    <s v="INICIAL"/>
    <s v="20150522"/>
    <s v="600758271840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ALLOON BARON SPECIALTIES"/>
    <s v="BLK 9008 TAMPINES ST. 93 #04-47 SINGAPORE 528843"/>
    <s v="4902909000"/>
    <s v="Los demás diarios y públicaciones periodicas, impresos, incluso ilustrados o con publicidad."/>
    <s v="UNIDADES"/>
    <n v="150"/>
    <n v="23.25"/>
    <n v="24.18"/>
    <n v="1"/>
    <x v="16"/>
    <s v="SINGAPUR"/>
    <s v="ATLÁNTICO"/>
    <s v="ATLÁNTICO"/>
    <s v="BARRANQUILLA"/>
    <s v="201505"/>
    <s v="6027585847765"/>
    <s v="ÚNICO"/>
    <s v="TRANSPORTE MARÍTIMO"/>
    <s v="MARSHALL ISLAS"/>
    <s v="EXPORTACIONES DEFINITIVAS"/>
    <s v="EXPORTACION TEMPORAL PARA PERFECCIONAMIENTO PASIVO"/>
    <s v="NINGUNO"/>
    <s v="NO"/>
    <s v="Dólar de los Estados Unidos de América"/>
    <s v="SIN REINTEGRO"/>
    <n v="3"/>
    <n v="7468.17"/>
    <n v="0"/>
    <n v="0"/>
    <n v="0"/>
    <n v="0"/>
    <s v="ASIA"/>
  </r>
  <r>
    <n v="281"/>
    <n v="2015"/>
    <n v="5"/>
    <n v="22"/>
    <s v="2015"/>
    <s v="05"/>
    <s v="22"/>
    <s v="INICIAL"/>
    <s v="20150522"/>
    <s v="600758271841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ALLOON BARON SPECIALTIES"/>
    <s v="BLK 9008 TAMPINES ST. 93 #04-47 SINGAPORE 528843"/>
    <s v="3923299000"/>
    <s v="Sacos (bolsas), bolsitas y cucuruchos."/>
    <s v="UNIDADES"/>
    <n v="3000"/>
    <n v="21.99"/>
    <n v="22.92"/>
    <n v="1"/>
    <x v="16"/>
    <s v="SINGAPUR"/>
    <s v="ATLÁNTICO"/>
    <s v="ATLÁNTICO"/>
    <s v="BARRANQUILLA"/>
    <s v="201505"/>
    <s v="6027585847781"/>
    <s v="ÚNICO"/>
    <s v="TRANSPORTE MARÍTIMO"/>
    <s v="MARSHALL ISLAS"/>
    <s v="EXPORTACIONES DEFINITIVAS"/>
    <s v="EXPORTACIÓN DEFINITIVA DE MERCANCÍAS DE FABRICACIÓN Ó PRODUCCIÓN NACIONAL"/>
    <s v="NINGUNO"/>
    <s v="NO"/>
    <s v="Dólar de los Estados Unidos de América"/>
    <s v="CON REINTEGRO"/>
    <n v="175"/>
    <n v="435643.25"/>
    <n v="0"/>
    <n v="50"/>
    <n v="12"/>
    <n v="0"/>
    <s v="ASIA"/>
  </r>
  <r>
    <n v="282"/>
    <n v="2015"/>
    <n v="5"/>
    <n v="22"/>
    <s v="2015"/>
    <s v="05"/>
    <s v="22"/>
    <s v="INICIAL"/>
    <s v="20150522"/>
    <s v="600758271839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ALLOON BARON SPECIALTIES"/>
    <s v="BLK 9008 TAMPINES ST. 93 #04-47 SINGAPORE 528843"/>
    <s v="9503009910"/>
    <s v="Globos de latex de caucho natural."/>
    <s v="UNIDADES"/>
    <n v="2314500"/>
    <n v="4990.58"/>
    <n v="5417.83"/>
    <n v="1"/>
    <x v="16"/>
    <s v="SINGAPUR"/>
    <s v="ATLÁNTICO"/>
    <s v="ATLÁNTICO"/>
    <s v="BARRANQUILLA"/>
    <s v="201505"/>
    <s v="6027585847740"/>
    <s v="ÚNICO"/>
    <s v="TRANSPORTE MARÍTIMO"/>
    <s v="MARSHALL ISLAS"/>
    <s v="EXPORTACIONES DEFINITIVAS"/>
    <s v="EXPORTACIÓN DEFINITIVA DE MERCANCÍAS DE FABRICACIÓN Ó PRODUCCIÓN NACIONAL"/>
    <s v="NINGUNO"/>
    <s v="NO"/>
    <s v="Dólar de los Estados Unidos de América"/>
    <s v="CON REINTEGRO"/>
    <n v="70785"/>
    <n v="176211471.15000001"/>
    <n v="0"/>
    <n v="780.6"/>
    <n v="178.91"/>
    <n v="0"/>
    <s v="ASIA"/>
  </r>
  <r>
    <n v="283"/>
    <n v="2015"/>
    <n v="5"/>
    <n v="22"/>
    <s v="2015"/>
    <s v="05"/>
    <s v="22"/>
    <s v="INICIAL"/>
    <s v="20150522"/>
    <s v="600758271839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ALLOON BARON SPECIALTIES"/>
    <s v="BLK 9008 TAMPINES ST. 93 #04-47 SINGAPORE 528843"/>
    <s v="9503009910"/>
    <s v="Globos de latex de caucho natural."/>
    <s v="UNIDADES"/>
    <n v="108300"/>
    <n v="187.15"/>
    <n v="203.17"/>
    <n v="2"/>
    <x v="16"/>
    <s v="SINGAPUR"/>
    <s v="ATLÁNTICO"/>
    <s v="ATLÁNTICO"/>
    <s v="BARRANQUILLA"/>
    <s v="201505"/>
    <s v="6027585847740"/>
    <s v="ÚNICO"/>
    <s v="TRANSPORTE MARÍTIMO"/>
    <s v="MARSHALL ISLAS"/>
    <s v="EXPORTACIONES DEFINITIVAS"/>
    <s v="EXPORTACIÓN DEFINITIVA DE MERCANCÍAS DE FABRICACIÓN Ó PRODUCCIÓN NACIONAL"/>
    <s v="NINGUNO"/>
    <s v="NO"/>
    <s v="Dólar de los Estados Unidos de América"/>
    <s v="CON REINTEGRO"/>
    <n v="3016"/>
    <n v="7508000.2400000002"/>
    <n v="0"/>
    <n v="33.26"/>
    <n v="7.62"/>
    <n v="0"/>
    <s v="ASIA"/>
  </r>
  <r>
    <n v="284"/>
    <n v="2015"/>
    <n v="5"/>
    <n v="22"/>
    <s v="2015"/>
    <s v="05"/>
    <s v="22"/>
    <s v="INICIAL"/>
    <s v="20150522"/>
    <s v="600758271839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ALLOON BARON SPECIALTIES"/>
    <s v="BLK 9008 TAMPINES ST. 93 #04-47 SINGAPORE 528843"/>
    <s v="9503009910"/>
    <s v="Globos de latex de caucho natural."/>
    <s v="UNIDADES"/>
    <n v="132000"/>
    <n v="382.91"/>
    <n v="415.69"/>
    <n v="3"/>
    <x v="16"/>
    <s v="SINGAPUR"/>
    <s v="ATLÁNTICO"/>
    <s v="ATLÁNTICO"/>
    <s v="BARRANQUILLA"/>
    <s v="201505"/>
    <s v="6027585847740"/>
    <s v="ÚNICO"/>
    <s v="TRANSPORTE MARÍTIMO"/>
    <s v="MARSHALL ISLAS"/>
    <s v="EXPORTACIONES DEFINITIVAS"/>
    <s v="EXPORTACIÓN DEFINITIVA DE MERCANCÍAS DE FABRICACIÓN Ó PRODUCCIÓN NACIONAL"/>
    <s v="NINGUNO"/>
    <s v="NO"/>
    <s v="Dólar de los Estados Unidos de América"/>
    <s v="CON REINTEGRO"/>
    <n v="11049"/>
    <n v="27505270.109999999"/>
    <n v="0"/>
    <n v="121.85"/>
    <n v="27.93"/>
    <n v="0"/>
    <s v="ASIA"/>
  </r>
  <r>
    <n v="285"/>
    <n v="2015"/>
    <n v="5"/>
    <n v="25"/>
    <s v="2015"/>
    <s v="05"/>
    <s v="25"/>
    <s v="INICIAL"/>
    <s v="20150525"/>
    <s v="6007582577747"/>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MS GLOBOS ET FESTIVAL"/>
    <s v="1988 ROUTES DES PLANTANES 31330 MERVILLE"/>
    <s v="9503009910"/>
    <s v="Globos de latex de caucho natural."/>
    <s v="UNIDADES"/>
    <n v="626600"/>
    <n v="1583.52"/>
    <n v="1730"/>
    <n v="1"/>
    <x v="34"/>
    <s v="PARIS"/>
    <s v="ATLÁNTICO"/>
    <s v="ATLÁNTICO"/>
    <s v="BARRANQUILLA"/>
    <s v="201505"/>
    <s v="6027586045164"/>
    <s v="ÚNICO"/>
    <s v="TRANSPORTE AÉREO"/>
    <s v="PANAMÁ"/>
    <s v="EXPORTACIONES DEFINITIVAS"/>
    <s v="EXPORTACIÓN DEFINITIVA DE MERCANCÍAS DE FABRICACIÓN Ó PRODUCCIÓN NACIONAL"/>
    <s v="NINGUNO"/>
    <s v="NO"/>
    <s v="Dólar de los Estados Unidos de América"/>
    <s v="CON REINTEGRO"/>
    <n v="25638.3"/>
    <n v="64101390.43"/>
    <n v="0"/>
    <n v="0"/>
    <n v="0"/>
    <n v="0"/>
    <s v="EUROPA"/>
  </r>
  <r>
    <n v="286"/>
    <n v="2015"/>
    <n v="5"/>
    <n v="25"/>
    <s v="2015"/>
    <s v="05"/>
    <s v="25"/>
    <s v="INICIAL"/>
    <s v="20150525"/>
    <s v="600758266100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BETALLIC L.L.C."/>
    <s v="2326 GRISSOM DRIVE SAINT LOUIS, MISSOURI 63146"/>
    <s v="9503009910"/>
    <s v="Globos de latex de caucho natural."/>
    <s v="UNIDADES"/>
    <n v="102800"/>
    <n v="249.47"/>
    <n v="295"/>
    <n v="1"/>
    <x v="2"/>
    <s v="SAINT LOUIS"/>
    <s v="ATLÁNTICO"/>
    <s v="ATLÁNTICO"/>
    <s v="BOGOTÁ"/>
    <s v="201505"/>
    <s v="6027586014581"/>
    <s v="ÚNICO"/>
    <s v="TRANSPORTE AÉREO"/>
    <s v="ESTADOS UNIDOS"/>
    <s v="EXPORTACIONES DEFINITIVAS"/>
    <s v="EXPORTACIÓN DEFINITIVA DE MERCANCÍAS DE FABRICACIÓN Ó PRODUCCIÓN NACIONAL"/>
    <s v="NINGUNO"/>
    <s v="NO"/>
    <s v="Dólar de los Estados Unidos de América"/>
    <s v="CON REINTEGRO"/>
    <n v="5872"/>
    <n v="14681291.84"/>
    <n v="0"/>
    <n v="791.89"/>
    <n v="0"/>
    <n v="0"/>
    <s v="AMÉRICA"/>
  </r>
  <r>
    <n v="287"/>
    <n v="2015"/>
    <n v="5"/>
    <n v="25"/>
    <s v="2015"/>
    <s v="05"/>
    <s v="25"/>
    <s v="INICIAL"/>
    <s v="20150525"/>
    <s v="6007582372693"/>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GLOOB PARTY SAC"/>
    <s v="CALLE TEODORO CARDENAS 640 CERCADO DE LIMA"/>
    <s v="9503009910"/>
    <s v="Globos de latex de caucho natural."/>
    <s v="UNIDADES"/>
    <n v="74925"/>
    <n v="493.45"/>
    <n v="536"/>
    <n v="1"/>
    <x v="23"/>
    <s v="LIMA"/>
    <s v="ATLÁNTICO"/>
    <s v="ATLÁNTICO"/>
    <s v="BOGOTÁ"/>
    <s v="201505"/>
    <s v="6027585801822"/>
    <s v="ÚNICO"/>
    <s v="TRANSPORTE AÉREO"/>
    <s v="COLOMBIA"/>
    <s v="EXPORTACIONES DEFINITIVAS"/>
    <s v="EXPORTACIÓN DEFINITIVA DE MERCANCÍAS DE FABRICACIÓN Ó PRODUCCIÓN NACIONAL"/>
    <s v="NINGUNO"/>
    <s v="NO"/>
    <s v="Dólar de los Estados Unidos de América"/>
    <s v="CON REINTEGRO"/>
    <n v="7698.87"/>
    <n v="19248868.75"/>
    <n v="0"/>
    <n v="812.98"/>
    <n v="21.28"/>
    <n v="0"/>
    <s v="AMÉRICA"/>
  </r>
  <r>
    <n v="288"/>
    <n v="2015"/>
    <n v="5"/>
    <n v="25"/>
    <s v="2015"/>
    <s v="05"/>
    <s v="25"/>
    <s v="INICIAL"/>
    <s v="20150525"/>
    <s v="6007582786907"/>
    <s v="000"/>
    <s v="NO REGISTRA"/>
    <s v="OTRAS MODALIDADES"/>
    <s v="000"/>
    <s v="NO REGISTRA"/>
    <s v="DEFINITIVOS AL EMBARQUE"/>
    <s v="NO"/>
    <s v="BARRANQUILLA"/>
    <s v="BARRANQUILLA"/>
    <s v="NO DILIGENCIADO"/>
    <s v="800249192"/>
    <s v="ACI CARGO SIA LTDA"/>
    <s v="USUARIO OPERADOR DE ZONA FRANCA"/>
    <s v="36"/>
    <s v="890101272"/>
    <s v="SEMPERTEX DE COLOMBIA S A"/>
    <s v="MALAMBO"/>
    <s v="CL 10 39 06"/>
    <s v="PRIVADO"/>
    <s v="BOUKETO BALLOONS N. ANASTASELIS CHALKIOPOULOS &amp; CIA E.E."/>
    <s v="KSEROPIGADO -KATO VOULMENO EGIO, 25100, GRECE"/>
    <s v="9503009910"/>
    <s v="Globos de latex de caucho natural."/>
    <s v="UNIDADES"/>
    <n v="1060"/>
    <n v="310.13"/>
    <n v="330"/>
    <n v="1"/>
    <x v="35"/>
    <s v="AEGIO"/>
    <s v="ATLÁNTICO"/>
    <s v="ATLÁNTICO"/>
    <s v="BARRANQUILLA"/>
    <s v="201505"/>
    <s v="6027586221587"/>
    <s v="ÚNICO"/>
    <s v="TRANSPORTE AÉREO"/>
    <s v="COLOMBIA"/>
    <s v="EXPORTACIONES DEFINITIVAS"/>
    <s v="EXPORTACIÓN DEFINITIVA DE MERCANCÍAS DE FABRICACIÓN Ó PRODUCCIÓN NACIONAL"/>
    <s v="NINGUNO"/>
    <s v="NO"/>
    <s v="Dólar de los Estados Unidos de América"/>
    <s v="CON REINTEGRO"/>
    <n v="4023.5"/>
    <n v="10059635.17"/>
    <n v="0"/>
    <n v="1301.83"/>
    <n v="13.31"/>
    <n v="0"/>
    <s v="EUROPA"/>
  </r>
  <r>
    <n v="289"/>
    <n v="2015"/>
    <n v="5"/>
    <n v="28"/>
    <s v="2015"/>
    <s v="05"/>
    <s v="28"/>
    <s v="INICIAL"/>
    <s v="20150528"/>
    <s v="600758294770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TO WIN IMP. &amp; EXP. CO., LTD"/>
    <s v="no.122 LANE 399 PU QUAN ROAD PU JIAN YI CHENG"/>
    <s v="9503009910"/>
    <s v="Globos de latex de caucho natural."/>
    <s v="UNIDADES"/>
    <n v="24000"/>
    <n v="54.66"/>
    <n v="59.54"/>
    <n v="3"/>
    <x v="13"/>
    <s v="SHANGAI"/>
    <s v="ATLÁNTICO"/>
    <s v="ATLÁNTICO"/>
    <s v="BARRANQUILLA"/>
    <s v="201505"/>
    <s v="6027586097045"/>
    <s v="ÚNICO"/>
    <s v="TRANSPORTE MARÍTIMO"/>
    <s v="PANAMÁ"/>
    <s v="EXPORTACIONES DEFINITIVAS"/>
    <s v="LAS DEMÁS EXPORTACIONES DEFINITIVAS NO INCLUIDAS EN LOS ÍTEMS ANTERIORES"/>
    <s v="NINGUNO"/>
    <s v="NO"/>
    <s v="Dólar de los Estados Unidos de América"/>
    <s v="CON REINTEGRO"/>
    <n v="2640"/>
    <n v="6727063.2000000002"/>
    <n v="0"/>
    <n v="13.53"/>
    <n v="6.63"/>
    <n v="0"/>
    <s v="ASIA"/>
  </r>
  <r>
    <n v="290"/>
    <n v="2015"/>
    <n v="5"/>
    <n v="28"/>
    <s v="2015"/>
    <s v="05"/>
    <s v="28"/>
    <s v="INICIAL"/>
    <s v="20150528"/>
    <s v="600758294771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TO WIN IMP. &amp; EXP. CO., LTD"/>
    <s v="no.122 LANE 399 PU QUAN ROAD PU JIAN YI CHENG"/>
    <s v="3923299000"/>
    <s v="Sacos (bolsas), bolsitas y cucuruchos."/>
    <s v="UNIDADES"/>
    <n v="400"/>
    <n v="2.74"/>
    <n v="2.9"/>
    <n v="1"/>
    <x v="13"/>
    <s v="SHANGAI"/>
    <s v="ATLÁNTICO"/>
    <s v="ATLÁNTICO"/>
    <s v="BARRANQUILLA"/>
    <s v="201505"/>
    <s v="6027586097131"/>
    <s v="ÚNICO"/>
    <s v="TRANSPORTE MARÍTIMO"/>
    <s v="PANAMÁ"/>
    <s v="EXPORTACIONES DEFINITIVAS"/>
    <s v="EXPORTACION TEMPORAL PARA PERFECCIONAMIENTO PASIVO"/>
    <s v="NINGUNO"/>
    <s v="NO"/>
    <s v="Dólar de los Estados Unidos de América"/>
    <s v="SIN REINTEGRO"/>
    <n v="20"/>
    <n v="50962.6"/>
    <n v="0"/>
    <n v="0"/>
    <n v="0"/>
    <n v="0"/>
    <s v="ASIA"/>
  </r>
  <r>
    <n v="291"/>
    <n v="2015"/>
    <n v="5"/>
    <n v="28"/>
    <s v="2015"/>
    <s v="05"/>
    <s v="28"/>
    <s v="INICIAL"/>
    <s v="20150528"/>
    <s v="600758294770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TO WIN IMP. &amp; EXP. CO., LTD"/>
    <s v="no.122 LANE 399 PU QUAN ROAD PU JIAN YI CHENG"/>
    <s v="9503009910"/>
    <s v="Globos de latex de caucho natural."/>
    <s v="UNIDADES"/>
    <n v="6372000"/>
    <n v="13306.66"/>
    <n v="14494.99"/>
    <n v="1"/>
    <x v="13"/>
    <s v="SHANGAI"/>
    <s v="ATLÁNTICO"/>
    <s v="ATLÁNTICO"/>
    <s v="BARRANQUILLA"/>
    <s v="201505"/>
    <s v="6027586097045"/>
    <s v="ÚNICO"/>
    <s v="TRANSPORTE MARÍTIMO"/>
    <s v="PANAMÁ"/>
    <s v="EXPORTACIONES DEFINITIVAS"/>
    <s v="LAS DEMÁS EXPORTACIONES DEFINITIVAS NO INCLUIDAS EN LOS ÍTEMS ANTERIORES"/>
    <s v="NINGUNO"/>
    <s v="NO"/>
    <s v="Dólar de los Estados Unidos de América"/>
    <s v="CON REINTEGRO"/>
    <n v="170070.5"/>
    <n v="433361743.17000002"/>
    <n v="0"/>
    <n v="871.74"/>
    <n v="427.36"/>
    <n v="0"/>
    <s v="ASIA"/>
  </r>
  <r>
    <n v="292"/>
    <n v="2015"/>
    <n v="5"/>
    <n v="28"/>
    <s v="2015"/>
    <s v="05"/>
    <s v="28"/>
    <s v="INICIAL"/>
    <s v="20150528"/>
    <s v="600758294770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TO WIN IMP. &amp; EXP. CO., LTD"/>
    <s v="no.122 LANE 399 PU QUAN ROAD PU JIAN YI CHENG"/>
    <s v="9503009910"/>
    <s v="Globos de latex de caucho natural."/>
    <s v="UNIDADES"/>
    <n v="333000"/>
    <n v="614.24"/>
    <n v="669.09"/>
    <n v="2"/>
    <x v="13"/>
    <s v="SHANGAI"/>
    <s v="ATLÁNTICO"/>
    <s v="ATLÁNTICO"/>
    <s v="BARRANQUILLA"/>
    <s v="201505"/>
    <s v="6027586097045"/>
    <s v="ÚNICO"/>
    <s v="TRANSPORTE MARÍTIMO"/>
    <s v="PANAMÁ"/>
    <s v="EXPORTACIONES DEFINITIVAS"/>
    <s v="LAS DEMÁS EXPORTACIONES DEFINITIVAS NO INCLUIDAS EN LOS ÍTEMS ANTERIORES"/>
    <s v="NINGUNO"/>
    <s v="NO"/>
    <s v="Dólar de los Estados Unidos de América"/>
    <s v="CON REINTEGRO"/>
    <n v="8725.5"/>
    <n v="22233708.32"/>
    <n v="0"/>
    <n v="44.72"/>
    <n v="21.93"/>
    <n v="0"/>
    <s v="ASIA"/>
  </r>
  <r>
    <n v="293"/>
    <n v="2015"/>
    <n v="5"/>
    <n v="29"/>
    <s v="2015"/>
    <s v="05"/>
    <s v="29"/>
    <s v="INICIAL"/>
    <s v="20150529"/>
    <s v="6007582950512"/>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9503009910"/>
    <s v="Globos de latex de caucho natural."/>
    <s v="UNIDADES"/>
    <n v="357700"/>
    <n v="1075.83"/>
    <n v="1175"/>
    <n v="1"/>
    <x v="22"/>
    <s v="ASUNCION"/>
    <s v="ATLÁNTICO"/>
    <s v="ATLÁNTICO"/>
    <s v="BOGOTÁ"/>
    <s v="201505"/>
    <s v="6027586220571"/>
    <s v="ÚNICO"/>
    <s v="TRANSPORTE AÉREO"/>
    <s v="COLOMBIA"/>
    <s v="EXPORTACIONES DEFINITIVAS"/>
    <s v="LAS DEMÁS EXPORTACIONES DEFINITIVAS NO INCLUIDAS EN LOS ÍTEMS ANTERIORES"/>
    <s v="NINGUNO"/>
    <s v="NO"/>
    <s v="Dólar de los Estados Unidos de América"/>
    <s v="CON REINTEGRO"/>
    <n v="23383.5"/>
    <n v="59627223.5"/>
    <n v="0"/>
    <n v="2827.6"/>
    <n v="0"/>
    <n v="0"/>
    <s v="AMÉRICA"/>
  </r>
  <r>
    <n v="294"/>
    <n v="2015"/>
    <n v="5"/>
    <n v="29"/>
    <s v="2015"/>
    <s v="05"/>
    <s v="29"/>
    <s v="INICIAL"/>
    <s v="20150529"/>
    <s v="600758295052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4902909000"/>
    <s v="Los demás diarios y públicaciones periodicas, impresos, incluso ilustrados o con publicidad."/>
    <s v="UNIDADES"/>
    <n v="150"/>
    <n v="12"/>
    <n v="12"/>
    <n v="1"/>
    <x v="22"/>
    <s v="ASUNCION"/>
    <s v="ATLÁNTICO"/>
    <s v="ATLÁNTICO"/>
    <s v="BOGOTÁ"/>
    <s v="201505"/>
    <s v="6027586220761"/>
    <s v="ÚNICO"/>
    <s v="TRANSPORTE AÉREO"/>
    <s v="COLOMBIA"/>
    <s v="EXPORTACIONES DEFINITIVAS"/>
    <s v="EXPORTACION TEMPORAL PARA PERFECCIONAMIENTO PASIVO"/>
    <s v="NINGUNO"/>
    <s v="NO"/>
    <s v="Dólar de los Estados Unidos de América"/>
    <s v="SIN REINTEGRO"/>
    <n v="7.5"/>
    <n v="19124.78"/>
    <n v="0"/>
    <n v="0"/>
    <n v="0"/>
    <n v="0"/>
    <s v="AMÉRICA"/>
  </r>
  <r>
    <n v="295"/>
    <n v="2015"/>
    <n v="6"/>
    <n v="3"/>
    <s v="2015"/>
    <s v="06"/>
    <s v="03"/>
    <s v="INICIAL"/>
    <s v="20150603"/>
    <s v="6007583112113"/>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BCD OVERSEAS"/>
    <s v="W 87 GREATER KAILASH PART 2 NEW DELHI 110048"/>
    <s v="9503009910"/>
    <s v="Globos de latex de caucho natural."/>
    <s v="UNIDADES"/>
    <n v="227990"/>
    <n v="699.42"/>
    <n v="752"/>
    <n v="1"/>
    <x v="36"/>
    <s v="NEW DELHI"/>
    <s v="ATLÁNTICO"/>
    <s v="ATLÁNTICO"/>
    <s v="BARRANQUILLA"/>
    <s v="201505"/>
    <s v="6027586478923"/>
    <s v="ÚNICO"/>
    <s v="TRANSPORTE AÉREO"/>
    <s v="COLOMBIA"/>
    <s v="EXPORTACIONES DEFINITIVAS"/>
    <s v="EXPORTACIÓN DEFINITIVA DE MERCANCÍAS DE FABRICACIÓN Ó PRODUCCIÓN NACIONAL"/>
    <s v="NINGUNO"/>
    <s v="NO"/>
    <s v="Dólar de los Estados Unidos de América"/>
    <s v="CON REINTEGRO"/>
    <n v="12119.6"/>
    <n v="30958791.02"/>
    <n v="0"/>
    <n v="0"/>
    <n v="0"/>
    <n v="0"/>
    <s v="ASIA"/>
  </r>
  <r>
    <n v="296"/>
    <n v="2015"/>
    <n v="6"/>
    <n v="3"/>
    <s v="2015"/>
    <s v="06"/>
    <s v="03"/>
    <s v="INICIAL"/>
    <s v="20150603"/>
    <s v="6007583112120"/>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BDC OVERSEAS"/>
    <s v="W 87 GREATER KAILASH PART 2 NEW DELHI 110048"/>
    <s v="4911100000"/>
    <s v="Impresos publicitarios, catalogos comerciales y similares."/>
    <s v="KILOGRAMO"/>
    <n v="6.03"/>
    <n v="6.03"/>
    <n v="6.4"/>
    <n v="1"/>
    <x v="36"/>
    <s v="NEW DELHI"/>
    <s v="ATLÁNTICO"/>
    <s v="ATLÁNTICO"/>
    <s v="BARRANQUILLA"/>
    <s v="201505"/>
    <s v="6027586479011"/>
    <s v="ÚNICO"/>
    <s v="TRANSPORTE AÉREO"/>
    <s v="COLOMBIA"/>
    <s v="EXPORTACIONES DEFINITIVAS"/>
    <s v="EXPORTACION TEMPORAL PARA PERFECCIONAMIENTO PASIVO"/>
    <s v="NINGUNO"/>
    <s v="NO"/>
    <s v="Dólar de los Estados Unidos de América"/>
    <s v="SIN REINTEGRO"/>
    <n v="2.25"/>
    <n v="5747.49"/>
    <n v="0"/>
    <n v="0"/>
    <n v="0"/>
    <n v="0"/>
    <s v="ASIA"/>
  </r>
  <r>
    <n v="297"/>
    <n v="2015"/>
    <n v="6"/>
    <n v="3"/>
    <s v="2015"/>
    <s v="06"/>
    <s v="03"/>
    <s v="INICIAL"/>
    <s v="20150603"/>
    <s v="6007583112120"/>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BDC OVERSEAS"/>
    <s v="W 87 GREATER KAILASH PART 2 NEW DELHI 110048"/>
    <s v="4902909000"/>
    <s v="Los demás diarios y públicaciones periodicas, impresos, incluso ilustrados o con publicidad."/>
    <s v="UNIDADES"/>
    <n v="150"/>
    <n v="33.549999999999997"/>
    <n v="35.6"/>
    <n v="2"/>
    <x v="36"/>
    <s v="NEW DELHI"/>
    <s v="ATLÁNTICO"/>
    <s v="ATLÁNTICO"/>
    <s v="BARRANQUILLA"/>
    <s v="201505"/>
    <s v="6027586479011"/>
    <s v="ÚNICO"/>
    <s v="TRANSPORTE AÉREO"/>
    <s v="COLOMBIA"/>
    <s v="EXPORTACIONES DEFINITIVAS"/>
    <s v="EXPORTACION TEMPORAL PARA PERFECCIONAMIENTO PASIVO"/>
    <s v="NINGUNO"/>
    <s v="NO"/>
    <s v="Dólar de los Estados Unidos de América"/>
    <s v="SIN REINTEGRO"/>
    <n v="3"/>
    <n v="7663.32"/>
    <n v="0"/>
    <n v="0"/>
    <n v="0"/>
    <n v="0"/>
    <s v="ASIA"/>
  </r>
  <r>
    <n v="298"/>
    <n v="2015"/>
    <n v="6"/>
    <n v="5"/>
    <s v="2015"/>
    <s v="06"/>
    <s v="05"/>
    <s v="INICIAL"/>
    <s v="20150605"/>
    <s v="6007583012848"/>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BALLOON BARON SPECIALTIES"/>
    <s v="BLK 9008 TAMPINES ST. 93 # 04-47 SINGAPORE 528843"/>
    <s v="9503009910"/>
    <s v="Globos de latex de caucho natural."/>
    <s v="UNIDADES"/>
    <n v="152000"/>
    <n v="348.51"/>
    <n v="377"/>
    <n v="1"/>
    <x v="16"/>
    <s v="SINGAPUR"/>
    <s v="ATLÁNTICO"/>
    <s v="ATLÁNTICO"/>
    <s v="BOGOTÁ"/>
    <s v="201505"/>
    <s v="6027586394443"/>
    <s v="ÚNICO"/>
    <s v="TRANSPORTE AÉREO"/>
    <s v="ESTADOS UNIDOS"/>
    <s v="EXPORTACIONES DEFINITIVAS"/>
    <s v="EXPORTACIÓN DEFINITIVA DE MERCANCÍAS DE FABRICACIÓN Ó PRODUCCIÓN NACIONAL"/>
    <s v="NINGUNO"/>
    <s v="NO"/>
    <s v="Dólar de los Estados Unidos de América"/>
    <s v="CON REINTEGRO"/>
    <n v="5193.5"/>
    <n v="13443686.359999999"/>
    <n v="0"/>
    <n v="1059.67"/>
    <n v="15.63"/>
    <n v="0"/>
    <s v="ASIA"/>
  </r>
  <r>
    <n v="299"/>
    <n v="2015"/>
    <n v="6"/>
    <n v="5"/>
    <s v="2015"/>
    <s v="06"/>
    <s v="05"/>
    <s v="INICIAL"/>
    <s v="20150605"/>
    <s v="6007583012855"/>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BETALLIC L.L.C."/>
    <s v="2326 GRISSOM DRIVE SAINT LOUIS, MISSOURI 63146"/>
    <s v="9503009910"/>
    <s v="Globos de latex de caucho natural."/>
    <s v="UNIDADES"/>
    <n v="120000"/>
    <n v="347.72"/>
    <n v="397"/>
    <n v="1"/>
    <x v="2"/>
    <s v="SAINT LOUIS"/>
    <s v="ATLÁNTICO"/>
    <s v="ATLÁNTICO"/>
    <s v="BOGOTÁ"/>
    <s v="201505"/>
    <s v="6027586397803"/>
    <s v="ÚNICO"/>
    <s v="TRANSPORTE AÉREO"/>
    <s v="ESTADOS UNIDOS"/>
    <s v="EXPORTACIONES DEFINITIVAS"/>
    <s v="EXPORTACIÓN DEFINITIVA DE MERCANCÍAS DE FABRICACIÓN Ó PRODUCCIÓN NACIONAL"/>
    <s v="NINGUNO"/>
    <s v="NO"/>
    <s v="Dólar de los Estados Unidos de América"/>
    <s v="CON REINTEGRO"/>
    <n v="5850"/>
    <n v="15143076"/>
    <n v="0"/>
    <n v="1052.8800000000001"/>
    <n v="0"/>
    <n v="0"/>
    <s v="AMÉRICA"/>
  </r>
  <r>
    <n v="300"/>
    <n v="2015"/>
    <n v="6"/>
    <n v="9"/>
    <s v="2015"/>
    <s v="06"/>
    <s v="09"/>
    <s v="INICIAL"/>
    <s v="20150609"/>
    <s v="600758340256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LPEN PRODUCTS PTY LTD"/>
    <s v="PO BOX 469, DEE WHY NSW 2099"/>
    <s v="9503009910"/>
    <s v="Globos de latex de caucho natural."/>
    <s v="UNIDADES"/>
    <n v="758480"/>
    <n v="2401.8200000000002"/>
    <n v="2644.73"/>
    <n v="1"/>
    <x v="5"/>
    <s v="Sidney"/>
    <s v="ATLÁNTICO"/>
    <s v="ATLÁNTICO"/>
    <s v="BARRANQUILLA"/>
    <s v="201506"/>
    <s v="6027586340281"/>
    <s v="ÚNICO"/>
    <s v="TRANSPORTE MARÍTIMO"/>
    <s v="HONG KONG"/>
    <s v="EXPORTACIONES DEFINITIVAS"/>
    <s v="EXPORTACIÓN DEFINITIVA DE MERCANCÍAS DE FABRICACIÓN Ó PRODUCCIÓN NACIONAL"/>
    <s v="NINGUNO"/>
    <s v="NO"/>
    <s v="Dólar de los Estados Unidos de América"/>
    <s v="CON REINTEGRO"/>
    <n v="35695"/>
    <n v="93651543.700000003"/>
    <n v="0"/>
    <n v="1211.9100000000001"/>
    <n v="0"/>
    <n v="0"/>
    <s v="OCEANÍA"/>
  </r>
  <r>
    <n v="301"/>
    <n v="2015"/>
    <n v="6"/>
    <n v="9"/>
    <s v="2015"/>
    <s v="06"/>
    <s v="09"/>
    <s v="INICIAL"/>
    <s v="20150609"/>
    <s v="600758340256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LPEN PRODUCTS PTY LTD"/>
    <s v="PO BOX 469, DEE WHY NSW 2099"/>
    <s v="9503009910"/>
    <s v="Globos de latex de caucho natural."/>
    <s v="UNIDADES"/>
    <n v="82000"/>
    <n v="184.92"/>
    <n v="203.62"/>
    <n v="3"/>
    <x v="5"/>
    <s v="Sidney"/>
    <s v="ATLÁNTICO"/>
    <s v="ATLÁNTICO"/>
    <s v="BARRANQUILLA"/>
    <s v="201506"/>
    <s v="6027586340281"/>
    <s v="ÚNICO"/>
    <s v="TRANSPORTE MARÍTIMO"/>
    <s v="HONG KONG"/>
    <s v="EXPORTACIONES DEFINITIVAS"/>
    <s v="EXPORTACIÓN DEFINITIVA DE MERCANCÍAS DE FABRICACIÓN Ó PRODUCCIÓN NACIONAL"/>
    <s v="NINGUNO"/>
    <s v="NO"/>
    <s v="Dólar de los Estados Unidos de América"/>
    <s v="CON REINTEGRO"/>
    <n v="6742"/>
    <n v="17688715.719999999"/>
    <n v="0"/>
    <n v="228.9"/>
    <n v="0"/>
    <n v="0"/>
    <s v="OCEANÍA"/>
  </r>
  <r>
    <n v="302"/>
    <n v="2015"/>
    <n v="6"/>
    <n v="9"/>
    <s v="2015"/>
    <s v="06"/>
    <s v="09"/>
    <s v="INICIAL"/>
    <s v="20150609"/>
    <s v="600758340256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LPEN PRODUCTS PTY LTD"/>
    <s v="PO BOX 469, DEE WHY NSW 2099"/>
    <s v="9503009910"/>
    <s v="Globos de latex de caucho natural."/>
    <s v="UNIDADES"/>
    <n v="12000"/>
    <n v="46.56"/>
    <n v="51.27"/>
    <n v="4"/>
    <x v="5"/>
    <s v="Sidney"/>
    <s v="ATLÁNTICO"/>
    <s v="ATLÁNTICO"/>
    <s v="BARRANQUILLA"/>
    <s v="201506"/>
    <s v="6027586340281"/>
    <s v="ÚNICO"/>
    <s v="TRANSPORTE MARÍTIMO"/>
    <s v="HONG KONG"/>
    <s v="EXPORTACIONES DEFINITIVAS"/>
    <s v="EXPORTACIÓN DEFINITIVA DE MERCANCÍAS DE FABRICACIÓN Ó PRODUCCIÓN NACIONAL"/>
    <s v="NINGUNO"/>
    <s v="NO"/>
    <s v="Dólar de los Estados Unidos de América"/>
    <s v="CON REINTEGRO"/>
    <n v="1272"/>
    <n v="3337295.52"/>
    <n v="0"/>
    <n v="43.19"/>
    <n v="0"/>
    <n v="0"/>
    <s v="OCEANÍA"/>
  </r>
  <r>
    <n v="303"/>
    <n v="2015"/>
    <n v="6"/>
    <n v="9"/>
    <s v="2015"/>
    <s v="06"/>
    <s v="09"/>
    <s v="INICIAL"/>
    <s v="20150609"/>
    <s v="600758340256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LPEN PRODUCTS PTY LTD"/>
    <s v="PO BOX 469, DEE WHY NSW 2099"/>
    <s v="9503009910"/>
    <s v="Globos de latex de caucho natural."/>
    <s v="UNIDADES"/>
    <n v="1012360"/>
    <n v="3469.64"/>
    <n v="3820.54"/>
    <n v="2"/>
    <x v="5"/>
    <s v="Sidney"/>
    <s v="ATLÁNTICO"/>
    <s v="ATLÁNTICO"/>
    <s v="BARRANQUILLA"/>
    <s v="201506"/>
    <s v="6027586340281"/>
    <s v="ÚNICO"/>
    <s v="TRANSPORTE MARÍTIMO"/>
    <s v="HONG KONG"/>
    <s v="EXPORTACIONES DEFINITIVAS"/>
    <s v="EXPORTACIÓN DEFINITIVA DE MERCANCÍAS DE FABRICACIÓN Ó PRODUCCIÓN NACIONAL"/>
    <s v="NINGUNO"/>
    <s v="NO"/>
    <s v="Dólar de los Estados Unidos de América"/>
    <s v="CON REINTEGRO"/>
    <n v="49069.2"/>
    <n v="128740897.27"/>
    <n v="0"/>
    <n v="1665.99"/>
    <n v="0"/>
    <n v="0"/>
    <s v="OCEANÍA"/>
  </r>
  <r>
    <n v="304"/>
    <n v="2015"/>
    <n v="6"/>
    <n v="9"/>
    <s v="2015"/>
    <s v="06"/>
    <s v="09"/>
    <s v="INICIAL"/>
    <s v="20150609"/>
    <s v="600758339408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2228000"/>
    <n v="4880.26"/>
    <n v="5296.77"/>
    <n v="2"/>
    <x v="0"/>
    <s v="YEKATERINBURG"/>
    <s v="ATLÁNTICO"/>
    <s v="ATLÁNTICO"/>
    <s v="CARTAGENA"/>
    <s v="201506"/>
    <s v="6027585836991"/>
    <s v="ÚNICO"/>
    <s v="TRANSPORTE MARÍTIMO"/>
    <s v="LÍBANO"/>
    <s v="EXPORTACIONES DEFINITIVAS"/>
    <s v="EXPORTACIÓN DEFINITIVA DE MERCANCÍAS DE FABRICACIÓN Ó PRODUCCIÓN NACIONAL"/>
    <s v="NINGUNO"/>
    <s v="NO"/>
    <s v="Dólar de los Estados Unidos de América"/>
    <s v="CON REINTEGRO"/>
    <n v="66235"/>
    <n v="173778120.09999999"/>
    <n v="0"/>
    <n v="0"/>
    <n v="0"/>
    <n v="0"/>
    <s v="ASIA"/>
  </r>
  <r>
    <n v="305"/>
    <n v="2015"/>
    <n v="6"/>
    <n v="9"/>
    <s v="2015"/>
    <s v="06"/>
    <s v="09"/>
    <s v="INICIAL"/>
    <s v="20150609"/>
    <s v="600758339409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3709000"/>
    <n v="8327.7099999999991"/>
    <n v="9047.8799999999992"/>
    <n v="1"/>
    <x v="0"/>
    <s v="YEKATERINBURG"/>
    <s v="ATLÁNTICO"/>
    <s v="ATLÁNTICO"/>
    <s v="CARTAGENA"/>
    <s v="201506"/>
    <s v="6027585840822"/>
    <s v="ÚNICO"/>
    <s v="TRANSPORTE MARÍTIMO"/>
    <s v="LÍBANO"/>
    <s v="EXPORTACIONES DEFINITIVAS"/>
    <s v="EXPORTACIÓN DEFINITIVA DE MERCANCÍAS DE FABRICACIÓN Ó PRODUCCIÓN NACIONAL"/>
    <s v="NINGUNO"/>
    <s v="NO"/>
    <s v="Dólar de los Estados Unidos de América"/>
    <s v="CON REINTEGRO"/>
    <n v="105143.5"/>
    <n v="275860795.20999998"/>
    <n v="0"/>
    <n v="0"/>
    <n v="0"/>
    <n v="0"/>
    <s v="ASIA"/>
  </r>
  <r>
    <n v="306"/>
    <n v="2015"/>
    <n v="6"/>
    <n v="9"/>
    <s v="2015"/>
    <s v="06"/>
    <s v="09"/>
    <s v="INICIAL"/>
    <s v="20150609"/>
    <s v="600758339409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343500"/>
    <n v="738.18"/>
    <n v="802.02"/>
    <n v="2"/>
    <x v="0"/>
    <s v="YEKATERINBURG"/>
    <s v="ATLÁNTICO"/>
    <s v="ATLÁNTICO"/>
    <s v="CARTAGENA"/>
    <s v="201506"/>
    <s v="6027585840822"/>
    <s v="ÚNICO"/>
    <s v="TRANSPORTE MARÍTIMO"/>
    <s v="LÍBANO"/>
    <s v="EXPORTACIONES DEFINITIVAS"/>
    <s v="EXPORTACIÓN DEFINITIVA DE MERCANCÍAS DE FABRICACIÓN Ó PRODUCCIÓN NACIONAL"/>
    <s v="NINGUNO"/>
    <s v="NO"/>
    <s v="Dólar de los Estados Unidos de América"/>
    <s v="CON REINTEGRO"/>
    <n v="10233.5"/>
    <n v="26849224.609999999"/>
    <n v="0"/>
    <n v="0"/>
    <n v="0"/>
    <n v="0"/>
    <s v="ASIA"/>
  </r>
  <r>
    <n v="307"/>
    <n v="2015"/>
    <n v="6"/>
    <n v="9"/>
    <s v="2015"/>
    <s v="06"/>
    <s v="09"/>
    <s v="INICIAL"/>
    <s v="20150609"/>
    <s v="600758339409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991000"/>
    <n v="4723.71"/>
    <n v="5132.21"/>
    <n v="3"/>
    <x v="0"/>
    <s v="YEKATERINBURG"/>
    <s v="ATLÁNTICO"/>
    <s v="ATLÁNTICO"/>
    <s v="CARTAGENA"/>
    <s v="201506"/>
    <s v="6027585840822"/>
    <s v="ÚNICO"/>
    <s v="TRANSPORTE MARÍTIMO"/>
    <s v="LÍBANO"/>
    <s v="EXPORTACIONES DEFINITIVAS"/>
    <s v="EXPORTACIÓN DEFINITIVA DE MERCANCÍAS DE FABRICACIÓN Ó PRODUCCIÓN NACIONAL"/>
    <s v="NINGUNO"/>
    <s v="NO"/>
    <s v="Dólar de los Estados Unidos de América"/>
    <s v="CON REINTEGRO"/>
    <n v="112971.4"/>
    <n v="296398543.31999999"/>
    <n v="0"/>
    <n v="0"/>
    <n v="0"/>
    <n v="0"/>
    <s v="ASIA"/>
  </r>
  <r>
    <n v="308"/>
    <n v="2015"/>
    <n v="6"/>
    <n v="9"/>
    <s v="2015"/>
    <s v="06"/>
    <s v="09"/>
    <s v="INICIAL"/>
    <s v="20150609"/>
    <s v="600758339409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177000"/>
    <n v="653.15"/>
    <n v="709.63"/>
    <n v="4"/>
    <x v="0"/>
    <s v="YEKATERINBURG"/>
    <s v="ATLÁNTICO"/>
    <s v="ATLÁNTICO"/>
    <s v="CARTAGENA"/>
    <s v="201506"/>
    <s v="6027585840822"/>
    <s v="ÚNICO"/>
    <s v="TRANSPORTE MARÍTIMO"/>
    <s v="LÍBANO"/>
    <s v="EXPORTACIONES DEFINITIVAS"/>
    <s v="EXPORTACIÓN DEFINITIVA DE MERCANCÍAS DE FABRICACIÓN Ó PRODUCCIÓN NACIONAL"/>
    <s v="NINGUNO"/>
    <s v="NO"/>
    <s v="Dólar de los Estados Unidos de América"/>
    <s v="CON REINTEGRO"/>
    <n v="14618.4"/>
    <n v="38353711.340000004"/>
    <n v="0"/>
    <n v="0"/>
    <n v="0"/>
    <n v="0"/>
    <s v="ASIA"/>
  </r>
  <r>
    <n v="309"/>
    <n v="2015"/>
    <n v="6"/>
    <n v="9"/>
    <s v="2015"/>
    <s v="06"/>
    <s v="09"/>
    <s v="INICIAL"/>
    <s v="20150609"/>
    <s v="600758339408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5014500"/>
    <n v="9765.14"/>
    <n v="10598.55"/>
    <n v="1"/>
    <x v="0"/>
    <s v="YEKATERINBURG"/>
    <s v="ATLÁNTICO"/>
    <s v="ATLÁNTICO"/>
    <s v="CARTAGENA"/>
    <s v="201506"/>
    <s v="6027585836991"/>
    <s v="ÚNICO"/>
    <s v="TRANSPORTE MARÍTIMO"/>
    <s v="LÍBANO"/>
    <s v="EXPORTACIONES DEFINITIVAS"/>
    <s v="EXPORTACIÓN DEFINITIVA DE MERCANCÍAS DE FABRICACIÓN Ó PRODUCCIÓN NACIONAL"/>
    <s v="NINGUNO"/>
    <s v="NO"/>
    <s v="Dólar de los Estados Unidos de América"/>
    <s v="CON REINTEGRO"/>
    <n v="133581"/>
    <n v="350471126.45999998"/>
    <n v="0"/>
    <n v="0"/>
    <n v="0"/>
    <n v="0"/>
    <s v="ASIA"/>
  </r>
  <r>
    <n v="310"/>
    <n v="2015"/>
    <n v="6"/>
    <n v="9"/>
    <s v="2015"/>
    <s v="06"/>
    <s v="09"/>
    <s v="INICIAL"/>
    <s v="20150609"/>
    <s v="600758336379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G DE P"/>
    <s v="CALLE 70 Y AVENIDA TERCERA. SAN FRANCISCO PANAMA"/>
    <s v="9503009910"/>
    <s v="Globos de latex de caucho natural."/>
    <s v="UNIDADES"/>
    <n v="824120"/>
    <n v="2347.6999999999998"/>
    <n v="2534.67"/>
    <n v="1"/>
    <x v="11"/>
    <s v="REPUBLICA DE PANAMA"/>
    <s v="ATLÁNTICO"/>
    <s v="ATLÁNTICO"/>
    <s v="BARRANQUILLA"/>
    <s v="201506"/>
    <s v="6027586344813"/>
    <s v="ÚNICO"/>
    <s v="TRANSPORTE MARÍTIMO"/>
    <s v="SINGAPUR"/>
    <s v="EXPORTACIONES DEFINITIVAS"/>
    <s v="EXPORTACIÓN DEFINITIVA DE MERCANCÍAS DE FABRICACIÓN Ó PRODUCCIÓN NACIONAL"/>
    <s v="ALADI"/>
    <s v="NO"/>
    <s v="Dólar de los Estados Unidos de América"/>
    <s v="CON REINTEGRO"/>
    <n v="39151.800000000003"/>
    <n v="102721011.59"/>
    <n v="0"/>
    <n v="679.2"/>
    <n v="99.58"/>
    <n v="0"/>
    <s v="AMÉRICA"/>
  </r>
  <r>
    <n v="311"/>
    <n v="2015"/>
    <n v="6"/>
    <n v="9"/>
    <s v="2015"/>
    <s v="06"/>
    <s v="09"/>
    <s v="INICIAL"/>
    <s v="20150609"/>
    <s v="600758336379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G DE P"/>
    <s v="CALLE 70 Y AVENIDA TERCERA. SAN FRANCISCO PANAMA"/>
    <s v="9503009910"/>
    <s v="Globos de latex de caucho natural."/>
    <s v="UNIDADES"/>
    <n v="324760"/>
    <n v="1073.33"/>
    <n v="1158.81"/>
    <n v="2"/>
    <x v="11"/>
    <s v="REPUBLICA DE PANAMA"/>
    <s v="ATLÁNTICO"/>
    <s v="ATLÁNTICO"/>
    <s v="BARRANQUILLA"/>
    <s v="201506"/>
    <s v="6027586344813"/>
    <s v="ÚNICO"/>
    <s v="TRANSPORTE MARÍTIMO"/>
    <s v="SINGAPUR"/>
    <s v="EXPORTACIONES DEFINITIVAS"/>
    <s v="EXPORTACIÓN DEFINITIVA DE MERCANCÍAS DE FABRICACIÓN Ó PRODUCCIÓN NACIONAL"/>
    <s v="ALADI"/>
    <s v="NO"/>
    <s v="Dólar de los Estados Unidos de América"/>
    <s v="CON REINTEGRO"/>
    <n v="17534.400000000001"/>
    <n v="46004303.899999999"/>
    <n v="0"/>
    <n v="304.19"/>
    <n v="44.6"/>
    <n v="0"/>
    <s v="AMÉRICA"/>
  </r>
  <r>
    <n v="312"/>
    <n v="2015"/>
    <n v="6"/>
    <n v="9"/>
    <s v="2015"/>
    <s v="06"/>
    <s v="09"/>
    <s v="INICIAL"/>
    <s v="20150609"/>
    <s v="600758336379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G DE P"/>
    <s v="CALLE 70 Y AVENIDA TERCERA. SAN FRANCISCO PANAMA"/>
    <s v="9503009910"/>
    <s v="Globos de latex de caucho natural."/>
    <s v="UNIDADES"/>
    <n v="8640"/>
    <n v="35.630000000000003"/>
    <n v="38.47"/>
    <n v="3"/>
    <x v="11"/>
    <s v="REPUBLICA DE PANAMA"/>
    <s v="ATLÁNTICO"/>
    <s v="ATLÁNTICO"/>
    <s v="BARRANQUILLA"/>
    <s v="201506"/>
    <s v="6027586344813"/>
    <s v="ÚNICO"/>
    <s v="TRANSPORTE MARÍTIMO"/>
    <s v="SINGAPUR"/>
    <s v="EXPORTACIONES DEFINITIVAS"/>
    <s v="EXPORTACIÓN DEFINITIVA DE MERCANCÍAS DE FABRICACIÓN Ó PRODUCCIÓN NACIONAL"/>
    <s v="ALADI"/>
    <s v="NO"/>
    <s v="Dólar de los Estados Unidos de América"/>
    <s v="CON REINTEGRO"/>
    <n v="957.6"/>
    <n v="2512416.8199999998"/>
    <n v="0"/>
    <n v="16.61"/>
    <n v="2.44"/>
    <n v="0"/>
    <s v="AMÉRICA"/>
  </r>
  <r>
    <n v="313"/>
    <n v="2015"/>
    <n v="6"/>
    <n v="9"/>
    <s v="2015"/>
    <s v="06"/>
    <s v="09"/>
    <s v="INICIAL"/>
    <s v="20150609"/>
    <s v="600758334346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28000"/>
    <n v="110.69"/>
    <n v="128.97"/>
    <n v="4"/>
    <x v="2"/>
    <s v="SAINT LOUIS"/>
    <s v="ATLÁNTICO"/>
    <s v="ATLÁNTICO"/>
    <s v="BARRANQUILLA"/>
    <s v="201506"/>
    <s v="6027586260791"/>
    <s v="ÚNICO"/>
    <s v="TRANSPORTE MARÍTIMO"/>
    <s v="SINGAPUR"/>
    <s v="EXPORTACIONES DEFINITIVAS"/>
    <s v="EXPORTACIÓN DEFINITIVA DE MERCANCÍAS DE FABRICACIÓN Ó PRODUCCIÓN NACIONAL"/>
    <s v="NINGUNO"/>
    <s v="NO"/>
    <s v="Dólar de los Estados Unidos de América"/>
    <s v="CON REINTEGRO"/>
    <n v="3192"/>
    <n v="8374722.7199999997"/>
    <n v="0"/>
    <n v="80.59"/>
    <n v="0"/>
    <n v="0"/>
    <s v="AMÉRICA"/>
  </r>
  <r>
    <n v="314"/>
    <n v="2015"/>
    <n v="6"/>
    <n v="9"/>
    <s v="2015"/>
    <s v="06"/>
    <s v="09"/>
    <s v="INICIAL"/>
    <s v="20150609"/>
    <s v="600758334351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AILLONS BALLONS CO., LTDA."/>
    <s v="P.O BOX 115 FENG YUAN, TAIWAN 42099 NO.2 DAFONG RD, SHENGANG DIST."/>
    <s v="9503009910"/>
    <s v="Globos de latex de caucho natural."/>
    <s v="UNIDADES"/>
    <n v="2747500"/>
    <n v="6304.29"/>
    <n v="6825.48"/>
    <n v="1"/>
    <x v="26"/>
    <s v="TAICHUNG"/>
    <s v="ATLÁNTICO"/>
    <s v="ATLÁNTICO"/>
    <s v="BARRANQUILLA"/>
    <s v="201506"/>
    <s v="6027586347216"/>
    <s v="ÚNICO"/>
    <s v="TRANSPORTE MARÍTIMO"/>
    <s v="SINGAPUR"/>
    <s v="EXPORTACIONES DEFINITIVAS"/>
    <s v="EXPORTACIÓN DEFINITIVA DE MERCANCÍAS DE FABRICACIÓN Ó PRODUCCIÓN NACIONAL"/>
    <s v="NINGUNO"/>
    <s v="NO"/>
    <s v="Dólar de los Estados Unidos de América"/>
    <s v="CON REINTEGRO"/>
    <n v="77991"/>
    <n v="204621867.06"/>
    <n v="0"/>
    <n v="804.56"/>
    <n v="196.99"/>
    <n v="0"/>
    <s v="ASIA"/>
  </r>
  <r>
    <n v="315"/>
    <n v="2015"/>
    <n v="6"/>
    <n v="9"/>
    <s v="2015"/>
    <s v="06"/>
    <s v="09"/>
    <s v="INICIAL"/>
    <s v="20150609"/>
    <s v="600758334351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AILLONS BALLONS CO., LTDA."/>
    <s v="P.O BOX 115 FENG YUAN, TAIWAN 42099 NO.2 DAFONG RD, SHENGANG DIST."/>
    <s v="9503009910"/>
    <s v="Globos de latex de caucho natural."/>
    <s v="UNIDADES"/>
    <n v="170500"/>
    <n v="310.23"/>
    <n v="335.88"/>
    <n v="2"/>
    <x v="26"/>
    <s v="TAICHUNG"/>
    <s v="ATLÁNTICO"/>
    <s v="ATLÁNTICO"/>
    <s v="BARRANQUILLA"/>
    <s v="201506"/>
    <s v="6027586347216"/>
    <s v="ÚNICO"/>
    <s v="TRANSPORTE MARÍTIMO"/>
    <s v="SINGAPUR"/>
    <s v="EXPORTACIONES DEFINITIVAS"/>
    <s v="EXPORTACIÓN DEFINITIVA DE MERCANCÍAS DE FABRICACIÓN Ó PRODUCCIÓN NACIONAL"/>
    <s v="NINGUNO"/>
    <s v="NO"/>
    <s v="Dólar de los Estados Unidos de América"/>
    <s v="CON REINTEGRO"/>
    <n v="4405"/>
    <n v="11557222.300000001"/>
    <n v="0"/>
    <n v="45.44"/>
    <n v="11.13"/>
    <n v="0"/>
    <s v="ASIA"/>
  </r>
  <r>
    <n v="316"/>
    <n v="2015"/>
    <n v="6"/>
    <n v="9"/>
    <s v="2015"/>
    <s v="06"/>
    <s v="09"/>
    <s v="INICIAL"/>
    <s v="20150609"/>
    <s v="600758334346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215800"/>
    <n v="666.87"/>
    <n v="777.01"/>
    <n v="2"/>
    <x v="2"/>
    <s v="SAINT LOUIS"/>
    <s v="ATLÁNTICO"/>
    <s v="ATLÁNTICO"/>
    <s v="BARRANQUILLA"/>
    <s v="201506"/>
    <s v="6027586260791"/>
    <s v="ÚNICO"/>
    <s v="TRANSPORTE MARÍTIMO"/>
    <s v="SINGAPUR"/>
    <s v="EXPORTACIONES DEFINITIVAS"/>
    <s v="EXPORTACIÓN DEFINITIVA DE MERCANCÍAS DE FABRICACIÓN Ó PRODUCCIÓN NACIONAL"/>
    <s v="NINGUNO"/>
    <s v="NO"/>
    <s v="Dólar de los Estados Unidos de América"/>
    <s v="CON REINTEGRO"/>
    <n v="9868.7999999999993"/>
    <n v="25892375.809999999"/>
    <n v="0"/>
    <n v="249.15"/>
    <n v="0"/>
    <n v="0"/>
    <s v="AMÉRICA"/>
  </r>
  <r>
    <n v="317"/>
    <n v="2015"/>
    <n v="6"/>
    <n v="9"/>
    <s v="2015"/>
    <s v="06"/>
    <s v="09"/>
    <s v="INICIAL"/>
    <s v="20150609"/>
    <s v="600758334346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152000"/>
    <n v="552.37"/>
    <n v="643.6"/>
    <n v="3"/>
    <x v="2"/>
    <s v="SAINT LOUIS"/>
    <s v="ATLÁNTICO"/>
    <s v="ATLÁNTICO"/>
    <s v="BARRANQUILLA"/>
    <s v="201506"/>
    <s v="6027586260791"/>
    <s v="ÚNICO"/>
    <s v="TRANSPORTE MARÍTIMO"/>
    <s v="SINGAPUR"/>
    <s v="EXPORTACIONES DEFINITIVAS"/>
    <s v="EXPORTACIÓN DEFINITIVA DE MERCANCÍAS DE FABRICACIÓN Ó PRODUCCIÓN NACIONAL"/>
    <s v="NINGUNO"/>
    <s v="NO"/>
    <s v="Dólar de los Estados Unidos de América"/>
    <s v="CON REINTEGRO"/>
    <n v="16584.8"/>
    <n v="43512876.369999997"/>
    <n v="0"/>
    <n v="418.71"/>
    <n v="0"/>
    <n v="0"/>
    <s v="AMÉRICA"/>
  </r>
  <r>
    <n v="318"/>
    <n v="2015"/>
    <n v="6"/>
    <n v="9"/>
    <s v="2015"/>
    <s v="06"/>
    <s v="09"/>
    <s v="INICIAL"/>
    <s v="20150609"/>
    <s v="600758334346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1561600"/>
    <n v="4569.96"/>
    <n v="5324.71"/>
    <n v="1"/>
    <x v="2"/>
    <s v="SAINT LOUIS"/>
    <s v="ATLÁNTICO"/>
    <s v="ATLÁNTICO"/>
    <s v="BARRANQUILLA"/>
    <s v="201506"/>
    <s v="6027586260791"/>
    <s v="ÚNICO"/>
    <s v="TRANSPORTE MARÍTIMO"/>
    <s v="SINGAPUR"/>
    <s v="EXPORTACIONES DEFINITIVAS"/>
    <s v="EXPORTACIÓN DEFINITIVA DE MERCANCÍAS DE FABRICACIÓN Ó PRODUCCIÓN NACIONAL"/>
    <s v="NINGUNO"/>
    <s v="NO"/>
    <s v="Dólar de los Estados Unidos de América"/>
    <s v="CON REINTEGRO"/>
    <n v="63396.6"/>
    <n v="166331123.56"/>
    <n v="0"/>
    <n v="1600.55"/>
    <n v="0"/>
    <n v="0"/>
    <s v="AMÉRICA"/>
  </r>
  <r>
    <n v="319"/>
    <n v="2015"/>
    <n v="6"/>
    <n v="9"/>
    <s v="2015"/>
    <s v="06"/>
    <s v="09"/>
    <s v="INICIAL"/>
    <s v="20150609"/>
    <s v="600758345743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PMS GLOBOS ET FESTIVAL"/>
    <s v="MS.NATHALIE ET MARIE PIERRE 1988 ROUTES DES PLANTANES 31330 MERVILLE"/>
    <s v="9503009910"/>
    <s v="Globos de latex de caucho natural."/>
    <s v="UNIDADES"/>
    <n v="1944500"/>
    <n v="4493.55"/>
    <n v="4881.68"/>
    <n v="1"/>
    <x v="34"/>
    <s v="MERVILLE"/>
    <s v="ATLÁNTICO"/>
    <s v="ATLÁNTICO"/>
    <s v="CARTAGENA"/>
    <s v="201506"/>
    <s v="6027586356964"/>
    <s v="ÚNICO"/>
    <s v="TRANSPORTE MARÍTIMO"/>
    <s v="CHIPRE"/>
    <s v="EXPORTACIONES DEFINITIVAS"/>
    <s v="EXPORTACIÓN DEFINITIVA DE MERCANCÍAS DE FABRICACIÓN Ó PRODUCCIÓN NACIONAL"/>
    <s v="NINGUNO"/>
    <s v="NO"/>
    <s v="Dólar de los Estados Unidos de América"/>
    <s v="CON REINTEGRO"/>
    <n v="79127.399999999994"/>
    <n v="207603394.28"/>
    <n v="0"/>
    <n v="0"/>
    <n v="0"/>
    <n v="0"/>
    <s v="EUROPA"/>
  </r>
  <r>
    <n v="320"/>
    <n v="2015"/>
    <n v="6"/>
    <n v="9"/>
    <s v="2015"/>
    <s v="06"/>
    <s v="09"/>
    <s v="INICIAL"/>
    <s v="20150609"/>
    <s v="600758345743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PMS GLOBOS ET FESTIVAL"/>
    <s v="MS.NATHALIE ET MARIE PIERRE 1988 ROUTES DES PLANTANES 31330 MERVILLE"/>
    <s v="9503009910"/>
    <s v="Globos de latex de caucho natural."/>
    <s v="UNIDADES"/>
    <n v="789000"/>
    <n v="1945.31"/>
    <n v="2113.34"/>
    <n v="2"/>
    <x v="34"/>
    <s v="MERVILLE"/>
    <s v="ATLÁNTICO"/>
    <s v="ATLÁNTICO"/>
    <s v="CARTAGENA"/>
    <s v="201506"/>
    <s v="6027586356964"/>
    <s v="ÚNICO"/>
    <s v="TRANSPORTE MARÍTIMO"/>
    <s v="CHIPRE"/>
    <s v="EXPORTACIONES DEFINITIVAS"/>
    <s v="EXPORTACIÓN DEFINITIVA DE MERCANCÍAS DE FABRICACIÓN Ó PRODUCCIÓN NACIONAL"/>
    <s v="NINGUNO"/>
    <s v="NO"/>
    <s v="Dólar de los Estados Unidos de América"/>
    <s v="CON REINTEGRO"/>
    <n v="32462.3"/>
    <n v="85170038.019999996"/>
    <n v="0"/>
    <n v="0"/>
    <n v="0"/>
    <n v="0"/>
    <s v="EUROPA"/>
  </r>
  <r>
    <n v="321"/>
    <n v="2015"/>
    <n v="6"/>
    <n v="9"/>
    <s v="2015"/>
    <s v="06"/>
    <s v="09"/>
    <s v="INICIAL"/>
    <s v="20150609"/>
    <s v="600758345743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PMS GLOBOS ET FESTIVAL"/>
    <s v="MS.NATHALIE ET MARIE PIERRE 1988 ROUTES DES PLANTANES 31330 MERVILLE"/>
    <s v="9503009910"/>
    <s v="Globos de latex de caucho natural."/>
    <s v="UNIDADES"/>
    <n v="400"/>
    <n v="17.14"/>
    <n v="18.62"/>
    <n v="3"/>
    <x v="34"/>
    <s v="MERVILLE"/>
    <s v="ATLÁNTICO"/>
    <s v="ATLÁNTICO"/>
    <s v="CARTAGENA"/>
    <s v="201506"/>
    <s v="6027586356964"/>
    <s v="ÚNICO"/>
    <s v="TRANSPORTE MARÍTIMO"/>
    <s v="CHIPRE"/>
    <s v="EXPORTACIONES DEFINITIVAS"/>
    <s v="EXPORTACIÓN DEFINITIVA DE MERCANCÍAS DE FABRICACIÓN Ó PRODUCCIÓN NACIONAL"/>
    <s v="NINGUNO"/>
    <s v="NO"/>
    <s v="Dólar de los Estados Unidos de América"/>
    <s v="CON REINTEGRO"/>
    <n v="680"/>
    <n v="1784088.8"/>
    <n v="0"/>
    <n v="0"/>
    <n v="0"/>
    <n v="0"/>
    <s v="EUROPA"/>
  </r>
  <r>
    <n v="322"/>
    <n v="2015"/>
    <n v="6"/>
    <n v="10"/>
    <s v="2015"/>
    <s v="06"/>
    <s v="10"/>
    <s v="INICIAL"/>
    <s v="20150610"/>
    <s v="6007583504732"/>
    <s v="201506"/>
    <s v="6007583394104"/>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4911100000"/>
    <s v="Impresos publicitarios, catalogos comerciales y similares."/>
    <s v="KILOGRAMO"/>
    <n v="6.07"/>
    <n v="6.07"/>
    <n v="7"/>
    <n v="1"/>
    <x v="0"/>
    <s v="YEKATERINBURG"/>
    <s v="ATLÁNTICO"/>
    <s v="ATLÁNTICO"/>
    <s v="CARTAGENA"/>
    <s v="201506"/>
    <s v="6027585841291"/>
    <s v="ÚNICO"/>
    <s v="TRANSPORTE MARÍTIMO"/>
    <s v="LÍBANO"/>
    <s v="EXPORTACIONES DEFINITIVAS"/>
    <s v="EXPORTACION TEMPORAL PARA PERFECCIONAMIENTO PASIVO"/>
    <s v="NINGUNO"/>
    <s v="NO"/>
    <s v="Dólar de los Estados Unidos de América"/>
    <s v="SIN REINTEGRO"/>
    <n v="1.25"/>
    <n v="3211.46"/>
    <n v="0"/>
    <n v="0"/>
    <n v="0"/>
    <n v="0"/>
    <s v="ASIA"/>
  </r>
  <r>
    <n v="323"/>
    <n v="2015"/>
    <n v="6"/>
    <n v="10"/>
    <s v="2015"/>
    <s v="06"/>
    <s v="10"/>
    <s v="INICIAL"/>
    <s v="20150610"/>
    <s v="600758336380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G DE P"/>
    <s v="CALLE 70 Y AVENIDA TERCERA. SAN FRANCISCO PANAMA"/>
    <s v="9503009910"/>
    <s v="Globos de latex de caucho natural."/>
    <s v="UNIDADES"/>
    <n v="5000"/>
    <n v="15.86"/>
    <n v="17.72"/>
    <n v="1"/>
    <x v="11"/>
    <s v="REPUBLICA DE PANAMA"/>
    <s v="ATLÁNTICO"/>
    <s v="ATLÁNTICO"/>
    <s v="BARRANQUILLA"/>
    <s v="201506"/>
    <s v="6027586346257"/>
    <s v="ÚNICO"/>
    <s v="TRANSPORTE MARÍTIMO"/>
    <s v="SINGAPUR"/>
    <s v="EXPORTACIONES DEFINITIVAS"/>
    <s v="EXPORTACIÓN DEFINITIVA DE MERCANCÍAS DE FABRICACIÓN Ó PRODUCCIÓN NACIONAL"/>
    <s v="ALADI"/>
    <s v="NO"/>
    <s v="Dólar de los Estados Unidos de América"/>
    <s v="CON REINTEGRO"/>
    <n v="350"/>
    <n v="899209.5"/>
    <n v="0"/>
    <n v="100"/>
    <n v="12"/>
    <n v="0"/>
    <s v="AMÉRICA"/>
  </r>
  <r>
    <n v="324"/>
    <n v="2015"/>
    <n v="6"/>
    <n v="12"/>
    <s v="2015"/>
    <s v="06"/>
    <s v="12"/>
    <s v="INICIAL"/>
    <s v="20150612"/>
    <s v="600758358920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408300"/>
    <n v="1461.64"/>
    <n v="1589.35"/>
    <n v="3"/>
    <x v="32"/>
    <s v="HAMINA"/>
    <s v="ATLÁNTICO"/>
    <s v="ATLÁNTICO"/>
    <s v="CARTAGENA"/>
    <s v="201506"/>
    <s v="6027586353042"/>
    <s v="ÚNICO"/>
    <s v="TRANSPORTE MARÍTIMO"/>
    <s v="LIBERIA"/>
    <s v="EXPORTACIONES DEFINITIVAS"/>
    <s v="EXPORTACIÓN DEFINITIVA DE MERCANCÍAS DE FABRICACIÓN Ó PRODUCCIÓN NACIONAL"/>
    <s v="NINGUNO"/>
    <s v="NO"/>
    <s v="Dólar de los Estados Unidos de América"/>
    <s v="CON REINTEGRO"/>
    <n v="34343.4"/>
    <n v="87182438.069999993"/>
    <n v="0"/>
    <n v="485.88"/>
    <n v="87.07"/>
    <n v="0"/>
    <s v="EUROPA"/>
  </r>
  <r>
    <n v="325"/>
    <n v="2015"/>
    <n v="6"/>
    <n v="12"/>
    <s v="2015"/>
    <s v="06"/>
    <s v="12"/>
    <s v="INICIAL"/>
    <s v="20150612"/>
    <s v="600758358920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6000"/>
    <n v="23.02"/>
    <n v="25.03"/>
    <n v="4"/>
    <x v="32"/>
    <s v="HAMINA"/>
    <s v="ATLÁNTICO"/>
    <s v="ATLÁNTICO"/>
    <s v="CARTAGENA"/>
    <s v="201506"/>
    <s v="6027586353042"/>
    <s v="ÚNICO"/>
    <s v="TRANSPORTE MARÍTIMO"/>
    <s v="LIBERIA"/>
    <s v="EXPORTACIONES DEFINITIVAS"/>
    <s v="EXPORTACIÓN DEFINITIVA DE MERCANCÍAS DE FABRICACIÓN Ó PRODUCCIÓN NACIONAL"/>
    <s v="NINGUNO"/>
    <s v="NO"/>
    <s v="Dólar de los Estados Unidos de América"/>
    <s v="CON REINTEGRO"/>
    <n v="504"/>
    <n v="1279429.2"/>
    <n v="0"/>
    <n v="7.13"/>
    <n v="1.28"/>
    <n v="0"/>
    <s v="EUROPA"/>
  </r>
  <r>
    <n v="326"/>
    <n v="2015"/>
    <n v="6"/>
    <n v="12"/>
    <s v="2015"/>
    <s v="06"/>
    <s v="12"/>
    <s v="INICIAL"/>
    <s v="20150612"/>
    <s v="6007583589184"/>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4902909000"/>
    <s v="Los demás diarios y públicaciones periodicas, impresos, incluso ilustrados o con publicidad."/>
    <s v="UNIDADES"/>
    <n v="150"/>
    <n v="23.57"/>
    <n v="24.5"/>
    <n v="1"/>
    <x v="32"/>
    <s v="HAMINA"/>
    <s v="ATLÁNTICO"/>
    <s v="ATLÁNTICO"/>
    <s v="CARTAGENA"/>
    <s v="201506"/>
    <s v="6027586353028"/>
    <s v="ÚNICO"/>
    <s v="TRANSPORTE MARÍTIMO"/>
    <s v="LIBERIA"/>
    <s v="EXPORTACIONES DEFINITIVAS"/>
    <s v="EXPORTACION TEMPORAL PARA PERFECCIONAMIENTO PASIVO"/>
    <s v="NINGUNO"/>
    <s v="NO"/>
    <s v="Dólar de los Estados Unidos de América"/>
    <s v="SIN REINTEGRO"/>
    <n v="7.5"/>
    <n v="19039.13"/>
    <n v="0"/>
    <n v="0"/>
    <n v="0"/>
    <n v="0"/>
    <s v="EUROPA"/>
  </r>
  <r>
    <n v="327"/>
    <n v="2015"/>
    <n v="6"/>
    <n v="12"/>
    <s v="2015"/>
    <s v="06"/>
    <s v="12"/>
    <s v="INICIAL"/>
    <s v="20150612"/>
    <s v="600758358919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6000"/>
    <n v="20.7"/>
    <n v="22.56"/>
    <n v="1"/>
    <x v="32"/>
    <s v="HAMINA"/>
    <s v="ATLÁNTICO"/>
    <s v="ATLÁNTICO"/>
    <s v="CARTAGENA"/>
    <s v="201506"/>
    <s v="6027586353035"/>
    <s v="ÚNICO"/>
    <s v="TRANSPORTE MARÍTIMO"/>
    <s v="LIBERIA"/>
    <s v="EXPORTACIONES DEFINITIVAS"/>
    <s v="EXPORTACIÓN DEFINITIVA DE MERCANCÍAS DE FABRICACIÓN Ó PRODUCCIÓN NACIONAL"/>
    <s v="NINGUNO"/>
    <s v="NO"/>
    <s v="Dólar de los Estados Unidos de América"/>
    <s v="CON REINTEGRO"/>
    <n v="492"/>
    <n v="1248966.6000000001"/>
    <n v="0"/>
    <n v="100"/>
    <n v="12"/>
    <n v="0"/>
    <s v="EUROPA"/>
  </r>
  <r>
    <n v="328"/>
    <n v="2015"/>
    <n v="6"/>
    <n v="12"/>
    <s v="2015"/>
    <s v="06"/>
    <s v="12"/>
    <s v="INICIAL"/>
    <s v="20150612"/>
    <s v="600758358920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4721000"/>
    <n v="9520.36"/>
    <n v="10352.17"/>
    <n v="1"/>
    <x v="32"/>
    <s v="HAMINA"/>
    <s v="ATLÁNTICO"/>
    <s v="ATLÁNTICO"/>
    <s v="CARTAGENA"/>
    <s v="201506"/>
    <s v="6027586353042"/>
    <s v="ÚNICO"/>
    <s v="TRANSPORTE MARÍTIMO"/>
    <s v="LIBERIA"/>
    <s v="EXPORTACIONES DEFINITIVAS"/>
    <s v="EXPORTACIÓN DEFINITIVA DE MERCANCÍAS DE FABRICACIÓN Ó PRODUCCIÓN NACIONAL"/>
    <s v="NINGUNO"/>
    <s v="NO"/>
    <s v="Dólar de los Estados Unidos de América"/>
    <s v="CON REINTEGRO"/>
    <n v="118989.7"/>
    <n v="302061302.94"/>
    <n v="0"/>
    <n v="1683.43"/>
    <n v="301.68"/>
    <n v="0"/>
    <s v="EUROPA"/>
  </r>
  <r>
    <n v="329"/>
    <n v="2015"/>
    <n v="6"/>
    <n v="12"/>
    <s v="2015"/>
    <s v="06"/>
    <s v="12"/>
    <s v="INICIAL"/>
    <s v="20150612"/>
    <s v="600758358920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646000"/>
    <n v="1470"/>
    <n v="1598.44"/>
    <n v="2"/>
    <x v="32"/>
    <s v="HAMINA"/>
    <s v="ATLÁNTICO"/>
    <s v="ATLÁNTICO"/>
    <s v="CARTAGENA"/>
    <s v="201506"/>
    <s v="6027586353042"/>
    <s v="ÚNICO"/>
    <s v="TRANSPORTE MARÍTIMO"/>
    <s v="LIBERIA"/>
    <s v="EXPORTACIONES DEFINITIVAS"/>
    <s v="EXPORTACIÓN DEFINITIVA DE MERCANCÍAS DE FABRICACIÓN Ó PRODUCCIÓN NACIONAL"/>
    <s v="NINGUNO"/>
    <s v="NO"/>
    <s v="Dólar de los Estados Unidos de América"/>
    <s v="CON REINTEGRO"/>
    <n v="18770.5"/>
    <n v="47649852.780000001"/>
    <n v="0"/>
    <n v="265.56"/>
    <n v="47.59"/>
    <n v="0"/>
    <s v="EUROPA"/>
  </r>
  <r>
    <n v="330"/>
    <n v="2015"/>
    <n v="6"/>
    <n v="17"/>
    <s v="2015"/>
    <s v="06"/>
    <s v="17"/>
    <s v="INICIAL"/>
    <s v="20150617"/>
    <s v="600758370430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2648000"/>
    <n v="5356.3"/>
    <n v="5801.04"/>
    <n v="1"/>
    <x v="9"/>
    <s v="SANTIAGO"/>
    <s v="ATLÁNTICO"/>
    <s v="ATLÁNTICO"/>
    <s v="BARRANQUILLA"/>
    <s v="201506"/>
    <s v="6027586844928"/>
    <s v="ÚNICO"/>
    <s v="TRANSPORTE MARÍTIMO"/>
    <s v="PANAMÁ"/>
    <s v="EXPORTACIONES DEFINITIVAS"/>
    <s v="EXPORTACIÓN DEFINITIVA DE MERCANCÍAS DE FABRICACIÓN Ó PRODUCCIÓN NACIONAL"/>
    <s v="ALADI"/>
    <s v="NO"/>
    <s v="Dólar de los Estados Unidos de América"/>
    <s v="CON REINTEGRO"/>
    <n v="73117.2"/>
    <n v="185112277.58000001"/>
    <n v="0"/>
    <n v="847.95"/>
    <n v="184.92"/>
    <n v="0"/>
    <s v="AMÉRICA"/>
  </r>
  <r>
    <n v="331"/>
    <n v="2015"/>
    <n v="6"/>
    <n v="17"/>
    <s v="2015"/>
    <s v="06"/>
    <s v="17"/>
    <s v="INICIAL"/>
    <s v="20150617"/>
    <s v="600758370430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391000"/>
    <n v="868.51"/>
    <n v="940.62"/>
    <n v="2"/>
    <x v="9"/>
    <s v="SANTIAGO"/>
    <s v="ATLÁNTICO"/>
    <s v="ATLÁNTICO"/>
    <s v="BARRANQUILLA"/>
    <s v="201506"/>
    <s v="6027586844928"/>
    <s v="ÚNICO"/>
    <s v="TRANSPORTE MARÍTIMO"/>
    <s v="PANAMÁ"/>
    <s v="EXPORTACIONES DEFINITIVAS"/>
    <s v="EXPORTACIÓN DEFINITIVA DE MERCANCÍAS DE FABRICACIÓN Ó PRODUCCIÓN NACIONAL"/>
    <s v="ALADI"/>
    <s v="NO"/>
    <s v="Dólar de los Estados Unidos de América"/>
    <s v="CON REINTEGRO"/>
    <n v="12586"/>
    <n v="31864227.920000002"/>
    <n v="0"/>
    <n v="145.96"/>
    <n v="31.83"/>
    <n v="0"/>
    <s v="AMÉRICA"/>
  </r>
  <r>
    <n v="332"/>
    <n v="2015"/>
    <n v="6"/>
    <n v="17"/>
    <s v="2015"/>
    <s v="06"/>
    <s v="17"/>
    <s v="INICIAL"/>
    <s v="20150617"/>
    <s v="600758370430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75200"/>
    <n v="310.87"/>
    <n v="336.68"/>
    <n v="3"/>
    <x v="9"/>
    <s v="SANTIAGO"/>
    <s v="ATLÁNTICO"/>
    <s v="ATLÁNTICO"/>
    <s v="BARRANQUILLA"/>
    <s v="201506"/>
    <s v="6027586844928"/>
    <s v="ÚNICO"/>
    <s v="TRANSPORTE MARÍTIMO"/>
    <s v="PANAMÁ"/>
    <s v="EXPORTACIONES DEFINITIVAS"/>
    <s v="EXPORTACIÓN DEFINITIVA DE MERCANCÍAS DE FABRICACIÓN Ó PRODUCCIÓN NACIONAL"/>
    <s v="ALADI"/>
    <s v="NO"/>
    <s v="Dólar de los Estados Unidos de América"/>
    <s v="CON REINTEGRO"/>
    <n v="8330.4"/>
    <n v="21090240.289999999"/>
    <n v="0"/>
    <n v="96.61"/>
    <n v="21.07"/>
    <n v="0"/>
    <s v="AMÉRICA"/>
  </r>
  <r>
    <n v="333"/>
    <n v="2015"/>
    <n v="6"/>
    <n v="17"/>
    <s v="2015"/>
    <s v="06"/>
    <s v="17"/>
    <s v="INICIAL"/>
    <s v="20150617"/>
    <s v="600758370430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11520"/>
    <n v="50.26"/>
    <n v="54.43"/>
    <n v="4"/>
    <x v="9"/>
    <s v="SANTIAGO"/>
    <s v="ATLÁNTICO"/>
    <s v="ATLÁNTICO"/>
    <s v="BARRANQUILLA"/>
    <s v="201506"/>
    <s v="6027586844928"/>
    <s v="ÚNICO"/>
    <s v="TRANSPORTE MARÍTIMO"/>
    <s v="PANAMÁ"/>
    <s v="EXPORTACIONES DEFINITIVAS"/>
    <s v="EXPORTACIÓN DEFINITIVA DE MERCANCÍAS DE FABRICACIÓN Ó PRODUCCIÓN NACIONAL"/>
    <s v="ALADI"/>
    <s v="NO"/>
    <s v="Dólar de los Estados Unidos de América"/>
    <s v="CON REINTEGRO"/>
    <n v="1248"/>
    <n v="3159586.56"/>
    <n v="0"/>
    <n v="14.47"/>
    <n v="3.16"/>
    <n v="0"/>
    <s v="AMÉRICA"/>
  </r>
  <r>
    <n v="334"/>
    <n v="2015"/>
    <n v="6"/>
    <n v="20"/>
    <s v="2015"/>
    <s v="06"/>
    <s v="20"/>
    <s v="INICIAL"/>
    <s v="20150620"/>
    <s v="6007583855233"/>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UTTERICKS LECO AB"/>
    <s v="SUNE SAGARES VAG 4 310 38 SIMLANGSDALEN"/>
    <s v="9503009910"/>
    <s v="Globos de latex de caucho natural."/>
    <s v="UNIDADES"/>
    <n v="67440"/>
    <n v="339.51"/>
    <n v="372.55"/>
    <n v="2"/>
    <x v="20"/>
    <s v="SUECIA"/>
    <s v="ATLÁNTICO"/>
    <s v="ATLÁNTICO"/>
    <s v="CARTAGENA"/>
    <s v="201506"/>
    <s v="6027586718852"/>
    <s v="ÚNICO"/>
    <s v="TRANSPORTE MARÍTIMO"/>
    <s v="LIBERIA"/>
    <s v="EXPORTACIONES DEFINITIVAS"/>
    <s v="EXPORTACIÓN DEFINITIVA DE MERCANCÍAS DE FABRICACIÓN Ó PRODUCCIÓN NACIONAL"/>
    <s v="NINGUNO"/>
    <s v="NO"/>
    <s v="Dólar de los Estados Unidos de América"/>
    <s v="CON REINTEGRO"/>
    <n v="5490"/>
    <n v="13989618"/>
    <n v="0"/>
    <n v="150.53"/>
    <n v="14.1"/>
    <n v="0"/>
    <s v="EUROPA"/>
  </r>
  <r>
    <n v="335"/>
    <n v="2015"/>
    <n v="6"/>
    <n v="20"/>
    <s v="2015"/>
    <s v="06"/>
    <s v="20"/>
    <s v="INICIAL"/>
    <s v="20150620"/>
    <s v="6007583855233"/>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UTTERICKS LECO AB"/>
    <s v="SUNE SAGARES VAG 4 310 38 SIMLANGSDALEN"/>
    <s v="9503009910"/>
    <s v="Globos de latex de caucho natural."/>
    <s v="UNIDADES"/>
    <n v="224000"/>
    <n v="1079.5"/>
    <n v="1184.54"/>
    <n v="3"/>
    <x v="20"/>
    <s v="SUECIA"/>
    <s v="ATLÁNTICO"/>
    <s v="ATLÁNTICO"/>
    <s v="CARTAGENA"/>
    <s v="201506"/>
    <s v="6027586718852"/>
    <s v="ÚNICO"/>
    <s v="TRANSPORTE MARÍTIMO"/>
    <s v="LIBERIA"/>
    <s v="EXPORTACIONES DEFINITIVAS"/>
    <s v="EXPORTACIÓN DEFINITIVA DE MERCANCÍAS DE FABRICACIÓN Ó PRODUCCIÓN NACIONAL"/>
    <s v="NINGUNO"/>
    <s v="NO"/>
    <s v="Dólar de los Estados Unidos de América"/>
    <s v="CON REINTEGRO"/>
    <n v="29250"/>
    <n v="74534850"/>
    <n v="0"/>
    <n v="801.99"/>
    <n v="75.13"/>
    <n v="0"/>
    <s v="EUROPA"/>
  </r>
  <r>
    <n v="336"/>
    <n v="2015"/>
    <n v="6"/>
    <n v="20"/>
    <s v="2015"/>
    <s v="06"/>
    <s v="20"/>
    <s v="INICIAL"/>
    <s v="20150620"/>
    <s v="6007583855233"/>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UTTERICKS LECO AB"/>
    <s v="SUNE SAGARES VAG 4 310 38 SIMLANGSDALEN"/>
    <s v="9503009910"/>
    <s v="Globos de latex de caucho natural."/>
    <s v="UNIDADES"/>
    <n v="29400"/>
    <n v="157.19"/>
    <n v="172.48"/>
    <n v="4"/>
    <x v="20"/>
    <s v="SUECIA"/>
    <s v="ATLÁNTICO"/>
    <s v="ATLÁNTICO"/>
    <s v="CARTAGENA"/>
    <s v="201506"/>
    <s v="6027586718852"/>
    <s v="ÚNICO"/>
    <s v="TRANSPORTE MARÍTIMO"/>
    <s v="LIBERIA"/>
    <s v="EXPORTACIONES DEFINITIVAS"/>
    <s v="EXPORTACIÓN DEFINITIVA DE MERCANCÍAS DE FABRICACIÓN Ó PRODUCCIÓN NACIONAL"/>
    <s v="NINGUNO"/>
    <s v="NO"/>
    <s v="Dólar de los Estados Unidos de América"/>
    <s v="CON REINTEGRO"/>
    <n v="4150"/>
    <n v="10575030"/>
    <n v="0"/>
    <n v="113.79"/>
    <n v="10.66"/>
    <n v="0"/>
    <s v="EUROPA"/>
  </r>
  <r>
    <n v="337"/>
    <n v="2015"/>
    <n v="6"/>
    <n v="20"/>
    <s v="2015"/>
    <s v="06"/>
    <s v="20"/>
    <s v="INICIAL"/>
    <s v="20150620"/>
    <s v="6007583855233"/>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UTTERICKS LECO AB"/>
    <s v="SUNE SAGARES VAG 4 310 38 SIMLANGSDALEN"/>
    <s v="9503009910"/>
    <s v="Globos de latex de caucho natural."/>
    <s v="UNIDADES"/>
    <n v="830350"/>
    <n v="2352.0700000000002"/>
    <n v="2580.9299999999998"/>
    <n v="1"/>
    <x v="20"/>
    <s v="SUECIA"/>
    <s v="ATLÁNTICO"/>
    <s v="ATLÁNTICO"/>
    <s v="CARTAGENA"/>
    <s v="201506"/>
    <s v="6027586718852"/>
    <s v="ÚNICO"/>
    <s v="TRANSPORTE MARÍTIMO"/>
    <s v="LIBERIA"/>
    <s v="EXPORTACIONES DEFINITIVAS"/>
    <s v="EXPORTACIÓN DEFINITIVA DE MERCANCÍAS DE FABRICACIÓN Ó PRODUCCIÓN NACIONAL"/>
    <s v="NINGUNO"/>
    <s v="NO"/>
    <s v="Dólar de los Estados Unidos de América"/>
    <s v="CON REINTEGRO"/>
    <n v="34053.199999999997"/>
    <n v="86774364.239999995"/>
    <n v="0"/>
    <n v="933.69"/>
    <n v="87.47"/>
    <n v="0"/>
    <s v="EUROPA"/>
  </r>
  <r>
    <n v="338"/>
    <n v="2015"/>
    <n v="6"/>
    <n v="22"/>
    <s v="2015"/>
    <s v="06"/>
    <s v="22"/>
    <s v="INICIAL"/>
    <s v="20150622"/>
    <s v="6007583936994"/>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5900000"/>
    <n v="13467.8"/>
    <n v="14586.26"/>
    <n v="1"/>
    <x v="0"/>
    <s v="YEKATERINBURG"/>
    <s v="ATLÁNTICO"/>
    <s v="ATLÁNTICO"/>
    <s v="CARTAGENA"/>
    <s v="201506"/>
    <s v="6027586714541"/>
    <s v="ÚNICO"/>
    <s v="TRANSPORTE MARÍTIMO"/>
    <s v="LIBERIA"/>
    <s v="EXPORTACIONES DEFINITIVAS"/>
    <s v="EXPORTACIÓN DEFINITIVA DE MERCANCÍAS DE FABRICACIÓN Ó PRODUCCIÓN NACIONAL"/>
    <s v="NINGUNO"/>
    <s v="NO"/>
    <s v="Dólar de los Estados Unidos de América"/>
    <s v="CON REINTEGRO"/>
    <n v="173249.5"/>
    <n v="441474375.89999998"/>
    <n v="0"/>
    <n v="0"/>
    <n v="0"/>
    <n v="0"/>
    <s v="ASIA"/>
  </r>
  <r>
    <n v="339"/>
    <n v="2015"/>
    <n v="6"/>
    <n v="22"/>
    <s v="2015"/>
    <s v="06"/>
    <s v="22"/>
    <s v="INICIAL"/>
    <s v="20150622"/>
    <s v="6007583936994"/>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141000"/>
    <n v="294.86"/>
    <n v="319.35000000000002"/>
    <n v="2"/>
    <x v="0"/>
    <s v="YEKATERINBURG"/>
    <s v="ATLÁNTICO"/>
    <s v="ATLÁNTICO"/>
    <s v="CARTAGENA"/>
    <s v="201506"/>
    <s v="6027586714541"/>
    <s v="ÚNICO"/>
    <s v="TRANSPORTE MARÍTIMO"/>
    <s v="LIBERIA"/>
    <s v="EXPORTACIONES DEFINITIVAS"/>
    <s v="EXPORTACIÓN DEFINITIVA DE MERCANCÍAS DE FABRICACIÓN Ó PRODUCCIÓN NACIONAL"/>
    <s v="NINGUNO"/>
    <s v="NO"/>
    <s v="Dólar de los Estados Unidos de América"/>
    <s v="CON REINTEGRO"/>
    <n v="3735"/>
    <n v="9517527"/>
    <n v="0"/>
    <n v="0"/>
    <n v="0"/>
    <n v="0"/>
    <s v="ASIA"/>
  </r>
  <r>
    <n v="340"/>
    <n v="2015"/>
    <n v="6"/>
    <n v="22"/>
    <s v="2015"/>
    <s v="06"/>
    <s v="22"/>
    <s v="INICIAL"/>
    <s v="20150622"/>
    <s v="6007583936994"/>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348000"/>
    <n v="1276.95"/>
    <n v="1383"/>
    <n v="3"/>
    <x v="0"/>
    <s v="YEKATERINBURG"/>
    <s v="ATLÁNTICO"/>
    <s v="ATLÁNTICO"/>
    <s v="CARTAGENA"/>
    <s v="201506"/>
    <s v="6027586714541"/>
    <s v="ÚNICO"/>
    <s v="TRANSPORTE MARÍTIMO"/>
    <s v="LIBERIA"/>
    <s v="EXPORTACIONES DEFINITIVAS"/>
    <s v="EXPORTACIÓN DEFINITIVA DE MERCANCÍAS DE FABRICACIÓN Ó PRODUCCIÓN NACIONAL"/>
    <s v="NINGUNO"/>
    <s v="NO"/>
    <s v="Dólar de los Estados Unidos de América"/>
    <s v="CON REINTEGRO"/>
    <n v="30482"/>
    <n v="77674232.400000006"/>
    <n v="0"/>
    <n v="0"/>
    <n v="0"/>
    <n v="0"/>
    <s v="ASIA"/>
  </r>
  <r>
    <n v="341"/>
    <n v="2015"/>
    <n v="6"/>
    <n v="22"/>
    <s v="2015"/>
    <s v="06"/>
    <s v="22"/>
    <s v="INICIAL"/>
    <s v="20150622"/>
    <s v="6007583937043"/>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4902909000"/>
    <s v="Los demás diarios y públicaciones periodicas, impresos, incluso ilustrados o con publicidad."/>
    <s v="UNIDADES"/>
    <n v="150"/>
    <n v="23.57"/>
    <n v="24.5"/>
    <n v="1"/>
    <x v="0"/>
    <s v="YEKATERINBURG"/>
    <s v="ATLÁNTICO"/>
    <s v="ATLÁNTICO"/>
    <s v="CARTAGENA"/>
    <s v="201506"/>
    <s v="6027586714416"/>
    <s v="ÚNICO"/>
    <s v="TRANSPORTE MARÍTIMO"/>
    <s v="LIBERIA"/>
    <s v="EXPORTACIONES DEFINITIVAS"/>
    <s v="EXPORTACION TEMPORAL PARA PERFECCIONAMIENTO PASIVO"/>
    <s v="NINGUNO"/>
    <s v="NO"/>
    <s v="Dólar de los Estados Unidos de América"/>
    <s v="SIN REINTEGRO"/>
    <n v="7.5"/>
    <n v="19111.5"/>
    <n v="0"/>
    <n v="0"/>
    <n v="0"/>
    <n v="0"/>
    <s v="ASIA"/>
  </r>
  <r>
    <n v="342"/>
    <n v="2015"/>
    <n v="6"/>
    <n v="22"/>
    <s v="2015"/>
    <s v="06"/>
    <s v="22"/>
    <s v="INICIAL"/>
    <s v="20150622"/>
    <s v="600758389503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COMERCIAL REUTTER S.A."/>
    <s v="AV. EL SALTO 4447, HUECHURABA"/>
    <s v="9503009910"/>
    <s v="Globos de latex de caucho natural."/>
    <s v="UNIDADES"/>
    <n v="6922500"/>
    <n v="12918.05"/>
    <n v="15307.22"/>
    <n v="1"/>
    <x v="9"/>
    <s v="SANTIAGO"/>
    <s v="ATLÁNTICO"/>
    <s v="ATLÁNTICO"/>
    <s v="BARRANQUILLA"/>
    <s v="201506"/>
    <s v="6027586850492"/>
    <s v="ÚNICO"/>
    <s v="TRANSPORTE MARÍTIMO"/>
    <s v="SINGAPUR"/>
    <s v="EXPORTACIONES DEFINITIVAS"/>
    <s v="EXPORTACIÓN DEFINITIVA DE MERCANCÍAS DE FABRICACIÓN Ó PRODUCCIÓN NACIONAL"/>
    <s v="ALADI"/>
    <s v="NO"/>
    <s v="Dólar de los Estados Unidos de América"/>
    <s v="CON REINTEGRO"/>
    <n v="173985"/>
    <n v="443348577"/>
    <n v="0"/>
    <n v="0"/>
    <n v="0"/>
    <n v="0"/>
    <s v="AMÉRICA"/>
  </r>
  <r>
    <n v="343"/>
    <n v="2015"/>
    <n v="6"/>
    <n v="22"/>
    <s v="2015"/>
    <s v="06"/>
    <s v="22"/>
    <s v="INICIAL"/>
    <s v="20150622"/>
    <s v="600758390529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1689500"/>
    <n v="3909.19"/>
    <n v="4556.3500000000004"/>
    <n v="1"/>
    <x v="2"/>
    <s v="SAINT LOUIS"/>
    <s v="ATLÁNTICO"/>
    <s v="ATLÁNTICO"/>
    <s v="BARRANQUILLA"/>
    <s v="201506"/>
    <s v="6027586857128"/>
    <s v="ÚNICO"/>
    <s v="TRANSPORTE MARÍTIMO"/>
    <s v="SINGAPUR"/>
    <s v="EXPORTACIONES DEFINITIVAS"/>
    <s v="EXPORTACIÓN DEFINITIVA DE MERCANCÍAS DE FABRICACIÓN Ó PRODUCCIÓN NACIONAL"/>
    <s v="NINGUNO"/>
    <s v="NO"/>
    <s v="Dólar de los Estados Unidos de América"/>
    <s v="CON REINTEGRO"/>
    <n v="47197.2"/>
    <n v="120267905.04000001"/>
    <n v="0"/>
    <n v="2476"/>
    <n v="0"/>
    <n v="0"/>
    <s v="AMÉRICA"/>
  </r>
  <r>
    <n v="344"/>
    <n v="2015"/>
    <n v="6"/>
    <n v="22"/>
    <s v="2015"/>
    <s v="06"/>
    <s v="22"/>
    <s v="INICIAL"/>
    <s v="20150622"/>
    <s v="600758390529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8000"/>
    <n v="7.46"/>
    <n v="8.69"/>
    <n v="4"/>
    <x v="2"/>
    <s v="SAINT LOUIS"/>
    <s v="ATLÁNTICO"/>
    <s v="ATLÁNTICO"/>
    <s v="BARRANQUILLA"/>
    <s v="201506"/>
    <s v="6027586857128"/>
    <s v="ÚNICO"/>
    <s v="TRANSPORTE MARÍTIMO"/>
    <s v="SINGAPUR"/>
    <s v="EXPORTACIONES DEFINITIVAS"/>
    <s v="EXPORTACIÓN DEFINITIVA DE MERCANCÍAS DE FABRICACIÓN Ó PRODUCCIÓN NACIONAL"/>
    <s v="NINGUNO"/>
    <s v="NO"/>
    <s v="Dólar de los Estados Unidos de América"/>
    <s v="CON REINTEGRO"/>
    <n v="418.4"/>
    <n v="1066166.8799999999"/>
    <n v="0"/>
    <n v="21.95"/>
    <n v="0"/>
    <n v="0"/>
    <s v="AMÉRICA"/>
  </r>
  <r>
    <n v="345"/>
    <n v="2015"/>
    <n v="6"/>
    <n v="22"/>
    <s v="2015"/>
    <s v="06"/>
    <s v="22"/>
    <s v="INICIAL"/>
    <s v="20150622"/>
    <s v="600758390529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44000"/>
    <n v="88.36"/>
    <n v="102.99"/>
    <n v="2"/>
    <x v="2"/>
    <s v="SAINT LOUIS"/>
    <s v="ATLÁNTICO"/>
    <s v="ATLÁNTICO"/>
    <s v="BARRANQUILLA"/>
    <s v="201506"/>
    <s v="6027586857128"/>
    <s v="ÚNICO"/>
    <s v="TRANSPORTE MARÍTIMO"/>
    <s v="SINGAPUR"/>
    <s v="EXPORTACIONES DEFINITIVAS"/>
    <s v="EXPORTACIÓN DEFINITIVA DE MERCANCÍAS DE FABRICACIÓN Ó PRODUCCIÓN NACIONAL"/>
    <s v="NINGUNO"/>
    <s v="NO"/>
    <s v="Dólar de los Estados Unidos de América"/>
    <s v="CON REINTEGRO"/>
    <n v="1144.4000000000001"/>
    <n v="2916160.08"/>
    <n v="0"/>
    <n v="60.04"/>
    <n v="0"/>
    <n v="0"/>
    <s v="AMÉRICA"/>
  </r>
  <r>
    <n v="346"/>
    <n v="2015"/>
    <n v="6"/>
    <n v="22"/>
    <s v="2015"/>
    <s v="06"/>
    <s v="22"/>
    <s v="INICIAL"/>
    <s v="20150622"/>
    <s v="600758390529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12000"/>
    <n v="28.78"/>
    <n v="33.54"/>
    <n v="3"/>
    <x v="2"/>
    <s v="SAINT LOUIS"/>
    <s v="ATLÁNTICO"/>
    <s v="ATLÁNTICO"/>
    <s v="BARRANQUILLA"/>
    <s v="201506"/>
    <s v="6027586857128"/>
    <s v="ÚNICO"/>
    <s v="TRANSPORTE MARÍTIMO"/>
    <s v="SINGAPUR"/>
    <s v="EXPORTACIONES DEFINITIVAS"/>
    <s v="EXPORTACIÓN DEFINITIVA DE MERCANCÍAS DE FABRICACIÓN Ó PRODUCCIÓN NACIONAL"/>
    <s v="NINGUNO"/>
    <s v="NO"/>
    <s v="Dólar de los Estados Unidos de América"/>
    <s v="CON REINTEGRO"/>
    <n v="1353.6"/>
    <n v="3449243.52"/>
    <n v="0"/>
    <n v="71.010000000000005"/>
    <n v="0"/>
    <n v="0"/>
    <s v="AMÉRICA"/>
  </r>
  <r>
    <n v="347"/>
    <n v="2015"/>
    <n v="6"/>
    <n v="23"/>
    <s v="2015"/>
    <s v="06"/>
    <s v="23"/>
    <s v="INICIAL"/>
    <s v="20150623"/>
    <s v="6007583749364"/>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MIRACLE ATELIER COMPANY"/>
    <s v="RMA3,4/F, FUK CHEONG FTY. BLDG. 1 WALNUT ST., TAI KOK TSUI"/>
    <s v="9503009910"/>
    <s v="Globos de latex de caucho natural."/>
    <s v="UNIDADES"/>
    <n v="258000"/>
    <n v="630.51"/>
    <n v="678"/>
    <n v="1"/>
    <x v="30"/>
    <s v="HONG KONG"/>
    <s v="ATLÁNTICO"/>
    <s v="ATLÁNTICO"/>
    <s v="BOGOTÁ"/>
    <s v="201506"/>
    <s v="6027587059218"/>
    <s v="ÚNICO"/>
    <s v="TRANSPORTE AÉREO"/>
    <s v="ESTADOS UNIDOS"/>
    <s v="EXPORTACIONES DEFINITIVAS"/>
    <s v="EXPORTACIÓN DEFINITIVA DE MERCANCÍAS DE FABRICACIÓN Ó PRODUCCIÓN NACIONAL"/>
    <s v="NINGUNO"/>
    <s v="NO"/>
    <s v="Dólar de los Estados Unidos de América"/>
    <s v="CON REINTEGRO"/>
    <n v="8503.7000000000007"/>
    <n v="21579669.420000002"/>
    <n v="0"/>
    <n v="1838.23"/>
    <n v="25.85"/>
    <n v="0"/>
    <s v="ASIA"/>
  </r>
  <r>
    <n v="348"/>
    <n v="2015"/>
    <n v="6"/>
    <n v="23"/>
    <s v="2015"/>
    <s v="06"/>
    <s v="23"/>
    <s v="INICIAL"/>
    <s v="20150623"/>
    <s v="6007583912448"/>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JUNG JEAN COMPANY"/>
    <s v="#174-1 3/F MOOK-DONG, JOONGRANG-GU, SEOUL 131-848, KOREA"/>
    <s v="9503009910"/>
    <s v="Globos de latex de caucho natural."/>
    <s v="UNIDADES"/>
    <n v="18000"/>
    <n v="68.38"/>
    <n v="75"/>
    <n v="1"/>
    <x v="17"/>
    <s v="SEOUL"/>
    <s v="ATLÁNTICO"/>
    <s v="ATLÁNTICO"/>
    <s v="BOGOTÁ"/>
    <s v="201506"/>
    <s v="6027587249788"/>
    <s v="ÚNICO"/>
    <s v="TRANSPORTE AÉREO"/>
    <s v="ESTADOS UNIDOS"/>
    <s v="EXPORTACIONES DEFINITIVAS"/>
    <s v="EXPORTACIÓN DEFINITIVA DE MERCANCÍAS DE FABRICACIÓN Ó PRODUCCIÓN NACIONAL"/>
    <s v="NINGUNO"/>
    <s v="NO"/>
    <s v="Dólar de los Estados Unidos de América"/>
    <s v="CON REINTEGRO"/>
    <n v="942"/>
    <n v="2390494.56"/>
    <n v="0"/>
    <n v="455"/>
    <n v="12"/>
    <n v="0"/>
    <s v="ASIA"/>
  </r>
  <r>
    <n v="349"/>
    <n v="2015"/>
    <n v="6"/>
    <n v="23"/>
    <s v="2015"/>
    <s v="06"/>
    <s v="23"/>
    <s v="INICIAL"/>
    <s v="20150623"/>
    <s v="6007583381413"/>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HAPPY DAY COMPANY"/>
    <s v="ZAZIASHCILI ST. 8"/>
    <s v="9503009910"/>
    <s v="Globos de latex de caucho natural."/>
    <s v="UNIDADES"/>
    <n v="153250"/>
    <n v="546.48"/>
    <n v="583"/>
    <n v="1"/>
    <x v="37"/>
    <s v="TBILISI"/>
    <s v="ATLÁNTICO"/>
    <s v="ATLÁNTICO"/>
    <s v="BOGOTÁ"/>
    <s v="201506"/>
    <s v="6027586770180"/>
    <s v="ÚNICO"/>
    <s v="TRANSPORTE AÉREO"/>
    <s v="ESTADOS UNIDOS"/>
    <s v="EXPORTACIONES DEFINITIVAS"/>
    <s v="EXPORTACIÓN DEFINITIVA DE MERCANCÍAS DE FABRICACIÓN Ó PRODUCCIÓN NACIONAL"/>
    <s v="NINGUNO"/>
    <s v="NO"/>
    <s v="Dólar de los Estados Unidos de América"/>
    <s v="CON REINTEGRO"/>
    <n v="10508.1"/>
    <n v="26666195.210000001"/>
    <n v="0"/>
    <n v="2492.0300000000002"/>
    <n v="40.770000000000003"/>
    <n v="0"/>
    <s v="EUROPA"/>
  </r>
  <r>
    <n v="350"/>
    <n v="2015"/>
    <n v="6"/>
    <n v="23"/>
    <s v="2015"/>
    <s v="06"/>
    <s v="23"/>
    <s v="INICIAL"/>
    <s v="20150623"/>
    <s v="600758382802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BALIONU KARALIAI"/>
    <s v="PERKUNLIEMIO 19A, LT - 12120"/>
    <s v="9503009910"/>
    <s v="Globos de latex de caucho natural."/>
    <s v="UNIDADES"/>
    <n v="299940"/>
    <n v="697.76"/>
    <n v="759"/>
    <n v="1"/>
    <x v="18"/>
    <s v="LITUANIA"/>
    <s v="ATLÁNTICO"/>
    <s v="ATLÁNTICO"/>
    <s v="BOGOTÁ"/>
    <s v="201506"/>
    <s v="6027587225120"/>
    <s v="ÚNICO"/>
    <s v="TRANSPORTE AÉREO"/>
    <s v="ESPAÑA"/>
    <s v="EXPORTACIONES DEFINITIVAS"/>
    <s v="EXPORTACIÓN DEFINITIVA DE MERCANCÍAS DE FABRICACIÓN Ó PRODUCCIÓN NACIONAL"/>
    <s v="NINGUNO"/>
    <s v="NO"/>
    <s v="Dólar de los Estados Unidos de América"/>
    <s v="CON REINTEGRO"/>
    <n v="13025.4"/>
    <n v="33054297.07"/>
    <n v="0"/>
    <n v="0"/>
    <n v="0"/>
    <n v="0"/>
    <s v="EUROPA"/>
  </r>
  <r>
    <n v="351"/>
    <n v="2015"/>
    <n v="6"/>
    <n v="23"/>
    <s v="2015"/>
    <s v="06"/>
    <s v="23"/>
    <s v="INICIAL"/>
    <s v="20150623"/>
    <s v="6007583299277"/>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GLOOB PARTY SAC"/>
    <s v="CALLE TEODORO CARDENAS 640 CERCADO DE LIMA"/>
    <s v="9503009910"/>
    <s v="Globos de latex de caucho natural."/>
    <s v="UNIDADES"/>
    <n v="995500"/>
    <n v="2343.7600000000002"/>
    <n v="2573"/>
    <n v="1"/>
    <x v="23"/>
    <s v="LIMA"/>
    <s v="ATLÁNTICO"/>
    <s v="ATLÁNTICO"/>
    <s v="BOGOTÁ"/>
    <s v="201506"/>
    <s v="6027586631339"/>
    <s v="ÚNICO"/>
    <s v="TRANSPORTE AÉREO"/>
    <s v="COLOMBIA"/>
    <s v="EXPORTACIONES DEFINITIVAS"/>
    <s v="EXPORTACIÓN DEFINITIVA DE MERCANCÍAS DE FABRICACIÓN Ó PRODUCCIÓN NACIONAL"/>
    <s v="NINGUNO"/>
    <s v="NO"/>
    <s v="Dólar de los Estados Unidos de América"/>
    <s v="CON REINTEGRO"/>
    <n v="41026.65"/>
    <n v="104112509.17"/>
    <n v="0"/>
    <n v="2656.5"/>
    <n v="109.21"/>
    <n v="0"/>
    <s v="AMÉRICA"/>
  </r>
  <r>
    <n v="352"/>
    <n v="2015"/>
    <n v="6"/>
    <n v="23"/>
    <s v="2015"/>
    <s v="06"/>
    <s v="23"/>
    <s v="INICIAL"/>
    <s v="20150623"/>
    <s v="6007583347460"/>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PARAGUAY INVERSIONES S.A. (PARA-INVEST)"/>
    <s v="AZARA 197 ESQ. YEGROS"/>
    <s v="9503009910"/>
    <s v="Globos de latex de caucho natural."/>
    <s v="UNIDADES"/>
    <n v="50000"/>
    <n v="145.34"/>
    <n v="160"/>
    <n v="1"/>
    <x v="22"/>
    <s v="ASUNCION"/>
    <s v="ATLÁNTICO"/>
    <s v="ATLÁNTICO"/>
    <s v="BOGOTÁ"/>
    <s v="201506"/>
    <s v="6027586656765"/>
    <s v="ÚNICO"/>
    <s v="TRANSPORTE AÉREO"/>
    <s v="CHILE"/>
    <s v="EXPORTACIONES DEFINITIVAS"/>
    <s v="EXPORTACIÓN DEFINITIVA DE MERCANCÍAS DE FABRICACIÓN Ó PRODUCCIÓN NACIONAL"/>
    <s v="NINGUNO"/>
    <s v="NO"/>
    <s v="Dólar de los Estados Unidos de América"/>
    <s v="CON REINTEGRO"/>
    <n v="3050"/>
    <n v="7739924"/>
    <n v="0"/>
    <n v="499.6"/>
    <n v="0"/>
    <n v="0"/>
    <s v="AMÉRICA"/>
  </r>
  <r>
    <n v="353"/>
    <n v="2015"/>
    <n v="6"/>
    <n v="25"/>
    <s v="2015"/>
    <s v="06"/>
    <s v="25"/>
    <s v="INICIAL"/>
    <s v="20150625"/>
    <s v="600758405473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NARANJA INC"/>
    <s v="1-53-10-1E ITABASHI ITABASHI-KU TOKYO 173-0004"/>
    <s v="9503009910"/>
    <s v="Globos de latex de caucho natural."/>
    <s v="UNIDADES"/>
    <n v="2897975"/>
    <n v="5882.23"/>
    <n v="6413.25"/>
    <n v="1"/>
    <x v="8"/>
    <s v="TOKYO"/>
    <s v="ATLÁNTICO"/>
    <s v="ATLÁNTICO"/>
    <s v="BARRANQUILLA"/>
    <s v="201506"/>
    <s v="6027587258942"/>
    <s v="ÚNICO"/>
    <s v="TRANSPORTE MARÍTIMO"/>
    <s v="PANAMÁ"/>
    <s v="EXPORTACIONES DEFINITIVAS"/>
    <s v="EXPORTACIÓN DEFINITIVA DE MERCANCÍAS DE FABRICACIÓN Ó PRODUCCIÓN NACIONAL"/>
    <s v="NINGUNO"/>
    <s v="NO"/>
    <s v="Dólar de los Estados Unidos de América"/>
    <s v="CON REINTEGRO"/>
    <n v="97681.8"/>
    <n v="250715968.78999999"/>
    <n v="0"/>
    <n v="1057.27"/>
    <n v="246.85"/>
    <n v="0"/>
    <s v="ASIA"/>
  </r>
  <r>
    <n v="354"/>
    <n v="2015"/>
    <n v="6"/>
    <n v="25"/>
    <s v="2015"/>
    <s v="06"/>
    <s v="25"/>
    <s v="INICIAL"/>
    <s v="20150625"/>
    <s v="600758405473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NARANJA INC"/>
    <s v="1-53-10-1E ITABASHI ITABASHI-KU TOKYO 173-0004"/>
    <s v="9503009910"/>
    <s v="Globos de latex de caucho natural."/>
    <s v="UNIDADES"/>
    <n v="1060530"/>
    <n v="1918.65"/>
    <n v="2091.86"/>
    <n v="2"/>
    <x v="8"/>
    <s v="TOKYO"/>
    <s v="ATLÁNTICO"/>
    <s v="ATLÁNTICO"/>
    <s v="BARRANQUILLA"/>
    <s v="201506"/>
    <s v="6027587258942"/>
    <s v="ÚNICO"/>
    <s v="TRANSPORTE MARÍTIMO"/>
    <s v="PANAMÁ"/>
    <s v="EXPORTACIONES DEFINITIVAS"/>
    <s v="EXPORTACIÓN DEFINITIVA DE MERCANCÍAS DE FABRICACIÓN Ó PRODUCCIÓN NACIONAL"/>
    <s v="NINGUNO"/>
    <s v="NO"/>
    <s v="Dólar de los Estados Unidos de América"/>
    <s v="CON REINTEGRO"/>
    <n v="36435.25"/>
    <n v="93516898.769999996"/>
    <n v="0"/>
    <n v="394.36"/>
    <n v="92.07"/>
    <n v="0"/>
    <s v="ASIA"/>
  </r>
  <r>
    <n v="355"/>
    <n v="2015"/>
    <n v="6"/>
    <n v="25"/>
    <s v="2015"/>
    <s v="06"/>
    <s v="25"/>
    <s v="INICIAL"/>
    <s v="20150625"/>
    <s v="600758405473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NARANJA INC"/>
    <s v="1-53-10-1E ITABASHI ITABASHI-KU TOKYO 173-0004"/>
    <s v="9503009910"/>
    <s v="Globos de latex de caucho natural."/>
    <s v="UNIDADES"/>
    <n v="44875"/>
    <n v="125.47"/>
    <n v="136.80000000000001"/>
    <n v="3"/>
    <x v="8"/>
    <s v="TOKYO"/>
    <s v="ATLÁNTICO"/>
    <s v="ATLÁNTICO"/>
    <s v="BARRANQUILLA"/>
    <s v="201506"/>
    <s v="6027587258942"/>
    <s v="ÚNICO"/>
    <s v="TRANSPORTE MARÍTIMO"/>
    <s v="PANAMÁ"/>
    <s v="EXPORTACIONES DEFINITIVAS"/>
    <s v="EXPORTACIÓN DEFINITIVA DE MERCANCÍAS DE FABRICACIÓN Ó PRODUCCIÓN NACIONAL"/>
    <s v="NINGUNO"/>
    <s v="NO"/>
    <s v="Dólar de los Estados Unidos de América"/>
    <s v="CON REINTEGRO"/>
    <n v="3671.1"/>
    <n v="9422465.5299999993"/>
    <n v="0"/>
    <n v="39.729999999999997"/>
    <n v="9.2799999999999994"/>
    <n v="0"/>
    <s v="ASIA"/>
  </r>
  <r>
    <n v="356"/>
    <n v="2015"/>
    <n v="6"/>
    <n v="25"/>
    <s v="2015"/>
    <s v="06"/>
    <s v="25"/>
    <s v="INICIAL"/>
    <s v="20150625"/>
    <s v="600758405186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EROTOP INTERNATIONAL CORP"/>
    <s v="NO.10, ALLEY, LANE 70 SEC 2 ACADEMIA RD,15574"/>
    <s v="9503009910"/>
    <s v="Globos de latex de caucho natural."/>
    <s v="UNIDADES"/>
    <n v="1594000"/>
    <n v="3610.54"/>
    <n v="3934.31"/>
    <n v="1"/>
    <x v="26"/>
    <s v="TAIPEI"/>
    <s v="ATLÁNTICO"/>
    <s v="ATLÁNTICO"/>
    <s v="BARRANQUILLA"/>
    <s v="201506"/>
    <s v="6027587085108"/>
    <s v="ÚNICO"/>
    <s v="TRANSPORTE MARÍTIMO"/>
    <s v="PANAMÁ"/>
    <s v="EXPORTACIONES DEFINITIVAS"/>
    <s v="EXPORTACIÓN DEFINITIVA DE MERCANCÍAS DE FABRICACIÓN Ó PRODUCCIÓN NACIONAL"/>
    <s v="NINGUNO"/>
    <s v="NO"/>
    <s v="Dólar de los Estados Unidos de América"/>
    <s v="CON REINTEGRO"/>
    <n v="57483.4"/>
    <n v="147540343.44"/>
    <n v="0"/>
    <n v="784.67"/>
    <n v="0"/>
    <n v="0"/>
    <s v="ASIA"/>
  </r>
  <r>
    <n v="357"/>
    <n v="2015"/>
    <n v="6"/>
    <n v="25"/>
    <s v="2015"/>
    <s v="06"/>
    <s v="25"/>
    <s v="INICIAL"/>
    <s v="20150625"/>
    <s v="600758405186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EROTOP INTERNATIONAL CORP"/>
    <s v="NO.10, ALLEY, LANE 70 SEC 2 ACADEMIA RD,15574"/>
    <s v="9503009910"/>
    <s v="Globos de latex de caucho natural."/>
    <s v="UNIDADES"/>
    <n v="1588000"/>
    <n v="2466.91"/>
    <n v="2688.12"/>
    <n v="2"/>
    <x v="26"/>
    <s v="TAIPEI"/>
    <s v="ATLÁNTICO"/>
    <s v="ATLÁNTICO"/>
    <s v="BARRANQUILLA"/>
    <s v="201506"/>
    <s v="6027587085108"/>
    <s v="ÚNICO"/>
    <s v="TRANSPORTE MARÍTIMO"/>
    <s v="PANAMÁ"/>
    <s v="EXPORTACIONES DEFINITIVAS"/>
    <s v="EXPORTACIÓN DEFINITIVA DE MERCANCÍAS DE FABRICACIÓN Ó PRODUCCIÓN NACIONAL"/>
    <s v="NINGUNO"/>
    <s v="NO"/>
    <s v="Dólar de los Estados Unidos de América"/>
    <s v="CON REINTEGRO"/>
    <n v="39510.199999999997"/>
    <n v="101409249.93000001"/>
    <n v="0"/>
    <n v="539.33000000000004"/>
    <n v="0"/>
    <n v="0"/>
    <s v="ASIA"/>
  </r>
  <r>
    <n v="358"/>
    <n v="2015"/>
    <n v="7"/>
    <n v="1"/>
    <s v="2015"/>
    <s v="07"/>
    <s v="01"/>
    <s v="CORRECCIÓN"/>
    <s v="20150701"/>
    <s v="6007584324355"/>
    <s v="201507"/>
    <s v="6007584221279"/>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BOLIGLOBOS"/>
    <s v="AVENIDA SALAMANCA No. 686 ENTRE ANTEZANA Y LANZA - EDIFICIO TORRE MILLENIUM"/>
    <s v="9503009910"/>
    <s v="Globos de latex de caucho natural."/>
    <s v="UNIDADES"/>
    <n v="440125"/>
    <n v="934.62"/>
    <n v="1013"/>
    <n v="1"/>
    <x v="38"/>
    <s v="COCHABAMBA"/>
    <s v="ATLÁNTICO"/>
    <s v="ATLÁNTICO"/>
    <s v="BOGOTÁ"/>
    <s v="201506"/>
    <s v="6027587525870"/>
    <s v="ÚNICO"/>
    <s v="TRANSPORTE AÉREO"/>
    <s v="COLOMBIA"/>
    <s v="EXPORTACIONES DEFINITIVAS"/>
    <s v="EXPORTACIÓN DEFINITIVA DE MERCANCÍAS DE FABRICACIÓN Ó PRODUCCIÓN NACIONAL"/>
    <s v="NINGUNO"/>
    <s v="NO"/>
    <s v="Dólar de los Estados Unidos de América"/>
    <s v="CON REINTEGRO"/>
    <n v="15355.35"/>
    <n v="39903640.939999998"/>
    <n v="0"/>
    <n v="3380.15"/>
    <n v="46.84"/>
    <n v="0"/>
    <s v="AMÉRICA"/>
  </r>
  <r>
    <n v="359"/>
    <n v="2015"/>
    <n v="7"/>
    <n v="3"/>
    <s v="2015"/>
    <s v="07"/>
    <s v="03"/>
    <s v="INICIAL"/>
    <s v="20150703"/>
    <s v="600758202966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2849404"/>
    <n v="5188.46"/>
    <n v="5629.08"/>
    <n v="1"/>
    <x v="9"/>
    <s v="SANTIAGO"/>
    <s v="ATLÁNTICO"/>
    <s v="ATLÁNTICO"/>
    <s v="BARRANQUILLA"/>
    <s v="201505"/>
    <s v="6027585148574"/>
    <s v="ÚNICO"/>
    <s v="TRANSPORTE MARÍTIMO"/>
    <s v="LIBERIA"/>
    <s v="EXPORTACIONES DEFINITIVAS"/>
    <s v="EXPORTACIÓN DEFINITIVA DE MERCANCÍAS DE FABRICACIÓN Ó PRODUCCIÓN NACIONAL"/>
    <s v="ALADI"/>
    <s v="NO"/>
    <s v="Dólar de los Estados Unidos de América"/>
    <s v="CON REINTEGRO"/>
    <n v="76035.48"/>
    <n v="199510256.33000001"/>
    <n v="0"/>
    <n v="859.93"/>
    <n v="192.24"/>
    <n v="0"/>
    <s v="AMÉRICA"/>
  </r>
  <r>
    <n v="360"/>
    <n v="2015"/>
    <n v="7"/>
    <n v="3"/>
    <s v="2015"/>
    <s v="07"/>
    <s v="03"/>
    <s v="INICIAL"/>
    <s v="20150703"/>
    <s v="600758202966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454416"/>
    <n v="965.2"/>
    <n v="1047.17"/>
    <n v="2"/>
    <x v="9"/>
    <s v="SANTIAGO"/>
    <s v="ATLÁNTICO"/>
    <s v="ATLÁNTICO"/>
    <s v="BARRANQUILLA"/>
    <s v="201505"/>
    <s v="6027585148574"/>
    <s v="ÚNICO"/>
    <s v="TRANSPORTE MARÍTIMO"/>
    <s v="LIBERIA"/>
    <s v="EXPORTACIONES DEFINITIVAS"/>
    <s v="EXPORTACIÓN DEFINITIVA DE MERCANCÍAS DE FABRICACIÓN Ó PRODUCCIÓN NACIONAL"/>
    <s v="ALADI"/>
    <s v="NO"/>
    <s v="Dólar de los Estados Unidos de América"/>
    <s v="CON REINTEGRO"/>
    <n v="14401.68"/>
    <n v="37788712.170000002"/>
    <n v="0"/>
    <n v="162.88"/>
    <n v="36.409999999999997"/>
    <n v="0"/>
    <s v="AMÉRICA"/>
  </r>
  <r>
    <n v="361"/>
    <n v="2015"/>
    <n v="7"/>
    <n v="3"/>
    <s v="2015"/>
    <s v="07"/>
    <s v="03"/>
    <s v="INICIAL"/>
    <s v="20150703"/>
    <s v="600758202966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63840"/>
    <n v="260.76"/>
    <n v="282.89999999999998"/>
    <n v="3"/>
    <x v="9"/>
    <s v="SANTIAGO"/>
    <s v="ATLÁNTICO"/>
    <s v="ATLÁNTICO"/>
    <s v="BARRANQUILLA"/>
    <s v="201505"/>
    <s v="6027585148574"/>
    <s v="ÚNICO"/>
    <s v="TRANSPORTE MARÍTIMO"/>
    <s v="LIBERIA"/>
    <s v="EXPORTACIONES DEFINITIVAS"/>
    <s v="EXPORTACIÓN DEFINITIVA DE MERCANCÍAS DE FABRICACIÓN Ó PRODUCCIÓN NACIONAL"/>
    <s v="ALADI"/>
    <s v="NO"/>
    <s v="Dólar de los Estados Unidos de América"/>
    <s v="CON REINTEGRO"/>
    <n v="6643.2"/>
    <n v="17431158.91"/>
    <n v="0"/>
    <n v="75.13"/>
    <n v="16.8"/>
    <n v="0"/>
    <s v="AMÉRICA"/>
  </r>
  <r>
    <n v="362"/>
    <n v="2015"/>
    <n v="7"/>
    <n v="3"/>
    <s v="2015"/>
    <s v="07"/>
    <s v="03"/>
    <s v="INICIAL"/>
    <s v="20150703"/>
    <s v="6007582029668"/>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5760"/>
    <n v="24.82"/>
    <n v="26.93"/>
    <n v="4"/>
    <x v="9"/>
    <s v="SANTIAGO"/>
    <s v="ATLÁNTICO"/>
    <s v="ATLÁNTICO"/>
    <s v="BARRANQUILLA"/>
    <s v="201505"/>
    <s v="6027585148574"/>
    <s v="ÚNICO"/>
    <s v="TRANSPORTE MARÍTIMO"/>
    <s v="LIBERIA"/>
    <s v="EXPORTACIONES DEFINITIVAS"/>
    <s v="EXPORTACIÓN DEFINITIVA DE MERCANCÍAS DE FABRICACIÓN Ó PRODUCCIÓN NACIONAL"/>
    <s v="ALADI"/>
    <s v="NO"/>
    <s v="Dólar de los Estados Unidos de América"/>
    <s v="CON REINTEGRO"/>
    <n v="624"/>
    <n v="1637319.84"/>
    <n v="0"/>
    <n v="7.06"/>
    <n v="1.58"/>
    <n v="0"/>
    <s v="AMÉRICA"/>
  </r>
  <r>
    <n v="363"/>
    <n v="2015"/>
    <n v="7"/>
    <n v="8"/>
    <s v="2015"/>
    <s v="07"/>
    <s v="08"/>
    <s v="CORRECCIÓN"/>
    <s v="20150708"/>
    <s v="6007584583335"/>
    <s v="201507"/>
    <s v="6007584232051"/>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BETALLIC L.L.C."/>
    <s v="2326 GRISSOM DRIVE SAINT LOUIS, MISSOURI 63146"/>
    <s v="9503009910"/>
    <s v="Globos de latex de caucho natural."/>
    <s v="UNIDADES"/>
    <n v="62260"/>
    <n v="154.03"/>
    <n v="177"/>
    <n v="1"/>
    <x v="2"/>
    <s v="SAINT LOUIS"/>
    <s v="ATLÁNTICO"/>
    <s v="ATLÁNTICO"/>
    <s v="BOGOTÁ"/>
    <s v="201506"/>
    <s v="6027587682654"/>
    <s v="ÚNICO"/>
    <s v="TRANSPORTE AÉREO"/>
    <s v="ESTADOS UNIDOS"/>
    <s v="EXPORTACIONES DEFINITIVAS"/>
    <s v="LAS DEMÁS EXPORTACIONES DEFINITIVAS NO INCLUIDAS EN LOS ÍTEMS ANTERIORES"/>
    <s v="NINGUNO"/>
    <s v="NO"/>
    <s v="Dólar de los Estados Unidos de América"/>
    <s v="CON REINTEGRO"/>
    <n v="2693.2"/>
    <n v="7245111.9800000004"/>
    <n v="0"/>
    <n v="521.4"/>
    <n v="0"/>
    <n v="0"/>
    <s v="AMÉRICA"/>
  </r>
  <r>
    <n v="364"/>
    <n v="2015"/>
    <n v="7"/>
    <n v="8"/>
    <s v="2015"/>
    <s v="07"/>
    <s v="08"/>
    <s v="INICIAL"/>
    <s v="20150708"/>
    <s v="600758454053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TO WIN IMP. &amp; EXP. CO., LTD"/>
    <s v="no.122 LANE 399 PU QUAN ROAD PU JIAN YI CHENG"/>
    <s v="9503009910"/>
    <s v="Globos de latex de caucho natural."/>
    <s v="UNIDADES"/>
    <n v="165500"/>
    <n v="595.05999999999995"/>
    <n v="646.71"/>
    <n v="3"/>
    <x v="13"/>
    <s v="SHANGAI"/>
    <s v="ATLÁNTICO"/>
    <s v="ATLÁNTICO"/>
    <s v="BARRANQUILLA"/>
    <s v="201507"/>
    <s v="6027587349917"/>
    <s v="ÚNICO"/>
    <s v="TRANSPORTE MARÍTIMO"/>
    <s v="SINGAPUR"/>
    <s v="EXPORTACIONES DEFINITIVAS"/>
    <s v="LAS DEMÁS EXPORTACIONES DEFINITIVAS NO INCLUIDAS EN LOS ÍTEMS ANTERIORES"/>
    <s v="NINGUNO"/>
    <s v="NO"/>
    <s v="Dólar de los Estados Unidos de América"/>
    <s v="CON REINTEGRO"/>
    <n v="13389"/>
    <n v="36018418.350000001"/>
    <n v="0"/>
    <n v="61.95"/>
    <n v="33.630000000000003"/>
    <n v="0"/>
    <s v="ASIA"/>
  </r>
  <r>
    <n v="365"/>
    <n v="2015"/>
    <n v="7"/>
    <n v="8"/>
    <s v="2015"/>
    <s v="07"/>
    <s v="08"/>
    <s v="INICIAL"/>
    <s v="20150708"/>
    <s v="600758454053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TO WIN IMP. &amp; EXP. CO., LTD"/>
    <s v="no.122 LANE 399 PU QUAN ROAD PU JIAN YI CHENG"/>
    <s v="9503009910"/>
    <s v="Globos de latex de caucho natural."/>
    <s v="UNIDADES"/>
    <n v="779500"/>
    <n v="1210.48"/>
    <n v="1315.55"/>
    <n v="2"/>
    <x v="13"/>
    <s v="SHANGAI"/>
    <s v="ATLÁNTICO"/>
    <s v="ATLÁNTICO"/>
    <s v="BARRANQUILLA"/>
    <s v="201507"/>
    <s v="6027587349917"/>
    <s v="ÚNICO"/>
    <s v="TRANSPORTE MARÍTIMO"/>
    <s v="SINGAPUR"/>
    <s v="EXPORTACIONES DEFINITIVAS"/>
    <s v="LAS DEMÁS EXPORTACIONES DEFINITIVAS NO INCLUIDAS EN LOS ÍTEMS ANTERIORES"/>
    <s v="NINGUNO"/>
    <s v="NO"/>
    <s v="Dólar de los Estados Unidos de América"/>
    <s v="CON REINTEGRO"/>
    <n v="17369.5"/>
    <n v="46726560.43"/>
    <n v="0"/>
    <n v="80.36"/>
    <n v="43.62"/>
    <n v="0"/>
    <s v="ASIA"/>
  </r>
  <r>
    <n v="366"/>
    <n v="2015"/>
    <n v="7"/>
    <n v="8"/>
    <s v="2015"/>
    <s v="07"/>
    <s v="08"/>
    <s v="INICIAL"/>
    <s v="20150708"/>
    <s v="600758454053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TO WIN IMP. &amp; EXP. CO., LTD"/>
    <s v="no.122 LANE 399 PU QUAN ROAD PU JIAN YI CHENG"/>
    <s v="9503009910"/>
    <s v="Globos de latex de caucho natural."/>
    <s v="UNIDADES"/>
    <n v="5556000"/>
    <n v="12595.08"/>
    <n v="13688.29"/>
    <n v="1"/>
    <x v="13"/>
    <s v="SHANGAI"/>
    <s v="ATLÁNTICO"/>
    <s v="ATLÁNTICO"/>
    <s v="BARRANQUILLA"/>
    <s v="201507"/>
    <s v="6027587349917"/>
    <s v="ÚNICO"/>
    <s v="TRANSPORTE MARÍTIMO"/>
    <s v="SINGAPUR"/>
    <s v="EXPORTACIONES DEFINITIVAS"/>
    <s v="LAS DEMÁS EXPORTACIONES DEFINITIVAS NO INCLUIDAS EN LOS ÍTEMS ANTERIORES"/>
    <s v="NINGUNO"/>
    <s v="NO"/>
    <s v="Dólar de los Estados Unidos de América"/>
    <s v="CON REINTEGRO"/>
    <n v="170254.5"/>
    <n v="458010143.18000001"/>
    <n v="0"/>
    <n v="787.69"/>
    <n v="427.61"/>
    <n v="0"/>
    <s v="ASIA"/>
  </r>
  <r>
    <n v="367"/>
    <n v="2015"/>
    <n v="7"/>
    <n v="9"/>
    <s v="2015"/>
    <s v="07"/>
    <s v="09"/>
    <s v="INICIAL"/>
    <s v="20150709"/>
    <s v="6007584595755"/>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4902909000"/>
    <s v="Los demás diarios y públicaciones periodicas, impresos, incluso ilustrados o con publicidad."/>
    <s v="UNIDADES"/>
    <n v="150"/>
    <n v="23.21"/>
    <n v="24.14"/>
    <n v="1"/>
    <x v="19"/>
    <s v="HAMINA"/>
    <s v="ATLÁNTICO"/>
    <s v="ATLÁNTICO"/>
    <s v="CARTAGENA"/>
    <s v="201507"/>
    <s v="6027587340200"/>
    <s v="ÚNICO"/>
    <s v="TRANSPORTE MARÍTIMO"/>
    <s v="LIBERIA"/>
    <s v="EXPORTACIONES DEFINITIVAS"/>
    <s v="EXPORTACION TEMPORAL PARA PERFECCIONAMIENTO PASIVO"/>
    <s v="NINGUNO"/>
    <s v="NO"/>
    <s v="Dólar de los Estados Unidos de América"/>
    <s v="SIN REINTEGRO"/>
    <n v="7.5"/>
    <n v="20180.93"/>
    <n v="0"/>
    <n v="0"/>
    <n v="0"/>
    <n v="0"/>
    <s v="EUROPA"/>
  </r>
  <r>
    <n v="368"/>
    <n v="2015"/>
    <n v="7"/>
    <n v="9"/>
    <s v="2015"/>
    <s v="07"/>
    <s v="09"/>
    <s v="INICIAL"/>
    <s v="20150709"/>
    <s v="6007584595762"/>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4934500"/>
    <n v="11261.6"/>
    <n v="12206.21"/>
    <n v="1"/>
    <x v="19"/>
    <s v="HAMINA"/>
    <s v="ATLÁNTICO"/>
    <s v="ATLÁNTICO"/>
    <s v="CARTAGENA"/>
    <s v="201507"/>
    <s v="6027587340232"/>
    <s v="ÚNICO"/>
    <s v="TRANSPORTE MARÍTIMO"/>
    <s v="LIBERIA"/>
    <s v="EXPORTACIONES DEFINITIVAS"/>
    <s v="EXPORTACIÓN DEFINITIVA DE MERCANCÍAS DE FABRICACIÓN Ó PRODUCCIÓN NACIONAL"/>
    <s v="NINGUNO"/>
    <s v="NO"/>
    <s v="Dólar de los Estados Unidos de América"/>
    <s v="CON REINTEGRO"/>
    <n v="137773"/>
    <n v="370718210.67000002"/>
    <n v="0"/>
    <n v="2094.6799999999998"/>
    <n v="349.67"/>
    <n v="0"/>
    <s v="EUROPA"/>
  </r>
  <r>
    <n v="369"/>
    <n v="2015"/>
    <n v="7"/>
    <n v="9"/>
    <s v="2015"/>
    <s v="07"/>
    <s v="09"/>
    <s v="INICIAL"/>
    <s v="20150709"/>
    <s v="6007584595762"/>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601000"/>
    <n v="1748.04"/>
    <n v="1894.66"/>
    <n v="2"/>
    <x v="19"/>
    <s v="HAMINA"/>
    <s v="ATLÁNTICO"/>
    <s v="ATLÁNTICO"/>
    <s v="CARTAGENA"/>
    <s v="201507"/>
    <s v="6027587340232"/>
    <s v="ÚNICO"/>
    <s v="TRANSPORTE MARÍTIMO"/>
    <s v="LIBERIA"/>
    <s v="EXPORTACIONES DEFINITIVAS"/>
    <s v="EXPORTACIÓN DEFINITIVA DE MERCANCÍAS DE FABRICACIÓN Ó PRODUCCIÓN NACIONAL"/>
    <s v="NINGUNO"/>
    <s v="NO"/>
    <s v="Dólar de los Estados Unidos de América"/>
    <s v="CON REINTEGRO"/>
    <n v="22212.5"/>
    <n v="59769172.880000003"/>
    <n v="0"/>
    <n v="337.72"/>
    <n v="56.38"/>
    <n v="0"/>
    <s v="EUROPA"/>
  </r>
  <r>
    <n v="370"/>
    <n v="2015"/>
    <n v="7"/>
    <n v="9"/>
    <s v="2015"/>
    <s v="07"/>
    <s v="09"/>
    <s v="INICIAL"/>
    <s v="20150709"/>
    <s v="6007584595762"/>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500"/>
    <n v="18.07"/>
    <n v="19.59"/>
    <n v="3"/>
    <x v="19"/>
    <s v="HAMINA"/>
    <s v="ATLÁNTICO"/>
    <s v="ATLÁNTICO"/>
    <s v="CARTAGENA"/>
    <s v="201507"/>
    <s v="6027587340232"/>
    <s v="ÚNICO"/>
    <s v="TRANSPORTE MARÍTIMO"/>
    <s v="LIBERIA"/>
    <s v="EXPORTACIONES DEFINITIVAS"/>
    <s v="EXPORTACIÓN DEFINITIVA DE MERCANCÍAS DE FABRICACIÓN Ó PRODUCCIÓN NACIONAL"/>
    <s v="NINGUNO"/>
    <s v="NO"/>
    <s v="Dólar de los Estados Unidos de América"/>
    <s v="CON REINTEGRO"/>
    <n v="500"/>
    <n v="1345395"/>
    <n v="0"/>
    <n v="7.6"/>
    <n v="1.27"/>
    <n v="0"/>
    <s v="EUROPA"/>
  </r>
  <r>
    <n v="371"/>
    <n v="2015"/>
    <n v="7"/>
    <n v="9"/>
    <s v="2015"/>
    <s v="07"/>
    <s v="09"/>
    <s v="INICIAL"/>
    <s v="20150709"/>
    <s v="6007584459986"/>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ERA BALON Ve OYUNCAK SANAYI"/>
    <s v="UZUN CARSI CADDESI GORENLI HAN 187/11 TAHTAKALE/EMINONU"/>
    <s v="9503009910"/>
    <s v="Globos de latex de caucho natural."/>
    <s v="UNIDADES"/>
    <n v="8300"/>
    <n v="294.39"/>
    <n v="307"/>
    <n v="1"/>
    <x v="4"/>
    <s v="ISTAMBUL"/>
    <s v="ATLÁNTICO"/>
    <s v="ATLÁNTICO"/>
    <s v="BOGOTÁ"/>
    <s v="201507"/>
    <s v="6027587798249"/>
    <s v="ÚNICO"/>
    <s v="TRANSPORTE AÉREO"/>
    <s v="ARGENTINA"/>
    <s v="EXPORTACIONES DEFINITIVAS"/>
    <s v="EXPORTACIÓN DEFINITIVA DE MERCANCÍAS DE FABRICACIÓN Ó PRODUCCIÓN NACIONAL"/>
    <s v="NINGUNO"/>
    <s v="NO"/>
    <s v="Dólar de los Estados Unidos de América"/>
    <s v="CON REINTEGRO"/>
    <n v="6508"/>
    <n v="17511661.32"/>
    <n v="0"/>
    <n v="1139.17"/>
    <n v="0"/>
    <n v="0"/>
    <s v="ASIA"/>
  </r>
  <r>
    <n v="372"/>
    <n v="2015"/>
    <n v="7"/>
    <n v="9"/>
    <s v="2015"/>
    <s v="07"/>
    <s v="09"/>
    <s v="INICIAL"/>
    <s v="20150709"/>
    <s v="600758441024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JUNG JEAN COMPANY"/>
    <s v="#174-1 3/F MOOK-DONG, JOONGRANG-GU, SEOUL 131-848, KOREA"/>
    <s v="9503009910"/>
    <s v="Globos de latex de caucho natural."/>
    <s v="UNIDADES"/>
    <n v="129000"/>
    <n v="376.69"/>
    <n v="400"/>
    <n v="1"/>
    <x v="17"/>
    <s v="SEOUL"/>
    <s v="ATLÁNTICO"/>
    <s v="ATLÁNTICO"/>
    <s v="BOGOTÁ"/>
    <s v="201507"/>
    <s v="6027587808803"/>
    <s v="ÚNICO"/>
    <s v="TRANSPORTE AÉREO"/>
    <s v="ESTADOS UNIDOS"/>
    <s v="EXPORTACIONES DEFINITIVAS"/>
    <s v="EXPORTACIÓN DEFINITIVA DE MERCANCÍAS DE FABRICACIÓN Ó PRODUCCIÓN NACIONAL"/>
    <s v="NINGUNO"/>
    <s v="NO"/>
    <s v="Dólar de los Estados Unidos de América"/>
    <s v="CON REINTEGRO"/>
    <n v="6897"/>
    <n v="18558378.629999999"/>
    <n v="0"/>
    <n v="1138.82"/>
    <n v="20.09"/>
    <n v="0"/>
    <s v="ASIA"/>
  </r>
  <r>
    <n v="373"/>
    <n v="2015"/>
    <n v="7"/>
    <n v="13"/>
    <s v="2015"/>
    <s v="07"/>
    <s v="13"/>
    <s v="INICIAL"/>
    <s v="20150713"/>
    <s v="600758465762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474000"/>
    <n v="833.86"/>
    <n v="904.37"/>
    <n v="2"/>
    <x v="17"/>
    <s v="SEOUL"/>
    <s v="ATLÁNTICO"/>
    <s v="ATLÁNTICO"/>
    <s v="BARRANQUILLA"/>
    <s v="201507"/>
    <s v="6027587559386"/>
    <s v="ÚNICO"/>
    <s v="TRANSPORTE MARÍTIMO"/>
    <s v="SINGAPUR"/>
    <s v="EXPORTACIONES DEFINITIVAS"/>
    <s v="EXPORTACIÓN DEFINITIVA DE MERCANCÍAS DE FABRICACIÓN Ó PRODUCCIÓN NACIONAL"/>
    <s v="NINGUNO"/>
    <s v="NO"/>
    <s v="Dólar de los Estados Unidos de América"/>
    <s v="CON REINTEGRO"/>
    <n v="11487.8"/>
    <n v="30642213.09"/>
    <n v="0"/>
    <n v="222.22"/>
    <n v="29.28"/>
    <n v="18.03"/>
    <s v="ASIA"/>
  </r>
  <r>
    <n v="374"/>
    <n v="2015"/>
    <n v="7"/>
    <n v="13"/>
    <s v="2015"/>
    <s v="07"/>
    <s v="13"/>
    <s v="INICIAL"/>
    <s v="20150713"/>
    <s v="600758465762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65500"/>
    <n v="266.58999999999997"/>
    <n v="289.13"/>
    <n v="3"/>
    <x v="17"/>
    <s v="SEOUL"/>
    <s v="ATLÁNTICO"/>
    <s v="ATLÁNTICO"/>
    <s v="BARRANQUILLA"/>
    <s v="201507"/>
    <s v="6027587559386"/>
    <s v="ÚNICO"/>
    <s v="TRANSPORTE MARÍTIMO"/>
    <s v="SINGAPUR"/>
    <s v="EXPORTACIONES DEFINITIVAS"/>
    <s v="EXPORTACIÓN DEFINITIVA DE MERCANCÍAS DE FABRICACIÓN Ó PRODUCCIÓN NACIONAL"/>
    <s v="NINGUNO"/>
    <s v="NO"/>
    <s v="Dólar de los Estados Unidos de América"/>
    <s v="CON REINTEGRO"/>
    <n v="7392"/>
    <n v="19717199.039999999"/>
    <n v="0"/>
    <n v="142.99"/>
    <n v="18.84"/>
    <n v="11.6"/>
    <s v="ASIA"/>
  </r>
  <r>
    <n v="375"/>
    <n v="2015"/>
    <n v="7"/>
    <n v="13"/>
    <s v="2015"/>
    <s v="07"/>
    <s v="13"/>
    <s v="INICIAL"/>
    <s v="20150713"/>
    <s v="600758465762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25500"/>
    <n v="148.62"/>
    <n v="161.19"/>
    <n v="4"/>
    <x v="17"/>
    <s v="SEOUL"/>
    <s v="ATLÁNTICO"/>
    <s v="ATLÁNTICO"/>
    <s v="BARRANQUILLA"/>
    <s v="201507"/>
    <s v="6027587559386"/>
    <s v="ÚNICO"/>
    <s v="TRANSPORTE MARÍTIMO"/>
    <s v="SINGAPUR"/>
    <s v="EXPORTACIONES DEFINITIVAS"/>
    <s v="EXPORTACIÓN DEFINITIVA DE MERCANCÍAS DE FABRICACIÓN Ó PRODUCCIÓN NACIONAL"/>
    <s v="NINGUNO"/>
    <s v="NO"/>
    <s v="Dólar de los Estados Unidos de América"/>
    <s v="CON REINTEGRO"/>
    <n v="4158"/>
    <n v="11090924.460000001"/>
    <n v="0"/>
    <n v="80.430000000000007"/>
    <n v="10.6"/>
    <n v="6.53"/>
    <s v="ASIA"/>
  </r>
  <r>
    <n v="376"/>
    <n v="2015"/>
    <n v="7"/>
    <n v="13"/>
    <s v="2015"/>
    <s v="07"/>
    <s v="13"/>
    <s v="INICIAL"/>
    <s v="20150713"/>
    <s v="600758474204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ROCK SPRING TRADING"/>
    <s v="P.O. BOX 5564 RIYADH 11432"/>
    <s v="9503009910"/>
    <s v="Globos de latex de caucho natural."/>
    <s v="UNIDADES"/>
    <n v="100000"/>
    <n v="213.8"/>
    <n v="232.05"/>
    <n v="1"/>
    <x v="29"/>
    <s v="RIYADH"/>
    <s v="ATLÁNTICO"/>
    <s v="ATLÁNTICO"/>
    <s v="CARTAGENA"/>
    <s v="201507"/>
    <s v="6027586852213"/>
    <s v="ÚNICO"/>
    <s v="TRANSPORTE MARÍTIMO"/>
    <s v="HONG KONG"/>
    <s v="EXPORTACIONES DEFINITIVAS"/>
    <s v="EXPORTACIÓN DEFINITIVA DE MERCANCÍAS DE FABRICACIÓN Ó PRODUCCIÓN NACIONAL"/>
    <s v="NINGUNO"/>
    <s v="NO"/>
    <s v="Dólar de los Estados Unidos de América"/>
    <s v="CON REINTEGRO"/>
    <n v="3150"/>
    <n v="8402215.5"/>
    <n v="0"/>
    <n v="137.55000000000001"/>
    <n v="0"/>
    <n v="0"/>
    <s v="ASIA"/>
  </r>
  <r>
    <n v="377"/>
    <n v="2015"/>
    <n v="7"/>
    <n v="13"/>
    <s v="2015"/>
    <s v="07"/>
    <s v="13"/>
    <s v="INICIAL"/>
    <s v="20150713"/>
    <s v="600758474204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ROCK SPRING TRADING"/>
    <s v="P.O. BOX 5564 RIYADH 11432"/>
    <s v="9503009910"/>
    <s v="Globos de latex de caucho natural."/>
    <s v="UNIDADES"/>
    <n v="600000"/>
    <n v="2183.12"/>
    <n v="2369.4699999999998"/>
    <n v="2"/>
    <x v="29"/>
    <s v="RIYADH"/>
    <s v="ATLÁNTICO"/>
    <s v="ATLÁNTICO"/>
    <s v="CARTAGENA"/>
    <s v="201507"/>
    <s v="6027586852213"/>
    <s v="ÚNICO"/>
    <s v="TRANSPORTE MARÍTIMO"/>
    <s v="HONG KONG"/>
    <s v="EXPORTACIONES DEFINITIVAS"/>
    <s v="EXPORTACIÓN DEFINITIVA DE MERCANCÍAS DE FABRICACIÓN Ó PRODUCCIÓN NACIONAL"/>
    <s v="NINGUNO"/>
    <s v="NO"/>
    <s v="Dólar de los Estados Unidos de América"/>
    <s v="CON REINTEGRO"/>
    <n v="31200"/>
    <n v="83221944"/>
    <n v="0"/>
    <n v="1362.45"/>
    <n v="0"/>
    <n v="0"/>
    <s v="ASIA"/>
  </r>
  <r>
    <n v="378"/>
    <n v="2015"/>
    <n v="7"/>
    <n v="13"/>
    <s v="2015"/>
    <s v="07"/>
    <s v="13"/>
    <s v="INICIAL"/>
    <s v="20150713"/>
    <s v="600758465762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797500"/>
    <n v="2019.97"/>
    <n v="2190.7800000000002"/>
    <n v="1"/>
    <x v="17"/>
    <s v="SEOUL"/>
    <s v="ATLÁNTICO"/>
    <s v="ATLÁNTICO"/>
    <s v="BARRANQUILLA"/>
    <s v="201507"/>
    <s v="6027587559386"/>
    <s v="ÚNICO"/>
    <s v="TRANSPORTE MARÍTIMO"/>
    <s v="SINGAPUR"/>
    <s v="EXPORTACIONES DEFINITIVAS"/>
    <s v="EXPORTACIÓN DEFINITIVA DE MERCANCÍAS DE FABRICACIÓN Ó PRODUCCIÓN NACIONAL"/>
    <s v="NINGUNO"/>
    <s v="NO"/>
    <s v="Dólar de los Estados Unidos de América"/>
    <s v="CON REINTEGRO"/>
    <n v="28657.1"/>
    <n v="76439088.829999998"/>
    <n v="0"/>
    <n v="554.35"/>
    <n v="73.03"/>
    <n v="44.99"/>
    <s v="ASIA"/>
  </r>
  <r>
    <n v="379"/>
    <n v="2015"/>
    <n v="7"/>
    <n v="13"/>
    <s v="2015"/>
    <s v="07"/>
    <s v="13"/>
    <s v="INICIAL"/>
    <s v="20150713"/>
    <s v="600758465760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196000"/>
    <n v="747.84"/>
    <n v="869.15"/>
    <n v="3"/>
    <x v="2"/>
    <s v="SAINT LOUIS"/>
    <s v="ATLÁNTICO"/>
    <s v="ATLÁNTICO"/>
    <s v="BARRANQUILLA"/>
    <s v="201507"/>
    <s v="6027587554400"/>
    <s v="ÚNICO"/>
    <s v="TRANSPORTE MARÍTIMO"/>
    <s v="SINGAPUR"/>
    <s v="EXPORTACIONES DEFINITIVAS"/>
    <s v="EXPORTACIÓN DEFINITIVA DE MERCANCÍAS DE FABRICACIÓN Ó PRODUCCIÓN NACIONAL"/>
    <s v="NINGUNO"/>
    <s v="NO"/>
    <s v="Dólar de los Estados Unidos de América"/>
    <s v="CON REINTEGRO"/>
    <n v="22358.400000000001"/>
    <n v="59638125.409999996"/>
    <n v="0"/>
    <n v="478.86"/>
    <n v="0"/>
    <n v="0"/>
    <s v="AMÉRICA"/>
  </r>
  <r>
    <n v="380"/>
    <n v="2015"/>
    <n v="7"/>
    <n v="13"/>
    <s v="2015"/>
    <s v="07"/>
    <s v="13"/>
    <s v="INICIAL"/>
    <s v="20150713"/>
    <s v="600758465760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36000"/>
    <n v="142.16999999999999"/>
    <n v="165.23"/>
    <n v="4"/>
    <x v="2"/>
    <s v="SAINT LOUIS"/>
    <s v="ATLÁNTICO"/>
    <s v="ATLÁNTICO"/>
    <s v="BARRANQUILLA"/>
    <s v="201507"/>
    <s v="6027587554400"/>
    <s v="ÚNICO"/>
    <s v="TRANSPORTE MARÍTIMO"/>
    <s v="SINGAPUR"/>
    <s v="EXPORTACIONES DEFINITIVAS"/>
    <s v="EXPORTACIÓN DEFINITIVA DE MERCANCÍAS DE FABRICACIÓN Ó PRODUCCIÓN NACIONAL"/>
    <s v="NINGUNO"/>
    <s v="NO"/>
    <s v="Dólar de los Estados Unidos de América"/>
    <s v="CON REINTEGRO"/>
    <n v="4104"/>
    <n v="10946886.48"/>
    <n v="0"/>
    <n v="87.9"/>
    <n v="0"/>
    <n v="0"/>
    <s v="AMÉRICA"/>
  </r>
  <r>
    <n v="381"/>
    <n v="2015"/>
    <n v="7"/>
    <n v="13"/>
    <s v="2015"/>
    <s v="07"/>
    <s v="13"/>
    <s v="INICIAL"/>
    <s v="20150713"/>
    <s v="600758465760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2085680"/>
    <n v="6085.12"/>
    <n v="7072.21"/>
    <n v="1"/>
    <x v="2"/>
    <s v="SAINT LOUIS"/>
    <s v="ATLÁNTICO"/>
    <s v="ATLÁNTICO"/>
    <s v="BARRANQUILLA"/>
    <s v="201507"/>
    <s v="6027587554400"/>
    <s v="ÚNICO"/>
    <s v="TRANSPORTE MARÍTIMO"/>
    <s v="SINGAPUR"/>
    <s v="EXPORTACIONES DEFINITIVAS"/>
    <s v="EXPORTACIÓN DEFINITIVA DE MERCANCÍAS DE FABRICACIÓN Ó PRODUCCIÓN NACIONAL"/>
    <s v="NINGUNO"/>
    <s v="NO"/>
    <s v="Dólar de los Estados Unidos de América"/>
    <s v="CON REINTEGRO"/>
    <n v="84011.8"/>
    <n v="224090554.97"/>
    <n v="0"/>
    <n v="1799.32"/>
    <n v="0"/>
    <n v="0"/>
    <s v="AMÉRICA"/>
  </r>
  <r>
    <n v="382"/>
    <n v="2015"/>
    <n v="7"/>
    <n v="13"/>
    <s v="2015"/>
    <s v="07"/>
    <s v="13"/>
    <s v="INICIAL"/>
    <s v="20150713"/>
    <s v="600758465760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270200"/>
    <n v="820.56"/>
    <n v="953.67"/>
    <n v="2"/>
    <x v="2"/>
    <s v="SAINT LOUIS"/>
    <s v="ATLÁNTICO"/>
    <s v="ATLÁNTICO"/>
    <s v="BARRANQUILLA"/>
    <s v="201507"/>
    <s v="6027587554400"/>
    <s v="ÚNICO"/>
    <s v="TRANSPORTE MARÍTIMO"/>
    <s v="SINGAPUR"/>
    <s v="EXPORTACIONES DEFINITIVAS"/>
    <s v="EXPORTACIÓN DEFINITIVA DE MERCANCÍAS DE FABRICACIÓN Ó PRODUCCIÓN NACIONAL"/>
    <s v="NINGUNO"/>
    <s v="NO"/>
    <s v="Dólar de los Estados Unidos de América"/>
    <s v="CON REINTEGRO"/>
    <n v="12276.4"/>
    <n v="32745701.07"/>
    <n v="0"/>
    <n v="262.93"/>
    <n v="0"/>
    <n v="0"/>
    <s v="AMÉRICA"/>
  </r>
  <r>
    <n v="383"/>
    <n v="2015"/>
    <n v="7"/>
    <n v="21"/>
    <s v="2015"/>
    <s v="07"/>
    <s v="21"/>
    <s v="INICIAL"/>
    <s v="20150721"/>
    <s v="6007585026646"/>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LIRAGRAM ESPAÑA"/>
    <s v="C/ RIO TER NO 7 POLIGONO EL NOGAL 28110 ALGETE MADRID"/>
    <s v="9503009910"/>
    <s v="Globos de latex de caucho natural."/>
    <s v="UNIDADES"/>
    <n v="16800"/>
    <n v="70.69"/>
    <n v="76.72"/>
    <n v="4"/>
    <x v="21"/>
    <s v="MADRID"/>
    <s v="ATLÁNTICO"/>
    <s v="ATLÁNTICO"/>
    <s v="CARTAGENA"/>
    <s v="201507"/>
    <s v="6027587554385"/>
    <s v="ÚNICO"/>
    <s v="TRANSPORTE MARÍTIMO"/>
    <s v="MARSHALL ISLAS"/>
    <s v="EXPORTACIONES DEFINITIVAS"/>
    <s v="EXPORTACIÓN DEFINITIVA DE MERCANCÍAS DE FABRICACIÓN Ó PRODUCCIÓN NACIONAL"/>
    <s v="NINGUNO"/>
    <s v="NO"/>
    <s v="Dólar de los Estados Unidos de América"/>
    <s v="CON REINTEGRO"/>
    <n v="1922.15"/>
    <n v="5289526.1399999997"/>
    <n v="0"/>
    <n v="0"/>
    <n v="0"/>
    <n v="0"/>
    <s v="EUROPA"/>
  </r>
  <r>
    <n v="384"/>
    <n v="2015"/>
    <n v="7"/>
    <n v="21"/>
    <s v="2015"/>
    <s v="07"/>
    <s v="21"/>
    <s v="INICIAL"/>
    <s v="20150721"/>
    <s v="6007585026653"/>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LIRAGRAM ESPAÑA"/>
    <s v="C/ RIO TER NO 7 POLIGONO EL NOGAL 28110 ALGETE MADRID"/>
    <s v="4902909000"/>
    <s v="Los demás diarios y públicaciones periodicas, impresos, incluso ilustrados o con publicidad."/>
    <s v="UNIDADES"/>
    <n v="150"/>
    <n v="22.57"/>
    <n v="23.5"/>
    <n v="1"/>
    <x v="21"/>
    <s v="MADRID"/>
    <s v="ATLÁNTICO"/>
    <s v="ATLÁNTICO"/>
    <s v="CARTAGENA"/>
    <s v="201507"/>
    <s v="6027587554536"/>
    <s v="ÚNICO"/>
    <s v="TRANSPORTE MARÍTIMO"/>
    <s v="MARSHALL ISLAS"/>
    <s v="EXPORTACIONES DEFINITIVAS"/>
    <s v="EXPORTACION TEMPORAL PARA PERFECCIONAMIENTO PASIVO"/>
    <s v="NINGUNO"/>
    <s v="NO"/>
    <s v="Dólar de los Estados Unidos de América"/>
    <s v="SIN REINTEGRO"/>
    <n v="6"/>
    <n v="16511.28"/>
    <n v="0"/>
    <n v="0"/>
    <n v="0"/>
    <n v="0"/>
    <s v="EUROPA"/>
  </r>
  <r>
    <n v="385"/>
    <n v="2015"/>
    <n v="7"/>
    <n v="21"/>
    <s v="2015"/>
    <s v="07"/>
    <s v="21"/>
    <s v="INICIAL"/>
    <s v="20150721"/>
    <s v="6007585026646"/>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LIRAGRAM ESPAÑA"/>
    <s v="C/ RIO TER NO 7 POLIGONO EL NOGAL 28110 ALGETE MADRID"/>
    <s v="9503009910"/>
    <s v="Globos de latex de caucho natural."/>
    <s v="UNIDADES"/>
    <n v="3462300"/>
    <n v="8310.85"/>
    <n v="9019.35"/>
    <n v="1"/>
    <x v="21"/>
    <s v="MADRID"/>
    <s v="ATLÁNTICO"/>
    <s v="ATLÁNTICO"/>
    <s v="CARTAGENA"/>
    <s v="201507"/>
    <s v="6027587554385"/>
    <s v="ÚNICO"/>
    <s v="TRANSPORTE MARÍTIMO"/>
    <s v="MARSHALL ISLAS"/>
    <s v="EXPORTACIONES DEFINITIVAS"/>
    <s v="EXPORTACIÓN DEFINITIVA DE MERCANCÍAS DE FABRICACIÓN Ó PRODUCCIÓN NACIONAL"/>
    <s v="NINGUNO"/>
    <s v="NO"/>
    <s v="Dólar de los Estados Unidos de América"/>
    <s v="CON REINTEGRO"/>
    <n v="110535.55"/>
    <n v="304180569.32999998"/>
    <n v="0"/>
    <n v="0"/>
    <n v="0"/>
    <n v="0"/>
    <s v="EUROPA"/>
  </r>
  <r>
    <n v="386"/>
    <n v="2015"/>
    <n v="7"/>
    <n v="21"/>
    <s v="2015"/>
    <s v="07"/>
    <s v="21"/>
    <s v="INICIAL"/>
    <s v="20150721"/>
    <s v="6007585026646"/>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LIRAGRAM ESPAÑA"/>
    <s v="C/ RIO TER NO 7 POLIGONO EL NOGAL 28110 ALGETE MADRID"/>
    <s v="9503009910"/>
    <s v="Globos de latex de caucho natural."/>
    <s v="UNIDADES"/>
    <n v="1696500"/>
    <n v="4483.47"/>
    <n v="4865.6899999999996"/>
    <n v="2"/>
    <x v="21"/>
    <s v="MADRID"/>
    <s v="ATLÁNTICO"/>
    <s v="ATLÁNTICO"/>
    <s v="CARTAGENA"/>
    <s v="201507"/>
    <s v="6027587554385"/>
    <s v="ÚNICO"/>
    <s v="TRANSPORTE MARÍTIMO"/>
    <s v="MARSHALL ISLAS"/>
    <s v="EXPORTACIONES DEFINITIVAS"/>
    <s v="EXPORTACIÓN DEFINITIVA DE MERCANCÍAS DE FABRICACIÓN Ó PRODUCCIÓN NACIONAL"/>
    <s v="NINGUNO"/>
    <s v="NO"/>
    <s v="Dólar de los Estados Unidos de América"/>
    <s v="CON REINTEGRO"/>
    <n v="58119.25"/>
    <n v="159937201.69"/>
    <n v="0"/>
    <n v="0"/>
    <n v="0"/>
    <n v="0"/>
    <s v="EUROPA"/>
  </r>
  <r>
    <n v="387"/>
    <n v="2015"/>
    <n v="7"/>
    <n v="21"/>
    <s v="2015"/>
    <s v="07"/>
    <s v="21"/>
    <s v="INICIAL"/>
    <s v="20150721"/>
    <s v="6007585026646"/>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LIRAGRAM ESPAÑA"/>
    <s v="C/ RIO TER NO 7 POLIGONO EL NOGAL 28110 ALGETE MADRID"/>
    <s v="9503009910"/>
    <s v="Globos de latex de caucho natural."/>
    <s v="UNIDADES"/>
    <n v="464240"/>
    <n v="1785.9"/>
    <n v="1938.15"/>
    <n v="3"/>
    <x v="21"/>
    <s v="MADRID"/>
    <s v="ATLÁNTICO"/>
    <s v="ATLÁNTICO"/>
    <s v="CARTAGENA"/>
    <s v="201507"/>
    <s v="6027587554385"/>
    <s v="ÚNICO"/>
    <s v="TRANSPORTE MARÍTIMO"/>
    <s v="MARSHALL ISLAS"/>
    <s v="EXPORTACIONES DEFINITIVAS"/>
    <s v="EXPORTACIÓN DEFINITIVA DE MERCANCÍAS DE FABRICACIÓN Ó PRODUCCIÓN NACIONAL"/>
    <s v="NINGUNO"/>
    <s v="NO"/>
    <s v="Dólar de los Estados Unidos de América"/>
    <s v="CON REINTEGRO"/>
    <n v="48860.87"/>
    <n v="134459250.94"/>
    <n v="0"/>
    <n v="0"/>
    <n v="0"/>
    <n v="0"/>
    <s v="EUROPA"/>
  </r>
  <r>
    <n v="388"/>
    <n v="2015"/>
    <n v="7"/>
    <n v="22"/>
    <s v="2015"/>
    <s v="07"/>
    <s v="22"/>
    <s v="INICIAL"/>
    <s v="20150722"/>
    <s v="6007584960475"/>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RANSIT TECHNOLOGY"/>
    <s v="PANERIU 51, OFFICE 412, VILNIUS, LITHUANIA"/>
    <s v="9503009910"/>
    <s v="Globos de latex de caucho natural."/>
    <s v="UNIDADES"/>
    <n v="2148000"/>
    <n v="6584.02"/>
    <n v="7074.69"/>
    <n v="1"/>
    <x v="18"/>
    <s v="VILNIUS"/>
    <s v="ATLÁNTICO"/>
    <s v="ATLÁNTICO"/>
    <s v="CARTAGENA"/>
    <s v="201507"/>
    <s v="6027587554647"/>
    <s v="ÚNICO"/>
    <s v="TRANSPORTE MARÍTIMO"/>
    <s v="LIBERIA"/>
    <s v="EXPORTACIONES DEFINITIVAS"/>
    <s v="EXPORTACIÓN DEFINITIVA DE MERCANCÍAS DE FABRICACIÓN Ó PRODUCCIÓN NACIONAL"/>
    <s v="NINGUNO"/>
    <s v="NO"/>
    <s v="Dólar de los Estados Unidos de América"/>
    <s v="CON REINTEGRO"/>
    <n v="93755.4"/>
    <n v="259243056.53999999"/>
    <n v="0"/>
    <n v="1537.47"/>
    <n v="238.23"/>
    <n v="0"/>
    <s v="EUROPA"/>
  </r>
  <r>
    <n v="389"/>
    <n v="2015"/>
    <n v="7"/>
    <n v="22"/>
    <s v="2015"/>
    <s v="07"/>
    <s v="22"/>
    <s v="INICIAL"/>
    <s v="20150722"/>
    <s v="6007584960475"/>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RANSIT TECHNOLOGY"/>
    <s v="PANERIU 51, OFFICE 412, VILNIUS, LITHUANIA"/>
    <s v="9503009910"/>
    <s v="Globos de latex de caucho natural."/>
    <s v="UNIDADES"/>
    <n v="214000"/>
    <n v="753.78"/>
    <n v="809.95"/>
    <n v="2"/>
    <x v="18"/>
    <s v="VILNIUS"/>
    <s v="ATLÁNTICO"/>
    <s v="ATLÁNTICO"/>
    <s v="CARTAGENA"/>
    <s v="201507"/>
    <s v="6027587554647"/>
    <s v="ÚNICO"/>
    <s v="TRANSPORTE MARÍTIMO"/>
    <s v="LIBERIA"/>
    <s v="EXPORTACIONES DEFINITIVAS"/>
    <s v="EXPORTACIÓN DEFINITIVA DE MERCANCÍAS DE FABRICACIÓN Ó PRODUCCIÓN NACIONAL"/>
    <s v="NINGUNO"/>
    <s v="NO"/>
    <s v="Dólar de los Estados Unidos de América"/>
    <s v="CON REINTEGRO"/>
    <n v="11130.5"/>
    <n v="30776945.550000001"/>
    <n v="0"/>
    <n v="182.53"/>
    <n v="28.28"/>
    <n v="0"/>
    <s v="EUROPA"/>
  </r>
  <r>
    <n v="390"/>
    <n v="2015"/>
    <n v="7"/>
    <n v="22"/>
    <s v="2015"/>
    <s v="07"/>
    <s v="22"/>
    <s v="INICIAL"/>
    <s v="20150722"/>
    <s v="6007584993853"/>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FIVE STAR QUALITY PRODUCTS"/>
    <s v="130 NEWTON ROAD, WETHERILL PARK 2164"/>
    <s v="9503009910"/>
    <s v="Globos de latex de caucho natural."/>
    <s v="UNIDADES"/>
    <n v="446664"/>
    <n v="1581.65"/>
    <n v="1729"/>
    <n v="1"/>
    <x v="5"/>
    <s v="SYDNEY"/>
    <s v="ATLÁNTICO"/>
    <s v="ATLÁNTICO"/>
    <s v="BOGOTÁ"/>
    <s v="201507"/>
    <s v="6027588169341"/>
    <s v="ÚNICO"/>
    <s v="TRANSPORTE AÉREO"/>
    <s v="CANADÁ"/>
    <s v="EXPORTACIONES DEFINITIVAS"/>
    <s v="LAS DEMÁS EXPORTACIONES DEFINITIVAS NO INCLUIDAS EN LOS ÍTEMS ANTERIORES"/>
    <s v="NINGUNO"/>
    <s v="NO"/>
    <s v="Dólar de los Estados Unidos de América"/>
    <s v="CON REINTEGRO"/>
    <n v="35374.36"/>
    <n v="97813642.840000004"/>
    <n v="0"/>
    <n v="0"/>
    <n v="0"/>
    <n v="0"/>
    <s v="OCEANÍA"/>
  </r>
  <r>
    <n v="391"/>
    <n v="2015"/>
    <n v="7"/>
    <n v="28"/>
    <s v="2015"/>
    <s v="07"/>
    <s v="28"/>
    <s v="INICIAL"/>
    <s v="20150728"/>
    <s v="6007585194565"/>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JUNG JEAN COMPANY"/>
    <s v="#174-1 3/F MOOK-DONG, JOONGRANG-GU, SEOUL 131-848, KOREA"/>
    <s v="9503009910"/>
    <s v="Globos de latex de caucho natural."/>
    <s v="UNIDADES"/>
    <n v="28000"/>
    <n v="112.78"/>
    <n v="121"/>
    <n v="1"/>
    <x v="17"/>
    <s v="SEOUL"/>
    <s v="ATLÁNTICO"/>
    <s v="ATLÁNTICO"/>
    <s v="BOGOTÁ"/>
    <s v="201507"/>
    <s v="6027588387309"/>
    <s v="ÚNICO"/>
    <s v="TRANSPORTE AÉREO"/>
    <s v="ESTADOS UNIDOS"/>
    <s v="EXPORTACIONES DEFINITIVAS"/>
    <s v="EXPORTACIÓN DEFINITIVA DE MERCANCÍAS DE FABRICACIÓN Ó PRODUCCIÓN NACIONAL"/>
    <s v="NINGUNO"/>
    <s v="NO"/>
    <s v="Dólar de los Estados Unidos de América"/>
    <s v="CON REINTEGRO"/>
    <n v="2054"/>
    <n v="5862383.0199999996"/>
    <n v="0"/>
    <n v="464"/>
    <n v="24"/>
    <n v="0"/>
    <s v="ASIA"/>
  </r>
  <r>
    <n v="392"/>
    <n v="2015"/>
    <n v="7"/>
    <n v="31"/>
    <s v="2015"/>
    <s v="07"/>
    <s v="31"/>
    <s v="INICIAL"/>
    <s v="20150731"/>
    <s v="600758542790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SAN JOSE, PAVAS, DE TELETICA 600 METROS OESTE FRENTE ANTOJITOS, DETRAS DE COOPEN"/>
    <s v="8414200000"/>
    <s v="Bombas de aire, de mano o pedal."/>
    <s v="UNIDADES"/>
    <n v="3504"/>
    <n v="364.7"/>
    <n v="429.17"/>
    <n v="1"/>
    <x v="3"/>
    <s v="SAN JOSE-COSTA RICA"/>
    <s v="ATLÁNTICO"/>
    <s v="ATLÁNTICO"/>
    <s v="BARRANQUILLA"/>
    <s v="201507"/>
    <s v="6027588401947"/>
    <s v="ÚNICO"/>
    <s v="TRANSPORTE MARÍTIMO"/>
    <s v="MARSHALL ISLAS"/>
    <s v="EXPORTACIONES DEFINITIVAS"/>
    <s v="EXPORTACIÓN DEFINITIVA DE MERCANCÍAS DE FABRICACIÓN Ó PRODUCCIÓN NACIONAL"/>
    <s v="ALADI"/>
    <s v="NO"/>
    <s v="Dólar de los Estados Unidos de América"/>
    <s v="CON REINTEGRO"/>
    <n v="4380"/>
    <n v="12553255.199999999"/>
    <n v="0"/>
    <n v="0"/>
    <n v="0"/>
    <n v="0"/>
    <s v="AMÉRICA"/>
  </r>
  <r>
    <n v="393"/>
    <n v="2015"/>
    <n v="7"/>
    <n v="31"/>
    <s v="2015"/>
    <s v="07"/>
    <s v="31"/>
    <s v="INICIAL"/>
    <s v="20150731"/>
    <s v="600758542790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SAN JOSE, PAVAS, DE TELETICA 600 METROS OESTE FRENTE ANTOJITOS, DETRAS DE COOPEN"/>
    <s v="3926909090"/>
    <s v="Las demás manufacturas de plástico y manufacturas de las demás materias de las partidas 39.01 a 39.14."/>
    <s v="UNIDADES"/>
    <n v="300"/>
    <n v="2.85"/>
    <n v="3.35"/>
    <n v="2"/>
    <x v="3"/>
    <s v="SAN JOSE-COSTA RICA"/>
    <s v="ATLÁNTICO"/>
    <s v="ATLÁNTICO"/>
    <s v="BARRANQUILLA"/>
    <s v="201507"/>
    <s v="6027588401947"/>
    <s v="ÚNICO"/>
    <s v="TRANSPORTE MARÍTIMO"/>
    <s v="MARSHALL ISLAS"/>
    <s v="EXPORTACIONES DEFINITIVAS"/>
    <s v="EXPORTACIÓN DEFINITIVA DE MERCANCÍAS DE FABRICACIÓN Ó PRODUCCIÓN NACIONAL"/>
    <s v="ALADI"/>
    <s v="NO"/>
    <s v="Dólar de los Estados Unidos de América"/>
    <s v="CON REINTEGRO"/>
    <n v="69"/>
    <n v="197756.76"/>
    <n v="0"/>
    <n v="0"/>
    <n v="0"/>
    <n v="0"/>
    <s v="AMÉRICA"/>
  </r>
  <r>
    <n v="394"/>
    <n v="2015"/>
    <n v="7"/>
    <n v="31"/>
    <s v="2015"/>
    <s v="07"/>
    <s v="31"/>
    <s v="INICIAL"/>
    <s v="20150731"/>
    <s v="600758542790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SAN JOSE, PAVAS, DE TELETICA 600 METROS OESTE FRENTE ANTOJITOS, DETRAS DE COOPEN"/>
    <s v="3923299000"/>
    <s v="Sacos (bolsas), bolsitas y cucuruchos."/>
    <s v="UNIDADES"/>
    <n v="1200"/>
    <n v="4.09"/>
    <n v="4.8099999999999996"/>
    <n v="3"/>
    <x v="3"/>
    <s v="SAN JOSE-COSTA RICA"/>
    <s v="ATLÁNTICO"/>
    <s v="ATLÁNTICO"/>
    <s v="BARRANQUILLA"/>
    <s v="201507"/>
    <s v="6027588401947"/>
    <s v="ÚNICO"/>
    <s v="TRANSPORTE MARÍTIMO"/>
    <s v="MARSHALL ISLAS"/>
    <s v="EXPORTACIONES DEFINITIVAS"/>
    <s v="EXPORTACIÓN DEFINITIVA DE MERCANCÍAS DE FABRICACIÓN Ó PRODUCCIÓN NACIONAL"/>
    <s v="ALADI"/>
    <s v="NO"/>
    <s v="Dólar de los Estados Unidos de América"/>
    <s v="CON REINTEGRO"/>
    <n v="40"/>
    <n v="114641.60000000001"/>
    <n v="0"/>
    <n v="0"/>
    <n v="0"/>
    <n v="0"/>
    <s v="AMÉRICA"/>
  </r>
  <r>
    <n v="395"/>
    <n v="2015"/>
    <n v="7"/>
    <n v="31"/>
    <s v="2015"/>
    <s v="07"/>
    <s v="31"/>
    <s v="INICIAL"/>
    <s v="20150731"/>
    <s v="6007585468057"/>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263000"/>
    <n v="611.5"/>
    <n v="663.66"/>
    <n v="2"/>
    <x v="6"/>
    <s v="GENK"/>
    <s v="ATLÁNTICO"/>
    <s v="ATLÁNTICO"/>
    <s v="CARTAGENA"/>
    <s v="201507"/>
    <s v="6027587654553"/>
    <s v="ÚNICO"/>
    <s v="TRANSPORTE MARÍTIMO"/>
    <s v="LIBERIA"/>
    <s v="EXPORTACIONES DEFINITIVAS"/>
    <s v="EXPORTACIÓN DEFINITIVA DE MERCANCÍAS DE FABRICACIÓN Ó PRODUCCIÓN NACIONAL"/>
    <s v="NINGUNO"/>
    <s v="NO"/>
    <s v="Dólar de los Estados Unidos de América"/>
    <s v="CON REINTEGRO"/>
    <n v="9277"/>
    <n v="26588253.079999998"/>
    <n v="0"/>
    <n v="297.56"/>
    <n v="23.94"/>
    <n v="0"/>
    <s v="EUROPA"/>
  </r>
  <r>
    <n v="396"/>
    <n v="2015"/>
    <n v="7"/>
    <n v="31"/>
    <s v="2015"/>
    <s v="07"/>
    <s v="31"/>
    <s v="INICIAL"/>
    <s v="20150731"/>
    <s v="6007585468057"/>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9250"/>
    <n v="43.82"/>
    <n v="47.56"/>
    <n v="3"/>
    <x v="6"/>
    <s v="GENK"/>
    <s v="ATLÁNTICO"/>
    <s v="ATLÁNTICO"/>
    <s v="CARTAGENA"/>
    <s v="201507"/>
    <s v="6027587654553"/>
    <s v="ÚNICO"/>
    <s v="TRANSPORTE MARÍTIMO"/>
    <s v="LIBERIA"/>
    <s v="EXPORTACIONES DEFINITIVAS"/>
    <s v="EXPORTACIÓN DEFINITIVA DE MERCANCÍAS DE FABRICACIÓN Ó PRODUCCIÓN NACIONAL"/>
    <s v="NINGUNO"/>
    <s v="NO"/>
    <s v="Dólar de los Estados Unidos de América"/>
    <s v="CON REINTEGRO"/>
    <n v="1208.5"/>
    <n v="3463609.34"/>
    <n v="0"/>
    <n v="38.76"/>
    <n v="3.12"/>
    <n v="0"/>
    <s v="EUROPA"/>
  </r>
  <r>
    <n v="397"/>
    <n v="2015"/>
    <n v="7"/>
    <n v="31"/>
    <s v="2015"/>
    <s v="07"/>
    <s v="31"/>
    <s v="INICIAL"/>
    <s v="20150731"/>
    <s v="6007585468057"/>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12400"/>
    <n v="59.89"/>
    <n v="65"/>
    <n v="4"/>
    <x v="6"/>
    <s v="GENK"/>
    <s v="ATLÁNTICO"/>
    <s v="ATLÁNTICO"/>
    <s v="CARTAGENA"/>
    <s v="201507"/>
    <s v="6027587654553"/>
    <s v="ÚNICO"/>
    <s v="TRANSPORTE MARÍTIMO"/>
    <s v="LIBERIA"/>
    <s v="EXPORTACIONES DEFINITIVAS"/>
    <s v="EXPORTACIÓN DEFINITIVA DE MERCANCÍAS DE FABRICACIÓN Ó PRODUCCIÓN NACIONAL"/>
    <s v="NINGUNO"/>
    <s v="NO"/>
    <s v="Dólar de los Estados Unidos de América"/>
    <s v="CON REINTEGRO"/>
    <n v="1804"/>
    <n v="5170336.16"/>
    <n v="0"/>
    <n v="57.86"/>
    <n v="4.6500000000000004"/>
    <n v="0"/>
    <s v="EUROPA"/>
  </r>
  <r>
    <n v="398"/>
    <n v="2015"/>
    <n v="7"/>
    <n v="31"/>
    <s v="2015"/>
    <s v="07"/>
    <s v="31"/>
    <s v="INICIAL"/>
    <s v="20150731"/>
    <s v="6007585468057"/>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750400"/>
    <n v="1585.25"/>
    <n v="1720.47"/>
    <n v="1"/>
    <x v="6"/>
    <s v="GENK"/>
    <s v="ATLÁNTICO"/>
    <s v="ATLÁNTICO"/>
    <s v="CARTAGENA"/>
    <s v="201507"/>
    <s v="6027587654553"/>
    <s v="ÚNICO"/>
    <s v="TRANSPORTE MARÍTIMO"/>
    <s v="LIBERIA"/>
    <s v="EXPORTACIONES DEFINITIVAS"/>
    <s v="EXPORTACIÓN DEFINITIVA DE MERCANCÍAS DE FABRICACIÓN Ó PRODUCCIÓN NACIONAL"/>
    <s v="NINGUNO"/>
    <s v="NO"/>
    <s v="Dólar de los Estados Unidos de América"/>
    <s v="CON REINTEGRO"/>
    <n v="23564.2"/>
    <n v="67535939.769999996"/>
    <n v="0"/>
    <n v="755.82"/>
    <n v="60.8"/>
    <n v="0"/>
    <s v="EUROPA"/>
  </r>
  <r>
    <n v="399"/>
    <n v="2015"/>
    <n v="7"/>
    <n v="31"/>
    <s v="2015"/>
    <s v="07"/>
    <s v="31"/>
    <s v="INICIAL"/>
    <s v="20150731"/>
    <s v="6007585468444"/>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MISRAD HASIMHA / YAIR RONINSON"/>
    <s v="9380782, ISRAEL. JERUSALEM"/>
    <s v="9503009910"/>
    <s v="Globos de latex de caucho natural."/>
    <s v="UNIDADES"/>
    <n v="699750"/>
    <n v="1459.34"/>
    <n v="1585.32"/>
    <n v="1"/>
    <x v="28"/>
    <s v="JERUSALEM"/>
    <s v="ATLÁNTICO"/>
    <s v="ATLÁNTICO"/>
    <s v="CARTAGENA"/>
    <s v="201507"/>
    <s v="6027588368727"/>
    <s v="ÚNICO"/>
    <s v="TRANSPORTE MARÍTIMO"/>
    <s v="LIBERIA"/>
    <s v="EXPORTACIONES DEFINITIVAS"/>
    <s v="EXPORTACIÓN DEFINITIVA DE MERCANCÍAS DE FABRICACIÓN Ó PRODUCCIÓN NACIONAL"/>
    <s v="NINGUNO"/>
    <s v="NO"/>
    <s v="Dólar de los Estados Unidos de América"/>
    <s v="CON REINTEGRO"/>
    <n v="22911.5"/>
    <n v="65665275.460000001"/>
    <n v="0"/>
    <n v="2731.37"/>
    <n v="0"/>
    <n v="0"/>
    <s v="ASIA"/>
  </r>
  <r>
    <n v="400"/>
    <n v="2015"/>
    <n v="7"/>
    <n v="31"/>
    <s v="2015"/>
    <s v="07"/>
    <s v="31"/>
    <s v="INICIAL"/>
    <s v="20150731"/>
    <s v="6007585468444"/>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MISRAD HASIMHA / YAIR RONINSON"/>
    <s v="9380782, ISRAEL. JERUSALEM"/>
    <s v="9503009910"/>
    <s v="Globos de latex de caucho natural."/>
    <s v="UNIDADES"/>
    <n v="32500"/>
    <n v="39.72"/>
    <n v="43.15"/>
    <n v="2"/>
    <x v="28"/>
    <s v="JERUSALEM"/>
    <s v="ATLÁNTICO"/>
    <s v="ATLÁNTICO"/>
    <s v="CARTAGENA"/>
    <s v="201507"/>
    <s v="6027588368727"/>
    <s v="ÚNICO"/>
    <s v="TRANSPORTE MARÍTIMO"/>
    <s v="LIBERIA"/>
    <s v="EXPORTACIONES DEFINITIVAS"/>
    <s v="EXPORTACIÓN DEFINITIVA DE MERCANCÍAS DE FABRICACIÓN Ó PRODUCCIÓN NACIONAL"/>
    <s v="NINGUNO"/>
    <s v="NO"/>
    <s v="Dólar de los Estados Unidos de América"/>
    <s v="CON REINTEGRO"/>
    <n v="806"/>
    <n v="2310028.2400000002"/>
    <n v="0"/>
    <n v="96.09"/>
    <n v="0"/>
    <n v="0"/>
    <s v="ASIA"/>
  </r>
  <r>
    <n v="401"/>
    <n v="2015"/>
    <n v="7"/>
    <n v="31"/>
    <s v="2015"/>
    <s v="07"/>
    <s v="31"/>
    <s v="INICIAL"/>
    <s v="20150731"/>
    <s v="6007585468444"/>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MISRAD HASIMHA / YAIR RONINSON"/>
    <s v="9380782, ISRAEL. JERUSALEM"/>
    <s v="9503009910"/>
    <s v="Globos de latex de caucho natural."/>
    <s v="UNIDADES"/>
    <n v="28000"/>
    <n v="73.849999999999994"/>
    <n v="80.23"/>
    <n v="3"/>
    <x v="28"/>
    <s v="JERUSALEM"/>
    <s v="ATLÁNTICO"/>
    <s v="ATLÁNTICO"/>
    <s v="CARTAGENA"/>
    <s v="201507"/>
    <s v="6027588368727"/>
    <s v="ÚNICO"/>
    <s v="TRANSPORTE MARÍTIMO"/>
    <s v="LIBERIA"/>
    <s v="EXPORTACIONES DEFINITIVAS"/>
    <s v="EXPORTACIÓN DEFINITIVA DE MERCANCÍAS DE FABRICACIÓN Ó PRODUCCIÓN NACIONAL"/>
    <s v="NINGUNO"/>
    <s v="NO"/>
    <s v="Dólar de los Estados Unidos de América"/>
    <s v="CON REINTEGRO"/>
    <n v="2286.1999999999998"/>
    <n v="6552340.6500000004"/>
    <n v="0"/>
    <n v="272.55"/>
    <n v="0"/>
    <n v="0"/>
    <s v="ASIA"/>
  </r>
  <r>
    <n v="402"/>
    <n v="2015"/>
    <n v="7"/>
    <n v="31"/>
    <s v="2015"/>
    <s v="07"/>
    <s v="31"/>
    <s v="INICIAL"/>
    <s v="20150731"/>
    <s v="6007585468451"/>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MISRAD HASIMHA / YAIR RONINSON"/>
    <s v="9380782, ISRAEL. JERUSALEM"/>
    <s v="4902909000"/>
    <s v="Los demás diarios y públicaciones periodicas, impresos, incluso ilustrados o con publicidad."/>
    <s v="UNIDADES"/>
    <n v="150"/>
    <n v="23.19"/>
    <n v="24.12"/>
    <n v="1"/>
    <x v="28"/>
    <s v="JERUSALEM"/>
    <s v="ATLÁNTICO"/>
    <s v="ATLÁNTICO"/>
    <s v="CARTAGENA"/>
    <s v="201507"/>
    <s v="6027588369338"/>
    <s v="ÚNICO"/>
    <s v="TRANSPORTE MARÍTIMO"/>
    <s v="LIBERIA"/>
    <s v="EXPORTACIONES DEFINITIVAS"/>
    <s v="EXPORTACION TEMPORAL PARA PERFECCIONAMIENTO PASIVO"/>
    <s v="NINGUNO"/>
    <s v="NO"/>
    <s v="Dólar de los Estados Unidos de América"/>
    <s v="SIN REINTEGRO"/>
    <n v="4.5"/>
    <n v="12897.18"/>
    <n v="0"/>
    <n v="0"/>
    <n v="0"/>
    <n v="0"/>
    <s v="ASIA"/>
  </r>
  <r>
    <n v="403"/>
    <n v="2015"/>
    <n v="7"/>
    <n v="31"/>
    <s v="2015"/>
    <s v="07"/>
    <s v="31"/>
    <s v="INICIAL"/>
    <s v="20150731"/>
    <s v="60075854278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SAN JOSE, PAVAS, DE TELETICA 600 METROS OESTE FRENTE ANTOJITOS, DETRAS DE COOPEN"/>
    <s v="9503009910"/>
    <s v="Globos de latex de caucho natural."/>
    <s v="UNIDADES"/>
    <n v="969510"/>
    <n v="1931.57"/>
    <n v="2097.4699999999998"/>
    <n v="1"/>
    <x v="3"/>
    <s v="SAN JOSE-COSTA RICA"/>
    <s v="ATLÁNTICO"/>
    <s v="ATLÁNTICO"/>
    <s v="BARRANQUILLA"/>
    <s v="201507"/>
    <s v="6027588401757"/>
    <s v="ÚNICO"/>
    <s v="TRANSPORTE MARÍTIMO"/>
    <s v="MARSHALL ISLAS"/>
    <s v="EXPORTACIONES DEFINITIVAS"/>
    <s v="LAS DEMÁS EXPORTACIONES DEFINITIVAS NO INCLUIDAS EN LOS ÍTEMS ANTERIORES"/>
    <s v="ALADI"/>
    <s v="NO"/>
    <s v="Dólar de los Estados Unidos de América"/>
    <s v="CON REINTEGRO"/>
    <n v="30645.5"/>
    <n v="87831228.819999993"/>
    <n v="0"/>
    <n v="0"/>
    <n v="0"/>
    <n v="0"/>
    <s v="AMÉRICA"/>
  </r>
  <r>
    <n v="404"/>
    <n v="2015"/>
    <n v="7"/>
    <n v="31"/>
    <s v="2015"/>
    <s v="07"/>
    <s v="31"/>
    <s v="INICIAL"/>
    <s v="20150731"/>
    <s v="60075854278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SAN JOSE, PAVAS, DE TELETICA 600 METROS OESTE FRENTE ANTOJITOS, DETRAS DE COOPEN"/>
    <s v="9503009910"/>
    <s v="Globos de latex de caucho natural."/>
    <s v="UNIDADES"/>
    <n v="70100"/>
    <n v="169.95"/>
    <n v="184.55"/>
    <n v="2"/>
    <x v="3"/>
    <s v="SAN JOSE-COSTA RICA"/>
    <s v="ATLÁNTICO"/>
    <s v="ATLÁNTICO"/>
    <s v="BARRANQUILLA"/>
    <s v="201507"/>
    <s v="6027588401757"/>
    <s v="ÚNICO"/>
    <s v="TRANSPORTE MARÍTIMO"/>
    <s v="MARSHALL ISLAS"/>
    <s v="EXPORTACIONES DEFINITIVAS"/>
    <s v="LAS DEMÁS EXPORTACIONES DEFINITIVAS NO INCLUIDAS EN LOS ÍTEMS ANTERIORES"/>
    <s v="ALADI"/>
    <s v="NO"/>
    <s v="Dólar de los Estados Unidos de América"/>
    <s v="CON REINTEGRO"/>
    <n v="2685.6"/>
    <n v="7697037.0199999996"/>
    <n v="0"/>
    <n v="0"/>
    <n v="0"/>
    <n v="0"/>
    <s v="AMÉRICA"/>
  </r>
  <r>
    <n v="405"/>
    <n v="2015"/>
    <n v="7"/>
    <n v="31"/>
    <s v="2015"/>
    <s v="07"/>
    <s v="31"/>
    <s v="INICIAL"/>
    <s v="20150731"/>
    <s v="60075854278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SAN JOSE, PAVAS, DE TELETICA 600 METROS OESTE FRENTE ANTOJITOS, DETRAS DE COOPEN"/>
    <s v="9503009910"/>
    <s v="Globos de latex de caucho natural."/>
    <s v="UNIDADES"/>
    <n v="170090"/>
    <n v="682.79"/>
    <n v="741.43"/>
    <n v="3"/>
    <x v="3"/>
    <s v="SAN JOSE-COSTA RICA"/>
    <s v="ATLÁNTICO"/>
    <s v="ATLÁNTICO"/>
    <s v="BARRANQUILLA"/>
    <s v="201507"/>
    <s v="6027588401757"/>
    <s v="ÚNICO"/>
    <s v="TRANSPORTE MARÍTIMO"/>
    <s v="MARSHALL ISLAS"/>
    <s v="EXPORTACIONES DEFINITIVAS"/>
    <s v="LAS DEMÁS EXPORTACIONES DEFINITIVAS NO INCLUIDAS EN LOS ÍTEMS ANTERIORES"/>
    <s v="ALADI"/>
    <s v="NO"/>
    <s v="Dólar de los Estados Unidos de América"/>
    <s v="CON REINTEGRO"/>
    <n v="18265.900000000001"/>
    <n v="52350800.039999999"/>
    <n v="0"/>
    <n v="0"/>
    <n v="0"/>
    <n v="0"/>
    <s v="AMÉRICA"/>
  </r>
  <r>
    <n v="406"/>
    <n v="2015"/>
    <n v="7"/>
    <n v="31"/>
    <s v="2015"/>
    <s v="07"/>
    <s v="31"/>
    <s v="INICIAL"/>
    <s v="20150731"/>
    <s v="60075854278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SAN JOSE, PAVAS, DE TELETICA 600 METROS OESTE FRENTE ANTOJITOS, DETRAS DE COOPEN"/>
    <s v="9503009910"/>
    <s v="Globos de latex de caucho natural."/>
    <s v="UNIDADES"/>
    <n v="13680"/>
    <n v="58.93"/>
    <n v="63.99"/>
    <n v="4"/>
    <x v="3"/>
    <s v="SAN JOSE-COSTA RICA"/>
    <s v="ATLÁNTICO"/>
    <s v="ATLÁNTICO"/>
    <s v="BARRANQUILLA"/>
    <s v="201507"/>
    <s v="6027588401757"/>
    <s v="ÚNICO"/>
    <s v="TRANSPORTE MARÍTIMO"/>
    <s v="MARSHALL ISLAS"/>
    <s v="EXPORTACIONES DEFINITIVAS"/>
    <s v="LAS DEMÁS EXPORTACIONES DEFINITIVAS NO INCLUIDAS EN LOS ÍTEMS ANTERIORES"/>
    <s v="ALADI"/>
    <s v="NO"/>
    <s v="Dólar de los Estados Unidos de América"/>
    <s v="CON REINTEGRO"/>
    <n v="1539"/>
    <n v="4410835.5599999996"/>
    <n v="0"/>
    <n v="0"/>
    <n v="0"/>
    <n v="0"/>
    <s v="AMÉRICA"/>
  </r>
  <r>
    <n v="407"/>
    <n v="2015"/>
    <n v="8"/>
    <n v="3"/>
    <s v="2015"/>
    <s v="08"/>
    <s v="03"/>
    <s v="INICIAL"/>
    <s v="20150803"/>
    <s v="600758555157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4902909000"/>
    <s v="Los demás diarios y públicaciones periodicas, impresos, incluso ilustrados o con publicidad."/>
    <s v="UNIDADES"/>
    <n v="150"/>
    <n v="23.57"/>
    <n v="24.5"/>
    <n v="1"/>
    <x v="9"/>
    <s v="SANTIAGO"/>
    <s v="ATLÁNTICO"/>
    <s v="ATLÁNTICO"/>
    <s v="BARRANQUILLA"/>
    <s v="201508"/>
    <s v="6027588382211"/>
    <s v="ÚNICO"/>
    <s v="TRANSPORTE MARÍTIMO"/>
    <s v="PANAMÁ"/>
    <s v="EXPORTACIONES DEFINITIVAS"/>
    <s v="EXPORTACION TEMPORAL PARA PERFECCIONAMIENTO PASIVO"/>
    <s v="NINGUNO"/>
    <s v="NO"/>
    <s v="Dólar de los Estados Unidos de América"/>
    <s v="SIN REINTEGRO"/>
    <n v="7.5"/>
    <n v="21468.82"/>
    <n v="0"/>
    <n v="0"/>
    <n v="0"/>
    <n v="0"/>
    <s v="AMÉRICA"/>
  </r>
  <r>
    <n v="408"/>
    <n v="2015"/>
    <n v="8"/>
    <n v="3"/>
    <s v="2015"/>
    <s v="08"/>
    <s v="03"/>
    <s v="INICIAL"/>
    <s v="20150803"/>
    <s v="6007585517113"/>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4902909000"/>
    <s v="Los demás diarios y públicaciones periodicas, impresos, incluso ilustrados o con publicidad."/>
    <s v="UNIDADES"/>
    <n v="150"/>
    <n v="23.57"/>
    <n v="24.5"/>
    <n v="1"/>
    <x v="0"/>
    <s v="YEKATERINBURG"/>
    <s v="ATLÁNTICO"/>
    <s v="ATLÁNTICO"/>
    <s v="CARTAGENA"/>
    <s v="201507"/>
    <s v="6027587732360"/>
    <s v="ÚNICO"/>
    <s v="TRANSPORTE MARÍTIMO"/>
    <s v="LÍBANO"/>
    <s v="EXPORTACIONES DEFINITIVAS"/>
    <s v="EXPORTACION TEMPORAL PARA PERFECCIONAMIENTO PASIVO"/>
    <s v="NINGUNO"/>
    <s v="NO"/>
    <s v="Dólar de los Estados Unidos de América"/>
    <s v="SIN REINTEGRO"/>
    <n v="7.5"/>
    <n v="21468.82"/>
    <n v="0"/>
    <n v="0"/>
    <n v="0"/>
    <n v="0"/>
    <s v="ASIA"/>
  </r>
  <r>
    <n v="409"/>
    <n v="2015"/>
    <n v="8"/>
    <n v="3"/>
    <s v="2015"/>
    <s v="08"/>
    <s v="03"/>
    <s v="INICIAL"/>
    <s v="20150803"/>
    <s v="600758555156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2669416"/>
    <n v="5555.4"/>
    <n v="6009.98"/>
    <n v="1"/>
    <x v="9"/>
    <s v="SANTIAGO"/>
    <s v="ATLÁNTICO"/>
    <s v="ATLÁNTICO"/>
    <s v="BARRANQUILLA"/>
    <s v="201508"/>
    <s v="6027588381965"/>
    <s v="ÚNICO"/>
    <s v="TRANSPORTE MARÍTIMO"/>
    <s v="PANAMÁ"/>
    <s v="EXPORTACIONES DEFINITIVAS"/>
    <s v="EXPORTACIÓN DEFINITIVA DE MERCANCÍAS DE FABRICACIÓN Ó PRODUCCIÓN NACIONAL"/>
    <s v="ALADI"/>
    <s v="NO"/>
    <s v="Dólar de los Estados Unidos de América"/>
    <s v="CON REINTEGRO"/>
    <n v="77052.92"/>
    <n v="220564754.02000001"/>
    <n v="0"/>
    <n v="918.28"/>
    <n v="194.93"/>
    <n v="0"/>
    <s v="AMÉRICA"/>
  </r>
  <r>
    <n v="410"/>
    <n v="2015"/>
    <n v="8"/>
    <n v="3"/>
    <s v="2015"/>
    <s v="08"/>
    <s v="03"/>
    <s v="INICIAL"/>
    <s v="20150803"/>
    <s v="600758555156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406000"/>
    <n v="829.62"/>
    <n v="897.5"/>
    <n v="2"/>
    <x v="9"/>
    <s v="SANTIAGO"/>
    <s v="ATLÁNTICO"/>
    <s v="ATLÁNTICO"/>
    <s v="BARRANQUILLA"/>
    <s v="201508"/>
    <s v="6027588381965"/>
    <s v="ÚNICO"/>
    <s v="TRANSPORTE MARÍTIMO"/>
    <s v="PANAMÁ"/>
    <s v="EXPORTACIONES DEFINITIVAS"/>
    <s v="EXPORTACIÓN DEFINITIVA DE MERCANCÍAS DE FABRICACIÓN Ó PRODUCCIÓN NACIONAL"/>
    <s v="ALADI"/>
    <s v="NO"/>
    <s v="Dólar de los Estados Unidos de América"/>
    <s v="CON REINTEGRO"/>
    <n v="12346"/>
    <n v="35340548.460000001"/>
    <n v="0"/>
    <n v="147.13"/>
    <n v="31.23"/>
    <n v="0"/>
    <s v="AMÉRICA"/>
  </r>
  <r>
    <n v="411"/>
    <n v="2015"/>
    <n v="8"/>
    <n v="3"/>
    <s v="2015"/>
    <s v="08"/>
    <s v="03"/>
    <s v="INICIAL"/>
    <s v="20150803"/>
    <s v="600758555156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60680"/>
    <n v="251.34"/>
    <n v="271.89999999999998"/>
    <n v="3"/>
    <x v="9"/>
    <s v="SANTIAGO"/>
    <s v="ATLÁNTICO"/>
    <s v="ATLÁNTICO"/>
    <s v="BARRANQUILLA"/>
    <s v="201508"/>
    <s v="6027588381965"/>
    <s v="ÚNICO"/>
    <s v="TRANSPORTE MARÍTIMO"/>
    <s v="PANAMÁ"/>
    <s v="EXPORTACIONES DEFINITIVAS"/>
    <s v="EXPORTACIÓN DEFINITIVA DE MERCANCÍAS DE FABRICACIÓN Ó PRODUCCIÓN NACIONAL"/>
    <s v="ALADI"/>
    <s v="NO"/>
    <s v="Dólar de los Estados Unidos de América"/>
    <s v="CON REINTEGRO"/>
    <n v="6786"/>
    <n v="19424992.859999999"/>
    <n v="0"/>
    <n v="80.87"/>
    <n v="17.170000000000002"/>
    <n v="0"/>
    <s v="AMÉRICA"/>
  </r>
  <r>
    <n v="412"/>
    <n v="2015"/>
    <n v="8"/>
    <n v="3"/>
    <s v="2015"/>
    <s v="08"/>
    <s v="03"/>
    <s v="INICIAL"/>
    <s v="20150803"/>
    <s v="600758555156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2880"/>
    <n v="12.31"/>
    <n v="13.31"/>
    <n v="4"/>
    <x v="9"/>
    <s v="SANTIAGO"/>
    <s v="ATLÁNTICO"/>
    <s v="ATLÁNTICO"/>
    <s v="BARRANQUILLA"/>
    <s v="201508"/>
    <s v="6027588381965"/>
    <s v="ÚNICO"/>
    <s v="TRANSPORTE MARÍTIMO"/>
    <s v="PANAMÁ"/>
    <s v="EXPORTACIONES DEFINITIVAS"/>
    <s v="EXPORTACIÓN DEFINITIVA DE MERCANCÍAS DE FABRICACIÓN Ó PRODUCCIÓN NACIONAL"/>
    <s v="ALADI"/>
    <s v="NO"/>
    <s v="Dólar de los Estados Unidos de América"/>
    <s v="CON REINTEGRO"/>
    <n v="312"/>
    <n v="893103.12"/>
    <n v="0"/>
    <n v="3.72"/>
    <n v="0.79"/>
    <n v="0"/>
    <s v="AMÉRICA"/>
  </r>
  <r>
    <n v="413"/>
    <n v="2015"/>
    <n v="8"/>
    <n v="3"/>
    <s v="2015"/>
    <s v="08"/>
    <s v="03"/>
    <s v="INICIAL"/>
    <s v="20150803"/>
    <s v="600758555163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6000"/>
    <n v="23.22"/>
    <n v="25.06"/>
    <n v="4"/>
    <x v="15"/>
    <s v="CARLSWSALD, MIDRAND"/>
    <s v="ATLÁNTICO"/>
    <s v="ATLÁNTICO"/>
    <s v="BARRANQUILLA"/>
    <s v="201508"/>
    <s v="6027588415629"/>
    <s v="ÚNICO"/>
    <s v="TRANSPORTE MARÍTIMO"/>
    <s v="PANAMÁ"/>
    <s v="EXPORTACIONES DEFINITIVAS"/>
    <s v="EXPORTACIÓN DEFINITIVA DE MERCANCÍAS DE FABRICACIÓN Ó PRODUCCIÓN NACIONAL"/>
    <s v="NINGUNO"/>
    <s v="NO"/>
    <s v="Dólar de los Estados Unidos de América"/>
    <s v="CON REINTEGRO"/>
    <n v="579.6"/>
    <n v="1659110.79"/>
    <n v="0"/>
    <n v="30.61"/>
    <n v="1.53"/>
    <n v="0"/>
    <s v="ÁFRICA"/>
  </r>
  <r>
    <n v="414"/>
    <n v="2015"/>
    <n v="8"/>
    <n v="3"/>
    <s v="2015"/>
    <s v="08"/>
    <s v="03"/>
    <s v="INICIAL"/>
    <s v="20150803"/>
    <s v="600758555163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153000"/>
    <n v="556.92999999999995"/>
    <n v="601.15"/>
    <n v="3"/>
    <x v="15"/>
    <s v="CARLSWSALD, MIDRAND"/>
    <s v="ATLÁNTICO"/>
    <s v="ATLÁNTICO"/>
    <s v="BARRANQUILLA"/>
    <s v="201508"/>
    <s v="6027588415629"/>
    <s v="ÚNICO"/>
    <s v="TRANSPORTE MARÍTIMO"/>
    <s v="PANAMÁ"/>
    <s v="EXPORTACIONES DEFINITIVAS"/>
    <s v="EXPORTACIÓN DEFINITIVA DE MERCANCÍAS DE FABRICACIÓN Ó PRODUCCIÓN NACIONAL"/>
    <s v="NINGUNO"/>
    <s v="NO"/>
    <s v="Dólar de los Estados Unidos de América"/>
    <s v="CON REINTEGRO"/>
    <n v="14581.8"/>
    <n v="41740548.310000002"/>
    <n v="0"/>
    <n v="769.98"/>
    <n v="38.380000000000003"/>
    <n v="0"/>
    <s v="ÁFRICA"/>
  </r>
  <r>
    <n v="415"/>
    <n v="2015"/>
    <n v="8"/>
    <n v="3"/>
    <s v="2015"/>
    <s v="08"/>
    <s v="03"/>
    <s v="INICIAL"/>
    <s v="20150803"/>
    <s v="600758555163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166000"/>
    <n v="484.16"/>
    <n v="522.6"/>
    <n v="2"/>
    <x v="15"/>
    <s v="CARLSWSALD, MIDRAND"/>
    <s v="ATLÁNTICO"/>
    <s v="ATLÁNTICO"/>
    <s v="BARRANQUILLA"/>
    <s v="201508"/>
    <s v="6027588415629"/>
    <s v="ÚNICO"/>
    <s v="TRANSPORTE MARÍTIMO"/>
    <s v="PANAMÁ"/>
    <s v="EXPORTACIONES DEFINITIVAS"/>
    <s v="EXPORTACIÓN DEFINITIVA DE MERCANCÍAS DE FABRICACIÓN Ó PRODUCCIÓN NACIONAL"/>
    <s v="NINGUNO"/>
    <s v="NO"/>
    <s v="Dólar de los Estados Unidos de América"/>
    <s v="CON REINTEGRO"/>
    <n v="7367.6"/>
    <n v="21089828.670000002"/>
    <n v="0"/>
    <n v="389.04"/>
    <n v="19.39"/>
    <n v="0"/>
    <s v="ÁFRICA"/>
  </r>
  <r>
    <n v="416"/>
    <n v="2015"/>
    <n v="8"/>
    <n v="3"/>
    <s v="2015"/>
    <s v="08"/>
    <s v="03"/>
    <s v="INICIAL"/>
    <s v="20150803"/>
    <s v="600758555163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649000"/>
    <n v="1898.96"/>
    <n v="2049.7399999999998"/>
    <n v="1"/>
    <x v="15"/>
    <s v="CARLSWSALD, MIDRAND"/>
    <s v="ATLÁNTICO"/>
    <s v="ATLÁNTICO"/>
    <s v="BARRANQUILLA"/>
    <s v="201508"/>
    <s v="6027588415629"/>
    <s v="ÚNICO"/>
    <s v="TRANSPORTE MARÍTIMO"/>
    <s v="PANAMÁ"/>
    <s v="EXPORTACIONES DEFINITIVAS"/>
    <s v="EXPORTACIÓN DEFINITIVA DE MERCANCÍAS DE FABRICACIÓN Ó PRODUCCIÓN NACIONAL"/>
    <s v="NINGUNO"/>
    <s v="NO"/>
    <s v="Dólar de los Estados Unidos de América"/>
    <s v="CON REINTEGRO"/>
    <n v="28603"/>
    <n v="81876373.530000001"/>
    <n v="0"/>
    <n v="1510.37"/>
    <n v="75.28"/>
    <n v="0"/>
    <s v="ÁFRICA"/>
  </r>
  <r>
    <n v="417"/>
    <n v="2015"/>
    <n v="8"/>
    <n v="3"/>
    <s v="2015"/>
    <s v="08"/>
    <s v="03"/>
    <s v="INICIAL"/>
    <s v="20150803"/>
    <s v="600758551710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999000"/>
    <n v="3622.45"/>
    <n v="3934.21"/>
    <n v="3"/>
    <x v="0"/>
    <s v="YEKATERINBURG"/>
    <s v="ATLÁNTICO"/>
    <s v="ATLÁNTICO"/>
    <s v="CARTAGENA"/>
    <s v="201507"/>
    <s v="6027587732242"/>
    <s v="ÚNICO"/>
    <s v="TRANSPORTE MARÍTIMO"/>
    <s v="LÍBANO"/>
    <s v="EXPORTACIONES DEFINITIVAS"/>
    <s v="EXPORTACIÓN DEFINITIVA DE MERCANCÍAS DE FABRICACIÓN Ó PRODUCCIÓN NACIONAL"/>
    <s v="NINGUNO"/>
    <s v="NO"/>
    <s v="Dólar de los Estados Unidos de América"/>
    <s v="CON REINTEGRO"/>
    <n v="84747.6"/>
    <n v="242590852.47"/>
    <n v="0"/>
    <n v="0"/>
    <n v="0"/>
    <n v="0"/>
    <s v="ASIA"/>
  </r>
  <r>
    <n v="418"/>
    <n v="2015"/>
    <n v="8"/>
    <n v="3"/>
    <s v="2015"/>
    <s v="08"/>
    <s v="03"/>
    <s v="INICIAL"/>
    <s v="20150803"/>
    <s v="600758551710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264000"/>
    <n v="982.52"/>
    <n v="1067.08"/>
    <n v="4"/>
    <x v="0"/>
    <s v="YEKATERINBURG"/>
    <s v="ATLÁNTICO"/>
    <s v="ATLÁNTICO"/>
    <s v="CARTAGENA"/>
    <s v="201507"/>
    <s v="6027587732242"/>
    <s v="ÚNICO"/>
    <s v="TRANSPORTE MARÍTIMO"/>
    <s v="LÍBANO"/>
    <s v="EXPORTACIONES DEFINITIVAS"/>
    <s v="EXPORTACIÓN DEFINITIVA DE MERCANCÍAS DE FABRICACIÓN Ó PRODUCCIÓN NACIONAL"/>
    <s v="NINGUNO"/>
    <s v="NO"/>
    <s v="Dólar de los Estados Unidos de América"/>
    <s v="CON REINTEGRO"/>
    <n v="22176"/>
    <n v="63479021.759999998"/>
    <n v="0"/>
    <n v="0"/>
    <n v="0"/>
    <n v="0"/>
    <s v="ASIA"/>
  </r>
  <r>
    <n v="419"/>
    <n v="2015"/>
    <n v="8"/>
    <n v="3"/>
    <s v="2015"/>
    <s v="08"/>
    <s v="03"/>
    <s v="INICIAL"/>
    <s v="20150803"/>
    <s v="600758551710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4048500"/>
    <n v="8397.08"/>
    <n v="9119.76"/>
    <n v="1"/>
    <x v="0"/>
    <s v="YEKATERINBURG"/>
    <s v="ATLÁNTICO"/>
    <s v="ATLÁNTICO"/>
    <s v="CARTAGENA"/>
    <s v="201507"/>
    <s v="6027587732242"/>
    <s v="ÚNICO"/>
    <s v="TRANSPORTE MARÍTIMO"/>
    <s v="LÍBANO"/>
    <s v="EXPORTACIONES DEFINITIVAS"/>
    <s v="EXPORTACIÓN DEFINITIVA DE MERCANCÍAS DE FABRICACIÓN Ó PRODUCCIÓN NACIONAL"/>
    <s v="NINGUNO"/>
    <s v="NO"/>
    <s v="Dólar de los Estados Unidos de América"/>
    <s v="CON REINTEGRO"/>
    <n v="112131"/>
    <n v="320976108.81"/>
    <n v="0"/>
    <n v="0"/>
    <n v="0"/>
    <n v="0"/>
    <s v="ASIA"/>
  </r>
  <r>
    <n v="420"/>
    <n v="2015"/>
    <n v="8"/>
    <n v="3"/>
    <s v="2015"/>
    <s v="08"/>
    <s v="03"/>
    <s v="INICIAL"/>
    <s v="20150803"/>
    <s v="600758551710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691000"/>
    <n v="1510.22"/>
    <n v="1640.19"/>
    <n v="2"/>
    <x v="0"/>
    <s v="YEKATERINBURG"/>
    <s v="ATLÁNTICO"/>
    <s v="ATLÁNTICO"/>
    <s v="CARTAGENA"/>
    <s v="201507"/>
    <s v="6027587732242"/>
    <s v="ÚNICO"/>
    <s v="TRANSPORTE MARÍTIMO"/>
    <s v="LÍBANO"/>
    <s v="EXPORTACIONES DEFINITIVAS"/>
    <s v="EXPORTACIÓN DEFINITIVA DE MERCANCÍAS DE FABRICACIÓN Ó PRODUCCIÓN NACIONAL"/>
    <s v="NINGUNO"/>
    <s v="NO"/>
    <s v="Dólar de los Estados Unidos de América"/>
    <s v="CON REINTEGRO"/>
    <n v="20607.5"/>
    <n v="58989174.82"/>
    <n v="0"/>
    <n v="0"/>
    <n v="0"/>
    <n v="0"/>
    <s v="ASIA"/>
  </r>
  <r>
    <n v="421"/>
    <n v="2015"/>
    <n v="8"/>
    <n v="4"/>
    <s v="2015"/>
    <s v="08"/>
    <s v="04"/>
    <s v="INICIAL"/>
    <s v="20150804"/>
    <s v="600758546804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4902909000"/>
    <s v="Los demás diarios y públicaciones periodicas, impresos, incluso ilustrados o con publicidad."/>
    <s v="UNIDADES"/>
    <n v="300"/>
    <n v="46.3"/>
    <n v="48.46"/>
    <n v="1"/>
    <x v="6"/>
    <s v="GENK"/>
    <s v="ATLÁNTICO"/>
    <s v="ATLÁNTICO"/>
    <s v="CARTAGENA"/>
    <s v="201507"/>
    <s v="6027587654451"/>
    <s v="ÚNICO"/>
    <s v="TRANSPORTE MARÍTIMO"/>
    <s v="LIBERIA"/>
    <s v="EXPORTACIONES DEFINITIVAS"/>
    <s v="EXPORTACION TEMPORAL PARA PERFECCIONAMIENTO PASIVO"/>
    <s v="NINGUNO"/>
    <s v="NO"/>
    <s v="Dólar de los Estados Unidos de América"/>
    <s v="SIN REINTEGRO"/>
    <n v="6"/>
    <n v="17417.88"/>
    <n v="0"/>
    <n v="0"/>
    <n v="0"/>
    <n v="0"/>
    <s v="EUROPA"/>
  </r>
  <r>
    <n v="422"/>
    <n v="2015"/>
    <n v="8"/>
    <n v="4"/>
    <s v="2015"/>
    <s v="08"/>
    <s v="04"/>
    <s v="INICIAL"/>
    <s v="20150804"/>
    <s v="600758546804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3923299000"/>
    <s v="Sacos (bolsas), bolsitas y cucuruchos."/>
    <s v="UNIDADES"/>
    <n v="1000"/>
    <n v="4.9400000000000004"/>
    <n v="5.17"/>
    <n v="2"/>
    <x v="6"/>
    <s v="GENK"/>
    <s v="ATLÁNTICO"/>
    <s v="ATLÁNTICO"/>
    <s v="CARTAGENA"/>
    <s v="201507"/>
    <s v="6027587654451"/>
    <s v="ÚNICO"/>
    <s v="TRANSPORTE MARÍTIMO"/>
    <s v="LIBERIA"/>
    <s v="EXPORTACIONES DEFINITIVAS"/>
    <s v="EXPORTACION TEMPORAL PARA PERFECCIONAMIENTO PASIVO"/>
    <s v="NINGUNO"/>
    <s v="NO"/>
    <s v="Dólar de los Estados Unidos de América"/>
    <s v="SIN REINTEGRO"/>
    <n v="10"/>
    <n v="29029.8"/>
    <n v="0"/>
    <n v="0"/>
    <n v="0"/>
    <n v="0"/>
    <s v="EUROPA"/>
  </r>
  <r>
    <n v="423"/>
    <n v="2015"/>
    <n v="8"/>
    <n v="5"/>
    <s v="2015"/>
    <s v="08"/>
    <s v="05"/>
    <s v="INICIAL"/>
    <s v="20150805"/>
    <s v="6007585616379"/>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4909000000"/>
    <s v="Tarjetas postales impresas o ilustradas; tarjetas impresas con felicitaciones o comunicaciones personales, incluso con ilustraciones, adornos o aplicaciones, o con sobre."/>
    <s v="UNIDADES"/>
    <n v="153"/>
    <n v="21.66"/>
    <n v="23.55"/>
    <n v="9"/>
    <x v="22"/>
    <s v="ASUNCION"/>
    <s v="ATLÁNTICO"/>
    <s v="ATLÁNTICO"/>
    <s v="BARRANQUILLA"/>
    <s v="201508"/>
    <s v="6027588948867"/>
    <s v="ÚNICO"/>
    <s v="TRANSPORTE AÉREO"/>
    <s v="COLOMBIA"/>
    <s v="EXPORTACIONES DEFINITIVAS"/>
    <s v="EXPORTACIÓN DEFINITIVA DE MERCANCÍAS DE FABRICACIÓN Ó PRODUCCIÓN NACIONAL"/>
    <s v="NINGUNO"/>
    <s v="NO"/>
    <s v="Dólar de los Estados Unidos de América"/>
    <s v="CON REINTEGRO"/>
    <n v="102"/>
    <n v="296508.90000000002"/>
    <n v="0"/>
    <n v="14.9"/>
    <n v="0.28999999999999998"/>
    <n v="0"/>
    <s v="AMÉRICA"/>
  </r>
  <r>
    <n v="424"/>
    <n v="2015"/>
    <n v="8"/>
    <n v="5"/>
    <s v="2015"/>
    <s v="08"/>
    <s v="05"/>
    <s v="INICIAL"/>
    <s v="20150805"/>
    <s v="6007585616379"/>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3924900000"/>
    <s v="Los demás artículos de uso doméstico y artículos de higiene o de tocador, de plástico."/>
    <s v="UNIDADES"/>
    <n v="456"/>
    <n v="59.5"/>
    <n v="64.709999999999994"/>
    <n v="5"/>
    <x v="22"/>
    <s v="ASUNCION"/>
    <s v="ATLÁNTICO"/>
    <s v="ATLÁNTICO"/>
    <s v="BARRANQUILLA"/>
    <s v="201508"/>
    <s v="6027588948867"/>
    <s v="ÚNICO"/>
    <s v="TRANSPORTE AÉREO"/>
    <s v="COLOMBIA"/>
    <s v="EXPORTACIONES DEFINITIVAS"/>
    <s v="EXPORTACIÓN DEFINITIVA DE MERCANCÍAS DE FABRICACIÓN Ó PRODUCCIÓN NACIONAL"/>
    <s v="NINGUNO"/>
    <s v="NO"/>
    <s v="Dólar de los Estados Unidos de América"/>
    <s v="CON REINTEGRO"/>
    <n v="561.17999999999995"/>
    <n v="1631322.2"/>
    <n v="0"/>
    <n v="81.95"/>
    <n v="1.61"/>
    <n v="0"/>
    <s v="AMÉRICA"/>
  </r>
  <r>
    <n v="425"/>
    <n v="2015"/>
    <n v="8"/>
    <n v="5"/>
    <s v="2015"/>
    <s v="08"/>
    <s v="05"/>
    <s v="INICIAL"/>
    <s v="20150805"/>
    <s v="6007585616379"/>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3924109000"/>
    <s v="Las demás vajillas y demás artículos para el servicio de mesa o de cocina, de plástico."/>
    <s v="UNIDADES"/>
    <n v="399"/>
    <n v="28.58"/>
    <n v="31.08"/>
    <n v="4"/>
    <x v="22"/>
    <s v="ASUNCION"/>
    <s v="ATLÁNTICO"/>
    <s v="ATLÁNTICO"/>
    <s v="BARRANQUILLA"/>
    <s v="201508"/>
    <s v="6027588948867"/>
    <s v="ÚNICO"/>
    <s v="TRANSPORTE AÉREO"/>
    <s v="COLOMBIA"/>
    <s v="EXPORTACIONES DEFINITIVAS"/>
    <s v="EXPORTACIÓN DEFINITIVA DE MERCANCÍAS DE FABRICACIÓN Ó PRODUCCIÓN NACIONAL"/>
    <s v="NINGUNO"/>
    <s v="NO"/>
    <s v="Dólar de los Estados Unidos de América"/>
    <s v="CON REINTEGRO"/>
    <n v="263.13"/>
    <n v="764905.75"/>
    <n v="0"/>
    <n v="38.43"/>
    <n v="0.75"/>
    <n v="0"/>
    <s v="AMÉRICA"/>
  </r>
  <r>
    <n v="426"/>
    <n v="2015"/>
    <n v="8"/>
    <n v="5"/>
    <s v="2015"/>
    <s v="08"/>
    <s v="05"/>
    <s v="INICIAL"/>
    <s v="20150805"/>
    <s v="6007585616379"/>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3923210000"/>
    <s v="Sacos, bolsas y cucuruchos, de polímeros de etileno."/>
    <s v="UNIDADES"/>
    <n v="42"/>
    <n v="0.7"/>
    <n v="0.76"/>
    <n v="3"/>
    <x v="22"/>
    <s v="ASUNCION"/>
    <s v="ATLÁNTICO"/>
    <s v="ATLÁNTICO"/>
    <s v="BARRANQUILLA"/>
    <s v="201508"/>
    <s v="6027588948867"/>
    <s v="ÚNICO"/>
    <s v="TRANSPORTE AÉREO"/>
    <s v="COLOMBIA"/>
    <s v="EXPORTACIONES DEFINITIVAS"/>
    <s v="EXPORTACIÓN DEFINITIVA DE MERCANCÍAS DE FABRICACIÓN Ó PRODUCCIÓN NACIONAL"/>
    <s v="NINGUNO"/>
    <s v="NO"/>
    <s v="Dólar de los Estados Unidos de América"/>
    <s v="CON REINTEGRO"/>
    <n v="27.3"/>
    <n v="79359.73"/>
    <n v="0"/>
    <n v="3.99"/>
    <n v="0.08"/>
    <n v="0"/>
    <s v="AMÉRICA"/>
  </r>
  <r>
    <n v="427"/>
    <n v="2015"/>
    <n v="8"/>
    <n v="5"/>
    <s v="2015"/>
    <s v="08"/>
    <s v="05"/>
    <s v="INICIAL"/>
    <s v="20150805"/>
    <s v="6007585616379"/>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9503009910"/>
    <s v="Globos de latex de caucho natural."/>
    <s v="UNIDADES"/>
    <n v="315500"/>
    <n v="796.91"/>
    <n v="866.69"/>
    <n v="1"/>
    <x v="22"/>
    <s v="ASUNCION"/>
    <s v="ATLÁNTICO"/>
    <s v="ATLÁNTICO"/>
    <s v="BARRANQUILLA"/>
    <s v="201508"/>
    <s v="6027588948867"/>
    <s v="ÚNICO"/>
    <s v="TRANSPORTE AÉREO"/>
    <s v="COLOMBIA"/>
    <s v="EXPORTACIONES DEFINITIVAS"/>
    <s v="EXPORTACIÓN DEFINITIVA DE MERCANCÍAS DE FABRICACIÓN Ó PRODUCCIÓN NACIONAL"/>
    <s v="NINGUNO"/>
    <s v="NO"/>
    <s v="Dólar de los Estados Unidos de América"/>
    <s v="CON REINTEGRO"/>
    <n v="16963.400000000001"/>
    <n v="49311755.630000003"/>
    <n v="0"/>
    <n v="2477.3000000000002"/>
    <n v="48.6"/>
    <n v="0"/>
    <s v="AMÉRICA"/>
  </r>
  <r>
    <n v="428"/>
    <n v="2015"/>
    <n v="8"/>
    <n v="5"/>
    <s v="2015"/>
    <s v="08"/>
    <s v="05"/>
    <s v="INICIAL"/>
    <s v="20150805"/>
    <s v="6007585616379"/>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9505900000"/>
    <s v="Los demás artículos para fiestas, carnaval u otras diversiones, incluidos los de magia y artículos sorpresa."/>
    <s v="UNIDADES"/>
    <n v="2096"/>
    <n v="125.26"/>
    <n v="136.22"/>
    <n v="11"/>
    <x v="22"/>
    <s v="ASUNCION"/>
    <s v="ATLÁNTICO"/>
    <s v="ATLÁNTICO"/>
    <s v="BARRANQUILLA"/>
    <s v="201508"/>
    <s v="6027588948867"/>
    <s v="ÚNICO"/>
    <s v="TRANSPORTE AÉREO"/>
    <s v="COLOMBIA"/>
    <s v="EXPORTACIONES DEFINITIVAS"/>
    <s v="EXPORTACIÓN DEFINITIVA DE MERCANCÍAS DE FABRICACIÓN Ó PRODUCCIÓN NACIONAL"/>
    <s v="NINGUNO"/>
    <s v="NO"/>
    <s v="Dólar de los Estados Unidos de América"/>
    <s v="CON REINTEGRO"/>
    <n v="1861.14"/>
    <n v="5410240.9199999999"/>
    <n v="0"/>
    <n v="271.8"/>
    <n v="5.33"/>
    <n v="0"/>
    <s v="AMÉRICA"/>
  </r>
  <r>
    <n v="429"/>
    <n v="2015"/>
    <n v="8"/>
    <n v="5"/>
    <s v="2015"/>
    <s v="08"/>
    <s v="05"/>
    <s v="INICIAL"/>
    <s v="20150805"/>
    <s v="6007585616379"/>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8414200000"/>
    <s v="Bombas de aire, de mano o pedal."/>
    <s v="UNIDADES"/>
    <n v="300"/>
    <n v="31.38"/>
    <n v="34.119999999999997"/>
    <n v="10"/>
    <x v="22"/>
    <s v="ASUNCION"/>
    <s v="ATLÁNTICO"/>
    <s v="ATLÁNTICO"/>
    <s v="BARRANQUILLA"/>
    <s v="201508"/>
    <s v="6027588948867"/>
    <s v="ÚNICO"/>
    <s v="TRANSPORTE AÉREO"/>
    <s v="COLOMBIA"/>
    <s v="EXPORTACIONES DEFINITIVAS"/>
    <s v="EXPORTACIÓN DEFINITIVA DE MERCANCÍAS DE FABRICACIÓN Ó PRODUCCIÓN NACIONAL"/>
    <s v="NINGUNO"/>
    <s v="NO"/>
    <s v="Dólar de los Estados Unidos de América"/>
    <s v="CON REINTEGRO"/>
    <n v="375"/>
    <n v="1090106.25"/>
    <n v="0"/>
    <n v="54.76"/>
    <n v="1.07"/>
    <n v="0"/>
    <s v="AMÉRICA"/>
  </r>
  <r>
    <n v="430"/>
    <n v="2015"/>
    <n v="8"/>
    <n v="5"/>
    <s v="2015"/>
    <s v="08"/>
    <s v="05"/>
    <s v="INICIAL"/>
    <s v="20150805"/>
    <s v="6007585616379"/>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4818300000"/>
    <s v="Manteles y servilletas, de pasta de papel, papel y guata de celulosa."/>
    <s v="KILOGRAMO"/>
    <n v="48.6"/>
    <n v="48.6"/>
    <n v="52.85"/>
    <n v="6"/>
    <x v="22"/>
    <s v="ASUNCION"/>
    <s v="ATLÁNTICO"/>
    <s v="ATLÁNTICO"/>
    <s v="BARRANQUILLA"/>
    <s v="201508"/>
    <s v="6027588948867"/>
    <s v="ÚNICO"/>
    <s v="TRANSPORTE AÉREO"/>
    <s v="COLOMBIA"/>
    <s v="EXPORTACIONES DEFINITIVAS"/>
    <s v="EXPORTACIÓN DEFINITIVA DE MERCANCÍAS DE FABRICACIÓN Ó PRODUCCIÓN NACIONAL"/>
    <s v="NINGUNO"/>
    <s v="NO"/>
    <s v="Dólar de los Estados Unidos de América"/>
    <s v="CON REINTEGRO"/>
    <n v="224.4"/>
    <n v="652319.57999999996"/>
    <n v="0"/>
    <n v="32.770000000000003"/>
    <n v="0.64"/>
    <n v="0"/>
    <s v="AMÉRICA"/>
  </r>
  <r>
    <n v="431"/>
    <n v="2015"/>
    <n v="8"/>
    <n v="5"/>
    <s v="2015"/>
    <s v="08"/>
    <s v="05"/>
    <s v="INICIAL"/>
    <s v="20150805"/>
    <s v="6007585616379"/>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3406000000"/>
    <s v="Velas, cirios y artículos similares."/>
    <s v="KILOGRAMO"/>
    <n v="10.32"/>
    <n v="10.32"/>
    <n v="11.22"/>
    <n v="2"/>
    <x v="22"/>
    <s v="ASUNCION"/>
    <s v="ATLÁNTICO"/>
    <s v="ATLÁNTICO"/>
    <s v="BARRANQUILLA"/>
    <s v="201508"/>
    <s v="6027588948867"/>
    <s v="ÚNICO"/>
    <s v="TRANSPORTE AÉREO"/>
    <s v="COLOMBIA"/>
    <s v="EXPORTACIONES DEFINITIVAS"/>
    <s v="EXPORTACIÓN DEFINITIVA DE MERCANCÍAS DE FABRICACIÓN Ó PRODUCCIÓN NACIONAL"/>
    <s v="NINGUNO"/>
    <s v="NO"/>
    <s v="Dólar de los Estados Unidos de América"/>
    <s v="CON REINTEGRO"/>
    <n v="213.06"/>
    <n v="619354.76"/>
    <n v="0"/>
    <n v="31.11"/>
    <n v="0.61"/>
    <n v="0"/>
    <s v="AMÉRICA"/>
  </r>
  <r>
    <n v="432"/>
    <n v="2015"/>
    <n v="8"/>
    <n v="5"/>
    <s v="2015"/>
    <s v="08"/>
    <s v="05"/>
    <s v="INICIAL"/>
    <s v="20150805"/>
    <s v="6007585616379"/>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4823909000"/>
    <s v="Los demás papeles, cartónes, guata de celulosa y napa de fibras de celulosa, cortados en formato; los demás artículos de pasta de papel, papel, cartón, guata de celulosa o napa de fibras de celulosa."/>
    <s v="KILOGRAMO"/>
    <n v="38.619999999999997"/>
    <n v="38.619999999999997"/>
    <n v="42"/>
    <n v="8"/>
    <x v="22"/>
    <s v="ASUNCION"/>
    <s v="ATLÁNTICO"/>
    <s v="ATLÁNTICO"/>
    <s v="BARRANQUILLA"/>
    <s v="201508"/>
    <s v="6027588948867"/>
    <s v="ÚNICO"/>
    <s v="TRANSPORTE AÉREO"/>
    <s v="COLOMBIA"/>
    <s v="EXPORTACIONES DEFINITIVAS"/>
    <s v="EXPORTACIÓN DEFINITIVA DE MERCANCÍAS DE FABRICACIÓN Ó PRODUCCIÓN NACIONAL"/>
    <s v="NINGUNO"/>
    <s v="NO"/>
    <s v="Dólar de los Estados Unidos de América"/>
    <s v="CON REINTEGRO"/>
    <n v="541.62"/>
    <n v="1574462.25"/>
    <n v="0"/>
    <n v="79.099999999999994"/>
    <n v="1.55"/>
    <n v="0"/>
    <s v="AMÉRICA"/>
  </r>
  <r>
    <n v="433"/>
    <n v="2015"/>
    <n v="8"/>
    <n v="5"/>
    <s v="2015"/>
    <s v="08"/>
    <s v="05"/>
    <s v="INICIAL"/>
    <s v="20150805"/>
    <s v="6007585616379"/>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ARAGUAY INVERSIONES S.A. (PARA-INVEST)"/>
    <s v="AZARA 197 ESQ. YEGROS"/>
    <s v="4823690000"/>
    <s v="Las demás bandejas, fuentes, platos, tazas, vasos y artículos similares, de papel o cartón."/>
    <s v="KILOGRAMO"/>
    <n v="36.56"/>
    <n v="36.56"/>
    <n v="39.76"/>
    <n v="7"/>
    <x v="22"/>
    <s v="ASUNCION"/>
    <s v="ATLÁNTICO"/>
    <s v="ATLÁNTICO"/>
    <s v="BARRANQUILLA"/>
    <s v="201508"/>
    <s v="6027588948867"/>
    <s v="ÚNICO"/>
    <s v="TRANSPORTE AÉREO"/>
    <s v="COLOMBIA"/>
    <s v="EXPORTACIONES DEFINITIVAS"/>
    <s v="EXPORTACIÓN DEFINITIVA DE MERCANCÍAS DE FABRICACIÓN Ó PRODUCCIÓN NACIONAL"/>
    <s v="NINGUNO"/>
    <s v="NO"/>
    <s v="Dólar de los Estados Unidos de América"/>
    <s v="CON REINTEGRO"/>
    <n v="459"/>
    <n v="1334290.05"/>
    <n v="0"/>
    <n v="67.03"/>
    <n v="1.32"/>
    <n v="0"/>
    <s v="AMÉRICA"/>
  </r>
  <r>
    <n v="434"/>
    <n v="2015"/>
    <n v="8"/>
    <n v="12"/>
    <s v="2015"/>
    <s v="08"/>
    <s v="12"/>
    <s v="INICIAL"/>
    <s v="20150812"/>
    <s v="600758570753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3923299000"/>
    <s v="Sacos (bolsas), bolsitas y cucuruchos."/>
    <s v="UNIDADES"/>
    <n v="2000"/>
    <n v="17.57"/>
    <n v="18.5"/>
    <n v="1"/>
    <x v="17"/>
    <s v="SEOUL"/>
    <s v="ATLÁNTICO"/>
    <s v="ATLÁNTICO"/>
    <s v="BARRANQUILLA"/>
    <s v="201508"/>
    <s v="6027589060905"/>
    <s v="ÚNICO"/>
    <s v="TRANSPORTE MARÍTIMO"/>
    <s v="PANAMÁ"/>
    <s v="EXPORTACIONES DEFINITIVAS"/>
    <s v="EXPORTACIÓN DEFINITIVA DE MERCANCÍAS DE FABRICACIÓN Ó PRODUCCIÓN NACIONAL"/>
    <s v="NINGUNO"/>
    <s v="NO"/>
    <s v="Dólar de los Estados Unidos de América"/>
    <s v="CON REINTEGRO"/>
    <n v="120"/>
    <n v="353276.4"/>
    <n v="0"/>
    <n v="50"/>
    <n v="12"/>
    <n v="0"/>
    <s v="ASIA"/>
  </r>
  <r>
    <n v="435"/>
    <n v="2015"/>
    <n v="8"/>
    <n v="12"/>
    <s v="2015"/>
    <s v="08"/>
    <s v="12"/>
    <s v="INICIAL"/>
    <s v="20150812"/>
    <s v="600758570752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27000"/>
    <n v="103.71"/>
    <n v="112.48"/>
    <n v="4"/>
    <x v="17"/>
    <s v="SEOUL"/>
    <s v="ATLÁNTICO"/>
    <s v="ATLÁNTICO"/>
    <s v="BARRANQUILLA"/>
    <s v="201508"/>
    <s v="6027589057961"/>
    <s v="ÚNICO"/>
    <s v="TRANSPORTE MARÍTIMO"/>
    <s v="PANAMÁ"/>
    <s v="EXPORTACIONES DEFINITIVAS"/>
    <s v="EXPORTACIÓN DEFINITIVA DE MERCANCÍAS DE FABRICACIÓN Ó PRODUCCIÓN NACIONAL"/>
    <s v="NINGUNO"/>
    <s v="NO"/>
    <s v="Dólar de los Estados Unidos de América"/>
    <s v="CON REINTEGRO"/>
    <n v="2214"/>
    <n v="6517949.5800000001"/>
    <n v="0"/>
    <n v="35.380000000000003"/>
    <n v="5.62"/>
    <n v="6"/>
    <s v="ASIA"/>
  </r>
  <r>
    <n v="436"/>
    <n v="2015"/>
    <n v="8"/>
    <n v="12"/>
    <s v="2015"/>
    <s v="08"/>
    <s v="12"/>
    <s v="INICIAL"/>
    <s v="20150812"/>
    <s v="600758570752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58200"/>
    <n v="246.38"/>
    <n v="267.22000000000003"/>
    <n v="3"/>
    <x v="17"/>
    <s v="SEOUL"/>
    <s v="ATLÁNTICO"/>
    <s v="ATLÁNTICO"/>
    <s v="BARRANQUILLA"/>
    <s v="201508"/>
    <s v="6027589057961"/>
    <s v="ÚNICO"/>
    <s v="TRANSPORTE MARÍTIMO"/>
    <s v="PANAMÁ"/>
    <s v="EXPORTACIONES DEFINITIVAS"/>
    <s v="EXPORTACIÓN DEFINITIVA DE MERCANCÍAS DE FABRICACIÓN Ó PRODUCCIÓN NACIONAL"/>
    <s v="NINGUNO"/>
    <s v="NO"/>
    <s v="Dólar de los Estados Unidos de América"/>
    <s v="CON REINTEGRO"/>
    <n v="5609.4"/>
    <n v="16513905.310000001"/>
    <n v="0"/>
    <n v="89.65"/>
    <n v="14.25"/>
    <n v="15.2"/>
    <s v="ASIA"/>
  </r>
  <r>
    <n v="437"/>
    <n v="2015"/>
    <n v="8"/>
    <n v="12"/>
    <s v="2015"/>
    <s v="08"/>
    <s v="12"/>
    <s v="INICIAL"/>
    <s v="20150812"/>
    <s v="600758570752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504000"/>
    <n v="1449.32"/>
    <n v="1571.91"/>
    <n v="2"/>
    <x v="17"/>
    <s v="SEOUL"/>
    <s v="ATLÁNTICO"/>
    <s v="ATLÁNTICO"/>
    <s v="BARRANQUILLA"/>
    <s v="201508"/>
    <s v="6027589057961"/>
    <s v="ÚNICO"/>
    <s v="TRANSPORTE MARÍTIMO"/>
    <s v="PANAMÁ"/>
    <s v="EXPORTACIONES DEFINITIVAS"/>
    <s v="EXPORTACIÓN DEFINITIVA DE MERCANCÍAS DE FABRICACIÓN Ó PRODUCCIÓN NACIONAL"/>
    <s v="NINGUNO"/>
    <s v="NO"/>
    <s v="Dólar de los Estados Unidos de América"/>
    <s v="CON REINTEGRO"/>
    <n v="17799.2"/>
    <n v="52400310.82"/>
    <n v="0"/>
    <n v="284.45999999999998"/>
    <n v="45.21"/>
    <n v="48.22"/>
    <s v="ASIA"/>
  </r>
  <r>
    <n v="438"/>
    <n v="2015"/>
    <n v="8"/>
    <n v="12"/>
    <s v="2015"/>
    <s v="08"/>
    <s v="12"/>
    <s v="INICIAL"/>
    <s v="20150812"/>
    <s v="600758566191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COMERCIAL REUTTER S.A."/>
    <s v="AV. EL SALTO 4447, HUECHURABA"/>
    <s v="9503009910"/>
    <s v="Globos de latex de caucho natural."/>
    <s v="UNIDADES"/>
    <n v="7017500"/>
    <n v="12958.13"/>
    <n v="15347.3"/>
    <n v="1"/>
    <x v="9"/>
    <s v="SANTIAGO"/>
    <s v="ATLÁNTICO"/>
    <s v="ATLÁNTICO"/>
    <s v="BARRANQUILLA"/>
    <s v="201508"/>
    <s v="6027588682868"/>
    <s v="ÚNICO"/>
    <s v="TRANSPORTE MARÍTIMO"/>
    <s v="PANAMÁ"/>
    <s v="EXPORTACIONES DEFINITIVAS"/>
    <s v="EXPORTACIÓN DEFINITIVA DE MERCANCÍAS DE FABRICACIÓN Ó PRODUCCIÓN NACIONAL"/>
    <s v="ALADI"/>
    <s v="NO"/>
    <s v="Dólar de los Estados Unidos de América"/>
    <s v="CON REINTEGRO"/>
    <n v="175315"/>
    <n v="516122100.55000001"/>
    <n v="0"/>
    <n v="0"/>
    <n v="0"/>
    <n v="0"/>
    <s v="AMÉRICA"/>
  </r>
  <r>
    <n v="439"/>
    <n v="2015"/>
    <n v="8"/>
    <n v="12"/>
    <s v="2015"/>
    <s v="08"/>
    <s v="12"/>
    <s v="INICIAL"/>
    <s v="20150812"/>
    <s v="600758566183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LMACENES ESTUARDO SANCHEZ S.A."/>
    <s v="SUCRE 828 Y L DE GARAICOA"/>
    <s v="9503009910"/>
    <s v="Globos de latex de caucho natural."/>
    <s v="UNIDADES"/>
    <n v="15000"/>
    <n v="55.15"/>
    <n v="60.01"/>
    <n v="4"/>
    <x v="10"/>
    <s v="GUAYAQUIL"/>
    <s v="ATLÁNTICO"/>
    <s v="ATLÁNTICO"/>
    <s v="BARRANQUILLA"/>
    <s v="201508"/>
    <s v="6027588599731"/>
    <s v="ÚNICO"/>
    <s v="TRANSPORTE MARÍTIMO"/>
    <s v="PANAMÁ"/>
    <s v="EXPORTACIONES DEFINITIVAS"/>
    <s v="EXPORTACIÓN DEFINITIVA DE MERCANCÍAS DE FABRICACIÓN Ó PRODUCCIÓN NACIONAL"/>
    <s v="CAN"/>
    <s v="NO"/>
    <s v="Dólar de los Estados Unidos de América"/>
    <s v="CON REINTEGRO"/>
    <n v="1290"/>
    <n v="3797721.3"/>
    <n v="0"/>
    <n v="0"/>
    <n v="0"/>
    <n v="0"/>
    <s v="AMÉRICA"/>
  </r>
  <r>
    <n v="440"/>
    <n v="2015"/>
    <n v="8"/>
    <n v="12"/>
    <s v="2015"/>
    <s v="08"/>
    <s v="12"/>
    <s v="INICIAL"/>
    <s v="20150812"/>
    <s v="600758566183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LMACENES ESTUARDO SANCHEZ S.A."/>
    <s v="SUCRE 828 Y L DE GARAICOA"/>
    <s v="9503009910"/>
    <s v="Globos de latex de caucho natural."/>
    <s v="UNIDADES"/>
    <n v="685500"/>
    <n v="2547.79"/>
    <n v="2772.73"/>
    <n v="3"/>
    <x v="10"/>
    <s v="GUAYAQUIL"/>
    <s v="ATLÁNTICO"/>
    <s v="ATLÁNTICO"/>
    <s v="BARRANQUILLA"/>
    <s v="201508"/>
    <s v="6027588599731"/>
    <s v="ÚNICO"/>
    <s v="TRANSPORTE MARÍTIMO"/>
    <s v="PANAMÁ"/>
    <s v="EXPORTACIONES DEFINITIVAS"/>
    <s v="EXPORTACIÓN DEFINITIVA DE MERCANCÍAS DE FABRICACIÓN Ó PRODUCCIÓN NACIONAL"/>
    <s v="CAN"/>
    <s v="NO"/>
    <s v="Dólar de los Estados Unidos de América"/>
    <s v="CON REINTEGRO"/>
    <n v="63312"/>
    <n v="186388628.63999999"/>
    <n v="0"/>
    <n v="0"/>
    <n v="0"/>
    <n v="0"/>
    <s v="AMÉRICA"/>
  </r>
  <r>
    <n v="441"/>
    <n v="2015"/>
    <n v="8"/>
    <n v="12"/>
    <s v="2015"/>
    <s v="08"/>
    <s v="12"/>
    <s v="INICIAL"/>
    <s v="20150812"/>
    <s v="600758566183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LMACENES ESTUARDO SANCHEZ S.A."/>
    <s v="SUCRE 828 Y L DE GARAICOA"/>
    <s v="9503009910"/>
    <s v="Globos de latex de caucho natural."/>
    <s v="UNIDADES"/>
    <n v="1586000"/>
    <n v="3030.43"/>
    <n v="3297.98"/>
    <n v="2"/>
    <x v="10"/>
    <s v="GUAYAQUIL"/>
    <s v="ATLÁNTICO"/>
    <s v="ATLÁNTICO"/>
    <s v="BARRANQUILLA"/>
    <s v="201508"/>
    <s v="6027588599731"/>
    <s v="ÚNICO"/>
    <s v="TRANSPORTE MARÍTIMO"/>
    <s v="PANAMÁ"/>
    <s v="EXPORTACIONES DEFINITIVAS"/>
    <s v="EXPORTACIÓN DEFINITIVA DE MERCANCÍAS DE FABRICACIÓN Ó PRODUCCIÓN NACIONAL"/>
    <s v="CAN"/>
    <s v="NO"/>
    <s v="Dólar de los Estados Unidos de América"/>
    <s v="CON REINTEGRO"/>
    <n v="38152"/>
    <n v="112318343.44"/>
    <n v="0"/>
    <n v="0"/>
    <n v="0"/>
    <n v="0"/>
    <s v="AMÉRICA"/>
  </r>
  <r>
    <n v="442"/>
    <n v="2015"/>
    <n v="8"/>
    <n v="12"/>
    <s v="2015"/>
    <s v="08"/>
    <s v="12"/>
    <s v="INICIAL"/>
    <s v="20150812"/>
    <s v="600758566183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LMACENES ESTUARDO SANCHEZ S.A."/>
    <s v="SUCRE 828 Y L DE GARAICOA"/>
    <s v="9503009910"/>
    <s v="Globos de latex de caucho natural."/>
    <s v="UNIDADES"/>
    <n v="4244600"/>
    <n v="8460.57"/>
    <n v="9207.5400000000009"/>
    <n v="1"/>
    <x v="10"/>
    <s v="GUAYAQUIL"/>
    <s v="ATLÁNTICO"/>
    <s v="ATLÁNTICO"/>
    <s v="BARRANQUILLA"/>
    <s v="201508"/>
    <s v="6027588599731"/>
    <s v="ÚNICO"/>
    <s v="TRANSPORTE MARÍTIMO"/>
    <s v="PANAMÁ"/>
    <s v="EXPORTACIONES DEFINITIVAS"/>
    <s v="EXPORTACIÓN DEFINITIVA DE MERCANCÍAS DE FABRICACIÓN Ó PRODUCCIÓN NACIONAL"/>
    <s v="CAN"/>
    <s v="NO"/>
    <s v="Dólar de los Estados Unidos de América"/>
    <s v="CON REINTEGRO"/>
    <n v="99531.199999999997"/>
    <n v="293016866.86000001"/>
    <n v="0"/>
    <n v="0"/>
    <n v="0"/>
    <n v="0"/>
    <s v="AMÉRICA"/>
  </r>
  <r>
    <n v="443"/>
    <n v="2015"/>
    <n v="8"/>
    <n v="12"/>
    <s v="2015"/>
    <s v="08"/>
    <s v="12"/>
    <s v="INICIAL"/>
    <s v="20150812"/>
    <s v="600758570752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993000"/>
    <n v="2697.38"/>
    <n v="2925.54"/>
    <n v="1"/>
    <x v="17"/>
    <s v="SEOUL"/>
    <s v="ATLÁNTICO"/>
    <s v="ATLÁNTICO"/>
    <s v="BARRANQUILLA"/>
    <s v="201508"/>
    <s v="6027589057961"/>
    <s v="ÚNICO"/>
    <s v="TRANSPORTE MARÍTIMO"/>
    <s v="PANAMÁ"/>
    <s v="EXPORTACIONES DEFINITIVAS"/>
    <s v="EXPORTACIÓN DEFINITIVA DE MERCANCÍAS DE FABRICACIÓN Ó PRODUCCIÓN NACIONAL"/>
    <s v="NINGUNO"/>
    <s v="NO"/>
    <s v="Dólar de los Estados Unidos de América"/>
    <s v="CON REINTEGRO"/>
    <n v="36949.800000000003"/>
    <n v="108779102.7"/>
    <n v="0"/>
    <n v="590.51"/>
    <n v="93.85"/>
    <n v="100.11"/>
    <s v="ASIA"/>
  </r>
  <r>
    <n v="444"/>
    <n v="2015"/>
    <n v="8"/>
    <n v="12"/>
    <s v="2015"/>
    <s v="08"/>
    <s v="12"/>
    <s v="INICIAL"/>
    <s v="20150812"/>
    <s v="6007585760572"/>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FIVE STAR QUALITY PRODUCTS"/>
    <s v="130 NEWTON ROAD,WETHERILL PARK 2164;SYDNEY NSW"/>
    <s v="9503009910"/>
    <s v="Globos de latex de caucho natural."/>
    <s v="UNIDADES"/>
    <n v="82500"/>
    <n v="310.26"/>
    <n v="344.99"/>
    <n v="4"/>
    <x v="5"/>
    <s v="SYDNEY"/>
    <s v="ATLÁNTICO"/>
    <s v="ATLÁNTICO"/>
    <s v="CARTAGENA"/>
    <s v="201508"/>
    <s v="6027587727668"/>
    <s v="ÚNICO"/>
    <s v="TRANSPORTE MARÍTIMO"/>
    <s v="LÍBANO"/>
    <s v="EXPORTACIONES DEFINITIVAS"/>
    <s v="EXPORTACIÓN DEFINITIVA DE MERCANCÍAS DE FABRICACIÓN Ó PRODUCCIÓN NACIONAL"/>
    <s v="NINGUNO"/>
    <s v="NO"/>
    <s v="Dólar de los Estados Unidos de América"/>
    <s v="CON REINTEGRO"/>
    <n v="9075"/>
    <n v="26716527.75"/>
    <n v="0"/>
    <n v="0"/>
    <n v="0"/>
    <n v="0"/>
    <s v="OCEANÍA"/>
  </r>
  <r>
    <n v="445"/>
    <n v="2015"/>
    <n v="8"/>
    <n v="12"/>
    <s v="2015"/>
    <s v="08"/>
    <s v="12"/>
    <s v="INICIAL"/>
    <s v="20150812"/>
    <s v="6007585760572"/>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FIVE STAR QUALITY PRODUCTS"/>
    <s v="130 NEWTON ROAD,WETHERILL PARK 2164;SYDNEY NSW"/>
    <s v="9503009910"/>
    <s v="Globos de latex de caucho natural."/>
    <s v="UNIDADES"/>
    <n v="886600"/>
    <n v="2762.02"/>
    <n v="3071.25"/>
    <n v="2"/>
    <x v="5"/>
    <s v="SYDNEY"/>
    <s v="ATLÁNTICO"/>
    <s v="ATLÁNTICO"/>
    <s v="CARTAGENA"/>
    <s v="201508"/>
    <s v="6027587727668"/>
    <s v="ÚNICO"/>
    <s v="TRANSPORTE MARÍTIMO"/>
    <s v="LÍBANO"/>
    <s v="EXPORTACIONES DEFINITIVAS"/>
    <s v="EXPORTACIÓN DEFINITIVA DE MERCANCÍAS DE FABRICACIÓN Ó PRODUCCIÓN NACIONAL"/>
    <s v="NINGUNO"/>
    <s v="NO"/>
    <s v="Dólar de los Estados Unidos de América"/>
    <s v="CON REINTEGRO"/>
    <n v="44822"/>
    <n v="131954623.34"/>
    <n v="0"/>
    <n v="0"/>
    <n v="0"/>
    <n v="0"/>
    <s v="OCEANÍA"/>
  </r>
  <r>
    <n v="446"/>
    <n v="2015"/>
    <n v="8"/>
    <n v="12"/>
    <s v="2015"/>
    <s v="08"/>
    <s v="12"/>
    <s v="INICIAL"/>
    <s v="20150812"/>
    <s v="6007585760572"/>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FIVE STAR QUALITY PRODUCTS"/>
    <s v="130 NEWTON ROAD,WETHERILL PARK 2164;SYDNEY NSW"/>
    <s v="9503009910"/>
    <s v="Globos de latex de caucho natural."/>
    <s v="UNIDADES"/>
    <n v="348900"/>
    <n v="1095.33"/>
    <n v="1217.96"/>
    <n v="1"/>
    <x v="5"/>
    <s v="SYDNEY"/>
    <s v="ATLÁNTICO"/>
    <s v="ATLÁNTICO"/>
    <s v="CARTAGENA"/>
    <s v="201508"/>
    <s v="6027587727668"/>
    <s v="ÚNICO"/>
    <s v="TRANSPORTE MARÍTIMO"/>
    <s v="LÍBANO"/>
    <s v="EXPORTACIONES DEFINITIVAS"/>
    <s v="EXPORTACIÓN DEFINITIVA DE MERCANCÍAS DE FABRICACIÓN Ó PRODUCCIÓN NACIONAL"/>
    <s v="NINGUNO"/>
    <s v="NO"/>
    <s v="Dólar de los Estados Unidos de América"/>
    <s v="CON REINTEGRO"/>
    <n v="17727.2"/>
    <n v="52188344.979999997"/>
    <n v="0"/>
    <n v="0"/>
    <n v="0"/>
    <n v="0"/>
    <s v="OCEANÍA"/>
  </r>
  <r>
    <n v="447"/>
    <n v="2015"/>
    <n v="8"/>
    <n v="12"/>
    <s v="2015"/>
    <s v="08"/>
    <s v="12"/>
    <s v="INICIAL"/>
    <s v="20150812"/>
    <s v="6007585760572"/>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FIVE STAR QUALITY PRODUCTS"/>
    <s v="130 NEWTON ROAD,WETHERILL PARK 2164;SYDNEY NSW"/>
    <s v="9503009910"/>
    <s v="Globos de latex de caucho natural."/>
    <s v="UNIDADES"/>
    <n v="37440"/>
    <n v="139.41"/>
    <n v="155.01"/>
    <n v="3"/>
    <x v="5"/>
    <s v="SYDNEY"/>
    <s v="ATLÁNTICO"/>
    <s v="ATLÁNTICO"/>
    <s v="CARTAGENA"/>
    <s v="201508"/>
    <s v="6027587727668"/>
    <s v="ÚNICO"/>
    <s v="TRANSPORTE MARÍTIMO"/>
    <s v="LÍBANO"/>
    <s v="EXPORTACIONES DEFINITIVAS"/>
    <s v="EXPORTACIÓN DEFINITIVA DE MERCANCÍAS DE FABRICACIÓN Ó PRODUCCIÓN NACIONAL"/>
    <s v="NINGUNO"/>
    <s v="NO"/>
    <s v="Dólar de los Estados Unidos de América"/>
    <s v="CON REINTEGRO"/>
    <n v="4207.2"/>
    <n v="12385870.58"/>
    <n v="0"/>
    <n v="0"/>
    <n v="0"/>
    <n v="0"/>
    <s v="OCEANÍA"/>
  </r>
  <r>
    <n v="448"/>
    <n v="2015"/>
    <n v="8"/>
    <n v="12"/>
    <s v="2015"/>
    <s v="08"/>
    <s v="12"/>
    <s v="INICIAL"/>
    <s v="20150812"/>
    <s v="600758555174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67000"/>
    <n v="207.21"/>
    <n v="224.66"/>
    <n v="3"/>
    <x v="12"/>
    <s v="KUALA LUMPUR"/>
    <s v="ATLÁNTICO"/>
    <s v="ATLÁNTICO"/>
    <s v="BARRANQUILLA"/>
    <s v="201508"/>
    <s v="6027588598457"/>
    <s v="ÚNICO"/>
    <s v="TRANSPORTE MARÍTIMO"/>
    <s v="PANAMÁ"/>
    <s v="EXPORTACIONES DEFINITIVAS"/>
    <s v="EXPORTACIÓN DEFINITIVA DE MERCANCÍAS DE FABRICACIÓN Ó PRODUCCIÓN NACIONAL"/>
    <s v="NINGUNO"/>
    <s v="NO"/>
    <s v="Dólar de los Estados Unidos de América"/>
    <s v="CON REINTEGRO"/>
    <n v="5121"/>
    <n v="15076070.369999999"/>
    <n v="0"/>
    <n v="100.03"/>
    <n v="13.05"/>
    <n v="0"/>
    <s v="ASIA"/>
  </r>
  <r>
    <n v="449"/>
    <n v="2015"/>
    <n v="8"/>
    <n v="12"/>
    <s v="2015"/>
    <s v="08"/>
    <s v="12"/>
    <s v="INICIAL"/>
    <s v="20150812"/>
    <s v="600758555174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755250"/>
    <n v="2214.67"/>
    <n v="2401.25"/>
    <n v="1"/>
    <x v="12"/>
    <s v="KUALA LUMPUR"/>
    <s v="ATLÁNTICO"/>
    <s v="ATLÁNTICO"/>
    <s v="BARRANQUILLA"/>
    <s v="201508"/>
    <s v="6027588598457"/>
    <s v="ÚNICO"/>
    <s v="TRANSPORTE MARÍTIMO"/>
    <s v="PANAMÁ"/>
    <s v="EXPORTACIONES DEFINITIVAS"/>
    <s v="EXPORTACIÓN DEFINITIVA DE MERCANCÍAS DE FABRICACIÓN Ó PRODUCCIÓN NACIONAL"/>
    <s v="NINGUNO"/>
    <s v="NO"/>
    <s v="Dólar de los Estados Unidos de América"/>
    <s v="CON REINTEGRO"/>
    <n v="32787"/>
    <n v="96523944.390000001"/>
    <n v="0"/>
    <n v="640.45000000000005"/>
    <n v="83.57"/>
    <n v="0"/>
    <s v="ASIA"/>
  </r>
  <r>
    <n v="450"/>
    <n v="2015"/>
    <n v="8"/>
    <n v="12"/>
    <s v="2015"/>
    <s v="08"/>
    <s v="12"/>
    <s v="INICIAL"/>
    <s v="20150812"/>
    <s v="600758555174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1391750"/>
    <n v="4040.81"/>
    <n v="4381.24"/>
    <n v="2"/>
    <x v="12"/>
    <s v="KUALA LUMPUR"/>
    <s v="ATLÁNTICO"/>
    <s v="ATLÁNTICO"/>
    <s v="BARRANQUILLA"/>
    <s v="201508"/>
    <s v="6027588598457"/>
    <s v="ÚNICO"/>
    <s v="TRANSPORTE MARÍTIMO"/>
    <s v="PANAMÁ"/>
    <s v="EXPORTACIONES DEFINITIVAS"/>
    <s v="EXPORTACIÓN DEFINITIVA DE MERCANCÍAS DE FABRICACIÓN Ó PRODUCCIÓN NACIONAL"/>
    <s v="NINGUNO"/>
    <s v="NO"/>
    <s v="Dólar de los Estados Unidos de América"/>
    <s v="CON REINTEGRO"/>
    <n v="53718.5"/>
    <n v="158145652.44"/>
    <n v="0"/>
    <n v="1049.32"/>
    <n v="136.91999999999999"/>
    <n v="0"/>
    <s v="ASIA"/>
  </r>
  <r>
    <n v="451"/>
    <n v="2015"/>
    <n v="8"/>
    <n v="12"/>
    <s v="2015"/>
    <s v="08"/>
    <s v="12"/>
    <s v="INICIAL"/>
    <s v="20150812"/>
    <s v="600758555174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6000"/>
    <n v="23.34"/>
    <n v="25.3"/>
    <n v="4"/>
    <x v="12"/>
    <s v="KUALA LUMPUR"/>
    <s v="ATLÁNTICO"/>
    <s v="ATLÁNTICO"/>
    <s v="BARRANQUILLA"/>
    <s v="201508"/>
    <s v="6027588598457"/>
    <s v="ÚNICO"/>
    <s v="TRANSPORTE MARÍTIMO"/>
    <s v="PANAMÁ"/>
    <s v="EXPORTACIONES DEFINITIVAS"/>
    <s v="EXPORTACIÓN DEFINITIVA DE MERCANCÍAS DE FABRICACIÓN Ó PRODUCCIÓN NACIONAL"/>
    <s v="NINGUNO"/>
    <s v="NO"/>
    <s v="Dólar de los Estados Unidos de América"/>
    <s v="CON REINTEGRO"/>
    <n v="522"/>
    <n v="1536752.34"/>
    <n v="0"/>
    <n v="10.199999999999999"/>
    <n v="1.33"/>
    <n v="0"/>
    <s v="ASIA"/>
  </r>
  <r>
    <n v="452"/>
    <n v="2015"/>
    <n v="8"/>
    <n v="12"/>
    <s v="2015"/>
    <s v="08"/>
    <s v="12"/>
    <s v="INICIAL"/>
    <s v="20150812"/>
    <s v="600758578493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OYLAND-KUWAIT"/>
    <s v="TOYLAND, SHAKER AL KAZEMI BUILDING, NO 8, OFFICE NO 26, 3 RD FLOOR, KHALID IBN W"/>
    <s v="9503009910"/>
    <s v="Globos de latex de caucho natural."/>
    <s v="UNIDADES"/>
    <n v="603900"/>
    <n v="1625.46"/>
    <n v="1750.16"/>
    <n v="1"/>
    <x v="39"/>
    <s v="SHARQ"/>
    <s v="ATLÁNTICO"/>
    <s v="ATLÁNTICO"/>
    <s v="CARTAGENA"/>
    <s v="201508"/>
    <s v="6027588375308"/>
    <s v="ÚNICO"/>
    <s v="TRANSPORTE MARÍTIMO"/>
    <s v="HONG KONG"/>
    <s v="EXPORTACIONES DEFINITIVAS"/>
    <s v="EXPORTACIÓN DEFINITIVA DE MERCANCÍAS DE FABRICACIÓN Ó PRODUCCIÓN NACIONAL"/>
    <s v="NINGUNO"/>
    <s v="NO"/>
    <s v="Dólar de los Estados Unidos de América"/>
    <s v="CON REINTEGRO"/>
    <n v="26451.75"/>
    <n v="77873158.439999998"/>
    <n v="0"/>
    <n v="0"/>
    <n v="0"/>
    <n v="0"/>
    <s v="ASIA"/>
  </r>
  <r>
    <n v="453"/>
    <n v="2015"/>
    <n v="8"/>
    <n v="12"/>
    <s v="2015"/>
    <s v="08"/>
    <s v="12"/>
    <s v="INICIAL"/>
    <s v="20150812"/>
    <s v="600758578493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OYLAND-KUWAIT"/>
    <s v="TOYLAND, SHAKER AL KAZEMI BUILDING, NO 8, OFFICE NO 26, 3 RD FLOOR, KHALID IBN W"/>
    <s v="9503009910"/>
    <s v="Globos de latex de caucho natural."/>
    <s v="UNIDADES"/>
    <n v="83900"/>
    <n v="424.31"/>
    <n v="456.86"/>
    <n v="3"/>
    <x v="39"/>
    <s v="SHARQ"/>
    <s v="ATLÁNTICO"/>
    <s v="ATLÁNTICO"/>
    <s v="CARTAGENA"/>
    <s v="201508"/>
    <s v="6027588375308"/>
    <s v="ÚNICO"/>
    <s v="TRANSPORTE MARÍTIMO"/>
    <s v="HONG KONG"/>
    <s v="EXPORTACIONES DEFINITIVAS"/>
    <s v="EXPORTACIÓN DEFINITIVA DE MERCANCÍAS DE FABRICACIÓN Ó PRODUCCIÓN NACIONAL"/>
    <s v="NINGUNO"/>
    <s v="NO"/>
    <s v="Dólar de los Estados Unidos de América"/>
    <s v="CON REINTEGRO"/>
    <n v="13255"/>
    <n v="39022322.350000001"/>
    <n v="0"/>
    <n v="0"/>
    <n v="0"/>
    <n v="0"/>
    <s v="ASIA"/>
  </r>
  <r>
    <n v="454"/>
    <n v="2015"/>
    <n v="8"/>
    <n v="12"/>
    <s v="2015"/>
    <s v="08"/>
    <s v="12"/>
    <s v="INICIAL"/>
    <s v="20150812"/>
    <s v="600758578493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OYLAND-KUWAIT"/>
    <s v="TOYLAND, SHAKER AL KAZEMI BUILDING, NO 8, OFFICE NO 26, 3 RD FLOOR, KHALID IBN W"/>
    <s v="9503009910"/>
    <s v="Globos de latex de caucho natural."/>
    <s v="UNIDADES"/>
    <n v="54800"/>
    <n v="168.59"/>
    <n v="181.52"/>
    <n v="2"/>
    <x v="39"/>
    <s v="SHARQ"/>
    <s v="ATLÁNTICO"/>
    <s v="ATLÁNTICO"/>
    <s v="CARTAGENA"/>
    <s v="201508"/>
    <s v="6027588375308"/>
    <s v="ÚNICO"/>
    <s v="TRANSPORTE MARÍTIMO"/>
    <s v="HONG KONG"/>
    <s v="EXPORTACIONES DEFINITIVAS"/>
    <s v="EXPORTACIÓN DEFINITIVA DE MERCANCÍAS DE FABRICACIÓN Ó PRODUCCIÓN NACIONAL"/>
    <s v="NINGUNO"/>
    <s v="NO"/>
    <s v="Dólar de los Estados Unidos de América"/>
    <s v="CON REINTEGRO"/>
    <n v="2995"/>
    <n v="8817190.1500000004"/>
    <n v="0"/>
    <n v="0"/>
    <n v="0"/>
    <n v="0"/>
    <s v="ASIA"/>
  </r>
  <r>
    <n v="455"/>
    <n v="2015"/>
    <n v="8"/>
    <n v="12"/>
    <s v="2015"/>
    <s v="08"/>
    <s v="12"/>
    <s v="INICIAL"/>
    <s v="20150812"/>
    <s v="600758581073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UZUKI LATEX INDUSTRY CO, LTD."/>
    <s v="1-9-1, NAKASE, MIHAMA-KU, CHIBA261-0023, JAPAN"/>
    <s v="9503009910"/>
    <s v="Globos de latex de caucho natural."/>
    <s v="UNIDADES"/>
    <n v="2898500"/>
    <n v="6099"/>
    <n v="6645.84"/>
    <n v="1"/>
    <x v="8"/>
    <s v="YOKOHAMA"/>
    <s v="ATLÁNTICO"/>
    <s v="ATLÁNTICO"/>
    <s v="BARRANQUILLA"/>
    <s v="201508"/>
    <s v="6027588981417"/>
    <s v="ÚNICO"/>
    <s v="TRANSPORTE MARÍTIMO"/>
    <s v="LIBERIA"/>
    <s v="EXPORTACIONES DEFINITIVAS"/>
    <s v="EXPORTACIÓN DEFINITIVA DE MERCANCÍAS DE FABRICACIÓN Ó PRODUCCIÓN NACIONAL"/>
    <s v="NINGUNO"/>
    <s v="NO"/>
    <s v="Dólar de los Estados Unidos de América"/>
    <s v="CON REINTEGRO"/>
    <n v="96758.7"/>
    <n v="284854710.02999997"/>
    <n v="0"/>
    <n v="900"/>
    <n v="244.15"/>
    <n v="0"/>
    <s v="ASIA"/>
  </r>
  <r>
    <n v="456"/>
    <n v="2015"/>
    <n v="8"/>
    <n v="12"/>
    <s v="2015"/>
    <s v="08"/>
    <s v="12"/>
    <s v="INICIAL"/>
    <s v="20150812"/>
    <s v="600758570723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LD ORIENTAL CO., LTD."/>
    <s v="OSAKA-FU IZUMISANO-SHI AOI-CHO 4-6-45"/>
    <s v="9503009910"/>
    <s v="Globos de latex de caucho natural."/>
    <s v="UNIDADES"/>
    <n v="1581500"/>
    <n v="8560.66"/>
    <n v="9107.5"/>
    <n v="1"/>
    <x v="8"/>
    <s v="OSAKA"/>
    <s v="ATLÁNTICO"/>
    <s v="ATLÁNTICO"/>
    <s v="BARRANQUILLA"/>
    <s v="201508"/>
    <s v="6027588418118"/>
    <s v="ÚNICO"/>
    <s v="TRANSPORTE MARÍTIMO"/>
    <s v="PANAMÁ"/>
    <s v="EXPORTACIONES DEFINITIVAS"/>
    <s v="EXPORTACIÓN DEFINITIVA DE MERCANCÍAS DE FABRICACIÓN Ó PRODUCCIÓN NACIONAL"/>
    <s v="NINGUNO"/>
    <s v="NO"/>
    <s v="Dólar de los Estados Unidos de América"/>
    <s v="CON REINTEGRO"/>
    <n v="191560"/>
    <n v="563946893.20000005"/>
    <n v="0"/>
    <n v="1100"/>
    <n v="481.65"/>
    <n v="0"/>
    <s v="ASIA"/>
  </r>
  <r>
    <n v="457"/>
    <n v="2015"/>
    <n v="8"/>
    <n v="12"/>
    <s v="2015"/>
    <s v="08"/>
    <s v="12"/>
    <s v="INICIAL"/>
    <s v="20150812"/>
    <s v="60075857073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NARANJA INC"/>
    <s v="1-53-10-1E ITABASHI ITABASHI-KU TOKYO 173-0004"/>
    <s v="9503009910"/>
    <s v="Globos de latex de caucho natural."/>
    <s v="UNIDADES"/>
    <n v="45000"/>
    <n v="87.22"/>
    <n v="95.4"/>
    <n v="3"/>
    <x v="8"/>
    <s v="TOKYO"/>
    <s v="ATLÁNTICO"/>
    <s v="ATLÁNTICO"/>
    <s v="BARRANQUILLA"/>
    <s v="201508"/>
    <s v="6027588692450"/>
    <s v="ÚNICO"/>
    <s v="TRANSPORTE MARÍTIMO"/>
    <s v="PANAMÁ"/>
    <s v="EXPORTACIONES DEFINITIVAS"/>
    <s v="EXPORTACIÓN DEFINITIVA DE MERCANCÍAS DE FABRICACIÓN Ó PRODUCCIÓN NACIONAL"/>
    <s v="NINGUNO"/>
    <s v="NO"/>
    <s v="Dólar de los Estados Unidos de América"/>
    <s v="CON REINTEGRO"/>
    <n v="3298.5"/>
    <n v="9710685.0399999991"/>
    <n v="0"/>
    <n v="76.63"/>
    <n v="8.44"/>
    <n v="0"/>
    <s v="ASIA"/>
  </r>
  <r>
    <n v="458"/>
    <n v="2015"/>
    <n v="8"/>
    <n v="12"/>
    <s v="2015"/>
    <s v="08"/>
    <s v="12"/>
    <s v="INICIAL"/>
    <s v="20150812"/>
    <s v="60075857073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NARANJA INC"/>
    <s v="1-53-10-1E ITABASHI ITABASHI-KU TOKYO 173-0004"/>
    <s v="9503009910"/>
    <s v="Globos de latex de caucho natural."/>
    <s v="UNIDADES"/>
    <n v="455620"/>
    <n v="680.6"/>
    <n v="744.45"/>
    <n v="2"/>
    <x v="8"/>
    <s v="TOKYO"/>
    <s v="ATLÁNTICO"/>
    <s v="ATLÁNTICO"/>
    <s v="BARRANQUILLA"/>
    <s v="201508"/>
    <s v="6027588692450"/>
    <s v="ÚNICO"/>
    <s v="TRANSPORTE MARÍTIMO"/>
    <s v="PANAMÁ"/>
    <s v="EXPORTACIONES DEFINITIVAS"/>
    <s v="EXPORTACIÓN DEFINITIVA DE MERCANCÍAS DE FABRICACIÓN Ó PRODUCCIÓN NACIONAL"/>
    <s v="NINGUNO"/>
    <s v="NO"/>
    <s v="Dólar de los Estados Unidos de América"/>
    <s v="CON REINTEGRO"/>
    <n v="13293.22"/>
    <n v="39134840.880000003"/>
    <n v="0"/>
    <n v="308.81"/>
    <n v="34.01"/>
    <n v="0"/>
    <s v="ASIA"/>
  </r>
  <r>
    <n v="459"/>
    <n v="2015"/>
    <n v="8"/>
    <n v="12"/>
    <s v="2015"/>
    <s v="08"/>
    <s v="12"/>
    <s v="INICIAL"/>
    <s v="20150812"/>
    <s v="60075857073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NARANJA INC"/>
    <s v="1-53-10-1E ITABASHI ITABASHI-KU TOKYO 173-0004"/>
    <s v="9503009910"/>
    <s v="Globos de latex de caucho natural."/>
    <s v="UNIDADES"/>
    <n v="1323950"/>
    <n v="2446.6799999999998"/>
    <n v="2676.22"/>
    <n v="1"/>
    <x v="8"/>
    <s v="TOKYO"/>
    <s v="ATLÁNTICO"/>
    <s v="ATLÁNTICO"/>
    <s v="BARRANQUILLA"/>
    <s v="201508"/>
    <s v="6027588692450"/>
    <s v="ÚNICO"/>
    <s v="TRANSPORTE MARÍTIMO"/>
    <s v="PANAMÁ"/>
    <s v="EXPORTACIONES DEFINITIVAS"/>
    <s v="EXPORTACIÓN DEFINITIVA DE MERCANCÍAS DE FABRICACIÓN Ó PRODUCCIÓN NACIONAL"/>
    <s v="NINGUNO"/>
    <s v="NO"/>
    <s v="Dólar de los Estados Unidos de América"/>
    <s v="CON REINTEGRO"/>
    <n v="41521.65"/>
    <n v="122238491.95"/>
    <n v="0"/>
    <n v="964.57"/>
    <n v="106.22"/>
    <n v="0"/>
    <s v="ASIA"/>
  </r>
  <r>
    <n v="460"/>
    <n v="2015"/>
    <n v="8"/>
    <n v="12"/>
    <s v="2015"/>
    <s v="08"/>
    <s v="12"/>
    <s v="INICIAL"/>
    <s v="20150812"/>
    <s v="6007585784947"/>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OYLAND-KUWAIT"/>
    <s v="TOYLAND, SHAKER AL KAZEMI BUILDING, NO 8, OFFICE NO 26, 3 RD FLOOR, KHALID IBN W"/>
    <s v="9503009910"/>
    <s v="Globos de latex de caucho natural."/>
    <s v="UNIDADES"/>
    <n v="23000"/>
    <n v="71.47"/>
    <n v="77.98"/>
    <n v="1"/>
    <x v="39"/>
    <s v="SHARQ"/>
    <s v="ATLÁNTICO"/>
    <s v="ATLÁNTICO"/>
    <s v="CARTAGENA"/>
    <s v="201508"/>
    <s v="6027588375569"/>
    <s v="ÚNICO"/>
    <s v="TRANSPORTE MARÍTIMO"/>
    <s v="HONG KONG"/>
    <s v="EXPORTACIONES DEFINITIVAS"/>
    <s v="EXPORTACIÓN DEFINITIVA DE MERCANCÍAS DE FABRICACIÓN Ó PRODUCCIÓN NACIONAL"/>
    <s v="NINGUNO"/>
    <s v="NO"/>
    <s v="Dólar de los Estados Unidos de América"/>
    <s v="CON REINTEGRO"/>
    <n v="1932"/>
    <n v="5687750.04"/>
    <n v="0"/>
    <n v="0"/>
    <n v="0"/>
    <n v="0"/>
    <s v="ASIA"/>
  </r>
  <r>
    <n v="461"/>
    <n v="2015"/>
    <n v="8"/>
    <n v="12"/>
    <s v="2015"/>
    <s v="08"/>
    <s v="12"/>
    <s v="INICIAL"/>
    <s v="20150812"/>
    <s v="600758570730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2086920"/>
    <n v="5741.14"/>
    <n v="6683.85"/>
    <n v="1"/>
    <x v="2"/>
    <s v="SAINT LOUIS"/>
    <s v="ATLÁNTICO"/>
    <s v="ATLÁNTICO"/>
    <s v="BARRANQUILLA"/>
    <s v="201508"/>
    <s v="6027588684699"/>
    <s v="ÚNICO"/>
    <s v="TRANSPORTE MARÍTIMO"/>
    <s v="PANAMÁ"/>
    <s v="EXPORTACIONES DEFINITIVAS"/>
    <s v="EXPORTACIÓN DEFINITIVA DE MERCANCÍAS DE FABRICACIÓN Ó PRODUCCIÓN NACIONAL"/>
    <s v="NINGUNO"/>
    <s v="NO"/>
    <s v="Dólar de los Estados Unidos de América"/>
    <s v="CON REINTEGRO"/>
    <n v="75713.8"/>
    <n v="222899155.78"/>
    <n v="0"/>
    <n v="2193.29"/>
    <n v="0"/>
    <n v="0"/>
    <s v="AMÉRICA"/>
  </r>
  <r>
    <n v="462"/>
    <n v="2015"/>
    <n v="8"/>
    <n v="12"/>
    <s v="2015"/>
    <s v="08"/>
    <s v="12"/>
    <s v="INICIAL"/>
    <s v="20150812"/>
    <s v="600758570730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24000"/>
    <n v="96.42"/>
    <n v="112.25"/>
    <n v="4"/>
    <x v="2"/>
    <s v="SAINT LOUIS"/>
    <s v="ATLÁNTICO"/>
    <s v="ATLÁNTICO"/>
    <s v="BARRANQUILLA"/>
    <s v="201508"/>
    <s v="6027588684699"/>
    <s v="ÚNICO"/>
    <s v="TRANSPORTE MARÍTIMO"/>
    <s v="PANAMÁ"/>
    <s v="EXPORTACIONES DEFINITIVAS"/>
    <s v="EXPORTACIÓN DEFINITIVA DE MERCANCÍAS DE FABRICACIÓN Ó PRODUCCIÓN NACIONAL"/>
    <s v="NINGUNO"/>
    <s v="NO"/>
    <s v="Dólar de los Estados Unidos de América"/>
    <s v="CON REINTEGRO"/>
    <n v="2736"/>
    <n v="8054701.9199999999"/>
    <n v="0"/>
    <n v="79.260000000000005"/>
    <n v="0"/>
    <n v="0"/>
    <s v="AMÉRICA"/>
  </r>
  <r>
    <n v="463"/>
    <n v="2015"/>
    <n v="8"/>
    <n v="12"/>
    <s v="2015"/>
    <s v="08"/>
    <s v="12"/>
    <s v="INICIAL"/>
    <s v="20150812"/>
    <s v="600758570730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58000"/>
    <n v="200.54"/>
    <n v="233.46"/>
    <n v="3"/>
    <x v="2"/>
    <s v="SAINT LOUIS"/>
    <s v="ATLÁNTICO"/>
    <s v="ATLÁNTICO"/>
    <s v="BARRANQUILLA"/>
    <s v="201508"/>
    <s v="6027588684699"/>
    <s v="ÚNICO"/>
    <s v="TRANSPORTE MARÍTIMO"/>
    <s v="PANAMÁ"/>
    <s v="EXPORTACIONES DEFINITIVAS"/>
    <s v="EXPORTACIÓN DEFINITIVA DE MERCANCÍAS DE FABRICACIÓN Ó PRODUCCIÓN NACIONAL"/>
    <s v="NINGUNO"/>
    <s v="NO"/>
    <s v="Dólar de los Estados Unidos de América"/>
    <s v="CON REINTEGRO"/>
    <n v="6364.8"/>
    <n v="18737780.25"/>
    <n v="0"/>
    <n v="184.38"/>
    <n v="0"/>
    <n v="0"/>
    <s v="AMÉRICA"/>
  </r>
  <r>
    <n v="464"/>
    <n v="2015"/>
    <n v="8"/>
    <n v="12"/>
    <s v="2015"/>
    <s v="08"/>
    <s v="12"/>
    <s v="INICIAL"/>
    <s v="20150812"/>
    <s v="600758570730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143400"/>
    <n v="411.59"/>
    <n v="479.17"/>
    <n v="2"/>
    <x v="2"/>
    <s v="SAINT LOUIS"/>
    <s v="ATLÁNTICO"/>
    <s v="ATLÁNTICO"/>
    <s v="BARRANQUILLA"/>
    <s v="201508"/>
    <s v="6027588684699"/>
    <s v="ÚNICO"/>
    <s v="TRANSPORTE MARÍTIMO"/>
    <s v="PANAMÁ"/>
    <s v="EXPORTACIONES DEFINITIVAS"/>
    <s v="EXPORTACIÓN DEFINITIVA DE MERCANCÍAS DE FABRICACIÓN Ó PRODUCCIÓN NACIONAL"/>
    <s v="NINGUNO"/>
    <s v="NO"/>
    <s v="Dólar de los Estados Unidos de América"/>
    <s v="CON REINTEGRO"/>
    <n v="5940.4"/>
    <n v="17488359.379999999"/>
    <n v="0"/>
    <n v="172.08"/>
    <n v="0"/>
    <n v="0"/>
    <s v="AMÉRICA"/>
  </r>
  <r>
    <n v="465"/>
    <n v="2015"/>
    <n v="8"/>
    <n v="15"/>
    <s v="2015"/>
    <s v="08"/>
    <s v="15"/>
    <s v="INICIAL"/>
    <s v="20150815"/>
    <s v="600758601344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4902909000"/>
    <s v="Los demás diarios y públicaciones periodicas, impresos, incluso ilustrados o con publicidad."/>
    <s v="UNIDADES"/>
    <n v="150"/>
    <n v="23.57"/>
    <n v="24.5"/>
    <n v="1"/>
    <x v="19"/>
    <s v="HAMINA"/>
    <s v="ATLÁNTICO"/>
    <s v="ATLÁNTICO"/>
    <s v="CARTAGENA"/>
    <s v="201508"/>
    <s v="6027588416951"/>
    <s v="ÚNICO"/>
    <s v="TRANSPORTE MARÍTIMO"/>
    <s v="LIBERIA"/>
    <s v="EXPORTACIONES DEFINITIVAS"/>
    <s v="EXPORTACION TEMPORAL PARA PERFECCIONAMIENTO PASIVO"/>
    <s v="NINGUNO"/>
    <s v="NO"/>
    <s v="Dólar de los Estados Unidos de América"/>
    <s v="SIN REINTEGRO"/>
    <n v="7.5"/>
    <n v="22373.4"/>
    <n v="0"/>
    <n v="0"/>
    <n v="0"/>
    <n v="0"/>
    <s v="EUROPA"/>
  </r>
  <r>
    <n v="466"/>
    <n v="2015"/>
    <n v="8"/>
    <n v="15"/>
    <s v="2015"/>
    <s v="08"/>
    <s v="15"/>
    <s v="INICIAL"/>
    <s v="20150815"/>
    <s v="600758601343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2053500"/>
    <n v="3937.88"/>
    <n v="4282.7"/>
    <n v="1"/>
    <x v="19"/>
    <s v="HAMINA"/>
    <s v="ATLÁNTICO"/>
    <s v="ATLÁNTICO"/>
    <s v="CARTAGENA"/>
    <s v="201508"/>
    <s v="6027588416437"/>
    <s v="ÚNICO"/>
    <s v="TRANSPORTE MARÍTIMO"/>
    <s v="LIBERIA"/>
    <s v="EXPORTACIONES DEFINITIVAS"/>
    <s v="LAS DEMÁS EXPORTACIONES DEFINITIVAS NO INCLUIDAS EN LOS ÍTEMS ANTERIORES"/>
    <s v="NINGUNO"/>
    <s v="NO"/>
    <s v="Dólar de los Estados Unidos de América"/>
    <s v="CON REINTEGRO"/>
    <n v="56425.5"/>
    <n v="168324037.56"/>
    <n v="0"/>
    <n v="1156.44"/>
    <n v="143.96"/>
    <n v="0"/>
    <s v="EUROPA"/>
  </r>
  <r>
    <n v="467"/>
    <n v="2015"/>
    <n v="8"/>
    <n v="15"/>
    <s v="2015"/>
    <s v="08"/>
    <s v="15"/>
    <s v="INICIAL"/>
    <s v="20150815"/>
    <s v="600758601343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662000"/>
    <n v="1682.22"/>
    <n v="1829.52"/>
    <n v="2"/>
    <x v="19"/>
    <s v="HAMINA"/>
    <s v="ATLÁNTICO"/>
    <s v="ATLÁNTICO"/>
    <s v="CARTAGENA"/>
    <s v="201508"/>
    <s v="6027588416437"/>
    <s v="ÚNICO"/>
    <s v="TRANSPORTE MARÍTIMO"/>
    <s v="LIBERIA"/>
    <s v="EXPORTACIONES DEFINITIVAS"/>
    <s v="LAS DEMÁS EXPORTACIONES DEFINITIVAS NO INCLUIDAS EN LOS ÍTEMS ANTERIORES"/>
    <s v="NINGUNO"/>
    <s v="NO"/>
    <s v="Dólar de los Estados Unidos de América"/>
    <s v="CON REINTEGRO"/>
    <n v="21740.5"/>
    <n v="64854520.359999999"/>
    <n v="0"/>
    <n v="445.57"/>
    <n v="55.47"/>
    <n v="0"/>
    <s v="EUROPA"/>
  </r>
  <r>
    <n v="468"/>
    <n v="2015"/>
    <n v="8"/>
    <n v="15"/>
    <s v="2015"/>
    <s v="08"/>
    <s v="15"/>
    <s v="INICIAL"/>
    <s v="20150815"/>
    <s v="600758601343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38000"/>
    <n v="125.69"/>
    <n v="136.69"/>
    <n v="3"/>
    <x v="19"/>
    <s v="HAMINA"/>
    <s v="ATLÁNTICO"/>
    <s v="ATLÁNTICO"/>
    <s v="CARTAGENA"/>
    <s v="201508"/>
    <s v="6027588416437"/>
    <s v="ÚNICO"/>
    <s v="TRANSPORTE MARÍTIMO"/>
    <s v="LIBERIA"/>
    <s v="EXPORTACIONES DEFINITIVAS"/>
    <s v="LAS DEMÁS EXPORTACIONES DEFINITIVAS NO INCLUIDAS EN LOS ÍTEMS ANTERIORES"/>
    <s v="NINGUNO"/>
    <s v="NO"/>
    <s v="Dólar de los Estados Unidos de América"/>
    <s v="CON REINTEGRO"/>
    <n v="2476"/>
    <n v="7386205.1200000001"/>
    <n v="0"/>
    <n v="50.75"/>
    <n v="6.32"/>
    <n v="0"/>
    <s v="EUROPA"/>
  </r>
  <r>
    <n v="469"/>
    <n v="2015"/>
    <n v="8"/>
    <n v="15"/>
    <s v="2015"/>
    <s v="08"/>
    <s v="15"/>
    <s v="INICIAL"/>
    <s v="20150815"/>
    <s v="600758601343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132000"/>
    <n v="488.4"/>
    <n v="531.16"/>
    <n v="4"/>
    <x v="19"/>
    <s v="HAMINA"/>
    <s v="ATLÁNTICO"/>
    <s v="ATLÁNTICO"/>
    <s v="CARTAGENA"/>
    <s v="201508"/>
    <s v="6027588416437"/>
    <s v="ÚNICO"/>
    <s v="TRANSPORTE MARÍTIMO"/>
    <s v="LIBERIA"/>
    <s v="EXPORTACIONES DEFINITIVAS"/>
    <s v="LAS DEMÁS EXPORTACIONES DEFINITIVAS NO INCLUIDAS EN LOS ÍTEMS ANTERIORES"/>
    <s v="NINGUNO"/>
    <s v="NO"/>
    <s v="Dólar de los Estados Unidos de América"/>
    <s v="CON REINTEGRO"/>
    <n v="11088"/>
    <n v="33076834.559999999"/>
    <n v="0"/>
    <n v="227.25"/>
    <n v="28.29"/>
    <n v="0"/>
    <s v="EUROPA"/>
  </r>
  <r>
    <n v="470"/>
    <n v="2015"/>
    <n v="8"/>
    <n v="18"/>
    <s v="2015"/>
    <s v="08"/>
    <s v="18"/>
    <s v="INICIAL"/>
    <s v="20150818"/>
    <s v="600758570750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BRILLIANCE TRADE CO., LTD"/>
    <s v="1ST FLOOR, BUILDING 6#, NO 999 JIANGYUE RD PU JIANG TOWN, MINGHANG DISTRICT, SHA"/>
    <s v="9503009910"/>
    <s v="Globos de latex de caucho natural."/>
    <s v="UNIDADES"/>
    <n v="470000"/>
    <n v="1007.42"/>
    <n v="1094.94"/>
    <n v="2"/>
    <x v="13"/>
    <s v="SHANGHAI"/>
    <s v="ATLÁNTICO"/>
    <s v="ATLÁNTICO"/>
    <s v="BARRANQUILLA"/>
    <s v="201508"/>
    <s v="6027589018908"/>
    <s v="ÚNICO"/>
    <s v="TRANSPORTE MARÍTIMO"/>
    <s v="PANAMÁ"/>
    <s v="EXPORTACIONES DEFINITIVAS"/>
    <s v="EXPORTACIÓN DEFINITIVA DE MERCANCÍAS DE FABRICACIÓN Ó PRODUCCIÓN NACIONAL"/>
    <s v="NINGUNO"/>
    <s v="NO"/>
    <s v="Dólar de los Estados Unidos de América"/>
    <s v="CON REINTEGRO"/>
    <n v="14923.5"/>
    <n v="44518591.32"/>
    <n v="0"/>
    <n v="68.44"/>
    <n v="37.479999999999997"/>
    <n v="0"/>
    <s v="ASIA"/>
  </r>
  <r>
    <n v="471"/>
    <n v="2015"/>
    <n v="8"/>
    <n v="18"/>
    <s v="2015"/>
    <s v="08"/>
    <s v="18"/>
    <s v="INICIAL"/>
    <s v="20150818"/>
    <s v="600758570750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BRILLIANCE TRADE CO., LTD"/>
    <s v="1ST FLOOR, BUILDING 6#, NO 999 JIANGYUE RD PU JIANG TOWN, MINGHANG DISTRICT, SHA"/>
    <s v="9503009910"/>
    <s v="Globos de latex de caucho natural."/>
    <s v="UNIDADES"/>
    <n v="75800"/>
    <n v="292.05"/>
    <n v="317.42"/>
    <n v="3"/>
    <x v="13"/>
    <s v="SHANGHAI"/>
    <s v="ATLÁNTICO"/>
    <s v="ATLÁNTICO"/>
    <s v="BARRANQUILLA"/>
    <s v="201508"/>
    <s v="6027589018908"/>
    <s v="ÚNICO"/>
    <s v="TRANSPORTE MARÍTIMO"/>
    <s v="PANAMÁ"/>
    <s v="EXPORTACIONES DEFINITIVAS"/>
    <s v="EXPORTACIÓN DEFINITIVA DE MERCANCÍAS DE FABRICACIÓN Ó PRODUCCIÓN NACIONAL"/>
    <s v="NINGUNO"/>
    <s v="NO"/>
    <s v="Dólar de los Estados Unidos de América"/>
    <s v="CON REINTEGRO"/>
    <n v="7018"/>
    <n v="20935536.16"/>
    <n v="0"/>
    <n v="32.18"/>
    <n v="17.63"/>
    <n v="0"/>
    <s v="ASIA"/>
  </r>
  <r>
    <n v="472"/>
    <n v="2015"/>
    <n v="8"/>
    <n v="18"/>
    <s v="2015"/>
    <s v="08"/>
    <s v="18"/>
    <s v="INICIAL"/>
    <s v="20150818"/>
    <s v="600758570750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BRILLIANCE TRADE CO., LTD"/>
    <s v="1ST FLOOR, BUILDING 6#, NO 999 JIANGYUE RD PU JIANG TOWN, MINGHANG DISTRICT, SHA"/>
    <s v="9503009910"/>
    <s v="Globos de latex de caucho natural."/>
    <s v="UNIDADES"/>
    <n v="5897500"/>
    <n v="13086.93"/>
    <n v="14223.94"/>
    <n v="1"/>
    <x v="13"/>
    <s v="SHANGHAI"/>
    <s v="ATLÁNTICO"/>
    <s v="ATLÁNTICO"/>
    <s v="BARRANQUILLA"/>
    <s v="201508"/>
    <s v="6027589018908"/>
    <s v="ÚNICO"/>
    <s v="TRANSPORTE MARÍTIMO"/>
    <s v="PANAMÁ"/>
    <s v="EXPORTACIONES DEFINITIVAS"/>
    <s v="EXPORTACIÓN DEFINITIVA DE MERCANCÍAS DE FABRICACIÓN Ó PRODUCCIÓN NACIONAL"/>
    <s v="NINGUNO"/>
    <s v="NO"/>
    <s v="Dólar de los Estados Unidos de América"/>
    <s v="CON REINTEGRO"/>
    <n v="180852"/>
    <n v="539503218.24000001"/>
    <n v="0"/>
    <n v="829.38"/>
    <n v="454.2"/>
    <n v="0"/>
    <s v="ASIA"/>
  </r>
  <r>
    <n v="473"/>
    <n v="2015"/>
    <n v="8"/>
    <n v="18"/>
    <s v="2015"/>
    <s v="08"/>
    <s v="18"/>
    <s v="INICIAL"/>
    <s v="20150818"/>
    <s v="600758610079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66000"/>
    <n v="243.98"/>
    <n v="264.31"/>
    <n v="4"/>
    <x v="0"/>
    <s v="YEKATERINBURG"/>
    <s v="ATLÁNTICO"/>
    <s v="ATLÁNTICO"/>
    <s v="CARTAGENA"/>
    <s v="201508"/>
    <s v="6027588688351"/>
    <s v="ÚNICO"/>
    <s v="TRANSPORTE MARÍTIMO"/>
    <s v="LIBERIA"/>
    <s v="EXPORTACIONES DEFINITIVAS"/>
    <s v="EXPORTACIÓN DEFINITIVA DE MERCANCÍAS DE FABRICACIÓN Ó PRODUCCIÓN NACIONAL"/>
    <s v="NINGUNO"/>
    <s v="NO"/>
    <s v="Dólar de los Estados Unidos de América"/>
    <s v="CON REINTEGRO"/>
    <n v="5544"/>
    <n v="16538417.279999999"/>
    <n v="0"/>
    <n v="0"/>
    <n v="0"/>
    <n v="0"/>
    <s v="ASIA"/>
  </r>
  <r>
    <n v="474"/>
    <n v="2015"/>
    <n v="8"/>
    <n v="18"/>
    <s v="2015"/>
    <s v="08"/>
    <s v="18"/>
    <s v="INICIAL"/>
    <s v="20150818"/>
    <s v="600758610079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739000"/>
    <n v="2819.31"/>
    <n v="3054.23"/>
    <n v="3"/>
    <x v="0"/>
    <s v="YEKATERINBURG"/>
    <s v="ATLÁNTICO"/>
    <s v="ATLÁNTICO"/>
    <s v="CARTAGENA"/>
    <s v="201508"/>
    <s v="6027588688351"/>
    <s v="ÚNICO"/>
    <s v="TRANSPORTE MARÍTIMO"/>
    <s v="LIBERIA"/>
    <s v="EXPORTACIONES DEFINITIVAS"/>
    <s v="EXPORTACIÓN DEFINITIVA DE MERCANCÍAS DE FABRICACIÓN Ó PRODUCCIÓN NACIONAL"/>
    <s v="NINGUNO"/>
    <s v="NO"/>
    <s v="Dólar de los Estados Unidos de América"/>
    <s v="CON REINTEGRO"/>
    <n v="66079.399999999994"/>
    <n v="197122779.72"/>
    <n v="0"/>
    <n v="0"/>
    <n v="0"/>
    <n v="0"/>
    <s v="ASIA"/>
  </r>
  <r>
    <n v="475"/>
    <n v="2015"/>
    <n v="8"/>
    <n v="18"/>
    <s v="2015"/>
    <s v="08"/>
    <s v="18"/>
    <s v="INICIAL"/>
    <s v="20150818"/>
    <s v="600758610079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112000"/>
    <n v="257.52"/>
    <n v="278.97000000000003"/>
    <n v="2"/>
    <x v="0"/>
    <s v="YEKATERINBURG"/>
    <s v="ATLÁNTICO"/>
    <s v="ATLÁNTICO"/>
    <s v="CARTAGENA"/>
    <s v="201508"/>
    <s v="6027588688351"/>
    <s v="ÚNICO"/>
    <s v="TRANSPORTE MARÍTIMO"/>
    <s v="LIBERIA"/>
    <s v="EXPORTACIONES DEFINITIVAS"/>
    <s v="EXPORTACIÓN DEFINITIVA DE MERCANCÍAS DE FABRICACIÓN Ó PRODUCCIÓN NACIONAL"/>
    <s v="NINGUNO"/>
    <s v="NO"/>
    <s v="Dólar de los Estados Unidos de América"/>
    <s v="CON REINTEGRO"/>
    <n v="3110"/>
    <n v="9277503.1999999993"/>
    <n v="0"/>
    <n v="0"/>
    <n v="0"/>
    <n v="0"/>
    <s v="ASIA"/>
  </r>
  <r>
    <n v="476"/>
    <n v="2015"/>
    <n v="8"/>
    <n v="18"/>
    <s v="2015"/>
    <s v="08"/>
    <s v="18"/>
    <s v="INICIAL"/>
    <s v="20150818"/>
    <s v="600758610079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4935500"/>
    <n v="11679.37"/>
    <n v="12652.57"/>
    <n v="1"/>
    <x v="0"/>
    <s v="YEKATERINBURG"/>
    <s v="ATLÁNTICO"/>
    <s v="ATLÁNTICO"/>
    <s v="CARTAGENA"/>
    <s v="201508"/>
    <s v="6027588688351"/>
    <s v="ÚNICO"/>
    <s v="TRANSPORTE MARÍTIMO"/>
    <s v="LIBERIA"/>
    <s v="EXPORTACIONES DEFINITIVAS"/>
    <s v="EXPORTACIÓN DEFINITIVA DE MERCANCÍAS DE FABRICACIÓN Ó PRODUCCIÓN NACIONAL"/>
    <s v="NINGUNO"/>
    <s v="NO"/>
    <s v="Dólar de los Estados Unidos de América"/>
    <s v="CON REINTEGRO"/>
    <n v="153424"/>
    <n v="457682202.88"/>
    <n v="0"/>
    <n v="0"/>
    <n v="0"/>
    <n v="0"/>
    <s v="ASIA"/>
  </r>
  <r>
    <n v="477"/>
    <n v="2015"/>
    <n v="8"/>
    <n v="20"/>
    <s v="2015"/>
    <s v="08"/>
    <s v="20"/>
    <s v="INICIAL"/>
    <s v="20150820"/>
    <s v="6007585784345"/>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GLOOB PARTY SAC"/>
    <s v="CALLE TEODORO CARDENAS 640 CERCADO DE LIMA"/>
    <s v="9503009910"/>
    <s v="Globos de latex de caucho natural."/>
    <s v="UNIDADES"/>
    <n v="50000"/>
    <n v="440.5"/>
    <n v="484"/>
    <n v="1"/>
    <x v="23"/>
    <s v="LIMA"/>
    <s v="ATLÁNTICO"/>
    <s v="ATLÁNTICO"/>
    <s v="BARRANQUILLA"/>
    <s v="201508"/>
    <s v="6027589123190"/>
    <s v="ÚNICO"/>
    <s v="TRANSPORTE AÉREO"/>
    <s v="COLOMBIA"/>
    <s v="EXPORTACIONES DEFINITIVAS"/>
    <s v="EXPORTACIÓN DEFINITIVA DE MERCANCÍAS DE FABRICACIÓN Ó PRODUCCIÓN NACIONAL"/>
    <s v="NINGUNO"/>
    <s v="NO"/>
    <s v="Dólar de los Estados Unidos de América"/>
    <s v="CON REINTEGRO"/>
    <n v="7700"/>
    <n v="23309440"/>
    <n v="0"/>
    <n v="708.75"/>
    <n v="21.02"/>
    <n v="0"/>
    <s v="AMÉRICA"/>
  </r>
  <r>
    <n v="478"/>
    <n v="2015"/>
    <n v="8"/>
    <n v="20"/>
    <s v="2015"/>
    <s v="08"/>
    <s v="20"/>
    <s v="INICIAL"/>
    <s v="20150820"/>
    <s v="6007585827377"/>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DIPOND INDUSTRIAL CO. LIMITED"/>
    <s v="FLAT A-11, 7/F, HOW MING FACTORY BUILDING, 99 HOW MING STREET, KWUN TONG"/>
    <s v="9503009910"/>
    <s v="Globos de latex de caucho natural."/>
    <s v="UNIDADES"/>
    <n v="105000"/>
    <n v="319.08999999999997"/>
    <n v="340"/>
    <n v="1"/>
    <x v="30"/>
    <s v="KOWLOON"/>
    <s v="ATLÁNTICO"/>
    <s v="ATLÁNTICO"/>
    <s v="BOGOTÁ"/>
    <s v="201508"/>
    <s v="6027589244642"/>
    <s v="ÚNICO"/>
    <s v="TRANSPORTE AÉREO"/>
    <s v="ESTADOS UNIDOS"/>
    <s v="EXPORTACIONES DEFINITIVAS"/>
    <s v="EXPORTACIÓN DEFINITIVA DE MERCANCÍAS DE FABRICACIÓN Ó PRODUCCIÓN NACIONAL"/>
    <s v="NINGUNO"/>
    <s v="NO"/>
    <s v="Dólar de los Estados Unidos de América"/>
    <s v="CON REINTEGRO"/>
    <n v="5171.2"/>
    <n v="15654256.640000001"/>
    <n v="0"/>
    <n v="972.45"/>
    <n v="15.36"/>
    <n v="0"/>
    <s v="ASIA"/>
  </r>
  <r>
    <n v="479"/>
    <n v="2015"/>
    <n v="8"/>
    <n v="27"/>
    <s v="2015"/>
    <s v="08"/>
    <s v="27"/>
    <s v="INICIAL"/>
    <s v="20150827"/>
    <s v="6007586393443"/>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MATERIALES Y SOLUCIONES S.A. DE C.V."/>
    <s v="79 AV NORTE 507-3, ENTRE 7a Y 9a CALLE PONIENTE"/>
    <s v="8414200000"/>
    <s v="Bombas de aire, de mano o pedal."/>
    <s v="UNIDADES"/>
    <n v="54"/>
    <n v="5.77"/>
    <n v="6.27"/>
    <n v="1"/>
    <x v="24"/>
    <s v="SAN SALVADOR"/>
    <s v="ATLÁNTICO"/>
    <s v="ATLÁNTICO"/>
    <s v="BARRANQUILLA"/>
    <s v="201508"/>
    <s v="6027589607965"/>
    <s v="ÚNICO"/>
    <s v="TRANSPORTE AÉREO"/>
    <s v="COLOMBIA"/>
    <s v="EXPORTACIONES DEFINITIVAS"/>
    <s v="LAS DEMÁS EXPORTACIONES DEFINITIVAS NO INCLUIDAS EN LOS ÍTEMS ANTERIORES"/>
    <s v="NINGUNO"/>
    <s v="NO"/>
    <s v="Dólar de los Estados Unidos de América"/>
    <s v="CON REINTEGRO"/>
    <n v="67.5"/>
    <n v="218599.42"/>
    <n v="0"/>
    <n v="10.29"/>
    <n v="0.35"/>
    <n v="0"/>
    <s v="AMÉRICA"/>
  </r>
  <r>
    <n v="480"/>
    <n v="2015"/>
    <n v="8"/>
    <n v="27"/>
    <s v="2015"/>
    <s v="08"/>
    <s v="27"/>
    <s v="INICIAL"/>
    <s v="20150827"/>
    <s v="6007586393443"/>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MATERIALES Y SOLUCIONES S.A. DE C.V."/>
    <s v="79 AV NORTE 507-3, ENTRE 7a Y 9a CALLE PONIENTE"/>
    <s v="9503009910"/>
    <s v="Globos de latex de caucho natural."/>
    <s v="UNIDADES"/>
    <n v="161750"/>
    <n v="347.3"/>
    <n v="377.72"/>
    <n v="2"/>
    <x v="24"/>
    <s v="SAN SALVADOR"/>
    <s v="ATLÁNTICO"/>
    <s v="ATLÁNTICO"/>
    <s v="BARRANQUILLA"/>
    <s v="201508"/>
    <s v="6027589607965"/>
    <s v="ÚNICO"/>
    <s v="TRANSPORTE AÉREO"/>
    <s v="COLOMBIA"/>
    <s v="EXPORTACIONES DEFINITIVAS"/>
    <s v="LAS DEMÁS EXPORTACIONES DEFINITIVAS NO INCLUIDAS EN LOS ÍTEMS ANTERIORES"/>
    <s v="NINGUNO"/>
    <s v="NO"/>
    <s v="Dólar de los Estados Unidos de América"/>
    <s v="CON REINTEGRO"/>
    <n v="5074.25"/>
    <n v="16433009.359999999"/>
    <n v="0"/>
    <n v="773.76"/>
    <n v="26.21"/>
    <n v="0"/>
    <s v="AMÉRICA"/>
  </r>
  <r>
    <n v="481"/>
    <n v="2015"/>
    <n v="8"/>
    <n v="27"/>
    <s v="2015"/>
    <s v="08"/>
    <s v="27"/>
    <s v="INICIAL"/>
    <s v="20150827"/>
    <s v="6007586393450"/>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MATERIALES Y SOLUCIONES S.A. DE C.V."/>
    <s v="79 AV NORTE 507-3, ENTRE 7a Y 9a CALLE PONIENTE"/>
    <s v="4902909000"/>
    <s v="Los demás diarios y públicaciones periodicas, impresos, incluso ilustrados o con publicidad."/>
    <s v="UNIDADES"/>
    <n v="75"/>
    <n v="11.56"/>
    <n v="13"/>
    <n v="1"/>
    <x v="24"/>
    <s v="SAN SALVADOR"/>
    <s v="ATLÁNTICO"/>
    <s v="ATLÁNTICO"/>
    <s v="BARRANQUILLA"/>
    <s v="201508"/>
    <s v="6027589611337"/>
    <s v="ÚNICO"/>
    <s v="TRANSPORTE AÉREO"/>
    <s v="COLOMBIA"/>
    <s v="EXPORTACIONES DEFINITIVAS"/>
    <s v="EXPORTACION TEMPORAL PARA PERFECCIONAMIENTO PASIVO"/>
    <s v="NINGUNO"/>
    <s v="NO"/>
    <s v="Dólar de los Estados Unidos de América"/>
    <s v="SIN REINTEGRO"/>
    <n v="2.25"/>
    <n v="7286.64"/>
    <n v="0"/>
    <n v="0"/>
    <n v="0"/>
    <n v="0"/>
    <s v="AMÉRICA"/>
  </r>
  <r>
    <n v="482"/>
    <n v="2015"/>
    <n v="8"/>
    <n v="27"/>
    <s v="2015"/>
    <s v="08"/>
    <s v="27"/>
    <s v="INICIAL"/>
    <s v="20150827"/>
    <s v="6007586507512"/>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MS GLOBOS ET FESTIVAL"/>
    <s v="1988 ROUTES DES PLANTANES 31330 MERVILLE"/>
    <s v="9503009910"/>
    <s v="Globos de latex de caucho natural."/>
    <s v="UNIDADES"/>
    <n v="609000"/>
    <n v="1941.63"/>
    <n v="2111.4699999999998"/>
    <n v="2"/>
    <x v="34"/>
    <s v="MERVILLE"/>
    <s v="ATLÁNTICO"/>
    <s v="ATLÁNTICO"/>
    <s v="BARRANQUILLA"/>
    <s v="201508"/>
    <s v="6027589821985"/>
    <s v="ÚNICO"/>
    <s v="TRANSPORTE AÉREO"/>
    <s v="PANAMÁ"/>
    <s v="EXPORTACIONES DEFINITIVAS"/>
    <s v="EXPORTACIÓN DEFINITIVA DE MERCANCÍAS DE FABRICACIÓN Ó PRODUCCIÓN NACIONAL"/>
    <s v="NINGUNO"/>
    <s v="NO"/>
    <s v="Dólar de los Estados Unidos de América"/>
    <s v="CON REINTEGRO"/>
    <n v="30184.5"/>
    <n v="97752805.090000004"/>
    <n v="0"/>
    <n v="0"/>
    <n v="0"/>
    <n v="0"/>
    <s v="EUROPA"/>
  </r>
  <r>
    <n v="483"/>
    <n v="2015"/>
    <n v="8"/>
    <n v="27"/>
    <s v="2015"/>
    <s v="08"/>
    <s v="27"/>
    <s v="INICIAL"/>
    <s v="20150827"/>
    <s v="6007586507512"/>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MS GLOBOS ET FESTIVAL"/>
    <s v="1988 ROUTES DES PLANTANES 31330 MERVILLE"/>
    <s v="3923299000"/>
    <s v="Sacos (bolsas), bolsitas y cucuruchos."/>
    <s v="UNIDADES"/>
    <n v="12000"/>
    <n v="77.73"/>
    <n v="84.52"/>
    <n v="1"/>
    <x v="34"/>
    <s v="MERVILLE"/>
    <s v="ATLÁNTICO"/>
    <s v="ATLÁNTICO"/>
    <s v="BARRANQUILLA"/>
    <s v="201508"/>
    <s v="6027589821985"/>
    <s v="ÚNICO"/>
    <s v="TRANSPORTE AÉREO"/>
    <s v="PANAMÁ"/>
    <s v="EXPORTACIONES DEFINITIVAS"/>
    <s v="EXPORTACIÓN DEFINITIVA DE MERCANCÍAS DE FABRICACIÓN Ó PRODUCCIÓN NACIONAL"/>
    <s v="NINGUNO"/>
    <s v="NO"/>
    <s v="Dólar de los Estados Unidos de América"/>
    <s v="CON REINTEGRO"/>
    <n v="560"/>
    <n v="1813565.6"/>
    <n v="0"/>
    <n v="0"/>
    <n v="0"/>
    <n v="0"/>
    <s v="EUROPA"/>
  </r>
  <r>
    <n v="484"/>
    <n v="2015"/>
    <n v="8"/>
    <n v="29"/>
    <s v="2015"/>
    <s v="08"/>
    <s v="29"/>
    <s v="INICIAL"/>
    <s v="20150829"/>
    <s v="600758659516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91000"/>
    <n v="294.32"/>
    <n v="321.64"/>
    <n v="2"/>
    <x v="7"/>
    <s v="BREMEN"/>
    <s v="ATLÁNTICO"/>
    <s v="ATLÁNTICO"/>
    <s v="CARTAGENA"/>
    <s v="201508"/>
    <s v="6027589320288"/>
    <s v="ÚNICO"/>
    <s v="TRANSPORTE MARÍTIMO"/>
    <s v="LIBERIA"/>
    <s v="EXPORTACIONES DEFINITIVAS"/>
    <s v="LAS DEMÁS EXPORTACIONES DEFINITIVAS NO INCLUIDAS EN LOS ÍTEMS ANTERIORES"/>
    <s v="NINGUNO"/>
    <s v="NO"/>
    <s v="Dólar de los Estados Unidos de América"/>
    <s v="CON REINTEGRO"/>
    <n v="8747.4"/>
    <n v="27126562.140000001"/>
    <n v="0"/>
    <n v="103.83"/>
    <n v="22.14"/>
    <n v="5.47"/>
    <s v="EUROPA"/>
  </r>
  <r>
    <n v="485"/>
    <n v="2015"/>
    <n v="8"/>
    <n v="29"/>
    <s v="2015"/>
    <s v="08"/>
    <s v="29"/>
    <s v="INICIAL"/>
    <s v="20150829"/>
    <s v="600758659516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3632020"/>
    <n v="4346.4799999999996"/>
    <n v="4750.01"/>
    <n v="1"/>
    <x v="7"/>
    <s v="BREMEN"/>
    <s v="ATLÁNTICO"/>
    <s v="ATLÁNTICO"/>
    <s v="CARTAGENA"/>
    <s v="201508"/>
    <s v="6027589320288"/>
    <s v="ÚNICO"/>
    <s v="TRANSPORTE MARÍTIMO"/>
    <s v="LIBERIA"/>
    <s v="EXPORTACIONES DEFINITIVAS"/>
    <s v="LAS DEMÁS EXPORTACIONES DEFINITIVAS NO INCLUIDAS EN LOS ÍTEMS ANTERIORES"/>
    <s v="NINGUNO"/>
    <s v="NO"/>
    <s v="Dólar de los Estados Unidos de América"/>
    <s v="CON REINTEGRO"/>
    <n v="78027.98"/>
    <n v="241972568.77000001"/>
    <n v="0"/>
    <n v="926.17"/>
    <n v="197.51"/>
    <n v="48.81"/>
    <s v="EUROPA"/>
  </r>
  <r>
    <n v="486"/>
    <n v="2015"/>
    <n v="8"/>
    <n v="29"/>
    <s v="2015"/>
    <s v="08"/>
    <s v="29"/>
    <s v="INICIAL"/>
    <s v="20150829"/>
    <s v="600758659996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2006000"/>
    <n v="4484.63"/>
    <n v="4863.45"/>
    <n v="1"/>
    <x v="19"/>
    <s v="HAMINA"/>
    <s v="ATLÁNTICO"/>
    <s v="ATLÁNTICO"/>
    <s v="CARTAGENA"/>
    <s v="201508"/>
    <s v="6027589205818"/>
    <s v="ÚNICO"/>
    <s v="TRANSPORTE MARÍTIMO"/>
    <s v="LIBERIA"/>
    <s v="EXPORTACIONES DEFINITIVAS"/>
    <s v="EXPORTACIÓN DEFINITIVA DE MERCANCÍAS DE FABRICACIÓN Ó PRODUCCIÓN NACIONAL"/>
    <s v="NINGUNO"/>
    <s v="NO"/>
    <s v="Dólar de los Estados Unidos de América"/>
    <s v="CON REINTEGRO"/>
    <n v="71783.399999999994"/>
    <n v="222607501.74000001"/>
    <n v="0"/>
    <n v="1079.8599999999999"/>
    <n v="182.16"/>
    <n v="0"/>
    <s v="EUROPA"/>
  </r>
  <r>
    <n v="487"/>
    <n v="2015"/>
    <n v="8"/>
    <n v="29"/>
    <s v="2015"/>
    <s v="08"/>
    <s v="29"/>
    <s v="INICIAL"/>
    <s v="20150829"/>
    <s v="600758659996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261000"/>
    <n v="915.04"/>
    <n v="992.33"/>
    <n v="3"/>
    <x v="19"/>
    <s v="HAMINA"/>
    <s v="ATLÁNTICO"/>
    <s v="ATLÁNTICO"/>
    <s v="CARTAGENA"/>
    <s v="201508"/>
    <s v="6027589205818"/>
    <s v="ÚNICO"/>
    <s v="TRANSPORTE MARÍTIMO"/>
    <s v="LIBERIA"/>
    <s v="EXPORTACIONES DEFINITIVAS"/>
    <s v="EXPORTACIÓN DEFINITIVA DE MERCANCÍAS DE FABRICACIÓN Ó PRODUCCIÓN NACIONAL"/>
    <s v="NINGUNO"/>
    <s v="NO"/>
    <s v="Dólar de los Estados Unidos de América"/>
    <s v="CON REINTEGRO"/>
    <n v="24694.5"/>
    <n v="76580113.950000003"/>
    <n v="0"/>
    <n v="371.49"/>
    <n v="62.66"/>
    <n v="0"/>
    <s v="EUROPA"/>
  </r>
  <r>
    <n v="488"/>
    <n v="2015"/>
    <n v="8"/>
    <n v="29"/>
    <s v="2015"/>
    <s v="08"/>
    <s v="29"/>
    <s v="INICIAL"/>
    <s v="20150829"/>
    <s v="600758659996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 49400 HAMINA"/>
    <s v="9503009910"/>
    <s v="Globos de latex de caucho natural."/>
    <s v="UNIDADES"/>
    <n v="365500"/>
    <n v="1074.05"/>
    <n v="1164.77"/>
    <n v="2"/>
    <x v="19"/>
    <s v="HAMINA"/>
    <s v="ATLÁNTICO"/>
    <s v="ATLÁNTICO"/>
    <s v="CARTAGENA"/>
    <s v="201508"/>
    <s v="6027589205818"/>
    <s v="ÚNICO"/>
    <s v="TRANSPORTE MARÍTIMO"/>
    <s v="LIBERIA"/>
    <s v="EXPORTACIONES DEFINITIVAS"/>
    <s v="EXPORTACIÓN DEFINITIVA DE MERCANCÍAS DE FABRICACIÓN Ó PRODUCCIÓN NACIONAL"/>
    <s v="NINGUNO"/>
    <s v="NO"/>
    <s v="Dólar de los Estados Unidos de América"/>
    <s v="CON REINTEGRO"/>
    <n v="17194"/>
    <n v="53320313.399999999"/>
    <n v="0"/>
    <n v="258.64999999999998"/>
    <n v="43.63"/>
    <n v="0"/>
    <s v="EUROPA"/>
  </r>
  <r>
    <n v="489"/>
    <n v="2015"/>
    <n v="8"/>
    <n v="31"/>
    <s v="2015"/>
    <s v="08"/>
    <s v="31"/>
    <s v="INICIAL"/>
    <s v="20150831"/>
    <s v="6007586710697"/>
    <s v="201508"/>
    <s v="6007586141850"/>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BOLIGLOBOS"/>
    <s v="AVENIDA SALAMANCA No. 686 ENTRE ANTEZANA Y LANZA, EDIF TORRE MILENIUM PLANTA BAJ"/>
    <s v="4911100000"/>
    <s v="Impresos publicitarios, catalogos comerciales y similares."/>
    <s v="KILOGRAMO"/>
    <n v="20"/>
    <n v="20"/>
    <n v="20.92"/>
    <n v="2"/>
    <x v="38"/>
    <s v="COCHABAMBA"/>
    <s v="ATLÁNTICO"/>
    <s v="ATLÁNTICO"/>
    <s v="BARRANQUILLA"/>
    <s v="201508"/>
    <s v="6027589528178"/>
    <s v="ÚNICO"/>
    <s v="TRANSPORTE AÉREO"/>
    <s v="PANAMÁ"/>
    <s v="EXPORTACIONES DEFINITIVAS"/>
    <s v="EXPORTACION TEMPORAL PARA PERFECCIONAMIENTO PASIVO"/>
    <s v="NINGUNO"/>
    <s v="NO"/>
    <s v="Dólar de los Estados Unidos de América"/>
    <s v="SIN REINTEGRO"/>
    <n v="3"/>
    <n v="9303.2999999999993"/>
    <n v="0"/>
    <n v="0"/>
    <n v="0"/>
    <n v="0"/>
    <s v="AMÉRICA"/>
  </r>
  <r>
    <n v="490"/>
    <n v="2015"/>
    <n v="8"/>
    <n v="31"/>
    <s v="2015"/>
    <s v="08"/>
    <s v="31"/>
    <s v="INICIAL"/>
    <s v="20150831"/>
    <s v="6007586710697"/>
    <s v="201508"/>
    <s v="6007586141850"/>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BOLIGLOBOS"/>
    <s v="AVENIDA SALAMANCA No. 686 ENTRE ANTEZANA Y LANZA, EDIF TORRE MILENIUM PLANTA BAJ"/>
    <s v="4902909000"/>
    <s v="Los demás diarios y públicaciones periodicas, impresos, incluso ilustrados o con publicidad."/>
    <s v="UNIDADES"/>
    <n v="150"/>
    <n v="3.89"/>
    <n v="4.07"/>
    <n v="1"/>
    <x v="38"/>
    <s v="COCHABAMBA"/>
    <s v="ATLÁNTICO"/>
    <s v="ATLÁNTICO"/>
    <s v="BARRANQUILLA"/>
    <s v="201508"/>
    <s v="6027589528178"/>
    <s v="ÚNICO"/>
    <s v="TRANSPORTE AÉREO"/>
    <s v="PANAMÁ"/>
    <s v="EXPORTACIONES DEFINITIVAS"/>
    <s v="EXPORTACION TEMPORAL PARA PERFECCIONAMIENTO PASIVO"/>
    <s v="NINGUNO"/>
    <s v="NO"/>
    <s v="Dólar de los Estados Unidos de América"/>
    <s v="SIN REINTEGRO"/>
    <n v="3"/>
    <n v="9303.2999999999993"/>
    <n v="0"/>
    <n v="0"/>
    <n v="0"/>
    <n v="0"/>
    <s v="AMÉRICA"/>
  </r>
  <r>
    <n v="491"/>
    <n v="2015"/>
    <n v="8"/>
    <n v="31"/>
    <s v="2015"/>
    <s v="08"/>
    <s v="31"/>
    <s v="INICIAL"/>
    <s v="20150831"/>
    <s v="6007586655432"/>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BOLIGLOBOS"/>
    <s v="AVENIDA SALAMANCA No. 686 ENTRE ANTEZANA Y LANZA - EDIFICIO TORRE MILLENIUM"/>
    <s v="9503009910"/>
    <s v="Globos de latex de caucho natural."/>
    <s v="UNIDADES"/>
    <n v="74887"/>
    <n v="180.69"/>
    <n v="194"/>
    <n v="1"/>
    <x v="38"/>
    <s v="COCHABAMBA"/>
    <s v="ATLÁNTICO"/>
    <s v="ATLÁNTICO"/>
    <s v="BARRANQUILLA"/>
    <s v="201508"/>
    <s v="6027589524817"/>
    <s v="ÚNICO"/>
    <s v="TRANSPORTE AÉREO"/>
    <s v="PANAMÁ"/>
    <s v="EXPORTACIONES DEFINITIVAS"/>
    <s v="EXPORTACIÓN DEFINITIVA DE MERCANCÍAS DE FABRICACIÓN Ó PRODUCCIÓN NACIONAL"/>
    <s v="NINGUNO"/>
    <s v="NO"/>
    <s v="Dólar de los Estados Unidos de América"/>
    <s v="CON REINTEGRO"/>
    <n v="2322.3000000000002"/>
    <n v="7201684.5300000003"/>
    <n v="0"/>
    <n v="543.78"/>
    <n v="12"/>
    <n v="0"/>
    <s v="AMÉRICA"/>
  </r>
  <r>
    <n v="492"/>
    <n v="2015"/>
    <n v="9"/>
    <n v="4"/>
    <s v="2015"/>
    <s v="09"/>
    <s v="04"/>
    <s v="INICIAL"/>
    <s v="20150904"/>
    <s v="600758683600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EROTOP INTERNATIONAL CORP"/>
    <s v="NO.10, ALLEY, LANE 70 SEC 2 ACADEMIA RD,15574"/>
    <s v="4902909000"/>
    <s v="Los demás diarios y públicaciones periodicas, impresos, incluso ilustrados o con publicidad."/>
    <s v="UNIDADES"/>
    <n v="150"/>
    <n v="23.31"/>
    <n v="24.24"/>
    <n v="1"/>
    <x v="26"/>
    <s v="TAIPEI"/>
    <s v="ATLÁNTICO"/>
    <s v="ATLÁNTICO"/>
    <s v="BARRANQUILLA"/>
    <s v="201509"/>
    <s v="6027589703127"/>
    <s v="ÚNICO"/>
    <s v="TRANSPORTE MARÍTIMO"/>
    <s v="LIBERIA"/>
    <s v="EXPORTACIONES DEFINITIVAS"/>
    <s v="EXPORTACION TEMPORAL PARA PERFECCIONAMIENTO PASIVO"/>
    <s v="NINGUNO"/>
    <s v="NO"/>
    <s v="Dólar de los Estados Unidos de América"/>
    <s v="SIN REINTEGRO"/>
    <n v="7.5"/>
    <n v="23399.47"/>
    <n v="0"/>
    <n v="0"/>
    <n v="0"/>
    <n v="0"/>
    <s v="ASIA"/>
  </r>
  <r>
    <n v="493"/>
    <n v="2015"/>
    <n v="9"/>
    <n v="4"/>
    <s v="2015"/>
    <s v="09"/>
    <s v="04"/>
    <s v="INICIAL"/>
    <s v="20150904"/>
    <s v="600758683599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EROTOP INTERNATIONAL CORP"/>
    <s v="NO.10, ALLEY, LANE 70 SEC 2 ACADEMIA RD,15574"/>
    <s v="9503009910"/>
    <s v="Globos de latex de caucho natural."/>
    <s v="UNIDADES"/>
    <n v="1050000"/>
    <n v="2306.37"/>
    <n v="2544.04"/>
    <n v="2"/>
    <x v="26"/>
    <s v="TAIPEI"/>
    <s v="ATLÁNTICO"/>
    <s v="ATLÁNTICO"/>
    <s v="BARRANQUILLA"/>
    <s v="201509"/>
    <s v="6027589702942"/>
    <s v="ÚNICO"/>
    <s v="TRANSPORTE MARÍTIMO"/>
    <s v="LIBERIA"/>
    <s v="EXPORTACIONES DEFINITIVAS"/>
    <s v="EXPORTACIÓN DEFINITIVA DE MERCANCÍAS DE FABRICACIÓN Ó PRODUCCIÓN NACIONAL"/>
    <s v="NINGUNO"/>
    <s v="NO"/>
    <s v="Dólar de los Estados Unidos de América"/>
    <s v="CON REINTEGRO"/>
    <n v="37978.699999999997"/>
    <n v="118490885.48999999"/>
    <n v="0"/>
    <n v="492.19"/>
    <n v="96.18"/>
    <n v="0"/>
    <s v="ASIA"/>
  </r>
  <r>
    <n v="494"/>
    <n v="2015"/>
    <n v="9"/>
    <n v="4"/>
    <s v="2015"/>
    <s v="09"/>
    <s v="04"/>
    <s v="INICIAL"/>
    <s v="20150904"/>
    <s v="600758683599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EROTOP INTERNATIONAL CORP"/>
    <s v="NO.10, ALLEY, LANE 70 SEC 2 ACADEMIA RD,15574"/>
    <s v="9503009910"/>
    <s v="Globos de latex de caucho natural."/>
    <s v="UNIDADES"/>
    <n v="108000"/>
    <n v="376.78"/>
    <n v="415.6"/>
    <n v="3"/>
    <x v="26"/>
    <s v="TAIPEI"/>
    <s v="ATLÁNTICO"/>
    <s v="ATLÁNTICO"/>
    <s v="BARRANQUILLA"/>
    <s v="201509"/>
    <s v="6027589702942"/>
    <s v="ÚNICO"/>
    <s v="TRANSPORTE MARÍTIMO"/>
    <s v="LIBERIA"/>
    <s v="EXPORTACIONES DEFINITIVAS"/>
    <s v="EXPORTACIÓN DEFINITIVA DE MERCANCÍAS DE FABRICACIÓN Ó PRODUCCIÓN NACIONAL"/>
    <s v="NINGUNO"/>
    <s v="NO"/>
    <s v="Dólar de los Estados Unidos de América"/>
    <s v="CON REINTEGRO"/>
    <n v="10324.799999999999"/>
    <n v="32212653.260000002"/>
    <n v="0"/>
    <n v="133.81"/>
    <n v="26.15"/>
    <n v="0"/>
    <s v="ASIA"/>
  </r>
  <r>
    <n v="495"/>
    <n v="2015"/>
    <n v="9"/>
    <n v="4"/>
    <s v="2015"/>
    <s v="09"/>
    <s v="04"/>
    <s v="INICIAL"/>
    <s v="20150904"/>
    <s v="600758683599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EROTOP INTERNATIONAL CORP"/>
    <s v="NO.10, ALLEY, LANE 70 SEC 2 ACADEMIA RD,15574"/>
    <s v="9503009910"/>
    <s v="Globos de latex de caucho natural."/>
    <s v="UNIDADES"/>
    <n v="1375500"/>
    <n v="3487.54"/>
    <n v="3846.94"/>
    <n v="1"/>
    <x v="26"/>
    <s v="TAIPEI"/>
    <s v="ATLÁNTICO"/>
    <s v="ATLÁNTICO"/>
    <s v="BARRANQUILLA"/>
    <s v="201509"/>
    <s v="6027589702942"/>
    <s v="ÚNICO"/>
    <s v="TRANSPORTE MARÍTIMO"/>
    <s v="LIBERIA"/>
    <s v="EXPORTACIONES DEFINITIVAS"/>
    <s v="EXPORTACIÓN DEFINITIVA DE MERCANCÍAS DE FABRICACIÓN Ó PRODUCCIÓN NACIONAL"/>
    <s v="NINGUNO"/>
    <s v="NO"/>
    <s v="Dólar de los Estados Unidos de América"/>
    <s v="CON REINTEGRO"/>
    <n v="53859.199999999997"/>
    <n v="168036933.84999999"/>
    <n v="0"/>
    <n v="698"/>
    <n v="136.38999999999999"/>
    <n v="0"/>
    <s v="ASIA"/>
  </r>
  <r>
    <n v="496"/>
    <n v="2015"/>
    <n v="9"/>
    <n v="8"/>
    <s v="2015"/>
    <s v="09"/>
    <s v="08"/>
    <s v="INICIAL"/>
    <s v="20150908"/>
    <s v="6007586884322"/>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SOCIETE FINANCIERE POUR L´ETRANGER NV"/>
    <s v="J. CARDIJNSTRAAT 18 B9420"/>
    <s v="9503009910"/>
    <s v="Globos de latex de caucho natural."/>
    <s v="UNIDADES"/>
    <n v="645000"/>
    <n v="1476.66"/>
    <n v="1605"/>
    <n v="1"/>
    <x v="6"/>
    <s v="ERPE-MERE"/>
    <s v="ATLÁNTICO"/>
    <s v="ATLÁNTICO"/>
    <s v="CARTAGENA"/>
    <s v="201509"/>
    <s v="6027589481602"/>
    <s v="ÚNICO"/>
    <s v="TRANSPORTE MARÍTIMO"/>
    <s v="LIBERIA"/>
    <s v="EXPORTACIONES DEFINITIVAS"/>
    <s v="EXPORTACIÓN DEFINITIVA DE MERCANCÍAS DE FABRICACIÓN Ó PRODUCCIÓN NACIONAL"/>
    <s v="NINGUNO"/>
    <s v="NO"/>
    <s v="Dólar de los Estados Unidos de América"/>
    <s v="CON REINTEGRO"/>
    <n v="21635"/>
    <n v="67361654.25"/>
    <n v="0"/>
    <n v="1100"/>
    <n v="56.84"/>
    <n v="0"/>
    <s v="EUROPA"/>
  </r>
  <r>
    <n v="497"/>
    <n v="2015"/>
    <n v="9"/>
    <n v="8"/>
    <s v="2015"/>
    <s v="09"/>
    <s v="08"/>
    <s v="INICIAL"/>
    <s v="20150908"/>
    <s v="600758693847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73160"/>
    <n v="275.26"/>
    <n v="298.17"/>
    <n v="3"/>
    <x v="9"/>
    <s v="SANTIAGO"/>
    <s v="ATLÁNTICO"/>
    <s v="ATLÁNTICO"/>
    <s v="BARRANQUILLA"/>
    <s v="201509"/>
    <s v="6027590020385"/>
    <s v="ÚNICO"/>
    <s v="TRANSPORTE MARÍTIMO"/>
    <s v="PANAMÁ"/>
    <s v="EXPORTACIONES DEFINITIVAS"/>
    <s v="EXPORTACIÓN DEFINITIVA DE MERCANCÍAS DE FABRICACIÓN Ó PRODUCCIÓN NACIONAL"/>
    <s v="ALADI"/>
    <s v="NO"/>
    <s v="Dólar de los Estados Unidos de América"/>
    <s v="CON REINTEGRO"/>
    <n v="6894"/>
    <n v="21464813.699999999"/>
    <n v="0"/>
    <n v="80.349999999999994"/>
    <n v="17.440000000000001"/>
    <n v="0"/>
    <s v="AMÉRICA"/>
  </r>
  <r>
    <n v="498"/>
    <n v="2015"/>
    <n v="9"/>
    <n v="8"/>
    <s v="2015"/>
    <s v="09"/>
    <s v="08"/>
    <s v="INICIAL"/>
    <s v="20150908"/>
    <s v="600758693847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11520"/>
    <n v="50.64"/>
    <n v="54.85"/>
    <n v="4"/>
    <x v="9"/>
    <s v="SANTIAGO"/>
    <s v="ATLÁNTICO"/>
    <s v="ATLÁNTICO"/>
    <s v="BARRANQUILLA"/>
    <s v="201509"/>
    <s v="6027590020385"/>
    <s v="ÚNICO"/>
    <s v="TRANSPORTE MARÍTIMO"/>
    <s v="PANAMÁ"/>
    <s v="EXPORTACIONES DEFINITIVAS"/>
    <s v="EXPORTACIÓN DEFINITIVA DE MERCANCÍAS DE FABRICACIÓN Ó PRODUCCIÓN NACIONAL"/>
    <s v="ALADI"/>
    <s v="NO"/>
    <s v="Dólar de los Estados Unidos de América"/>
    <s v="CON REINTEGRO"/>
    <n v="1248"/>
    <n v="3885710.4"/>
    <n v="0"/>
    <n v="14.55"/>
    <n v="3.16"/>
    <n v="0"/>
    <s v="AMÉRICA"/>
  </r>
  <r>
    <n v="499"/>
    <n v="2015"/>
    <n v="9"/>
    <n v="8"/>
    <s v="2015"/>
    <s v="09"/>
    <s v="08"/>
    <s v="INICIAL"/>
    <s v="20150908"/>
    <s v="600758693847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2771624"/>
    <n v="5412.92"/>
    <n v="5863.56"/>
    <n v="1"/>
    <x v="9"/>
    <s v="SANTIAGO"/>
    <s v="ATLÁNTICO"/>
    <s v="ATLÁNTICO"/>
    <s v="BARRANQUILLA"/>
    <s v="201509"/>
    <s v="6027590020385"/>
    <s v="ÚNICO"/>
    <s v="TRANSPORTE MARÍTIMO"/>
    <s v="PANAMÁ"/>
    <s v="EXPORTACIONES DEFINITIVAS"/>
    <s v="EXPORTACIÓN DEFINITIVA DE MERCANCÍAS DE FABRICACIÓN Ó PRODUCCIÓN NACIONAL"/>
    <s v="ALADI"/>
    <s v="NO"/>
    <s v="Dólar de los Estados Unidos de América"/>
    <s v="CON REINTEGRO"/>
    <n v="78262.48"/>
    <n v="243674144.59999999"/>
    <n v="0"/>
    <n v="912.15"/>
    <n v="197.94"/>
    <n v="0"/>
    <s v="AMÉRICA"/>
  </r>
  <r>
    <n v="500"/>
    <n v="2015"/>
    <n v="9"/>
    <n v="8"/>
    <s v="2015"/>
    <s v="09"/>
    <s v="08"/>
    <s v="INICIAL"/>
    <s v="20150908"/>
    <s v="600758693847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367416"/>
    <n v="829.48"/>
    <n v="898.53"/>
    <n v="2"/>
    <x v="9"/>
    <s v="SANTIAGO"/>
    <s v="ATLÁNTICO"/>
    <s v="ATLÁNTICO"/>
    <s v="BARRANQUILLA"/>
    <s v="201509"/>
    <s v="6027590020385"/>
    <s v="ÚNICO"/>
    <s v="TRANSPORTE MARÍTIMO"/>
    <s v="PANAMÁ"/>
    <s v="EXPORTACIONES DEFINITIVAS"/>
    <s v="EXPORTACIÓN DEFINITIVA DE MERCANCÍAS DE FABRICACIÓN Ó PRODUCCIÓN NACIONAL"/>
    <s v="ALADI"/>
    <s v="NO"/>
    <s v="Dólar de los Estados Unidos de América"/>
    <s v="CON REINTEGRO"/>
    <n v="12265.68"/>
    <n v="38189807.960000001"/>
    <n v="0"/>
    <n v="142.96"/>
    <n v="31.02"/>
    <n v="0"/>
    <s v="AMÉRICA"/>
  </r>
  <r>
    <n v="501"/>
    <n v="2015"/>
    <n v="9"/>
    <n v="11"/>
    <s v="2015"/>
    <s v="09"/>
    <s v="11"/>
    <s v="INICIAL"/>
    <s v="20150911"/>
    <s v="600758707388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771500"/>
    <n v="1719.85"/>
    <n v="1869.93"/>
    <n v="2"/>
    <x v="17"/>
    <s v="SEOUL"/>
    <s v="ATLÁNTICO"/>
    <s v="ATLÁNTICO"/>
    <s v="BARRANQUILLA"/>
    <s v="201509"/>
    <s v="6027590272365"/>
    <s v="ÚNICO"/>
    <s v="TRANSPORTE MARÍTIMO"/>
    <s v="SINGAPUR"/>
    <s v="EXPORTACIONES DEFINITIVAS"/>
    <s v="EXPORTACIÓN DEFINITIVA DE MERCANCÍAS DE FABRICACIÓN Ó PRODUCCIÓN NACIONAL"/>
    <s v="NINGUNO"/>
    <s v="NO"/>
    <s v="Dólar de los Estados Unidos de América"/>
    <s v="CON REINTEGRO"/>
    <n v="22394.5"/>
    <n v="68987824.859999999"/>
    <n v="0"/>
    <n v="313.38"/>
    <n v="56.77"/>
    <n v="139.19"/>
    <s v="ASIA"/>
  </r>
  <r>
    <n v="502"/>
    <n v="2015"/>
    <n v="9"/>
    <n v="11"/>
    <s v="2015"/>
    <s v="09"/>
    <s v="11"/>
    <s v="INICIAL"/>
    <s v="20150911"/>
    <s v="600758707388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1433000"/>
    <n v="3037.7"/>
    <n v="3302.79"/>
    <n v="1"/>
    <x v="17"/>
    <s v="SEOUL"/>
    <s v="ATLÁNTICO"/>
    <s v="ATLÁNTICO"/>
    <s v="BARRANQUILLA"/>
    <s v="201509"/>
    <s v="6027590272365"/>
    <s v="ÚNICO"/>
    <s v="TRANSPORTE MARÍTIMO"/>
    <s v="SINGAPUR"/>
    <s v="EXPORTACIONES DEFINITIVAS"/>
    <s v="EXPORTACIÓN DEFINITIVA DE MERCANCÍAS DE FABRICACIÓN Ó PRODUCCIÓN NACIONAL"/>
    <s v="NINGUNO"/>
    <s v="NO"/>
    <s v="Dólar de los Estados Unidos de América"/>
    <s v="CON REINTEGRO"/>
    <n v="42505.8"/>
    <n v="130942092.3"/>
    <n v="0"/>
    <n v="594.79999999999995"/>
    <n v="107.75"/>
    <n v="264.19"/>
    <s v="ASIA"/>
  </r>
  <r>
    <n v="503"/>
    <n v="2015"/>
    <n v="9"/>
    <n v="11"/>
    <s v="2015"/>
    <s v="09"/>
    <s v="11"/>
    <s v="INICIAL"/>
    <s v="20150911"/>
    <s v="600758707389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3923299000"/>
    <s v="Sacos (bolsas), bolsitas y cucuruchos."/>
    <s v="UNIDADES"/>
    <n v="11000"/>
    <n v="64.02"/>
    <n v="67.739999999999995"/>
    <n v="1"/>
    <x v="17"/>
    <s v="SEOUL"/>
    <s v="ATLÁNTICO"/>
    <s v="ATLÁNTICO"/>
    <s v="BARRANQUILLA"/>
    <s v="201509"/>
    <s v="6027590272673"/>
    <s v="ÚNICO"/>
    <s v="TRANSPORTE MARÍTIMO"/>
    <s v="SINGAPUR"/>
    <s v="EXPORTACIONES DEFINITIVAS"/>
    <s v="EXPORTACIÓN DEFINITIVA DE MERCANCÍAS DE FABRICACIÓN Ó PRODUCCIÓN NACIONAL"/>
    <s v="NINGUNO"/>
    <s v="NO"/>
    <s v="Dólar de los Estados Unidos de América"/>
    <s v="CON REINTEGRO"/>
    <n v="480"/>
    <n v="1478673.6"/>
    <n v="0"/>
    <n v="100"/>
    <n v="12"/>
    <n v="0"/>
    <s v="ASIA"/>
  </r>
  <r>
    <n v="504"/>
    <n v="2015"/>
    <n v="9"/>
    <n v="11"/>
    <s v="2015"/>
    <s v="09"/>
    <s v="11"/>
    <s v="INICIAL"/>
    <s v="20150911"/>
    <s v="600758707388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12500"/>
    <n v="60.35"/>
    <n v="65.61"/>
    <n v="4"/>
    <x v="17"/>
    <s v="SEOUL"/>
    <s v="ATLÁNTICO"/>
    <s v="ATLÁNTICO"/>
    <s v="BARRANQUILLA"/>
    <s v="201509"/>
    <s v="6027590272365"/>
    <s v="ÚNICO"/>
    <s v="TRANSPORTE MARÍTIMO"/>
    <s v="SINGAPUR"/>
    <s v="EXPORTACIONES DEFINITIVAS"/>
    <s v="EXPORTACIÓN DEFINITIVA DE MERCANCÍAS DE FABRICACIÓN Ó PRODUCCIÓN NACIONAL"/>
    <s v="NINGUNO"/>
    <s v="NO"/>
    <s v="Dólar de los Estados Unidos de América"/>
    <s v="CON REINTEGRO"/>
    <n v="1714"/>
    <n v="5280096.9800000004"/>
    <n v="0"/>
    <n v="23.98"/>
    <n v="4.3499999999999996"/>
    <n v="10.65"/>
    <s v="ASIA"/>
  </r>
  <r>
    <n v="505"/>
    <n v="2015"/>
    <n v="9"/>
    <n v="11"/>
    <s v="2015"/>
    <s v="09"/>
    <s v="11"/>
    <s v="INICIAL"/>
    <s v="20150911"/>
    <s v="600758707388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59000"/>
    <n v="212.12"/>
    <n v="230.63"/>
    <n v="3"/>
    <x v="17"/>
    <s v="SEOUL"/>
    <s v="ATLÁNTICO"/>
    <s v="ATLÁNTICO"/>
    <s v="BARRANQUILLA"/>
    <s v="201509"/>
    <s v="6027590272365"/>
    <s v="ÚNICO"/>
    <s v="TRANSPORTE MARÍTIMO"/>
    <s v="SINGAPUR"/>
    <s v="EXPORTACIONES DEFINITIVAS"/>
    <s v="EXPORTACIÓN DEFINITIVA DE MERCANCÍAS DE FABRICACIÓN Ó PRODUCCIÓN NACIONAL"/>
    <s v="NINGUNO"/>
    <s v="NO"/>
    <s v="Dólar de los Estados Unidos de América"/>
    <s v="CON REINTEGRO"/>
    <n v="4848"/>
    <n v="14934603.359999999"/>
    <n v="0"/>
    <n v="67.84"/>
    <n v="12.29"/>
    <n v="30.13"/>
    <s v="ASIA"/>
  </r>
  <r>
    <n v="506"/>
    <n v="2015"/>
    <n v="9"/>
    <n v="11"/>
    <s v="2015"/>
    <s v="09"/>
    <s v="11"/>
    <s v="INICIAL"/>
    <s v="20150911"/>
    <s v="600758716220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LPEN PRODUCTS PTY LTD"/>
    <s v="PO BOX 469, DEE WHY NSW 2099"/>
    <s v="9503009910"/>
    <s v="Globos de latex de caucho natural."/>
    <s v="UNIDADES"/>
    <n v="617640"/>
    <n v="1905.8"/>
    <n v="2096.2800000000002"/>
    <n v="2"/>
    <x v="5"/>
    <s v="SIDNEY"/>
    <s v="ATLÁNTICO"/>
    <s v="ATLÁNTICO"/>
    <s v="CARTAGENA"/>
    <s v="201509"/>
    <s v="6027589697712"/>
    <s v="ÚNICO"/>
    <s v="TRANSPORTE MARÍTIMO"/>
    <s v="LIBERIA"/>
    <s v="EXPORTACIONES DEFINITIVAS"/>
    <s v="EXPORTACIÓN DEFINITIVA DE MERCANCÍAS DE FABRICACIÓN Ó PRODUCCIÓN NACIONAL"/>
    <s v="NINGUNO"/>
    <s v="NO"/>
    <s v="Dólar de los Estados Unidos de América"/>
    <s v="CON REINTEGRO"/>
    <n v="27910"/>
    <n v="85978708.700000003"/>
    <n v="0"/>
    <n v="539.53"/>
    <n v="0"/>
    <n v="0"/>
    <s v="OCEANÍA"/>
  </r>
  <r>
    <n v="507"/>
    <n v="2015"/>
    <n v="9"/>
    <n v="11"/>
    <s v="2015"/>
    <s v="09"/>
    <s v="11"/>
    <s v="INICIAL"/>
    <s v="20150911"/>
    <s v="600758716220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LPEN PRODUCTS PTY LTD"/>
    <s v="PO BOX 469, DEE WHY NSW 2099"/>
    <s v="9503009910"/>
    <s v="Globos de latex de caucho natural."/>
    <s v="UNIDADES"/>
    <n v="486590"/>
    <n v="1389.84"/>
    <n v="1528.75"/>
    <n v="1"/>
    <x v="5"/>
    <s v="SIDNEY"/>
    <s v="ATLÁNTICO"/>
    <s v="ATLÁNTICO"/>
    <s v="CARTAGENA"/>
    <s v="201509"/>
    <s v="6027589697712"/>
    <s v="ÚNICO"/>
    <s v="TRANSPORTE MARÍTIMO"/>
    <s v="LIBERIA"/>
    <s v="EXPORTACIONES DEFINITIVAS"/>
    <s v="EXPORTACIÓN DEFINITIVA DE MERCANCÍAS DE FABRICACIÓN Ó PRODUCCIÓN NACIONAL"/>
    <s v="NINGUNO"/>
    <s v="NO"/>
    <s v="Dólar de los Estados Unidos de América"/>
    <s v="CON REINTEGRO"/>
    <n v="22014.1"/>
    <n v="67815976.030000001"/>
    <n v="0"/>
    <n v="425.55"/>
    <n v="0"/>
    <n v="0"/>
    <s v="OCEANÍA"/>
  </r>
  <r>
    <n v="508"/>
    <n v="2015"/>
    <n v="9"/>
    <n v="11"/>
    <s v="2015"/>
    <s v="09"/>
    <s v="11"/>
    <s v="INICIAL"/>
    <s v="20150911"/>
    <s v="600758716220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LPEN PRODUCTS PTY LTD"/>
    <s v="PO BOX 469, DEE WHY NSW 2099"/>
    <s v="9503009910"/>
    <s v="Globos de latex de caucho natural."/>
    <s v="UNIDADES"/>
    <n v="223500"/>
    <n v="828.24"/>
    <n v="911.02"/>
    <n v="4"/>
    <x v="5"/>
    <s v="SIDNEY"/>
    <s v="ATLÁNTICO"/>
    <s v="ATLÁNTICO"/>
    <s v="CARTAGENA"/>
    <s v="201509"/>
    <s v="6027589697712"/>
    <s v="ÚNICO"/>
    <s v="TRANSPORTE MARÍTIMO"/>
    <s v="LIBERIA"/>
    <s v="EXPORTACIONES DEFINITIVAS"/>
    <s v="EXPORTACIÓN DEFINITIVA DE MERCANCÍAS DE FABRICACIÓN Ó PRODUCCIÓN NACIONAL"/>
    <s v="NINGUNO"/>
    <s v="NO"/>
    <s v="Dólar de los Estados Unidos de América"/>
    <s v="CON REINTEGRO"/>
    <n v="23691"/>
    <n v="72981783.870000005"/>
    <n v="0"/>
    <n v="457.97"/>
    <n v="0"/>
    <n v="0"/>
    <s v="OCEANÍA"/>
  </r>
  <r>
    <n v="509"/>
    <n v="2015"/>
    <n v="9"/>
    <n v="11"/>
    <s v="2015"/>
    <s v="09"/>
    <s v="11"/>
    <s v="INICIAL"/>
    <s v="20150911"/>
    <s v="600758716220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LPEN PRODUCTS PTY LTD"/>
    <s v="PO BOX 469, DEE WHY NSW 2099"/>
    <s v="9503009910"/>
    <s v="Globos de latex de caucho natural."/>
    <s v="UNIDADES"/>
    <n v="164500"/>
    <n v="565.67999999999995"/>
    <n v="622.21"/>
    <n v="3"/>
    <x v="5"/>
    <s v="SIDNEY"/>
    <s v="ATLÁNTICO"/>
    <s v="ATLÁNTICO"/>
    <s v="CARTAGENA"/>
    <s v="201509"/>
    <s v="6027589697712"/>
    <s v="ÚNICO"/>
    <s v="TRANSPORTE MARÍTIMO"/>
    <s v="LIBERIA"/>
    <s v="EXPORTACIONES DEFINITIVAS"/>
    <s v="EXPORTACIÓN DEFINITIVA DE MERCANCÍAS DE FABRICACIÓN Ó PRODUCCIÓN NACIONAL"/>
    <s v="NINGUNO"/>
    <s v="NO"/>
    <s v="Dólar de los Estados Unidos de América"/>
    <s v="CON REINTEGRO"/>
    <n v="16913"/>
    <n v="52101680.409999996"/>
    <n v="0"/>
    <n v="326.95"/>
    <n v="0"/>
    <n v="0"/>
    <s v="OCEANÍA"/>
  </r>
  <r>
    <n v="510"/>
    <n v="2015"/>
    <n v="9"/>
    <n v="11"/>
    <s v="2015"/>
    <s v="09"/>
    <s v="11"/>
    <s v="INICIAL"/>
    <s v="20150911"/>
    <s v="600758716221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LPEN PRODUCTS PTY LTD"/>
    <s v="PO BOX 469, DEE WHY NSW 2099"/>
    <s v="3923299000"/>
    <s v="Sacos (bolsas), bolsitas y cucuruchos."/>
    <s v="UNIDADES"/>
    <n v="1000"/>
    <n v="4.08"/>
    <n v="4.62"/>
    <n v="1"/>
    <x v="5"/>
    <s v="SIDNEY"/>
    <s v="ATLÁNTICO"/>
    <s v="ATLÁNTICO"/>
    <s v="CARTAGENA"/>
    <s v="201509"/>
    <s v="6027589697871"/>
    <s v="ÚNICO"/>
    <s v="TRANSPORTE MARÍTIMO"/>
    <s v="LIBERIA"/>
    <s v="EXPORTACIONES DEFINITIVAS"/>
    <s v="EXPORTACIÓN DEFINITIVA DE MERCANCÍAS DE FABRICACIÓN Ó PRODUCCIÓN NACIONAL"/>
    <s v="NINGUNO"/>
    <s v="NO"/>
    <s v="Dólar de los Estados Unidos de América"/>
    <s v="CON REINTEGRO"/>
    <n v="35"/>
    <n v="107819.95"/>
    <n v="0"/>
    <n v="50"/>
    <n v="0"/>
    <n v="0"/>
    <s v="OCEANÍA"/>
  </r>
  <r>
    <n v="511"/>
    <n v="2015"/>
    <n v="9"/>
    <n v="11"/>
    <s v="2015"/>
    <s v="09"/>
    <s v="11"/>
    <s v="INICIAL"/>
    <s v="20150911"/>
    <s v="600758707390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632800"/>
    <n v="1932.01"/>
    <n v="2221.71"/>
    <n v="1"/>
    <x v="2"/>
    <s v="SAINT LOUIS"/>
    <s v="ATLÁNTICO"/>
    <s v="ATLÁNTICO"/>
    <s v="BARRANQUILLA"/>
    <s v="201509"/>
    <s v="6027590276114"/>
    <s v="ÚNICO"/>
    <s v="TRANSPORTE MARÍTIMO"/>
    <s v="SINGAPUR"/>
    <s v="EXPORTACIONES DEFINITIVAS"/>
    <s v="EXPORTACIÓN DEFINITIVA DE MERCANCÍAS DE FABRICACIÓN Ó PRODUCCIÓN NACIONAL"/>
    <s v="NINGUNO"/>
    <s v="NO"/>
    <s v="Dólar de los Estados Unidos de América"/>
    <s v="CON REINTEGRO"/>
    <n v="25744.799999999999"/>
    <n v="79308658.530000001"/>
    <n v="0"/>
    <n v="2013.96"/>
    <n v="0"/>
    <n v="0"/>
    <s v="AMÉRICA"/>
  </r>
  <r>
    <n v="512"/>
    <n v="2015"/>
    <n v="9"/>
    <n v="11"/>
    <s v="2015"/>
    <s v="09"/>
    <s v="11"/>
    <s v="INICIAL"/>
    <s v="20150911"/>
    <s v="600758707390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72000"/>
    <n v="244.51"/>
    <n v="281.17"/>
    <n v="3"/>
    <x v="2"/>
    <s v="SAINT LOUIS"/>
    <s v="ATLÁNTICO"/>
    <s v="ATLÁNTICO"/>
    <s v="BARRANQUILLA"/>
    <s v="201509"/>
    <s v="6027590276114"/>
    <s v="ÚNICO"/>
    <s v="TRANSPORTE MARÍTIMO"/>
    <s v="SINGAPUR"/>
    <s v="EXPORTACIONES DEFINITIVAS"/>
    <s v="EXPORTACIÓN DEFINITIVA DE MERCANCÍAS DE FABRICACIÓN Ó PRODUCCIÓN NACIONAL"/>
    <s v="NINGUNO"/>
    <s v="NO"/>
    <s v="Dólar de los Estados Unidos de América"/>
    <s v="CON REINTEGRO"/>
    <n v="7790.4"/>
    <n v="23998872.52"/>
    <n v="0"/>
    <n v="609.42999999999995"/>
    <n v="0"/>
    <n v="0"/>
    <s v="AMÉRICA"/>
  </r>
  <r>
    <n v="513"/>
    <n v="2015"/>
    <n v="9"/>
    <n v="11"/>
    <s v="2015"/>
    <s v="09"/>
    <s v="11"/>
    <s v="INICIAL"/>
    <s v="20150911"/>
    <s v="600758707390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55000"/>
    <n v="154.82"/>
    <n v="178.03"/>
    <n v="2"/>
    <x v="2"/>
    <s v="SAINT LOUIS"/>
    <s v="ATLÁNTICO"/>
    <s v="ATLÁNTICO"/>
    <s v="BARRANQUILLA"/>
    <s v="201509"/>
    <s v="6027590276114"/>
    <s v="ÚNICO"/>
    <s v="TRANSPORTE MARÍTIMO"/>
    <s v="SINGAPUR"/>
    <s v="EXPORTACIONES DEFINITIVAS"/>
    <s v="EXPORTACIÓN DEFINITIVA DE MERCANCÍAS DE FABRICACIÓN Ó PRODUCCIÓN NACIONAL"/>
    <s v="NINGUNO"/>
    <s v="NO"/>
    <s v="Dólar de los Estados Unidos de América"/>
    <s v="CON REINTEGRO"/>
    <n v="2257.6"/>
    <n v="6954694.8300000001"/>
    <n v="0"/>
    <n v="176.61"/>
    <n v="0"/>
    <n v="0"/>
    <s v="AMÉRICA"/>
  </r>
  <r>
    <n v="514"/>
    <n v="2015"/>
    <n v="9"/>
    <n v="11"/>
    <s v="2015"/>
    <s v="09"/>
    <s v="11"/>
    <s v="INICIAL"/>
    <s v="20150911"/>
    <s v="600758707409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COMERCIAL REUTTER S.A."/>
    <s v="AV. EL SALTO 4447, HUECHURABA"/>
    <s v="9503009910"/>
    <s v="Globos de latex de caucho natural."/>
    <s v="UNIDADES"/>
    <n v="6852400"/>
    <n v="14200.34"/>
    <n v="15587.6"/>
    <n v="1"/>
    <x v="9"/>
    <s v="SANTIAGO"/>
    <s v="ATLÁNTICO"/>
    <s v="ATLÁNTICO"/>
    <s v="BARRANQUILLA"/>
    <s v="201509"/>
    <s v="6027590028406"/>
    <s v="ÚNICO"/>
    <s v="TRANSPORTE MARÍTIMO"/>
    <s v="SINGAPUR"/>
    <s v="EXPORTACIONES DEFINITIVAS"/>
    <s v="EXPORTACIÓN DEFINITIVA DE MERCANCÍAS DE FABRICACIÓN Ó PRODUCCIÓN NACIONAL"/>
    <s v="ALADI"/>
    <s v="NO"/>
    <s v="Dólar de los Estados Unidos de América"/>
    <s v="CON REINTEGRO"/>
    <n v="193539"/>
    <n v="596210437.23000002"/>
    <n v="0"/>
    <n v="0"/>
    <n v="0"/>
    <n v="0"/>
    <s v="AMÉRICA"/>
  </r>
  <r>
    <n v="515"/>
    <n v="2015"/>
    <n v="9"/>
    <n v="14"/>
    <s v="2015"/>
    <s v="09"/>
    <s v="14"/>
    <s v="INICIAL"/>
    <s v="20150914"/>
    <s v="6007587164323"/>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MARCANSEL COMERCIO LDA"/>
    <s v="TRAVESSA ARNALDO DE NOVAIS Nr 2, MUNICIPIO DE MAIANGA"/>
    <s v="9503009910"/>
    <s v="Globos de latex de caucho natural."/>
    <s v="UNIDADES"/>
    <n v="767500"/>
    <n v="1737.07"/>
    <n v="1860"/>
    <n v="1"/>
    <x v="40"/>
    <s v="LUANDA"/>
    <s v="ATLÁNTICO"/>
    <s v="ATLÁNTICO"/>
    <s v="BOGOTÁ"/>
    <s v="201509"/>
    <s v="6027590420512"/>
    <s v="ÚNICO"/>
    <s v="TRANSPORTE AÉREO"/>
    <s v="ALEMANIA"/>
    <s v="EXPORTACIONES DEFINITIVAS"/>
    <s v="EXPORTACIÓN DEFINITIVA DE MERCANCÍAS DE FABRICACIÓN Ó PRODUCCIÓN NACIONAL"/>
    <s v="NINGUNO"/>
    <s v="NO"/>
    <s v="Dólar de los Estados Unidos de América"/>
    <s v="CON REINTEGRO"/>
    <n v="34020.800000000003"/>
    <n v="102503309.56"/>
    <n v="0"/>
    <n v="9924.68"/>
    <n v="109.86"/>
    <n v="0"/>
    <s v="ÁFRICA"/>
  </r>
  <r>
    <n v="516"/>
    <n v="2015"/>
    <n v="9"/>
    <n v="23"/>
    <s v="2015"/>
    <s v="09"/>
    <s v="23"/>
    <s v="INICIAL"/>
    <s v="20150923"/>
    <s v="6007587507425"/>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PROLATEX"/>
    <s v="PO BOX 68730, SHOP 13 MALIHA ROAD, INDUSTRIAL AREA 18"/>
    <s v="4911100000"/>
    <s v="Impresos publicitarios, catalogos comerciales y similares."/>
    <s v="KILOGRAMO"/>
    <n v="6.07"/>
    <n v="6.07"/>
    <n v="7"/>
    <n v="1"/>
    <x v="41"/>
    <s v="SHARJAH"/>
    <s v="ATLÁNTICO"/>
    <s v="ATLÁNTICO"/>
    <s v="CARTAGENA"/>
    <s v="201509"/>
    <s v="6027589881610"/>
    <s v="ÚNICO"/>
    <s v="TRANSPORTE MARÍTIMO"/>
    <s v="ALEMANIA"/>
    <s v="EXPORTACIONES DEFINITIVAS"/>
    <s v="EXPORTACION TEMPORAL PARA PERFECCIONAMIENTO PASIVO"/>
    <s v="NINGUNO"/>
    <s v="NO"/>
    <s v="Dólar de los Estados Unidos de América"/>
    <s v="SIN REINTEGRO"/>
    <n v="1.25"/>
    <n v="3832.17"/>
    <n v="0"/>
    <n v="0"/>
    <n v="0"/>
    <n v="0"/>
    <s v="ASIA"/>
  </r>
  <r>
    <n v="517"/>
    <n v="2015"/>
    <n v="9"/>
    <n v="23"/>
    <s v="2015"/>
    <s v="09"/>
    <s v="23"/>
    <s v="INICIAL"/>
    <s v="20150923"/>
    <s v="600758750741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PROLATEX"/>
    <s v="PO BOX 68730, SHOP 13 MALIHA ROAD, INDUSTRIAL AREA 18"/>
    <s v="9503009910"/>
    <s v="Globos de latex de caucho natural."/>
    <s v="UNIDADES"/>
    <n v="144000"/>
    <n v="479.87"/>
    <n v="517.98"/>
    <n v="2"/>
    <x v="41"/>
    <s v="SHARJAH"/>
    <s v="ATLÁNTICO"/>
    <s v="ATLÁNTICO"/>
    <s v="CARTAGENA"/>
    <s v="201509"/>
    <s v="6027589881570"/>
    <s v="ÚNICO"/>
    <s v="TRANSPORTE MARÍTIMO"/>
    <s v="ALEMANIA"/>
    <s v="EXPORTACIONES DEFINITIVAS"/>
    <s v="EXPORTACIÓN DEFINITIVA DE MERCANCÍAS DE FABRICACIÓN Ó PRODUCCIÓN NACIONAL"/>
    <s v="NINGUNO"/>
    <s v="NO"/>
    <s v="Dólar de los Estados Unidos de América"/>
    <s v="CON REINTEGRO"/>
    <n v="6777.5"/>
    <n v="20778052.850000001"/>
    <n v="0"/>
    <n v="443.17"/>
    <n v="0"/>
    <n v="0"/>
    <s v="ASIA"/>
  </r>
  <r>
    <n v="518"/>
    <n v="2015"/>
    <n v="9"/>
    <n v="23"/>
    <s v="2015"/>
    <s v="09"/>
    <s v="23"/>
    <s v="INICIAL"/>
    <s v="20150923"/>
    <s v="600758750741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PROLATEX"/>
    <s v="PO BOX 68730, SHOP 13 MALIHA ROAD, INDUSTRIAL AREA 18"/>
    <s v="9503009910"/>
    <s v="Globos de latex de caucho natural."/>
    <s v="UNIDADES"/>
    <n v="351500"/>
    <n v="953.85"/>
    <n v="1029.5999999999999"/>
    <n v="1"/>
    <x v="41"/>
    <s v="SHARJAH"/>
    <s v="ATLÁNTICO"/>
    <s v="ATLÁNTICO"/>
    <s v="CARTAGENA"/>
    <s v="201509"/>
    <s v="6027589881570"/>
    <s v="ÚNICO"/>
    <s v="TRANSPORTE MARÍTIMO"/>
    <s v="ALEMANIA"/>
    <s v="EXPORTACIONES DEFINITIVAS"/>
    <s v="EXPORTACIÓN DEFINITIVA DE MERCANCÍAS DE FABRICACIÓN Ó PRODUCCIÓN NACIONAL"/>
    <s v="NINGUNO"/>
    <s v="NO"/>
    <s v="Dólar de los Estados Unidos de América"/>
    <s v="CON REINTEGRO"/>
    <n v="14632.5"/>
    <n v="44859440.549999997"/>
    <n v="0"/>
    <n v="956.8"/>
    <n v="0"/>
    <n v="0"/>
    <s v="ASIA"/>
  </r>
  <r>
    <n v="519"/>
    <n v="2015"/>
    <n v="9"/>
    <n v="23"/>
    <s v="2015"/>
    <s v="09"/>
    <s v="23"/>
    <s v="INICIAL"/>
    <s v="20150923"/>
    <s v="600758750741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PROLATEX"/>
    <s v="PO BOX 68730, SHOP 13 MALIHA ROAD, INDUSTRIAL AREA 18"/>
    <s v="9503009910"/>
    <s v="Globos de latex de caucho natural."/>
    <s v="UNIDADES"/>
    <n v="27500"/>
    <n v="111.9"/>
    <n v="120.78"/>
    <n v="3"/>
    <x v="41"/>
    <s v="SHARJAH"/>
    <s v="ATLÁNTICO"/>
    <s v="ATLÁNTICO"/>
    <s v="CARTAGENA"/>
    <s v="201509"/>
    <s v="6027589881570"/>
    <s v="ÚNICO"/>
    <s v="TRANSPORTE MARÍTIMO"/>
    <s v="ALEMANIA"/>
    <s v="EXPORTACIONES DEFINITIVAS"/>
    <s v="EXPORTACIÓN DEFINITIVA DE MERCANCÍAS DE FABRICACIÓN Ó PRODUCCIÓN NACIONAL"/>
    <s v="NINGUNO"/>
    <s v="NO"/>
    <s v="Dólar de los Estados Unidos de América"/>
    <s v="CON REINTEGRO"/>
    <n v="3059"/>
    <n v="9378098.6600000001"/>
    <n v="0"/>
    <n v="200.02"/>
    <n v="0"/>
    <n v="0"/>
    <s v="ASIA"/>
  </r>
  <r>
    <n v="520"/>
    <n v="2015"/>
    <n v="9"/>
    <n v="28"/>
    <s v="2015"/>
    <s v="09"/>
    <s v="28"/>
    <s v="INICIAL"/>
    <s v="20150928"/>
    <s v="600758775713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FIVE STAR QUALITY PRODUCTS"/>
    <s v="130 NEWTON ROAD, WETHERILL PARK 2164"/>
    <s v="9503009910"/>
    <s v="Globos de latex de caucho natural."/>
    <s v="UNIDADES"/>
    <n v="144"/>
    <n v="0.93"/>
    <n v="1.02"/>
    <n v="1"/>
    <x v="5"/>
    <s v="SYDNEY"/>
    <s v="ATLÁNTICO"/>
    <s v="ATLÁNTICO"/>
    <s v="BOGOTÁ"/>
    <s v="201509"/>
    <s v="6027591009088"/>
    <s v="ÚNICO"/>
    <s v="TRANSPORTE AÉREO"/>
    <s v="CANADÁ"/>
    <s v="EXPORTACIONES DEFINITIVAS"/>
    <s v="EXPORTACION TEMPORAL PARA PERFECCIONAMIENTO PASIVO"/>
    <s v="NINGUNO"/>
    <s v="NO"/>
    <s v="Dólar de los Estados Unidos de América"/>
    <s v="SIN REINTEGRO"/>
    <n v="12"/>
    <n v="36965.279999999999"/>
    <n v="0"/>
    <n v="0"/>
    <n v="0"/>
    <n v="0"/>
    <s v="OCEANÍA"/>
  </r>
  <r>
    <n v="521"/>
    <n v="2015"/>
    <n v="9"/>
    <n v="28"/>
    <s v="2015"/>
    <s v="09"/>
    <s v="28"/>
    <s v="INICIAL"/>
    <s v="20150928"/>
    <s v="6007587728768"/>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GLOOB PARTY SAC"/>
    <s v="CALLE TEODORO CARDENAS 640 CERCADO DE LIMA"/>
    <s v="9503009910"/>
    <s v="Globos de latex de caucho natural."/>
    <s v="UNIDADES"/>
    <n v="422500"/>
    <n v="1128.97"/>
    <n v="1221"/>
    <n v="1"/>
    <x v="23"/>
    <s v="LIMA"/>
    <s v="ATLÁNTICO"/>
    <s v="ATLÁNTICO"/>
    <s v="BARRANQUILLA"/>
    <s v="201509"/>
    <s v="6027591017498"/>
    <s v="ÚNICO"/>
    <s v="TRANSPORTE AÉREO"/>
    <s v="COLOMBIA"/>
    <s v="EXPORTACIONES DEFINITIVAS"/>
    <s v="EXPORTACIÓN DEFINITIVA DE MERCANCÍAS DE FABRICACIÓN Ó PRODUCCIÓN NACIONAL"/>
    <s v="NINGUNO"/>
    <s v="NO"/>
    <s v="Dólar de los Estados Unidos de América"/>
    <s v="CON REINTEGRO"/>
    <n v="18771"/>
    <n v="57822939.240000002"/>
    <n v="0"/>
    <n v="653.85"/>
    <n v="48.56"/>
    <n v="0"/>
    <s v="AMÉRICA"/>
  </r>
  <r>
    <n v="522"/>
    <n v="2015"/>
    <n v="9"/>
    <n v="28"/>
    <s v="2015"/>
    <s v="09"/>
    <s v="28"/>
    <s v="INICIAL"/>
    <s v="20150928"/>
    <s v="600758775709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FIVE STAR QUALITY PRODUCTS"/>
    <s v="130 NEWTON ROAD, WETHERILL PARK 2164"/>
    <s v="9503009910"/>
    <s v="Globos de latex de caucho natural."/>
    <s v="UNIDADES"/>
    <n v="145600"/>
    <n v="579.92999999999995"/>
    <n v="620"/>
    <n v="1"/>
    <x v="5"/>
    <s v="SYDNEY"/>
    <s v="ATLÁNTICO"/>
    <s v="ATLÁNTICO"/>
    <s v="BOGOTÁ"/>
    <s v="201509"/>
    <s v="6027591009318"/>
    <s v="ÚNICO"/>
    <s v="TRANSPORTE AÉREO"/>
    <s v="CANADÁ"/>
    <s v="EXPORTACIONES DEFINITIVAS"/>
    <s v="EXPORTACIÓN DEFINITIVA DE MERCANCÍAS DE FABRICACIÓN Ó PRODUCCIÓN NACIONAL"/>
    <s v="NINGUNO"/>
    <s v="NO"/>
    <s v="Dólar de los Estados Unidos de América"/>
    <s v="CON REINTEGRO"/>
    <n v="18050.400000000001"/>
    <n v="55603174.170000002"/>
    <n v="0"/>
    <n v="0"/>
    <n v="0"/>
    <n v="0"/>
    <s v="OCEANÍA"/>
  </r>
  <r>
    <n v="523"/>
    <n v="2015"/>
    <n v="9"/>
    <n v="28"/>
    <s v="2015"/>
    <s v="09"/>
    <s v="28"/>
    <s v="INICIAL"/>
    <s v="20150928"/>
    <s v="600758774325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COMPANIA GOLY, S.A."/>
    <s v="EDIFICIO JUAN RAMON POLL CALLE 29 AVE. PERU"/>
    <s v="9503009910"/>
    <s v="Globos de latex de caucho natural."/>
    <s v="UNIDADES"/>
    <n v="43200"/>
    <n v="157.91"/>
    <n v="171.18"/>
    <n v="3"/>
    <x v="11"/>
    <s v="CIUDAD DE PANAMA"/>
    <s v="ATLÁNTICO"/>
    <s v="ATLÁNTICO"/>
    <s v="BARRANQUILLA"/>
    <s v="201509"/>
    <s v="6027590764400"/>
    <s v="ÚNICO"/>
    <s v="TRANSPORTE MARÍTIMO"/>
    <s v="SINGAPUR"/>
    <s v="EXPORTACIONES DEFINITIVAS"/>
    <s v="EXPORTACIÓN DEFINITIVA DE MERCANCÍAS DE FABRICACIÓN Ó PRODUCCIÓN NACIONAL"/>
    <s v="ALADI"/>
    <s v="NO"/>
    <s v="Dólar de los Estados Unidos de América"/>
    <s v="CON REINTEGRO"/>
    <n v="4802.3999999999996"/>
    <n v="14793505.050000001"/>
    <n v="0"/>
    <n v="0"/>
    <n v="0"/>
    <n v="0"/>
    <s v="AMÉRICA"/>
  </r>
  <r>
    <n v="524"/>
    <n v="2015"/>
    <n v="9"/>
    <n v="28"/>
    <s v="2015"/>
    <s v="09"/>
    <s v="28"/>
    <s v="INICIAL"/>
    <s v="20150928"/>
    <s v="600758774325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COMPANIA GOLY, S.A."/>
    <s v="EDIFICIO JUAN RAMON POLL CALLE 29 AVE. PERU"/>
    <s v="9503009910"/>
    <s v="Globos de latex de caucho natural."/>
    <s v="UNIDADES"/>
    <n v="516800"/>
    <n v="1068.2"/>
    <n v="1157.96"/>
    <n v="2"/>
    <x v="11"/>
    <s v="CIUDAD DE PANAMA"/>
    <s v="ATLÁNTICO"/>
    <s v="ATLÁNTICO"/>
    <s v="BARRANQUILLA"/>
    <s v="201509"/>
    <s v="6027590764400"/>
    <s v="ÚNICO"/>
    <s v="TRANSPORTE MARÍTIMO"/>
    <s v="SINGAPUR"/>
    <s v="EXPORTACIONES DEFINITIVAS"/>
    <s v="EXPORTACIÓN DEFINITIVA DE MERCANCÍAS DE FABRICACIÓN Ó PRODUCCIÓN NACIONAL"/>
    <s v="ALADI"/>
    <s v="NO"/>
    <s v="Dólar de los Estados Unidos de América"/>
    <s v="CON REINTEGRO"/>
    <n v="19350"/>
    <n v="59606514"/>
    <n v="0"/>
    <n v="0"/>
    <n v="0"/>
    <n v="0"/>
    <s v="AMÉRICA"/>
  </r>
  <r>
    <n v="525"/>
    <n v="2015"/>
    <n v="9"/>
    <n v="28"/>
    <s v="2015"/>
    <s v="09"/>
    <s v="28"/>
    <s v="INICIAL"/>
    <s v="20150928"/>
    <s v="600758774325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COMPANIA GOLY, S.A."/>
    <s v="EDIFICIO JUAN RAMON POLL CALLE 29 AVE. PERU"/>
    <s v="9503009910"/>
    <s v="Globos de latex de caucho natural."/>
    <s v="UNIDADES"/>
    <n v="545800"/>
    <n v="976.14"/>
    <n v="1058.17"/>
    <n v="1"/>
    <x v="11"/>
    <s v="CIUDAD DE PANAMA"/>
    <s v="ATLÁNTICO"/>
    <s v="ATLÁNTICO"/>
    <s v="BARRANQUILLA"/>
    <s v="201509"/>
    <s v="6027590764400"/>
    <s v="ÚNICO"/>
    <s v="TRANSPORTE MARÍTIMO"/>
    <s v="SINGAPUR"/>
    <s v="EXPORTACIONES DEFINITIVAS"/>
    <s v="EXPORTACIÓN DEFINITIVA DE MERCANCÍAS DE FABRICACIÓN Ó PRODUCCIÓN NACIONAL"/>
    <s v="ALADI"/>
    <s v="NO"/>
    <s v="Dólar de los Estados Unidos de América"/>
    <s v="CON REINTEGRO"/>
    <n v="18075.2"/>
    <n v="55679569.079999998"/>
    <n v="0"/>
    <n v="0"/>
    <n v="0"/>
    <n v="0"/>
    <s v="AMÉRICA"/>
  </r>
  <r>
    <n v="526"/>
    <n v="2015"/>
    <n v="9"/>
    <n v="28"/>
    <s v="2015"/>
    <s v="09"/>
    <s v="28"/>
    <s v="INICIAL"/>
    <s v="20150928"/>
    <s v="60075877627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1546600"/>
    <n v="4047.5"/>
    <n v="4734.8599999999997"/>
    <n v="1"/>
    <x v="2"/>
    <s v="SAINT LOUIS"/>
    <s v="ATLÁNTICO"/>
    <s v="ATLÁNTICO"/>
    <s v="BARRANQUILLA"/>
    <s v="201509"/>
    <s v="6027590761271"/>
    <s v="ÚNICO"/>
    <s v="TRANSPORTE MARÍTIMO"/>
    <s v="SINGAPUR"/>
    <s v="EXPORTACIONES DEFINITIVAS"/>
    <s v="EXPORTACIÓN DEFINITIVA DE MERCANCÍAS DE FABRICACIÓN Ó PRODUCCIÓN NACIONAL"/>
    <s v="NINGUNO"/>
    <s v="NO"/>
    <s v="Dólar de los Estados Unidos de América"/>
    <s v="CON REINTEGRO"/>
    <n v="52377.599999999999"/>
    <n v="161346054.13999999"/>
    <n v="0"/>
    <n v="2467.98"/>
    <n v="0"/>
    <n v="0"/>
    <s v="AMÉRICA"/>
  </r>
  <r>
    <n v="527"/>
    <n v="2015"/>
    <n v="9"/>
    <n v="28"/>
    <s v="2015"/>
    <s v="09"/>
    <s v="28"/>
    <s v="INICIAL"/>
    <s v="20150928"/>
    <s v="60075877627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113000"/>
    <n v="294.52999999999997"/>
    <n v="344.54"/>
    <n v="2"/>
    <x v="2"/>
    <s v="SAINT LOUIS"/>
    <s v="ATLÁNTICO"/>
    <s v="ATLÁNTICO"/>
    <s v="BARRANQUILLA"/>
    <s v="201509"/>
    <s v="6027590761271"/>
    <s v="ÚNICO"/>
    <s v="TRANSPORTE MARÍTIMO"/>
    <s v="SINGAPUR"/>
    <s v="EXPORTACIONES DEFINITIVAS"/>
    <s v="EXPORTACIÓN DEFINITIVA DE MERCANCÍAS DE FABRICACIÓN Ó PRODUCCIÓN NACIONAL"/>
    <s v="NINGUNO"/>
    <s v="NO"/>
    <s v="Dólar de los Estados Unidos de América"/>
    <s v="CON REINTEGRO"/>
    <n v="4411.2"/>
    <n v="13588436.92"/>
    <n v="0"/>
    <n v="207.85"/>
    <n v="0"/>
    <n v="0"/>
    <s v="AMÉRICA"/>
  </r>
  <r>
    <n v="528"/>
    <n v="2015"/>
    <n v="9"/>
    <n v="28"/>
    <s v="2015"/>
    <s v="09"/>
    <s v="28"/>
    <s v="INICIAL"/>
    <s v="20150928"/>
    <s v="60075877627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24000"/>
    <n v="88.02"/>
    <n v="102.96"/>
    <n v="3"/>
    <x v="2"/>
    <s v="SAINT LOUIS"/>
    <s v="ATLÁNTICO"/>
    <s v="ATLÁNTICO"/>
    <s v="BARRANQUILLA"/>
    <s v="201509"/>
    <s v="6027590761271"/>
    <s v="ÚNICO"/>
    <s v="TRANSPORTE MARÍTIMO"/>
    <s v="SINGAPUR"/>
    <s v="EXPORTACIONES DEFINITIVAS"/>
    <s v="EXPORTACIÓN DEFINITIVA DE MERCANCÍAS DE FABRICACIÓN Ó PRODUCCIÓN NACIONAL"/>
    <s v="NINGUNO"/>
    <s v="NO"/>
    <s v="Dólar de los Estados Unidos de América"/>
    <s v="CON REINTEGRO"/>
    <n v="2635.2"/>
    <n v="8117575.4800000004"/>
    <n v="0"/>
    <n v="124.17"/>
    <n v="0"/>
    <n v="0"/>
    <s v="AMÉRICA"/>
  </r>
  <r>
    <n v="529"/>
    <n v="2015"/>
    <n v="9"/>
    <n v="28"/>
    <s v="2015"/>
    <s v="09"/>
    <s v="28"/>
    <s v="INICIAL"/>
    <s v="20150928"/>
    <s v="6007587723330"/>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SUZUKI LATEX INDUSTRY CO., LTD."/>
    <s v="1-9-1, NAKASE, MIHAMA-KU, CHIBA261-0023"/>
    <s v="9503009910"/>
    <s v="Globos de latex de caucho natural."/>
    <s v="UNIDADES"/>
    <n v="304000"/>
    <n v="635.96"/>
    <n v="684"/>
    <n v="1"/>
    <x v="8"/>
    <s v="TOKYO"/>
    <s v="ATLÁNTICO"/>
    <s v="ATLÁNTICO"/>
    <s v="BOGOTÁ"/>
    <s v="201509"/>
    <s v="6027590873130"/>
    <s v="ÚNICO"/>
    <s v="TRANSPORTE AÉREO"/>
    <s v="ESTADOS UNIDOS"/>
    <s v="EXPORTACIONES DEFINITIVAS"/>
    <s v="EXPORTACIÓN DEFINITIVA DE MERCANCÍAS DE FABRICACIÓN Ó PRODUCCIÓN NACIONAL"/>
    <s v="NINGUNO"/>
    <s v="NO"/>
    <s v="Dólar de los Estados Unidos de América"/>
    <s v="CON REINTEGRO"/>
    <n v="9457.58"/>
    <n v="29133507.73"/>
    <n v="0"/>
    <n v="500"/>
    <n v="24.89"/>
    <n v="0"/>
    <s v="ASIA"/>
  </r>
  <r>
    <n v="530"/>
    <n v="2015"/>
    <n v="9"/>
    <n v="30"/>
    <s v="2015"/>
    <s v="09"/>
    <s v="30"/>
    <s v="INICIAL"/>
    <s v="20150930"/>
    <s v="600758791249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90000"/>
    <n v="310.94"/>
    <n v="339.08"/>
    <n v="3"/>
    <x v="7"/>
    <s v="BREMEN"/>
    <s v="ATLÁNTICO"/>
    <s v="ATLÁNTICO"/>
    <s v="CARTAGENA"/>
    <s v="201509"/>
    <s v="6027590760762"/>
    <s v="ÚNICO"/>
    <s v="TRANSPORTE MARÍTIMO"/>
    <s v="LIBERIA"/>
    <s v="EXPORTACIONES DEFINITIVAS"/>
    <s v="EXPORTACIÓN DEFINITIVA DE MERCANCÍAS DE FABRICACIÓN Ó PRODUCCIÓN NACIONAL"/>
    <s v="NINGUNO"/>
    <s v="NO"/>
    <s v="Dólar de los Estados Unidos de América"/>
    <s v="CON REINTEGRO"/>
    <n v="8794"/>
    <n v="27454340.359999999"/>
    <n v="0"/>
    <n v="369.37"/>
    <n v="22.91"/>
    <n v="0"/>
    <s v="EUROPA"/>
  </r>
  <r>
    <n v="531"/>
    <n v="2015"/>
    <n v="9"/>
    <n v="30"/>
    <s v="2015"/>
    <s v="09"/>
    <s v="30"/>
    <s v="INICIAL"/>
    <s v="20150930"/>
    <s v="600758791249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25000"/>
    <n v="94.82"/>
    <n v="103.4"/>
    <n v="4"/>
    <x v="7"/>
    <s v="BREMEN"/>
    <s v="ATLÁNTICO"/>
    <s v="ATLÁNTICO"/>
    <s v="CARTAGENA"/>
    <s v="201509"/>
    <s v="6027590760762"/>
    <s v="ÚNICO"/>
    <s v="TRANSPORTE MARÍTIMO"/>
    <s v="LIBERIA"/>
    <s v="EXPORTACIONES DEFINITIVAS"/>
    <s v="EXPORTACIÓN DEFINITIVA DE MERCANCÍAS DE FABRICACIÓN Ó PRODUCCIÓN NACIONAL"/>
    <s v="NINGUNO"/>
    <s v="NO"/>
    <s v="Dólar de los Estados Unidos de América"/>
    <s v="CON REINTEGRO"/>
    <n v="2475"/>
    <n v="7726801.5"/>
    <n v="0"/>
    <n v="103.96"/>
    <n v="6.45"/>
    <n v="0"/>
    <s v="EUROPA"/>
  </r>
  <r>
    <n v="532"/>
    <n v="2015"/>
    <n v="9"/>
    <n v="30"/>
    <s v="2015"/>
    <s v="09"/>
    <s v="30"/>
    <s v="INICIAL"/>
    <s v="20150930"/>
    <s v="600758791249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10000"/>
    <n v="35.96"/>
    <n v="39.21"/>
    <n v="2"/>
    <x v="7"/>
    <s v="BREMEN"/>
    <s v="ATLÁNTICO"/>
    <s v="ATLÁNTICO"/>
    <s v="CARTAGENA"/>
    <s v="201509"/>
    <s v="6027590760762"/>
    <s v="ÚNICO"/>
    <s v="TRANSPORTE MARÍTIMO"/>
    <s v="LIBERIA"/>
    <s v="EXPORTACIONES DEFINITIVAS"/>
    <s v="EXPORTACIÓN DEFINITIVA DE MERCANCÍAS DE FABRICACIÓN Ó PRODUCCIÓN NACIONAL"/>
    <s v="NINGUNO"/>
    <s v="NO"/>
    <s v="Dólar de los Estados Unidos de América"/>
    <s v="CON REINTEGRO"/>
    <n v="505"/>
    <n v="1576579.7"/>
    <n v="0"/>
    <n v="21.21"/>
    <n v="1.32"/>
    <n v="0"/>
    <s v="EUROPA"/>
  </r>
  <r>
    <n v="533"/>
    <n v="2015"/>
    <n v="9"/>
    <n v="30"/>
    <s v="2015"/>
    <s v="09"/>
    <s v="30"/>
    <s v="INICIAL"/>
    <s v="20150930"/>
    <s v="600758791249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608000"/>
    <n v="747.56"/>
    <n v="815.23"/>
    <n v="1"/>
    <x v="7"/>
    <s v="BREMEN"/>
    <s v="ATLÁNTICO"/>
    <s v="ATLÁNTICO"/>
    <s v="CARTAGENA"/>
    <s v="201509"/>
    <s v="6027590760762"/>
    <s v="ÚNICO"/>
    <s v="TRANSPORTE MARÍTIMO"/>
    <s v="LIBERIA"/>
    <s v="EXPORTACIONES DEFINITIVAS"/>
    <s v="EXPORTACIÓN DEFINITIVA DE MERCANCÍAS DE FABRICACIÓN Ó PRODUCCIÓN NACIONAL"/>
    <s v="NINGUNO"/>
    <s v="NO"/>
    <s v="Dólar de los Estados Unidos de América"/>
    <s v="CON REINTEGRO"/>
    <n v="12748.4"/>
    <n v="39799739.890000001"/>
    <n v="0"/>
    <n v="535.46"/>
    <n v="33.21"/>
    <n v="0"/>
    <s v="EUROPA"/>
  </r>
  <r>
    <n v="534"/>
    <n v="2015"/>
    <n v="10"/>
    <n v="6"/>
    <s v="2015"/>
    <s v="10"/>
    <s v="06"/>
    <s v="INICIAL"/>
    <s v="20151006"/>
    <s v="60075879940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SAN JOSE, PAVAS, DE TELETICA 600 METROS OESTE FRENTE ANTOJITOS, DETRAS DE COOPEN"/>
    <s v="9503009910"/>
    <s v="Globos de latex de caucho natural."/>
    <s v="UNIDADES"/>
    <n v="113060"/>
    <n v="168.28"/>
    <n v="182.97"/>
    <n v="2"/>
    <x v="3"/>
    <s v="SAN JOSE-COSTA RICA"/>
    <s v="ATLÁNTICO"/>
    <s v="ATLÁNTICO"/>
    <s v="BARRANQUILLA"/>
    <s v="201509"/>
    <s v="6027590836311"/>
    <s v="ÚNICO"/>
    <s v="TRANSPORTE MARÍTIMO"/>
    <s v="SINGAPUR"/>
    <s v="EXPORTACIONES DEFINITIVAS"/>
    <s v="EXPORTACIÓN DEFINITIVA DE MERCANCÍAS DE FABRICACIÓN Ó PRODUCCIÓN NACIONAL"/>
    <s v="ALADI"/>
    <s v="NO"/>
    <s v="Dólar de los Estados Unidos de América"/>
    <s v="CON REINTEGRO"/>
    <n v="4382.6000000000004"/>
    <n v="13021361.99"/>
    <n v="0"/>
    <n v="0"/>
    <n v="0"/>
    <n v="0"/>
    <s v="AMÉRICA"/>
  </r>
  <r>
    <n v="535"/>
    <n v="2015"/>
    <n v="10"/>
    <n v="6"/>
    <s v="2015"/>
    <s v="10"/>
    <s v="06"/>
    <s v="INICIAL"/>
    <s v="20151006"/>
    <s v="60075879940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SAN JOSE, PAVAS, DE TELETICA 600 METROS OESTE FRENTE ANTOJITOS, DETRAS DE COOPEN"/>
    <s v="9503009910"/>
    <s v="Globos de latex de caucho natural."/>
    <s v="UNIDADES"/>
    <n v="193080"/>
    <n v="791.93"/>
    <n v="861.07"/>
    <n v="3"/>
    <x v="3"/>
    <s v="SAN JOSE-COSTA RICA"/>
    <s v="ATLÁNTICO"/>
    <s v="ATLÁNTICO"/>
    <s v="BARRANQUILLA"/>
    <s v="201509"/>
    <s v="6027590836311"/>
    <s v="ÚNICO"/>
    <s v="TRANSPORTE MARÍTIMO"/>
    <s v="SINGAPUR"/>
    <s v="EXPORTACIONES DEFINITIVAS"/>
    <s v="EXPORTACIÓN DEFINITIVA DE MERCANCÍAS DE FABRICACIÓN Ó PRODUCCIÓN NACIONAL"/>
    <s v="ALADI"/>
    <s v="NO"/>
    <s v="Dólar de los Estados Unidos de América"/>
    <s v="CON REINTEGRO"/>
    <n v="20734.900000000001"/>
    <n v="61606498.130000003"/>
    <n v="0"/>
    <n v="0"/>
    <n v="0"/>
    <n v="0"/>
    <s v="AMÉRICA"/>
  </r>
  <r>
    <n v="536"/>
    <n v="2015"/>
    <n v="10"/>
    <n v="6"/>
    <s v="2015"/>
    <s v="10"/>
    <s v="06"/>
    <s v="INICIAL"/>
    <s v="20151006"/>
    <s v="60075879940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SAN JOSE, PAVAS, DE TELETICA 600 METROS OESTE FRENTE ANTOJITOS, DETRAS DE COOPEN"/>
    <s v="9503009910"/>
    <s v="Globos de latex de caucho natural."/>
    <s v="UNIDADES"/>
    <n v="1440"/>
    <n v="10.79"/>
    <n v="11.73"/>
    <n v="4"/>
    <x v="3"/>
    <s v="SAN JOSE-COSTA RICA"/>
    <s v="ATLÁNTICO"/>
    <s v="ATLÁNTICO"/>
    <s v="BARRANQUILLA"/>
    <s v="201509"/>
    <s v="6027590836311"/>
    <s v="ÚNICO"/>
    <s v="TRANSPORTE MARÍTIMO"/>
    <s v="SINGAPUR"/>
    <s v="EXPORTACIONES DEFINITIVAS"/>
    <s v="EXPORTACIÓN DEFINITIVA DE MERCANCÍAS DE FABRICACIÓN Ó PRODUCCIÓN NACIONAL"/>
    <s v="ALADI"/>
    <s v="NO"/>
    <s v="Dólar de los Estados Unidos de América"/>
    <s v="CON REINTEGRO"/>
    <n v="130.80000000000001"/>
    <n v="388626.42"/>
    <n v="0"/>
    <n v="0"/>
    <n v="0"/>
    <n v="0"/>
    <s v="AMÉRICA"/>
  </r>
  <r>
    <n v="537"/>
    <n v="2015"/>
    <n v="10"/>
    <n v="6"/>
    <s v="2015"/>
    <s v="10"/>
    <s v="06"/>
    <s v="INICIAL"/>
    <s v="20151006"/>
    <s v="600758799408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SAN JOSE, PAVAS, DE TELETICA 600 METROS OESTE FRENTE ANTOJITOS, DETRAS DE COOPEN"/>
    <s v="8414802100"/>
    <s v="Los demás compresores  de potencia inferior a 30 kw (40 hp), para vehículos automóviles."/>
    <s v="UNIDADES"/>
    <n v="3"/>
    <n v="5.89"/>
    <n v="6.91"/>
    <n v="2"/>
    <x v="3"/>
    <s v="SAN JOSE-COSTA RICA"/>
    <s v="ATLÁNTICO"/>
    <s v="ATLÁNTICO"/>
    <s v="BARRANQUILLA"/>
    <s v="201509"/>
    <s v="6027590836248"/>
    <s v="ÚNICO"/>
    <s v="TRANSPORTE MARÍTIMO"/>
    <s v="SINGAPUR"/>
    <s v="EXPORTACIONES DEFINITIVAS"/>
    <s v="EXPORTACIÓN DEFINITIVA DE MERCANCÍAS DE FABRICACIÓN Ó PRODUCCIÓN NACIONAL"/>
    <s v="ALADI"/>
    <s v="NO"/>
    <s v="Dólar de los Estados Unidos de América"/>
    <s v="CON REINTEGRO"/>
    <n v="385.2"/>
    <n v="1144486.98"/>
    <n v="0"/>
    <n v="0"/>
    <n v="0"/>
    <n v="0"/>
    <s v="AMÉRICA"/>
  </r>
  <r>
    <n v="538"/>
    <n v="2015"/>
    <n v="10"/>
    <n v="6"/>
    <s v="2015"/>
    <s v="10"/>
    <s v="06"/>
    <s v="INICIAL"/>
    <s v="20151006"/>
    <s v="60075879940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SAN JOSE, PAVAS, DE TELETICA 600 METROS OESTE FRENTE ANTOJITOS, DETRAS DE COOPEN"/>
    <s v="9503009910"/>
    <s v="Globos de latex de caucho natural."/>
    <s v="UNIDADES"/>
    <n v="928460"/>
    <n v="1947.66"/>
    <n v="2117.6999999999998"/>
    <n v="1"/>
    <x v="3"/>
    <s v="SAN JOSE-COSTA RICA"/>
    <s v="ATLÁNTICO"/>
    <s v="ATLÁNTICO"/>
    <s v="BARRANQUILLA"/>
    <s v="201509"/>
    <s v="6027590836311"/>
    <s v="ÚNICO"/>
    <s v="TRANSPORTE MARÍTIMO"/>
    <s v="SINGAPUR"/>
    <s v="EXPORTACIONES DEFINITIVAS"/>
    <s v="EXPORTACIÓN DEFINITIVA DE MERCANCÍAS DE FABRICACIÓN Ó PRODUCCIÓN NACIONAL"/>
    <s v="ALADI"/>
    <s v="NO"/>
    <s v="Dólar de los Estados Unidos de América"/>
    <s v="CON REINTEGRO"/>
    <n v="31305.1"/>
    <n v="93012147.859999999"/>
    <n v="0"/>
    <n v="0"/>
    <n v="0"/>
    <n v="0"/>
    <s v="AMÉRICA"/>
  </r>
  <r>
    <n v="539"/>
    <n v="2015"/>
    <n v="10"/>
    <n v="6"/>
    <s v="2015"/>
    <s v="10"/>
    <s v="06"/>
    <s v="INICIAL"/>
    <s v="20151006"/>
    <s v="600758799408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LOBALPAK DE COSTA RICA M.V.S.A"/>
    <s v="SAN JOSE, PAVAS, DE TELETICA 600 METROS OESTE FRENTE ANTOJITOS, DETRAS DE COOPEN"/>
    <s v="8414200000"/>
    <s v="Bombas de aire, de mano o pedal."/>
    <s v="UNIDADES"/>
    <n v="1002"/>
    <n v="109.6"/>
    <n v="128.63999999999999"/>
    <n v="1"/>
    <x v="3"/>
    <s v="SAN JOSE-COSTA RICA"/>
    <s v="ATLÁNTICO"/>
    <s v="ATLÁNTICO"/>
    <s v="BARRANQUILLA"/>
    <s v="201509"/>
    <s v="6027590836248"/>
    <s v="ÚNICO"/>
    <s v="TRANSPORTE MARÍTIMO"/>
    <s v="SINGAPUR"/>
    <s v="EXPORTACIONES DEFINITIVAS"/>
    <s v="EXPORTACIÓN DEFINITIVA DE MERCANCÍAS DE FABRICACIÓN Ó PRODUCCIÓN NACIONAL"/>
    <s v="ALADI"/>
    <s v="NO"/>
    <s v="Dólar de los Estados Unidos de América"/>
    <s v="CON REINTEGRO"/>
    <n v="1252.5"/>
    <n v="3721365.37"/>
    <n v="0"/>
    <n v="0"/>
    <n v="0"/>
    <n v="0"/>
    <s v="AMÉRICA"/>
  </r>
  <r>
    <n v="540"/>
    <n v="2015"/>
    <n v="10"/>
    <n v="6"/>
    <s v="2015"/>
    <s v="10"/>
    <s v="06"/>
    <s v="INICIAL"/>
    <s v="20151006"/>
    <s v="60075880952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12000"/>
    <n v="47.2"/>
    <n v="50.78"/>
    <n v="4"/>
    <x v="15"/>
    <s v="CARLSWSALD, MIDRAND"/>
    <s v="ATLÁNTICO"/>
    <s v="ATLÁNTICO"/>
    <s v="BARRANQUILLA"/>
    <s v="201510"/>
    <s v="6027591220064"/>
    <s v="ÚNICO"/>
    <s v="TRANSPORTE MARÍTIMO"/>
    <s v="HONG KONG"/>
    <s v="EXPORTACIONES DEFINITIVAS"/>
    <s v="EXPORTACIÓN DEFINITIVA DE MERCANCÍAS DE FABRICACIÓN Ó PRODUCCIÓN NACIONAL"/>
    <s v="NINGUNO"/>
    <s v="NO"/>
    <s v="Dólar de los Estados Unidos de América"/>
    <s v="CON REINTEGRO"/>
    <n v="926.4"/>
    <n v="2752473.36"/>
    <n v="0"/>
    <n v="76.88"/>
    <n v="2.5099999999999998"/>
    <n v="0"/>
    <s v="ÁFRICA"/>
  </r>
  <r>
    <n v="541"/>
    <n v="2015"/>
    <n v="10"/>
    <n v="6"/>
    <s v="2015"/>
    <s v="10"/>
    <s v="06"/>
    <s v="INICIAL"/>
    <s v="20151006"/>
    <s v="60075880952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36000"/>
    <n v="125.92"/>
    <n v="135.47"/>
    <n v="3"/>
    <x v="15"/>
    <s v="CARLSWSALD, MIDRAND"/>
    <s v="ATLÁNTICO"/>
    <s v="ATLÁNTICO"/>
    <s v="BARRANQUILLA"/>
    <s v="201510"/>
    <s v="6027591220064"/>
    <s v="ÚNICO"/>
    <s v="TRANSPORTE MARÍTIMO"/>
    <s v="HONG KONG"/>
    <s v="EXPORTACIONES DEFINITIVAS"/>
    <s v="EXPORTACIÓN DEFINITIVA DE MERCANCÍAS DE FABRICACIÓN Ó PRODUCCIÓN NACIONAL"/>
    <s v="NINGUNO"/>
    <s v="NO"/>
    <s v="Dólar de los Estados Unidos de América"/>
    <s v="CON REINTEGRO"/>
    <n v="2625.6"/>
    <n v="7801051.4400000004"/>
    <n v="0"/>
    <n v="217.89"/>
    <n v="7.11"/>
    <n v="0"/>
    <s v="ÁFRICA"/>
  </r>
  <r>
    <n v="542"/>
    <n v="2015"/>
    <n v="10"/>
    <n v="6"/>
    <s v="2015"/>
    <s v="10"/>
    <s v="06"/>
    <s v="INICIAL"/>
    <s v="20151006"/>
    <s v="60075880952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109000"/>
    <n v="357.88"/>
    <n v="385.03"/>
    <n v="2"/>
    <x v="15"/>
    <s v="CARLSWSALD, MIDRAND"/>
    <s v="ATLÁNTICO"/>
    <s v="ATLÁNTICO"/>
    <s v="BARRANQUILLA"/>
    <s v="201510"/>
    <s v="6027591220064"/>
    <s v="ÚNICO"/>
    <s v="TRANSPORTE MARÍTIMO"/>
    <s v="HONG KONG"/>
    <s v="EXPORTACIONES DEFINITIVAS"/>
    <s v="EXPORTACIÓN DEFINITIVA DE MERCANCÍAS DE FABRICACIÓN Ó PRODUCCIÓN NACIONAL"/>
    <s v="NINGUNO"/>
    <s v="NO"/>
    <s v="Dólar de los Estados Unidos de América"/>
    <s v="CON REINTEGRO"/>
    <n v="4316.8"/>
    <n v="12825860.32"/>
    <n v="0"/>
    <n v="358.23"/>
    <n v="11.69"/>
    <n v="0"/>
    <s v="ÁFRICA"/>
  </r>
  <r>
    <n v="543"/>
    <n v="2015"/>
    <n v="10"/>
    <n v="6"/>
    <s v="2015"/>
    <s v="10"/>
    <s v="06"/>
    <s v="INICIAL"/>
    <s v="20151006"/>
    <s v="6007588095299"/>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856500"/>
    <n v="2585.7399999999998"/>
    <n v="2781.93"/>
    <n v="1"/>
    <x v="15"/>
    <s v="CARLSWSALD, MIDRAND"/>
    <s v="ATLÁNTICO"/>
    <s v="ATLÁNTICO"/>
    <s v="BARRANQUILLA"/>
    <s v="201510"/>
    <s v="6027591220064"/>
    <s v="ÚNICO"/>
    <s v="TRANSPORTE MARÍTIMO"/>
    <s v="HONG KONG"/>
    <s v="EXPORTACIONES DEFINITIVAS"/>
    <s v="EXPORTACIÓN DEFINITIVA DE MERCANCÍAS DE FABRICACIÓN Ó PRODUCCIÓN NACIONAL"/>
    <s v="NINGUNO"/>
    <s v="NO"/>
    <s v="Dólar de los Estados Unidos de América"/>
    <s v="CON REINTEGRO"/>
    <n v="31294.400000000001"/>
    <n v="92980356.560000002"/>
    <n v="0"/>
    <n v="2597"/>
    <n v="84.73"/>
    <n v="0"/>
    <s v="ÁFRICA"/>
  </r>
  <r>
    <n v="544"/>
    <n v="2015"/>
    <n v="10"/>
    <n v="13"/>
    <s v="2015"/>
    <s v="10"/>
    <s v="13"/>
    <s v="INICIAL"/>
    <s v="20151013"/>
    <s v="600758831810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BRILLIANCE TRADE CO., LTD"/>
    <s v="1ST FLOOR, BUILDING 6#, NO 999 JIANGYUE RD PU JIANG TOWN, MINGHANG DISTRICT, SHA"/>
    <s v="9503009910"/>
    <s v="Globos de latex de caucho natural."/>
    <s v="UNIDADES"/>
    <n v="5447500"/>
    <n v="12495.68"/>
    <n v="13543.4"/>
    <n v="1"/>
    <x v="13"/>
    <s v="SHANGHAI"/>
    <s v="ATLÁNTICO"/>
    <s v="ATLÁNTICO"/>
    <s v="BARRANQUILLA"/>
    <s v="201510"/>
    <s v="6027591233712"/>
    <s v="ÚNICO"/>
    <s v="TRANSPORTE MARÍTIMO"/>
    <s v="SINGAPUR"/>
    <s v="EXPORTACIONES DEFINITIVAS"/>
    <s v="EXPORTACIÓN DEFINITIVA DE MERCANCÍAS DE FABRICACIÓN Ó PRODUCCIÓN NACIONAL"/>
    <s v="NINGUNO"/>
    <s v="NO"/>
    <s v="Dólar de los Estados Unidos de América"/>
    <s v="CON REINTEGRO"/>
    <n v="154172.20000000001"/>
    <n v="440275718.42000002"/>
    <n v="0"/>
    <n v="811.06"/>
    <n v="387.46"/>
    <n v="0"/>
    <s v="ASIA"/>
  </r>
  <r>
    <n v="545"/>
    <n v="2015"/>
    <n v="10"/>
    <n v="13"/>
    <s v="2015"/>
    <s v="10"/>
    <s v="13"/>
    <s v="INICIAL"/>
    <s v="20151013"/>
    <s v="600758831810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BRILLIANCE TRADE CO., LTD"/>
    <s v="1ST FLOOR, BUILDING 6#, NO 999 JIANGYUE RD PU JIANG TOWN, MINGHANG DISTRICT, SHA"/>
    <s v="9503009910"/>
    <s v="Globos de latex de caucho natural."/>
    <s v="UNIDADES"/>
    <n v="1128000"/>
    <n v="1865.69"/>
    <n v="2022.12"/>
    <n v="2"/>
    <x v="13"/>
    <s v="SHANGHAI"/>
    <s v="ATLÁNTICO"/>
    <s v="ATLÁNTICO"/>
    <s v="BARRANQUILLA"/>
    <s v="201510"/>
    <s v="6027591233712"/>
    <s v="ÚNICO"/>
    <s v="TRANSPORTE MARÍTIMO"/>
    <s v="SINGAPUR"/>
    <s v="EXPORTACIONES DEFINITIVAS"/>
    <s v="EXPORTACIÓN DEFINITIVA DE MERCANCÍAS DE FABRICACIÓN Ó PRODUCCIÓN NACIONAL"/>
    <s v="NINGUNO"/>
    <s v="NO"/>
    <s v="Dólar de los Estados Unidos de América"/>
    <s v="CON REINTEGRO"/>
    <n v="23382.3"/>
    <n v="66773769.399999999"/>
    <n v="0"/>
    <n v="123.01"/>
    <n v="58.76"/>
    <n v="0"/>
    <s v="ASIA"/>
  </r>
  <r>
    <n v="546"/>
    <n v="2015"/>
    <n v="10"/>
    <n v="13"/>
    <s v="2015"/>
    <s v="10"/>
    <s v="13"/>
    <s v="INICIAL"/>
    <s v="20151013"/>
    <s v="600758831810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BRILLIANCE TRADE CO., LTD"/>
    <s v="1ST FLOOR, BUILDING 6#, NO 999 JIANGYUE RD PU JIANG TOWN, MINGHANG DISTRICT, SHA"/>
    <s v="9503009910"/>
    <s v="Globos de latex de caucho natural."/>
    <s v="UNIDADES"/>
    <n v="59700"/>
    <n v="545.76"/>
    <n v="591.52"/>
    <n v="3"/>
    <x v="13"/>
    <s v="SHANGHAI"/>
    <s v="ATLÁNTICO"/>
    <s v="ATLÁNTICO"/>
    <s v="BARRANQUILLA"/>
    <s v="201510"/>
    <s v="6027591233712"/>
    <s v="ÚNICO"/>
    <s v="TRANSPORTE MARÍTIMO"/>
    <s v="SINGAPUR"/>
    <s v="EXPORTACIONES DEFINITIVAS"/>
    <s v="EXPORTACIÓN DEFINITIVA DE MERCANCÍAS DE FABRICACIÓN Ó PRODUCCIÓN NACIONAL"/>
    <s v="NINGUNO"/>
    <s v="NO"/>
    <s v="Dólar de los Estados Unidos de América"/>
    <s v="CON REINTEGRO"/>
    <n v="12533"/>
    <n v="35790989.420000002"/>
    <n v="0"/>
    <n v="65.930000000000007"/>
    <n v="31.5"/>
    <n v="0"/>
    <s v="ASIA"/>
  </r>
  <r>
    <n v="547"/>
    <n v="2015"/>
    <n v="10"/>
    <n v="13"/>
    <s v="2015"/>
    <s v="10"/>
    <s v="13"/>
    <s v="INICIAL"/>
    <s v="20151013"/>
    <s v="6007588324867"/>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FIVE STAR QUALITY PRODUCTS"/>
    <s v="130 NEWTON ROAD,WETHERILL PARK 2164;SYDNEY NSW"/>
    <s v="9503009910"/>
    <s v="Globos de latex de caucho natural."/>
    <s v="UNIDADES"/>
    <n v="278000"/>
    <n v="1028.05"/>
    <n v="1120.82"/>
    <n v="4"/>
    <x v="5"/>
    <s v="SYDNEY"/>
    <s v="ATLÁNTICO"/>
    <s v="ATLÁNTICO"/>
    <s v="CARTAGENA"/>
    <s v="201510"/>
    <s v="6027590759478"/>
    <s v="ÚNICO"/>
    <s v="TRANSPORTE MARÍTIMO"/>
    <s v="DINAMARCA"/>
    <s v="EXPORTACIONES DEFINITIVAS"/>
    <s v="EXPORTACIÓN DEFINITIVA DE MERCANCÍAS DE FABRICACIÓN Ó PRODUCCIÓN NACIONAL"/>
    <s v="NINGUNO"/>
    <s v="NO"/>
    <s v="Dólar de los Estados Unidos de América"/>
    <s v="CON REINTEGRO"/>
    <n v="33166.800000000003"/>
    <n v="94715757.430000007"/>
    <n v="0"/>
    <n v="0"/>
    <n v="0"/>
    <n v="0"/>
    <s v="OCEANÍA"/>
  </r>
  <r>
    <n v="548"/>
    <n v="2015"/>
    <n v="10"/>
    <n v="13"/>
    <s v="2015"/>
    <s v="10"/>
    <s v="13"/>
    <s v="INICIAL"/>
    <s v="20151013"/>
    <s v="6007588324867"/>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FIVE STAR QUALITY PRODUCTS"/>
    <s v="130 NEWTON ROAD,WETHERILL PARK 2164;SYDNEY NSW"/>
    <s v="9503009910"/>
    <s v="Globos de latex de caucho natural."/>
    <s v="UNIDADES"/>
    <n v="116000"/>
    <n v="354.58"/>
    <n v="386.57"/>
    <n v="3"/>
    <x v="5"/>
    <s v="SYDNEY"/>
    <s v="ATLÁNTICO"/>
    <s v="ATLÁNTICO"/>
    <s v="CARTAGENA"/>
    <s v="201510"/>
    <s v="6027590759478"/>
    <s v="ÚNICO"/>
    <s v="TRANSPORTE MARÍTIMO"/>
    <s v="DINAMARCA"/>
    <s v="EXPORTACIONES DEFINITIVAS"/>
    <s v="EXPORTACIÓN DEFINITIVA DE MERCANCÍAS DE FABRICACIÓN Ó PRODUCCIÓN NACIONAL"/>
    <s v="NINGUNO"/>
    <s v="NO"/>
    <s v="Dólar de los Estados Unidos de América"/>
    <s v="CON REINTEGRO"/>
    <n v="11424"/>
    <n v="32623973.760000002"/>
    <n v="0"/>
    <n v="0"/>
    <n v="0"/>
    <n v="0"/>
    <s v="OCEANÍA"/>
  </r>
  <r>
    <n v="549"/>
    <n v="2015"/>
    <n v="10"/>
    <n v="13"/>
    <s v="2015"/>
    <s v="10"/>
    <s v="13"/>
    <s v="INICIAL"/>
    <s v="20151013"/>
    <s v="6007588324867"/>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FIVE STAR QUALITY PRODUCTS"/>
    <s v="130 NEWTON ROAD,WETHERILL PARK 2164;SYDNEY NSW"/>
    <s v="9503009910"/>
    <s v="Globos de latex de caucho natural."/>
    <s v="UNIDADES"/>
    <n v="1202200"/>
    <n v="4002.36"/>
    <n v="4363.53"/>
    <n v="2"/>
    <x v="5"/>
    <s v="SYDNEY"/>
    <s v="ATLÁNTICO"/>
    <s v="ATLÁNTICO"/>
    <s v="CARTAGENA"/>
    <s v="201510"/>
    <s v="6027590759478"/>
    <s v="ÚNICO"/>
    <s v="TRANSPORTE MARÍTIMO"/>
    <s v="DINAMARCA"/>
    <s v="EXPORTACIONES DEFINITIVAS"/>
    <s v="EXPORTACIÓN DEFINITIVA DE MERCANCÍAS DE FABRICACIÓN Ó PRODUCCIÓN NACIONAL"/>
    <s v="NINGUNO"/>
    <s v="NO"/>
    <s v="Dólar de los Estados Unidos de América"/>
    <s v="CON REINTEGRO"/>
    <n v="59399.72"/>
    <n v="169630156.38999999"/>
    <n v="0"/>
    <n v="0"/>
    <n v="0"/>
    <n v="0"/>
    <s v="OCEANÍA"/>
  </r>
  <r>
    <n v="550"/>
    <n v="2015"/>
    <n v="10"/>
    <n v="13"/>
    <s v="2015"/>
    <s v="10"/>
    <s v="13"/>
    <s v="INICIAL"/>
    <s v="20151013"/>
    <s v="6007588324867"/>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FIVE STAR QUALITY PRODUCTS"/>
    <s v="130 NEWTON ROAD,WETHERILL PARK 2164;SYDNEY NSW"/>
    <s v="9503009910"/>
    <s v="Globos de latex de caucho natural."/>
    <s v="UNIDADES"/>
    <n v="2178800"/>
    <n v="6618.8"/>
    <n v="7216.09"/>
    <n v="1"/>
    <x v="5"/>
    <s v="SYDNEY"/>
    <s v="ATLÁNTICO"/>
    <s v="ATLÁNTICO"/>
    <s v="CARTAGENA"/>
    <s v="201510"/>
    <s v="6027590759478"/>
    <s v="ÚNICO"/>
    <s v="TRANSPORTE MARÍTIMO"/>
    <s v="DINAMARCA"/>
    <s v="EXPORTACIONES DEFINITIVAS"/>
    <s v="EXPORTACIÓN DEFINITIVA DE MERCANCÍAS DE FABRICACIÓN Ó PRODUCCIÓN NACIONAL"/>
    <s v="NINGUNO"/>
    <s v="NO"/>
    <s v="Dólar de los Estados Unidos de América"/>
    <s v="CON REINTEGRO"/>
    <n v="95316.45"/>
    <n v="272198998.92000002"/>
    <n v="0"/>
    <n v="0"/>
    <n v="0"/>
    <n v="0"/>
    <s v="OCEANÍA"/>
  </r>
  <r>
    <n v="551"/>
    <n v="2015"/>
    <n v="10"/>
    <n v="13"/>
    <s v="2015"/>
    <s v="10"/>
    <s v="13"/>
    <s v="INICIAL"/>
    <s v="20151013"/>
    <s v="6007588038952"/>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MIRACLE ATELIER COMPANY"/>
    <s v="RMA3,4/F, FUK CHEONG FTY. BLDG. 1 WALNUT ST., TAI KOK TSUI"/>
    <s v="9503009910"/>
    <s v="Globos de latex de caucho natural."/>
    <s v="UNIDADES"/>
    <n v="165500"/>
    <n v="293.92"/>
    <n v="316"/>
    <n v="1"/>
    <x v="30"/>
    <s v="HONG KONG"/>
    <s v="ATLÁNTICO"/>
    <s v="ATLÁNTICO"/>
    <s v="BOGOTÁ"/>
    <s v="201510"/>
    <s v="6027591377880"/>
    <s v="ÚNICO"/>
    <s v="TRANSPORTE AÉREO"/>
    <s v="ESTADOS UNIDOS"/>
    <s v="EXPORTACIONES DEFINITIVAS"/>
    <s v="EXPORTACIÓN DEFINITIVA DE MERCANCÍAS DE FABRICACIÓN Ó PRODUCCIÓN NACIONAL"/>
    <s v="NINGUNO"/>
    <s v="NO"/>
    <s v="Dólar de los Estados Unidos de América"/>
    <s v="CON REINTEGRO"/>
    <n v="4125.75"/>
    <n v="11782069.300000001"/>
    <n v="0"/>
    <n v="917.28"/>
    <n v="12.61"/>
    <n v="0"/>
    <s v="ASIA"/>
  </r>
  <r>
    <n v="552"/>
    <n v="2015"/>
    <n v="10"/>
    <n v="15"/>
    <s v="2015"/>
    <s v="10"/>
    <s v="15"/>
    <s v="INICIAL"/>
    <s v="20151015"/>
    <s v="6007588407374"/>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AVALLOONS NV"/>
    <s v="MIEENBROEKSTRAAT 43 3600 GENK"/>
    <s v="9503009910"/>
    <s v="Globos de latex de caucho natural."/>
    <s v="UNIDADES"/>
    <n v="44500"/>
    <n v="125.75"/>
    <n v="135"/>
    <n v="1"/>
    <x v="6"/>
    <s v="GENK"/>
    <s v="ATLÁNTICO"/>
    <s v="ATLÁNTICO"/>
    <s v="BOGOTÁ"/>
    <s v="201510"/>
    <s v="6027591663179"/>
    <s v="ÚNICO"/>
    <s v="TRANSPORTE AÉREO"/>
    <s v="ESTADOS UNIDOS"/>
    <s v="EXPORTACIONES DEFINITIVAS"/>
    <s v="EXPORTACIÓN DEFINITIVA DE MERCANCÍAS DE FABRICACIÓN Ó PRODUCCIÓN NACIONAL"/>
    <s v="NINGUNO"/>
    <s v="NO"/>
    <s v="Dólar de los Estados Unidos de América"/>
    <s v="CON REINTEGRO"/>
    <n v="1990"/>
    <n v="5828093.0999999996"/>
    <n v="0"/>
    <n v="509.86"/>
    <n v="12"/>
    <n v="0"/>
    <s v="EUROPA"/>
  </r>
  <r>
    <n v="553"/>
    <n v="2015"/>
    <n v="10"/>
    <n v="19"/>
    <s v="2015"/>
    <s v="10"/>
    <s v="19"/>
    <s v="INICIAL"/>
    <s v="20151019"/>
    <s v="600758865581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9503009910"/>
    <s v="Globos de latex de caucho natural."/>
    <s v="UNIDADES"/>
    <n v="192000"/>
    <n v="420.56"/>
    <n v="465.87"/>
    <n v="2"/>
    <x v="1"/>
    <s v="POMEZIA"/>
    <s v="ATLÁNTICO"/>
    <s v="ATLÁNTICO"/>
    <s v="CARTAGENA"/>
    <s v="201510"/>
    <s v="6027591228797"/>
    <s v="ÚNICO"/>
    <s v="TRANSPORTE MARÍTIMO"/>
    <s v="LIBERIA"/>
    <s v="EXPORTACIONES DEFINITIVAS"/>
    <s v="LAS DEMÁS EXPORTACIONES DEFINITIVAS NO INCLUIDAS EN LOS ÍTEMS ANTERIORES"/>
    <s v="NINGUNO"/>
    <s v="NO"/>
    <s v="Dólar de los Estados Unidos de América"/>
    <s v="CON REINTEGRO"/>
    <n v="8544"/>
    <n v="24605780.16"/>
    <n v="0"/>
    <n v="68.95"/>
    <n v="21.53"/>
    <n v="0"/>
    <s v="EUROPA"/>
  </r>
  <r>
    <n v="554"/>
    <n v="2015"/>
    <n v="10"/>
    <n v="19"/>
    <s v="2015"/>
    <s v="10"/>
    <s v="19"/>
    <s v="INICIAL"/>
    <s v="20151019"/>
    <s v="6007588655810"/>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9503009910"/>
    <s v="Globos de latex de caucho natural."/>
    <s v="UNIDADES"/>
    <n v="148000"/>
    <n v="313.01"/>
    <n v="346.74"/>
    <n v="1"/>
    <x v="1"/>
    <s v="POMEZIA"/>
    <s v="ATLÁNTICO"/>
    <s v="ATLÁNTICO"/>
    <s v="CARTAGENA"/>
    <s v="201510"/>
    <s v="6027591228797"/>
    <s v="ÚNICO"/>
    <s v="TRANSPORTE MARÍTIMO"/>
    <s v="LIBERIA"/>
    <s v="EXPORTACIONES DEFINITIVAS"/>
    <s v="LAS DEMÁS EXPORTACIONES DEFINITIVAS NO INCLUIDAS EN LOS ÍTEMS ANTERIORES"/>
    <s v="NINGUNO"/>
    <s v="NO"/>
    <s v="Dólar de los Estados Unidos de América"/>
    <s v="CON REINTEGRO"/>
    <n v="3848"/>
    <n v="11081816.720000001"/>
    <n v="0"/>
    <n v="31.05"/>
    <n v="9.6999999999999993"/>
    <n v="0"/>
    <s v="EUROPA"/>
  </r>
  <r>
    <n v="555"/>
    <n v="2015"/>
    <n v="10"/>
    <n v="19"/>
    <s v="2015"/>
    <s v="10"/>
    <s v="19"/>
    <s v="INICIAL"/>
    <s v="20151019"/>
    <s v="600758865582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9503009910"/>
    <s v="Globos de latex de caucho natural."/>
    <s v="UNIDADES"/>
    <n v="180600"/>
    <n v="529.66"/>
    <n v="576.51"/>
    <n v="3"/>
    <x v="1"/>
    <s v="POMEZIA"/>
    <s v="ATLÁNTICO"/>
    <s v="ATLÁNTICO"/>
    <s v="CARTAGENA"/>
    <s v="201510"/>
    <s v="6027591228805"/>
    <s v="ÚNICO"/>
    <s v="TRANSPORTE MARÍTIMO"/>
    <s v="LIBERIA"/>
    <s v="EXPORTACIONES DEFINITIVAS"/>
    <s v="EXPORTACIÓN DEFINITIVA DE MERCANCÍAS DE FABRICACIÓN Ó PRODUCCIÓN NACIONAL"/>
    <s v="NINGUNO"/>
    <s v="NO"/>
    <s v="Dólar de los Estados Unidos de América"/>
    <s v="CON REINTEGRO"/>
    <n v="19919"/>
    <n v="57364528.909999996"/>
    <n v="0"/>
    <n v="136.16999999999999"/>
    <n v="50.14"/>
    <n v="0"/>
    <s v="EUROPA"/>
  </r>
  <r>
    <n v="556"/>
    <n v="2015"/>
    <n v="10"/>
    <n v="19"/>
    <s v="2015"/>
    <s v="10"/>
    <s v="19"/>
    <s v="INICIAL"/>
    <s v="20151019"/>
    <s v="600758865582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9503009910"/>
    <s v="Globos de latex de caucho natural."/>
    <s v="UNIDADES"/>
    <n v="479000"/>
    <n v="965.26"/>
    <n v="1050.6400000000001"/>
    <n v="2"/>
    <x v="1"/>
    <s v="POMEZIA"/>
    <s v="ATLÁNTICO"/>
    <s v="ATLÁNTICO"/>
    <s v="CARTAGENA"/>
    <s v="201510"/>
    <s v="6027591228805"/>
    <s v="ÚNICO"/>
    <s v="TRANSPORTE MARÍTIMO"/>
    <s v="LIBERIA"/>
    <s v="EXPORTACIONES DEFINITIVAS"/>
    <s v="EXPORTACIÓN DEFINITIVA DE MERCANCÍAS DE FABRICACIÓN Ó PRODUCCIÓN NACIONAL"/>
    <s v="NINGUNO"/>
    <s v="NO"/>
    <s v="Dólar de los Estados Unidos de América"/>
    <s v="CON REINTEGRO"/>
    <n v="15732.5"/>
    <n v="45307869.420000002"/>
    <n v="0"/>
    <n v="107.55"/>
    <n v="39.6"/>
    <n v="0"/>
    <s v="EUROPA"/>
  </r>
  <r>
    <n v="557"/>
    <n v="2015"/>
    <n v="10"/>
    <n v="19"/>
    <s v="2015"/>
    <s v="10"/>
    <s v="19"/>
    <s v="INICIAL"/>
    <s v="20151019"/>
    <s v="600758865582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9503009910"/>
    <s v="Globos de latex de caucho natural."/>
    <s v="UNIDADES"/>
    <n v="1794000"/>
    <n v="3062.32"/>
    <n v="3333.2"/>
    <n v="1"/>
    <x v="1"/>
    <s v="POMEZIA"/>
    <s v="ATLÁNTICO"/>
    <s v="ATLÁNTICO"/>
    <s v="CARTAGENA"/>
    <s v="201510"/>
    <s v="6027591228805"/>
    <s v="ÚNICO"/>
    <s v="TRANSPORTE MARÍTIMO"/>
    <s v="LIBERIA"/>
    <s v="EXPORTACIONES DEFINITIVAS"/>
    <s v="EXPORTACIÓN DEFINITIVA DE MERCANCÍAS DE FABRICACIÓN Ó PRODUCCIÓN NACIONAL"/>
    <s v="NINGUNO"/>
    <s v="NO"/>
    <s v="Dólar de los Estados Unidos de América"/>
    <s v="CON REINTEGRO"/>
    <n v="47124"/>
    <n v="135711936.36000001"/>
    <n v="0"/>
    <n v="322.16000000000003"/>
    <n v="118.61"/>
    <n v="0"/>
    <s v="EUROPA"/>
  </r>
  <r>
    <n v="558"/>
    <n v="2015"/>
    <n v="10"/>
    <n v="19"/>
    <s v="2015"/>
    <s v="10"/>
    <s v="19"/>
    <s v="INICIAL"/>
    <s v="20151019"/>
    <s v="600758865582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9503009910"/>
    <s v="Globos de latex de caucho natural."/>
    <s v="UNIDADES"/>
    <n v="203000"/>
    <n v="720.48"/>
    <n v="784.21"/>
    <n v="4"/>
    <x v="1"/>
    <s v="POMEZIA"/>
    <s v="ATLÁNTICO"/>
    <s v="ATLÁNTICO"/>
    <s v="CARTAGENA"/>
    <s v="201510"/>
    <s v="6027591228805"/>
    <s v="ÚNICO"/>
    <s v="TRANSPORTE MARÍTIMO"/>
    <s v="LIBERIA"/>
    <s v="EXPORTACIONES DEFINITIVAS"/>
    <s v="EXPORTACIÓN DEFINITIVA DE MERCANCÍAS DE FABRICACIÓN Ó PRODUCCIÓN NACIONAL"/>
    <s v="NINGUNO"/>
    <s v="NO"/>
    <s v="Dólar de los Estados Unidos de América"/>
    <s v="CON REINTEGRO"/>
    <n v="26931.5"/>
    <n v="77559757.530000001"/>
    <n v="0"/>
    <n v="184.11"/>
    <n v="67.790000000000006"/>
    <n v="0"/>
    <s v="EUROPA"/>
  </r>
  <r>
    <n v="559"/>
    <n v="2015"/>
    <n v="10"/>
    <n v="19"/>
    <s v="2015"/>
    <s v="10"/>
    <s v="19"/>
    <s v="INICIAL"/>
    <s v="20151019"/>
    <s v="600758861100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4006900000"/>
    <s v="Las demás formas (por ejemplo: varillas, tubos) y artículos (por ejemplo: discos, arandelas), de caucho sin vulcanizar."/>
    <s v="KILOGRAMO"/>
    <n v="77.87"/>
    <n v="77.87"/>
    <n v="82.52"/>
    <n v="1"/>
    <x v="17"/>
    <s v="SEOUL"/>
    <s v="ATLÁNTICO"/>
    <s v="ATLÁNTICO"/>
    <s v="BARRANQUILLA"/>
    <s v="201510"/>
    <s v="6027591501290"/>
    <s v="ÚNICO"/>
    <s v="TRANSPORTE MARÍTIMO"/>
    <s v="PANAMÁ"/>
    <s v="EXPORTACIONES DEFINITIVAS"/>
    <s v="EXPORTACIÓN DEFINITIVA DE MERCANCÍAS DE FABRICACIÓN Ó PRODUCCIÓN NACIONAL"/>
    <s v="NINGUNO"/>
    <s v="NO"/>
    <s v="Dólar de los Estados Unidos de América"/>
    <s v="CON REINTEGRO"/>
    <n v="1514"/>
    <n v="4360153.46"/>
    <n v="0"/>
    <n v="100"/>
    <n v="12"/>
    <n v="0"/>
    <s v="ASIA"/>
  </r>
  <r>
    <n v="560"/>
    <n v="2015"/>
    <n v="10"/>
    <n v="19"/>
    <s v="2015"/>
    <s v="10"/>
    <s v="19"/>
    <s v="INICIAL"/>
    <s v="20151019"/>
    <s v="600758861099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97600"/>
    <n v="397.68"/>
    <n v="433.06"/>
    <n v="3"/>
    <x v="17"/>
    <s v="SEOUL"/>
    <s v="ATLÁNTICO"/>
    <s v="ATLÁNTICO"/>
    <s v="BARRANQUILLA"/>
    <s v="201510"/>
    <s v="6027591500894"/>
    <s v="ÚNICO"/>
    <s v="TRANSPORTE MARÍTIMO"/>
    <s v="PANAMÁ"/>
    <s v="EXPORTACIONES DEFINITIVAS"/>
    <s v="EXPORTACIÓN DEFINITIVA DE MERCANCÍAS DE FABRICACIÓN Ó PRODUCCIÓN NACIONAL"/>
    <s v="NINGUNO"/>
    <s v="NO"/>
    <s v="Dólar de los Estados Unidos de América"/>
    <s v="CON REINTEGRO"/>
    <n v="8115"/>
    <n v="23370307.350000001"/>
    <n v="0"/>
    <n v="109.43"/>
    <n v="20.56"/>
    <n v="72.260000000000005"/>
    <s v="ASIA"/>
  </r>
  <r>
    <n v="561"/>
    <n v="2015"/>
    <n v="10"/>
    <n v="19"/>
    <s v="2015"/>
    <s v="10"/>
    <s v="19"/>
    <s v="INICIAL"/>
    <s v="20151019"/>
    <s v="600758861099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36000"/>
    <n v="141.63999999999999"/>
    <n v="154.24"/>
    <n v="4"/>
    <x v="17"/>
    <s v="SEOUL"/>
    <s v="ATLÁNTICO"/>
    <s v="ATLÁNTICO"/>
    <s v="BARRANQUILLA"/>
    <s v="201510"/>
    <s v="6027591500894"/>
    <s v="ÚNICO"/>
    <s v="TRANSPORTE MARÍTIMO"/>
    <s v="PANAMÁ"/>
    <s v="EXPORTACIONES DEFINITIVAS"/>
    <s v="EXPORTACIÓN DEFINITIVA DE MERCANCÍAS DE FABRICACIÓN Ó PRODUCCIÓN NACIONAL"/>
    <s v="NINGUNO"/>
    <s v="NO"/>
    <s v="Dólar de los Estados Unidos de América"/>
    <s v="CON REINTEGRO"/>
    <n v="2512.8000000000002"/>
    <n v="7236587.5899999999"/>
    <n v="0"/>
    <n v="33.89"/>
    <n v="6.37"/>
    <n v="22.38"/>
    <s v="ASIA"/>
  </r>
  <r>
    <n v="562"/>
    <n v="2015"/>
    <n v="10"/>
    <n v="19"/>
    <s v="2015"/>
    <s v="10"/>
    <s v="19"/>
    <s v="INICIAL"/>
    <s v="20151019"/>
    <s v="600758861099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1430000"/>
    <n v="2916.77"/>
    <n v="3176.29"/>
    <n v="2"/>
    <x v="17"/>
    <s v="SEOUL"/>
    <s v="ATLÁNTICO"/>
    <s v="ATLÁNTICO"/>
    <s v="BARRANQUILLA"/>
    <s v="201510"/>
    <s v="6027591500894"/>
    <s v="ÚNICO"/>
    <s v="TRANSPORTE MARÍTIMO"/>
    <s v="PANAMÁ"/>
    <s v="EXPORTACIONES DEFINITIVAS"/>
    <s v="EXPORTACIÓN DEFINITIVA DE MERCANCÍAS DE FABRICACIÓN Ó PRODUCCIÓN NACIONAL"/>
    <s v="NINGUNO"/>
    <s v="NO"/>
    <s v="Dólar de los Estados Unidos de América"/>
    <s v="CON REINTEGRO"/>
    <n v="34431.699999999997"/>
    <n v="99159508.510000005"/>
    <n v="0"/>
    <n v="464.31"/>
    <n v="87.24"/>
    <n v="306.60000000000002"/>
    <s v="ASIA"/>
  </r>
  <r>
    <n v="563"/>
    <n v="2015"/>
    <n v="10"/>
    <n v="19"/>
    <s v="2015"/>
    <s v="10"/>
    <s v="19"/>
    <s v="INICIAL"/>
    <s v="20151019"/>
    <s v="600758861099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910500"/>
    <n v="1958.21"/>
    <n v="2132.44"/>
    <n v="1"/>
    <x v="17"/>
    <s v="SEOUL"/>
    <s v="ATLÁNTICO"/>
    <s v="ATLÁNTICO"/>
    <s v="BARRANQUILLA"/>
    <s v="201510"/>
    <s v="6027591500894"/>
    <s v="ÚNICO"/>
    <s v="TRANSPORTE MARÍTIMO"/>
    <s v="PANAMÁ"/>
    <s v="EXPORTACIONES DEFINITIVAS"/>
    <s v="EXPORTACIÓN DEFINITIVA DE MERCANCÍAS DE FABRICACIÓN Ó PRODUCCIÓN NACIONAL"/>
    <s v="NINGUNO"/>
    <s v="NO"/>
    <s v="Dólar de los Estados Unidos de América"/>
    <s v="CON REINTEGRO"/>
    <n v="21681.5"/>
    <n v="62440335.030000001"/>
    <n v="0"/>
    <n v="292.37"/>
    <n v="54.93"/>
    <n v="193.06"/>
    <s v="ASIA"/>
  </r>
  <r>
    <n v="564"/>
    <n v="2015"/>
    <n v="10"/>
    <n v="19"/>
    <s v="2015"/>
    <s v="10"/>
    <s v="19"/>
    <s v="INICIAL"/>
    <s v="20151019"/>
    <s v="6007588655867"/>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ALLON FANTASY GROUP S.R.L."/>
    <s v="VIA LAURENTINA KM. 26,500 00040 POMEZIA ITALY"/>
    <s v="4902909000"/>
    <s v="Los demás diarios y públicaciones periodicas, impresos, incluso ilustrados o con publicidad."/>
    <s v="UNIDADES"/>
    <n v="150"/>
    <n v="23.57"/>
    <n v="24.5"/>
    <n v="1"/>
    <x v="1"/>
    <s v="POMEZIA"/>
    <s v="ATLÁNTICO"/>
    <s v="ATLÁNTICO"/>
    <s v="CARTAGENA"/>
    <s v="201510"/>
    <s v="6027591228781"/>
    <s v="ÚNICO"/>
    <s v="TRANSPORTE MARÍTIMO"/>
    <s v="LIBERIA"/>
    <s v="EXPORTACIONES DEFINITIVAS"/>
    <s v="EXPORTACION TEMPORAL PARA PERFECCIONAMIENTO PASIVO"/>
    <s v="NINGUNO"/>
    <s v="NO"/>
    <s v="Dólar de los Estados Unidos de América"/>
    <s v="SIN REINTEGRO"/>
    <n v="7.5"/>
    <n v="21599.17"/>
    <n v="0"/>
    <n v="0"/>
    <n v="0"/>
    <n v="0"/>
    <s v="EUROPA"/>
  </r>
  <r>
    <n v="565"/>
    <n v="2015"/>
    <n v="10"/>
    <n v="19"/>
    <s v="2015"/>
    <s v="10"/>
    <s v="19"/>
    <s v="INICIAL"/>
    <s v="20151019"/>
    <s v="600758865261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4902909000"/>
    <s v="Los demás diarios y públicaciones periodicas, impresos, incluso ilustrados o con publicidad."/>
    <s v="UNIDADES"/>
    <n v="150"/>
    <n v="23.57"/>
    <n v="24.5"/>
    <n v="1"/>
    <x v="0"/>
    <s v="YEKATERINBURG"/>
    <s v="ATLÁNTICO"/>
    <s v="ATLÁNTICO"/>
    <s v="CARTAGENA"/>
    <s v="201510"/>
    <s v="6027591232681"/>
    <s v="ÚNICO"/>
    <s v="TRANSPORTE MARÍTIMO"/>
    <s v="ALEMANIA"/>
    <s v="EXPORTACIONES DEFINITIVAS"/>
    <s v="EXPORTACION TEMPORAL PARA PERFECCIONAMIENTO PASIVO"/>
    <s v="NINGUNO"/>
    <s v="NO"/>
    <s v="Dólar de los Estados Unidos de América"/>
    <s v="SIN REINTEGRO"/>
    <n v="3"/>
    <n v="8639.67"/>
    <n v="0"/>
    <n v="0"/>
    <n v="0"/>
    <n v="0"/>
    <s v="ASIA"/>
  </r>
  <r>
    <n v="566"/>
    <n v="2015"/>
    <n v="10"/>
    <n v="26"/>
    <s v="2015"/>
    <s v="10"/>
    <s v="26"/>
    <s v="INICIAL"/>
    <s v="20151026"/>
    <s v="60075889790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9505900000"/>
    <s v="Los demás artículos para fiestas, carnaval u otras diversiones, incluidos los de magia y artículos sorpresa."/>
    <s v="UNIDADES"/>
    <n v="600"/>
    <n v="7.44"/>
    <n v="8.3000000000000007"/>
    <n v="5"/>
    <x v="31"/>
    <s v="GUATEMALA"/>
    <s v="ATLÁNTICO"/>
    <s v="ATLÁNTICO"/>
    <s v="BARRANQUILLA"/>
    <s v="201510"/>
    <s v="6027591983739"/>
    <s v="ÚNICO"/>
    <s v="TRANSPORTE MARÍTIMO"/>
    <s v="HONG KONG"/>
    <s v="EXPORTACIONES DEFINITIVAS"/>
    <s v="EXPORTACIÓN DEFINITIVA DE MERCANCÍAS DE FABRICACIÓN Ó PRODUCCIÓN NACIONAL"/>
    <s v="ALADI"/>
    <s v="NO"/>
    <s v="Dólar de los Estados Unidos de América"/>
    <s v="CON REINTEGRO"/>
    <n v="312"/>
    <n v="908568.96"/>
    <n v="0"/>
    <n v="0"/>
    <n v="0"/>
    <n v="0"/>
    <s v="AMÉRICA"/>
  </r>
  <r>
    <n v="567"/>
    <n v="2015"/>
    <n v="10"/>
    <n v="26"/>
    <s v="2015"/>
    <s v="10"/>
    <s v="26"/>
    <s v="INICIAL"/>
    <s v="20151026"/>
    <s v="600758897900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9503009910"/>
    <s v="Globos de latex de caucho natural."/>
    <s v="UNIDADES"/>
    <n v="387730"/>
    <n v="1462.58"/>
    <n v="1583.35"/>
    <n v="3"/>
    <x v="31"/>
    <s v="GUATEMALA"/>
    <s v="ATLÁNTICO"/>
    <s v="ATLÁNTICO"/>
    <s v="BARRANQUILLA"/>
    <s v="201510"/>
    <s v="6027591982185"/>
    <s v="ÚNICO"/>
    <s v="TRANSPORTE MARÍTIMO"/>
    <s v="HONG KONG"/>
    <s v="EXPORTACIONES DEFINITIVAS"/>
    <s v="EXPORTACIÓN DEFINITIVA DE MERCANCÍAS DE FABRICACIÓN Ó PRODUCCIÓN NACIONAL"/>
    <s v="ALADI"/>
    <s v="NO"/>
    <s v="Dólar de los Estados Unidos de América"/>
    <s v="CON REINTEGRO"/>
    <n v="41757.300000000003"/>
    <n v="121600598.18000001"/>
    <n v="0"/>
    <n v="0"/>
    <n v="0"/>
    <n v="0"/>
    <s v="AMÉRICA"/>
  </r>
  <r>
    <n v="568"/>
    <n v="2015"/>
    <n v="10"/>
    <n v="26"/>
    <s v="2015"/>
    <s v="10"/>
    <s v="26"/>
    <s v="INICIAL"/>
    <s v="20151026"/>
    <s v="600758897900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9503009910"/>
    <s v="Globos de latex de caucho natural."/>
    <s v="UNIDADES"/>
    <n v="80250"/>
    <n v="196.18"/>
    <n v="212.37"/>
    <n v="2"/>
    <x v="31"/>
    <s v="GUATEMALA"/>
    <s v="ATLÁNTICO"/>
    <s v="ATLÁNTICO"/>
    <s v="BARRANQUILLA"/>
    <s v="201510"/>
    <s v="6027591982185"/>
    <s v="ÚNICO"/>
    <s v="TRANSPORTE MARÍTIMO"/>
    <s v="HONG KONG"/>
    <s v="EXPORTACIONES DEFINITIVAS"/>
    <s v="EXPORTACIÓN DEFINITIVA DE MERCANCÍAS DE FABRICACIÓN Ó PRODUCCIÓN NACIONAL"/>
    <s v="ALADI"/>
    <s v="NO"/>
    <s v="Dólar de los Estados Unidos de América"/>
    <s v="CON REINTEGRO"/>
    <n v="3310"/>
    <n v="9638984.8000000007"/>
    <n v="0"/>
    <n v="0"/>
    <n v="0"/>
    <n v="0"/>
    <s v="AMÉRICA"/>
  </r>
  <r>
    <n v="569"/>
    <n v="2015"/>
    <n v="10"/>
    <n v="26"/>
    <s v="2015"/>
    <s v="10"/>
    <s v="26"/>
    <s v="INICIAL"/>
    <s v="20151026"/>
    <s v="600758897900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9503009910"/>
    <s v="Globos de latex de caucho natural."/>
    <s v="UNIDADES"/>
    <n v="528900"/>
    <n v="1357.55"/>
    <n v="1469.64"/>
    <n v="1"/>
    <x v="31"/>
    <s v="GUATEMALA"/>
    <s v="ATLÁNTICO"/>
    <s v="ATLÁNTICO"/>
    <s v="BARRANQUILLA"/>
    <s v="201510"/>
    <s v="6027591982185"/>
    <s v="ÚNICO"/>
    <s v="TRANSPORTE MARÍTIMO"/>
    <s v="HONG KONG"/>
    <s v="EXPORTACIONES DEFINITIVAS"/>
    <s v="EXPORTACIÓN DEFINITIVA DE MERCANCÍAS DE FABRICACIÓN Ó PRODUCCIÓN NACIONAL"/>
    <s v="ALADI"/>
    <s v="NO"/>
    <s v="Dólar de los Estados Unidos de América"/>
    <s v="CON REINTEGRO"/>
    <n v="21225.7"/>
    <n v="61810936.450000003"/>
    <n v="0"/>
    <n v="0"/>
    <n v="0"/>
    <n v="0"/>
    <s v="AMÉRICA"/>
  </r>
  <r>
    <n v="570"/>
    <n v="2015"/>
    <n v="10"/>
    <n v="26"/>
    <s v="2015"/>
    <s v="10"/>
    <s v="26"/>
    <s v="INICIAL"/>
    <s v="20151026"/>
    <s v="600758897900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9503009910"/>
    <s v="Globos de latex de caucho natural."/>
    <s v="UNIDADES"/>
    <n v="37440"/>
    <n v="159.72999999999999"/>
    <n v="172.91"/>
    <n v="4"/>
    <x v="31"/>
    <s v="GUATEMALA"/>
    <s v="ATLÁNTICO"/>
    <s v="ATLÁNTICO"/>
    <s v="BARRANQUILLA"/>
    <s v="201510"/>
    <s v="6027591982185"/>
    <s v="ÚNICO"/>
    <s v="TRANSPORTE MARÍTIMO"/>
    <s v="HONG KONG"/>
    <s v="EXPORTACIONES DEFINITIVAS"/>
    <s v="EXPORTACIÓN DEFINITIVA DE MERCANCÍAS DE FABRICACIÓN Ó PRODUCCIÓN NACIONAL"/>
    <s v="ALADI"/>
    <s v="NO"/>
    <s v="Dólar de los Estados Unidos de América"/>
    <s v="CON REINTEGRO"/>
    <n v="4192.8"/>
    <n v="12209769.02"/>
    <n v="0"/>
    <n v="0"/>
    <n v="0"/>
    <n v="0"/>
    <s v="AMÉRICA"/>
  </r>
  <r>
    <n v="571"/>
    <n v="2015"/>
    <n v="10"/>
    <n v="26"/>
    <s v="2015"/>
    <s v="10"/>
    <s v="26"/>
    <s v="INICIAL"/>
    <s v="20151026"/>
    <s v="60075889790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3924900000"/>
    <s v="Los demás artículos de uso doméstico y artículos de higiene o de tocador, de plástico."/>
    <s v="UNIDADES"/>
    <n v="72"/>
    <n v="19.82"/>
    <n v="22.11"/>
    <n v="1"/>
    <x v="31"/>
    <s v="GUATEMALA"/>
    <s v="ATLÁNTICO"/>
    <s v="ATLÁNTICO"/>
    <s v="BARRANQUILLA"/>
    <s v="201510"/>
    <s v="6027591983739"/>
    <s v="ÚNICO"/>
    <s v="TRANSPORTE MARÍTIMO"/>
    <s v="HONG KONG"/>
    <s v="EXPORTACIONES DEFINITIVAS"/>
    <s v="EXPORTACIÓN DEFINITIVA DE MERCANCÍAS DE FABRICACIÓN Ó PRODUCCIÓN NACIONAL"/>
    <s v="ALADI"/>
    <s v="NO"/>
    <s v="Dólar de los Estados Unidos de América"/>
    <s v="CON REINTEGRO"/>
    <n v="104.4"/>
    <n v="304021.15000000002"/>
    <n v="0"/>
    <n v="0"/>
    <n v="0"/>
    <n v="0"/>
    <s v="AMÉRICA"/>
  </r>
  <r>
    <n v="572"/>
    <n v="2015"/>
    <n v="10"/>
    <n v="26"/>
    <s v="2015"/>
    <s v="10"/>
    <s v="26"/>
    <s v="INICIAL"/>
    <s v="20151026"/>
    <s v="60075889790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4911100000"/>
    <s v="Impresos publicitarios, catalogos comerciales y similares."/>
    <s v="KILOGRAMO"/>
    <n v="10.46"/>
    <n v="10.46"/>
    <n v="11.67"/>
    <n v="4"/>
    <x v="31"/>
    <s v="GUATEMALA"/>
    <s v="ATLÁNTICO"/>
    <s v="ATLÁNTICO"/>
    <s v="BARRANQUILLA"/>
    <s v="201510"/>
    <s v="6027591983739"/>
    <s v="ÚNICO"/>
    <s v="TRANSPORTE MARÍTIMO"/>
    <s v="HONG KONG"/>
    <s v="EXPORTACIONES DEFINITIVAS"/>
    <s v="EXPORTACIÓN DEFINITIVA DE MERCANCÍAS DE FABRICACIÓN Ó PRODUCCIÓN NACIONAL"/>
    <s v="ALADI"/>
    <s v="NO"/>
    <s v="Dólar de los Estados Unidos de América"/>
    <s v="CON REINTEGRO"/>
    <n v="421.2"/>
    <n v="1226568.0900000001"/>
    <n v="0"/>
    <n v="0"/>
    <n v="0"/>
    <n v="0"/>
    <s v="AMÉRICA"/>
  </r>
  <r>
    <n v="573"/>
    <n v="2015"/>
    <n v="10"/>
    <n v="26"/>
    <s v="2015"/>
    <s v="10"/>
    <s v="26"/>
    <s v="INICIAL"/>
    <s v="20151026"/>
    <s v="60075889790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4823909000"/>
    <s v="Los demás papeles, cartónes, guata de celulosa y napa de fibras de celulosa, cortados en formato; los demás artículos de pasta de papel, papel, cartón, guata de celulosa o napa de fibras de celulosa."/>
    <s v="KILOGRAMO"/>
    <n v="40.24"/>
    <n v="40.24"/>
    <n v="44.9"/>
    <n v="3"/>
    <x v="31"/>
    <s v="GUATEMALA"/>
    <s v="ATLÁNTICO"/>
    <s v="ATLÁNTICO"/>
    <s v="BARRANQUILLA"/>
    <s v="201510"/>
    <s v="6027591983739"/>
    <s v="ÚNICO"/>
    <s v="TRANSPORTE MARÍTIMO"/>
    <s v="HONG KONG"/>
    <s v="EXPORTACIONES DEFINITIVAS"/>
    <s v="EXPORTACIÓN DEFINITIVA DE MERCANCÍAS DE FABRICACIÓN Ó PRODUCCIÓN NACIONAL"/>
    <s v="ALADI"/>
    <s v="NO"/>
    <s v="Dólar de los Estados Unidos de América"/>
    <s v="CON REINTEGRO"/>
    <n v="766.08"/>
    <n v="2230886.2400000002"/>
    <n v="0"/>
    <n v="0"/>
    <n v="0"/>
    <n v="0"/>
    <s v="AMÉRICA"/>
  </r>
  <r>
    <n v="574"/>
    <n v="2015"/>
    <n v="10"/>
    <n v="26"/>
    <s v="2015"/>
    <s v="10"/>
    <s v="26"/>
    <s v="INICIAL"/>
    <s v="20151026"/>
    <s v="60075889790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4818300000"/>
    <s v="Manteles y servilletas, de pasta de papel, papel y guata de celulosa."/>
    <s v="KILOGRAMO"/>
    <n v="58.4"/>
    <n v="58.4"/>
    <n v="65.16"/>
    <n v="2"/>
    <x v="31"/>
    <s v="GUATEMALA"/>
    <s v="ATLÁNTICO"/>
    <s v="ATLÁNTICO"/>
    <s v="BARRANQUILLA"/>
    <s v="201510"/>
    <s v="6027591983739"/>
    <s v="ÚNICO"/>
    <s v="TRANSPORTE MARÍTIMO"/>
    <s v="HONG KONG"/>
    <s v="EXPORTACIONES DEFINITIVAS"/>
    <s v="EXPORTACIÓN DEFINITIVA DE MERCANCÍAS DE FABRICACIÓN Ó PRODUCCIÓN NACIONAL"/>
    <s v="ALADI"/>
    <s v="NO"/>
    <s v="Dólar de los Estados Unidos de América"/>
    <s v="CON REINTEGRO"/>
    <n v="460.8"/>
    <n v="1341886.46"/>
    <n v="0"/>
    <n v="0"/>
    <n v="0"/>
    <n v="0"/>
    <s v="AMÉRICA"/>
  </r>
  <r>
    <n v="575"/>
    <n v="2015"/>
    <n v="10"/>
    <n v="26"/>
    <s v="2015"/>
    <s v="10"/>
    <s v="26"/>
    <s v="INICIAL"/>
    <s v="20151026"/>
    <s v="60075889790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GRUPO BASICO DE COMPAÑIAS GUATEMALA SA"/>
    <s v="5A CALLE 4-00 ZONA 9"/>
    <s v="4823690000"/>
    <s v="Las demás bandejas, fuentes, platos, tazas, vasos y artículos similares, de papel o cartón."/>
    <s v="KILOGRAMO"/>
    <n v="253.14"/>
    <n v="253.14"/>
    <n v="282.47000000000003"/>
    <n v="6"/>
    <x v="31"/>
    <s v="GUATEMALA"/>
    <s v="ATLÁNTICO"/>
    <s v="ATLÁNTICO"/>
    <s v="BARRANQUILLA"/>
    <s v="201510"/>
    <s v="6027591983739"/>
    <s v="ÚNICO"/>
    <s v="TRANSPORTE MARÍTIMO"/>
    <s v="HONG KONG"/>
    <s v="EXPORTACIONES DEFINITIVAS"/>
    <s v="EXPORTACIÓN DEFINITIVA DE MERCANCÍAS DE FABRICACIÓN Ó PRODUCCIÓN NACIONAL"/>
    <s v="ALADI"/>
    <s v="NO"/>
    <s v="Dólar de los Estados Unidos de América"/>
    <s v="CON REINTEGRO"/>
    <n v="2147.04"/>
    <n v="6252352.2400000002"/>
    <n v="0"/>
    <n v="0"/>
    <n v="0"/>
    <n v="0"/>
    <s v="AMÉRICA"/>
  </r>
  <r>
    <n v="576"/>
    <n v="2015"/>
    <n v="10"/>
    <n v="26"/>
    <s v="2015"/>
    <s v="10"/>
    <s v="26"/>
    <s v="INICIAL"/>
    <s v="20151026"/>
    <s v="600758890979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M&amp;A LIMITED"/>
    <s v="35 PREYSAL CROWN TRACE WEST, FREEPORT, TRINIDAD, W.I"/>
    <s v="9503009910"/>
    <s v="Globos de latex de caucho natural."/>
    <s v="UNIDADES"/>
    <n v="811200"/>
    <n v="1455.58"/>
    <n v="1615.93"/>
    <n v="1"/>
    <x v="42"/>
    <s v="TRINIDAD"/>
    <s v="ATLÁNTICO"/>
    <s v="ATLÁNTICO"/>
    <s v="BARRANQUILLA"/>
    <s v="201510"/>
    <s v="6027591856024"/>
    <s v="ÚNICO"/>
    <s v="TRANSPORTE MARÍTIMO"/>
    <s v="SINGAPUR"/>
    <s v="EXPORTACIONES DEFINITIVAS"/>
    <s v="EXPORTACIÓN DEFINITIVA DE MERCANCÍAS DE FABRICACIÓN Ó PRODUCCIÓN NACIONAL"/>
    <s v="NINGUNO"/>
    <s v="NO"/>
    <s v="Dólar de los Estados Unidos de América"/>
    <s v="CON REINTEGRO"/>
    <n v="26138.6"/>
    <n v="76117694.280000001"/>
    <n v="0"/>
    <n v="1038.1400000000001"/>
    <n v="67.94"/>
    <n v="0"/>
    <s v="AMÉRICA"/>
  </r>
  <r>
    <n v="577"/>
    <n v="2015"/>
    <n v="10"/>
    <n v="26"/>
    <s v="2015"/>
    <s v="10"/>
    <s v="26"/>
    <s v="INICIAL"/>
    <s v="20151026"/>
    <s v="600758890979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M&amp;A LIMITED"/>
    <s v="35 PREYSAL CROWN TRACE WEST, FREEPORT, TRINIDAD, W.I"/>
    <s v="9503009910"/>
    <s v="Globos de latex de caucho natural."/>
    <s v="UNIDADES"/>
    <n v="221920"/>
    <n v="397.33"/>
    <n v="441.1"/>
    <n v="2"/>
    <x v="42"/>
    <s v="TRINIDAD"/>
    <s v="ATLÁNTICO"/>
    <s v="ATLÁNTICO"/>
    <s v="BARRANQUILLA"/>
    <s v="201510"/>
    <s v="6027591856024"/>
    <s v="ÚNICO"/>
    <s v="TRANSPORTE MARÍTIMO"/>
    <s v="SINGAPUR"/>
    <s v="EXPORTACIONES DEFINITIVAS"/>
    <s v="EXPORTACIÓN DEFINITIVA DE MERCANCÍAS DE FABRICACIÓN Ó PRODUCCIÓN NACIONAL"/>
    <s v="NINGUNO"/>
    <s v="NO"/>
    <s v="Dólar de los Estados Unidos de América"/>
    <s v="CON REINTEGRO"/>
    <n v="7411.2"/>
    <n v="21582007.289999999"/>
    <n v="0"/>
    <n v="294.35000000000002"/>
    <n v="19.260000000000002"/>
    <n v="0"/>
    <s v="AMÉRICA"/>
  </r>
  <r>
    <n v="578"/>
    <n v="2015"/>
    <n v="10"/>
    <n v="26"/>
    <s v="2015"/>
    <s v="10"/>
    <s v="26"/>
    <s v="INICIAL"/>
    <s v="20151026"/>
    <s v="600758890979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M&amp;A LIMITED"/>
    <s v="35 PREYSAL CROWN TRACE WEST, FREEPORT, TRINIDAD, W.I"/>
    <s v="9503009910"/>
    <s v="Globos de latex de caucho natural."/>
    <s v="UNIDADES"/>
    <n v="37920"/>
    <n v="114.79"/>
    <n v="127.43"/>
    <n v="3"/>
    <x v="42"/>
    <s v="TRINIDAD"/>
    <s v="ATLÁNTICO"/>
    <s v="ATLÁNTICO"/>
    <s v="BARRANQUILLA"/>
    <s v="201510"/>
    <s v="6027591856024"/>
    <s v="ÚNICO"/>
    <s v="TRANSPORTE MARÍTIMO"/>
    <s v="SINGAPUR"/>
    <s v="EXPORTACIONES DEFINITIVAS"/>
    <s v="EXPORTACIÓN DEFINITIVA DE MERCANCÍAS DE FABRICACIÓN Ó PRODUCCIÓN NACIONAL"/>
    <s v="NINGUNO"/>
    <s v="NO"/>
    <s v="Dólar de los Estados Unidos de América"/>
    <s v="CON REINTEGRO"/>
    <n v="4186.2"/>
    <n v="12190549.289999999"/>
    <n v="0"/>
    <n v="166.26"/>
    <n v="10.88"/>
    <n v="0"/>
    <s v="AMÉRICA"/>
  </r>
  <r>
    <n v="579"/>
    <n v="2015"/>
    <n v="10"/>
    <n v="26"/>
    <s v="2015"/>
    <s v="10"/>
    <s v="26"/>
    <s v="INICIAL"/>
    <s v="20151026"/>
    <s v="6007588909793"/>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M&amp;A LIMITED"/>
    <s v="35 PREYSAL CROWN TRACE WEST, FREEPORT, TRINIDAD, W.I"/>
    <s v="9503009910"/>
    <s v="Globos de latex de caucho natural."/>
    <s v="UNIDADES"/>
    <n v="5760"/>
    <n v="24.52"/>
    <n v="27.22"/>
    <n v="4"/>
    <x v="42"/>
    <s v="TRINIDAD"/>
    <s v="ATLÁNTICO"/>
    <s v="ATLÁNTICO"/>
    <s v="BARRANQUILLA"/>
    <s v="201510"/>
    <s v="6027591856024"/>
    <s v="ÚNICO"/>
    <s v="TRANSPORTE MARÍTIMO"/>
    <s v="SINGAPUR"/>
    <s v="EXPORTACIONES DEFINITIVAS"/>
    <s v="EXPORTACIÓN DEFINITIVA DE MERCANCÍAS DE FABRICACIÓN Ó PRODUCCIÓN NACIONAL"/>
    <s v="NINGUNO"/>
    <s v="NO"/>
    <s v="Dólar de los Estados Unidos de América"/>
    <s v="CON REINTEGRO"/>
    <n v="576"/>
    <n v="1677358.0800000001"/>
    <n v="0"/>
    <n v="22.88"/>
    <n v="1.5"/>
    <n v="0"/>
    <s v="AMÉRICA"/>
  </r>
  <r>
    <n v="580"/>
    <n v="2015"/>
    <n v="10"/>
    <n v="30"/>
    <s v="2015"/>
    <s v="10"/>
    <s v="30"/>
    <s v="CORRECCIÓN"/>
    <s v="20151030"/>
    <s v="6007589161968"/>
    <s v="201510"/>
    <s v="6007588652601"/>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66000"/>
    <n v="254.1"/>
    <n v="275.82"/>
    <n v="4"/>
    <x v="0"/>
    <s v="YEKATERINBURG"/>
    <s v="ATLÁNTICO"/>
    <s v="ATLÁNTICO"/>
    <s v="CARTAGENA"/>
    <s v="201510"/>
    <s v="6027591232287"/>
    <s v="ÚNICO"/>
    <s v="TRANSPORTE MARÍTIMO"/>
    <s v="ALEMANIA"/>
    <s v="EXPORTACIONES DEFINITIVAS"/>
    <s v="LAS DEMÁS EXPORTACIONES DEFINITIVAS NO INCLUIDAS EN LOS ÍTEMS ANTERIORES"/>
    <s v="NINGUNO"/>
    <s v="NO"/>
    <s v="Dólar de los Estados Unidos de América"/>
    <s v="CON REINTEGRO"/>
    <n v="4712.3999999999996"/>
    <n v="13766428.359999999"/>
    <n v="0"/>
    <n v="0"/>
    <n v="0"/>
    <n v="0"/>
    <s v="ASIA"/>
  </r>
  <r>
    <n v="581"/>
    <n v="2015"/>
    <n v="10"/>
    <n v="30"/>
    <s v="2015"/>
    <s v="10"/>
    <s v="30"/>
    <s v="CORRECCIÓN"/>
    <s v="20151030"/>
    <s v="6007589161968"/>
    <s v="201510"/>
    <s v="6007588652601"/>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4656500"/>
    <n v="10279.56"/>
    <n v="11158.58"/>
    <n v="1"/>
    <x v="0"/>
    <s v="YEKATERINBURG"/>
    <s v="ATLÁNTICO"/>
    <s v="ATLÁNTICO"/>
    <s v="CARTAGENA"/>
    <s v="201510"/>
    <s v="6027591232287"/>
    <s v="ÚNICO"/>
    <s v="TRANSPORTE MARÍTIMO"/>
    <s v="ALEMANIA"/>
    <s v="EXPORTACIONES DEFINITIVAS"/>
    <s v="LAS DEMÁS EXPORTACIONES DEFINITIVAS NO INCLUIDAS EN LOS ÍTEMS ANTERIORES"/>
    <s v="NINGUNO"/>
    <s v="NO"/>
    <s v="Dólar de los Estados Unidos de América"/>
    <s v="CON REINTEGRO"/>
    <n v="110100.4"/>
    <n v="321638500.51999998"/>
    <n v="0"/>
    <n v="0"/>
    <n v="0"/>
    <n v="0"/>
    <s v="ASIA"/>
  </r>
  <r>
    <n v="582"/>
    <n v="2015"/>
    <n v="10"/>
    <n v="30"/>
    <s v="2015"/>
    <s v="10"/>
    <s v="30"/>
    <s v="CORRECCIÓN"/>
    <s v="20151030"/>
    <s v="6007589161968"/>
    <s v="201510"/>
    <s v="6007588652601"/>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1081000"/>
    <n v="3726.14"/>
    <n v="4044.77"/>
    <n v="3"/>
    <x v="0"/>
    <s v="YEKATERINBURG"/>
    <s v="ATLÁNTICO"/>
    <s v="ATLÁNTICO"/>
    <s v="CARTAGENA"/>
    <s v="201510"/>
    <s v="6027591232287"/>
    <s v="ÚNICO"/>
    <s v="TRANSPORTE MARÍTIMO"/>
    <s v="ALEMANIA"/>
    <s v="EXPORTACIONES DEFINITIVAS"/>
    <s v="LAS DEMÁS EXPORTACIONES DEFINITIVAS NO INCLUIDAS EN LOS ÍTEMS ANTERIORES"/>
    <s v="NINGUNO"/>
    <s v="NO"/>
    <s v="Dólar de los Estados Unidos de América"/>
    <s v="CON REINTEGRO"/>
    <n v="77138"/>
    <n v="225344782.16"/>
    <n v="0"/>
    <n v="0"/>
    <n v="0"/>
    <n v="0"/>
    <s v="ASIA"/>
  </r>
  <r>
    <n v="583"/>
    <n v="2015"/>
    <n v="10"/>
    <n v="30"/>
    <s v="2015"/>
    <s v="10"/>
    <s v="30"/>
    <s v="CORRECCIÓN"/>
    <s v="20151030"/>
    <s v="6007589161968"/>
    <s v="201510"/>
    <s v="6007588652601"/>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140000"/>
    <n v="346.19"/>
    <n v="375.79"/>
    <n v="2"/>
    <x v="0"/>
    <s v="YEKATERINBURG"/>
    <s v="ATLÁNTICO"/>
    <s v="ATLÁNTICO"/>
    <s v="CARTAGENA"/>
    <s v="201510"/>
    <s v="6027591232287"/>
    <s v="ÚNICO"/>
    <s v="TRANSPORTE MARÍTIMO"/>
    <s v="ALEMANIA"/>
    <s v="EXPORTACIONES DEFINITIVAS"/>
    <s v="LAS DEMÁS EXPORTACIONES DEFINITIVAS NO INCLUIDAS EN LOS ÍTEMS ANTERIORES"/>
    <s v="NINGUNO"/>
    <s v="NO"/>
    <s v="Dólar de los Estados Unidos de América"/>
    <s v="CON REINTEGRO"/>
    <n v="3719.2"/>
    <n v="10864973.34"/>
    <n v="0"/>
    <n v="0"/>
    <n v="0"/>
    <n v="0"/>
    <s v="ASIA"/>
  </r>
  <r>
    <n v="584"/>
    <n v="2015"/>
    <n v="11"/>
    <n v="4"/>
    <s v="2015"/>
    <s v="11"/>
    <s v="04"/>
    <s v="INICIAL"/>
    <s v="20151104"/>
    <s v="600758932753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420000"/>
    <n v="1103.1099999999999"/>
    <n v="1190.19"/>
    <n v="2"/>
    <x v="6"/>
    <s v="GENK"/>
    <s v="ATLÁNTICO"/>
    <s v="ATLÁNTICO"/>
    <s v="CARTAGENA"/>
    <s v="201511"/>
    <s v="6027591985079"/>
    <s v="ÚNICO"/>
    <s v="TRANSPORTE MARÍTIMO"/>
    <s v="SINGAPUR"/>
    <s v="EXPORTACIONES DEFINITIVAS"/>
    <s v="EXPORTACIÓN DEFINITIVA DE MERCANCÍAS DE FABRICACIÓN Ó PRODUCCIÓN NACIONAL"/>
    <s v="NINGUNO"/>
    <s v="NO"/>
    <s v="Dólar de los Estados Unidos de América"/>
    <s v="CON REINTEGRO"/>
    <n v="13777.2"/>
    <n v="38924034.299999997"/>
    <n v="0"/>
    <n v="250.81"/>
    <n v="35.07"/>
    <n v="0"/>
    <s v="EUROPA"/>
  </r>
  <r>
    <n v="585"/>
    <n v="2015"/>
    <n v="11"/>
    <n v="4"/>
    <s v="2015"/>
    <s v="11"/>
    <s v="04"/>
    <s v="INICIAL"/>
    <s v="20151104"/>
    <s v="600758932753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1133000"/>
    <n v="3189.42"/>
    <n v="3441.21"/>
    <n v="1"/>
    <x v="6"/>
    <s v="GENK"/>
    <s v="ATLÁNTICO"/>
    <s v="ATLÁNTICO"/>
    <s v="CARTAGENA"/>
    <s v="201511"/>
    <s v="6027591985079"/>
    <s v="ÚNICO"/>
    <s v="TRANSPORTE MARÍTIMO"/>
    <s v="SINGAPUR"/>
    <s v="EXPORTACIONES DEFINITIVAS"/>
    <s v="EXPORTACIÓN DEFINITIVA DE MERCANCÍAS DE FABRICACIÓN Ó PRODUCCIÓN NACIONAL"/>
    <s v="NINGUNO"/>
    <s v="NO"/>
    <s v="Dólar de los Estados Unidos de América"/>
    <s v="CON REINTEGRO"/>
    <n v="40516"/>
    <n v="114467829"/>
    <n v="0"/>
    <n v="737.57"/>
    <n v="103.13"/>
    <n v="0"/>
    <s v="EUROPA"/>
  </r>
  <r>
    <n v="586"/>
    <n v="2015"/>
    <n v="11"/>
    <n v="4"/>
    <s v="2015"/>
    <s v="11"/>
    <s v="04"/>
    <s v="INICIAL"/>
    <s v="20151104"/>
    <s v="600758932753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35400"/>
    <n v="102.6"/>
    <n v="110.7"/>
    <n v="3"/>
    <x v="6"/>
    <s v="GENK"/>
    <s v="ATLÁNTICO"/>
    <s v="ATLÁNTICO"/>
    <s v="CARTAGENA"/>
    <s v="201511"/>
    <s v="6027591985079"/>
    <s v="ÚNICO"/>
    <s v="TRANSPORTE MARÍTIMO"/>
    <s v="SINGAPUR"/>
    <s v="EXPORTACIONES DEFINITIVAS"/>
    <s v="EXPORTACIÓN DEFINITIVA DE MERCANCÍAS DE FABRICACIÓN Ó PRODUCCIÓN NACIONAL"/>
    <s v="NINGUNO"/>
    <s v="NO"/>
    <s v="Dólar de los Estados Unidos de América"/>
    <s v="CON REINTEGRO"/>
    <n v="3024.8"/>
    <n v="8545816.1999999993"/>
    <n v="0"/>
    <n v="55.07"/>
    <n v="7.7"/>
    <n v="0"/>
    <s v="EUROPA"/>
  </r>
  <r>
    <n v="587"/>
    <n v="2015"/>
    <n v="11"/>
    <n v="4"/>
    <s v="2015"/>
    <s v="11"/>
    <s v="04"/>
    <s v="INICIAL"/>
    <s v="20151104"/>
    <s v="600758932753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4500"/>
    <n v="17.39"/>
    <n v="18.760000000000002"/>
    <n v="4"/>
    <x v="6"/>
    <s v="GENK"/>
    <s v="ATLÁNTICO"/>
    <s v="ATLÁNTICO"/>
    <s v="CARTAGENA"/>
    <s v="201511"/>
    <s v="6027591985079"/>
    <s v="ÚNICO"/>
    <s v="TRANSPORTE MARÍTIMO"/>
    <s v="SINGAPUR"/>
    <s v="EXPORTACIONES DEFINITIVAS"/>
    <s v="EXPORTACIÓN DEFINITIVA DE MERCANCÍAS DE FABRICACIÓN Ó PRODUCCIÓN NACIONAL"/>
    <s v="NINGUNO"/>
    <s v="NO"/>
    <s v="Dólar de los Estados Unidos de América"/>
    <s v="CON REINTEGRO"/>
    <n v="360"/>
    <n v="1017090"/>
    <n v="0"/>
    <n v="6.55"/>
    <n v="0.92"/>
    <n v="0"/>
    <s v="EUROPA"/>
  </r>
  <r>
    <n v="588"/>
    <n v="2015"/>
    <n v="11"/>
    <n v="9"/>
    <s v="2015"/>
    <s v="11"/>
    <s v="09"/>
    <s v="INICIAL"/>
    <s v="20151109"/>
    <s v="6007589539749"/>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PARAGUAY INVERSIONES S.A. (PARA-INVEST)"/>
    <s v="AZARA 197 ESQ. YEGROS"/>
    <s v="9503009910"/>
    <s v="Globos de latex de caucho natural."/>
    <s v="UNIDADES"/>
    <n v="442420"/>
    <n v="1204.08"/>
    <n v="1304"/>
    <n v="1"/>
    <x v="22"/>
    <s v="ASUNCION"/>
    <s v="ATLÁNTICO"/>
    <s v="ATLÁNTICO"/>
    <s v="BOGOTÁ"/>
    <s v="201511"/>
    <s v="6027592842975"/>
    <s v="ÚNICO"/>
    <s v="TRANSPORTE AÉREO"/>
    <s v="CHILE"/>
    <s v="EXPORTACIONES DEFINITIVAS"/>
    <s v="EXPORTACIÓN DEFINITIVA DE MERCANCÍAS DE FABRICACIÓN Ó PRODUCCIÓN NACIONAL"/>
    <s v="NINGUNO"/>
    <s v="NO"/>
    <s v="Dólar de los Estados Unidos de América"/>
    <s v="CON REINTEGRO"/>
    <n v="27093.72"/>
    <n v="78468560.920000002"/>
    <n v="0"/>
    <n v="3229.78"/>
    <n v="75.81"/>
    <n v="0"/>
    <s v="AMÉRICA"/>
  </r>
  <r>
    <n v="589"/>
    <n v="2015"/>
    <n v="11"/>
    <n v="9"/>
    <s v="2015"/>
    <s v="11"/>
    <s v="09"/>
    <s v="INICIAL"/>
    <s v="20151109"/>
    <s v="6007589252498"/>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PMS GLOBOS ET FESTIVAL"/>
    <s v="MS. NATHALIE ET MARIE PIERRE 1988 ROUTES DES PLANTANES 31330 MERVILLE"/>
    <s v="9503009910"/>
    <s v="Globos de latex de caucho natural."/>
    <s v="UNIDADES"/>
    <n v="188000"/>
    <n v="563.20000000000005"/>
    <n v="604"/>
    <n v="1"/>
    <x v="34"/>
    <s v="MERVILLE"/>
    <s v="ATLÁNTICO"/>
    <s v="ATLÁNTICO"/>
    <s v="BARRANQUILLA"/>
    <s v="201510"/>
    <s v="6027592627473"/>
    <s v="ÚNICO"/>
    <s v="TRANSPORTE AÉREO"/>
    <s v="COLOMBIA"/>
    <s v="EXPORTACIONES DEFINITIVAS"/>
    <s v="EXPORTACIÓN DEFINITIVA DE MERCANCÍAS DE FABRICACIÓN Ó PRODUCCIÓN NACIONAL"/>
    <s v="NINGUNO"/>
    <s v="NO"/>
    <s v="Dólar de los Estados Unidos de América"/>
    <s v="CON REINTEGRO"/>
    <n v="9014.7000000000007"/>
    <n v="26108283.989999998"/>
    <n v="0"/>
    <n v="0"/>
    <n v="0"/>
    <n v="0"/>
    <s v="EUROPA"/>
  </r>
  <r>
    <n v="590"/>
    <n v="2015"/>
    <n v="11"/>
    <n v="9"/>
    <s v="2015"/>
    <s v="11"/>
    <s v="09"/>
    <s v="INICIAL"/>
    <s v="20151109"/>
    <s v="6007589156670"/>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BALLOON BARON SPECIALTIES"/>
    <s v="BLK 9008 TAMPINES ST. 93 # 04-47 SINGAPORE 528843"/>
    <s v="9503009910"/>
    <s v="Globos de latex de caucho natural."/>
    <s v="UNIDADES"/>
    <n v="184000"/>
    <n v="372.69"/>
    <n v="398"/>
    <n v="1"/>
    <x v="16"/>
    <s v="SINGAPUR"/>
    <s v="ATLÁNTICO"/>
    <s v="ATLÁNTICO"/>
    <s v="BOGOTÁ"/>
    <s v="201510"/>
    <s v="6027592463839"/>
    <s v="ÚNICO"/>
    <s v="TRANSPORTE AÉREO"/>
    <s v="ESTADOS UNIDOS"/>
    <s v="EXPORTACIONES DEFINITIVAS"/>
    <s v="EXPORTACIÓN DEFINITIVA DE MERCANCÍAS DE FABRICACIÓN Ó PRODUCCIÓN NACIONAL"/>
    <s v="NINGUNO"/>
    <s v="NO"/>
    <s v="Dólar de los Estados Unidos de América"/>
    <s v="CON REINTEGRO"/>
    <n v="6205.5"/>
    <n v="17972307.039999999"/>
    <n v="0"/>
    <n v="1125.55"/>
    <n v="18.329999999999998"/>
    <n v="0"/>
    <s v="ASIA"/>
  </r>
  <r>
    <n v="591"/>
    <n v="2015"/>
    <n v="11"/>
    <n v="10"/>
    <s v="2015"/>
    <s v="11"/>
    <s v="10"/>
    <s v="INICIAL"/>
    <s v="20151110"/>
    <s v="600758948789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6000"/>
    <n v="22.62"/>
    <n v="24.63"/>
    <n v="4"/>
    <x v="17"/>
    <s v="SEOUL"/>
    <s v="ATLÁNTICO"/>
    <s v="ATLÁNTICO"/>
    <s v="BARRANQUILLA"/>
    <s v="201511"/>
    <s v="6027592294541"/>
    <s v="ÚNICO"/>
    <s v="TRANSPORTE MARÍTIMO"/>
    <s v="SINGAPUR"/>
    <s v="EXPORTACIONES DEFINITIVAS"/>
    <s v="EXPORTACIÓN DEFINITIVA DE MERCANCÍAS DE FABRICACIÓN Ó PRODUCCIÓN NACIONAL"/>
    <s v="NINGUNO"/>
    <s v="NO"/>
    <s v="Dólar de los Estados Unidos de América"/>
    <s v="CON REINTEGRO"/>
    <n v="420"/>
    <n v="1226883"/>
    <n v="0"/>
    <n v="8.8000000000000007"/>
    <n v="1.07"/>
    <n v="1.79"/>
    <s v="ASIA"/>
  </r>
  <r>
    <n v="592"/>
    <n v="2015"/>
    <n v="11"/>
    <n v="10"/>
    <s v="2015"/>
    <s v="11"/>
    <s v="10"/>
    <s v="INICIAL"/>
    <s v="20151110"/>
    <s v="600758948789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921000"/>
    <n v="1836.53"/>
    <n v="2000.3"/>
    <n v="1"/>
    <x v="17"/>
    <s v="SEOUL"/>
    <s v="ATLÁNTICO"/>
    <s v="ATLÁNTICO"/>
    <s v="BARRANQUILLA"/>
    <s v="201511"/>
    <s v="6027592294541"/>
    <s v="ÚNICO"/>
    <s v="TRANSPORTE MARÍTIMO"/>
    <s v="SINGAPUR"/>
    <s v="EXPORTACIONES DEFINITIVAS"/>
    <s v="EXPORTACIÓN DEFINITIVA DE MERCANCÍAS DE FABRICACIÓN Ó PRODUCCIÓN NACIONAL"/>
    <s v="NINGUNO"/>
    <s v="NO"/>
    <s v="Dólar de los Estados Unidos de América"/>
    <s v="CON REINTEGRO"/>
    <n v="19927.599999999999"/>
    <n v="58211508.740000002"/>
    <n v="0"/>
    <n v="417.74"/>
    <n v="50.86"/>
    <n v="85.14"/>
    <s v="ASIA"/>
  </r>
  <r>
    <n v="593"/>
    <n v="2015"/>
    <n v="11"/>
    <n v="10"/>
    <s v="2015"/>
    <s v="11"/>
    <s v="10"/>
    <s v="INICIAL"/>
    <s v="20151110"/>
    <s v="600758948789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1053000"/>
    <n v="2347.2199999999998"/>
    <n v="2556.5300000000002"/>
    <n v="2"/>
    <x v="17"/>
    <s v="SEOUL"/>
    <s v="ATLÁNTICO"/>
    <s v="ATLÁNTICO"/>
    <s v="BARRANQUILLA"/>
    <s v="201511"/>
    <s v="6027592294541"/>
    <s v="ÚNICO"/>
    <s v="TRANSPORTE MARÍTIMO"/>
    <s v="SINGAPUR"/>
    <s v="EXPORTACIONES DEFINITIVAS"/>
    <s v="EXPORTACIÓN DEFINITIVA DE MERCANCÍAS DE FABRICACIÓN Ó PRODUCCIÓN NACIONAL"/>
    <s v="NINGUNO"/>
    <s v="NO"/>
    <s v="Dólar de los Estados Unidos de América"/>
    <s v="CON REINTEGRO"/>
    <n v="27042.1"/>
    <n v="78994030.409999996"/>
    <n v="0"/>
    <n v="566.88"/>
    <n v="69.02"/>
    <n v="115.54"/>
    <s v="ASIA"/>
  </r>
  <r>
    <n v="594"/>
    <n v="2015"/>
    <n v="11"/>
    <n v="10"/>
    <s v="2015"/>
    <s v="11"/>
    <s v="10"/>
    <s v="INICIAL"/>
    <s v="20151110"/>
    <s v="600758948789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37600"/>
    <n v="90.4"/>
    <n v="98.46"/>
    <n v="3"/>
    <x v="17"/>
    <s v="SEOUL"/>
    <s v="ATLÁNTICO"/>
    <s v="ATLÁNTICO"/>
    <s v="BARRANQUILLA"/>
    <s v="201511"/>
    <s v="6027592294541"/>
    <s v="ÚNICO"/>
    <s v="TRANSPORTE MARÍTIMO"/>
    <s v="SINGAPUR"/>
    <s v="EXPORTACIONES DEFINITIVAS"/>
    <s v="EXPORTACIÓN DEFINITIVA DE MERCANCÍAS DE FABRICACIÓN Ó PRODUCCIÓN NACIONAL"/>
    <s v="NINGUNO"/>
    <s v="NO"/>
    <s v="Dólar de los Estados Unidos de América"/>
    <s v="CON REINTEGRO"/>
    <n v="2699"/>
    <n v="7884183.8499999996"/>
    <n v="0"/>
    <n v="56.58"/>
    <n v="6.89"/>
    <n v="11.53"/>
    <s v="ASIA"/>
  </r>
  <r>
    <n v="595"/>
    <n v="2015"/>
    <n v="11"/>
    <n v="10"/>
    <s v="2015"/>
    <s v="11"/>
    <s v="10"/>
    <s v="INICIAL"/>
    <s v="20151110"/>
    <s v="6007589453904"/>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MISRAD HASIMHA / YAIR RONINSON"/>
    <s v="9380782, ISRAEL. JERUSALEM"/>
    <s v="9503009910"/>
    <s v="Globos de latex de caucho natural."/>
    <s v="UNIDADES"/>
    <n v="29500"/>
    <n v="106.7"/>
    <n v="116.01"/>
    <n v="3"/>
    <x v="28"/>
    <s v="JERUSALEM"/>
    <s v="ATLÁNTICO"/>
    <s v="ATLÁNTICO"/>
    <s v="CARTAGENA"/>
    <s v="201511"/>
    <s v="6027592148112"/>
    <s v="ÚNICO"/>
    <s v="TRANSPORTE MARÍTIMO"/>
    <s v="LIBERIA"/>
    <s v="EXPORTACIONES DEFINITIVAS"/>
    <s v="EXPORTACIÓN DEFINITIVA DE MERCANCÍAS DE FABRICACIÓN Ó PRODUCCIÓN NACIONAL"/>
    <s v="NINGUNO"/>
    <s v="NO"/>
    <s v="Dólar de los Estados Unidos de América"/>
    <s v="CON REINTEGRO"/>
    <n v="3281.6"/>
    <n v="9586045.8399999999"/>
    <n v="0"/>
    <n v="273.10000000000002"/>
    <n v="0"/>
    <n v="0"/>
    <s v="ASIA"/>
  </r>
  <r>
    <n v="596"/>
    <n v="2015"/>
    <n v="11"/>
    <n v="10"/>
    <s v="2015"/>
    <s v="11"/>
    <s v="10"/>
    <s v="INICIAL"/>
    <s v="20151110"/>
    <s v="6007589453904"/>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MISRAD HASIMHA / YAIR RONINSON"/>
    <s v="9380782, ISRAEL. JERUSALEM"/>
    <s v="9503009910"/>
    <s v="Globos de latex de caucho natural."/>
    <s v="UNIDADES"/>
    <n v="21000"/>
    <n v="42.52"/>
    <n v="46.23"/>
    <n v="2"/>
    <x v="28"/>
    <s v="JERUSALEM"/>
    <s v="ATLÁNTICO"/>
    <s v="ATLÁNTICO"/>
    <s v="CARTAGENA"/>
    <s v="201511"/>
    <s v="6027592148112"/>
    <s v="ÚNICO"/>
    <s v="TRANSPORTE MARÍTIMO"/>
    <s v="LIBERIA"/>
    <s v="EXPORTACIONES DEFINITIVAS"/>
    <s v="EXPORTACIÓN DEFINITIVA DE MERCANCÍAS DE FABRICACIÓN Ó PRODUCCIÓN NACIONAL"/>
    <s v="NINGUNO"/>
    <s v="NO"/>
    <s v="Dólar de los Estados Unidos de América"/>
    <s v="CON REINTEGRO"/>
    <n v="705.5"/>
    <n v="2060871.32"/>
    <n v="0"/>
    <n v="58.71"/>
    <n v="0"/>
    <n v="0"/>
    <s v="ASIA"/>
  </r>
  <r>
    <n v="597"/>
    <n v="2015"/>
    <n v="11"/>
    <n v="10"/>
    <s v="2015"/>
    <s v="11"/>
    <s v="10"/>
    <s v="INICIAL"/>
    <s v="20151110"/>
    <s v="6007589453904"/>
    <s v="000"/>
    <s v="NO REGISTRA"/>
    <s v="OTRAS MODALIDADES"/>
    <s v="000"/>
    <s v="NO REGISTRA"/>
    <s v="DEFINITIVOS AL EMBARQUE"/>
    <s v="NO"/>
    <s v="CARTAGENA"/>
    <s v="CARTAGENA"/>
    <s v="NO DILIGENCIADO"/>
    <s v="830003079"/>
    <s v="SIA PROFESIONAL SA"/>
    <s v="USUARIO OPERADOR DE ZONA FRANCA"/>
    <s v="36"/>
    <s v="890101272"/>
    <s v="SEMPERTEX DE COLOMBIA S A"/>
    <s v="BOGOTÁ, D.C."/>
    <s v="CL 25 G 100 26"/>
    <s v="PRIVADO"/>
    <s v="MISRAD HASIMHA / YAIR RONINSON"/>
    <s v="9380782, ISRAEL. JERUSALEM"/>
    <s v="9503009910"/>
    <s v="Globos de latex de caucho natural."/>
    <s v="UNIDADES"/>
    <n v="944750"/>
    <n v="1778.91"/>
    <n v="1934.21"/>
    <n v="1"/>
    <x v="28"/>
    <s v="JERUSALEM"/>
    <s v="ATLÁNTICO"/>
    <s v="ATLÁNTICO"/>
    <s v="CARTAGENA"/>
    <s v="201511"/>
    <s v="6027592148112"/>
    <s v="ÚNICO"/>
    <s v="TRANSPORTE MARÍTIMO"/>
    <s v="LIBERIA"/>
    <s v="EXPORTACIONES DEFINITIVAS"/>
    <s v="EXPORTACIÓN DEFINITIVA DE MERCANCÍAS DE FABRICACIÓN Ó PRODUCCIÓN NACIONAL"/>
    <s v="NINGUNO"/>
    <s v="NO"/>
    <s v="Dólar de los Estados Unidos de América"/>
    <s v="CON REINTEGRO"/>
    <n v="27271.5"/>
    <n v="79664142.219999999"/>
    <n v="0"/>
    <n v="2269.6"/>
    <n v="0"/>
    <n v="0"/>
    <s v="ASIA"/>
  </r>
  <r>
    <n v="598"/>
    <n v="2015"/>
    <n v="11"/>
    <n v="10"/>
    <s v="2015"/>
    <s v="11"/>
    <s v="10"/>
    <s v="INICIAL"/>
    <s v="20151110"/>
    <s v="600758948797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UZUKI LATEX INDUSTRY CO, LTD."/>
    <s v="1-9-1, NAKASE, MIHAMA-KU, CHIBA261-0023, JAPAN"/>
    <s v="9503009910"/>
    <s v="Globos de latex de caucho natural."/>
    <s v="UNIDADES"/>
    <n v="2911000"/>
    <n v="5964.98"/>
    <n v="6511.82"/>
    <n v="1"/>
    <x v="8"/>
    <s v="YOKOHAMA"/>
    <s v="ATLÁNTICO"/>
    <s v="ATLÁNTICO"/>
    <s v="BARRANQUILLA"/>
    <s v="201511"/>
    <s v="6027592464529"/>
    <s v="ÚNICO"/>
    <s v="TRANSPORTE MARÍTIMO"/>
    <s v="SINGAPUR"/>
    <s v="EXPORTACIONES DEFINITIVAS"/>
    <s v="EXPORTACIÓN DEFINITIVA DE MERCANCÍAS DE FABRICACIÓN Ó PRODUCCIÓN NACIONAL"/>
    <s v="NINGUNO"/>
    <s v="NO"/>
    <s v="Dólar de los Estados Unidos de América"/>
    <s v="CON REINTEGRO"/>
    <n v="89073.7"/>
    <n v="260197638.75"/>
    <n v="0"/>
    <n v="1284.07"/>
    <n v="225.89"/>
    <n v="0"/>
    <s v="ASIA"/>
  </r>
  <r>
    <n v="599"/>
    <n v="2015"/>
    <n v="11"/>
    <n v="10"/>
    <s v="2015"/>
    <s v="11"/>
    <s v="10"/>
    <s v="INICIAL"/>
    <s v="20151110"/>
    <s v="600758960260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49400 HAMINA VADIM AHO"/>
    <s v="9503009910"/>
    <s v="Globos de latex de caucho natural."/>
    <s v="UNIDADES"/>
    <n v="114000"/>
    <n v="421.74"/>
    <n v="457.19"/>
    <n v="4"/>
    <x v="19"/>
    <s v="HAMINA"/>
    <s v="ATLÁNTICO"/>
    <s v="ATLÁNTICO"/>
    <s v="CARTAGENA"/>
    <s v="201511"/>
    <s v="6027592591885"/>
    <s v="ÚNICO"/>
    <s v="TRANSPORTE MARÍTIMO"/>
    <s v="LIBERIA"/>
    <s v="EXPORTACIONES DEFINITIVAS"/>
    <s v="EXPORTACIÓN DEFINITIVA DE MERCANCÍAS DE FABRICACIÓN Ó PRODUCCIÓN NACIONAL"/>
    <s v="NINGUNO"/>
    <s v="NO"/>
    <s v="Dólar de los Estados Unidos de América"/>
    <s v="CON REINTEGRO"/>
    <n v="7710.6"/>
    <n v="22523819.190000001"/>
    <n v="0"/>
    <n v="144.93"/>
    <n v="19.64"/>
    <n v="0"/>
    <s v="EUROPA"/>
  </r>
  <r>
    <n v="600"/>
    <n v="2015"/>
    <n v="11"/>
    <n v="10"/>
    <s v="2015"/>
    <s v="11"/>
    <s v="10"/>
    <s v="INICIAL"/>
    <s v="20151110"/>
    <s v="600758960260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49400 HAMINA VADIM AHO"/>
    <s v="9503009910"/>
    <s v="Globos de latex de caucho natural."/>
    <s v="UNIDADES"/>
    <n v="795000"/>
    <n v="2755.4"/>
    <n v="2987.04"/>
    <n v="3"/>
    <x v="19"/>
    <s v="HAMINA"/>
    <s v="ATLÁNTICO"/>
    <s v="ATLÁNTICO"/>
    <s v="CARTAGENA"/>
    <s v="201511"/>
    <s v="6027592591885"/>
    <s v="ÚNICO"/>
    <s v="TRANSPORTE MARÍTIMO"/>
    <s v="LIBERIA"/>
    <s v="EXPORTACIONES DEFINITIVAS"/>
    <s v="EXPORTACIÓN DEFINITIVA DE MERCANCÍAS DE FABRICACIÓN Ó PRODUCCIÓN NACIONAL"/>
    <s v="NINGUNO"/>
    <s v="NO"/>
    <s v="Dólar de los Estados Unidos de América"/>
    <s v="CON REINTEGRO"/>
    <n v="52313.1"/>
    <n v="152814412.06"/>
    <n v="0"/>
    <n v="983.29"/>
    <n v="133.24"/>
    <n v="0"/>
    <s v="EUROPA"/>
  </r>
  <r>
    <n v="601"/>
    <n v="2015"/>
    <n v="11"/>
    <n v="10"/>
    <s v="2015"/>
    <s v="11"/>
    <s v="10"/>
    <s v="INICIAL"/>
    <s v="20151110"/>
    <s v="600758960260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49400 HAMINA VADIM AHO"/>
    <s v="9503009910"/>
    <s v="Globos de latex de caucho natural."/>
    <s v="UNIDADES"/>
    <n v="1050000"/>
    <n v="3007.71"/>
    <n v="3260.56"/>
    <n v="1"/>
    <x v="19"/>
    <s v="HAMINA"/>
    <s v="ATLÁNTICO"/>
    <s v="ATLÁNTICO"/>
    <s v="CARTAGENA"/>
    <s v="201511"/>
    <s v="6027592591885"/>
    <s v="ÚNICO"/>
    <s v="TRANSPORTE MARÍTIMO"/>
    <s v="LIBERIA"/>
    <s v="EXPORTACIONES DEFINITIVAS"/>
    <s v="EXPORTACIÓN DEFINITIVA DE MERCANCÍAS DE FABRICACIÓN Ó PRODUCCIÓN NACIONAL"/>
    <s v="NINGUNO"/>
    <s v="NO"/>
    <s v="Dólar de los Estados Unidos de América"/>
    <s v="CON REINTEGRO"/>
    <n v="31508.7"/>
    <n v="92041639"/>
    <n v="0"/>
    <n v="592.25"/>
    <n v="80.25"/>
    <n v="0"/>
    <s v="EUROPA"/>
  </r>
  <r>
    <n v="602"/>
    <n v="2015"/>
    <n v="11"/>
    <n v="10"/>
    <s v="2015"/>
    <s v="11"/>
    <s v="10"/>
    <s v="INICIAL"/>
    <s v="20151110"/>
    <s v="6007589602608"/>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WS INTERNATIONAL OY"/>
    <s v="KORJAAMOTIE 949400 HAMINA VADIM AHO"/>
    <s v="9503009910"/>
    <s v="Globos de latex de caucho natural."/>
    <s v="UNIDADES"/>
    <n v="107000"/>
    <n v="319.73"/>
    <n v="346.6"/>
    <n v="2"/>
    <x v="19"/>
    <s v="HAMINA"/>
    <s v="ATLÁNTICO"/>
    <s v="ATLÁNTICO"/>
    <s v="CARTAGENA"/>
    <s v="201511"/>
    <s v="6027592591885"/>
    <s v="ÚNICO"/>
    <s v="TRANSPORTE MARÍTIMO"/>
    <s v="LIBERIA"/>
    <s v="EXPORTACIONES DEFINITIVAS"/>
    <s v="EXPORTACIÓN DEFINITIVA DE MERCANCÍAS DE FABRICACIÓN Ó PRODUCCIÓN NACIONAL"/>
    <s v="NINGUNO"/>
    <s v="NO"/>
    <s v="Dólar de los Estados Unidos de América"/>
    <s v="CON REINTEGRO"/>
    <n v="3199.2"/>
    <n v="9345343.0800000001"/>
    <n v="0"/>
    <n v="60.13"/>
    <n v="8.15"/>
    <n v="0"/>
    <s v="EUROPA"/>
  </r>
  <r>
    <n v="603"/>
    <n v="2015"/>
    <n v="11"/>
    <n v="18"/>
    <s v="2015"/>
    <s v="11"/>
    <s v="18"/>
    <s v="INICIAL"/>
    <s v="20151118"/>
    <s v="600758983159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251240"/>
    <n v="988.32"/>
    <n v="1069.23"/>
    <n v="3"/>
    <x v="9"/>
    <s v="SANTIAGO"/>
    <s v="ATLÁNTICO"/>
    <s v="ATLÁNTICO"/>
    <s v="BARRANQUILLA"/>
    <s v="201511"/>
    <s v="6027592846075"/>
    <s v="ÚNICO"/>
    <s v="TRANSPORTE MARÍTIMO"/>
    <s v="PANAMÁ"/>
    <s v="EXPORTACIONES DEFINITIVAS"/>
    <s v="EXPORTACIÓN DEFINITIVA DE MERCANCÍAS DE FABRICACIÓN Ó PRODUCCIÓN NACIONAL"/>
    <s v="ALADI"/>
    <s v="NO"/>
    <s v="Dólar de los Estados Unidos de América"/>
    <s v="CON REINTEGRO"/>
    <n v="24919.200000000001"/>
    <n v="76483005.400000006"/>
    <n v="0"/>
    <n v="276.37"/>
    <n v="62.99"/>
    <n v="0"/>
    <s v="AMÉRICA"/>
  </r>
  <r>
    <n v="604"/>
    <n v="2015"/>
    <n v="11"/>
    <n v="18"/>
    <s v="2015"/>
    <s v="11"/>
    <s v="18"/>
    <s v="INICIAL"/>
    <s v="20151118"/>
    <s v="600758983159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430944"/>
    <n v="905.96"/>
    <n v="980.13"/>
    <n v="2"/>
    <x v="9"/>
    <s v="SANTIAGO"/>
    <s v="ATLÁNTICO"/>
    <s v="ATLÁNTICO"/>
    <s v="BARRANQUILLA"/>
    <s v="201511"/>
    <s v="6027592846075"/>
    <s v="ÚNICO"/>
    <s v="TRANSPORTE MARÍTIMO"/>
    <s v="PANAMÁ"/>
    <s v="EXPORTACIONES DEFINITIVAS"/>
    <s v="EXPORTACIÓN DEFINITIVA DE MERCANCÍAS DE FABRICACIÓN Ó PRODUCCIÓN NACIONAL"/>
    <s v="ALADI"/>
    <s v="NO"/>
    <s v="Dólar de los Estados Unidos de América"/>
    <s v="CON REINTEGRO"/>
    <n v="13258.56"/>
    <n v="40693702.689999998"/>
    <n v="0"/>
    <n v="147.04"/>
    <n v="33.51"/>
    <n v="0"/>
    <s v="AMÉRICA"/>
  </r>
  <r>
    <n v="605"/>
    <n v="2015"/>
    <n v="11"/>
    <n v="18"/>
    <s v="2015"/>
    <s v="11"/>
    <s v="18"/>
    <s v="INICIAL"/>
    <s v="20151118"/>
    <s v="600758983159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2262792"/>
    <n v="4713.4399999999996"/>
    <n v="5099.33"/>
    <n v="1"/>
    <x v="9"/>
    <s v="SANTIAGO"/>
    <s v="ATLÁNTICO"/>
    <s v="ATLÁNTICO"/>
    <s v="BARRANQUILLA"/>
    <s v="201511"/>
    <s v="6027592846075"/>
    <s v="ÚNICO"/>
    <s v="TRANSPORTE MARÍTIMO"/>
    <s v="PANAMÁ"/>
    <s v="EXPORTACIONES DEFINITIVAS"/>
    <s v="EXPORTACIÓN DEFINITIVA DE MERCANCÍAS DE FABRICACIÓN Ó PRODUCCIÓN NACIONAL"/>
    <s v="ALADI"/>
    <s v="NO"/>
    <s v="Dólar de los Estados Unidos de América"/>
    <s v="CON REINTEGRO"/>
    <n v="63757.36"/>
    <n v="195686639.59999999"/>
    <n v="0"/>
    <n v="707.1"/>
    <n v="161.16"/>
    <n v="0"/>
    <s v="AMÉRICA"/>
  </r>
  <r>
    <n v="606"/>
    <n v="2015"/>
    <n v="11"/>
    <n v="18"/>
    <s v="2015"/>
    <s v="11"/>
    <s v="18"/>
    <s v="INICIAL"/>
    <s v="20151118"/>
    <s v="6007589831590"/>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DISTRIBUIDORA COTILLON SPA"/>
    <s v="MEIGGS 39"/>
    <s v="9503009910"/>
    <s v="Globos de latex de caucho natural."/>
    <s v="UNIDADES"/>
    <n v="17280"/>
    <n v="71.540000000000006"/>
    <n v="77.39"/>
    <n v="4"/>
    <x v="9"/>
    <s v="SANTIAGO"/>
    <s v="ATLÁNTICO"/>
    <s v="ATLÁNTICO"/>
    <s v="BARRANQUILLA"/>
    <s v="201511"/>
    <s v="6027592846075"/>
    <s v="ÚNICO"/>
    <s v="TRANSPORTE MARÍTIMO"/>
    <s v="PANAMÁ"/>
    <s v="EXPORTACIONES DEFINITIVAS"/>
    <s v="EXPORTACIÓN DEFINITIVA DE MERCANCÍAS DE FABRICACIÓN Ó PRODUCCIÓN NACIONAL"/>
    <s v="ALADI"/>
    <s v="NO"/>
    <s v="Dólar de los Estados Unidos de América"/>
    <s v="CON REINTEGRO"/>
    <n v="1756.8"/>
    <n v="5392040.8300000001"/>
    <n v="0"/>
    <n v="19.48"/>
    <n v="4.4400000000000004"/>
    <n v="0"/>
    <s v="AMÉRICA"/>
  </r>
  <r>
    <n v="607"/>
    <n v="2015"/>
    <n v="11"/>
    <n v="18"/>
    <s v="2015"/>
    <s v="11"/>
    <s v="18"/>
    <s v="INICIAL"/>
    <s v="20151118"/>
    <s v="600758978813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NARANJA INC."/>
    <s v="1-53-10-1E ITABASHI ITABASHI-KU TOKYO 173-0004"/>
    <s v="9503009910"/>
    <s v="Globos de latex de caucho natural."/>
    <s v="UNIDADES"/>
    <n v="90200"/>
    <n v="92.41"/>
    <n v="106"/>
    <n v="1"/>
    <x v="8"/>
    <s v="TOKYO"/>
    <s v="ATLÁNTICO"/>
    <s v="ATLÁNTICO"/>
    <s v="BOGOTÁ"/>
    <s v="201511"/>
    <s v="6027593124808"/>
    <s v="ÚNICO"/>
    <s v="TRANSPORTE AÉREO"/>
    <s v="ESTADOS UNIDOS"/>
    <s v="EXPORTACIONES DEFINITIVAS"/>
    <s v="EXPORTACIÓN DEFINITIVA DE MERCANCÍAS DE FABRICACIÓN Ó PRODUCCIÓN NACIONAL"/>
    <s v="NINGUNO"/>
    <s v="NO"/>
    <s v="Dólar de los Estados Unidos de América"/>
    <s v="CON REINTEGRO"/>
    <n v="4092.7"/>
    <n v="12561478.539999999"/>
    <n v="0"/>
    <n v="0"/>
    <n v="0"/>
    <n v="0"/>
    <s v="ASIA"/>
  </r>
  <r>
    <n v="608"/>
    <n v="2015"/>
    <n v="11"/>
    <n v="24"/>
    <s v="2015"/>
    <s v="11"/>
    <s v="24"/>
    <s v="INICIAL"/>
    <s v="20151124"/>
    <s v="600759003050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LMACENES ESTUARDO SANCHEZ S.A."/>
    <s v="SUCRE 828 Y L DE GARAICOA"/>
    <s v="9503009910"/>
    <s v="Globos de latex de caucho natural."/>
    <s v="UNIDADES"/>
    <n v="18000"/>
    <n v="68.22"/>
    <n v="74.27"/>
    <n v="4"/>
    <x v="10"/>
    <s v="GUAYAQUIL"/>
    <s v="ATLÁNTICO"/>
    <s v="ATLÁNTICO"/>
    <s v="BARRANQUILLA"/>
    <s v="201511"/>
    <s v="6027592895428"/>
    <s v="ÚNICO"/>
    <s v="TRANSPORTE MARÍTIMO"/>
    <s v="SINGAPUR"/>
    <s v="EXPORTACIONES DEFINITIVAS"/>
    <s v="EXPORTACIÓN DEFINITIVA DE MERCANCÍAS DE FABRICACIÓN Ó PRODUCCIÓN NACIONAL"/>
    <s v="CAN"/>
    <s v="NO"/>
    <s v="Dólar de los Estados Unidos de América"/>
    <s v="CON REINTEGRO"/>
    <n v="1296"/>
    <n v="4000518.72"/>
    <n v="0"/>
    <n v="0"/>
    <n v="0"/>
    <n v="0"/>
    <s v="AMÉRICA"/>
  </r>
  <r>
    <n v="609"/>
    <n v="2015"/>
    <n v="11"/>
    <n v="24"/>
    <s v="2015"/>
    <s v="11"/>
    <s v="24"/>
    <s v="INICIAL"/>
    <s v="20151124"/>
    <s v="600759003050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LMACENES ESTUARDO SANCHEZ S.A."/>
    <s v="SUCRE 828 Y L DE GARAICOA"/>
    <s v="9503009910"/>
    <s v="Globos de latex de caucho natural."/>
    <s v="UNIDADES"/>
    <n v="741500"/>
    <n v="2717.55"/>
    <n v="2958.87"/>
    <n v="3"/>
    <x v="10"/>
    <s v="GUAYAQUIL"/>
    <s v="ATLÁNTICO"/>
    <s v="ATLÁNTICO"/>
    <s v="BARRANQUILLA"/>
    <s v="201511"/>
    <s v="6027592895428"/>
    <s v="ÚNICO"/>
    <s v="TRANSPORTE MARÍTIMO"/>
    <s v="SINGAPUR"/>
    <s v="EXPORTACIONES DEFINITIVAS"/>
    <s v="EXPORTACIÓN DEFINITIVA DE MERCANCÍAS DE FABRICACIÓN Ó PRODUCCIÓN NACIONAL"/>
    <s v="CAN"/>
    <s v="NO"/>
    <s v="Dólar de los Estados Unidos de América"/>
    <s v="CON REINTEGRO"/>
    <n v="55836"/>
    <n v="172355681.52000001"/>
    <n v="0"/>
    <n v="0"/>
    <n v="0"/>
    <n v="0"/>
    <s v="AMÉRICA"/>
  </r>
  <r>
    <n v="610"/>
    <n v="2015"/>
    <n v="11"/>
    <n v="24"/>
    <s v="2015"/>
    <s v="11"/>
    <s v="24"/>
    <s v="INICIAL"/>
    <s v="20151124"/>
    <s v="600759003050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LMACENES ESTUARDO SANCHEZ S.A."/>
    <s v="SUCRE 828 Y L DE GARAICOA"/>
    <s v="9503009910"/>
    <s v="Globos de latex de caucho natural."/>
    <s v="UNIDADES"/>
    <n v="1805000"/>
    <n v="3484.08"/>
    <n v="3793.47"/>
    <n v="2"/>
    <x v="10"/>
    <s v="GUAYAQUIL"/>
    <s v="ATLÁNTICO"/>
    <s v="ATLÁNTICO"/>
    <s v="BARRANQUILLA"/>
    <s v="201511"/>
    <s v="6027592895428"/>
    <s v="ÚNICO"/>
    <s v="TRANSPORTE MARÍTIMO"/>
    <s v="SINGAPUR"/>
    <s v="EXPORTACIONES DEFINITIVAS"/>
    <s v="EXPORTACIÓN DEFINITIVA DE MERCANCÍAS DE FABRICACIÓN Ó PRODUCCIÓN NACIONAL"/>
    <s v="CAN"/>
    <s v="NO"/>
    <s v="Dólar de los Estados Unidos de América"/>
    <s v="CON REINTEGRO"/>
    <n v="38904"/>
    <n v="120089645.28"/>
    <n v="0"/>
    <n v="0"/>
    <n v="0"/>
    <n v="0"/>
    <s v="AMÉRICA"/>
  </r>
  <r>
    <n v="611"/>
    <n v="2015"/>
    <n v="11"/>
    <n v="24"/>
    <s v="2015"/>
    <s v="11"/>
    <s v="24"/>
    <s v="INICIAL"/>
    <s v="20151124"/>
    <s v="600759003050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LMACENES ESTUARDO SANCHEZ S.A."/>
    <s v="SUCRE 828 Y L DE GARAICOA"/>
    <s v="9503009910"/>
    <s v="Globos de latex de caucho natural."/>
    <s v="UNIDADES"/>
    <n v="3945200"/>
    <n v="7805.27"/>
    <n v="8498.4"/>
    <n v="1"/>
    <x v="10"/>
    <s v="GUAYAQUIL"/>
    <s v="ATLÁNTICO"/>
    <s v="ATLÁNTICO"/>
    <s v="BARRANQUILLA"/>
    <s v="201511"/>
    <s v="6027592895428"/>
    <s v="ÚNICO"/>
    <s v="TRANSPORTE MARÍTIMO"/>
    <s v="SINGAPUR"/>
    <s v="EXPORTACIONES DEFINITIVAS"/>
    <s v="EXPORTACIÓN DEFINITIVA DE MERCANCÍAS DE FABRICACIÓN Ó PRODUCCIÓN NACIONAL"/>
    <s v="CAN"/>
    <s v="NO"/>
    <s v="Dólar de los Estados Unidos de América"/>
    <s v="CON REINTEGRO"/>
    <n v="85319.1"/>
    <n v="263364704.25999999"/>
    <n v="0"/>
    <n v="0"/>
    <n v="0"/>
    <n v="0"/>
    <s v="AMÉRICA"/>
  </r>
  <r>
    <n v="612"/>
    <n v="2015"/>
    <n v="11"/>
    <n v="24"/>
    <s v="2015"/>
    <s v="11"/>
    <s v="24"/>
    <s v="INICIAL"/>
    <s v="20151124"/>
    <s v="600759012955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ALLOON ART CO., LTD."/>
    <s v="289/2 SOI PATTANAKAM, PATTANAKARN ROAD, SUANLUANG BANGKOK 10250"/>
    <s v="9503009910"/>
    <s v="Globos de latex de caucho natural."/>
    <s v="UNIDADES"/>
    <n v="991500"/>
    <n v="3180.54"/>
    <n v="3482.13"/>
    <n v="1"/>
    <x v="43"/>
    <s v="BANGKOK"/>
    <s v="ATLÁNTICO"/>
    <s v="ATLÁNTICO"/>
    <s v="BARRANQUILLA"/>
    <s v="201511"/>
    <s v="6027592894358"/>
    <s v="ÚNICO"/>
    <s v="TRANSPORTE MARÍTIMO"/>
    <s v="LIBERIA"/>
    <s v="EXPORTACIONES DEFINITIVAS"/>
    <s v="EXPORTACIÓN DEFINITIVA DE MERCANCÍAS DE FABRICACIÓN Ó PRODUCCIÓN NACIONAL"/>
    <s v="NINGUNO"/>
    <s v="NO"/>
    <s v="Dólar de los Estados Unidos de América"/>
    <s v="CON REINTEGRO"/>
    <n v="42674.400000000001"/>
    <n v="131728191.40000001"/>
    <n v="0"/>
    <n v="512.42999999999995"/>
    <n v="107.97"/>
    <n v="0"/>
    <s v="ASIA"/>
  </r>
  <r>
    <n v="613"/>
    <n v="2015"/>
    <n v="11"/>
    <n v="24"/>
    <s v="2015"/>
    <s v="11"/>
    <s v="24"/>
    <s v="INICIAL"/>
    <s v="20151124"/>
    <s v="600759012955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ALLOON ART CO., LTD."/>
    <s v="289/2 SOI PATTANAKAM, PATTANAKARN ROAD, SUANLUANG BANGKOK 10250"/>
    <s v="9503009910"/>
    <s v="Globos de latex de caucho natural."/>
    <s v="UNIDADES"/>
    <n v="174550"/>
    <n v="794.92"/>
    <n v="870.29"/>
    <n v="3"/>
    <x v="43"/>
    <s v="BANGKOK"/>
    <s v="ATLÁNTICO"/>
    <s v="ATLÁNTICO"/>
    <s v="BARRANQUILLA"/>
    <s v="201511"/>
    <s v="6027592894358"/>
    <s v="ÚNICO"/>
    <s v="TRANSPORTE MARÍTIMO"/>
    <s v="LIBERIA"/>
    <s v="EXPORTACIONES DEFINITIVAS"/>
    <s v="EXPORTACIÓN DEFINITIVA DE MERCANCÍAS DE FABRICACIÓN Ó PRODUCCIÓN NACIONAL"/>
    <s v="NINGUNO"/>
    <s v="NO"/>
    <s v="Dólar de los Estados Unidos de América"/>
    <s v="CON REINTEGRO"/>
    <n v="20614.7"/>
    <n v="63633868.25"/>
    <n v="0"/>
    <n v="247.54"/>
    <n v="52.16"/>
    <n v="0"/>
    <s v="ASIA"/>
  </r>
  <r>
    <n v="614"/>
    <n v="2015"/>
    <n v="11"/>
    <n v="24"/>
    <s v="2015"/>
    <s v="11"/>
    <s v="24"/>
    <s v="INICIAL"/>
    <s v="20151124"/>
    <s v="600759012955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ALLOON ART CO., LTD."/>
    <s v="289/2 SOI PATTANAKAM, PATTANAKARN ROAD, SUANLUANG BANGKOK 10250"/>
    <s v="9503009910"/>
    <s v="Globos de latex de caucho natural."/>
    <s v="UNIDADES"/>
    <n v="968500"/>
    <n v="2406.1799999999998"/>
    <n v="2634.34"/>
    <n v="2"/>
    <x v="43"/>
    <s v="BANGKOK"/>
    <s v="ATLÁNTICO"/>
    <s v="ATLÁNTICO"/>
    <s v="BARRANQUILLA"/>
    <s v="201511"/>
    <s v="6027592894358"/>
    <s v="ÚNICO"/>
    <s v="TRANSPORTE MARÍTIMO"/>
    <s v="LIBERIA"/>
    <s v="EXPORTACIONES DEFINITIVAS"/>
    <s v="EXPORTACIÓN DEFINITIVA DE MERCANCÍAS DE FABRICACIÓN Ó PRODUCCIÓN NACIONAL"/>
    <s v="NINGUNO"/>
    <s v="NO"/>
    <s v="Dólar de los Estados Unidos de América"/>
    <s v="CON REINTEGRO"/>
    <n v="28316.9"/>
    <n v="87409173.25"/>
    <n v="0"/>
    <n v="340.03"/>
    <n v="71.64"/>
    <n v="0"/>
    <s v="ASIA"/>
  </r>
  <r>
    <n v="615"/>
    <n v="2015"/>
    <n v="11"/>
    <n v="24"/>
    <s v="2015"/>
    <s v="11"/>
    <s v="24"/>
    <s v="INICIAL"/>
    <s v="20151124"/>
    <s v="60075900551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90000"/>
    <n v="249.6"/>
    <n v="291.64"/>
    <n v="2"/>
    <x v="2"/>
    <s v="SAINT LOUIS"/>
    <s v="ATLÁNTICO"/>
    <s v="ATLÁNTICO"/>
    <s v="BARRANQUILLA"/>
    <s v="201511"/>
    <s v="6027592903573"/>
    <s v="ÚNICO"/>
    <s v="TRANSPORTE MARÍTIMO"/>
    <s v="SINGAPUR"/>
    <s v="EXPORTACIONES DEFINITIVAS"/>
    <s v="EXPORTACIÓN DEFINITIVA DE MERCANCÍAS DE FABRICACIÓN Ó PRODUCCIÓN NACIONAL"/>
    <s v="NINGUNO"/>
    <s v="NO"/>
    <s v="Dólar de los Estados Unidos de América"/>
    <s v="CON REINTEGRO"/>
    <n v="3528"/>
    <n v="10890300.960000001"/>
    <n v="0"/>
    <n v="256.35000000000002"/>
    <n v="0"/>
    <n v="0"/>
    <s v="AMÉRICA"/>
  </r>
  <r>
    <n v="616"/>
    <n v="2015"/>
    <n v="11"/>
    <n v="24"/>
    <s v="2015"/>
    <s v="11"/>
    <s v="24"/>
    <s v="INICIAL"/>
    <s v="20151124"/>
    <s v="60075900551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914880"/>
    <n v="2501.35"/>
    <n v="2922.69"/>
    <n v="1"/>
    <x v="2"/>
    <s v="SAINT LOUIS"/>
    <s v="ATLÁNTICO"/>
    <s v="ATLÁNTICO"/>
    <s v="BARRANQUILLA"/>
    <s v="201511"/>
    <s v="6027592903573"/>
    <s v="ÚNICO"/>
    <s v="TRANSPORTE MARÍTIMO"/>
    <s v="SINGAPUR"/>
    <s v="EXPORTACIONES DEFINITIVAS"/>
    <s v="EXPORTACIÓN DEFINITIVA DE MERCANCÍAS DE FABRICACIÓN Ó PRODUCCIÓN NACIONAL"/>
    <s v="NINGUNO"/>
    <s v="NO"/>
    <s v="Dólar de los Estados Unidos de América"/>
    <s v="CON REINTEGRO"/>
    <n v="32962.6"/>
    <n v="101749612.93000001"/>
    <n v="0"/>
    <n v="2395.08"/>
    <n v="0"/>
    <n v="0"/>
    <s v="AMÉRICA"/>
  </r>
  <r>
    <n v="617"/>
    <n v="2015"/>
    <n v="11"/>
    <n v="24"/>
    <s v="2015"/>
    <s v="11"/>
    <s v="24"/>
    <s v="INICIAL"/>
    <s v="20151124"/>
    <s v="60075900551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18000"/>
    <n v="57.44"/>
    <n v="67.11"/>
    <n v="3"/>
    <x v="2"/>
    <s v="SAINT LOUIS"/>
    <s v="ATLÁNTICO"/>
    <s v="ATLÁNTICO"/>
    <s v="BARRANQUILLA"/>
    <s v="201511"/>
    <s v="6027592903573"/>
    <s v="ÚNICO"/>
    <s v="TRANSPORTE MARÍTIMO"/>
    <s v="SINGAPUR"/>
    <s v="EXPORTACIONES DEFINITIVAS"/>
    <s v="EXPORTACIÓN DEFINITIVA DE MERCANCÍAS DE FABRICACIÓN Ó PRODUCCIÓN NACIONAL"/>
    <s v="NINGUNO"/>
    <s v="NO"/>
    <s v="Dólar de los Estados Unidos de América"/>
    <s v="CON REINTEGRO"/>
    <n v="2044.8"/>
    <n v="6311929.5300000003"/>
    <n v="0"/>
    <n v="148.58000000000001"/>
    <n v="0"/>
    <n v="0"/>
    <s v="AMÉRICA"/>
  </r>
  <r>
    <n v="618"/>
    <n v="2015"/>
    <n v="11"/>
    <n v="24"/>
    <s v="2015"/>
    <s v="11"/>
    <s v="24"/>
    <s v="INICIAL"/>
    <s v="20151124"/>
    <s v="600758742494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G.F. Khabbaz &amp; Co S.A.R.L."/>
    <s v="Zalka, biakout bifurcation, khabbaz bldg beirut 60102"/>
    <s v="9503009910"/>
    <s v="Globos de latex de caucho natural."/>
    <s v="UNIDADES"/>
    <n v="189000"/>
    <n v="329.78"/>
    <n v="357.32"/>
    <n v="2"/>
    <x v="44"/>
    <s v="BEIRUT"/>
    <s v="ATLÁNTICO"/>
    <s v="ATLÁNTICO"/>
    <s v="CARTAGENA"/>
    <s v="201509"/>
    <s v="6027590034146"/>
    <s v="ÚNICO"/>
    <s v="TRANSPORTE MARÍTIMO"/>
    <s v="LIBERIA"/>
    <s v="EXPORTACIONES DEFINITIVAS"/>
    <s v="EXPORTACIÓN DEFINITIVA DE MERCANCÍAS DE FABRICACIÓN Ó PRODUCCIÓN NACIONAL"/>
    <s v="NINGUNO"/>
    <s v="NO"/>
    <s v="Dólar de los Estados Unidos de América"/>
    <s v="CON REINTEGRO"/>
    <n v="4477.2"/>
    <n v="13820310.5"/>
    <n v="0"/>
    <n v="103.6"/>
    <n v="0"/>
    <n v="0"/>
    <s v="ASIA"/>
  </r>
  <r>
    <n v="619"/>
    <n v="2015"/>
    <n v="11"/>
    <n v="24"/>
    <s v="2015"/>
    <s v="11"/>
    <s v="24"/>
    <s v="INICIAL"/>
    <s v="20151124"/>
    <s v="600758742494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G.F. Khabbaz &amp; Co S.A.R.L."/>
    <s v="Zalka, biakout bifurcation, khabbaz bldg beirut 60102"/>
    <s v="9503009910"/>
    <s v="Globos de latex de caucho natural."/>
    <s v="UNIDADES"/>
    <n v="2748000"/>
    <n v="5905.5"/>
    <n v="6398.75"/>
    <n v="1"/>
    <x v="44"/>
    <s v="BEIRUT"/>
    <s v="ATLÁNTICO"/>
    <s v="ATLÁNTICO"/>
    <s v="CARTAGENA"/>
    <s v="201509"/>
    <s v="6027590034146"/>
    <s v="ÚNICO"/>
    <s v="TRANSPORTE MARÍTIMO"/>
    <s v="LIBERIA"/>
    <s v="EXPORTACIONES DEFINITIVAS"/>
    <s v="EXPORTACIÓN DEFINITIVA DE MERCANCÍAS DE FABRICACIÓN Ó PRODUCCIÓN NACIONAL"/>
    <s v="NINGUNO"/>
    <s v="NO"/>
    <s v="Dólar de los Estados Unidos de América"/>
    <s v="CON REINTEGRO"/>
    <n v="74496"/>
    <n v="229955742.72"/>
    <n v="0"/>
    <n v="1723.86"/>
    <n v="0"/>
    <n v="0"/>
    <s v="ASIA"/>
  </r>
  <r>
    <n v="620"/>
    <n v="2015"/>
    <n v="11"/>
    <n v="24"/>
    <s v="2015"/>
    <s v="11"/>
    <s v="24"/>
    <s v="INICIAL"/>
    <s v="20151124"/>
    <s v="600759003066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NTHAIX SAC"/>
    <s v="CALLE ONITARIO 185 URB. LA CAMPIÑA CORRILLOS"/>
    <s v="9503009910"/>
    <s v="Globos de latex de caucho natural."/>
    <s v="UNIDADES"/>
    <n v="502800"/>
    <n v="1788.48"/>
    <n v="1967.84"/>
    <n v="3"/>
    <x v="23"/>
    <s v="LIMA"/>
    <s v="ATLÁNTICO"/>
    <s v="ATLÁNTICO"/>
    <s v="BARRANQUILLA"/>
    <s v="201511"/>
    <s v="6027592866533"/>
    <s v="ÚNICO"/>
    <s v="TRANSPORTE MARÍTIMO"/>
    <s v="SINGAPUR"/>
    <s v="EXPORTACIONES DEFINITIVAS"/>
    <s v="EXPORTACIÓN DEFINITIVA DE MERCANCÍAS DE FABRICACIÓN Ó PRODUCCIÓN NACIONAL"/>
    <s v="OTROS"/>
    <s v="NO"/>
    <s v="Dólar de los Estados Unidos de América"/>
    <s v="CON REINTEGRO"/>
    <n v="36732"/>
    <n v="113385072.23999999"/>
    <n v="0"/>
    <n v="0"/>
    <n v="0"/>
    <n v="0"/>
    <s v="AMÉRICA"/>
  </r>
  <r>
    <n v="621"/>
    <n v="2015"/>
    <n v="11"/>
    <n v="24"/>
    <s v="2015"/>
    <s v="11"/>
    <s v="24"/>
    <s v="INICIAL"/>
    <s v="20151124"/>
    <s v="600759003066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NTHAIX SAC"/>
    <s v="CALLE ONITARIO 185 URB. LA CAMPIÑA CORRILLOS"/>
    <s v="9503009910"/>
    <s v="Globos de latex de caucho natural."/>
    <s v="UNIDADES"/>
    <n v="1084000"/>
    <n v="1445.12"/>
    <n v="1590.04"/>
    <n v="2"/>
    <x v="23"/>
    <s v="LIMA"/>
    <s v="ATLÁNTICO"/>
    <s v="ATLÁNTICO"/>
    <s v="BARRANQUILLA"/>
    <s v="201511"/>
    <s v="6027592866533"/>
    <s v="ÚNICO"/>
    <s v="TRANSPORTE MARÍTIMO"/>
    <s v="SINGAPUR"/>
    <s v="EXPORTACIONES DEFINITIVAS"/>
    <s v="EXPORTACIÓN DEFINITIVA DE MERCANCÍAS DE FABRICACIÓN Ó PRODUCCIÓN NACIONAL"/>
    <s v="OTROS"/>
    <s v="NO"/>
    <s v="Dólar de los Estados Unidos de América"/>
    <s v="CON REINTEGRO"/>
    <n v="20938.400000000001"/>
    <n v="64633071.880000003"/>
    <n v="0"/>
    <n v="0"/>
    <n v="0"/>
    <n v="0"/>
    <s v="AMÉRICA"/>
  </r>
  <r>
    <n v="622"/>
    <n v="2015"/>
    <n v="11"/>
    <n v="24"/>
    <s v="2015"/>
    <s v="11"/>
    <s v="24"/>
    <s v="INICIAL"/>
    <s v="20151124"/>
    <s v="600759003066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ANTHAIX SAC"/>
    <s v="CALLE ONITARIO 185 URB. LA CAMPIÑA CORRILLOS"/>
    <s v="9503009910"/>
    <s v="Globos de latex de caucho natural."/>
    <s v="UNIDADES"/>
    <n v="1046600"/>
    <n v="2796.96"/>
    <n v="3077.46"/>
    <n v="1"/>
    <x v="23"/>
    <s v="LIMA"/>
    <s v="ATLÁNTICO"/>
    <s v="ATLÁNTICO"/>
    <s v="BARRANQUILLA"/>
    <s v="201511"/>
    <s v="6027592866533"/>
    <s v="ÚNICO"/>
    <s v="TRANSPORTE MARÍTIMO"/>
    <s v="SINGAPUR"/>
    <s v="EXPORTACIONES DEFINITIVAS"/>
    <s v="EXPORTACIÓN DEFINITIVA DE MERCANCÍAS DE FABRICACIÓN Ó PRODUCCIÓN NACIONAL"/>
    <s v="OTROS"/>
    <s v="NO"/>
    <s v="Dólar de los Estados Unidos de América"/>
    <s v="CON REINTEGRO"/>
    <n v="36867.800000000003"/>
    <n v="113804262.39"/>
    <n v="0"/>
    <n v="0"/>
    <n v="0"/>
    <n v="0"/>
    <s v="AMÉRICA"/>
  </r>
  <r>
    <n v="623"/>
    <n v="2015"/>
    <n v="11"/>
    <n v="26"/>
    <s v="2015"/>
    <s v="11"/>
    <s v="26"/>
    <s v="INICIAL"/>
    <s v="20151126"/>
    <s v="6007590062736"/>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DIPOND INDUSTRIAL CO. LIMITED"/>
    <s v="FLAT A-11, 7/F, HOW MING FACTORY BUILDING, 99 HOW MING STREET, KWUN TONG"/>
    <s v="9503009910"/>
    <s v="Globos de latex de caucho natural."/>
    <s v="UNIDADES"/>
    <n v="25000"/>
    <n v="80.959999999999994"/>
    <n v="87"/>
    <n v="1"/>
    <x v="30"/>
    <s v="HONG KONG"/>
    <s v="ATLÁNTICO"/>
    <s v="ATLÁNTICO"/>
    <s v="BOGOTÁ"/>
    <s v="201511"/>
    <s v="6027593459190"/>
    <s v="ÚNICO"/>
    <s v="TRANSPORTE AÉREO"/>
    <s v="ESTADOS UNIDOS"/>
    <s v="EXPORTACIONES DEFINITIVAS"/>
    <s v="EXPORTACIÓN DEFINITIVA DE MERCANCÍAS DE FABRICACIÓN Ó PRODUCCIÓN NACIONAL"/>
    <s v="NINGUNO"/>
    <s v="NO"/>
    <s v="Dólar de los Estados Unidos de América"/>
    <s v="CON REINTEGRO"/>
    <n v="1056"/>
    <n v="3273336"/>
    <n v="0"/>
    <n v="550"/>
    <n v="12"/>
    <n v="0"/>
    <s v="ASIA"/>
  </r>
  <r>
    <n v="624"/>
    <n v="2015"/>
    <n v="11"/>
    <n v="26"/>
    <s v="2015"/>
    <s v="11"/>
    <s v="26"/>
    <s v="INICIAL"/>
    <s v="20151126"/>
    <s v="6007590203076"/>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PLASTENG INDUSTRIA E COMERCIO LTDA"/>
    <s v="ESTRADA DOS ROMEIROS, 796 CHACARA DAS MOCAS"/>
    <s v="9503009910"/>
    <s v="Globos de latex de caucho natural."/>
    <s v="UNIDADES"/>
    <n v="450250"/>
    <n v="1288.28"/>
    <n v="1376"/>
    <n v="1"/>
    <x v="25"/>
    <s v="SANTANA DE PARNAIBA"/>
    <s v="ATLÁNTICO"/>
    <s v="ATLÁNTICO"/>
    <s v="BOGOTÁ"/>
    <s v="201511"/>
    <s v="6027593624708"/>
    <s v="ÚNICO"/>
    <s v="TRANSPORTE AÉREO"/>
    <s v="CHILE"/>
    <s v="EXPORTACIONES DEFINITIVAS"/>
    <s v="EXPORTACIÓN DEFINITIVA DE MERCANCÍAS DE FABRICACIÓN Ó PRODUCCIÓN NACIONAL"/>
    <s v="NINGUNO"/>
    <s v="NO"/>
    <s v="Dólar de los Estados Unidos de América"/>
    <s v="CON REINTEGRO"/>
    <n v="18621.75"/>
    <n v="57722769.560000002"/>
    <n v="0"/>
    <n v="2907.28"/>
    <n v="53.82"/>
    <n v="0"/>
    <s v="AMÉRICA"/>
  </r>
  <r>
    <n v="625"/>
    <n v="2015"/>
    <n v="11"/>
    <n v="26"/>
    <s v="2015"/>
    <s v="11"/>
    <s v="26"/>
    <s v="INICIAL"/>
    <s v="20151126"/>
    <s v="600759018047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DISTRIBUIDORA G DE P"/>
    <s v="CALLE 70 Y AVENIDA TERCERA SAN FRANCISCO"/>
    <s v="9503009910"/>
    <s v="Globos de latex de caucho natural."/>
    <s v="UNIDADES"/>
    <n v="228340"/>
    <n v="651.24"/>
    <n v="703.34"/>
    <n v="1"/>
    <x v="11"/>
    <s v="PANAMA"/>
    <s v="ATLÁNTICO"/>
    <s v="ATLÁNTICO"/>
    <s v="BARRANQUILLA"/>
    <s v="201511"/>
    <s v="6027593574779"/>
    <s v="ÚNICO"/>
    <s v="TRANSPORTE AÉREO"/>
    <s v="PANAMÁ"/>
    <s v="EXPORTACIONES DEFINITIVAS"/>
    <s v="EXPORTACIÓN DEFINITIVA DE MERCANCÍAS DE FABRICACIÓN Ó PRODUCCIÓN NACIONAL"/>
    <s v="NINGUNO"/>
    <s v="NO"/>
    <s v="Dólar de los Estados Unidos de América"/>
    <s v="CON REINTEGRO"/>
    <n v="11573.6"/>
    <n v="35875266.600000001"/>
    <n v="0"/>
    <n v="787.01"/>
    <n v="41.37"/>
    <n v="0"/>
    <s v="AMÉRICA"/>
  </r>
  <r>
    <n v="626"/>
    <n v="2015"/>
    <n v="11"/>
    <n v="26"/>
    <s v="2015"/>
    <s v="11"/>
    <s v="26"/>
    <s v="INICIAL"/>
    <s v="20151126"/>
    <s v="600759018047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DISTRIBUIDORA G DE P"/>
    <s v="CALLE 70 Y AVENIDA TERCERA SAN FRANCISCO"/>
    <s v="3924109000"/>
    <s v="Las demás vajillas y demás artículos para el servicio de mesa o de cocina, de plástico."/>
    <s v="UNIDADES"/>
    <n v="48"/>
    <n v="17.7"/>
    <n v="19.11"/>
    <n v="3"/>
    <x v="11"/>
    <s v="PANAMA"/>
    <s v="ATLÁNTICO"/>
    <s v="ATLÁNTICO"/>
    <s v="BARRANQUILLA"/>
    <s v="201511"/>
    <s v="6027593574779"/>
    <s v="ÚNICO"/>
    <s v="TRANSPORTE AÉREO"/>
    <s v="PANAMÁ"/>
    <s v="EXPORTACIONES DEFINITIVAS"/>
    <s v="EXPORTACIÓN DEFINITIVA DE MERCANCÍAS DE FABRICACIÓN Ó PRODUCCIÓN NACIONAL"/>
    <s v="NINGUNO"/>
    <s v="NO"/>
    <s v="Dólar de los Estados Unidos de América"/>
    <s v="CON REINTEGRO"/>
    <n v="40.799999999999997"/>
    <n v="126469.8"/>
    <n v="0"/>
    <n v="2.77"/>
    <n v="0.15"/>
    <n v="0"/>
    <s v="AMÉRICA"/>
  </r>
  <r>
    <n v="627"/>
    <n v="2015"/>
    <n v="11"/>
    <n v="26"/>
    <s v="2015"/>
    <s v="11"/>
    <s v="26"/>
    <s v="INICIAL"/>
    <s v="20151126"/>
    <s v="600759018047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DISTRIBUIDORA G DE P"/>
    <s v="CALLE 70 Y AVENIDA TERCERA SAN FRANCISCO"/>
    <s v="4823690000"/>
    <s v="Las demás bandejas, fuentes, platos, tazas, vasos y artículos similares, de papel o cartón."/>
    <s v="KILOGRAMO"/>
    <n v="17.760000000000002"/>
    <n v="17.760000000000002"/>
    <n v="19.18"/>
    <n v="2"/>
    <x v="11"/>
    <s v="PANAMA"/>
    <s v="ATLÁNTICO"/>
    <s v="ATLÁNTICO"/>
    <s v="BARRANQUILLA"/>
    <s v="201511"/>
    <s v="6027593574779"/>
    <s v="ÚNICO"/>
    <s v="TRANSPORTE AÉREO"/>
    <s v="PANAMÁ"/>
    <s v="EXPORTACIONES DEFINITIVAS"/>
    <s v="EXPORTACIÓN DEFINITIVA DE MERCANCÍAS DE FABRICACIÓN Ó PRODUCCIÓN NACIONAL"/>
    <s v="NINGUNO"/>
    <s v="NO"/>
    <s v="Dólar de los Estados Unidos de América"/>
    <s v="CON REINTEGRO"/>
    <n v="273.60000000000002"/>
    <n v="848091.6"/>
    <n v="0"/>
    <n v="18.600000000000001"/>
    <n v="0.98"/>
    <n v="0"/>
    <s v="AMÉRICA"/>
  </r>
  <r>
    <n v="628"/>
    <n v="2015"/>
    <n v="11"/>
    <n v="26"/>
    <s v="2015"/>
    <s v="11"/>
    <s v="26"/>
    <s v="INICIAL"/>
    <s v="20151126"/>
    <s v="6007590180471"/>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DISTRIBUIDORA G DE P"/>
    <s v="CALLE 70 Y AVENIDA TERCERA SAN FRANCISCO"/>
    <s v="4911100000"/>
    <s v="Impresos publicitarios, catalogos comerciales y similares."/>
    <s v="KILOGRAMO"/>
    <n v="17"/>
    <n v="17"/>
    <n v="18.36"/>
    <n v="4"/>
    <x v="11"/>
    <s v="PANAMA"/>
    <s v="ATLÁNTICO"/>
    <s v="ATLÁNTICO"/>
    <s v="BARRANQUILLA"/>
    <s v="201511"/>
    <s v="6027593574779"/>
    <s v="ÚNICO"/>
    <s v="TRANSPORTE AÉREO"/>
    <s v="PANAMÁ"/>
    <s v="EXPORTACIONES DEFINITIVAS"/>
    <s v="EXPORTACIÓN DEFINITIVA DE MERCANCÍAS DE FABRICACIÓN Ó PRODUCCIÓN NACIONAL"/>
    <s v="NINGUNO"/>
    <s v="NO"/>
    <s v="Dólar de los Estados Unidos de América"/>
    <s v="CON REINTEGRO"/>
    <n v="97.2"/>
    <n v="301295.7"/>
    <n v="0"/>
    <n v="6.61"/>
    <n v="0.35"/>
    <n v="0"/>
    <s v="AMÉRICA"/>
  </r>
  <r>
    <n v="629"/>
    <n v="2015"/>
    <n v="11"/>
    <n v="30"/>
    <s v="2015"/>
    <s v="11"/>
    <s v="30"/>
    <s v="INICIAL"/>
    <s v="20151130"/>
    <s v="6007590365373"/>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ROCK SPRING TRADING"/>
    <s v="P.O. BOX 5564 RIYADH 11432"/>
    <s v="9503009910"/>
    <s v="Globos de latex de caucho natural."/>
    <s v="UNIDADES"/>
    <n v="109000"/>
    <n v="328.56"/>
    <n v="353"/>
    <n v="1"/>
    <x v="29"/>
    <s v="RIYADH"/>
    <s v="ATLÁNTICO"/>
    <s v="ATLÁNTICO"/>
    <s v="BOGOTÁ"/>
    <s v="201511"/>
    <s v="6027593814304"/>
    <s v="ÚNICO"/>
    <s v="TRANSPORTE AÉREO"/>
    <s v="ESTADOS UNIDOS"/>
    <s v="EXPORTACIONES DEFINITIVAS"/>
    <s v="EXPORTACIÓN DEFINITIVA DE MERCANCÍAS DE FABRICACIÓN Ó PRODUCCIÓN NACIONAL"/>
    <s v="NINGUNO"/>
    <s v="NO"/>
    <s v="Dólar de los Estados Unidos de América"/>
    <s v="CON REINTEGRO"/>
    <n v="4764.5"/>
    <n v="14775190.949999999"/>
    <n v="0"/>
    <n v="0"/>
    <n v="0"/>
    <n v="0"/>
    <s v="ASIA"/>
  </r>
  <r>
    <n v="630"/>
    <n v="2015"/>
    <n v="12"/>
    <n v="3"/>
    <s v="2015"/>
    <s v="12"/>
    <s v="03"/>
    <s v="INICIAL"/>
    <s v="20151203"/>
    <s v="6007590503225"/>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MATERIALES Y SOLUCIONES S.A. DE C.V."/>
    <s v="79 AV NORTE 507-3, ENTRE 7a Y 9a CALLE PONIENTE"/>
    <s v="4911100000"/>
    <s v="Impresos publicitarios, catalogos comerciales y similares."/>
    <s v="KILOGRAMO"/>
    <n v="5.89"/>
    <n v="5.89"/>
    <n v="12"/>
    <n v="1"/>
    <x v="24"/>
    <s v="SAN SALVADOR"/>
    <s v="ATLÁNTICO"/>
    <s v="ATLÁNTICO"/>
    <s v="BARRANQUILLA"/>
    <s v="201511"/>
    <s v="6027594029812"/>
    <s v="ÚNICO"/>
    <s v="TRANSPORTE AÉREO"/>
    <s v="COLOMBIA"/>
    <s v="EXPORTACIONES DEFINITIVAS"/>
    <s v="EXPORTACION TEMPORAL PARA PERFECCIONAMIENTO PASIVO"/>
    <s v="NINGUNO"/>
    <s v="NO"/>
    <s v="Dólar de los Estados Unidos de América"/>
    <s v="SIN REINTEGRO"/>
    <n v="1.5"/>
    <n v="4750"/>
    <n v="0"/>
    <n v="0"/>
    <n v="0"/>
    <n v="0"/>
    <s v="AMÉRICA"/>
  </r>
  <r>
    <n v="631"/>
    <n v="2015"/>
    <n v="12"/>
    <n v="9"/>
    <s v="2015"/>
    <s v="12"/>
    <s v="09"/>
    <s v="INICIAL"/>
    <s v="20151209"/>
    <s v="600759063456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KIDS PARTY S.R.L."/>
    <s v="PLAZA NACO 1ER. NIVEL, LOCAL 03, AVE. TIRADENTES ESQ. FANTINO FALCO."/>
    <s v="9503009910"/>
    <s v="Globos de latex de caucho natural."/>
    <s v="UNIDADES"/>
    <n v="6000"/>
    <n v="23.14"/>
    <n v="25.2"/>
    <n v="4"/>
    <x v="45"/>
    <s v="SANTO DOMINGO"/>
    <s v="ATLÁNTICO"/>
    <s v="ATLÁNTICO"/>
    <s v="BARRANQUILLA"/>
    <s v="201512"/>
    <s v="6027593063378"/>
    <s v="ÚNICO"/>
    <s v="TRANSPORTE MARÍTIMO"/>
    <s v="SINGAPUR"/>
    <s v="EXPORTACIONES DEFINITIVAS"/>
    <s v="EXPORTACIÓN DEFINITIVA DE MERCANCÍAS DE FABRICACIÓN Ó PRODUCCIÓN NACIONAL"/>
    <s v="NINGUNO"/>
    <s v="NO"/>
    <s v="Dólar de los Estados Unidos de América"/>
    <s v="CON REINTEGRO"/>
    <n v="459.6"/>
    <n v="1510718.98"/>
    <n v="0"/>
    <n v="11.54"/>
    <n v="1.18"/>
    <n v="0"/>
    <s v="AMÉRICA"/>
  </r>
  <r>
    <n v="632"/>
    <n v="2015"/>
    <n v="12"/>
    <n v="9"/>
    <s v="2015"/>
    <s v="12"/>
    <s v="09"/>
    <s v="INICIAL"/>
    <s v="20151209"/>
    <s v="600759063456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KIDS PARTY S.R.L."/>
    <s v="PLAZA NACO 1ER. NIVEL, LOCAL 03, AVE. TIRADENTES ESQ. FANTINO FALCO."/>
    <s v="9503009910"/>
    <s v="Globos de latex de caucho natural."/>
    <s v="UNIDADES"/>
    <n v="109500"/>
    <n v="397.82"/>
    <n v="433.26"/>
    <n v="3"/>
    <x v="45"/>
    <s v="SANTO DOMINGO"/>
    <s v="ATLÁNTICO"/>
    <s v="ATLÁNTICO"/>
    <s v="BARRANQUILLA"/>
    <s v="201512"/>
    <s v="6027593063378"/>
    <s v="ÚNICO"/>
    <s v="TRANSPORTE MARÍTIMO"/>
    <s v="SINGAPUR"/>
    <s v="EXPORTACIONES DEFINITIVAS"/>
    <s v="EXPORTACIÓN DEFINITIVA DE MERCANCÍAS DE FABRICACIÓN Ó PRODUCCIÓN NACIONAL"/>
    <s v="NINGUNO"/>
    <s v="NO"/>
    <s v="Dólar de los Estados Unidos de América"/>
    <s v="CON REINTEGRO"/>
    <n v="8489.1"/>
    <n v="27903926.370000001"/>
    <n v="0"/>
    <n v="213.24"/>
    <n v="21.76"/>
    <n v="0"/>
    <s v="AMÉRICA"/>
  </r>
  <r>
    <n v="633"/>
    <n v="2015"/>
    <n v="12"/>
    <n v="9"/>
    <s v="2015"/>
    <s v="12"/>
    <s v="09"/>
    <s v="INICIAL"/>
    <s v="20151209"/>
    <s v="600759063456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KIDS PARTY S.R.L."/>
    <s v="PLAZA NACO 1ER. NIVEL, LOCAL 03, AVE. TIRADENTES ESQ. FANTINO FALCO."/>
    <s v="9503009910"/>
    <s v="Globos de latex de caucho natural."/>
    <s v="UNIDADES"/>
    <n v="59000"/>
    <n v="232.86"/>
    <n v="253.6"/>
    <n v="2"/>
    <x v="45"/>
    <s v="SANTO DOMINGO"/>
    <s v="ATLÁNTICO"/>
    <s v="ATLÁNTICO"/>
    <s v="BARRANQUILLA"/>
    <s v="201512"/>
    <s v="6027593063378"/>
    <s v="ÚNICO"/>
    <s v="TRANSPORTE MARÍTIMO"/>
    <s v="SINGAPUR"/>
    <s v="EXPORTACIONES DEFINITIVAS"/>
    <s v="EXPORTACIÓN DEFINITIVA DE MERCANCÍAS DE FABRICACIÓN Ó PRODUCCIÓN NACIONAL"/>
    <s v="NINGUNO"/>
    <s v="NO"/>
    <s v="Dólar de los Estados Unidos de América"/>
    <s v="CON REINTEGRO"/>
    <n v="3290.7"/>
    <n v="10816629.619999999"/>
    <n v="0"/>
    <n v="82.66"/>
    <n v="8.43"/>
    <n v="0"/>
    <s v="AMÉRICA"/>
  </r>
  <r>
    <n v="634"/>
    <n v="2015"/>
    <n v="12"/>
    <n v="9"/>
    <s v="2015"/>
    <s v="12"/>
    <s v="09"/>
    <s v="INICIAL"/>
    <s v="20151209"/>
    <s v="600759063456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KIDS PARTY S.R.L."/>
    <s v="PLAZA NACO 1ER. NIVEL, LOCAL 03, AVE. TIRADENTES ESQ. FANTINO FALCO."/>
    <s v="9503009910"/>
    <s v="Globos de latex de caucho natural."/>
    <s v="UNIDADES"/>
    <n v="403250"/>
    <n v="1285.72"/>
    <n v="1400.26"/>
    <n v="1"/>
    <x v="45"/>
    <s v="SANTO DOMINGO"/>
    <s v="ATLÁNTICO"/>
    <s v="ATLÁNTICO"/>
    <s v="BARRANQUILLA"/>
    <s v="201512"/>
    <s v="6027593063378"/>
    <s v="ÚNICO"/>
    <s v="TRANSPORTE MARÍTIMO"/>
    <s v="SINGAPUR"/>
    <s v="EXPORTACIONES DEFINITIVAS"/>
    <s v="EXPORTACIÓN DEFINITIVA DE MERCANCÍAS DE FABRICACIÓN Ó PRODUCCIÓN NACIONAL"/>
    <s v="NINGUNO"/>
    <s v="NO"/>
    <s v="Dólar de los Estados Unidos de América"/>
    <s v="CON REINTEGRO"/>
    <n v="17618.3"/>
    <n v="57911880.640000001"/>
    <n v="0"/>
    <n v="442.56"/>
    <n v="45.15"/>
    <n v="0"/>
    <s v="AMÉRICA"/>
  </r>
  <r>
    <n v="635"/>
    <n v="2015"/>
    <n v="12"/>
    <n v="9"/>
    <s v="2015"/>
    <s v="12"/>
    <s v="09"/>
    <s v="INICIAL"/>
    <s v="20151209"/>
    <s v="600759064697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BRILLIANCE TRADE CO., LTD"/>
    <s v="1ST FLOOR, BUILDING 6#, NO 999 JIANGYUE RD PU JIANG TOWN, MINGHANG DISTRICT, SHA"/>
    <s v="9503009910"/>
    <s v="Globos de latex de caucho natural."/>
    <s v="UNIDADES"/>
    <n v="4113200"/>
    <n v="10955.14"/>
    <n v="11855.72"/>
    <n v="1"/>
    <x v="13"/>
    <s v="SHANGHAI"/>
    <s v="ATLÁNTICO"/>
    <s v="ATLÁNTICO"/>
    <s v="BARRANQUILLA"/>
    <s v="201512"/>
    <s v="6027593097270"/>
    <s v="ÚNICO"/>
    <s v="TRANSPORTE MARÍTIMO"/>
    <s v="SINGAPUR"/>
    <s v="EXPORTACIONES DEFINITIVAS"/>
    <s v="EXPORTACIÓN DEFINITIVA DE MERCANCÍAS DE FABRICACIÓN Ó PRODUCCIÓN NACIONAL"/>
    <s v="NINGUNO"/>
    <s v="NO"/>
    <s v="Dólar de los Estados Unidos de América"/>
    <s v="CON REINTEGRO"/>
    <n v="132524.88"/>
    <n v="435613256.30000001"/>
    <n v="0"/>
    <n v="702.1"/>
    <n v="333.07"/>
    <n v="0"/>
    <s v="ASIA"/>
  </r>
  <r>
    <n v="636"/>
    <n v="2015"/>
    <n v="12"/>
    <n v="9"/>
    <s v="2015"/>
    <s v="12"/>
    <s v="09"/>
    <s v="INICIAL"/>
    <s v="20151209"/>
    <s v="600759064697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BRILLIANCE TRADE CO., LTD"/>
    <s v="1ST FLOOR, BUILDING 6#, NO 999 JIANGYUE RD PU JIANG TOWN, MINGHANG DISTRICT, SHA"/>
    <s v="9503009910"/>
    <s v="Globos de latex de caucho natural."/>
    <s v="UNIDADES"/>
    <n v="131800"/>
    <n v="605.02"/>
    <n v="654.75"/>
    <n v="3"/>
    <x v="13"/>
    <s v="SHANGHAI"/>
    <s v="ATLÁNTICO"/>
    <s v="ATLÁNTICO"/>
    <s v="BARRANQUILLA"/>
    <s v="201512"/>
    <s v="6027593097270"/>
    <s v="ÚNICO"/>
    <s v="TRANSPORTE MARÍTIMO"/>
    <s v="SINGAPUR"/>
    <s v="EXPORTACIONES DEFINITIVAS"/>
    <s v="EXPORTACIÓN DEFINITIVA DE MERCANCÍAS DE FABRICACIÓN Ó PRODUCCIÓN NACIONAL"/>
    <s v="NINGUNO"/>
    <s v="NO"/>
    <s v="Dólar de los Estados Unidos de América"/>
    <s v="CON REINTEGRO"/>
    <n v="13279.9"/>
    <n v="43651429.689999998"/>
    <n v="0"/>
    <n v="70.36"/>
    <n v="33.380000000000003"/>
    <n v="0"/>
    <s v="ASIA"/>
  </r>
  <r>
    <n v="637"/>
    <n v="2015"/>
    <n v="12"/>
    <n v="9"/>
    <s v="2015"/>
    <s v="12"/>
    <s v="09"/>
    <s v="INICIAL"/>
    <s v="20151209"/>
    <s v="600759064697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HANGHAI BRILLIANCE TRADE CO., LTD"/>
    <s v="1ST FLOOR, BUILDING 6#, NO 999 JIANGYUE RD PU JIANG TOWN, MINGHANG DISTRICT, SHA"/>
    <s v="9503009910"/>
    <s v="Globos de latex de caucho natural."/>
    <s v="UNIDADES"/>
    <n v="1898500"/>
    <n v="3633.11"/>
    <n v="3931.77"/>
    <n v="2"/>
    <x v="13"/>
    <s v="SHANGHAI"/>
    <s v="ATLÁNTICO"/>
    <s v="ATLÁNTICO"/>
    <s v="BARRANQUILLA"/>
    <s v="201512"/>
    <s v="6027593097270"/>
    <s v="ÚNICO"/>
    <s v="TRANSPORTE MARÍTIMO"/>
    <s v="SINGAPUR"/>
    <s v="EXPORTACIONES DEFINITIVAS"/>
    <s v="EXPORTACIÓN DEFINITIVA DE MERCANCÍAS DE FABRICACIÓN Ó PRODUCCIÓN NACIONAL"/>
    <s v="NINGUNO"/>
    <s v="NO"/>
    <s v="Dólar de los Estados Unidos de América"/>
    <s v="CON REINTEGRO"/>
    <n v="42949.8"/>
    <n v="141177281.09"/>
    <n v="0"/>
    <n v="227.54"/>
    <n v="107.94"/>
    <n v="0"/>
    <s v="ASIA"/>
  </r>
  <r>
    <n v="638"/>
    <n v="2015"/>
    <n v="12"/>
    <n v="9"/>
    <s v="2015"/>
    <s v="12"/>
    <s v="09"/>
    <s v="INICIAL"/>
    <s v="20151209"/>
    <s v="600759063457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KIDS PARTY S.R.L."/>
    <s v="PLAZA NACO 1ER. NIVEL, LOCAL 03, AVE. TIRADENTES ESQ. FANTINO FALCO."/>
    <s v="4902909000"/>
    <s v="Los demás diarios y públicaciones periodicas, impresos, incluso ilustrados o con publicidad."/>
    <s v="UNIDADES"/>
    <n v="150"/>
    <n v="24.5"/>
    <n v="25.9"/>
    <n v="2"/>
    <x v="45"/>
    <s v="SANTO DOMINGO"/>
    <s v="ATLÁNTICO"/>
    <s v="ATLÁNTICO"/>
    <s v="BARRANQUILLA"/>
    <s v="201512"/>
    <s v="6027593063719"/>
    <s v="ÚNICO"/>
    <s v="TRANSPORTE MARÍTIMO"/>
    <s v="SINGAPUR"/>
    <s v="EXPORTACIONES DEFINITIVAS"/>
    <s v="EXPORTACION TEMPORAL PARA PERFECCIONAMIENTO PASIVO"/>
    <s v="NINGUNO"/>
    <s v="NO"/>
    <s v="Dólar de los Estados Unidos de América"/>
    <s v="SIN REINTEGRO"/>
    <n v="6"/>
    <n v="19722.18"/>
    <n v="0"/>
    <n v="0"/>
    <n v="0"/>
    <n v="0"/>
    <s v="AMÉRICA"/>
  </r>
  <r>
    <n v="639"/>
    <n v="2015"/>
    <n v="12"/>
    <n v="9"/>
    <s v="2015"/>
    <s v="12"/>
    <s v="09"/>
    <s v="INICIAL"/>
    <s v="20151209"/>
    <s v="600759063457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KIDS PARTY S.R.L."/>
    <s v="PLAZA NACO 1ER. NIVEL, LOCAL 03, AVE. TIRADENTES ESQ. FANTINO FALCO."/>
    <s v="4911100000"/>
    <s v="Impresos publicitarios, catalogos comerciales y similares."/>
    <s v="KILOGRAMO"/>
    <n v="40.299999999999997"/>
    <n v="40.299999999999997"/>
    <n v="42.61"/>
    <n v="1"/>
    <x v="45"/>
    <s v="SANTO DOMINGO"/>
    <s v="ATLÁNTICO"/>
    <s v="ATLÁNTICO"/>
    <s v="BARRANQUILLA"/>
    <s v="201512"/>
    <s v="6027593063719"/>
    <s v="ÚNICO"/>
    <s v="TRANSPORTE MARÍTIMO"/>
    <s v="SINGAPUR"/>
    <s v="EXPORTACIONES DEFINITIVAS"/>
    <s v="EXPORTACION TEMPORAL PARA PERFECCIONAMIENTO PASIVO"/>
    <s v="NINGUNO"/>
    <s v="NO"/>
    <s v="Dólar de los Estados Unidos de América"/>
    <s v="SIN REINTEGRO"/>
    <n v="5.5"/>
    <n v="18078.66"/>
    <n v="0"/>
    <n v="0"/>
    <n v="0"/>
    <n v="0"/>
    <s v="AMÉRICA"/>
  </r>
  <r>
    <n v="640"/>
    <n v="2015"/>
    <n v="12"/>
    <n v="10"/>
    <s v="2015"/>
    <s v="12"/>
    <s v="10"/>
    <s v="INICIAL"/>
    <s v="20151210"/>
    <s v="600759069629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186000"/>
    <n v="583.89"/>
    <n v="631.16"/>
    <n v="2"/>
    <x v="15"/>
    <s v="CARLSWSALD, MIDRAND"/>
    <s v="ATLÁNTICO"/>
    <s v="ATLÁNTICO"/>
    <s v="BARRANQUILLA"/>
    <s v="201512"/>
    <s v="6027593146899"/>
    <s v="ÚNICO"/>
    <s v="TRANSPORTE MARÍTIMO"/>
    <s v="PANAMÁ"/>
    <s v="EXPORTACIONES DEFINITIVAS"/>
    <s v="EXPORTACIÓN DEFINITIVA DE MERCANCÍAS DE FABRICACIÓN Ó PRODUCCIÓN NACIONAL"/>
    <s v="NINGUNO"/>
    <s v="NO"/>
    <s v="Dólar de los Estados Unidos de América"/>
    <s v="CON REINTEGRO"/>
    <n v="6998.4"/>
    <n v="23052869.559999999"/>
    <n v="0"/>
    <n v="408.71"/>
    <n v="18.52"/>
    <n v="0"/>
    <s v="ÁFRICA"/>
  </r>
  <r>
    <n v="641"/>
    <n v="2015"/>
    <n v="12"/>
    <n v="10"/>
    <s v="2015"/>
    <s v="12"/>
    <s v="10"/>
    <s v="INICIAL"/>
    <s v="20151210"/>
    <s v="600759069629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918000"/>
    <n v="2561.75"/>
    <n v="2769.15"/>
    <n v="1"/>
    <x v="15"/>
    <s v="CARLSWSALD, MIDRAND"/>
    <s v="ATLÁNTICO"/>
    <s v="ATLÁNTICO"/>
    <s v="BARRANQUILLA"/>
    <s v="201512"/>
    <s v="6027593146899"/>
    <s v="ÚNICO"/>
    <s v="TRANSPORTE MARÍTIMO"/>
    <s v="PANAMÁ"/>
    <s v="EXPORTACIONES DEFINITIVAS"/>
    <s v="EXPORTACIÓN DEFINITIVA DE MERCANCÍAS DE FABRICACIÓN Ó PRODUCCIÓN NACIONAL"/>
    <s v="NINGUNO"/>
    <s v="NO"/>
    <s v="Dólar de los Estados Unidos de América"/>
    <s v="CON REINTEGRO"/>
    <n v="30970.6"/>
    <n v="102017775.81"/>
    <n v="0"/>
    <n v="1808.69"/>
    <n v="81.95"/>
    <n v="0"/>
    <s v="ÁFRICA"/>
  </r>
  <r>
    <n v="642"/>
    <n v="2015"/>
    <n v="12"/>
    <n v="10"/>
    <s v="2015"/>
    <s v="12"/>
    <s v="10"/>
    <s v="INICIAL"/>
    <s v="20151210"/>
    <s v="600759069629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226000"/>
    <n v="828.08"/>
    <n v="895.12"/>
    <n v="3"/>
    <x v="15"/>
    <s v="CARLSWSALD, MIDRAND"/>
    <s v="ATLÁNTICO"/>
    <s v="ATLÁNTICO"/>
    <s v="BARRANQUILLA"/>
    <s v="201512"/>
    <s v="6027593146899"/>
    <s v="ÚNICO"/>
    <s v="TRANSPORTE MARÍTIMO"/>
    <s v="PANAMÁ"/>
    <s v="EXPORTACIONES DEFINITIVAS"/>
    <s v="EXPORTACIÓN DEFINITIVA DE MERCANCÍAS DE FABRICACIÓN Ó PRODUCCIÓN NACIONAL"/>
    <s v="NINGUNO"/>
    <s v="NO"/>
    <s v="Dólar de los Estados Unidos de América"/>
    <s v="CON REINTEGRO"/>
    <n v="17218.400000000001"/>
    <n v="56717753.960000001"/>
    <n v="0"/>
    <n v="1005.56"/>
    <n v="45.56"/>
    <n v="0"/>
    <s v="ÁFRICA"/>
  </r>
  <r>
    <n v="643"/>
    <n v="2015"/>
    <n v="12"/>
    <n v="10"/>
    <s v="2015"/>
    <s v="12"/>
    <s v="10"/>
    <s v="INICIAL"/>
    <s v="20151210"/>
    <s v="600759069629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SA BALLON &amp; PARTY CC"/>
    <s v="60 NORFOLK ROAD"/>
    <s v="9503009910"/>
    <s v="Globos de latex de caucho natural."/>
    <s v="UNIDADES"/>
    <n v="6000"/>
    <n v="23.62"/>
    <n v="25.53"/>
    <n v="4"/>
    <x v="15"/>
    <s v="CARLSWSALD, MIDRAND"/>
    <s v="ATLÁNTICO"/>
    <s v="ATLÁNTICO"/>
    <s v="BARRANQUILLA"/>
    <s v="201512"/>
    <s v="6027593146899"/>
    <s v="ÚNICO"/>
    <s v="TRANSPORTE MARÍTIMO"/>
    <s v="PANAMÁ"/>
    <s v="EXPORTACIONES DEFINITIVAS"/>
    <s v="EXPORTACIÓN DEFINITIVA DE MERCANCÍAS DE FABRICACIÓN Ó PRODUCCIÓN NACIONAL"/>
    <s v="NINGUNO"/>
    <s v="NO"/>
    <s v="Dólar de los Estados Unidos de América"/>
    <s v="CON REINTEGRO"/>
    <n v="463.2"/>
    <n v="1525790.06"/>
    <n v="0"/>
    <n v="27.05"/>
    <n v="1.23"/>
    <n v="0"/>
    <s v="ÁFRICA"/>
  </r>
  <r>
    <n v="644"/>
    <n v="2015"/>
    <n v="12"/>
    <n v="12"/>
    <s v="2015"/>
    <s v="12"/>
    <s v="12"/>
    <s v="INICIAL"/>
    <s v="20151212"/>
    <s v="600758890688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74000"/>
    <n v="177.18"/>
    <n v="204.7"/>
    <n v="2"/>
    <x v="2"/>
    <s v="SAINT LOUIS"/>
    <s v="ATLÁNTICO"/>
    <s v="ATLÁNTICO"/>
    <s v="BARRANQUILLA"/>
    <s v="201510"/>
    <s v="6027591849508"/>
    <s v="ÚNICO"/>
    <s v="TRANSPORTE MARÍTIMO"/>
    <s v="SINGAPUR"/>
    <s v="EXPORTACIONES DEFINITIVAS"/>
    <s v="EXPORTACIÓN DEFINITIVA DE MERCANCÍAS DE FABRICACIÓN Ó PRODUCCIÓN NACIONAL"/>
    <s v="NINGUNO"/>
    <s v="NO"/>
    <s v="Dólar de los Estados Unidos de América"/>
    <s v="CON REINTEGRO"/>
    <n v="2720.8"/>
    <n v="8976898.6799999997"/>
    <n v="0"/>
    <n v="177.3"/>
    <n v="0"/>
    <n v="0"/>
    <s v="AMÉRICA"/>
  </r>
  <r>
    <n v="645"/>
    <n v="2015"/>
    <n v="12"/>
    <n v="12"/>
    <s v="2015"/>
    <s v="12"/>
    <s v="12"/>
    <s v="INICIAL"/>
    <s v="20151212"/>
    <s v="600758890688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639600"/>
    <n v="2285.42"/>
    <n v="2640.49"/>
    <n v="1"/>
    <x v="2"/>
    <s v="SAINT LOUIS"/>
    <s v="ATLÁNTICO"/>
    <s v="ATLÁNTICO"/>
    <s v="BARRANQUILLA"/>
    <s v="201510"/>
    <s v="6027591849508"/>
    <s v="ÚNICO"/>
    <s v="TRANSPORTE MARÍTIMO"/>
    <s v="SINGAPUR"/>
    <s v="EXPORTACIONES DEFINITIVAS"/>
    <s v="EXPORTACIÓN DEFINITIVA DE MERCANCÍAS DE FABRICACIÓN Ó PRODUCCIÓN NACIONAL"/>
    <s v="NINGUNO"/>
    <s v="NO"/>
    <s v="Dólar de los Estados Unidos de América"/>
    <s v="CON REINTEGRO"/>
    <n v="31866.799999999999"/>
    <n v="105140045.23999999"/>
    <n v="0"/>
    <n v="2076.63"/>
    <n v="0"/>
    <n v="0"/>
    <s v="AMÉRICA"/>
  </r>
  <r>
    <n v="646"/>
    <n v="2015"/>
    <n v="12"/>
    <n v="12"/>
    <s v="2015"/>
    <s v="12"/>
    <s v="12"/>
    <s v="INICIAL"/>
    <s v="20151212"/>
    <s v="600758890688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24400"/>
    <n v="110.59"/>
    <n v="127.77"/>
    <n v="4"/>
    <x v="2"/>
    <s v="SAINT LOUIS"/>
    <s v="ATLÁNTICO"/>
    <s v="ATLÁNTICO"/>
    <s v="BARRANQUILLA"/>
    <s v="201510"/>
    <s v="6027591849508"/>
    <s v="ÚNICO"/>
    <s v="TRANSPORTE MARÍTIMO"/>
    <s v="SINGAPUR"/>
    <s v="EXPORTACIONES DEFINITIVAS"/>
    <s v="EXPORTACIÓN DEFINITIVA DE MERCANCÍAS DE FABRICACIÓN Ó PRODUCCIÓN NACIONAL"/>
    <s v="NINGUNO"/>
    <s v="NO"/>
    <s v="Dólar de los Estados Unidos de América"/>
    <s v="CON REINTEGRO"/>
    <n v="3238.8"/>
    <n v="10685967.16"/>
    <n v="0"/>
    <n v="211.06"/>
    <n v="0"/>
    <n v="0"/>
    <s v="AMÉRICA"/>
  </r>
  <r>
    <n v="647"/>
    <n v="2015"/>
    <n v="12"/>
    <n v="12"/>
    <s v="2015"/>
    <s v="12"/>
    <s v="12"/>
    <s v="INICIAL"/>
    <s v="20151212"/>
    <s v="6007588906885"/>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46000"/>
    <n v="163.57"/>
    <n v="188.98"/>
    <n v="3"/>
    <x v="2"/>
    <s v="SAINT LOUIS"/>
    <s v="ATLÁNTICO"/>
    <s v="ATLÁNTICO"/>
    <s v="BARRANQUILLA"/>
    <s v="201510"/>
    <s v="6027591849508"/>
    <s v="ÚNICO"/>
    <s v="TRANSPORTE MARÍTIMO"/>
    <s v="SINGAPUR"/>
    <s v="EXPORTACIONES DEFINITIVAS"/>
    <s v="EXPORTACIÓN DEFINITIVA DE MERCANCÍAS DE FABRICACIÓN Ó PRODUCCIÓN NACIONAL"/>
    <s v="NINGUNO"/>
    <s v="NO"/>
    <s v="Dólar de los Estados Unidos de América"/>
    <s v="CON REINTEGRO"/>
    <n v="5140.8"/>
    <n v="16961349.879999999"/>
    <n v="0"/>
    <n v="335.01"/>
    <n v="0"/>
    <n v="0"/>
    <s v="AMÉRICA"/>
  </r>
  <r>
    <n v="648"/>
    <n v="2015"/>
    <n v="12"/>
    <n v="16"/>
    <s v="2015"/>
    <s v="12"/>
    <s v="16"/>
    <s v="INICIAL"/>
    <s v="20151216"/>
    <s v="600759107132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148800"/>
    <n v="759.67"/>
    <n v="865.5"/>
    <n v="2"/>
    <x v="7"/>
    <s v="BREMEN"/>
    <s v="ATLÁNTICO"/>
    <s v="ATLÁNTICO"/>
    <s v="CARTAGENA"/>
    <s v="201512"/>
    <s v="6027593152061"/>
    <s v="ÚNICO"/>
    <s v="TRANSPORTE MARÍTIMO"/>
    <s v="SINGAPUR"/>
    <s v="EXPORTACIONES DEFINITIVAS"/>
    <s v="EXPORTACIÓN DEFINITIVA DE MERCANCÍAS DE FABRICACIÓN Ó PRODUCCIÓN NACIONAL"/>
    <s v="NINGUNO"/>
    <s v="NO"/>
    <s v="Dólar de los Estados Unidos de América"/>
    <s v="CON REINTEGRO"/>
    <n v="19732"/>
    <n v="65669674.560000002"/>
    <n v="0"/>
    <n v="823.97"/>
    <n v="51.39"/>
    <n v="0"/>
    <s v="EUROPA"/>
  </r>
  <r>
    <n v="649"/>
    <n v="2015"/>
    <n v="12"/>
    <n v="16"/>
    <s v="2015"/>
    <s v="12"/>
    <s v="16"/>
    <s v="INICIAL"/>
    <s v="20151216"/>
    <s v="600759107132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IB HEYNE &amp; Co Gmbh"/>
    <s v="SPEICHER I, KOSUL-SMIDT-STR.8B 28217 BREMEN-GERMANY PO BOX 10 10 15 28010 BREME"/>
    <s v="9503009910"/>
    <s v="Globos de latex de caucho natural."/>
    <s v="UNIDADES"/>
    <n v="176000"/>
    <n v="313.82"/>
    <n v="357.53"/>
    <n v="1"/>
    <x v="7"/>
    <s v="BREMEN"/>
    <s v="ATLÁNTICO"/>
    <s v="ATLÁNTICO"/>
    <s v="CARTAGENA"/>
    <s v="201512"/>
    <s v="6027593152061"/>
    <s v="ÚNICO"/>
    <s v="TRANSPORTE MARÍTIMO"/>
    <s v="SINGAPUR"/>
    <s v="EXPORTACIONES DEFINITIVAS"/>
    <s v="EXPORTACIÓN DEFINITIVA DE MERCANCÍAS DE FABRICACIÓN Ó PRODUCCIÓN NACIONAL"/>
    <s v="NINGUNO"/>
    <s v="NO"/>
    <s v="Dólar de los Estados Unidos de América"/>
    <s v="CON REINTEGRO"/>
    <n v="4934"/>
    <n v="16420746.720000001"/>
    <n v="0"/>
    <n v="206.03"/>
    <n v="12.85"/>
    <n v="0"/>
    <s v="EUROPA"/>
  </r>
  <r>
    <n v="650"/>
    <n v="2015"/>
    <n v="12"/>
    <n v="16"/>
    <s v="2015"/>
    <s v="12"/>
    <s v="16"/>
    <s v="INICIAL"/>
    <s v="20151216"/>
    <s v="600759094040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NARANJA INC"/>
    <s v="1-53-10-1E ITABASHI ITABASHI-KU TOKYO 173-0004"/>
    <s v="9503009910"/>
    <s v="Globos de latex de caucho natural."/>
    <s v="UNIDADES"/>
    <n v="202550"/>
    <n v="348.47"/>
    <n v="379.28"/>
    <n v="2"/>
    <x v="8"/>
    <s v="TOKYO"/>
    <s v="ATLÁNTICO"/>
    <s v="ATLÁNTICO"/>
    <s v="BARRANQUILLA"/>
    <s v="201512"/>
    <s v="6027593159257"/>
    <s v="ÚNICO"/>
    <s v="TRANSPORTE MARÍTIMO"/>
    <s v="PANAMÁ"/>
    <s v="EXPORTACIONES DEFINITIVAS"/>
    <s v="EXPORTACIÓN DEFINITIVA DE MERCANCÍAS DE FABRICACIÓN Ó PRODUCCIÓN NACIONAL"/>
    <s v="NINGUNO"/>
    <s v="NO"/>
    <s v="Dólar de los Estados Unidos de América"/>
    <s v="CON REINTEGRO"/>
    <n v="5052.6000000000004"/>
    <n v="16815457"/>
    <n v="0"/>
    <n v="93.02"/>
    <n v="12.86"/>
    <n v="0"/>
    <s v="ASIA"/>
  </r>
  <r>
    <n v="651"/>
    <n v="2015"/>
    <n v="12"/>
    <n v="16"/>
    <s v="2015"/>
    <s v="12"/>
    <s v="16"/>
    <s v="INICIAL"/>
    <s v="20151216"/>
    <s v="6007590940402"/>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NARANJA INC"/>
    <s v="1-53-10-1E ITABASHI ITABASHI-KU TOKYO 173-0004"/>
    <s v="9503009910"/>
    <s v="Globos de latex de caucho natural."/>
    <s v="UNIDADES"/>
    <n v="2613000"/>
    <n v="5585.91"/>
    <n v="6079.91"/>
    <n v="1"/>
    <x v="8"/>
    <s v="TOKYO"/>
    <s v="ATLÁNTICO"/>
    <s v="ATLÁNTICO"/>
    <s v="BARRANQUILLA"/>
    <s v="201512"/>
    <s v="6027593159257"/>
    <s v="ÚNICO"/>
    <s v="TRANSPORTE MARÍTIMO"/>
    <s v="PANAMÁ"/>
    <s v="EXPORTACIONES DEFINITIVAS"/>
    <s v="EXPORTACIÓN DEFINITIVA DE MERCANCÍAS DE FABRICACIÓN Ó PRODUCCIÓN NACIONAL"/>
    <s v="NINGUNO"/>
    <s v="NO"/>
    <s v="Dólar de los Estados Unidos de América"/>
    <s v="CON REINTEGRO"/>
    <n v="69359.100000000006"/>
    <n v="230832633.52000001"/>
    <n v="0"/>
    <n v="1276.98"/>
    <n v="176.59"/>
    <n v="0"/>
    <s v="ASIA"/>
  </r>
  <r>
    <n v="652"/>
    <n v="2015"/>
    <n v="12"/>
    <n v="16"/>
    <s v="2015"/>
    <s v="12"/>
    <s v="16"/>
    <s v="INICIAL"/>
    <s v="20151216"/>
    <s v="600759094042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8414200000"/>
    <s v="Bombas de aire, de mano o pedal."/>
    <s v="UNIDADES"/>
    <n v="162"/>
    <n v="16.600000000000001"/>
    <n v="18.39"/>
    <n v="2"/>
    <x v="2"/>
    <s v="SAINT LOUIS"/>
    <s v="ATLÁNTICO"/>
    <s v="ATLÁNTICO"/>
    <s v="BARRANQUILLA"/>
    <s v="201512"/>
    <s v="6027593164211"/>
    <s v="ÚNICO"/>
    <s v="TRANSPORTE MARÍTIMO"/>
    <s v="PANAMÁ"/>
    <s v="EXPORTACIONES DEFINITIVAS"/>
    <s v="EXPORTACIÓN DEFINITIVA DE MERCANCÍAS DE FABRICACIÓN Ó PRODUCCIÓN NACIONAL"/>
    <s v="NINGUNO"/>
    <s v="NO"/>
    <s v="Dólar de los Estados Unidos de América"/>
    <s v="CON REINTEGRO"/>
    <n v="222.9"/>
    <n v="741829.03"/>
    <n v="0"/>
    <n v="32.5"/>
    <n v="0"/>
    <n v="0"/>
    <s v="AMÉRICA"/>
  </r>
  <r>
    <n v="653"/>
    <n v="2015"/>
    <n v="12"/>
    <n v="16"/>
    <s v="2015"/>
    <s v="12"/>
    <s v="16"/>
    <s v="INICIAL"/>
    <s v="20151216"/>
    <s v="6007590940427"/>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3923299000"/>
    <s v="Sacos (bolsas), bolsitas y cucuruchos."/>
    <s v="UNIDADES"/>
    <n v="2000"/>
    <n v="17.86"/>
    <n v="19.78"/>
    <n v="1"/>
    <x v="2"/>
    <s v="SAINT LOUIS"/>
    <s v="ATLÁNTICO"/>
    <s v="ATLÁNTICO"/>
    <s v="BARRANQUILLA"/>
    <s v="201512"/>
    <s v="6027593164211"/>
    <s v="ÚNICO"/>
    <s v="TRANSPORTE MARÍTIMO"/>
    <s v="PANAMÁ"/>
    <s v="EXPORTACIONES DEFINITIVAS"/>
    <s v="EXPORTACIÓN DEFINITIVA DE MERCANCÍAS DE FABRICACIÓN Ó PRODUCCIÓN NACIONAL"/>
    <s v="NINGUNO"/>
    <s v="NO"/>
    <s v="Dólar de los Estados Unidos de América"/>
    <s v="CON REINTEGRO"/>
    <n v="120"/>
    <n v="399369.6"/>
    <n v="0"/>
    <n v="17.5"/>
    <n v="0"/>
    <n v="0"/>
    <s v="AMÉRICA"/>
  </r>
  <r>
    <n v="654"/>
    <n v="2015"/>
    <n v="12"/>
    <n v="16"/>
    <s v="2015"/>
    <s v="12"/>
    <s v="16"/>
    <s v="INICIAL"/>
    <s v="20151216"/>
    <s v="60075909404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10000"/>
    <n v="42.01"/>
    <n v="49.76"/>
    <n v="2"/>
    <x v="2"/>
    <s v="SAINT LOUIS"/>
    <s v="ATLÁNTICO"/>
    <s v="ATLÁNTICO"/>
    <s v="BARRANQUILLA"/>
    <s v="201512"/>
    <s v="6027593163094"/>
    <s v="ÚNICO"/>
    <s v="TRANSPORTE MARÍTIMO"/>
    <s v="PANAMÁ"/>
    <s v="EXPORTACIONES DEFINITIVAS"/>
    <s v="EXPORTACIÓN DEFINITIVA DE MERCANCÍAS DE FABRICACIÓN Ó PRODUCCIÓN NACIONAL"/>
    <s v="NINGUNO"/>
    <s v="NO"/>
    <s v="Dólar de los Estados Unidos de América"/>
    <s v="CON REINTEGRO"/>
    <n v="1271.2"/>
    <n v="4230655.29"/>
    <n v="0"/>
    <n v="90.92"/>
    <n v="0"/>
    <n v="0"/>
    <s v="AMÉRICA"/>
  </r>
  <r>
    <n v="655"/>
    <n v="2015"/>
    <n v="12"/>
    <n v="16"/>
    <s v="2015"/>
    <s v="12"/>
    <s v="16"/>
    <s v="INICIAL"/>
    <s v="20151216"/>
    <s v="6007590940411"/>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BETALLIC L.L.C."/>
    <s v="2326 GRISSOM DRIVE SAIT LOUIS MISSOURI 63146"/>
    <s v="9503009910"/>
    <s v="Globos de latex de caucho natural."/>
    <s v="UNIDADES"/>
    <n v="759020"/>
    <n v="2245.19"/>
    <n v="2659.65"/>
    <n v="1"/>
    <x v="2"/>
    <s v="SAINT LOUIS"/>
    <s v="ATLÁNTICO"/>
    <s v="ATLÁNTICO"/>
    <s v="BARRANQUILLA"/>
    <s v="201512"/>
    <s v="6027593163094"/>
    <s v="ÚNICO"/>
    <s v="TRANSPORTE MARÍTIMO"/>
    <s v="PANAMÁ"/>
    <s v="EXPORTACIONES DEFINITIVAS"/>
    <s v="EXPORTACIÓN DEFINITIVA DE MERCANCÍAS DE FABRICACIÓN Ó PRODUCCIÓN NACIONAL"/>
    <s v="NINGUNO"/>
    <s v="NO"/>
    <s v="Dólar de los Estados Unidos de América"/>
    <s v="CON REINTEGRO"/>
    <n v="37877.199999999997"/>
    <n v="126058351.77"/>
    <n v="0"/>
    <n v="2709.08"/>
    <n v="0"/>
    <n v="0"/>
    <s v="AMÉRICA"/>
  </r>
  <r>
    <n v="656"/>
    <n v="2015"/>
    <n v="12"/>
    <n v="16"/>
    <s v="2015"/>
    <s v="12"/>
    <s v="16"/>
    <s v="CORRECCIÓN"/>
    <s v="20151216"/>
    <s v="6007591122184"/>
    <s v="201512"/>
    <s v="6007590503218"/>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MATERIALES Y SOLUCIONES S.A. DE C.V."/>
    <s v="79 AV NORTE 507-3, ENTRE 7a Y 9a CALLE PONIENTE"/>
    <s v="9503009910"/>
    <s v="Globos de latex de caucho natural."/>
    <s v="UNIDADES"/>
    <n v="153500"/>
    <n v="369.12"/>
    <n v="392.06"/>
    <n v="3"/>
    <x v="24"/>
    <s v="SAN SALVADOR"/>
    <s v="ATLÁNTICO"/>
    <s v="ATLÁNTICO"/>
    <s v="BARRANQUILLA"/>
    <s v="201511"/>
    <s v="6027594029511"/>
    <s v="ÚNICO"/>
    <s v="TRANSPORTE AÉREO"/>
    <s v="COLOMBIA"/>
    <s v="EXPORTACIONES DEFINITIVAS"/>
    <s v="EXPORTACIÓN DEFINITIVA DE MERCANCÍAS DE FABRICACIÓN Ó PRODUCCIÓN NACIONAL"/>
    <s v="NINGUNO"/>
    <s v="NO"/>
    <s v="Dólar de los Estados Unidos de América"/>
    <s v="CON REINTEGRO"/>
    <n v="5622.35"/>
    <n v="18711630.579999998"/>
    <n v="0"/>
    <n v="796.57"/>
    <n v="26.42"/>
    <n v="0"/>
    <s v="AMÉRICA"/>
  </r>
  <r>
    <n v="657"/>
    <n v="2015"/>
    <n v="12"/>
    <n v="16"/>
    <s v="2015"/>
    <s v="12"/>
    <s v="16"/>
    <s v="CORRECCIÓN"/>
    <s v="20151216"/>
    <s v="6007591122184"/>
    <s v="201512"/>
    <s v="6007590503218"/>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MATERIALES Y SOLUCIONES S.A. DE C.V."/>
    <s v="79 AV NORTE 507-3, ENTRE 7a Y 9a CALLE PONIENTE"/>
    <s v="8414200000"/>
    <s v="Bombas de aire, de mano o pedal."/>
    <s v="UNIDADES"/>
    <n v="54"/>
    <n v="19.62"/>
    <n v="20.83"/>
    <n v="2"/>
    <x v="24"/>
    <s v="SAN SALVADOR"/>
    <s v="ATLÁNTICO"/>
    <s v="ATLÁNTICO"/>
    <s v="BARRANQUILLA"/>
    <s v="201511"/>
    <s v="6027594029511"/>
    <s v="ÚNICO"/>
    <s v="TRANSPORTE AÉREO"/>
    <s v="COLOMBIA"/>
    <s v="EXPORTACIONES DEFINITIVAS"/>
    <s v="EXPORTACIÓN DEFINITIVA DE MERCANCÍAS DE FABRICACIÓN Ó PRODUCCIÓN NACIONAL"/>
    <s v="NINGUNO"/>
    <s v="NO"/>
    <s v="Dólar de los Estados Unidos de América"/>
    <s v="CON REINTEGRO"/>
    <n v="67.5"/>
    <n v="224645.4"/>
    <n v="0"/>
    <n v="9.56"/>
    <n v="0.32"/>
    <n v="0"/>
    <s v="AMÉRICA"/>
  </r>
  <r>
    <n v="658"/>
    <n v="2015"/>
    <n v="12"/>
    <n v="16"/>
    <s v="2015"/>
    <s v="12"/>
    <s v="16"/>
    <s v="CORRECCIÓN"/>
    <s v="20151216"/>
    <s v="6007591122184"/>
    <s v="201512"/>
    <s v="6007590503218"/>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MATERIALES Y SOLUCIONES S.A. DE C.V."/>
    <s v="79 AV NORTE 507-3, ENTRE 7a Y 9a CALLE PONIENTE"/>
    <s v="8414802100"/>
    <s v="Los demás compresores  de potencia inferior a 30 kw (40 hp), para vehículos automóviles."/>
    <s v="UNIDADES"/>
    <n v="8"/>
    <n v="2.91"/>
    <n v="3.09"/>
    <n v="1"/>
    <x v="24"/>
    <s v="SAN SALVADOR"/>
    <s v="ATLÁNTICO"/>
    <s v="ATLÁNTICO"/>
    <s v="BARRANQUILLA"/>
    <s v="201511"/>
    <s v="6027594029511"/>
    <s v="ÚNICO"/>
    <s v="TRANSPORTE AÉREO"/>
    <s v="COLOMBIA"/>
    <s v="EXPORTACIONES DEFINITIVAS"/>
    <s v="EXPORTACIÓN DEFINITIVA DE MERCANCÍAS DE FABRICACIÓN Ó PRODUCCIÓN NACIONAL"/>
    <s v="NINGUNO"/>
    <s v="NO"/>
    <s v="Dólar de los Estados Unidos de América"/>
    <s v="CON REINTEGRO"/>
    <n v="276"/>
    <n v="918550.08"/>
    <n v="0"/>
    <n v="39.1"/>
    <n v="1.3"/>
    <n v="0"/>
    <s v="AMÉRICA"/>
  </r>
  <r>
    <n v="659"/>
    <n v="2015"/>
    <n v="12"/>
    <n v="16"/>
    <s v="2015"/>
    <s v="12"/>
    <s v="16"/>
    <s v="INICIAL"/>
    <s v="20151216"/>
    <s v="600759094827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1325000"/>
    <n v="4608.41"/>
    <n v="4998.88"/>
    <n v="3"/>
    <x v="0"/>
    <s v="YEKATERINBURG"/>
    <s v="ATLÁNTICO"/>
    <s v="ATLÁNTICO"/>
    <s v="CARTAGENA"/>
    <s v="201512"/>
    <s v="6027593102558"/>
    <s v="ÚNICO"/>
    <s v="TRANSPORTE MARÍTIMO"/>
    <s v="ALEMANIA"/>
    <s v="EXPORTACIONES DEFINITIVAS"/>
    <s v="EXPORTACIÓN DEFINITIVA DE MERCANCÍAS DE FABRICACIÓN Ó PRODUCCIÓN NACIONAL"/>
    <s v="NINGUNO"/>
    <s v="NO"/>
    <s v="Dólar de los Estados Unidos de América"/>
    <s v="CON REINTEGRO"/>
    <n v="96692.6"/>
    <n v="321800708.19999999"/>
    <n v="0"/>
    <n v="0"/>
    <n v="0"/>
    <n v="0"/>
    <s v="ASIA"/>
  </r>
  <r>
    <n v="660"/>
    <n v="2015"/>
    <n v="12"/>
    <n v="16"/>
    <s v="2015"/>
    <s v="12"/>
    <s v="16"/>
    <s v="INICIAL"/>
    <s v="20151216"/>
    <s v="600759094827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74000"/>
    <n v="165.57"/>
    <n v="179.59"/>
    <n v="2"/>
    <x v="0"/>
    <s v="YEKATERINBURG"/>
    <s v="ATLÁNTICO"/>
    <s v="ATLÁNTICO"/>
    <s v="CARTAGENA"/>
    <s v="201512"/>
    <s v="6027593102558"/>
    <s v="ÚNICO"/>
    <s v="TRANSPORTE MARÍTIMO"/>
    <s v="ALEMANIA"/>
    <s v="EXPORTACIONES DEFINITIVAS"/>
    <s v="EXPORTACIÓN DEFINITIVA DE MERCANCÍAS DE FABRICACIÓN Ó PRODUCCIÓN NACIONAL"/>
    <s v="NINGUNO"/>
    <s v="NO"/>
    <s v="Dólar de los Estados Unidos de América"/>
    <s v="CON REINTEGRO"/>
    <n v="1939.3"/>
    <n v="6454145.54"/>
    <n v="0"/>
    <n v="0"/>
    <n v="0"/>
    <n v="0"/>
    <s v="ASIA"/>
  </r>
  <r>
    <n v="661"/>
    <n v="2015"/>
    <n v="12"/>
    <n v="16"/>
    <s v="2015"/>
    <s v="12"/>
    <s v="16"/>
    <s v="INICIAL"/>
    <s v="20151216"/>
    <s v="600759094827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9503009910"/>
    <s v="Globos de latex de caucho natural."/>
    <s v="UNIDADES"/>
    <n v="4345500"/>
    <n v="9966.49"/>
    <n v="10810.97"/>
    <n v="1"/>
    <x v="0"/>
    <s v="YEKATERINBURG"/>
    <s v="ATLÁNTICO"/>
    <s v="ATLÁNTICO"/>
    <s v="CARTAGENA"/>
    <s v="201512"/>
    <s v="6027593102558"/>
    <s v="ÚNICO"/>
    <s v="TRANSPORTE MARÍTIMO"/>
    <s v="ALEMANIA"/>
    <s v="EXPORTACIONES DEFINITIVAS"/>
    <s v="EXPORTACIÓN DEFINITIVA DE MERCANCÍAS DE FABRICACIÓN Ó PRODUCCIÓN NACIONAL"/>
    <s v="NINGUNO"/>
    <s v="NO"/>
    <s v="Dólar de los Estados Unidos de América"/>
    <s v="CON REINTEGRO"/>
    <n v="106871.4"/>
    <n v="355676568.91000003"/>
    <n v="0"/>
    <n v="0"/>
    <n v="0"/>
    <n v="0"/>
    <s v="ASIA"/>
  </r>
  <r>
    <n v="662"/>
    <n v="2015"/>
    <n v="12"/>
    <n v="16"/>
    <s v="2015"/>
    <s v="12"/>
    <s v="16"/>
    <s v="INICIAL"/>
    <s v="20151216"/>
    <s v="600759094039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NARANJA INC"/>
    <s v="1-53-10-1E ITABASHI ITABASHI-KU TOKYO 173-0004"/>
    <s v="4911100000"/>
    <s v="Impresos publicitarios, catalogos comerciales y similares."/>
    <s v="KILOGRAMO"/>
    <n v="24.28"/>
    <n v="24.28"/>
    <n v="28.09"/>
    <n v="1"/>
    <x v="8"/>
    <s v="TOKYO"/>
    <s v="ATLÁNTICO"/>
    <s v="ATLÁNTICO"/>
    <s v="BARRANQUILLA"/>
    <s v="201512"/>
    <s v="6027593159241"/>
    <s v="ÚNICO"/>
    <s v="TRANSPORTE MARÍTIMO"/>
    <s v="PANAMÁ"/>
    <s v="EXPORTACIONES DEFINITIVAS"/>
    <s v="EXPORTACION TEMPORAL PARA PERFECCIONAMIENTO PASIVO"/>
    <s v="NINGUNO"/>
    <s v="NO"/>
    <s v="Dólar de los Estados Unidos de América"/>
    <s v="SIN REINTEGRO"/>
    <n v="5"/>
    <n v="16640.400000000001"/>
    <n v="0"/>
    <n v="0"/>
    <n v="0"/>
    <n v="0"/>
    <s v="ASIA"/>
  </r>
  <r>
    <n v="663"/>
    <n v="2015"/>
    <n v="12"/>
    <n v="16"/>
    <s v="2015"/>
    <s v="12"/>
    <s v="16"/>
    <s v="INICIAL"/>
    <s v="20151216"/>
    <s v="6007590940394"/>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NARANJA INC"/>
    <s v="1-53-10-1E ITABASHI ITABASHI-KU TOKYO 173-0004"/>
    <s v="3923299000"/>
    <s v="Sacos (bolsas), bolsitas y cucuruchos."/>
    <s v="UNIDADES"/>
    <n v="100"/>
    <n v="0.42"/>
    <n v="0.48"/>
    <n v="2"/>
    <x v="8"/>
    <s v="TOKYO"/>
    <s v="ATLÁNTICO"/>
    <s v="ATLÁNTICO"/>
    <s v="BARRANQUILLA"/>
    <s v="201512"/>
    <s v="6027593159241"/>
    <s v="ÚNICO"/>
    <s v="TRANSPORTE MARÍTIMO"/>
    <s v="PANAMÁ"/>
    <s v="EXPORTACIONES DEFINITIVAS"/>
    <s v="EXPORTACION TEMPORAL PARA PERFECCIONAMIENTO PASIVO"/>
    <s v="NINGUNO"/>
    <s v="NO"/>
    <s v="Dólar de los Estados Unidos de América"/>
    <s v="SIN REINTEGRO"/>
    <n v="3"/>
    <n v="9984.24"/>
    <n v="0"/>
    <n v="0"/>
    <n v="0"/>
    <n v="0"/>
    <s v="ASIA"/>
  </r>
  <r>
    <n v="664"/>
    <n v="2015"/>
    <n v="12"/>
    <n v="16"/>
    <s v="2015"/>
    <s v="12"/>
    <s v="16"/>
    <s v="INICIAL"/>
    <s v="20151216"/>
    <s v="600759094828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BRAVO LTD."/>
    <s v="620089, YEKATERINBURG, BASOVEI ST., BUILDING 52, FIRST FLOOR"/>
    <s v="4911100000"/>
    <s v="Impresos publicitarios, catalogos comerciales y similares."/>
    <s v="KILOGRAMO"/>
    <n v="5.87"/>
    <n v="5.87"/>
    <n v="6.8"/>
    <n v="1"/>
    <x v="0"/>
    <s v="YEKATERINBURG"/>
    <s v="ATLÁNTICO"/>
    <s v="ATLÁNTICO"/>
    <s v="CARTAGENA"/>
    <s v="201512"/>
    <s v="6027593102913"/>
    <s v="ÚNICO"/>
    <s v="TRANSPORTE MARÍTIMO"/>
    <s v="ALEMANIA"/>
    <s v="EXPORTACIONES DEFINITIVAS"/>
    <s v="EXPORTACION TEMPORAL PARA PERFECCIONAMIENTO PASIVO"/>
    <s v="NINGUNO"/>
    <s v="NO"/>
    <s v="Dólar de los Estados Unidos de América"/>
    <s v="SIN REINTEGRO"/>
    <n v="1.25"/>
    <n v="4160.1000000000004"/>
    <n v="0"/>
    <n v="0"/>
    <n v="0"/>
    <n v="0"/>
    <s v="ASIA"/>
  </r>
  <r>
    <n v="665"/>
    <n v="2015"/>
    <n v="12"/>
    <n v="22"/>
    <s v="2015"/>
    <s v="12"/>
    <s v="22"/>
    <s v="INICIAL"/>
    <s v="20151222"/>
    <s v="600759127578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1411000"/>
    <n v="4443.47"/>
    <n v="4823.07"/>
    <n v="2"/>
    <x v="12"/>
    <s v="KUALA LUMPUR"/>
    <s v="ATLÁNTICO"/>
    <s v="ATLÁNTICO"/>
    <s v="BARRANQUILLA"/>
    <s v="201512"/>
    <s v="6027593361663"/>
    <s v="ÚNICO"/>
    <s v="TRANSPORTE MARÍTIMO"/>
    <s v="PANAMÁ"/>
    <s v="EXPORTACIONES DEFINITIVAS"/>
    <s v="EXPORTACIÓN DEFINITIVA DE MERCANCÍAS DE FABRICACIÓN Ó PRODUCCIÓN NACIONAL"/>
    <s v="NINGUNO"/>
    <s v="NO"/>
    <s v="Dólar de los Estados Unidos de América"/>
    <s v="CON REINTEGRO"/>
    <n v="44122.8"/>
    <n v="147048055.56"/>
    <n v="0"/>
    <n v="592.48"/>
    <n v="111.79"/>
    <n v="0"/>
    <s v="ASIA"/>
  </r>
  <r>
    <n v="666"/>
    <n v="2015"/>
    <n v="12"/>
    <n v="22"/>
    <s v="2015"/>
    <s v="12"/>
    <s v="22"/>
    <s v="INICIAL"/>
    <s v="20151222"/>
    <s v="600759127578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386300"/>
    <n v="1109.2"/>
    <n v="1203.95"/>
    <n v="1"/>
    <x v="12"/>
    <s v="KUALA LUMPUR"/>
    <s v="ATLÁNTICO"/>
    <s v="ATLÁNTICO"/>
    <s v="BARRANQUILLA"/>
    <s v="201512"/>
    <s v="6027593361663"/>
    <s v="ÚNICO"/>
    <s v="TRANSPORTE MARÍTIMO"/>
    <s v="PANAMÁ"/>
    <s v="EXPORTACIONES DEFINITIVAS"/>
    <s v="EXPORTACIÓN DEFINITIVA DE MERCANCÍAS DE FABRICACIÓN Ó PRODUCCIÓN NACIONAL"/>
    <s v="NINGUNO"/>
    <s v="NO"/>
    <s v="Dólar de los Estados Unidos de América"/>
    <s v="CON REINTEGRO"/>
    <n v="12440.9"/>
    <n v="41461787.43"/>
    <n v="0"/>
    <n v="167.06"/>
    <n v="31.52"/>
    <n v="0"/>
    <s v="ASIA"/>
  </r>
  <r>
    <n v="667"/>
    <n v="2015"/>
    <n v="12"/>
    <n v="22"/>
    <s v="2015"/>
    <s v="12"/>
    <s v="22"/>
    <s v="INICIAL"/>
    <s v="20151222"/>
    <s v="600759127578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18000"/>
    <n v="67.86"/>
    <n v="73.650000000000006"/>
    <n v="4"/>
    <x v="12"/>
    <s v="KUALA LUMPUR"/>
    <s v="ATLÁNTICO"/>
    <s v="ATLÁNTICO"/>
    <s v="BARRANQUILLA"/>
    <s v="201512"/>
    <s v="6027593361663"/>
    <s v="ÚNICO"/>
    <s v="TRANSPORTE MARÍTIMO"/>
    <s v="PANAMÁ"/>
    <s v="EXPORTACIONES DEFINITIVAS"/>
    <s v="EXPORTACIÓN DEFINITIVA DE MERCANCÍAS DE FABRICACIÓN Ó PRODUCCIÓN NACIONAL"/>
    <s v="NINGUNO"/>
    <s v="NO"/>
    <s v="Dólar de los Estados Unidos de América"/>
    <s v="CON REINTEGRO"/>
    <n v="1173.5999999999999"/>
    <n v="3911256.72"/>
    <n v="0"/>
    <n v="15.76"/>
    <n v="2.97"/>
    <n v="0"/>
    <s v="ASIA"/>
  </r>
  <r>
    <n v="668"/>
    <n v="2015"/>
    <n v="12"/>
    <n v="22"/>
    <s v="2015"/>
    <s v="12"/>
    <s v="22"/>
    <s v="INICIAL"/>
    <s v="20151222"/>
    <s v="600759127578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TEAMAIR BALLON SDN BHD"/>
    <s v="36 37&amp; 37A JALAN E1 TAMAN MELAWATI, FASA 4 , ULU KELANG,53100 KUALA LUMPUR"/>
    <s v="9503009910"/>
    <s v="Globos de latex de caucho natural."/>
    <s v="UNIDADES"/>
    <n v="156000"/>
    <n v="551.97"/>
    <n v="599.12"/>
    <n v="3"/>
    <x v="12"/>
    <s v="KUALA LUMPUR"/>
    <s v="ATLÁNTICO"/>
    <s v="ATLÁNTICO"/>
    <s v="BARRANQUILLA"/>
    <s v="201512"/>
    <s v="6027593361663"/>
    <s v="ÚNICO"/>
    <s v="TRANSPORTE MARÍTIMO"/>
    <s v="PANAMÁ"/>
    <s v="EXPORTACIONES DEFINITIVAS"/>
    <s v="EXPORTACIÓN DEFINITIVA DE MERCANCÍAS DE FABRICACIÓN Ó PRODUCCIÓN NACIONAL"/>
    <s v="NINGUNO"/>
    <s v="NO"/>
    <s v="Dólar de los Estados Unidos de América"/>
    <s v="CON REINTEGRO"/>
    <n v="10031.700000000001"/>
    <n v="33432646.59"/>
    <n v="0"/>
    <n v="134.71"/>
    <n v="25.42"/>
    <n v="0"/>
    <s v="ASIA"/>
  </r>
  <r>
    <n v="669"/>
    <n v="2015"/>
    <n v="12"/>
    <n v="28"/>
    <s v="2015"/>
    <s v="12"/>
    <s v="28"/>
    <s v="INICIAL"/>
    <s v="20151228"/>
    <s v="6007591348844"/>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ZDENKO MALCHO-LUKY MZ"/>
    <s v="SNP 33 927 01 SALA VAT: SK1020279139"/>
    <s v="9503009910"/>
    <s v="Globos de latex de caucho natural."/>
    <s v="UNIDADES"/>
    <n v="122000"/>
    <n v="358.04"/>
    <n v="388.06"/>
    <n v="2"/>
    <x v="6"/>
    <s v="SALA"/>
    <s v="ATLÁNTICO"/>
    <s v="ATLÁNTICO"/>
    <s v="CARTAGENA"/>
    <s v="201512"/>
    <s v="6027594673568"/>
    <s v="ÚNICO"/>
    <s v="TRANSPORTE MARÍTIMO"/>
    <s v="LIBERIA"/>
    <s v="EXPORTACIONES DEFINITIVAS"/>
    <s v="EXPORTACIÓN DEFINITIVA DE MERCANCÍAS DE FABRICACIÓN Ó PRODUCCIÓN NACIONAL"/>
    <s v="NINGUNO"/>
    <s v="NO"/>
    <s v="Dólar de los Estados Unidos de América"/>
    <s v="CON REINTEGRO"/>
    <n v="4807"/>
    <n v="15247948.210000001"/>
    <n v="0"/>
    <n v="74.53"/>
    <n v="12.2"/>
    <n v="0"/>
    <s v="EUROPA"/>
  </r>
  <r>
    <n v="670"/>
    <n v="2015"/>
    <n v="12"/>
    <n v="28"/>
    <s v="2015"/>
    <s v="12"/>
    <s v="28"/>
    <s v="INICIAL"/>
    <s v="20151228"/>
    <s v="6007591348844"/>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ZDENKO MALCHO-LUKY MZ"/>
    <s v="SNP 33 927 01 SALA VAT: SK1020279139"/>
    <s v="9503009910"/>
    <s v="Globos de latex de caucho natural."/>
    <s v="UNIDADES"/>
    <n v="12000"/>
    <n v="42.12"/>
    <n v="45.65"/>
    <n v="3"/>
    <x v="6"/>
    <s v="SALA"/>
    <s v="ATLÁNTICO"/>
    <s v="ATLÁNTICO"/>
    <s v="CARTAGENA"/>
    <s v="201512"/>
    <s v="6027594673568"/>
    <s v="ÚNICO"/>
    <s v="TRANSPORTE MARÍTIMO"/>
    <s v="LIBERIA"/>
    <s v="EXPORTACIONES DEFINITIVAS"/>
    <s v="EXPORTACIÓN DEFINITIVA DE MERCANCÍAS DE FABRICACIÓN Ó PRODUCCIÓN NACIONAL"/>
    <s v="NINGUNO"/>
    <s v="NO"/>
    <s v="Dólar de los Estados Unidos de América"/>
    <s v="CON REINTEGRO"/>
    <n v="1092"/>
    <n v="3463856.76"/>
    <n v="0"/>
    <n v="16.93"/>
    <n v="2.77"/>
    <n v="0"/>
    <s v="EUROPA"/>
  </r>
  <r>
    <n v="671"/>
    <n v="2015"/>
    <n v="12"/>
    <n v="28"/>
    <s v="2015"/>
    <s v="12"/>
    <s v="28"/>
    <s v="INICIAL"/>
    <s v="20151228"/>
    <s v="6007591348844"/>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ZDENKO MALCHO-LUKY MZ"/>
    <s v="SNP 33 927 01 SALA VAT: SK1020279139"/>
    <s v="9503009910"/>
    <s v="Globos de latex de caucho natural."/>
    <s v="UNIDADES"/>
    <n v="526400"/>
    <n v="1341.23"/>
    <n v="1453.68"/>
    <n v="1"/>
    <x v="6"/>
    <s v="SALA"/>
    <s v="ATLÁNTICO"/>
    <s v="ATLÁNTICO"/>
    <s v="CARTAGENA"/>
    <s v="201512"/>
    <s v="6027594673568"/>
    <s v="ÚNICO"/>
    <s v="TRANSPORTE MARÍTIMO"/>
    <s v="LIBERIA"/>
    <s v="EXPORTACIONES DEFINITIVAS"/>
    <s v="EXPORTACIÓN DEFINITIVA DE MERCANCÍAS DE FABRICACIÓN Ó PRODUCCIÓN NACIONAL"/>
    <s v="NINGUNO"/>
    <s v="NO"/>
    <s v="Dólar de los Estados Unidos de América"/>
    <s v="CON REINTEGRO"/>
    <n v="18609.849999999999"/>
    <n v="59031002.490000002"/>
    <n v="0"/>
    <n v="288.54000000000002"/>
    <n v="47.24"/>
    <n v="0"/>
    <s v="EUROPA"/>
  </r>
  <r>
    <n v="672"/>
    <n v="2015"/>
    <n v="12"/>
    <n v="30"/>
    <s v="2015"/>
    <s v="12"/>
    <s v="30"/>
    <s v="INICIAL"/>
    <s v="20151230"/>
    <s v="600759134870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RANSIT TECHNOLOGY"/>
    <s v="PANERIU 51, OFFICE 412, VILNIUS, LITHUANIA"/>
    <s v="4911100000"/>
    <s v="Impresos publicitarios, catalogos comerciales y similares."/>
    <s v="KILOGRAMO"/>
    <n v="5.83"/>
    <n v="5.83"/>
    <n v="6.76"/>
    <n v="1"/>
    <x v="18"/>
    <s v="VILNIUS"/>
    <s v="ATLÁNTICO"/>
    <s v="ATLÁNTICO"/>
    <s v="CARTAGENA"/>
    <s v="201512"/>
    <s v="6027593337146"/>
    <s v="ÚNICO"/>
    <s v="TRANSPORTE MARÍTIMO"/>
    <s v="LIBERIA"/>
    <s v="EXPORTACIONES DEFINITIVAS"/>
    <s v="EXPORTACION TEMPORAL PARA PERFECCIONAMIENTO PASIVO"/>
    <s v="NINGUNO"/>
    <s v="NO"/>
    <s v="Dólar de los Estados Unidos de América"/>
    <s v="SIN REINTEGRO"/>
    <n v="1.25"/>
    <n v="3944.02"/>
    <n v="0"/>
    <n v="0"/>
    <n v="0"/>
    <n v="0"/>
    <s v="EUROPA"/>
  </r>
  <r>
    <n v="673"/>
    <n v="2015"/>
    <n v="12"/>
    <n v="30"/>
    <s v="2015"/>
    <s v="12"/>
    <s v="30"/>
    <s v="INICIAL"/>
    <s v="20151230"/>
    <s v="600759149771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3000"/>
    <n v="11.23"/>
    <n v="12.16"/>
    <n v="4"/>
    <x v="17"/>
    <s v="SEOUL"/>
    <s v="ATLÁNTICO"/>
    <s v="ATLÁNTICO"/>
    <s v="BARRANQUILLA"/>
    <s v="201512"/>
    <s v="6027593368725"/>
    <s v="ÚNICO"/>
    <s v="TRANSPORTE MARÍTIMO"/>
    <s v="LIBERIA"/>
    <s v="EXPORTACIONES DEFINITIVAS"/>
    <s v="EXPORTACIÓN DEFINITIVA DE MERCANCÍAS DE FABRICACIÓN Ó PRODUCCIÓN NACIONAL"/>
    <s v="NINGUNO"/>
    <s v="NO"/>
    <s v="Dólar de los Estados Unidos de América"/>
    <s v="CON REINTEGRO"/>
    <n v="209.4"/>
    <n v="660703.06000000006"/>
    <n v="0"/>
    <n v="2.58"/>
    <n v="0.53"/>
    <n v="0"/>
    <s v="ASIA"/>
  </r>
  <r>
    <n v="674"/>
    <n v="2015"/>
    <n v="12"/>
    <n v="30"/>
    <s v="2015"/>
    <s v="12"/>
    <s v="30"/>
    <s v="INICIAL"/>
    <s v="20151230"/>
    <s v="600759149771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109600"/>
    <n v="541.91"/>
    <n v="586.97"/>
    <n v="3"/>
    <x v="17"/>
    <s v="SEOUL"/>
    <s v="ATLÁNTICO"/>
    <s v="ATLÁNTICO"/>
    <s v="BARRANQUILLA"/>
    <s v="201512"/>
    <s v="6027593368725"/>
    <s v="ÚNICO"/>
    <s v="TRANSPORTE MARÍTIMO"/>
    <s v="LIBERIA"/>
    <s v="EXPORTACIONES DEFINITIVAS"/>
    <s v="EXPORTACIÓN DEFINITIVA DE MERCANCÍAS DE FABRICACIÓN Ó PRODUCCIÓN NACIONAL"/>
    <s v="NINGUNO"/>
    <s v="NO"/>
    <s v="Dólar de los Estados Unidos de América"/>
    <s v="CON REINTEGRO"/>
    <n v="12053.6"/>
    <n v="38031759.789999999"/>
    <n v="0"/>
    <n v="148.28"/>
    <n v="30.5"/>
    <n v="0"/>
    <s v="ASIA"/>
  </r>
  <r>
    <n v="675"/>
    <n v="2015"/>
    <n v="12"/>
    <n v="30"/>
    <s v="2015"/>
    <s v="12"/>
    <s v="30"/>
    <s v="INICIAL"/>
    <s v="20151230"/>
    <s v="600759149771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955500"/>
    <n v="1884.62"/>
    <n v="2041.33"/>
    <n v="2"/>
    <x v="17"/>
    <s v="SEOUL"/>
    <s v="ATLÁNTICO"/>
    <s v="ATLÁNTICO"/>
    <s v="BARRANQUILLA"/>
    <s v="201512"/>
    <s v="6027593368725"/>
    <s v="ÚNICO"/>
    <s v="TRANSPORTE MARÍTIMO"/>
    <s v="LIBERIA"/>
    <s v="EXPORTACIONES DEFINITIVAS"/>
    <s v="EXPORTACIÓN DEFINITIVA DE MERCANCÍAS DE FABRICACIÓN Ó PRODUCCIÓN NACIONAL"/>
    <s v="NINGUNO"/>
    <s v="NO"/>
    <s v="Dólar de los Estados Unidos de América"/>
    <s v="CON REINTEGRO"/>
    <n v="22784.2"/>
    <n v="71889163.519999996"/>
    <n v="0"/>
    <n v="280.27999999999997"/>
    <n v="57.66"/>
    <n v="0"/>
    <s v="ASIA"/>
  </r>
  <r>
    <n v="676"/>
    <n v="2015"/>
    <n v="12"/>
    <n v="30"/>
    <s v="2015"/>
    <s v="12"/>
    <s v="30"/>
    <s v="INICIAL"/>
    <s v="20151230"/>
    <s v="6007591497716"/>
    <s v="000"/>
    <s v="NO REGISTRA"/>
    <s v="OTRAS MODALIDADES"/>
    <s v="000"/>
    <s v="NO REGISTRA"/>
    <s v="DEFINITIVOS AL EMBARQUE"/>
    <s v="NO"/>
    <s v="BARRANQUILLA"/>
    <s v="BARRANQUILLA"/>
    <s v="NO DILIGENCIADO"/>
    <s v="830003079"/>
    <s v="SIA PROFESIONAL SA"/>
    <s v="USUARIO OPERADOR DE ZONA FRANCA"/>
    <s v="36"/>
    <s v="890101272"/>
    <s v="SEMPERTEX DE COLOMBIA S A"/>
    <s v="BOGOTÁ, D.C."/>
    <s v="CL 25 G 100 26"/>
    <s v="PRIVADO"/>
    <s v="JUNG JEAN COMPANY"/>
    <s v="#174-1-3/F MOOK-DONG,JOOGRANG-GU SEOUL 131-848, KOREA"/>
    <s v="9503009910"/>
    <s v="Globos de latex de caucho natural."/>
    <s v="UNIDADES"/>
    <n v="1723500"/>
    <n v="4585.74"/>
    <n v="4967.0600000000004"/>
    <n v="1"/>
    <x v="17"/>
    <s v="SEOUL"/>
    <s v="ATLÁNTICO"/>
    <s v="ATLÁNTICO"/>
    <s v="BARRANQUILLA"/>
    <s v="201512"/>
    <s v="6027593368725"/>
    <s v="ÚNICO"/>
    <s v="TRANSPORTE MARÍTIMO"/>
    <s v="LIBERIA"/>
    <s v="EXPORTACIONES DEFINITIVAS"/>
    <s v="EXPORTACIÓN DEFINITIVA DE MERCANCÍAS DE FABRICACIÓN Ó PRODUCCIÓN NACIONAL"/>
    <s v="NINGUNO"/>
    <s v="NO"/>
    <s v="Dólar de los Estados Unidos de América"/>
    <s v="CON REINTEGRO"/>
    <n v="50308.5"/>
    <n v="158734385.37"/>
    <n v="0"/>
    <n v="618.87"/>
    <n v="127.32"/>
    <n v="0"/>
    <s v="ASIA"/>
  </r>
  <r>
    <n v="677"/>
    <n v="2015"/>
    <n v="12"/>
    <n v="30"/>
    <s v="2015"/>
    <s v="12"/>
    <s v="30"/>
    <s v="INICIAL"/>
    <s v="20151230"/>
    <s v="6007590629874"/>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JUNG JEAN COMPANY"/>
    <s v="#174-1 3/F MOOK-DONG, JOONGRANG-GU, SEOUL 131-848, KOREA"/>
    <s v="9503009910"/>
    <s v="Globos de latex de caucho natural."/>
    <s v="UNIDADES"/>
    <n v="58800"/>
    <n v="238.44"/>
    <n v="257"/>
    <n v="1"/>
    <x v="17"/>
    <s v="SEOUL"/>
    <s v="ATLÁNTICO"/>
    <s v="ATLÁNTICO"/>
    <s v="BOGOTÁ"/>
    <s v="201512"/>
    <s v="6027594232743"/>
    <s v="ÚNICO"/>
    <s v="TRANSPORTE AÉREO"/>
    <s v="ESTADOS UNIDOS"/>
    <s v="EXPORTACIONES DEFINITIVAS"/>
    <s v="EXPORTACIÓN DEFINITIVA DE MERCANCÍAS DE FABRICACIÓN Ó PRODUCCIÓN NACIONAL"/>
    <s v="NINGUNO"/>
    <s v="NO"/>
    <s v="Dólar de los Estados Unidos de América"/>
    <s v="CON REINTEGRO"/>
    <n v="4349.8999999999996"/>
    <n v="13724891.470000001"/>
    <n v="0"/>
    <n v="760.45"/>
    <n v="12.78"/>
    <n v="0"/>
    <s v="ASIA"/>
  </r>
  <r>
    <n v="678"/>
    <n v="2015"/>
    <n v="12"/>
    <n v="30"/>
    <s v="2015"/>
    <s v="12"/>
    <s v="30"/>
    <s v="INICIAL"/>
    <s v="20151230"/>
    <s v="600759134868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RANSIT TECHNOLOGY"/>
    <s v="PANERIU 51, OFFICE 412, VILNIUS, LITHUANIA"/>
    <s v="9503009910"/>
    <s v="Globos de latex de caucho natural."/>
    <s v="UNIDADES"/>
    <n v="218500"/>
    <n v="647.61"/>
    <n v="700.1"/>
    <n v="2"/>
    <x v="18"/>
    <s v="VILNIUS"/>
    <s v="ATLÁNTICO"/>
    <s v="ATLÁNTICO"/>
    <s v="CARTAGENA"/>
    <s v="201512"/>
    <s v="6027593337107"/>
    <s v="ÚNICO"/>
    <s v="TRANSPORTE MARÍTIMO"/>
    <s v="LIBERIA"/>
    <s v="EXPORTACIONES DEFINITIVAS"/>
    <s v="EXPORTACIÓN DEFINITIVA DE MERCANCÍAS DE FABRICACIÓN Ó PRODUCCIÓN NACIONAL"/>
    <s v="NINGUNO"/>
    <s v="NO"/>
    <s v="Dólar de los Estados Unidos de América"/>
    <s v="CON REINTEGRO"/>
    <n v="7641.2"/>
    <n v="24109667.059999999"/>
    <n v="0"/>
    <n v="64.349999999999994"/>
    <n v="19.260000000000002"/>
    <n v="0"/>
    <s v="EUROPA"/>
  </r>
  <r>
    <n v="679"/>
    <n v="2015"/>
    <n v="12"/>
    <n v="30"/>
    <s v="2015"/>
    <s v="12"/>
    <s v="30"/>
    <s v="INICIAL"/>
    <s v="20151230"/>
    <s v="600759134868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RANSIT TECHNOLOGY"/>
    <s v="PANERIU 51, OFFICE 412, VILNIUS, LITHUANIA"/>
    <s v="9503009910"/>
    <s v="Globos de latex de caucho natural."/>
    <s v="UNIDADES"/>
    <n v="5100000"/>
    <n v="12531.24"/>
    <n v="13547.09"/>
    <n v="1"/>
    <x v="18"/>
    <s v="VILNIUS"/>
    <s v="ATLÁNTICO"/>
    <s v="ATLÁNTICO"/>
    <s v="CARTAGENA"/>
    <s v="201512"/>
    <s v="6027593337107"/>
    <s v="ÚNICO"/>
    <s v="TRANSPORTE MARÍTIMO"/>
    <s v="LIBERIA"/>
    <s v="EXPORTACIONES DEFINITIVAS"/>
    <s v="EXPORTACIÓN DEFINITIVA DE MERCANCÍAS DE FABRICACIÓN Ó PRODUCCIÓN NACIONAL"/>
    <s v="NINGUNO"/>
    <s v="NO"/>
    <s v="Dólar de los Estados Unidos de América"/>
    <s v="CON REINTEGRO"/>
    <n v="143883.20000000001"/>
    <n v="453983150.30000001"/>
    <n v="0"/>
    <n v="1211.75"/>
    <n v="362.74"/>
    <n v="0"/>
    <s v="EUROPA"/>
  </r>
  <r>
    <n v="680"/>
    <n v="2015"/>
    <n v="12"/>
    <n v="30"/>
    <s v="2015"/>
    <s v="12"/>
    <s v="30"/>
    <s v="INICIAL"/>
    <s v="20151230"/>
    <s v="6007591348693"/>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RANSIT TECHNOLOGY"/>
    <s v="PANERIU 51, OFFICE 412, VILNIUS, LITHUANIA"/>
    <s v="9503009910"/>
    <s v="Globos de latex de caucho natural."/>
    <s v="UNIDADES"/>
    <n v="15000"/>
    <n v="52.33"/>
    <n v="56.98"/>
    <n v="1"/>
    <x v="18"/>
    <s v="VILNIUS"/>
    <s v="ATLÁNTICO"/>
    <s v="ATLÁNTICO"/>
    <s v="CARTAGENA"/>
    <s v="201512"/>
    <s v="6027593337121"/>
    <s v="ÚNICO"/>
    <s v="TRANSPORTE MARÍTIMO"/>
    <s v="LIBERIA"/>
    <s v="EXPORTACIONES DEFINITIVAS"/>
    <s v="EXPORTACIÓN DEFINITIVA DE MERCANCÍAS DE FABRICACIÓN Ó PRODUCCIÓN NACIONAL"/>
    <s v="NINGUNO"/>
    <s v="NO"/>
    <s v="Dólar de los Estados Unidos de América"/>
    <s v="CON REINTEGRO"/>
    <n v="1176"/>
    <n v="3710538.72"/>
    <n v="0"/>
    <n v="50"/>
    <n v="12"/>
    <n v="0"/>
    <s v="EUROPA"/>
  </r>
  <r>
    <n v="681"/>
    <n v="2015"/>
    <n v="12"/>
    <n v="30"/>
    <s v="2015"/>
    <s v="12"/>
    <s v="30"/>
    <s v="INICIAL"/>
    <s v="20151230"/>
    <s v="6007591348686"/>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TRANSIT TECHNOLOGY"/>
    <s v="PANERIU 51, OFFICE 412, VILNIUS, LITHUANIA"/>
    <s v="9503009910"/>
    <s v="Globos de latex de caucho natural."/>
    <s v="UNIDADES"/>
    <n v="588000"/>
    <n v="2170.83"/>
    <n v="2346.81"/>
    <n v="3"/>
    <x v="18"/>
    <s v="VILNIUS"/>
    <s v="ATLÁNTICO"/>
    <s v="ATLÁNTICO"/>
    <s v="CARTAGENA"/>
    <s v="201512"/>
    <s v="6027593337107"/>
    <s v="ÚNICO"/>
    <s v="TRANSPORTE MARÍTIMO"/>
    <s v="LIBERIA"/>
    <s v="EXPORTACIONES DEFINITIVAS"/>
    <s v="EXPORTACIÓN DEFINITIVA DE MERCANCÍAS DE FABRICACIÓN Ó PRODUCCIÓN NACIONAL"/>
    <s v="NINGUNO"/>
    <s v="NO"/>
    <s v="Dólar de los Estados Unidos de América"/>
    <s v="CON REINTEGRO"/>
    <n v="47958.2"/>
    <n v="151318671.80000001"/>
    <n v="0"/>
    <n v="403.89"/>
    <n v="120.91"/>
    <n v="0"/>
    <s v="EUROPA"/>
  </r>
  <r>
    <n v="682"/>
    <n v="2015"/>
    <n v="12"/>
    <n v="30"/>
    <s v="2015"/>
    <s v="12"/>
    <s v="30"/>
    <s v="CORRECCIÓN"/>
    <s v="20151230"/>
    <s v="6007591626087"/>
    <s v="201512"/>
    <s v="6007591301340"/>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MIRACLE ATELIER COMPANY"/>
    <s v="RMA3,4/F, FUK CHEONG FTY. BLDG. 1 WALNUT ST., TAI KOK TSUI"/>
    <s v="9503009910"/>
    <s v="Globos de latex de caucho natural."/>
    <s v="UNIDADES"/>
    <n v="2500"/>
    <n v="8.31"/>
    <n v="8.9600000000000009"/>
    <n v="2"/>
    <x v="30"/>
    <s v="HONG KONG"/>
    <s v="ATLÁNTICO"/>
    <s v="ATLÁNTICO"/>
    <s v="BOGOTÁ"/>
    <s v="201512"/>
    <s v="6027594670674"/>
    <s v="ÚNICO"/>
    <s v="TRANSPORTE AÉREO"/>
    <s v="ESTADOS UNIDOS"/>
    <s v="EXPORTACIONES DEFINITIVAS"/>
    <s v="EXPORTACIÓN DEFINITIVA DE MERCANCÍAS DE FABRICACIÓN Ó PRODUCCIÓN NACIONAL"/>
    <s v="NINGUNO"/>
    <s v="NO"/>
    <s v="Dólar de los Estados Unidos de América"/>
    <s v="CON REINTEGRO"/>
    <n v="297"/>
    <n v="937100.34"/>
    <n v="0"/>
    <n v="68.09"/>
    <n v="1.43"/>
    <n v="2.42"/>
    <s v="ASIA"/>
  </r>
  <r>
    <n v="683"/>
    <n v="2015"/>
    <n v="12"/>
    <n v="30"/>
    <s v="2015"/>
    <s v="12"/>
    <s v="30"/>
    <s v="CORRECCIÓN"/>
    <s v="20151230"/>
    <s v="6007591626087"/>
    <s v="201512"/>
    <s v="6007591301340"/>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MIRACLE ATELIER COMPANY"/>
    <s v="RMA3,4/F, FUK CHEONG FTY. BLDG. 1 WALNUT ST., TAI KOK TSUI"/>
    <s v="9503009910"/>
    <s v="Globos de latex de caucho natural."/>
    <s v="UNIDADES"/>
    <n v="218500"/>
    <n v="484.97"/>
    <n v="523.03"/>
    <n v="1"/>
    <x v="30"/>
    <s v="HONG KONG"/>
    <s v="ATLÁNTICO"/>
    <s v="ATLÁNTICO"/>
    <s v="BOGOTÁ"/>
    <s v="201512"/>
    <s v="6027594670674"/>
    <s v="ÚNICO"/>
    <s v="TRANSPORTE AÉREO"/>
    <s v="ESTADOS UNIDOS"/>
    <s v="EXPORTACIONES DEFINITIVAS"/>
    <s v="EXPORTACIÓN DEFINITIVA DE MERCANCÍAS DE FABRICACIÓN Ó PRODUCCIÓN NACIONAL"/>
    <s v="NINGUNO"/>
    <s v="NO"/>
    <s v="Dólar de los Estados Unidos de América"/>
    <s v="CON REINTEGRO"/>
    <n v="6080.75"/>
    <n v="19186104.010000002"/>
    <n v="0"/>
    <n v="1394.12"/>
    <n v="29.37"/>
    <n v="49.58"/>
    <s v="ASIA"/>
  </r>
  <r>
    <n v="684"/>
    <n v="2015"/>
    <n v="12"/>
    <n v="30"/>
    <s v="2015"/>
    <s v="12"/>
    <s v="30"/>
    <s v="INICIAL"/>
    <s v="20151230"/>
    <s v="600759100047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PARAGUAY INVERSIONES S.A. (PARA-INVEST)"/>
    <s v="AZARA 197 ESQ. YEGROS"/>
    <s v="9503009910"/>
    <s v="Globos de latex de caucho natural."/>
    <s v="UNIDADES"/>
    <n v="309100"/>
    <n v="733.5"/>
    <n v="787.91"/>
    <n v="1"/>
    <x v="22"/>
    <s v="ASUNCION"/>
    <s v="ATLÁNTICO"/>
    <s v="ATLÁNTICO"/>
    <s v="BOGOTÁ"/>
    <s v="201512"/>
    <s v="6027594541827"/>
    <s v="ÚNICO"/>
    <s v="TRANSPORTE AÉREO"/>
    <s v="CHILE"/>
    <s v="EXPORTACIONES DEFINITIVAS"/>
    <s v="EXPORTACIÓN DEFINITIVA DE MERCANCÍAS DE FABRICACIÓN Ó PRODUCCIÓN NACIONAL"/>
    <s v="NINGUNO"/>
    <s v="NO"/>
    <s v="Dólar de los Estados Unidos de América"/>
    <s v="CON REINTEGRO"/>
    <n v="14817.6"/>
    <n v="46752787.869999997"/>
    <n v="0"/>
    <n v="2270.4499999999998"/>
    <n v="45.82"/>
    <n v="0"/>
    <s v="AMÉRICA"/>
  </r>
  <r>
    <n v="685"/>
    <n v="2015"/>
    <n v="12"/>
    <n v="30"/>
    <s v="2015"/>
    <s v="12"/>
    <s v="30"/>
    <s v="INICIAL"/>
    <s v="20151230"/>
    <s v="600759100047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PARAGUAY INVERSIONES S.A. (PARA-INVEST)"/>
    <s v="AZARA 197 ESQ. YEGROS"/>
    <s v="3924109000"/>
    <s v="Las demás vajillas y demás artículos para el servicio de mesa o de cocina, de plástico."/>
    <s v="UNIDADES"/>
    <n v="60"/>
    <n v="35.92"/>
    <n v="38.58"/>
    <n v="2"/>
    <x v="22"/>
    <s v="ASUNCION"/>
    <s v="ATLÁNTICO"/>
    <s v="ATLÁNTICO"/>
    <s v="BOGOTÁ"/>
    <s v="201512"/>
    <s v="6027594541827"/>
    <s v="ÚNICO"/>
    <s v="TRANSPORTE AÉREO"/>
    <s v="CHILE"/>
    <s v="EXPORTACIONES DEFINITIVAS"/>
    <s v="EXPORTACIÓN DEFINITIVA DE MERCANCÍAS DE FABRICACIÓN Ó PRODUCCIÓN NACIONAL"/>
    <s v="NINGUNO"/>
    <s v="NO"/>
    <s v="Dólar de los Estados Unidos de América"/>
    <s v="CON REINTEGRO"/>
    <n v="55.2"/>
    <n v="174168.14"/>
    <n v="0"/>
    <n v="8.4600000000000009"/>
    <n v="0.17"/>
    <n v="0"/>
    <s v="AMÉRICA"/>
  </r>
  <r>
    <n v="686"/>
    <n v="2015"/>
    <n v="12"/>
    <n v="30"/>
    <s v="2015"/>
    <s v="12"/>
    <s v="30"/>
    <s v="INICIAL"/>
    <s v="20151230"/>
    <s v="600759100047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PARAGUAY INVERSIONES S.A. (PARA-INVEST)"/>
    <s v="AZARA 197 ESQ. YEGROS"/>
    <s v="3924900000"/>
    <s v="Los demás artículos de uso doméstico y artículos de higiene o de tocador, de plástico."/>
    <s v="UNIDADES"/>
    <n v="21"/>
    <n v="0.3"/>
    <n v="0.32"/>
    <n v="6"/>
    <x v="22"/>
    <s v="ASUNCION"/>
    <s v="ATLÁNTICO"/>
    <s v="ATLÁNTICO"/>
    <s v="BOGOTÁ"/>
    <s v="201512"/>
    <s v="6027594541827"/>
    <s v="ÚNICO"/>
    <s v="TRANSPORTE AÉREO"/>
    <s v="CHILE"/>
    <s v="EXPORTACIONES DEFINITIVAS"/>
    <s v="EXPORTACIÓN DEFINITIVA DE MERCANCÍAS DE FABRICACIÓN Ó PRODUCCIÓN NACIONAL"/>
    <s v="NINGUNO"/>
    <s v="NO"/>
    <s v="Dólar de los Estados Unidos de América"/>
    <s v="CON REINTEGRO"/>
    <n v="18.899999999999999"/>
    <n v="59633.65"/>
    <n v="0"/>
    <n v="2.9"/>
    <n v="0.06"/>
    <n v="0"/>
    <s v="AMÉRICA"/>
  </r>
  <r>
    <n v="687"/>
    <n v="2015"/>
    <n v="12"/>
    <n v="30"/>
    <s v="2015"/>
    <s v="12"/>
    <s v="30"/>
    <s v="INICIAL"/>
    <s v="20151230"/>
    <s v="600759100047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PARAGUAY INVERSIONES S.A. (PARA-INVEST)"/>
    <s v="AZARA 197 ESQ. YEGROS"/>
    <s v="4909000000"/>
    <s v="Tarjetas postales impresas o ilustradas; tarjetas impresas con felicitaciones o comunicaciones personales, incluso con ilustraciones, adornos o aplicaciones, o con sobre."/>
    <s v="UNIDADES"/>
    <n v="51"/>
    <n v="0.3"/>
    <n v="0.32"/>
    <n v="8"/>
    <x v="22"/>
    <s v="ASUNCION"/>
    <s v="ATLÁNTICO"/>
    <s v="ATLÁNTICO"/>
    <s v="BOGOTÁ"/>
    <s v="201512"/>
    <s v="6027594541827"/>
    <s v="ÚNICO"/>
    <s v="TRANSPORTE AÉREO"/>
    <s v="CHILE"/>
    <s v="EXPORTACIONES DEFINITIVAS"/>
    <s v="EXPORTACIÓN DEFINITIVA DE MERCANCÍAS DE FABRICACIÓN Ó PRODUCCIÓN NACIONAL"/>
    <s v="NINGUNO"/>
    <s v="NO"/>
    <s v="Dólar de los Estados Unidos de América"/>
    <s v="CON REINTEGRO"/>
    <n v="29.58"/>
    <n v="93331.4"/>
    <n v="0"/>
    <n v="4.53"/>
    <n v="0.09"/>
    <n v="0"/>
    <s v="AMÉRICA"/>
  </r>
  <r>
    <n v="688"/>
    <n v="2015"/>
    <n v="12"/>
    <n v="30"/>
    <s v="2015"/>
    <s v="12"/>
    <s v="30"/>
    <s v="INICIAL"/>
    <s v="20151230"/>
    <s v="600759100047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PARAGUAY INVERSIONES S.A. (PARA-INVEST)"/>
    <s v="AZARA 197 ESQ. YEGROS"/>
    <s v="8414200000"/>
    <s v="Bombas de aire, de mano o pedal."/>
    <s v="UNIDADES"/>
    <n v="300"/>
    <n v="33.76"/>
    <n v="36.26"/>
    <n v="9"/>
    <x v="22"/>
    <s v="ASUNCION"/>
    <s v="ATLÁNTICO"/>
    <s v="ATLÁNTICO"/>
    <s v="BOGOTÁ"/>
    <s v="201512"/>
    <s v="6027594541827"/>
    <s v="ÚNICO"/>
    <s v="TRANSPORTE AÉREO"/>
    <s v="CHILE"/>
    <s v="EXPORTACIONES DEFINITIVAS"/>
    <s v="EXPORTACIÓN DEFINITIVA DE MERCANCÍAS DE FABRICACIÓN Ó PRODUCCIÓN NACIONAL"/>
    <s v="NINGUNO"/>
    <s v="NO"/>
    <s v="Dólar de los Estados Unidos de América"/>
    <s v="CON REINTEGRO"/>
    <n v="375"/>
    <n v="1183207.5"/>
    <n v="0"/>
    <n v="57.46"/>
    <n v="1.1599999999999999"/>
    <n v="0"/>
    <s v="AMÉRICA"/>
  </r>
  <r>
    <n v="689"/>
    <n v="2015"/>
    <n v="12"/>
    <n v="30"/>
    <s v="2015"/>
    <s v="12"/>
    <s v="30"/>
    <s v="INICIAL"/>
    <s v="20151230"/>
    <s v="600759100047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PARAGUAY INVERSIONES S.A. (PARA-INVEST)"/>
    <s v="AZARA 197 ESQ. YEGROS"/>
    <s v="9505900000"/>
    <s v="Los demás artículos para fiestas, carnaval u otras diversiones, incluidos los de magia y artículos sorpresa."/>
    <s v="UNIDADES"/>
    <n v="818"/>
    <n v="55.91"/>
    <n v="60.05"/>
    <n v="10"/>
    <x v="22"/>
    <s v="ASUNCION"/>
    <s v="ATLÁNTICO"/>
    <s v="ATLÁNTICO"/>
    <s v="BOGOTÁ"/>
    <s v="201512"/>
    <s v="6027594541827"/>
    <s v="ÚNICO"/>
    <s v="TRANSPORTE AÉREO"/>
    <s v="CHILE"/>
    <s v="EXPORTACIONES DEFINITIVAS"/>
    <s v="EXPORTACIÓN DEFINITIVA DE MERCANCÍAS DE FABRICACIÓN Ó PRODUCCIÓN NACIONAL"/>
    <s v="NINGUNO"/>
    <s v="NO"/>
    <s v="Dólar de los Estados Unidos de América"/>
    <s v="CON REINTEGRO"/>
    <n v="1035.42"/>
    <n v="3266977.89"/>
    <n v="0"/>
    <n v="158.65"/>
    <n v="3.2"/>
    <n v="0"/>
    <s v="AMÉRICA"/>
  </r>
  <r>
    <n v="690"/>
    <n v="2015"/>
    <n v="12"/>
    <n v="30"/>
    <s v="2015"/>
    <s v="12"/>
    <s v="30"/>
    <s v="INICIAL"/>
    <s v="20151230"/>
    <s v="600759100047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PARAGUAY INVERSIONES S.A. (PARA-INVEST)"/>
    <s v="AZARA 197 ESQ. YEGROS"/>
    <s v="4823690000"/>
    <s v="Las demás bandejas, fuentes, platos, tazas, vasos y artículos similares, de papel o cartón."/>
    <s v="KILOGRAMO"/>
    <n v="67.98"/>
    <n v="67.98"/>
    <n v="73.02"/>
    <n v="4"/>
    <x v="22"/>
    <s v="ASUNCION"/>
    <s v="ATLÁNTICO"/>
    <s v="ATLÁNTICO"/>
    <s v="BOGOTÁ"/>
    <s v="201512"/>
    <s v="6027594541827"/>
    <s v="ÚNICO"/>
    <s v="TRANSPORTE AÉREO"/>
    <s v="CHILE"/>
    <s v="EXPORTACIONES DEFINITIVAS"/>
    <s v="EXPORTACIÓN DEFINITIVA DE MERCANCÍAS DE FABRICACIÓN Ó PRODUCCIÓN NACIONAL"/>
    <s v="NINGUNO"/>
    <s v="NO"/>
    <s v="Dólar de los Estados Unidos de América"/>
    <s v="CON REINTEGRO"/>
    <n v="500.82"/>
    <n v="1580197.28"/>
    <n v="0"/>
    <n v="76.739999999999995"/>
    <n v="1.55"/>
    <n v="0"/>
    <s v="AMÉRICA"/>
  </r>
  <r>
    <n v="691"/>
    <n v="2015"/>
    <n v="12"/>
    <n v="30"/>
    <s v="2015"/>
    <s v="12"/>
    <s v="30"/>
    <s v="INICIAL"/>
    <s v="20151230"/>
    <s v="600759100047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PARAGUAY INVERSIONES S.A. (PARA-INVEST)"/>
    <s v="AZARA 197 ESQ. YEGROS"/>
    <s v="3406000000"/>
    <s v="Velas, cirios y artículos similares."/>
    <s v="KILOGRAMO"/>
    <n v="18.760000000000002"/>
    <n v="18.760000000000002"/>
    <n v="20.149999999999999"/>
    <n v="5"/>
    <x v="22"/>
    <s v="ASUNCION"/>
    <s v="ATLÁNTICO"/>
    <s v="ATLÁNTICO"/>
    <s v="BOGOTÁ"/>
    <s v="201512"/>
    <s v="6027594541827"/>
    <s v="ÚNICO"/>
    <s v="TRANSPORTE AÉREO"/>
    <s v="CHILE"/>
    <s v="EXPORTACIONES DEFINITIVAS"/>
    <s v="EXPORTACIÓN DEFINITIVA DE MERCANCÍAS DE FABRICACIÓN Ó PRODUCCIÓN NACIONAL"/>
    <s v="NINGUNO"/>
    <s v="NO"/>
    <s v="Dólar de los Estados Unidos de América"/>
    <s v="CON REINTEGRO"/>
    <n v="67.319999999999993"/>
    <n v="212409.41"/>
    <n v="0"/>
    <n v="10.32"/>
    <n v="0.21"/>
    <n v="0"/>
    <s v="AMÉRICA"/>
  </r>
  <r>
    <n v="692"/>
    <n v="2015"/>
    <n v="12"/>
    <n v="30"/>
    <s v="2015"/>
    <s v="12"/>
    <s v="30"/>
    <s v="INICIAL"/>
    <s v="20151230"/>
    <s v="600759100047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PARAGUAY INVERSIONES S.A. (PARA-INVEST)"/>
    <s v="AZARA 197 ESQ. YEGROS"/>
    <s v="4823909000"/>
    <s v="Los demás papeles, cartónes, guata de celulosa y napa de fibras de celulosa, cortados en formato; los demás artículos de pasta de papel, papel, cartón, guata de celulosa o napa de fibras de celulosa."/>
    <s v="KILOGRAMO"/>
    <n v="41.9"/>
    <n v="41.9"/>
    <n v="45"/>
    <n v="7"/>
    <x v="22"/>
    <s v="ASUNCION"/>
    <s v="ATLÁNTICO"/>
    <s v="ATLÁNTICO"/>
    <s v="BOGOTÁ"/>
    <s v="201512"/>
    <s v="6027594541827"/>
    <s v="ÚNICO"/>
    <s v="TRANSPORTE AÉREO"/>
    <s v="CHILE"/>
    <s v="EXPORTACIONES DEFINITIVAS"/>
    <s v="EXPORTACIÓN DEFINITIVA DE MERCANCÍAS DE FABRICACIÓN Ó PRODUCCIÓN NACIONAL"/>
    <s v="NINGUNO"/>
    <s v="NO"/>
    <s v="Dólar de los Estados Unidos de América"/>
    <s v="CON REINTEGRO"/>
    <n v="469.2"/>
    <n v="1480429.22"/>
    <n v="0"/>
    <n v="71.89"/>
    <n v="1.45"/>
    <n v="0"/>
    <s v="AMÉRICA"/>
  </r>
  <r>
    <n v="693"/>
    <n v="2015"/>
    <n v="12"/>
    <n v="30"/>
    <s v="2015"/>
    <s v="12"/>
    <s v="30"/>
    <s v="INICIAL"/>
    <s v="20151230"/>
    <s v="6007591000471"/>
    <s v="000"/>
    <s v="NO REGISTRA"/>
    <s v="OTRAS MODALIDADES"/>
    <s v="000"/>
    <s v="NO REGISTRA"/>
    <s v="DEFINITIVOS AL EMBARQUE"/>
    <s v="SI"/>
    <s v="BARRANQUILLA"/>
    <s v="BOGOTÁ"/>
    <s v="NO DILIGENCIADO"/>
    <s v="900209557"/>
    <s v="AGENCIA DE ADUANAS MASTER BROKERS LIMITADA NIVEL 2"/>
    <s v="USUARIO OPERADOR DE ZONA FRANCA"/>
    <s v="36"/>
    <s v="890101272"/>
    <s v="SEMPERTEX DE COLOMBIA S A"/>
    <s v="BOGOTÁ, D.C."/>
    <s v="CR 72 B 52 A 35"/>
    <s v="PRIVADO"/>
    <s v="PARAGUAY INVERSIONES S.A. (PARA-INVEST)"/>
    <s v="AZARA 197 ESQ. YEGROS"/>
    <s v="4818300000"/>
    <s v="Manteles y servilletas, de pasta de papel, papel y guata de celulosa."/>
    <s v="KILOGRAMO"/>
    <n v="9.64"/>
    <n v="9.64"/>
    <n v="10.35"/>
    <n v="3"/>
    <x v="22"/>
    <s v="ASUNCION"/>
    <s v="ATLÁNTICO"/>
    <s v="ATLÁNTICO"/>
    <s v="BOGOTÁ"/>
    <s v="201512"/>
    <s v="6027594541827"/>
    <s v="ÚNICO"/>
    <s v="TRANSPORTE AÉREO"/>
    <s v="CHILE"/>
    <s v="EXPORTACIONES DEFINITIVAS"/>
    <s v="EXPORTACIÓN DEFINITIVA DE MERCANCÍAS DE FABRICACIÓN Ó PRODUCCIÓN NACIONAL"/>
    <s v="NINGUNO"/>
    <s v="NO"/>
    <s v="Dólar de los Estados Unidos de América"/>
    <s v="CON REINTEGRO"/>
    <n v="109.65"/>
    <n v="345969.87"/>
    <n v="0"/>
    <n v="16.8"/>
    <n v="0.34"/>
    <n v="0"/>
    <s v="AMÉRICA"/>
  </r>
  <r>
    <n v="694"/>
    <n v="2015"/>
    <n v="12"/>
    <n v="30"/>
    <s v="2015"/>
    <s v="12"/>
    <s v="30"/>
    <s v="INICIAL"/>
    <s v="20151230"/>
    <s v="6007591430657"/>
    <s v="000"/>
    <s v="NO REGISTRA"/>
    <s v="OTRAS MODALIDADES"/>
    <s v="000"/>
    <s v="NO REGISTRA"/>
    <s v="DEFINITIVOS AL EMBARQUE"/>
    <s v="NO"/>
    <s v="BARRANQUILLA"/>
    <s v="BARRANQUILLA"/>
    <s v="NO DILIGENCIADO"/>
    <s v="900209557"/>
    <s v="AGENCIA DE ADUANAS MASTER BROKERS LIMITADA NIVEL 2"/>
    <s v="USUARIO OPERADOR DE ZONA FRANCA"/>
    <s v="36"/>
    <s v="890101272"/>
    <s v="SEMPERTEX DE COLOMBIA S A"/>
    <s v="BOGOTÁ, D.C."/>
    <s v="CR 72 B 52 A 35"/>
    <s v="PRIVADO"/>
    <s v="DISTRIBUIDORA G DE P"/>
    <s v="CALLE 70 Y AVENIDA TERCERA SAN FRANCISCO"/>
    <s v="9503009910"/>
    <s v="Globos de latex de caucho natural."/>
    <s v="UNIDADES"/>
    <n v="79430"/>
    <n v="271.68"/>
    <n v="291"/>
    <n v="1"/>
    <x v="11"/>
    <s v="PANAMA"/>
    <s v="ATLÁNTICO"/>
    <s v="ATLÁNTICO"/>
    <s v="BARRANQUILLA"/>
    <s v="201512"/>
    <s v="6027595032201"/>
    <s v="ÚNICO"/>
    <s v="TRANSPORTE AÉREO"/>
    <s v="PANAMÁ"/>
    <s v="EXPORTACIONES DEFINITIVAS"/>
    <s v="LAS DEMÁS EXPORTACIONES DEFINITIVAS NO INCLUIDAS EN LOS ÍTEMS ANTERIORES"/>
    <s v="NINGUNO"/>
    <s v="NO"/>
    <s v="Dólar de los Estados Unidos de América"/>
    <s v="CON REINTEGRO"/>
    <n v="4622.5"/>
    <n v="14585004.449999999"/>
    <n v="0"/>
    <n v="392.14"/>
    <n v="12.54"/>
    <n v="0"/>
    <s v="AMÉRICA"/>
  </r>
  <r>
    <n v="695"/>
    <n v="2015"/>
    <n v="12"/>
    <n v="30"/>
    <s v="2015"/>
    <s v="12"/>
    <s v="30"/>
    <s v="INICIAL"/>
    <s v="20151230"/>
    <s v="600759134885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1115000"/>
    <n v="2727.08"/>
    <n v="2950.23"/>
    <n v="1"/>
    <x v="6"/>
    <s v="GENK"/>
    <s v="ATLÁNTICO"/>
    <s v="ATLÁNTICO"/>
    <s v="CARTAGENA"/>
    <s v="201512"/>
    <s v="6027594674770"/>
    <s v="ÚNICO"/>
    <s v="TRANSPORTE MARÍTIMO"/>
    <s v="LIBERIA"/>
    <s v="EXPORTACIONES DEFINITIVAS"/>
    <s v="EXPORTACIÓN DEFINITIVA DE MERCANCÍAS DE FABRICACIÓN Ó PRODUCCIÓN NACIONAL"/>
    <s v="NINGUNO"/>
    <s v="NO"/>
    <s v="Dólar de los Estados Unidos de América"/>
    <s v="CON REINTEGRO"/>
    <n v="34624.6"/>
    <n v="109248230.41"/>
    <n v="0"/>
    <n v="438.34"/>
    <n v="87.66"/>
    <n v="0"/>
    <s v="EUROPA"/>
  </r>
  <r>
    <n v="696"/>
    <n v="2015"/>
    <n v="12"/>
    <n v="30"/>
    <s v="2015"/>
    <s v="12"/>
    <s v="30"/>
    <s v="INICIAL"/>
    <s v="20151230"/>
    <s v="600759134885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241500"/>
    <n v="693.88"/>
    <n v="750.66"/>
    <n v="2"/>
    <x v="6"/>
    <s v="GENK"/>
    <s v="ATLÁNTICO"/>
    <s v="ATLÁNTICO"/>
    <s v="CARTAGENA"/>
    <s v="201512"/>
    <s v="6027594674770"/>
    <s v="ÚNICO"/>
    <s v="TRANSPORTE MARÍTIMO"/>
    <s v="LIBERIA"/>
    <s v="EXPORTACIONES DEFINITIVAS"/>
    <s v="EXPORTACIÓN DEFINITIVA DE MERCANCÍAS DE FABRICACIÓN Ó PRODUCCIÓN NACIONAL"/>
    <s v="NINGUNO"/>
    <s v="NO"/>
    <s v="Dólar de los Estados Unidos de América"/>
    <s v="CON REINTEGRO"/>
    <n v="8857.7999999999993"/>
    <n v="27948307.710000001"/>
    <n v="0"/>
    <n v="112.14"/>
    <n v="22.43"/>
    <n v="0"/>
    <s v="EUROPA"/>
  </r>
  <r>
    <n v="697"/>
    <n v="2015"/>
    <n v="12"/>
    <n v="30"/>
    <s v="2015"/>
    <s v="12"/>
    <s v="30"/>
    <s v="INICIAL"/>
    <s v="20151230"/>
    <s v="600759134885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58000"/>
    <n v="214.02"/>
    <n v="231.53"/>
    <n v="3"/>
    <x v="6"/>
    <s v="GENK"/>
    <s v="ATLÁNTICO"/>
    <s v="ATLÁNTICO"/>
    <s v="CARTAGENA"/>
    <s v="201512"/>
    <s v="6027594674770"/>
    <s v="ÚNICO"/>
    <s v="TRANSPORTE MARÍTIMO"/>
    <s v="LIBERIA"/>
    <s v="EXPORTACIONES DEFINITIVAS"/>
    <s v="EXPORTACIÓN DEFINITIVA DE MERCANCÍAS DE FABRICACIÓN Ó PRODUCCIÓN NACIONAL"/>
    <s v="NINGUNO"/>
    <s v="NO"/>
    <s v="Dólar de los Estados Unidos de América"/>
    <s v="CON REINTEGRO"/>
    <n v="4532"/>
    <n v="14299457.039999999"/>
    <n v="0"/>
    <n v="57.37"/>
    <n v="11.47"/>
    <n v="0"/>
    <s v="EUROPA"/>
  </r>
  <r>
    <n v="698"/>
    <n v="2015"/>
    <n v="12"/>
    <n v="30"/>
    <s v="2015"/>
    <s v="12"/>
    <s v="30"/>
    <s v="INICIAL"/>
    <s v="20151230"/>
    <s v="6007591348851"/>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3009910"/>
    <s v="Globos de latex de caucho natural."/>
    <s v="UNIDADES"/>
    <n v="12000"/>
    <n v="47.28"/>
    <n v="51.14"/>
    <n v="4"/>
    <x v="6"/>
    <s v="GENK"/>
    <s v="ATLÁNTICO"/>
    <s v="ATLÁNTICO"/>
    <s v="CARTAGENA"/>
    <s v="201512"/>
    <s v="6027594674770"/>
    <s v="ÚNICO"/>
    <s v="TRANSPORTE MARÍTIMO"/>
    <s v="LIBERIA"/>
    <s v="EXPORTACIONES DEFINITIVAS"/>
    <s v="EXPORTACIÓN DEFINITIVA DE MERCANCÍAS DE FABRICACIÓN Ó PRODUCCIÓN NACIONAL"/>
    <s v="NINGUNO"/>
    <s v="NO"/>
    <s v="Dólar de los Estados Unidos de América"/>
    <s v="CON REINTEGRO"/>
    <n v="960"/>
    <n v="3029011.2"/>
    <n v="0"/>
    <n v="12.15"/>
    <n v="2.4300000000000002"/>
    <n v="0"/>
    <s v="EUROPA"/>
  </r>
  <r>
    <n v="699"/>
    <n v="2015"/>
    <n v="12"/>
    <n v="30"/>
    <s v="2015"/>
    <s v="12"/>
    <s v="30"/>
    <s v="INICIAL"/>
    <s v="20151230"/>
    <s v="6007591348869"/>
    <s v="000"/>
    <s v="NO REGISTRA"/>
    <s v="OTRAS MODALIDADES"/>
    <s v="000"/>
    <s v="NO REGISTRA"/>
    <s v="DEFINITIVOS AL EMBARQUE"/>
    <s v="SI"/>
    <s v="BARRANQUILLA"/>
    <s v="CARTAGENA"/>
    <s v="NO DILIGENCIADO"/>
    <s v="830003079"/>
    <s v="SIA PROFESIONAL SA"/>
    <s v="USUARIO OPERADOR DE ZONA FRANCA"/>
    <s v="36"/>
    <s v="890101272"/>
    <s v="SEMPERTEX DE COLOMBIA S A"/>
    <s v="BOGOTÁ, D.C."/>
    <s v="CL 25 G 100 26"/>
    <s v="PRIVADO"/>
    <s v="AVALLOONS NV"/>
    <s v="MIEENBROEKSTRAAT 43 3600 GENK"/>
    <s v="9505900000"/>
    <s v="Los demás artículos para fiestas, carnaval u otras diversiones, incluidos los de magia y artículos sorpresa."/>
    <s v="UNIDADES"/>
    <n v="720"/>
    <n v="19.54"/>
    <n v="20.76"/>
    <n v="1"/>
    <x v="6"/>
    <s v="GENK"/>
    <s v="ATLÁNTICO"/>
    <s v="ATLÁNTICO"/>
    <s v="CARTAGENA"/>
    <s v="201512"/>
    <s v="6027594674851"/>
    <s v="ÚNICO"/>
    <s v="TRANSPORTE MARÍTIMO"/>
    <s v="LIBERIA"/>
    <s v="EXPORTACIONES DEFINITIVAS"/>
    <s v="EXPORTACIÓN DEFINITIVA DE MERCANCÍAS DE FABRICACIÓN Ó PRODUCCIÓN NACIONAL"/>
    <s v="NINGUNO"/>
    <s v="NO"/>
    <s v="Dólar de los Estados Unidos de América"/>
    <s v="CON REINTEGRO"/>
    <n v="249.12"/>
    <n v="786028.4"/>
    <n v="0"/>
    <n v="50"/>
    <n v="12"/>
    <n v="0"/>
    <s v="EUROP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chartFormat="2">
  <location ref="A5:B16" firstHeaderRow="1" firstDataRow="1" firstDataCol="1"/>
  <pivotFields count="62">
    <pivotField showAll="0"/>
    <pivotField showAll="0"/>
    <pivotField showAll="0"/>
    <pivotField showAll="0"/>
    <pivotField showAll="0" defaultSubtota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pivotField showAll="0"/>
    <pivotField showAll="0"/>
    <pivotField showAll="0"/>
    <pivotField showAll="0"/>
    <pivotField showAll="0"/>
    <pivotField showAll="0"/>
    <pivotField showAll="0"/>
    <pivotField showAll="0" defaultSubtotal="0"/>
    <pivotField axis="axisRow" showAll="0" sortType="descending" defaultSubtotal="0">
      <items count="46">
        <item x="7"/>
        <item x="40"/>
        <item x="29"/>
        <item x="5"/>
        <item x="6"/>
        <item x="38"/>
        <item x="25"/>
        <item x="9"/>
        <item x="13"/>
        <item x="17"/>
        <item x="3"/>
        <item x="10"/>
        <item x="24"/>
        <item x="41"/>
        <item x="21"/>
        <item x="2"/>
        <item x="32"/>
        <item x="19"/>
        <item x="34"/>
        <item x="37"/>
        <item x="35"/>
        <item x="31"/>
        <item x="30"/>
        <item x="36"/>
        <item x="27"/>
        <item x="28"/>
        <item x="1"/>
        <item x="8"/>
        <item x="39"/>
        <item x="44"/>
        <item x="18"/>
        <item x="12"/>
        <item x="11"/>
        <item x="22"/>
        <item x="23"/>
        <item x="33"/>
        <item x="45"/>
        <item x="0"/>
        <item x="16"/>
        <item x="15"/>
        <item x="20"/>
        <item x="43"/>
        <item x="26"/>
        <item x="42"/>
        <item x="4"/>
        <item x="14"/>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pivotField dataField="1" showAll="0"/>
    <pivotField showAll="0" defaultSubtotal="0"/>
    <pivotField showAll="0" defaultSubtotal="0"/>
    <pivotField showAll="0"/>
    <pivotField showAll="0" defaultSubtotal="0"/>
    <pivotField showAll="0" defaultSubtotal="0"/>
    <pivotField axis="axisRow" showAll="0" defaultSubtotal="0">
      <items count="10">
        <item sd="0" x="0"/>
        <item sd="0" x="6"/>
        <item sd="0" x="4"/>
        <item sd="0" x="1"/>
        <item sd="0" x="3"/>
        <item sd="0" x="2"/>
        <item sd="0" x="8"/>
        <item sd="0" x="7"/>
        <item sd="0" x="5"/>
        <item sd="0" x="9"/>
      </items>
    </pivotField>
  </pivotFields>
  <rowFields count="2">
    <field x="61"/>
    <field x="38"/>
  </rowFields>
  <rowItems count="11">
    <i>
      <x/>
    </i>
    <i>
      <x v="1"/>
    </i>
    <i>
      <x v="2"/>
    </i>
    <i>
      <x v="3"/>
    </i>
    <i>
      <x v="4"/>
    </i>
    <i>
      <x v="5"/>
    </i>
    <i>
      <x v="6"/>
    </i>
    <i>
      <x v="7"/>
    </i>
    <i>
      <x v="8"/>
    </i>
    <i>
      <x v="9"/>
    </i>
    <i t="grand">
      <x/>
    </i>
  </rowItems>
  <colItems count="1">
    <i/>
  </colItems>
  <dataFields count="1">
    <dataField name=" Valor FOB (COP)" fld="55" baseField="0" baseItem="0"/>
  </dataFields>
  <formats count="4">
    <format dxfId="3">
      <pivotArea outline="0" collapsedLevelsAreSubtotals="1" fieldPosition="0"/>
    </format>
    <format dxfId="2">
      <pivotArea dataOnly="0" labelOnly="1" outline="0" axis="axisValues" fieldPosition="0"/>
    </format>
    <format dxfId="1">
      <pivotArea grandRow="1" outline="0" collapsedLevelsAreSubtotals="1" fieldPosition="0"/>
    </format>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portafolio.co/negocios/empresas/sempertex-aumentara-produccion-30-ciento-70874" TargetMode="External"/><Relationship Id="rId2" Type="http://schemas.openxmlformats.org/officeDocument/2006/relationships/hyperlink" Target="http://www.portafolio.co/negocios/empresas/sempertex-aumentara-produccion-30-ciento-70874" TargetMode="External"/><Relationship Id="rId1" Type="http://schemas.openxmlformats.org/officeDocument/2006/relationships/hyperlink" Target="http://www.portafolio.co/negocios/empresas/sempertex-aumentara-produccion-30-ciento-70874" TargetMode="External"/><Relationship Id="rId5" Type="http://schemas.openxmlformats.org/officeDocument/2006/relationships/printerSettings" Target="../printerSettings/printerSettings10.bin"/><Relationship Id="rId4" Type="http://schemas.openxmlformats.org/officeDocument/2006/relationships/hyperlink" Target="https://www.superfinanciera.gov.co/jsp/index.jsf"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panish.alibaba.com/product-detail/thermoplastic-polyurethane-tpu-hot-melt-adhesive-powder-60475180387.html" TargetMode="External"/><Relationship Id="rId1" Type="http://schemas.openxmlformats.org/officeDocument/2006/relationships/hyperlink" Target="http://spanish.alibaba.com/product-detail/natural-rubber-svr3l-competitive-price-50002991428.htm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w.emis.com/php/sources/index/dpinfo?pcid=SUPERSOCFS4&amp;dp_code=CO-SUPERSOC" TargetMode="External"/><Relationship Id="rId2" Type="http://schemas.openxmlformats.org/officeDocument/2006/relationships/hyperlink" Target="https://www.emis.com/php/sources/index/dpinfo?pcid=SUPERSOCFS4&amp;dp_code=CO-SUPERSOC" TargetMode="External"/><Relationship Id="rId1" Type="http://schemas.openxmlformats.org/officeDocument/2006/relationships/hyperlink" Target="https://www.emis.com/php/sources/index/dpinfo?pcid=SUPERSOCFS4&amp;dp_code=CO-SUPERSOC" TargetMode="External"/><Relationship Id="rId6" Type="http://schemas.openxmlformats.org/officeDocument/2006/relationships/drawing" Target="../drawings/drawing4.xml"/><Relationship Id="rId5" Type="http://schemas.openxmlformats.org/officeDocument/2006/relationships/hyperlink" Target="https://www.emis.com/php/sources/index/dpinfo?pcid=SUPERSOCFS4&amp;dp_code=CO-SUPERSOC" TargetMode="External"/><Relationship Id="rId4" Type="http://schemas.openxmlformats.org/officeDocument/2006/relationships/hyperlink" Target="https://www.emis.com/php/sources/index/dpinfo?pcid=SUPERSOCFS4&amp;dp_code=CO-SUPERSOC"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emis.com/php/sources/index/dpinfo?pcid=SUPERSOCFS4&amp;dp_code=CO-SUPERSOC" TargetMode="External"/><Relationship Id="rId2" Type="http://schemas.openxmlformats.org/officeDocument/2006/relationships/hyperlink" Target="https://www.emis.com/php/sources/index/dpinfo?pcid=SUPERSOCFS4&amp;dp_code=CO-SUPERSOC" TargetMode="External"/><Relationship Id="rId1" Type="http://schemas.openxmlformats.org/officeDocument/2006/relationships/hyperlink" Target="https://www.emis.com/php/sources/index/dpinfo?pcid=SUPERSOCFS4&amp;dp_code=CO-SUPERSOC" TargetMode="External"/><Relationship Id="rId6" Type="http://schemas.openxmlformats.org/officeDocument/2006/relationships/drawing" Target="../drawings/drawing5.xml"/><Relationship Id="rId5" Type="http://schemas.openxmlformats.org/officeDocument/2006/relationships/hyperlink" Target="https://www.emis.com/php/sources/index/dpinfo?pcid=SUPERSOCFS4&amp;dp_code=CO-SUPERSOC" TargetMode="External"/><Relationship Id="rId4" Type="http://schemas.openxmlformats.org/officeDocument/2006/relationships/hyperlink" Target="https://www.emis.com/php/sources/index/dpinfo?pcid=SUPERSOCFS4&amp;dp_code=CO-SUPERSOC"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emis.com/php/sources/index/dpinfo?pcid=SUPERSOCFS4&amp;dp_code=CO-SUPERSOC" TargetMode="External"/><Relationship Id="rId2" Type="http://schemas.openxmlformats.org/officeDocument/2006/relationships/hyperlink" Target="https://www.emis.com/php/sources/index/dpinfo?pcid=SUPERSOCFS4&amp;dp_code=CO-SUPERSOC" TargetMode="External"/><Relationship Id="rId1" Type="http://schemas.openxmlformats.org/officeDocument/2006/relationships/hyperlink" Target="https://www.emis.com/php/sources/index/dpinfo?pcid=SUPERSOCFS4&amp;dp_code=CO-SUPERSOC" TargetMode="External"/><Relationship Id="rId6" Type="http://schemas.openxmlformats.org/officeDocument/2006/relationships/drawing" Target="../drawings/drawing6.xml"/><Relationship Id="rId5" Type="http://schemas.openxmlformats.org/officeDocument/2006/relationships/printerSettings" Target="../printerSettings/printerSettings14.bin"/><Relationship Id="rId4" Type="http://schemas.openxmlformats.org/officeDocument/2006/relationships/hyperlink" Target="https://www.emis.com/php/sources/index/dpinfo?pcid=SUPERSOCFS4&amp;dp_code=CO-SUPERSO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emis.com/php/sources/index/dpinfo?pcid=SUPERSOCFS_IFRS&amp;dp_code=CO-SUPERSOC"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emis.com/php/sources/index/dpinfo?pcid=SUPERSOCFS4&amp;dp_code=CO-SUPERSOC" TargetMode="External"/><Relationship Id="rId7" Type="http://schemas.openxmlformats.org/officeDocument/2006/relationships/drawing" Target="../drawings/drawing8.xml"/><Relationship Id="rId2" Type="http://schemas.openxmlformats.org/officeDocument/2006/relationships/hyperlink" Target="https://www.emis.com/php/sources/index/dpinfo?pcid=SUPERSOCFS4&amp;dp_code=CO-SUPERSOC" TargetMode="External"/><Relationship Id="rId1" Type="http://schemas.openxmlformats.org/officeDocument/2006/relationships/hyperlink" Target="https://www.emis.com/php/sources/index/dpinfo?pcid=SUPERSOCFS4&amp;dp_code=CO-SUPERSOC" TargetMode="External"/><Relationship Id="rId6" Type="http://schemas.openxmlformats.org/officeDocument/2006/relationships/printerSettings" Target="../printerSettings/printerSettings15.bin"/><Relationship Id="rId5" Type="http://schemas.openxmlformats.org/officeDocument/2006/relationships/hyperlink" Target="https://www.emis.com/php/sources/index/dpinfo?pcid=SUPERSOCFS4&amp;dp_code=CO-SUPERSOC" TargetMode="External"/><Relationship Id="rId4" Type="http://schemas.openxmlformats.org/officeDocument/2006/relationships/hyperlink" Target="https://www.emis.com/php/sources/index/dpinfo?pcid=SUPERSOCFS4&amp;dp_code=CO-SUPERSOC"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emis.com/php/sources/index/dpinfo?pcid=SUPERSOCFS4&amp;dp_code=CO-SUPERSOC" TargetMode="External"/><Relationship Id="rId2" Type="http://schemas.openxmlformats.org/officeDocument/2006/relationships/hyperlink" Target="https://www.emis.com/php/sources/index/dpinfo?pcid=SUPERSOCFS4&amp;dp_code=CO-SUPERSOC" TargetMode="External"/><Relationship Id="rId1" Type="http://schemas.openxmlformats.org/officeDocument/2006/relationships/hyperlink" Target="https://www.emis.com/php/sources/index/dpinfo?pcid=SUPERSOCFS4&amp;dp_code=CO-SUPERSOC" TargetMode="External"/><Relationship Id="rId6" Type="http://schemas.openxmlformats.org/officeDocument/2006/relationships/drawing" Target="../drawings/drawing9.xml"/><Relationship Id="rId5" Type="http://schemas.openxmlformats.org/officeDocument/2006/relationships/hyperlink" Target="https://www.emis.com/php/sources/index/dpinfo?pcid=SUPERSOCFS4&amp;dp_code=CO-SUPERSOC" TargetMode="External"/><Relationship Id="rId4" Type="http://schemas.openxmlformats.org/officeDocument/2006/relationships/hyperlink" Target="https://www.emis.com/php/sources/index/dpinfo?pcid=SUPERSOCFS4&amp;dp_code=CO-SUPERSOC"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emis.com/php/sources/index/dpinfo?pcid=SUPERSOCFS4&amp;dp_code=CO-SUPERSOC" TargetMode="External"/><Relationship Id="rId2" Type="http://schemas.openxmlformats.org/officeDocument/2006/relationships/hyperlink" Target="https://www.emis.com/php/sources/index/dpinfo?pcid=SUPERSOCFS4&amp;dp_code=CO-SUPERSOC" TargetMode="External"/><Relationship Id="rId1" Type="http://schemas.openxmlformats.org/officeDocument/2006/relationships/hyperlink" Target="https://www.emis.com/php/sources/index/dpinfo?pcid=SUPERSOCFS4&amp;dp_code=CO-SUPERSOC" TargetMode="External"/><Relationship Id="rId6" Type="http://schemas.openxmlformats.org/officeDocument/2006/relationships/drawing" Target="../drawings/drawing10.xml"/><Relationship Id="rId5" Type="http://schemas.openxmlformats.org/officeDocument/2006/relationships/hyperlink" Target="https://www.emis.com/php/sources/index/dpinfo?pcid=SUPERSOCFS4&amp;dp_code=CO-SUPERSOC" TargetMode="External"/><Relationship Id="rId4" Type="http://schemas.openxmlformats.org/officeDocument/2006/relationships/hyperlink" Target="https://www.emis.com/php/sources/index/dpinfo?pcid=SUPERSOCFS4&amp;dp_code=CO-SUPERSOC"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emis.com/php/sources/index/dpinfo?pcid=SUPERSOCFS4&amp;dp_code=CO-SUPERSOC" TargetMode="External"/><Relationship Id="rId2" Type="http://schemas.openxmlformats.org/officeDocument/2006/relationships/hyperlink" Target="https://www.emis.com/php/sources/index/dpinfo?pcid=SUPERSOCFS4&amp;dp_code=CO-SUPERSOC" TargetMode="External"/><Relationship Id="rId1" Type="http://schemas.openxmlformats.org/officeDocument/2006/relationships/hyperlink" Target="https://www.emis.com/php/sources/index/dpinfo?pcid=SUPERSOCFS4&amp;dp_code=CO-SUPERSOC" TargetMode="External"/><Relationship Id="rId6" Type="http://schemas.openxmlformats.org/officeDocument/2006/relationships/drawing" Target="../drawings/drawing11.xml"/><Relationship Id="rId5" Type="http://schemas.openxmlformats.org/officeDocument/2006/relationships/hyperlink" Target="https://www.emis.com/php/sources/index/dpinfo?pcid=SUPERSOCFS4&amp;dp_code=CO-SUPERSOC" TargetMode="External"/><Relationship Id="rId4" Type="http://schemas.openxmlformats.org/officeDocument/2006/relationships/hyperlink" Target="https://www.emis.com/php/sources/index/dpinfo?pcid=SUPERSOCFS4&amp;dp_code=CO-SUPERSOC"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superfinanciera.gov.co/jsp/index.jsf"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7.bin"/><Relationship Id="rId1" Type="http://schemas.openxmlformats.org/officeDocument/2006/relationships/pivotTable" Target="../pivotTables/pivotTable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superfinanciera.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banrep.gov.co/es/info-temas-a/4024"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www.dane.gov.co/files/investigaciones/fichas/IPC.pdf" TargetMode="External"/><Relationship Id="rId1" Type="http://schemas.openxmlformats.org/officeDocument/2006/relationships/hyperlink" Target="http://www.dane.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77"/>
  <sheetViews>
    <sheetView showGridLines="0" tabSelected="1" workbookViewId="0"/>
  </sheetViews>
  <sheetFormatPr baseColWidth="10" defaultRowHeight="15" x14ac:dyDescent="0.25"/>
  <cols>
    <col min="1" max="1" width="3.625" customWidth="1"/>
    <col min="3" max="4" width="14.625" bestFit="1" customWidth="1"/>
    <col min="5" max="8" width="15.625" bestFit="1" customWidth="1"/>
  </cols>
  <sheetData>
    <row r="2" spans="2:8" x14ac:dyDescent="0.25">
      <c r="B2" s="26" t="s">
        <v>5561</v>
      </c>
    </row>
    <row r="3" spans="2:8" x14ac:dyDescent="0.25">
      <c r="C3" s="408">
        <v>2015</v>
      </c>
      <c r="D3" s="408">
        <f>C3+1</f>
        <v>2016</v>
      </c>
      <c r="E3" s="408">
        <f t="shared" ref="E3" si="0">D3+1</f>
        <v>2017</v>
      </c>
      <c r="F3" s="408">
        <f t="shared" ref="F3" si="1">E3+1</f>
        <v>2018</v>
      </c>
      <c r="G3" s="408">
        <f t="shared" ref="G3" si="2">F3+1</f>
        <v>2019</v>
      </c>
      <c r="H3" s="408">
        <f t="shared" ref="H3" si="3">G3+1</f>
        <v>2020</v>
      </c>
    </row>
    <row r="4" spans="2:8" x14ac:dyDescent="0.25">
      <c r="B4" s="404" t="s">
        <v>5559</v>
      </c>
      <c r="C4" s="487">
        <f>Supuestos!D56</f>
        <v>5.1020524081310112</v>
      </c>
      <c r="D4" s="487">
        <f>Supuestos!E56</f>
        <v>3</v>
      </c>
      <c r="E4" s="487">
        <f>Supuestos!F56</f>
        <v>3.4259037427582522</v>
      </c>
      <c r="F4" s="487">
        <f>Supuestos!G56</f>
        <v>3.9122721515483336</v>
      </c>
      <c r="G4" s="487">
        <f>Supuestos!H56</f>
        <v>4.4676892688927721</v>
      </c>
      <c r="H4" s="487">
        <f>Supuestos!I56</f>
        <v>5.101957795926876</v>
      </c>
    </row>
    <row r="5" spans="2:8" x14ac:dyDescent="0.25">
      <c r="B5" s="404" t="s">
        <v>5560</v>
      </c>
      <c r="C5" s="487">
        <f>Supuestos!D58</f>
        <v>1.720009809864969</v>
      </c>
      <c r="D5" s="487">
        <f>Supuestos!E58</f>
        <v>1</v>
      </c>
      <c r="E5" s="487">
        <f>Supuestos!F58</f>
        <v>1.1452113949139828</v>
      </c>
      <c r="F5" s="487">
        <f>Supuestos!G58</f>
        <v>1.3115091390408304</v>
      </c>
      <c r="G5" s="487">
        <f>Supuestos!H58</f>
        <v>1.501955210563386</v>
      </c>
      <c r="H5" s="487">
        <f>Supuestos!I58</f>
        <v>1.7200562217876201</v>
      </c>
    </row>
    <row r="22" spans="2:8" x14ac:dyDescent="0.25">
      <c r="B22" s="26" t="s">
        <v>5562</v>
      </c>
    </row>
    <row r="23" spans="2:8" x14ac:dyDescent="0.25">
      <c r="C23" s="619">
        <v>2015</v>
      </c>
      <c r="D23" s="619">
        <f>C23+1</f>
        <v>2016</v>
      </c>
      <c r="E23" s="619">
        <f t="shared" ref="E23" si="4">D23+1</f>
        <v>2017</v>
      </c>
      <c r="F23" s="619">
        <f t="shared" ref="F23" si="5">E23+1</f>
        <v>2018</v>
      </c>
      <c r="G23" s="619">
        <f t="shared" ref="G23" si="6">F23+1</f>
        <v>2019</v>
      </c>
      <c r="H23" s="619">
        <f t="shared" ref="H23" si="7">G23+1</f>
        <v>2020</v>
      </c>
    </row>
    <row r="24" spans="2:8" x14ac:dyDescent="0.25">
      <c r="B24" s="627" t="s">
        <v>5562</v>
      </c>
      <c r="C24" s="409">
        <f>Realista!C142</f>
        <v>0.78473767605672218</v>
      </c>
      <c r="D24" s="409">
        <f>Realista!D142</f>
        <v>0.7763351766190284</v>
      </c>
      <c r="E24" s="409">
        <f>Realista!E142</f>
        <v>0.753011614645128</v>
      </c>
      <c r="F24" s="409">
        <f>Realista!F142</f>
        <v>0.75330260860929377</v>
      </c>
      <c r="G24" s="409">
        <f>Realista!G142</f>
        <v>0.72726366896562045</v>
      </c>
      <c r="H24" s="409">
        <f>Realista!H142</f>
        <v>0.69798872589632555</v>
      </c>
    </row>
    <row r="25" spans="2:8" x14ac:dyDescent="0.25">
      <c r="B25" s="628"/>
      <c r="C25" s="491"/>
      <c r="D25" s="491"/>
      <c r="E25" s="491"/>
      <c r="F25" s="491"/>
      <c r="G25" s="491"/>
      <c r="H25" s="491"/>
    </row>
    <row r="26" spans="2:8" x14ac:dyDescent="0.25">
      <c r="B26" s="628"/>
      <c r="C26" s="491"/>
      <c r="D26" s="491"/>
      <c r="E26" s="491"/>
      <c r="F26" s="491"/>
      <c r="G26" s="491"/>
      <c r="H26" s="491"/>
    </row>
    <row r="27" spans="2:8" x14ac:dyDescent="0.25">
      <c r="B27" s="628"/>
      <c r="C27" s="491"/>
      <c r="D27" s="491"/>
      <c r="E27" s="491"/>
      <c r="F27" s="491"/>
      <c r="G27" s="491"/>
      <c r="H27" s="491"/>
    </row>
    <row r="28" spans="2:8" x14ac:dyDescent="0.25">
      <c r="B28" s="628"/>
      <c r="C28" s="491"/>
      <c r="D28" s="491"/>
      <c r="E28" s="491"/>
      <c r="F28" s="491"/>
      <c r="G28" s="491"/>
      <c r="H28" s="491"/>
    </row>
    <row r="29" spans="2:8" x14ac:dyDescent="0.25">
      <c r="B29" s="628"/>
      <c r="C29" s="491"/>
      <c r="D29" s="491"/>
      <c r="E29" s="491"/>
      <c r="F29" s="491"/>
      <c r="G29" s="491"/>
      <c r="H29" s="491"/>
    </row>
    <row r="30" spans="2:8" x14ac:dyDescent="0.25">
      <c r="B30" s="628"/>
      <c r="C30" s="491"/>
      <c r="D30" s="491"/>
      <c r="E30" s="491"/>
      <c r="F30" s="491"/>
      <c r="G30" s="491"/>
      <c r="H30" s="491"/>
    </row>
    <row r="31" spans="2:8" x14ac:dyDescent="0.25">
      <c r="B31" s="628"/>
      <c r="C31" s="491"/>
      <c r="D31" s="491"/>
      <c r="E31" s="491"/>
      <c r="F31" s="491"/>
      <c r="G31" s="491"/>
      <c r="H31" s="491"/>
    </row>
    <row r="32" spans="2:8" x14ac:dyDescent="0.25">
      <c r="B32" s="628"/>
      <c r="C32" s="491"/>
      <c r="D32" s="491"/>
      <c r="E32" s="491"/>
      <c r="F32" s="491"/>
      <c r="G32" s="491"/>
      <c r="H32" s="491"/>
    </row>
    <row r="33" spans="2:8" x14ac:dyDescent="0.25">
      <c r="B33" s="628"/>
      <c r="C33" s="491"/>
      <c r="D33" s="491"/>
      <c r="E33" s="491"/>
      <c r="F33" s="491"/>
      <c r="G33" s="491"/>
      <c r="H33" s="491"/>
    </row>
    <row r="34" spans="2:8" x14ac:dyDescent="0.25">
      <c r="B34" s="628"/>
      <c r="C34" s="491"/>
      <c r="D34" s="491"/>
      <c r="E34" s="491"/>
      <c r="F34" s="491"/>
      <c r="G34" s="491"/>
      <c r="H34" s="491"/>
    </row>
    <row r="35" spans="2:8" x14ac:dyDescent="0.25">
      <c r="B35" s="628"/>
      <c r="C35" s="491"/>
      <c r="D35" s="491"/>
      <c r="E35" s="491"/>
      <c r="F35" s="491"/>
      <c r="G35" s="491"/>
      <c r="H35" s="491"/>
    </row>
    <row r="36" spans="2:8" x14ac:dyDescent="0.25">
      <c r="B36" s="628"/>
      <c r="C36" s="491"/>
      <c r="D36" s="491"/>
      <c r="E36" s="491"/>
      <c r="F36" s="491"/>
      <c r="G36" s="491"/>
      <c r="H36" s="491"/>
    </row>
    <row r="37" spans="2:8" x14ac:dyDescent="0.25">
      <c r="B37" s="628"/>
      <c r="C37" s="491"/>
      <c r="D37" s="491"/>
      <c r="E37" s="491"/>
      <c r="F37" s="491"/>
      <c r="G37" s="491"/>
      <c r="H37" s="491"/>
    </row>
    <row r="38" spans="2:8" x14ac:dyDescent="0.25">
      <c r="B38" s="628"/>
      <c r="C38" s="491"/>
      <c r="D38" s="491"/>
      <c r="E38" s="491"/>
      <c r="F38" s="491"/>
      <c r="G38" s="491"/>
      <c r="H38" s="491"/>
    </row>
    <row r="39" spans="2:8" x14ac:dyDescent="0.25">
      <c r="B39" s="628"/>
      <c r="C39" s="491"/>
      <c r="D39" s="491"/>
      <c r="E39" s="491"/>
      <c r="F39" s="491"/>
      <c r="G39" s="491"/>
      <c r="H39" s="491"/>
    </row>
    <row r="40" spans="2:8" x14ac:dyDescent="0.25">
      <c r="B40" s="628"/>
      <c r="C40" s="491"/>
      <c r="D40" s="491"/>
      <c r="E40" s="491"/>
      <c r="F40" s="491"/>
      <c r="G40" s="491"/>
      <c r="H40" s="491"/>
    </row>
    <row r="42" spans="2:8" x14ac:dyDescent="0.25">
      <c r="B42" s="26" t="s">
        <v>4070</v>
      </c>
    </row>
    <row r="43" spans="2:8" x14ac:dyDescent="0.25">
      <c r="C43" s="408">
        <v>2015</v>
      </c>
      <c r="D43" s="408">
        <f>C43+1</f>
        <v>2016</v>
      </c>
      <c r="E43" s="408">
        <f t="shared" ref="E43:H43" si="8">D43+1</f>
        <v>2017</v>
      </c>
      <c r="F43" s="408">
        <f t="shared" si="8"/>
        <v>2018</v>
      </c>
      <c r="G43" s="408">
        <f t="shared" si="8"/>
        <v>2019</v>
      </c>
      <c r="H43" s="408">
        <f t="shared" si="8"/>
        <v>2020</v>
      </c>
    </row>
    <row r="44" spans="2:8" x14ac:dyDescent="0.25">
      <c r="B44" s="410" t="s">
        <v>5538</v>
      </c>
      <c r="C44" s="623">
        <f>Optimista!C131*1000</f>
        <v>5125828071.4746971</v>
      </c>
      <c r="D44" s="623">
        <f>Optimista!D131*1000</f>
        <v>8016109012.2380199</v>
      </c>
      <c r="E44" s="623">
        <f>Optimista!E131*1000</f>
        <v>12764883340.578962</v>
      </c>
      <c r="F44" s="623">
        <f>Optimista!F131*1000</f>
        <v>18326721070.605808</v>
      </c>
      <c r="G44" s="623">
        <f>Optimista!G131*1000</f>
        <v>25257213537.341908</v>
      </c>
      <c r="H44" s="623">
        <f>Optimista!H131*1000</f>
        <v>34140652144.251598</v>
      </c>
    </row>
    <row r="45" spans="2:8" x14ac:dyDescent="0.25">
      <c r="B45" s="410" t="s">
        <v>5535</v>
      </c>
      <c r="C45" s="623">
        <f>Realista!C131*1000</f>
        <v>5125828071.4746971</v>
      </c>
      <c r="D45" s="623">
        <f>Realista!D131*1000</f>
        <v>5946371155.0457859</v>
      </c>
      <c r="E45" s="623">
        <f>Realista!E131*1000</f>
        <v>6864361649.8519354</v>
      </c>
      <c r="F45" s="623">
        <f>Realista!F131*1000</f>
        <v>8121103500.8101015</v>
      </c>
      <c r="G45" s="623">
        <f>Realista!G131*1000</f>
        <v>9465520895.4893265</v>
      </c>
      <c r="H45" s="623">
        <f>Realista!H131*1000</f>
        <v>11036170809.969893</v>
      </c>
    </row>
    <row r="46" spans="2:8" x14ac:dyDescent="0.25">
      <c r="B46" s="410" t="s">
        <v>5536</v>
      </c>
      <c r="C46" s="623">
        <f>Pesimista!C131*1000</f>
        <v>5125828071.4746971</v>
      </c>
      <c r="D46" s="623">
        <f>Pesimista!D131*1000</f>
        <v>3205490993.7341862</v>
      </c>
      <c r="E46" s="623">
        <f>Pesimista!E131*1000</f>
        <v>1319773486.0928714</v>
      </c>
      <c r="F46" s="623">
        <f>Pesimista!F131*1000</f>
        <v>60098654.365596831</v>
      </c>
      <c r="G46" s="623">
        <f>Pesimista!G131*1000</f>
        <v>-941871551.83148289</v>
      </c>
      <c r="H46" s="623">
        <f>Pesimista!H131*1000</f>
        <v>-1747333204.510807</v>
      </c>
    </row>
    <row r="64" spans="2:2" x14ac:dyDescent="0.25">
      <c r="B64" s="26" t="s">
        <v>406</v>
      </c>
    </row>
    <row r="65" spans="2:9" x14ac:dyDescent="0.25">
      <c r="C65" s="408">
        <v>2015</v>
      </c>
      <c r="D65" s="408">
        <f>C65+1</f>
        <v>2016</v>
      </c>
      <c r="E65" s="408">
        <f t="shared" ref="E65:H65" si="9">D65+1</f>
        <v>2017</v>
      </c>
      <c r="F65" s="408">
        <f t="shared" si="9"/>
        <v>2018</v>
      </c>
      <c r="G65" s="408">
        <f t="shared" si="9"/>
        <v>2019</v>
      </c>
      <c r="H65" s="408">
        <f t="shared" si="9"/>
        <v>2020</v>
      </c>
    </row>
    <row r="66" spans="2:9" x14ac:dyDescent="0.25">
      <c r="B66" s="410" t="s">
        <v>5538</v>
      </c>
      <c r="C66" s="405">
        <f>Optimista!C129</f>
        <v>-3.8543399253459759E-2</v>
      </c>
      <c r="D66" s="405">
        <f>Optimista!D129</f>
        <v>1.1489318658901904E-2</v>
      </c>
      <c r="E66" s="405">
        <f>Optimista!E129</f>
        <v>3.1130720690785096E-2</v>
      </c>
      <c r="F66" s="405">
        <f>Optimista!F129</f>
        <v>4.5972606374443281E-2</v>
      </c>
      <c r="G66" s="405">
        <f>Optimista!G129</f>
        <v>3.706793700677008E-2</v>
      </c>
      <c r="H66" s="405">
        <f>Optimista!H129</f>
        <v>1.9346787981496028E-2</v>
      </c>
      <c r="I66" t="s">
        <v>5541</v>
      </c>
    </row>
    <row r="67" spans="2:9" x14ac:dyDescent="0.25">
      <c r="B67" s="410" t="s">
        <v>5535</v>
      </c>
      <c r="C67" s="405">
        <f>Realista!C129</f>
        <v>-3.8543399253459759E-2</v>
      </c>
      <c r="D67" s="405">
        <f>Realista!D129</f>
        <v>-1.2996330304225312E-2</v>
      </c>
      <c r="E67" s="405">
        <f>Realista!E129</f>
        <v>-1.9732383189591529E-3</v>
      </c>
      <c r="F67" s="405">
        <f>Realista!F129</f>
        <v>1.549404986468475E-2</v>
      </c>
      <c r="G67" s="405">
        <f>Realista!G129</f>
        <v>2.2167969831998979E-2</v>
      </c>
      <c r="H67" s="405">
        <f>Realista!H129</f>
        <v>2.9196244007448413E-2</v>
      </c>
    </row>
    <row r="68" spans="2:9" x14ac:dyDescent="0.25">
      <c r="B68" s="410" t="s">
        <v>5536</v>
      </c>
      <c r="C68" s="405">
        <f>Pesimista!C129</f>
        <v>-3.8543399253459759E-2</v>
      </c>
      <c r="D68" s="405">
        <f>Pesimista!D129</f>
        <v>-9.723824228760565E-2</v>
      </c>
      <c r="E68" s="405">
        <f>Pesimista!E129</f>
        <v>-9.8420105700498528E-2</v>
      </c>
      <c r="F68" s="405">
        <f>Pesimista!F129</f>
        <v>-0.1011557705992423</v>
      </c>
      <c r="G68" s="405">
        <f>Pesimista!G129</f>
        <v>-8.9883702191504322E-2</v>
      </c>
      <c r="H68" s="405">
        <f>Pesimista!H129</f>
        <v>-7.5499750457671766E-2</v>
      </c>
    </row>
    <row r="85" spans="2:8" x14ac:dyDescent="0.25">
      <c r="B85" s="26" t="s">
        <v>5542</v>
      </c>
    </row>
    <row r="86" spans="2:8" x14ac:dyDescent="0.25">
      <c r="C86" s="408">
        <v>2015</v>
      </c>
      <c r="D86" s="408">
        <f>C86+1</f>
        <v>2016</v>
      </c>
      <c r="E86" s="408">
        <f t="shared" ref="E86:H86" si="10">D86+1</f>
        <v>2017</v>
      </c>
      <c r="F86" s="408">
        <f t="shared" si="10"/>
        <v>2018</v>
      </c>
      <c r="G86" s="408">
        <f t="shared" si="10"/>
        <v>2019</v>
      </c>
      <c r="H86" s="408">
        <f t="shared" si="10"/>
        <v>2020</v>
      </c>
    </row>
    <row r="87" spans="2:8" x14ac:dyDescent="0.25">
      <c r="B87" s="410" t="s">
        <v>5538</v>
      </c>
      <c r="C87" s="487">
        <f>Optimista!C112</f>
        <v>0.67189196908415905</v>
      </c>
      <c r="D87" s="487">
        <f>Optimista!D112</f>
        <v>0.7649784757037752</v>
      </c>
      <c r="E87" s="487">
        <f>Optimista!E112</f>
        <v>0.85731466370618692</v>
      </c>
      <c r="F87" s="487">
        <f>Optimista!F112</f>
        <v>0.94503404230847798</v>
      </c>
      <c r="G87" s="487">
        <f>Optimista!G112</f>
        <v>1.0283674519806547</v>
      </c>
      <c r="H87" s="487">
        <f>Optimista!H112</f>
        <v>1.1075341911692222</v>
      </c>
    </row>
    <row r="88" spans="2:8" x14ac:dyDescent="0.25">
      <c r="B88" s="410" t="s">
        <v>5535</v>
      </c>
      <c r="C88" s="487">
        <f>Realista!C112</f>
        <v>0.67189196908415905</v>
      </c>
      <c r="D88" s="487">
        <f>Realista!D112</f>
        <v>0.66778248833281595</v>
      </c>
      <c r="E88" s="487">
        <f>Realista!E112</f>
        <v>0.66778248833281584</v>
      </c>
      <c r="F88" s="487">
        <f>Realista!F112</f>
        <v>0.66778248833281539</v>
      </c>
      <c r="G88" s="487">
        <f>Realista!G112</f>
        <v>0.66778248833281562</v>
      </c>
      <c r="H88" s="487">
        <f>Realista!H112</f>
        <v>0.6677824883328155</v>
      </c>
    </row>
    <row r="89" spans="2:8" x14ac:dyDescent="0.25">
      <c r="B89" s="410" t="s">
        <v>5536</v>
      </c>
      <c r="C89" s="487">
        <f>Pesimista!C112</f>
        <v>0.67189196908415905</v>
      </c>
      <c r="D89" s="487">
        <f>Pesimista!D112</f>
        <v>0.57058650096185637</v>
      </c>
      <c r="E89" s="487">
        <f>Pesimista!E112</f>
        <v>0.46853071422234877</v>
      </c>
      <c r="F89" s="487">
        <f>Pesimista!F112</f>
        <v>0.36137213814586577</v>
      </c>
      <c r="G89" s="487">
        <f>Pesimista!G112</f>
        <v>0.24885563326555893</v>
      </c>
      <c r="H89" s="487">
        <f>Pesimista!H112</f>
        <v>0.13071330314123619</v>
      </c>
    </row>
    <row r="107" spans="2:8" x14ac:dyDescent="0.25">
      <c r="B107" s="26" t="s">
        <v>5532</v>
      </c>
    </row>
    <row r="108" spans="2:8" x14ac:dyDescent="0.25">
      <c r="C108" s="408">
        <v>2015</v>
      </c>
      <c r="D108" s="408">
        <f>C108+1</f>
        <v>2016</v>
      </c>
      <c r="E108" s="408">
        <f t="shared" ref="E108:H108" si="11">D108+1</f>
        <v>2017</v>
      </c>
      <c r="F108" s="408">
        <f t="shared" si="11"/>
        <v>2018</v>
      </c>
      <c r="G108" s="408">
        <f t="shared" si="11"/>
        <v>2019</v>
      </c>
      <c r="H108" s="408">
        <f t="shared" si="11"/>
        <v>2020</v>
      </c>
    </row>
    <row r="109" spans="2:8" x14ac:dyDescent="0.25">
      <c r="B109" s="410" t="s">
        <v>5538</v>
      </c>
      <c r="C109" s="624">
        <f>Optimista!C156</f>
        <v>8.33469515172479E-2</v>
      </c>
      <c r="D109" s="624">
        <f>Optimista!D156</f>
        <v>0.12026461528601572</v>
      </c>
      <c r="E109" s="624">
        <f>Optimista!E156</f>
        <v>0.16335002112271238</v>
      </c>
      <c r="F109" s="624">
        <f>Optimista!F156</f>
        <v>0.1997827856217998</v>
      </c>
      <c r="G109" s="624">
        <f>Optimista!G156</f>
        <v>0.23471835172044259</v>
      </c>
      <c r="H109" s="624">
        <f>Optimista!H156</f>
        <v>0.27116559187212047</v>
      </c>
    </row>
    <row r="110" spans="2:8" x14ac:dyDescent="0.25">
      <c r="B110" s="410" t="s">
        <v>5535</v>
      </c>
      <c r="C110" s="624">
        <f>Realista!C156</f>
        <v>8.33469515172479E-2</v>
      </c>
      <c r="D110" s="624">
        <f>Realista!D156</f>
        <v>9.230190048397284E-2</v>
      </c>
      <c r="E110" s="624">
        <f>Realista!E156</f>
        <v>9.620331707343216E-2</v>
      </c>
      <c r="F110" s="624">
        <f>Realista!F156</f>
        <v>0.10124470183183845</v>
      </c>
      <c r="G110" s="624">
        <f>Realista!G156</f>
        <v>0.10381943143474125</v>
      </c>
      <c r="H110" s="624">
        <f>Realista!H156</f>
        <v>0.10697331312341017</v>
      </c>
    </row>
    <row r="111" spans="2:8" x14ac:dyDescent="0.25">
      <c r="B111" s="410" t="s">
        <v>5536</v>
      </c>
      <c r="C111" s="624">
        <f>Pesimista!C156</f>
        <v>8.33469515172479E-2</v>
      </c>
      <c r="D111" s="624">
        <f>Pesimista!D156</f>
        <v>5.0761993202528936E-2</v>
      </c>
      <c r="E111" s="624">
        <f>Pesimista!E156</f>
        <v>2.9056584596077236E-2</v>
      </c>
      <c r="F111" s="624">
        <f>Pesimista!F156</f>
        <v>7.6638221971671271E-3</v>
      </c>
      <c r="G111" s="624">
        <f>Pesimista!G156</f>
        <v>-1.131224345163385E-2</v>
      </c>
      <c r="H111" s="624">
        <f>Pesimista!H156</f>
        <v>-3.2830192035638119E-2</v>
      </c>
    </row>
    <row r="129" spans="2:8" x14ac:dyDescent="0.25">
      <c r="B129" s="26" t="s">
        <v>5533</v>
      </c>
    </row>
    <row r="130" spans="2:8" x14ac:dyDescent="0.25">
      <c r="C130" s="408">
        <v>2015</v>
      </c>
      <c r="D130" s="408">
        <f>C130+1</f>
        <v>2016</v>
      </c>
      <c r="E130" s="408">
        <f t="shared" ref="E130:H130" si="12">D130+1</f>
        <v>2017</v>
      </c>
      <c r="F130" s="408">
        <f t="shared" si="12"/>
        <v>2018</v>
      </c>
      <c r="G130" s="408">
        <f t="shared" si="12"/>
        <v>2019</v>
      </c>
      <c r="H130" s="408">
        <f t="shared" si="12"/>
        <v>2020</v>
      </c>
    </row>
    <row r="131" spans="2:8" x14ac:dyDescent="0.25">
      <c r="B131" s="410" t="s">
        <v>5538</v>
      </c>
      <c r="C131" s="624">
        <f>Optimista!C160</f>
        <v>0.13407215269236802</v>
      </c>
      <c r="D131" s="624">
        <f>Optimista!D160</f>
        <v>0.20097666185905158</v>
      </c>
      <c r="E131" s="624">
        <f>Optimista!E160</f>
        <v>0.26641498876080005</v>
      </c>
      <c r="F131" s="624">
        <f>Optimista!F160</f>
        <v>0.30982761361192185</v>
      </c>
      <c r="G131" s="624">
        <f>Optimista!G160</f>
        <v>0.32974590503110884</v>
      </c>
      <c r="H131" s="624">
        <f>Optimista!H160</f>
        <v>0.33907780952918398</v>
      </c>
    </row>
    <row r="132" spans="2:8" x14ac:dyDescent="0.25">
      <c r="B132" s="410" t="s">
        <v>5535</v>
      </c>
      <c r="C132" s="624">
        <f>Realista!C160</f>
        <v>0.13407215269236802</v>
      </c>
      <c r="D132" s="624">
        <f>Realista!D160</f>
        <v>0.15187168407849963</v>
      </c>
      <c r="E132" s="624">
        <f>Realista!E160</f>
        <v>0.15954456171561068</v>
      </c>
      <c r="F132" s="624">
        <f>Realista!F160</f>
        <v>0.17219275284471242</v>
      </c>
      <c r="G132" s="624">
        <f>Realista!G160</f>
        <v>0.17675513418173303</v>
      </c>
      <c r="H132" s="624">
        <f>Realista!H160</f>
        <v>0.18137027447381412</v>
      </c>
    </row>
    <row r="133" spans="2:8" x14ac:dyDescent="0.25">
      <c r="B133" s="410" t="s">
        <v>5536</v>
      </c>
      <c r="C133" s="624">
        <f>Pesimista!C160</f>
        <v>0.13407215269236802</v>
      </c>
      <c r="D133" s="624">
        <f>Pesimista!D160</f>
        <v>6.5261553541858641E-2</v>
      </c>
      <c r="E133" s="624">
        <f>Pesimista!E160</f>
        <v>3.1603252900874394E-2</v>
      </c>
      <c r="F133" s="624">
        <f>Pesimista!F160</f>
        <v>7.0591413964163135E-3</v>
      </c>
      <c r="G133" s="624">
        <f>Pesimista!G160</f>
        <v>-9.235494686111333E-3</v>
      </c>
      <c r="H133" s="624">
        <f>Pesimista!H160</f>
        <v>-2.4229287254658546E-2</v>
      </c>
    </row>
    <row r="151" spans="2:8" x14ac:dyDescent="0.25">
      <c r="B151" s="26" t="s">
        <v>384</v>
      </c>
    </row>
    <row r="152" spans="2:8" x14ac:dyDescent="0.25">
      <c r="C152" s="408">
        <v>2015</v>
      </c>
      <c r="D152" s="408">
        <f>C152+1</f>
        <v>2016</v>
      </c>
      <c r="E152" s="408">
        <f t="shared" ref="E152" si="13">D152+1</f>
        <v>2017</v>
      </c>
      <c r="F152" s="408">
        <f t="shared" ref="F152" si="14">E152+1</f>
        <v>2018</v>
      </c>
      <c r="G152" s="408">
        <f t="shared" ref="G152" si="15">F152+1</f>
        <v>2019</v>
      </c>
      <c r="H152" s="408">
        <f t="shared" ref="H152" si="16">G152+1</f>
        <v>2020</v>
      </c>
    </row>
    <row r="153" spans="2:8" x14ac:dyDescent="0.25">
      <c r="B153" s="626" t="s">
        <v>5538</v>
      </c>
      <c r="C153" s="625">
        <f>Optimista!C106</f>
        <v>169.66949729985691</v>
      </c>
      <c r="D153" s="625">
        <f>Optimista!D106</f>
        <v>358.44497801133485</v>
      </c>
      <c r="E153" s="625">
        <f>Optimista!E106</f>
        <v>269.54923569649577</v>
      </c>
      <c r="F153" s="625">
        <f>Optimista!F106</f>
        <v>191.50847865874601</v>
      </c>
      <c r="G153" s="625">
        <f>Optimista!G106</f>
        <v>122.25688862829637</v>
      </c>
      <c r="H153" s="625">
        <f>Optimista!H106</f>
        <v>60.022330196692423</v>
      </c>
    </row>
    <row r="154" spans="2:8" x14ac:dyDescent="0.25">
      <c r="B154" s="626" t="s">
        <v>5535</v>
      </c>
      <c r="C154" s="625">
        <f>Realista!C106</f>
        <v>169.66949729985691</v>
      </c>
      <c r="D154" s="625">
        <f>Realista!D106</f>
        <v>364.40360115057115</v>
      </c>
      <c r="E154" s="625">
        <f>Realista!E106</f>
        <v>298.16776809950312</v>
      </c>
      <c r="F154" s="625">
        <f>Realista!F106</f>
        <v>239.29648734108736</v>
      </c>
      <c r="G154" s="625">
        <f>Realista!G106</f>
        <v>186.81163574838143</v>
      </c>
      <c r="H154" s="625">
        <f>Realista!H106</f>
        <v>139.85614429496738</v>
      </c>
    </row>
    <row r="155" spans="2:8" x14ac:dyDescent="0.25">
      <c r="B155" s="626" t="s">
        <v>5536</v>
      </c>
      <c r="C155" s="625">
        <f>Pesimista!C106</f>
        <v>169.66949729985691</v>
      </c>
      <c r="D155" s="625">
        <f>Pesimista!D106</f>
        <v>382.42285973888693</v>
      </c>
      <c r="E155" s="625">
        <f>Pesimista!E106</f>
        <v>369.21870280248754</v>
      </c>
      <c r="F155" s="625">
        <f>Pesimista!F106</f>
        <v>356.02925426030026</v>
      </c>
      <c r="G155" s="625">
        <f>Pesimista!G106</f>
        <v>342.92886746013392</v>
      </c>
      <c r="H155" s="625">
        <f>Pesimista!H106</f>
        <v>329.97934746760211</v>
      </c>
    </row>
    <row r="173" spans="2:8" x14ac:dyDescent="0.25">
      <c r="B173" s="26" t="s">
        <v>392</v>
      </c>
    </row>
    <row r="174" spans="2:8" x14ac:dyDescent="0.25">
      <c r="C174" s="407">
        <v>2015</v>
      </c>
      <c r="D174" s="407">
        <f>C174+1</f>
        <v>2016</v>
      </c>
      <c r="E174" s="407">
        <f t="shared" ref="E174" si="17">D174+1</f>
        <v>2017</v>
      </c>
      <c r="F174" s="407">
        <f t="shared" ref="F174" si="18">E174+1</f>
        <v>2018</v>
      </c>
      <c r="G174" s="407">
        <f t="shared" ref="G174" si="19">F174+1</f>
        <v>2019</v>
      </c>
      <c r="H174" s="407">
        <f t="shared" ref="H174" si="20">G174+1</f>
        <v>2020</v>
      </c>
    </row>
    <row r="175" spans="2:8" x14ac:dyDescent="0.25">
      <c r="B175" s="410" t="s">
        <v>5538</v>
      </c>
      <c r="C175" s="625">
        <f>Optimista!C107</f>
        <v>279.86097153974532</v>
      </c>
      <c r="D175" s="625">
        <f>Optimista!D107</f>
        <v>480</v>
      </c>
      <c r="E175" s="625">
        <f>Optimista!E107</f>
        <v>403.63967665473291</v>
      </c>
      <c r="F175" s="625">
        <f>Optimista!F107</f>
        <v>339.4270595796653</v>
      </c>
      <c r="G175" s="625">
        <f>Optimista!G107</f>
        <v>285.42964296708698</v>
      </c>
      <c r="H175" s="625">
        <f>Optimista!H107</f>
        <v>240.02235178114671</v>
      </c>
    </row>
    <row r="176" spans="2:8" x14ac:dyDescent="0.25">
      <c r="B176" s="410" t="s">
        <v>5535</v>
      </c>
      <c r="C176" s="625">
        <f>Realista!C107</f>
        <v>279.86097153974532</v>
      </c>
      <c r="D176" s="625">
        <f>Realista!D107</f>
        <v>480</v>
      </c>
      <c r="E176" s="625">
        <f>Realista!E107</f>
        <v>419.43420471932563</v>
      </c>
      <c r="F176" s="625">
        <f>Realista!F107</f>
        <v>366.51107877160655</v>
      </c>
      <c r="G176" s="625">
        <f>Realista!G107</f>
        <v>320.26614075350767</v>
      </c>
      <c r="H176" s="625">
        <f>Realista!H107</f>
        <v>279.85663249282175</v>
      </c>
    </row>
    <row r="177" spans="2:8" x14ac:dyDescent="0.25">
      <c r="B177" s="410" t="s">
        <v>5536</v>
      </c>
      <c r="C177" s="625">
        <f>Pesimista!C107</f>
        <v>279.86097153974532</v>
      </c>
      <c r="D177" s="625">
        <f>Pesimista!D107</f>
        <v>480</v>
      </c>
      <c r="E177" s="625">
        <f>Pesimista!E107</f>
        <v>455.6255538516798</v>
      </c>
      <c r="F177" s="625">
        <f>Pesimista!F107</f>
        <v>432.54455167789359</v>
      </c>
      <c r="G177" s="625">
        <f>Pesimista!G107</f>
        <v>410.68496165652692</v>
      </c>
      <c r="H177" s="625">
        <f>Pesimista!H107</f>
        <v>389.97896134474672</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104"/>
  <sheetViews>
    <sheetView topLeftCell="A59" zoomScale="90" zoomScaleNormal="90" workbookViewId="0">
      <selection activeCell="D73" sqref="D73"/>
    </sheetView>
  </sheetViews>
  <sheetFormatPr baseColWidth="10" defaultColWidth="9.125" defaultRowHeight="15" x14ac:dyDescent="0.25"/>
  <cols>
    <col min="1" max="2" width="3.75" style="447" customWidth="1"/>
    <col min="3" max="3" width="30.875" style="447" bestFit="1" customWidth="1"/>
    <col min="4" max="4" width="13.75" style="447" bestFit="1" customWidth="1"/>
    <col min="5" max="6" width="13.375" style="447" bestFit="1" customWidth="1"/>
    <col min="7" max="8" width="14.25" style="447" bestFit="1" customWidth="1"/>
    <col min="9" max="12" width="9.125" style="447"/>
    <col min="13" max="13" width="11.125" style="447" bestFit="1" customWidth="1"/>
    <col min="14" max="16384" width="9.125" style="447"/>
  </cols>
  <sheetData>
    <row r="2" spans="2:13" x14ac:dyDescent="0.25">
      <c r="B2" s="446" t="s">
        <v>451</v>
      </c>
    </row>
    <row r="3" spans="2:13" x14ac:dyDescent="0.25">
      <c r="D3" s="26">
        <v>2011</v>
      </c>
      <c r="E3" s="26">
        <v>2012</v>
      </c>
      <c r="F3" s="26">
        <v>2013</v>
      </c>
      <c r="G3" s="26">
        <v>2014</v>
      </c>
      <c r="H3" s="26">
        <v>2015</v>
      </c>
    </row>
    <row r="5" spans="2:13" x14ac:dyDescent="0.25">
      <c r="C5" s="445" t="s">
        <v>394</v>
      </c>
      <c r="D5" s="448">
        <f>'Analisis Sectorial'!D175</f>
        <v>2924283.007382106</v>
      </c>
      <c r="E5" s="448">
        <f>'Analisis Sectorial'!E175</f>
        <v>2526337.0385358627</v>
      </c>
      <c r="F5" s="448">
        <f>'Analisis Sectorial'!F175</f>
        <v>3059904.8315795898</v>
      </c>
      <c r="G5" s="448">
        <f>'Analisis Sectorial'!G175</f>
        <v>8277452.0532770529</v>
      </c>
      <c r="H5" s="448">
        <f>'Analisis Sectorial'!H175</f>
        <v>9777860.0729608964</v>
      </c>
    </row>
    <row r="6" spans="2:13" x14ac:dyDescent="0.25">
      <c r="C6" s="447" t="s">
        <v>4083</v>
      </c>
      <c r="D6" s="459">
        <f>'EF Sempertex 2011-2014 I'!B127+'EF Sempertex 2011-2014 I'!B128</f>
        <v>556032</v>
      </c>
      <c r="E6" s="459">
        <f>'EF Sempertex 2011-2014 I'!C127+'EF Sempertex 2011-2014 I'!C128</f>
        <v>642813</v>
      </c>
      <c r="F6" s="459">
        <f>'EF Sempertex 2011-2014 I'!D127+'EF Sempertex 2011-2014 I'!D128</f>
        <v>637998</v>
      </c>
      <c r="G6" s="459">
        <f>'EF Sempertex 2011-2014 I'!E127+'EF Sempertex 2011-2014 I'!E128</f>
        <v>804446</v>
      </c>
      <c r="H6" s="459">
        <f>'EF Sempertex 2015 I'!B84</f>
        <v>1221805</v>
      </c>
    </row>
    <row r="7" spans="2:13" x14ac:dyDescent="0.25">
      <c r="C7" s="447" t="s">
        <v>4086</v>
      </c>
      <c r="D7" s="459">
        <f>SUM($D$6:D6)</f>
        <v>556032</v>
      </c>
      <c r="E7" s="459">
        <f>SUM($D$6:E6)</f>
        <v>1198845</v>
      </c>
      <c r="F7" s="459">
        <f>SUM($D$6:F6)</f>
        <v>1836843</v>
      </c>
      <c r="G7" s="459">
        <f>SUM($D$6:G6)</f>
        <v>2641289</v>
      </c>
      <c r="H7" s="459">
        <f>SUM($D$6:H6)</f>
        <v>3863094</v>
      </c>
    </row>
    <row r="8" spans="2:13" x14ac:dyDescent="0.25">
      <c r="C8" s="447" t="s">
        <v>4065</v>
      </c>
      <c r="D8" s="513">
        <f>'Analisis Sectorial'!D306</f>
        <v>6422166</v>
      </c>
      <c r="E8" s="513">
        <f>'Analisis Sectorial'!E306</f>
        <v>5246841</v>
      </c>
      <c r="F8" s="513">
        <f>'Analisis Sectorial'!F306</f>
        <v>5450656</v>
      </c>
      <c r="G8" s="513">
        <f>'Analisis Sectorial'!G306</f>
        <v>16347494</v>
      </c>
      <c r="H8" s="513">
        <f>'Analisis Sectorial'!H306</f>
        <v>61097885</v>
      </c>
      <c r="I8" s="447" t="s">
        <v>4109</v>
      </c>
    </row>
    <row r="9" spans="2:13" x14ac:dyDescent="0.25">
      <c r="C9" s="447" t="s">
        <v>4107</v>
      </c>
      <c r="D9" s="514">
        <f>D10*D17</f>
        <v>1369049.4495999999</v>
      </c>
      <c r="E9" s="514">
        <f t="shared" ref="E9:H9" si="0">E10*E17</f>
        <v>2350256.8175999997</v>
      </c>
      <c r="F9" s="514">
        <f t="shared" si="0"/>
        <v>2609926.4924999997</v>
      </c>
      <c r="G9" s="514">
        <f t="shared" si="0"/>
        <v>2983547.139</v>
      </c>
      <c r="H9" s="514">
        <f t="shared" si="0"/>
        <v>4144815.2982000001</v>
      </c>
      <c r="I9" s="447" t="s">
        <v>4110</v>
      </c>
      <c r="M9" s="453"/>
    </row>
    <row r="10" spans="2:13" x14ac:dyDescent="0.25">
      <c r="C10" s="447" t="s">
        <v>4108</v>
      </c>
      <c r="D10" s="472">
        <f>'Analisis Sectorial'!D248</f>
        <v>0.15609999999999999</v>
      </c>
      <c r="E10" s="472">
        <f>'Analisis Sectorial'!E248</f>
        <v>0.19919999999999999</v>
      </c>
      <c r="F10" s="472">
        <f>'Analisis Sectorial'!F248</f>
        <v>0.20749999999999999</v>
      </c>
      <c r="G10" s="472">
        <f>'Analisis Sectorial'!G248</f>
        <v>0.19650000000000001</v>
      </c>
      <c r="H10" s="472">
        <f>'Analisis Sectorial'!H248</f>
        <v>0.19209999999999999</v>
      </c>
      <c r="I10" s="447" t="s">
        <v>4111</v>
      </c>
    </row>
    <row r="11" spans="2:13" x14ac:dyDescent="0.25">
      <c r="C11" s="447" t="s">
        <v>4147</v>
      </c>
      <c r="D11" s="132">
        <f>'EF Sempertex 2011-2014 I'!B167</f>
        <v>616000</v>
      </c>
      <c r="E11" s="132">
        <f>'EF Sempertex 2011-2014 I'!C167</f>
        <v>826000</v>
      </c>
      <c r="F11" s="132">
        <f>'EF Sempertex 2011-2014 I'!D167</f>
        <v>1255000</v>
      </c>
      <c r="G11" s="132">
        <f>'EF Sempertex 2011-2014 I'!E167</f>
        <v>1960000</v>
      </c>
      <c r="H11" s="132">
        <f>'EF Sempertex 2015 I'!B90</f>
        <v>2520000</v>
      </c>
    </row>
    <row r="12" spans="2:13" x14ac:dyDescent="0.25">
      <c r="D12" s="449"/>
      <c r="E12" s="449"/>
      <c r="F12" s="449"/>
      <c r="G12" s="449"/>
      <c r="H12" s="449"/>
      <c r="M12" s="450"/>
    </row>
    <row r="13" spans="2:13" x14ac:dyDescent="0.25">
      <c r="C13" s="447" t="s">
        <v>338</v>
      </c>
      <c r="D13" s="449">
        <f>'Analisis Sectorial'!D41</f>
        <v>14303283</v>
      </c>
      <c r="E13" s="449">
        <f>'Analisis Sectorial'!E41</f>
        <v>16536055</v>
      </c>
      <c r="F13" s="449">
        <f>'Analisis Sectorial'!F41</f>
        <v>22212886</v>
      </c>
      <c r="G13" s="449">
        <f>'Analisis Sectorial'!G41</f>
        <v>23214466</v>
      </c>
      <c r="H13" s="449">
        <f>'Analisis Sectorial'!H41</f>
        <v>26070389</v>
      </c>
    </row>
    <row r="14" spans="2:13" x14ac:dyDescent="0.25">
      <c r="C14" s="447" t="s">
        <v>4085</v>
      </c>
      <c r="D14" s="449">
        <f>'Analisis Sectorial'!D42</f>
        <v>5931749</v>
      </c>
      <c r="E14" s="449">
        <f>'Analisis Sectorial'!E42</f>
        <v>6518191</v>
      </c>
      <c r="F14" s="449">
        <f>'Analisis Sectorial'!F42</f>
        <v>6930147</v>
      </c>
      <c r="G14" s="449">
        <f>'Analisis Sectorial'!G42</f>
        <v>10767190</v>
      </c>
      <c r="H14" s="449">
        <f>'Analisis Sectorial'!H42</f>
        <v>14935617</v>
      </c>
    </row>
    <row r="15" spans="2:13" x14ac:dyDescent="0.25">
      <c r="C15" s="447" t="s">
        <v>4076</v>
      </c>
      <c r="D15" s="449">
        <f>D14+D7</f>
        <v>6487781</v>
      </c>
      <c r="E15" s="449">
        <f t="shared" ref="E15:H15" si="1">E14+E7</f>
        <v>7717036</v>
      </c>
      <c r="F15" s="449">
        <f t="shared" si="1"/>
        <v>8766990</v>
      </c>
      <c r="G15" s="449">
        <f t="shared" si="1"/>
        <v>13408479</v>
      </c>
      <c r="H15" s="449">
        <f t="shared" si="1"/>
        <v>18798711</v>
      </c>
    </row>
    <row r="16" spans="2:13" x14ac:dyDescent="0.25">
      <c r="C16" s="461" t="s">
        <v>4084</v>
      </c>
      <c r="D16" s="462">
        <f>'EF Sempertex 2011-2014 I'!B156-'EF Sempertex 2011-2014 I'!B159</f>
        <v>618804</v>
      </c>
      <c r="E16" s="462">
        <f>'EF Sempertex 2011-2014 I'!C156-'EF Sempertex 2011-2014 I'!C159</f>
        <v>1230135</v>
      </c>
      <c r="F16" s="462">
        <f>'EF Sempertex 2011-2014 I'!D156-'EF Sempertex 2011-2014 I'!D159</f>
        <v>1034178</v>
      </c>
      <c r="G16" s="462">
        <f>'EF Sempertex 2011-2014 I'!E156-'EF Sempertex 2011-2014 I'!E159</f>
        <v>4575013</v>
      </c>
      <c r="H16" s="462">
        <f>'EF Sempertex 2015 I'!B86</f>
        <v>2803822</v>
      </c>
    </row>
    <row r="17" spans="3:8" x14ac:dyDescent="0.25">
      <c r="C17" s="447" t="s">
        <v>454</v>
      </c>
      <c r="D17" s="449">
        <f>'Analisis Sectorial'!D321</f>
        <v>8770336</v>
      </c>
      <c r="E17" s="449">
        <f>'Analisis Sectorial'!E321</f>
        <v>11798478</v>
      </c>
      <c r="F17" s="449">
        <f>'Analisis Sectorial'!F321</f>
        <v>12577959</v>
      </c>
      <c r="G17" s="449">
        <f>'Analisis Sectorial'!G321</f>
        <v>15183446</v>
      </c>
      <c r="H17" s="449">
        <f>'Analisis Sectorial'!H321</f>
        <v>21576342</v>
      </c>
    </row>
    <row r="18" spans="3:8" x14ac:dyDescent="0.25">
      <c r="C18" s="447" t="s">
        <v>4148</v>
      </c>
      <c r="D18" s="449">
        <f>'EF Sempertex 2011-2014 I'!B81</f>
        <v>755566</v>
      </c>
      <c r="E18" s="449">
        <f>'EF Sempertex 2011-2014 I'!C81</f>
        <v>755566</v>
      </c>
      <c r="F18" s="449">
        <f>'EF Sempertex 2011-2014 I'!D81</f>
        <v>755566</v>
      </c>
      <c r="G18" s="449">
        <f>'EF Sempertex 2011-2014 I'!E81</f>
        <v>755566</v>
      </c>
      <c r="H18" s="449">
        <f>'EF Sempertex 2015 I'!B47</f>
        <v>755566</v>
      </c>
    </row>
    <row r="19" spans="3:8" x14ac:dyDescent="0.25">
      <c r="D19" s="449"/>
      <c r="E19" s="449"/>
      <c r="F19" s="449"/>
      <c r="G19" s="449"/>
      <c r="H19" s="449"/>
    </row>
    <row r="20" spans="3:8" x14ac:dyDescent="0.25">
      <c r="C20" s="447" t="s">
        <v>4073</v>
      </c>
      <c r="D20" s="450">
        <f>'Analisis Sectorial'!D177</f>
        <v>0.35286049199926039</v>
      </c>
      <c r="E20" s="450">
        <f>'Analisis Sectorial'!E177</f>
        <v>0.36130111379790758</v>
      </c>
      <c r="F20" s="450">
        <f>'Analisis Sectorial'!F177</f>
        <v>0.36436568232800837</v>
      </c>
      <c r="G20" s="450">
        <f>'Analisis Sectorial'!G177</f>
        <v>0.35022718016218135</v>
      </c>
      <c r="H20" s="450">
        <f>'Analisis Sectorial'!H177</f>
        <v>0.39993543457368314</v>
      </c>
    </row>
    <row r="21" spans="3:8" x14ac:dyDescent="0.25">
      <c r="D21" s="449"/>
      <c r="E21" s="449"/>
      <c r="F21" s="449"/>
      <c r="G21" s="449"/>
      <c r="H21" s="449"/>
    </row>
    <row r="22" spans="3:8" x14ac:dyDescent="0.25">
      <c r="D22" s="449"/>
      <c r="E22" s="449"/>
      <c r="F22" s="449"/>
      <c r="G22" s="449"/>
      <c r="H22" s="449"/>
    </row>
    <row r="23" spans="3:8" x14ac:dyDescent="0.25">
      <c r="C23" s="446" t="s">
        <v>394</v>
      </c>
      <c r="D23" s="452">
        <f t="shared" ref="D23:H24" si="2">D5</f>
        <v>2924283.007382106</v>
      </c>
      <c r="E23" s="452">
        <f t="shared" si="2"/>
        <v>2526337.0385358627</v>
      </c>
      <c r="F23" s="452">
        <f t="shared" si="2"/>
        <v>3059904.8315795898</v>
      </c>
      <c r="G23" s="452">
        <f t="shared" si="2"/>
        <v>8277452.0532770529</v>
      </c>
      <c r="H23" s="452">
        <f t="shared" si="2"/>
        <v>9777860.0729608964</v>
      </c>
    </row>
    <row r="24" spans="3:8" x14ac:dyDescent="0.25">
      <c r="C24" s="451" t="s">
        <v>4074</v>
      </c>
      <c r="D24" s="449">
        <f t="shared" si="2"/>
        <v>556032</v>
      </c>
      <c r="E24" s="449">
        <f t="shared" si="2"/>
        <v>642813</v>
      </c>
      <c r="F24" s="449">
        <f t="shared" si="2"/>
        <v>637998</v>
      </c>
      <c r="G24" s="449">
        <f t="shared" si="2"/>
        <v>804446</v>
      </c>
      <c r="H24" s="449">
        <f t="shared" si="2"/>
        <v>1221805</v>
      </c>
    </row>
    <row r="25" spans="3:8" x14ac:dyDescent="0.25">
      <c r="C25" s="454" t="s">
        <v>4075</v>
      </c>
      <c r="D25" s="455">
        <f t="shared" ref="D25:H25" si="3">D23+D24</f>
        <v>3480315.007382106</v>
      </c>
      <c r="E25" s="455">
        <f t="shared" si="3"/>
        <v>3169150.0385358627</v>
      </c>
      <c r="F25" s="455">
        <f t="shared" si="3"/>
        <v>3697902.8315795898</v>
      </c>
      <c r="G25" s="455">
        <f t="shared" si="3"/>
        <v>9081898.0532770529</v>
      </c>
      <c r="H25" s="455">
        <f t="shared" si="3"/>
        <v>10999665.072960896</v>
      </c>
    </row>
    <row r="26" spans="3:8" x14ac:dyDescent="0.25">
      <c r="C26" s="451" t="s">
        <v>4077</v>
      </c>
      <c r="E26" s="449">
        <f>-(E13-D13)</f>
        <v>-2232772</v>
      </c>
      <c r="F26" s="449">
        <f>-(F13-E13)</f>
        <v>-5676831</v>
      </c>
      <c r="G26" s="449">
        <f>-(G13-F13)</f>
        <v>-1001580</v>
      </c>
      <c r="H26" s="449">
        <f>-(H13-G13)</f>
        <v>-2855923</v>
      </c>
    </row>
    <row r="27" spans="3:8" x14ac:dyDescent="0.25">
      <c r="C27" s="483" t="s">
        <v>4078</v>
      </c>
      <c r="D27" s="515"/>
      <c r="E27" s="459">
        <f>-(E15-D15)</f>
        <v>-1229255</v>
      </c>
      <c r="F27" s="459">
        <f t="shared" ref="F27:H27" si="4">-(F15-E15)</f>
        <v>-1049954</v>
      </c>
      <c r="G27" s="459">
        <f t="shared" si="4"/>
        <v>-4641489</v>
      </c>
      <c r="H27" s="459">
        <f t="shared" si="4"/>
        <v>-5390232</v>
      </c>
    </row>
    <row r="28" spans="3:8" x14ac:dyDescent="0.25">
      <c r="C28" s="456" t="s">
        <v>4079</v>
      </c>
      <c r="D28" s="457"/>
      <c r="E28" s="458">
        <f t="shared" ref="E28:H28" si="5">E25+E26+E27</f>
        <v>-292876.9614641373</v>
      </c>
      <c r="F28" s="458">
        <f t="shared" si="5"/>
        <v>-3028882.1684204102</v>
      </c>
      <c r="G28" s="458">
        <f t="shared" si="5"/>
        <v>3438829.0532770529</v>
      </c>
      <c r="H28" s="458">
        <f t="shared" si="5"/>
        <v>2753510.0729608964</v>
      </c>
    </row>
    <row r="29" spans="3:8" x14ac:dyDescent="0.25">
      <c r="C29" s="451" t="s">
        <v>4080</v>
      </c>
      <c r="D29" s="449">
        <f>-D9*(1-D20)</f>
        <v>-885965.98724282731</v>
      </c>
      <c r="E29" s="449">
        <f>-E9*(1-E20)</f>
        <v>-1501106.4116899939</v>
      </c>
      <c r="F29" s="449">
        <f>-F9*(1-F20)</f>
        <v>-1658958.8452342916</v>
      </c>
      <c r="G29" s="449">
        <f>-G9*(1-G20)</f>
        <v>-1938627.8376270863</v>
      </c>
      <c r="H29" s="449">
        <f>-H9*(1-H20)</f>
        <v>-2487156.7906867326</v>
      </c>
    </row>
    <row r="30" spans="3:8" x14ac:dyDescent="0.25">
      <c r="C30" s="451" t="s">
        <v>4081</v>
      </c>
      <c r="E30" s="453">
        <f t="shared" ref="E30:H30" si="6">E17-D17</f>
        <v>3028142</v>
      </c>
      <c r="F30" s="453">
        <f t="shared" si="6"/>
        <v>779481</v>
      </c>
      <c r="G30" s="453">
        <f t="shared" si="6"/>
        <v>2605487</v>
      </c>
      <c r="H30" s="453">
        <f t="shared" si="6"/>
        <v>6392896</v>
      </c>
    </row>
    <row r="31" spans="3:8" x14ac:dyDescent="0.25">
      <c r="C31" s="456" t="s">
        <v>4082</v>
      </c>
      <c r="D31" s="456"/>
      <c r="E31" s="458">
        <f t="shared" ref="E31:H31" si="7">E28+E29+E30</f>
        <v>1234158.6268458688</v>
      </c>
      <c r="F31" s="458">
        <f t="shared" si="7"/>
        <v>-3908360.0136547014</v>
      </c>
      <c r="G31" s="458">
        <f t="shared" si="7"/>
        <v>4105688.2156499666</v>
      </c>
      <c r="H31" s="458">
        <f t="shared" si="7"/>
        <v>6659249.2822741643</v>
      </c>
    </row>
    <row r="32" spans="3:8" x14ac:dyDescent="0.25">
      <c r="C32" s="451" t="s">
        <v>4149</v>
      </c>
      <c r="D32" s="486">
        <f>-D11</f>
        <v>-616000</v>
      </c>
      <c r="E32" s="486">
        <f t="shared" ref="E32:H32" si="8">-E11</f>
        <v>-826000</v>
      </c>
      <c r="F32" s="486">
        <f t="shared" si="8"/>
        <v>-1255000</v>
      </c>
      <c r="G32" s="486">
        <f t="shared" si="8"/>
        <v>-1960000</v>
      </c>
      <c r="H32" s="486">
        <f t="shared" si="8"/>
        <v>-2520000</v>
      </c>
    </row>
    <row r="33" spans="2:9" x14ac:dyDescent="0.25">
      <c r="C33" s="451" t="s">
        <v>4150</v>
      </c>
      <c r="E33" s="453">
        <f>E18-D18</f>
        <v>0</v>
      </c>
      <c r="F33" s="453">
        <f t="shared" ref="F33:H33" si="9">F18-E18</f>
        <v>0</v>
      </c>
      <c r="G33" s="453">
        <f t="shared" si="9"/>
        <v>0</v>
      </c>
      <c r="H33" s="453">
        <f t="shared" si="9"/>
        <v>0</v>
      </c>
    </row>
    <row r="34" spans="2:9" x14ac:dyDescent="0.25">
      <c r="C34" s="456" t="s">
        <v>4151</v>
      </c>
      <c r="D34" s="456"/>
      <c r="E34" s="458">
        <f>E31+E32+E33</f>
        <v>408158.62684586877</v>
      </c>
      <c r="F34" s="458">
        <f t="shared" ref="F34:H34" si="10">F31+F32+F33</f>
        <v>-5163360.0136547014</v>
      </c>
      <c r="G34" s="458">
        <f t="shared" si="10"/>
        <v>2145688.2156499666</v>
      </c>
      <c r="H34" s="458">
        <f t="shared" si="10"/>
        <v>4139249.2822741643</v>
      </c>
    </row>
    <row r="37" spans="2:9" x14ac:dyDescent="0.25">
      <c r="B37" s="446" t="s">
        <v>333</v>
      </c>
    </row>
    <row r="38" spans="2:9" x14ac:dyDescent="0.25">
      <c r="D38" s="26">
        <v>2011</v>
      </c>
      <c r="E38" s="26">
        <v>2012</v>
      </c>
      <c r="F38" s="26">
        <v>2013</v>
      </c>
      <c r="G38" s="26">
        <v>2014</v>
      </c>
      <c r="H38" s="26">
        <v>2015</v>
      </c>
    </row>
    <row r="40" spans="2:9" x14ac:dyDescent="0.25">
      <c r="C40" s="445" t="s">
        <v>394</v>
      </c>
      <c r="D40" s="448">
        <f>'Analisis Sectorial'!D180</f>
        <v>345393.83999999997</v>
      </c>
      <c r="E40" s="448">
        <f>'Analisis Sectorial'!E180</f>
        <v>513343.70167975087</v>
      </c>
      <c r="F40" s="448">
        <f>'Analisis Sectorial'!F180</f>
        <v>779442.09475927975</v>
      </c>
      <c r="G40" s="448">
        <f>'Analisis Sectorial'!G180</f>
        <v>787085.65298837179</v>
      </c>
      <c r="H40" s="448">
        <f>'Analisis Sectorial'!H180</f>
        <v>440613.98</v>
      </c>
    </row>
    <row r="41" spans="2:9" x14ac:dyDescent="0.25">
      <c r="C41" s="447" t="s">
        <v>4083</v>
      </c>
      <c r="D41" s="459">
        <f>'EF Latex de C 2011-2015'!B115</f>
        <v>0</v>
      </c>
      <c r="E41" s="459">
        <f>'EF Latex de C 2011-2015'!C115</f>
        <v>227233</v>
      </c>
      <c r="F41" s="459">
        <f>'EF Latex de C 2011-2015'!D115</f>
        <v>205826</v>
      </c>
      <c r="G41" s="459">
        <f>'EF Latex de C 2011-2015'!E115</f>
        <v>183028</v>
      </c>
      <c r="H41" s="459">
        <f>'EF Latex de C 2011-2015'!F115</f>
        <v>173729</v>
      </c>
    </row>
    <row r="42" spans="2:9" x14ac:dyDescent="0.25">
      <c r="C42" s="447" t="s">
        <v>4086</v>
      </c>
      <c r="D42" s="459">
        <f>SUM($D$41:D41)</f>
        <v>0</v>
      </c>
      <c r="E42" s="459">
        <f>SUM($D$41:E41)</f>
        <v>227233</v>
      </c>
      <c r="F42" s="459">
        <f>SUM($D$41:F41)</f>
        <v>433059</v>
      </c>
      <c r="G42" s="459">
        <f>SUM($D$41:G41)</f>
        <v>616087</v>
      </c>
      <c r="H42" s="459">
        <f>SUM($D$41:H41)</f>
        <v>789816</v>
      </c>
    </row>
    <row r="43" spans="2:9" x14ac:dyDescent="0.25">
      <c r="C43" s="447" t="s">
        <v>4065</v>
      </c>
      <c r="D43" s="513">
        <f>'Analisis Sectorial'!D310</f>
        <v>1091892</v>
      </c>
      <c r="E43" s="513">
        <f>'Analisis Sectorial'!E310</f>
        <v>869642</v>
      </c>
      <c r="F43" s="513">
        <f>'Analisis Sectorial'!F310</f>
        <v>853777</v>
      </c>
      <c r="G43" s="513">
        <f>'Analisis Sectorial'!G310</f>
        <v>1276379</v>
      </c>
      <c r="H43" s="513">
        <f>'Analisis Sectorial'!H310</f>
        <v>1371672</v>
      </c>
      <c r="I43" s="447" t="s">
        <v>4109</v>
      </c>
    </row>
    <row r="44" spans="2:9" x14ac:dyDescent="0.25">
      <c r="C44" s="447" t="s">
        <v>4107</v>
      </c>
      <c r="D44" s="514">
        <f>D52*D45</f>
        <v>343460.58599999995</v>
      </c>
      <c r="E44" s="514">
        <f t="shared" ref="E44:H44" si="11">E52*E45</f>
        <v>379334.56799999997</v>
      </c>
      <c r="F44" s="514">
        <f t="shared" si="11"/>
        <v>534273.90500000003</v>
      </c>
      <c r="G44" s="514">
        <f t="shared" si="11"/>
        <v>483439.51800000004</v>
      </c>
      <c r="H44" s="514">
        <f t="shared" si="11"/>
        <v>558671.75139999995</v>
      </c>
      <c r="I44" s="447" t="s">
        <v>4110</v>
      </c>
    </row>
    <row r="45" spans="2:9" x14ac:dyDescent="0.25">
      <c r="C45" s="447" t="s">
        <v>4108</v>
      </c>
      <c r="D45" s="472">
        <f>'Analisis Sectorial'!D257</f>
        <v>0.15609999999999999</v>
      </c>
      <c r="E45" s="472">
        <f>'Analisis Sectorial'!E257</f>
        <v>0.19919999999999999</v>
      </c>
      <c r="F45" s="472">
        <f>'Analisis Sectorial'!F257</f>
        <v>0.20749999999999999</v>
      </c>
      <c r="G45" s="472">
        <f>'Analisis Sectorial'!G257</f>
        <v>0.19650000000000001</v>
      </c>
      <c r="H45" s="472">
        <f>'Analisis Sectorial'!H257</f>
        <v>0.19209999999999999</v>
      </c>
      <c r="I45" s="447" t="s">
        <v>4111</v>
      </c>
    </row>
    <row r="46" spans="2:9" x14ac:dyDescent="0.25">
      <c r="C46" s="447" t="s">
        <v>4147</v>
      </c>
      <c r="D46" s="132">
        <f>'EF Latex de C 2011-2015'!B152</f>
        <v>104592</v>
      </c>
      <c r="E46" s="132">
        <f>'EF Latex de C 2011-2015'!C152</f>
        <v>0</v>
      </c>
      <c r="F46" s="132">
        <f>'EF Latex de C 2011-2015'!D152</f>
        <v>0</v>
      </c>
      <c r="G46" s="132">
        <f>'EF Latex de C 2011-2015'!E152</f>
        <v>0</v>
      </c>
      <c r="H46" s="132">
        <f>'EF Latex de C 2011-2015'!F152</f>
        <v>0</v>
      </c>
    </row>
    <row r="47" spans="2:9" x14ac:dyDescent="0.25">
      <c r="D47" s="449"/>
      <c r="E47" s="449"/>
      <c r="F47" s="449"/>
      <c r="G47" s="449"/>
      <c r="H47" s="449"/>
    </row>
    <row r="48" spans="2:9" x14ac:dyDescent="0.25">
      <c r="C48" s="447" t="s">
        <v>338</v>
      </c>
      <c r="D48" s="449">
        <f>'Analisis Sectorial'!D44</f>
        <v>1618498</v>
      </c>
      <c r="E48" s="449">
        <f>'Analisis Sectorial'!E44</f>
        <v>1705751</v>
      </c>
      <c r="F48" s="449">
        <f>'Analisis Sectorial'!F44</f>
        <v>2738645</v>
      </c>
      <c r="G48" s="449">
        <f>'Analisis Sectorial'!G44</f>
        <v>4080046</v>
      </c>
      <c r="H48" s="449">
        <f>'Analisis Sectorial'!H44</f>
        <v>3945845</v>
      </c>
    </row>
    <row r="49" spans="3:8" x14ac:dyDescent="0.25">
      <c r="C49" s="447" t="s">
        <v>4085</v>
      </c>
      <c r="D49" s="449">
        <f>'Analisis Sectorial'!D45</f>
        <v>3340011</v>
      </c>
      <c r="E49" s="449">
        <f>'Analisis Sectorial'!E45</f>
        <v>3215260</v>
      </c>
      <c r="F49" s="449">
        <f>'Analisis Sectorial'!F45</f>
        <v>3175838</v>
      </c>
      <c r="G49" s="449">
        <f>'Analisis Sectorial'!G45</f>
        <v>3178492</v>
      </c>
      <c r="H49" s="449">
        <f>'Analisis Sectorial'!H45</f>
        <v>3261919</v>
      </c>
    </row>
    <row r="50" spans="3:8" x14ac:dyDescent="0.25">
      <c r="C50" s="447" t="s">
        <v>4076</v>
      </c>
      <c r="D50" s="449">
        <f>D49+D42</f>
        <v>3340011</v>
      </c>
      <c r="E50" s="449">
        <f t="shared" ref="E50" si="12">E49+E42</f>
        <v>3442493</v>
      </c>
      <c r="F50" s="449">
        <f t="shared" ref="F50" si="13">F49+F42</f>
        <v>3608897</v>
      </c>
      <c r="G50" s="449">
        <f t="shared" ref="G50" si="14">G49+G42</f>
        <v>3794579</v>
      </c>
      <c r="H50" s="449">
        <f t="shared" ref="H50" si="15">H49+H42</f>
        <v>4051735</v>
      </c>
    </row>
    <row r="51" spans="3:8" x14ac:dyDescent="0.25">
      <c r="C51" s="461" t="s">
        <v>4084</v>
      </c>
      <c r="D51" s="462">
        <f>'EF Latex de C 2011-2015'!B141</f>
        <v>59993</v>
      </c>
      <c r="E51" s="462">
        <f>'EF Latex de C 2011-2015'!C141</f>
        <v>102483</v>
      </c>
      <c r="F51" s="462">
        <f>'EF Latex de C 2011-2015'!D141</f>
        <v>143261</v>
      </c>
      <c r="G51" s="462">
        <f>'EF Latex de C 2011-2015'!E141</f>
        <v>100905</v>
      </c>
      <c r="H51" s="462">
        <f>'EF Latex de C 2011-2015'!F141</f>
        <v>165498</v>
      </c>
    </row>
    <row r="52" spans="3:8" x14ac:dyDescent="0.25">
      <c r="C52" s="447" t="s">
        <v>454</v>
      </c>
      <c r="D52" s="449">
        <f>'Analisis Sectorial'!D324</f>
        <v>2200260</v>
      </c>
      <c r="E52" s="449">
        <f>'Analisis Sectorial'!E324</f>
        <v>1904290</v>
      </c>
      <c r="F52" s="449">
        <f>'Analisis Sectorial'!F324</f>
        <v>2574814</v>
      </c>
      <c r="G52" s="449">
        <f>'Analisis Sectorial'!G324</f>
        <v>2460252</v>
      </c>
      <c r="H52" s="449">
        <f>'Analisis Sectorial'!H324</f>
        <v>2908234</v>
      </c>
    </row>
    <row r="53" spans="3:8" x14ac:dyDescent="0.25">
      <c r="C53" s="447" t="s">
        <v>4148</v>
      </c>
      <c r="D53" s="449">
        <f>'EF Latex de C 2011-2015'!B79</f>
        <v>1000000</v>
      </c>
      <c r="E53" s="449">
        <f>'EF Latex de C 2011-2015'!C79</f>
        <v>1000000</v>
      </c>
      <c r="F53" s="449">
        <f>'EF Latex de C 2011-2015'!D79</f>
        <v>1000000</v>
      </c>
      <c r="G53" s="449">
        <f>'EF Latex de C 2011-2015'!E79</f>
        <v>1635100</v>
      </c>
      <c r="H53" s="449">
        <f>'EF Latex de C 2011-2015'!F79</f>
        <v>1635100</v>
      </c>
    </row>
    <row r="54" spans="3:8" x14ac:dyDescent="0.25">
      <c r="D54" s="449"/>
      <c r="E54" s="449"/>
      <c r="F54" s="449"/>
      <c r="G54" s="449"/>
      <c r="H54" s="449"/>
    </row>
    <row r="55" spans="3:8" x14ac:dyDescent="0.25">
      <c r="C55" s="447" t="s">
        <v>4073</v>
      </c>
      <c r="D55" s="450">
        <f>'Analisis Sectorial'!D182</f>
        <v>0.34</v>
      </c>
      <c r="E55" s="450">
        <f>'Analisis Sectorial'!E182</f>
        <v>0.44309460111398624</v>
      </c>
      <c r="F55" s="450">
        <f>'Analisis Sectorial'!F182</f>
        <v>0.34090195768836035</v>
      </c>
      <c r="G55" s="450">
        <f>'Analisis Sectorial'!G182</f>
        <v>0.34000164940680261</v>
      </c>
      <c r="H55" s="450">
        <f>'Analisis Sectorial'!H182</f>
        <v>0.39</v>
      </c>
    </row>
    <row r="56" spans="3:8" x14ac:dyDescent="0.25">
      <c r="D56" s="449"/>
      <c r="E56" s="449"/>
      <c r="F56" s="449"/>
      <c r="G56" s="449"/>
      <c r="H56" s="449"/>
    </row>
    <row r="57" spans="3:8" x14ac:dyDescent="0.25">
      <c r="D57" s="449"/>
      <c r="E57" s="449"/>
      <c r="F57" s="449"/>
      <c r="G57" s="449"/>
      <c r="H57" s="449"/>
    </row>
    <row r="58" spans="3:8" x14ac:dyDescent="0.25">
      <c r="C58" s="446" t="s">
        <v>394</v>
      </c>
      <c r="D58" s="452">
        <f t="shared" ref="D58:H58" si="16">D40</f>
        <v>345393.83999999997</v>
      </c>
      <c r="E58" s="452">
        <f t="shared" si="16"/>
        <v>513343.70167975087</v>
      </c>
      <c r="F58" s="452">
        <f t="shared" si="16"/>
        <v>779442.09475927975</v>
      </c>
      <c r="G58" s="452">
        <f t="shared" si="16"/>
        <v>787085.65298837179</v>
      </c>
      <c r="H58" s="452">
        <f t="shared" si="16"/>
        <v>440613.98</v>
      </c>
    </row>
    <row r="59" spans="3:8" x14ac:dyDescent="0.25">
      <c r="C59" s="451" t="s">
        <v>4074</v>
      </c>
      <c r="D59" s="449">
        <f t="shared" ref="D59:H59" si="17">D41</f>
        <v>0</v>
      </c>
      <c r="E59" s="449">
        <f t="shared" si="17"/>
        <v>227233</v>
      </c>
      <c r="F59" s="449">
        <f t="shared" si="17"/>
        <v>205826</v>
      </c>
      <c r="G59" s="449">
        <f t="shared" si="17"/>
        <v>183028</v>
      </c>
      <c r="H59" s="449">
        <f t="shared" si="17"/>
        <v>173729</v>
      </c>
    </row>
    <row r="60" spans="3:8" x14ac:dyDescent="0.25">
      <c r="C60" s="454" t="s">
        <v>4075</v>
      </c>
      <c r="D60" s="455">
        <f t="shared" ref="D60:H60" si="18">D58+D59</f>
        <v>345393.83999999997</v>
      </c>
      <c r="E60" s="455">
        <f t="shared" si="18"/>
        <v>740576.70167975081</v>
      </c>
      <c r="F60" s="455">
        <f t="shared" si="18"/>
        <v>985268.09475927975</v>
      </c>
      <c r="G60" s="455">
        <f t="shared" si="18"/>
        <v>970113.65298837179</v>
      </c>
      <c r="H60" s="455">
        <f t="shared" si="18"/>
        <v>614342.98</v>
      </c>
    </row>
    <row r="61" spans="3:8" x14ac:dyDescent="0.25">
      <c r="C61" s="451" t="s">
        <v>4077</v>
      </c>
      <c r="E61" s="449">
        <f>-(E48-D48)</f>
        <v>-87253</v>
      </c>
      <c r="F61" s="449">
        <f>-(F48-E48)</f>
        <v>-1032894</v>
      </c>
      <c r="G61" s="449">
        <f>-(G48-F48)</f>
        <v>-1341401</v>
      </c>
      <c r="H61" s="449">
        <f>-(H48-G48)</f>
        <v>134201</v>
      </c>
    </row>
    <row r="62" spans="3:8" x14ac:dyDescent="0.25">
      <c r="C62" s="483" t="s">
        <v>4078</v>
      </c>
      <c r="D62" s="515"/>
      <c r="E62" s="459">
        <f>-(E50-D50)</f>
        <v>-102482</v>
      </c>
      <c r="F62" s="459">
        <f t="shared" ref="F62:H62" si="19">-(F50-E50)</f>
        <v>-166404</v>
      </c>
      <c r="G62" s="459">
        <f t="shared" si="19"/>
        <v>-185682</v>
      </c>
      <c r="H62" s="459">
        <f t="shared" si="19"/>
        <v>-257156</v>
      </c>
    </row>
    <row r="63" spans="3:8" x14ac:dyDescent="0.25">
      <c r="C63" s="456" t="s">
        <v>4079</v>
      </c>
      <c r="D63" s="457"/>
      <c r="E63" s="458">
        <f t="shared" ref="E63:H63" si="20">E60+E61+E62</f>
        <v>550841.70167975081</v>
      </c>
      <c r="F63" s="458">
        <f t="shared" si="20"/>
        <v>-214029.90524072025</v>
      </c>
      <c r="G63" s="458">
        <f t="shared" si="20"/>
        <v>-556969.34701162821</v>
      </c>
      <c r="H63" s="458">
        <f t="shared" si="20"/>
        <v>491387.98</v>
      </c>
    </row>
    <row r="64" spans="3:8" x14ac:dyDescent="0.25">
      <c r="C64" s="451" t="s">
        <v>4080</v>
      </c>
      <c r="D64" s="449">
        <f>-D44*(1-D55)</f>
        <v>-226683.98675999994</v>
      </c>
      <c r="E64" s="449">
        <f>-E44*(1-E55)</f>
        <v>-211253.46890329369</v>
      </c>
      <c r="F64" s="449">
        <f>-F44*(1-F55)</f>
        <v>-352138.88484369498</v>
      </c>
      <c r="G64" s="449">
        <f>-G44*(1-G55)</f>
        <v>-319069.28449157043</v>
      </c>
      <c r="H64" s="449">
        <f>-H44*(1-H55)</f>
        <v>-340789.76835399994</v>
      </c>
    </row>
    <row r="65" spans="2:8" x14ac:dyDescent="0.25">
      <c r="C65" s="451" t="s">
        <v>4081</v>
      </c>
      <c r="E65" s="453">
        <f t="shared" ref="E65" si="21">E52-D52</f>
        <v>-295970</v>
      </c>
      <c r="F65" s="453">
        <f t="shared" ref="F65" si="22">F52-E52</f>
        <v>670524</v>
      </c>
      <c r="G65" s="453">
        <f t="shared" ref="G65" si="23">G52-F52</f>
        <v>-114562</v>
      </c>
      <c r="H65" s="453">
        <f t="shared" ref="H65" si="24">H52-G52</f>
        <v>447982</v>
      </c>
    </row>
    <row r="66" spans="2:8" x14ac:dyDescent="0.25">
      <c r="C66" s="456" t="s">
        <v>4082</v>
      </c>
      <c r="D66" s="456"/>
      <c r="E66" s="458">
        <f t="shared" ref="E66:H66" si="25">E63+E64+E65</f>
        <v>43618.232776457095</v>
      </c>
      <c r="F66" s="458">
        <f t="shared" si="25"/>
        <v>104355.20991558477</v>
      </c>
      <c r="G66" s="458">
        <f t="shared" si="25"/>
        <v>-990600.63150319865</v>
      </c>
      <c r="H66" s="458">
        <f t="shared" si="25"/>
        <v>598580.21164600004</v>
      </c>
    </row>
    <row r="67" spans="2:8" x14ac:dyDescent="0.25">
      <c r="C67" s="451" t="s">
        <v>4149</v>
      </c>
      <c r="D67" s="486">
        <f>-D46</f>
        <v>-104592</v>
      </c>
      <c r="E67" s="486">
        <f t="shared" ref="E67:H67" si="26">-E46</f>
        <v>0</v>
      </c>
      <c r="F67" s="486">
        <f t="shared" si="26"/>
        <v>0</v>
      </c>
      <c r="G67" s="486">
        <f t="shared" si="26"/>
        <v>0</v>
      </c>
      <c r="H67" s="486">
        <f t="shared" si="26"/>
        <v>0</v>
      </c>
    </row>
    <row r="68" spans="2:8" x14ac:dyDescent="0.25">
      <c r="C68" s="451" t="s">
        <v>4150</v>
      </c>
      <c r="E68" s="453">
        <f>E53-D53</f>
        <v>0</v>
      </c>
      <c r="F68" s="453">
        <f t="shared" ref="F68:H68" si="27">F53-E53</f>
        <v>0</v>
      </c>
      <c r="G68" s="453">
        <f t="shared" si="27"/>
        <v>635100</v>
      </c>
      <c r="H68" s="453">
        <f t="shared" si="27"/>
        <v>0</v>
      </c>
    </row>
    <row r="69" spans="2:8" x14ac:dyDescent="0.25">
      <c r="C69" s="456" t="s">
        <v>4151</v>
      </c>
      <c r="D69" s="456"/>
      <c r="E69" s="458">
        <f>E66+E67+E68</f>
        <v>43618.232776457095</v>
      </c>
      <c r="F69" s="458">
        <f t="shared" ref="F69" si="28">F66+F67+F68</f>
        <v>104355.20991558477</v>
      </c>
      <c r="G69" s="458">
        <f t="shared" ref="G69" si="29">G66+G67+G68</f>
        <v>-355500.63150319865</v>
      </c>
      <c r="H69" s="458">
        <f t="shared" ref="H69" si="30">H66+H67+H68</f>
        <v>598580.21164600004</v>
      </c>
    </row>
    <row r="72" spans="2:8" x14ac:dyDescent="0.25">
      <c r="B72" s="446" t="s">
        <v>334</v>
      </c>
    </row>
    <row r="73" spans="2:8" x14ac:dyDescent="0.25">
      <c r="D73" s="26">
        <v>2011</v>
      </c>
      <c r="E73" s="26">
        <v>2012</v>
      </c>
      <c r="F73" s="26">
        <v>2013</v>
      </c>
      <c r="G73" s="26">
        <v>2014</v>
      </c>
      <c r="H73" s="26">
        <v>2015</v>
      </c>
    </row>
    <row r="75" spans="2:8" x14ac:dyDescent="0.25">
      <c r="C75" s="445" t="s">
        <v>394</v>
      </c>
      <c r="D75" s="448">
        <f>'Analisis Sectorial'!D185</f>
        <v>6823650.3530258769</v>
      </c>
      <c r="E75" s="448">
        <f>'Analisis Sectorial'!E185</f>
        <v>6683249.8511308935</v>
      </c>
      <c r="F75" s="448">
        <f>'Analisis Sectorial'!F185</f>
        <v>8246592.3933129869</v>
      </c>
      <c r="G75" s="448">
        <f>'Analisis Sectorial'!G185</f>
        <v>8852918.0044766888</v>
      </c>
      <c r="H75" s="448">
        <f>'Analisis Sectorial'!H185</f>
        <v>10581184.891627267</v>
      </c>
    </row>
    <row r="76" spans="2:8" x14ac:dyDescent="0.25">
      <c r="C76" s="447" t="s">
        <v>4083</v>
      </c>
      <c r="D76" s="459">
        <f>'EF Bombatex 2011-2015'!B114</f>
        <v>2123398.3190690964</v>
      </c>
      <c r="E76" s="459">
        <f>'EF Bombatex 2011-2015'!C114</f>
        <v>2407348.7621728722</v>
      </c>
      <c r="F76" s="459">
        <f>'EF Bombatex 2011-2015'!D114</f>
        <v>3279189.3260951987</v>
      </c>
      <c r="G76" s="459">
        <f>'EF Bombatex 2011-2015'!E114</f>
        <v>3403585.9176798575</v>
      </c>
      <c r="H76" s="459">
        <f>'EF Bombatex 2011-2015'!F114</f>
        <v>3850940.9184220191</v>
      </c>
    </row>
    <row r="77" spans="2:8" x14ac:dyDescent="0.25">
      <c r="C77" s="447" t="s">
        <v>4086</v>
      </c>
      <c r="D77" s="459">
        <f>SUM($D$76:D76)</f>
        <v>2123398.3190690964</v>
      </c>
      <c r="E77" s="459">
        <f>SUM($D$76:E76)</f>
        <v>4530747.081241969</v>
      </c>
      <c r="F77" s="459">
        <f>SUM($D$76:F76)</f>
        <v>7809936.4073371682</v>
      </c>
      <c r="G77" s="459">
        <f>SUM($D$76:G76)</f>
        <v>11213522.325017026</v>
      </c>
      <c r="H77" s="459">
        <f>SUM($D$76:H76)</f>
        <v>15064463.243439045</v>
      </c>
    </row>
    <row r="78" spans="2:8" x14ac:dyDescent="0.25">
      <c r="C78" s="447" t="s">
        <v>4065</v>
      </c>
      <c r="D78" s="514">
        <f>'Analisis Sectorial'!D314</f>
        <v>1454314.6509308494</v>
      </c>
      <c r="E78" s="514">
        <f>'Analisis Sectorial'!E314</f>
        <v>2598694.419091315</v>
      </c>
      <c r="F78" s="514">
        <f>'Analisis Sectorial'!F314</f>
        <v>2453666.8085424462</v>
      </c>
      <c r="G78" s="514">
        <f>'Analisis Sectorial'!G314</f>
        <v>2172893.980650912</v>
      </c>
      <c r="H78" s="514">
        <f>'Analisis Sectorial'!H314</f>
        <v>8772096.3790163174</v>
      </c>
    </row>
    <row r="79" spans="2:8" x14ac:dyDescent="0.25">
      <c r="C79" s="447" t="s">
        <v>4107</v>
      </c>
      <c r="D79" s="414">
        <f>D87*D80</f>
        <v>1454314.6509308494</v>
      </c>
      <c r="E79" s="414">
        <f t="shared" ref="E79:H79" si="31">E87*E80</f>
        <v>2598694.419091315</v>
      </c>
      <c r="F79" s="414">
        <f t="shared" si="31"/>
        <v>2453666.8085424462</v>
      </c>
      <c r="G79" s="414">
        <f t="shared" si="31"/>
        <v>2172893.980650912</v>
      </c>
      <c r="H79" s="414">
        <f t="shared" si="31"/>
        <v>8772096.3790163174</v>
      </c>
    </row>
    <row r="80" spans="2:8" x14ac:dyDescent="0.25">
      <c r="C80" s="447" t="s">
        <v>4108</v>
      </c>
      <c r="D80" s="472">
        <f>'Analisis Sectorial'!D266</f>
        <v>8.8008813385281534E-2</v>
      </c>
      <c r="E80" s="472">
        <f>'Analisis Sectorial'!E266</f>
        <v>9.0080587225416328E-2</v>
      </c>
      <c r="F80" s="472">
        <f>'Analisis Sectorial'!F266</f>
        <v>9.6838722391873397E-2</v>
      </c>
      <c r="G80" s="472">
        <f>'Analisis Sectorial'!G266</f>
        <v>4.665444407660909E-2</v>
      </c>
      <c r="H80" s="472">
        <f>'Analisis Sectorial'!H266</f>
        <v>0.22425427649783966</v>
      </c>
    </row>
    <row r="81" spans="3:8" x14ac:dyDescent="0.25">
      <c r="C81" s="447" t="s">
        <v>4147</v>
      </c>
      <c r="D81" s="132">
        <f>'EF Bombatex 2011-2015'!B152</f>
        <v>3293402.501527295</v>
      </c>
      <c r="E81" s="132">
        <f>'EF Bombatex 2011-2015'!C152</f>
        <v>10644228.297164697</v>
      </c>
      <c r="F81" s="132">
        <f>'EF Bombatex 2011-2015'!D152</f>
        <v>5804313.343720817</v>
      </c>
      <c r="G81" s="132">
        <f>'EF Bombatex 2011-2015'!E152</f>
        <v>0</v>
      </c>
      <c r="H81" s="132">
        <f>'EF Bombatex 2011-2015'!F152</f>
        <v>0</v>
      </c>
    </row>
    <row r="82" spans="3:8" x14ac:dyDescent="0.25">
      <c r="D82" s="449"/>
      <c r="E82" s="449"/>
      <c r="F82" s="449"/>
      <c r="G82" s="449"/>
      <c r="H82" s="449"/>
    </row>
    <row r="83" spans="3:8" x14ac:dyDescent="0.25">
      <c r="C83" s="447" t="s">
        <v>338</v>
      </c>
      <c r="D83" s="449">
        <f>'Analisis Sectorial'!D47</f>
        <v>16659923.492245682</v>
      </c>
      <c r="E83" s="449">
        <f>'Analisis Sectorial'!E47</f>
        <v>25619546.128614984</v>
      </c>
      <c r="F83" s="449">
        <f>'Analisis Sectorial'!F47</f>
        <v>10382662.040038787</v>
      </c>
      <c r="G83" s="449">
        <f>'Analisis Sectorial'!G47</f>
        <v>16901187.449222445</v>
      </c>
      <c r="H83" s="449">
        <f>'Analisis Sectorial'!H47</f>
        <v>45831354.68396309</v>
      </c>
    </row>
    <row r="84" spans="3:8" x14ac:dyDescent="0.25">
      <c r="C84" s="447" t="s">
        <v>4085</v>
      </c>
      <c r="D84" s="449">
        <f>'Analisis Sectorial'!D48</f>
        <v>21085339.673176438</v>
      </c>
      <c r="E84" s="449">
        <f>'Analisis Sectorial'!E48</f>
        <v>28362626.37390196</v>
      </c>
      <c r="F84" s="449">
        <f>'Analisis Sectorial'!F48</f>
        <v>38567670.680870257</v>
      </c>
      <c r="G84" s="449">
        <f>'Analisis Sectorial'!G48</f>
        <v>57233185.930178471</v>
      </c>
      <c r="H84" s="449">
        <f>'Analisis Sectorial'!H48</f>
        <v>57981302.993423164</v>
      </c>
    </row>
    <row r="85" spans="3:8" x14ac:dyDescent="0.25">
      <c r="C85" s="447" t="s">
        <v>4076</v>
      </c>
      <c r="D85" s="449">
        <f>D84+D77</f>
        <v>23208737.992245533</v>
      </c>
      <c r="E85" s="449">
        <f t="shared" ref="E85" si="32">E84+E77</f>
        <v>32893373.455143929</v>
      </c>
      <c r="F85" s="449">
        <f t="shared" ref="F85" si="33">F84+F77</f>
        <v>46377607.088207424</v>
      </c>
      <c r="G85" s="449">
        <f t="shared" ref="G85" si="34">G84+G77</f>
        <v>68446708.255195498</v>
      </c>
      <c r="H85" s="449">
        <f t="shared" ref="H85" si="35">H84+H77</f>
        <v>73045766.236862212</v>
      </c>
    </row>
    <row r="86" spans="3:8" x14ac:dyDescent="0.25">
      <c r="C86" s="461" t="s">
        <v>4084</v>
      </c>
      <c r="D86" s="462">
        <f>'EF Bombatex 2011-2015'!B142-'EF Bombatex 2011-2015'!B144</f>
        <v>4664676.5184633527</v>
      </c>
      <c r="E86" s="462">
        <f>'EF Bombatex 2011-2015'!C142-'EF Bombatex 2011-2015'!C144</f>
        <v>1649651.8934607292</v>
      </c>
      <c r="F86" s="462">
        <f>'EF Bombatex 2011-2015'!D142-'EF Bombatex 2011-2015'!D144</f>
        <v>11072861.978725374</v>
      </c>
      <c r="G86" s="462">
        <f>'EF Bombatex 2011-2015'!E142-'EF Bombatex 2011-2015'!E144</f>
        <v>0</v>
      </c>
      <c r="H86" s="462">
        <f>'EF Bombatex 2011-2015'!F142-'EF Bombatex 2011-2015'!F144</f>
        <v>6260794.2049001055</v>
      </c>
    </row>
    <row r="87" spans="3:8" x14ac:dyDescent="0.25">
      <c r="C87" s="447" t="s">
        <v>454</v>
      </c>
      <c r="D87" s="449">
        <f>'Analisis Sectorial'!D327</f>
        <v>16524647.87321024</v>
      </c>
      <c r="E87" s="449">
        <f>'Analisis Sectorial'!E327</f>
        <v>28848551.048944436</v>
      </c>
      <c r="F87" s="449">
        <f>'Analisis Sectorial'!F327</f>
        <v>25337661.918063011</v>
      </c>
      <c r="G87" s="449">
        <f>'Analisis Sectorial'!G327</f>
        <v>46574212.246166818</v>
      </c>
      <c r="H87" s="449">
        <f>'Analisis Sectorial'!H327</f>
        <v>39116740.674957976</v>
      </c>
    </row>
    <row r="88" spans="3:8" x14ac:dyDescent="0.25">
      <c r="C88" s="447" t="s">
        <v>4148</v>
      </c>
      <c r="D88" s="449">
        <f>'EF Bombatex 2011-2015'!B81</f>
        <v>7826638.4537975714</v>
      </c>
      <c r="E88" s="449">
        <f>'EF Bombatex 2011-2015'!C81</f>
        <v>18470866.750962269</v>
      </c>
      <c r="F88" s="449">
        <f>'EF Bombatex 2011-2015'!D81</f>
        <v>18470866.750962269</v>
      </c>
      <c r="G88" s="449">
        <f>'EF Bombatex 2011-2015'!E81</f>
        <v>22384185.977861054</v>
      </c>
      <c r="H88" s="449">
        <f>'EF Bombatex 2011-2015'!F81</f>
        <v>22384185.977861054</v>
      </c>
    </row>
    <row r="89" spans="3:8" x14ac:dyDescent="0.25">
      <c r="D89" s="449"/>
      <c r="E89" s="449"/>
      <c r="F89" s="449"/>
      <c r="G89" s="449"/>
      <c r="H89" s="449"/>
    </row>
    <row r="90" spans="3:8" x14ac:dyDescent="0.25">
      <c r="C90" s="447" t="s">
        <v>4073</v>
      </c>
      <c r="D90" s="450">
        <f>'Analisis Sectorial'!D187</f>
        <v>0.34</v>
      </c>
      <c r="E90" s="450">
        <f>'Analisis Sectorial'!E187</f>
        <v>0.34</v>
      </c>
      <c r="F90" s="450">
        <f>'Analisis Sectorial'!F187</f>
        <v>0.34</v>
      </c>
      <c r="G90" s="450">
        <f>'Analisis Sectorial'!G187</f>
        <v>0.34</v>
      </c>
      <c r="H90" s="450">
        <f>'Analisis Sectorial'!H187</f>
        <v>0.42020802111182637</v>
      </c>
    </row>
    <row r="91" spans="3:8" x14ac:dyDescent="0.25">
      <c r="D91" s="449"/>
      <c r="E91" s="449"/>
      <c r="F91" s="449"/>
      <c r="G91" s="449"/>
      <c r="H91" s="449"/>
    </row>
    <row r="92" spans="3:8" x14ac:dyDescent="0.25">
      <c r="D92" s="449"/>
      <c r="E92" s="449"/>
      <c r="F92" s="449"/>
      <c r="G92" s="449"/>
      <c r="H92" s="449"/>
    </row>
    <row r="93" spans="3:8" x14ac:dyDescent="0.25">
      <c r="C93" s="446" t="s">
        <v>394</v>
      </c>
      <c r="D93" s="452">
        <f t="shared" ref="D93:H93" si="36">D75</f>
        <v>6823650.3530258769</v>
      </c>
      <c r="E93" s="452">
        <f t="shared" si="36"/>
        <v>6683249.8511308935</v>
      </c>
      <c r="F93" s="452">
        <f t="shared" si="36"/>
        <v>8246592.3933129869</v>
      </c>
      <c r="G93" s="452">
        <f t="shared" si="36"/>
        <v>8852918.0044766888</v>
      </c>
      <c r="H93" s="452">
        <f t="shared" si="36"/>
        <v>10581184.891627267</v>
      </c>
    </row>
    <row r="94" spans="3:8" x14ac:dyDescent="0.25">
      <c r="C94" s="451" t="s">
        <v>4074</v>
      </c>
      <c r="D94" s="449">
        <f t="shared" ref="D94:H94" si="37">D76</f>
        <v>2123398.3190690964</v>
      </c>
      <c r="E94" s="449">
        <f t="shared" si="37"/>
        <v>2407348.7621728722</v>
      </c>
      <c r="F94" s="449">
        <f t="shared" si="37"/>
        <v>3279189.3260951987</v>
      </c>
      <c r="G94" s="449">
        <f t="shared" si="37"/>
        <v>3403585.9176798575</v>
      </c>
      <c r="H94" s="449">
        <f t="shared" si="37"/>
        <v>3850940.9184220191</v>
      </c>
    </row>
    <row r="95" spans="3:8" x14ac:dyDescent="0.25">
      <c r="C95" s="454" t="s">
        <v>4075</v>
      </c>
      <c r="D95" s="455">
        <f t="shared" ref="D95:H95" si="38">D93+D94</f>
        <v>8947048.6720949728</v>
      </c>
      <c r="E95" s="455">
        <f t="shared" si="38"/>
        <v>9090598.6133037657</v>
      </c>
      <c r="F95" s="455">
        <f t="shared" si="38"/>
        <v>11525781.719408186</v>
      </c>
      <c r="G95" s="455">
        <f t="shared" si="38"/>
        <v>12256503.922156546</v>
      </c>
      <c r="H95" s="455">
        <f t="shared" si="38"/>
        <v>14432125.810049286</v>
      </c>
    </row>
    <row r="96" spans="3:8" x14ac:dyDescent="0.25">
      <c r="C96" s="451" t="s">
        <v>4077</v>
      </c>
      <c r="E96" s="449">
        <f>-(E83-D83)</f>
        <v>-8959622.6363693029</v>
      </c>
      <c r="F96" s="449">
        <f>-(F83-E83)</f>
        <v>15236884.088576198</v>
      </c>
      <c r="G96" s="449">
        <f>-(G83-F83)</f>
        <v>-6518525.4091836587</v>
      </c>
      <c r="H96" s="449">
        <f>-(H83-G83)</f>
        <v>-28930167.234740645</v>
      </c>
    </row>
    <row r="97" spans="3:8" x14ac:dyDescent="0.25">
      <c r="C97" s="483" t="s">
        <v>4078</v>
      </c>
      <c r="D97" s="515"/>
      <c r="E97" s="459">
        <f>-(E85-D85)</f>
        <v>-9684635.462898396</v>
      </c>
      <c r="F97" s="459">
        <f t="shared" ref="F97:H97" si="39">-(F85-E85)</f>
        <v>-13484233.633063495</v>
      </c>
      <c r="G97" s="459">
        <f t="shared" si="39"/>
        <v>-22069101.166988075</v>
      </c>
      <c r="H97" s="459">
        <f t="shared" si="39"/>
        <v>-4599057.981666714</v>
      </c>
    </row>
    <row r="98" spans="3:8" x14ac:dyDescent="0.25">
      <c r="C98" s="456" t="s">
        <v>4079</v>
      </c>
      <c r="D98" s="457"/>
      <c r="E98" s="458">
        <f t="shared" ref="E98:H98" si="40">E95+E96+E97</f>
        <v>-9553659.4859639332</v>
      </c>
      <c r="F98" s="458">
        <f t="shared" si="40"/>
        <v>13278432.174920887</v>
      </c>
      <c r="G98" s="458">
        <f t="shared" si="40"/>
        <v>-16331122.654015187</v>
      </c>
      <c r="H98" s="458">
        <f t="shared" si="40"/>
        <v>-19097099.406358071</v>
      </c>
    </row>
    <row r="99" spans="3:8" x14ac:dyDescent="0.25">
      <c r="C99" s="451" t="s">
        <v>4080</v>
      </c>
      <c r="D99" s="449">
        <f>-D79*(1-D90)</f>
        <v>-959847.66961436043</v>
      </c>
      <c r="E99" s="449">
        <f t="shared" ref="E99:H99" si="41">-E79*(1-E90)</f>
        <v>-1715138.3166002678</v>
      </c>
      <c r="F99" s="449">
        <f t="shared" si="41"/>
        <v>-1619420.0936380143</v>
      </c>
      <c r="G99" s="449">
        <f t="shared" si="41"/>
        <v>-1434110.0272296018</v>
      </c>
      <c r="H99" s="449">
        <f t="shared" si="41"/>
        <v>-5085991.1185876522</v>
      </c>
    </row>
    <row r="100" spans="3:8" x14ac:dyDescent="0.25">
      <c r="C100" s="451" t="s">
        <v>4081</v>
      </c>
      <c r="E100" s="453">
        <f t="shared" ref="E100" si="42">E87-D87</f>
        <v>12323903.175734196</v>
      </c>
      <c r="F100" s="453">
        <f t="shared" ref="F100" si="43">F87-E87</f>
        <v>-3510889.130881425</v>
      </c>
      <c r="G100" s="453">
        <f t="shared" ref="G100" si="44">G87-F87</f>
        <v>21236550.328103807</v>
      </c>
      <c r="H100" s="453">
        <f t="shared" ref="H100" si="45">H87-G87</f>
        <v>-7457471.5712088421</v>
      </c>
    </row>
    <row r="101" spans="3:8" x14ac:dyDescent="0.25">
      <c r="C101" s="456" t="s">
        <v>4082</v>
      </c>
      <c r="D101" s="456"/>
      <c r="E101" s="458">
        <f t="shared" ref="E101:H101" si="46">E98+E99+E100</f>
        <v>1055105.3731699958</v>
      </c>
      <c r="F101" s="458">
        <f t="shared" si="46"/>
        <v>8148122.9504014477</v>
      </c>
      <c r="G101" s="458">
        <f t="shared" si="46"/>
        <v>3471317.6468590163</v>
      </c>
      <c r="H101" s="458">
        <f t="shared" si="46"/>
        <v>-31640562.096154563</v>
      </c>
    </row>
    <row r="102" spans="3:8" x14ac:dyDescent="0.25">
      <c r="C102" s="451" t="s">
        <v>4149</v>
      </c>
      <c r="D102" s="486">
        <f>-D81</f>
        <v>-3293402.501527295</v>
      </c>
      <c r="E102" s="486">
        <f t="shared" ref="E102:H102" si="47">-E81</f>
        <v>-10644228.297164697</v>
      </c>
      <c r="F102" s="486">
        <f t="shared" si="47"/>
        <v>-5804313.343720817</v>
      </c>
      <c r="G102" s="486">
        <f t="shared" si="47"/>
        <v>0</v>
      </c>
      <c r="H102" s="486">
        <f t="shared" si="47"/>
        <v>0</v>
      </c>
    </row>
    <row r="103" spans="3:8" x14ac:dyDescent="0.25">
      <c r="C103" s="483" t="s">
        <v>4150</v>
      </c>
      <c r="D103" s="515"/>
      <c r="E103" s="516">
        <f>E88-D88</f>
        <v>10644228.297164697</v>
      </c>
      <c r="F103" s="516">
        <f t="shared" ref="F103:H103" si="48">F88-E88</f>
        <v>0</v>
      </c>
      <c r="G103" s="516">
        <f t="shared" si="48"/>
        <v>3913319.2268987857</v>
      </c>
      <c r="H103" s="516">
        <f t="shared" si="48"/>
        <v>0</v>
      </c>
    </row>
    <row r="104" spans="3:8" x14ac:dyDescent="0.25">
      <c r="C104" s="456" t="s">
        <v>4151</v>
      </c>
      <c r="D104" s="456"/>
      <c r="E104" s="458">
        <f>E101+E102+E103</f>
        <v>1055105.3731699958</v>
      </c>
      <c r="F104" s="458">
        <f t="shared" ref="F104" si="49">F101+F102+F103</f>
        <v>2343809.6066806307</v>
      </c>
      <c r="G104" s="458">
        <f t="shared" ref="G104" si="50">G101+G102+G103</f>
        <v>7384636.8737578019</v>
      </c>
      <c r="H104" s="458">
        <f t="shared" ref="H104" si="51">H101+H102+H103</f>
        <v>-31640562.096154563</v>
      </c>
    </row>
  </sheetData>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115"/>
  <sheetViews>
    <sheetView showGridLines="0" workbookViewId="0">
      <selection activeCell="D29" sqref="D29"/>
    </sheetView>
  </sheetViews>
  <sheetFormatPr baseColWidth="10" defaultRowHeight="15" x14ac:dyDescent="0.25"/>
  <cols>
    <col min="1" max="2" width="3.625" customWidth="1"/>
    <col min="3" max="3" width="23.75" bestFit="1" customWidth="1"/>
    <col min="5" max="5" width="12.625" bestFit="1" customWidth="1"/>
    <col min="10" max="10" width="13.125" customWidth="1"/>
    <col min="12" max="12" width="3.625" customWidth="1"/>
    <col min="13" max="13" width="13.125" customWidth="1"/>
    <col min="15" max="15" width="3.625" customWidth="1"/>
    <col min="16" max="16" width="13.125" customWidth="1"/>
    <col min="18" max="18" width="3.625" customWidth="1"/>
    <col min="19" max="19" width="13.125" customWidth="1"/>
  </cols>
  <sheetData>
    <row r="2" spans="3:20" x14ac:dyDescent="0.25">
      <c r="C2" t="s">
        <v>4135</v>
      </c>
    </row>
    <row r="3" spans="3:20" x14ac:dyDescent="0.25">
      <c r="C3" t="s">
        <v>4145</v>
      </c>
    </row>
    <row r="4" spans="3:20" x14ac:dyDescent="0.25">
      <c r="C4" t="s">
        <v>4146</v>
      </c>
    </row>
    <row r="5" spans="3:20" x14ac:dyDescent="0.25">
      <c r="J5" s="482"/>
      <c r="K5" s="485" t="s">
        <v>400</v>
      </c>
      <c r="M5" s="482"/>
      <c r="N5" s="485" t="s">
        <v>4141</v>
      </c>
      <c r="P5" s="482"/>
      <c r="Q5" s="485" t="s">
        <v>4070</v>
      </c>
      <c r="S5" s="482"/>
      <c r="T5" s="485" t="s">
        <v>4144</v>
      </c>
    </row>
    <row r="6" spans="3:20" x14ac:dyDescent="0.25">
      <c r="C6" t="s">
        <v>4073</v>
      </c>
      <c r="D6" s="156">
        <f>D51/D50</f>
        <v>0.39993543457368314</v>
      </c>
      <c r="J6" t="s">
        <v>4142</v>
      </c>
      <c r="K6" s="156">
        <f>E82</f>
        <v>0.21799778236332737</v>
      </c>
      <c r="M6" t="s">
        <v>4142</v>
      </c>
      <c r="N6" s="156">
        <f>E91</f>
        <v>-2.0451679721833926E-2</v>
      </c>
      <c r="P6" t="s">
        <v>4142</v>
      </c>
      <c r="Q6" s="68">
        <f>E93</f>
        <v>5133042.8856033254</v>
      </c>
      <c r="T6" s="484">
        <f>E115</f>
        <v>1515285.4344008979</v>
      </c>
    </row>
    <row r="7" spans="3:20" x14ac:dyDescent="0.25">
      <c r="C7" t="s">
        <v>4102</v>
      </c>
      <c r="D7" s="156">
        <f>CERTIFICADO1!E330</f>
        <v>0.19209999999999999</v>
      </c>
      <c r="E7" s="156">
        <f>D7</f>
        <v>0.19209999999999999</v>
      </c>
      <c r="F7" t="s">
        <v>4127</v>
      </c>
      <c r="J7" s="479">
        <v>-0.4</v>
      </c>
      <c r="K7" s="81">
        <f t="dataTable" ref="K7:K11" dt2D="0" dtr="0" r1="D12" ca="1"/>
        <v>0.23608950189495326</v>
      </c>
      <c r="M7" s="479">
        <v>-0.4</v>
      </c>
      <c r="N7" s="81">
        <f t="dataTable" ref="N7:N11" dt2D="0" dtr="0" r1="D12"/>
        <v>-2.359960190208038E-3</v>
      </c>
      <c r="P7" s="479">
        <v>-0.4</v>
      </c>
      <c r="Q7" s="68">
        <f t="dataTable" ref="Q7:Q11" dt2D="0" dtr="0" r1="D12" ca="1"/>
        <v>5141797.4257232454</v>
      </c>
      <c r="S7" s="479">
        <v>-0.4</v>
      </c>
      <c r="T7" s="484">
        <f t="dataTable" ref="T7:T11" dt2D="0" dtr="0" r1="D12" ca="1"/>
        <v>-1971019.9059591042</v>
      </c>
    </row>
    <row r="8" spans="3:20" x14ac:dyDescent="0.25">
      <c r="C8" t="s">
        <v>4103</v>
      </c>
      <c r="D8" s="156">
        <f>'Analisis Sectorial'!H203</f>
        <v>0.11201556632833577</v>
      </c>
      <c r="E8" s="156">
        <f>D8</f>
        <v>0.11201556632833577</v>
      </c>
      <c r="F8" t="s">
        <v>4128</v>
      </c>
      <c r="J8" s="479">
        <v>-0.2</v>
      </c>
      <c r="K8" s="81">
        <v>0.21799778236332737</v>
      </c>
      <c r="M8" s="479">
        <v>-0.2</v>
      </c>
      <c r="N8" s="81">
        <v>-2.0451679721833926E-2</v>
      </c>
      <c r="P8" s="479">
        <v>-0.2</v>
      </c>
      <c r="Q8" s="68">
        <v>5133042.8856033254</v>
      </c>
      <c r="S8" s="479">
        <v>-0.2</v>
      </c>
      <c r="T8" s="484">
        <v>1515285.4344008979</v>
      </c>
    </row>
    <row r="9" spans="3:20" x14ac:dyDescent="0.25">
      <c r="C9" t="s">
        <v>4071</v>
      </c>
      <c r="D9" s="156">
        <f>D7*(1-D6)*D10+D8*D11</f>
        <v>0.11344757647175389</v>
      </c>
      <c r="E9" s="156">
        <f>E7*(1-D6)*E10+E8*E11</f>
        <v>0.11327163116928704</v>
      </c>
      <c r="J9" s="479">
        <v>0</v>
      </c>
      <c r="K9" s="81">
        <v>0.19990606283170154</v>
      </c>
      <c r="M9" s="479">
        <v>0</v>
      </c>
      <c r="N9" s="81">
        <v>-3.8543399253459759E-2</v>
      </c>
      <c r="P9" s="479">
        <v>0</v>
      </c>
      <c r="Q9" s="68">
        <v>5125828.0714746974</v>
      </c>
      <c r="S9" s="479">
        <v>0</v>
      </c>
      <c r="T9" s="484">
        <v>5001590.7747608963</v>
      </c>
    </row>
    <row r="10" spans="3:20" x14ac:dyDescent="0.25">
      <c r="C10" s="65" t="s">
        <v>4129</v>
      </c>
      <c r="D10" s="81">
        <f>(D30+D31)/(D30+D31+D33)</f>
        <v>0.43969356762308964</v>
      </c>
      <c r="E10" s="81">
        <f>(E30+E31)/(E30+E31+E33)</f>
        <v>0.38567019488110477</v>
      </c>
      <c r="J10" s="479">
        <v>0.2</v>
      </c>
      <c r="K10" s="81">
        <v>0.18181434330007551</v>
      </c>
      <c r="M10" s="479">
        <v>0.2</v>
      </c>
      <c r="N10" s="81">
        <v>-5.6635118785085786E-2</v>
      </c>
      <c r="P10" s="479">
        <v>0.2</v>
      </c>
      <c r="Q10" s="68">
        <v>5119779.6125182929</v>
      </c>
      <c r="S10" s="479">
        <v>0.2</v>
      </c>
      <c r="T10" s="484">
        <v>8487896.1151208952</v>
      </c>
    </row>
    <row r="11" spans="3:20" x14ac:dyDescent="0.25">
      <c r="C11" s="65" t="s">
        <v>4130</v>
      </c>
      <c r="D11" s="81">
        <f>(D33)/(D30+D31+D33)</f>
        <v>0.56030643237691036</v>
      </c>
      <c r="E11" s="81">
        <f>(E33)/(E30+E31+E33)</f>
        <v>0.61432980511889523</v>
      </c>
      <c r="J11" s="479">
        <v>0.4</v>
      </c>
      <c r="K11" s="81">
        <v>0.16372262376844962</v>
      </c>
      <c r="M11" s="479">
        <v>0.4</v>
      </c>
      <c r="N11" s="81">
        <v>-7.4726838316711675E-2</v>
      </c>
      <c r="P11" s="479">
        <v>0.4</v>
      </c>
      <c r="Q11" s="68">
        <v>5114635.8289765147</v>
      </c>
      <c r="S11" s="479">
        <v>0.4</v>
      </c>
      <c r="T11" s="484">
        <v>11974201.455480894</v>
      </c>
    </row>
    <row r="12" spans="3:20" x14ac:dyDescent="0.25">
      <c r="C12" t="s">
        <v>4133</v>
      </c>
      <c r="D12" s="480">
        <v>-0.2</v>
      </c>
    </row>
    <row r="17" spans="2:5" x14ac:dyDescent="0.25">
      <c r="D17" s="26">
        <v>2015</v>
      </c>
      <c r="E17" s="26" t="s">
        <v>4134</v>
      </c>
    </row>
    <row r="19" spans="2:5" x14ac:dyDescent="0.25">
      <c r="B19" s="473" t="s">
        <v>4116</v>
      </c>
      <c r="C19" s="477"/>
      <c r="D19" s="477"/>
      <c r="E19" s="477"/>
    </row>
    <row r="20" spans="2:5" x14ac:dyDescent="0.25">
      <c r="C20" s="172" t="s">
        <v>4124</v>
      </c>
      <c r="D20" s="478">
        <f>'Analisis Sectorial'!H23</f>
        <v>9879131</v>
      </c>
      <c r="E20" s="478">
        <f>D20</f>
        <v>9879131</v>
      </c>
    </row>
    <row r="21" spans="2:5" x14ac:dyDescent="0.25">
      <c r="C21" s="172" t="s">
        <v>379</v>
      </c>
      <c r="D21" s="478">
        <f>D22+D27</f>
        <v>41006006</v>
      </c>
      <c r="E21" s="478">
        <f>E22+E27</f>
        <v>41006006</v>
      </c>
    </row>
    <row r="22" spans="2:5" x14ac:dyDescent="0.25">
      <c r="C22" s="143" t="s">
        <v>338</v>
      </c>
      <c r="D22" s="69">
        <f>(D23-D24)-(D25-D26)</f>
        <v>26070389</v>
      </c>
      <c r="E22" s="69">
        <f>(E23-E24)-(E25-E26)</f>
        <v>26070389</v>
      </c>
    </row>
    <row r="23" spans="2:5" x14ac:dyDescent="0.25">
      <c r="C23" s="145" t="s">
        <v>339</v>
      </c>
      <c r="D23" s="68">
        <f>'Analisis Sectorial'!H22</f>
        <v>58269458</v>
      </c>
      <c r="E23" s="68">
        <f>D23</f>
        <v>58269458</v>
      </c>
    </row>
    <row r="24" spans="2:5" x14ac:dyDescent="0.25">
      <c r="C24" s="145" t="s">
        <v>340</v>
      </c>
      <c r="D24" s="68">
        <f>'Analisis Sectorial'!H23</f>
        <v>9879131</v>
      </c>
      <c r="E24" s="68">
        <f t="shared" ref="E24:E26" si="0">D24</f>
        <v>9879131</v>
      </c>
    </row>
    <row r="25" spans="2:5" x14ac:dyDescent="0.25">
      <c r="C25" s="145" t="s">
        <v>341</v>
      </c>
      <c r="D25" s="68">
        <f>'Analisis Sectorial'!H24</f>
        <v>35723189</v>
      </c>
      <c r="E25" s="68">
        <f t="shared" si="0"/>
        <v>35723189</v>
      </c>
    </row>
    <row r="26" spans="2:5" x14ac:dyDescent="0.25">
      <c r="C26" s="145" t="s">
        <v>342</v>
      </c>
      <c r="D26" s="68">
        <f>'Analisis Sectorial'!H25</f>
        <v>13403251</v>
      </c>
      <c r="E26" s="68">
        <f t="shared" si="0"/>
        <v>13403251</v>
      </c>
    </row>
    <row r="27" spans="2:5" x14ac:dyDescent="0.25">
      <c r="C27" s="143" t="s">
        <v>4085</v>
      </c>
      <c r="D27" s="69">
        <f>D28</f>
        <v>14935617</v>
      </c>
      <c r="E27" s="69">
        <f>E28</f>
        <v>14935617</v>
      </c>
    </row>
    <row r="28" spans="2:5" x14ac:dyDescent="0.25">
      <c r="C28" s="147" t="s">
        <v>345</v>
      </c>
      <c r="D28" s="68">
        <f>'Analisis Sectorial'!H42</f>
        <v>14935617</v>
      </c>
      <c r="E28" s="68">
        <f>D28</f>
        <v>14935617</v>
      </c>
    </row>
    <row r="29" spans="2:5" x14ac:dyDescent="0.25">
      <c r="C29" s="172" t="s">
        <v>4117</v>
      </c>
      <c r="D29" s="478">
        <f>D30+D31+D32</f>
        <v>23390163</v>
      </c>
      <c r="E29" s="478">
        <f>E30+E31+E32</f>
        <v>19074894.600000001</v>
      </c>
    </row>
    <row r="30" spans="2:5" x14ac:dyDescent="0.25">
      <c r="C30" s="145" t="s">
        <v>342</v>
      </c>
      <c r="D30" s="68">
        <f>D26</f>
        <v>13403251</v>
      </c>
      <c r="E30" s="68">
        <f>D30*(1+$D$12)</f>
        <v>10722600.800000001</v>
      </c>
    </row>
    <row r="31" spans="2:5" x14ac:dyDescent="0.25">
      <c r="C31" s="145" t="s">
        <v>4118</v>
      </c>
      <c r="D31" s="68">
        <f>'Analisis Sectorial'!H321-'Ejercicio Deuda'!D30</f>
        <v>8173091</v>
      </c>
      <c r="E31" s="68">
        <f>D31*(1+$D$12)</f>
        <v>6538472.8000000007</v>
      </c>
    </row>
    <row r="32" spans="2:5" x14ac:dyDescent="0.25">
      <c r="C32" s="145" t="s">
        <v>4120</v>
      </c>
      <c r="D32" s="68">
        <f>'EF Sempertex 2015 I'!B43</f>
        <v>1813821</v>
      </c>
      <c r="E32" s="68">
        <f t="shared" ref="E32" si="1">D32</f>
        <v>1813821</v>
      </c>
    </row>
    <row r="33" spans="2:6" x14ac:dyDescent="0.25">
      <c r="C33" s="172" t="s">
        <v>4119</v>
      </c>
      <c r="D33" s="478">
        <f>D34+D35+D36</f>
        <v>27494974</v>
      </c>
      <c r="E33" s="478">
        <f>E34+E35+E36</f>
        <v>27494974</v>
      </c>
      <c r="F33" s="68"/>
    </row>
    <row r="34" spans="2:6" x14ac:dyDescent="0.25">
      <c r="C34" s="145" t="s">
        <v>4121</v>
      </c>
      <c r="D34" s="67">
        <f>'EF Sempertex 2015 I'!B47</f>
        <v>755566</v>
      </c>
      <c r="E34" s="68">
        <f>D34</f>
        <v>755566</v>
      </c>
    </row>
    <row r="35" spans="2:6" x14ac:dyDescent="0.25">
      <c r="C35" s="145" t="s">
        <v>4122</v>
      </c>
      <c r="D35" s="67">
        <f>'EF Sempertex 2015 I'!B48</f>
        <v>23105605</v>
      </c>
      <c r="E35" s="68">
        <f>D35</f>
        <v>23105605</v>
      </c>
    </row>
    <row r="36" spans="2:6" x14ac:dyDescent="0.25">
      <c r="C36" s="145" t="s">
        <v>4123</v>
      </c>
      <c r="D36" s="67">
        <f>SUM('EF Sempertex 2015 I'!B49:B50)</f>
        <v>3633803</v>
      </c>
      <c r="E36" s="68">
        <f>D36</f>
        <v>3633803</v>
      </c>
    </row>
    <row r="38" spans="2:6" x14ac:dyDescent="0.25">
      <c r="B38" s="26" t="s">
        <v>174</v>
      </c>
    </row>
    <row r="39" spans="2:6" x14ac:dyDescent="0.25">
      <c r="C39" s="475" t="s">
        <v>4125</v>
      </c>
      <c r="D39" s="73">
        <f>'EF Sempertex 2015 I'!B57</f>
        <v>96562000</v>
      </c>
      <c r="E39" s="68">
        <f>D39</f>
        <v>96562000</v>
      </c>
    </row>
    <row r="40" spans="2:6" x14ac:dyDescent="0.25">
      <c r="C40" t="s">
        <v>374</v>
      </c>
      <c r="D40" s="67">
        <f>'EF Sempertex 2015 I'!B58</f>
        <v>50678744</v>
      </c>
      <c r="E40" s="68">
        <f>D40</f>
        <v>50678744</v>
      </c>
    </row>
    <row r="41" spans="2:6" x14ac:dyDescent="0.25">
      <c r="C41" s="26" t="s">
        <v>350</v>
      </c>
      <c r="D41" s="73">
        <f>D39-D40</f>
        <v>45883256</v>
      </c>
      <c r="E41" s="73">
        <f>E39-E40</f>
        <v>45883256</v>
      </c>
    </row>
    <row r="42" spans="2:6" x14ac:dyDescent="0.25">
      <c r="C42" t="s">
        <v>302</v>
      </c>
      <c r="D42" s="67">
        <f>'EF Sempertex 2015 I'!B60</f>
        <v>1497597</v>
      </c>
      <c r="E42" s="68">
        <f>D42</f>
        <v>1497597</v>
      </c>
    </row>
    <row r="43" spans="2:6" x14ac:dyDescent="0.25">
      <c r="C43" t="s">
        <v>303</v>
      </c>
      <c r="D43" s="67">
        <f>'EF Sempertex 2015 I'!B61</f>
        <v>18133089</v>
      </c>
      <c r="E43" s="68">
        <f>D43</f>
        <v>18133089</v>
      </c>
    </row>
    <row r="44" spans="2:6" x14ac:dyDescent="0.25">
      <c r="C44" t="s">
        <v>304</v>
      </c>
      <c r="D44" s="67">
        <f>'EF Sempertex 2015 I'!B62</f>
        <v>12675308</v>
      </c>
      <c r="E44" s="68">
        <f>D44</f>
        <v>12675308</v>
      </c>
    </row>
    <row r="45" spans="2:6" x14ac:dyDescent="0.25">
      <c r="C45" t="s">
        <v>305</v>
      </c>
      <c r="D45" s="67">
        <f>'EF Sempertex 2015 I'!B63</f>
        <v>277776</v>
      </c>
      <c r="E45" s="68">
        <f>D45</f>
        <v>277776</v>
      </c>
    </row>
    <row r="46" spans="2:6" x14ac:dyDescent="0.25">
      <c r="C46" s="26" t="s">
        <v>353</v>
      </c>
      <c r="D46" s="73">
        <f>D41+D42-D43-D44-D45</f>
        <v>16294680</v>
      </c>
      <c r="E46" s="73">
        <f>E41+E42-E43-E44-E45</f>
        <v>16294680</v>
      </c>
    </row>
    <row r="47" spans="2:6" x14ac:dyDescent="0.25">
      <c r="C47" t="s">
        <v>307</v>
      </c>
      <c r="D47" s="67">
        <f>'EF Sempertex 2015 I'!B65</f>
        <v>53962906</v>
      </c>
      <c r="E47" s="68">
        <f>D47</f>
        <v>53962906</v>
      </c>
    </row>
    <row r="48" spans="2:6" x14ac:dyDescent="0.25">
      <c r="C48" t="s">
        <v>308</v>
      </c>
      <c r="D48" s="67">
        <f>'EF Sempertex 2015 I'!B66</f>
        <v>61097885</v>
      </c>
      <c r="E48" s="68">
        <f>D48-D49+E49</f>
        <v>60268921.940360002</v>
      </c>
    </row>
    <row r="49" spans="2:5" x14ac:dyDescent="0.25">
      <c r="C49" s="476" t="s">
        <v>4126</v>
      </c>
      <c r="D49" s="474">
        <f>(D30+D31)*D7</f>
        <v>4144815.2982000001</v>
      </c>
      <c r="E49" s="474">
        <f>(E30+E31)*D7</f>
        <v>3315852.23856</v>
      </c>
    </row>
    <row r="50" spans="2:5" x14ac:dyDescent="0.25">
      <c r="C50" s="26" t="s">
        <v>4131</v>
      </c>
      <c r="D50" s="69">
        <f>D46+D47-D48</f>
        <v>9159701</v>
      </c>
      <c r="E50" s="69">
        <f>E46+E47-E48</f>
        <v>9988664.0596399978</v>
      </c>
    </row>
    <row r="51" spans="2:5" x14ac:dyDescent="0.25">
      <c r="C51" t="s">
        <v>4132</v>
      </c>
      <c r="D51" s="67">
        <f>'EF Sempertex 2015 I'!B68</f>
        <v>3663289</v>
      </c>
      <c r="E51" s="67">
        <f>E50*D6</f>
        <v>3994820.7015026524</v>
      </c>
    </row>
    <row r="52" spans="2:5" x14ac:dyDescent="0.25">
      <c r="C52" s="26" t="s">
        <v>460</v>
      </c>
      <c r="D52" s="69">
        <f>D50-D51</f>
        <v>5496412</v>
      </c>
      <c r="E52" s="69">
        <f>E50-E51</f>
        <v>5993843.3581373449</v>
      </c>
    </row>
    <row r="53" spans="2:5" x14ac:dyDescent="0.25">
      <c r="C53" s="26"/>
      <c r="D53" s="69"/>
      <c r="E53" s="69"/>
    </row>
    <row r="54" spans="2:5" x14ac:dyDescent="0.25">
      <c r="B54" s="26" t="s">
        <v>4140</v>
      </c>
      <c r="C54" s="26"/>
      <c r="D54" s="69">
        <f>'Flujo de Caja'!H6</f>
        <v>1221805</v>
      </c>
      <c r="E54" s="69">
        <f>D54</f>
        <v>1221805</v>
      </c>
    </row>
    <row r="56" spans="2:5" x14ac:dyDescent="0.25">
      <c r="B56" s="26" t="s">
        <v>4138</v>
      </c>
    </row>
    <row r="57" spans="2:5" x14ac:dyDescent="0.25">
      <c r="C57" t="s">
        <v>4136</v>
      </c>
    </row>
    <row r="58" spans="2:5" x14ac:dyDescent="0.25">
      <c r="C58" t="s">
        <v>4137</v>
      </c>
    </row>
    <row r="60" spans="2:5" x14ac:dyDescent="0.25">
      <c r="B60" s="26" t="s">
        <v>411</v>
      </c>
    </row>
    <row r="61" spans="2:5" x14ac:dyDescent="0.25">
      <c r="C61" t="s">
        <v>412</v>
      </c>
      <c r="D61" s="81">
        <f>D41/D39</f>
        <v>0.47516886559930405</v>
      </c>
      <c r="E61" s="81">
        <f>E41/E39</f>
        <v>0.47516886559930405</v>
      </c>
    </row>
    <row r="62" spans="2:5" x14ac:dyDescent="0.25">
      <c r="C62" t="s">
        <v>452</v>
      </c>
      <c r="D62" s="81">
        <f>D46/D39</f>
        <v>0.16874836892359313</v>
      </c>
      <c r="E62" s="81">
        <f>E46/E39</f>
        <v>0.16874836892359313</v>
      </c>
    </row>
    <row r="63" spans="2:5" x14ac:dyDescent="0.25">
      <c r="C63" t="s">
        <v>404</v>
      </c>
      <c r="D63" s="81">
        <f>D52/D39</f>
        <v>5.6921066257948259E-2</v>
      </c>
      <c r="E63" s="81">
        <f>E52/E39</f>
        <v>6.2072485637593926E-2</v>
      </c>
    </row>
    <row r="65" spans="2:5" x14ac:dyDescent="0.25">
      <c r="B65" s="26" t="s">
        <v>453</v>
      </c>
    </row>
    <row r="66" spans="2:5" x14ac:dyDescent="0.25">
      <c r="C66" t="s">
        <v>456</v>
      </c>
      <c r="D66" s="64">
        <f>(D30+D31)/D33</f>
        <v>0.78473767605672218</v>
      </c>
      <c r="E66" s="64">
        <f>(E30+E31)/E33</f>
        <v>0.62779014084537788</v>
      </c>
    </row>
    <row r="67" spans="2:5" x14ac:dyDescent="0.25">
      <c r="C67" t="s">
        <v>455</v>
      </c>
      <c r="D67" s="64">
        <f>(D30+D31)/D21</f>
        <v>0.52617516565744049</v>
      </c>
      <c r="E67" s="64">
        <f>(E30+E31)/E21</f>
        <v>0.42094013252595247</v>
      </c>
    </row>
    <row r="68" spans="2:5" x14ac:dyDescent="0.25">
      <c r="C68" t="s">
        <v>405</v>
      </c>
      <c r="D68" s="64">
        <f>D21/D33</f>
        <v>1.4914000646081718</v>
      </c>
      <c r="E68" s="64">
        <f>E21/E33</f>
        <v>1.4914000646081718</v>
      </c>
    </row>
    <row r="69" spans="2:5" x14ac:dyDescent="0.25">
      <c r="D69" s="64"/>
      <c r="E69" s="64"/>
    </row>
    <row r="70" spans="2:5" x14ac:dyDescent="0.25">
      <c r="B70" s="26" t="s">
        <v>4062</v>
      </c>
      <c r="D70" s="64"/>
      <c r="E70" s="64"/>
    </row>
    <row r="71" spans="2:5" x14ac:dyDescent="0.25">
      <c r="C71" t="s">
        <v>4063</v>
      </c>
      <c r="D71" s="64">
        <f>D46/D49</f>
        <v>3.9313404404477112</v>
      </c>
      <c r="E71" s="64">
        <f>E46/E49</f>
        <v>4.9141755505596389</v>
      </c>
    </row>
    <row r="72" spans="2:5" x14ac:dyDescent="0.25">
      <c r="C72" t="s">
        <v>4066</v>
      </c>
      <c r="D72" s="81">
        <f>D30/(D30+D31)</f>
        <v>0.62120126757353034</v>
      </c>
      <c r="E72" s="81">
        <f>E30/(E30+E31)</f>
        <v>0.62120126757353034</v>
      </c>
    </row>
    <row r="74" spans="2:5" x14ac:dyDescent="0.25">
      <c r="B74" s="26" t="s">
        <v>393</v>
      </c>
      <c r="D74" s="154">
        <f>D75/D76</f>
        <v>0.2384494620851613</v>
      </c>
      <c r="E74" s="154">
        <f>E75/E76</f>
        <v>0.2384494620851613</v>
      </c>
    </row>
    <row r="75" spans="2:5" x14ac:dyDescent="0.25">
      <c r="C75" t="s">
        <v>394</v>
      </c>
      <c r="D75" s="67">
        <f>D46*(1-$D$6)</f>
        <v>9777860.0729608964</v>
      </c>
      <c r="E75" s="67">
        <f>E46*(1-$D$6)</f>
        <v>9777860.0729608964</v>
      </c>
    </row>
    <row r="76" spans="2:5" x14ac:dyDescent="0.25">
      <c r="C76" t="s">
        <v>379</v>
      </c>
      <c r="D76" s="68">
        <f>D21</f>
        <v>41006006</v>
      </c>
      <c r="E76" s="68">
        <f>E21</f>
        <v>41006006</v>
      </c>
    </row>
    <row r="78" spans="2:5" x14ac:dyDescent="0.25">
      <c r="C78" s="26" t="s">
        <v>459</v>
      </c>
    </row>
    <row r="79" spans="2:5" x14ac:dyDescent="0.25">
      <c r="C79" s="65" t="s">
        <v>398</v>
      </c>
      <c r="D79" s="81">
        <f>(D46*(1-$D$6))/D39</f>
        <v>0.1012599166645357</v>
      </c>
      <c r="E79" s="81">
        <f>(E46*(1-$D$6))/E39</f>
        <v>0.1012599166645357</v>
      </c>
    </row>
    <row r="80" spans="2:5" x14ac:dyDescent="0.25">
      <c r="C80" s="65" t="s">
        <v>399</v>
      </c>
      <c r="D80" s="64">
        <f>D39/D21</f>
        <v>2.3548257784481619</v>
      </c>
      <c r="E80" s="64">
        <f>E39/E21</f>
        <v>2.3548257784481619</v>
      </c>
    </row>
    <row r="82" spans="2:6" x14ac:dyDescent="0.25">
      <c r="B82" s="26" t="s">
        <v>400</v>
      </c>
      <c r="D82" s="154">
        <f>D83/D84</f>
        <v>0.19990606283170154</v>
      </c>
      <c r="E82" s="154">
        <f>E83/E84</f>
        <v>0.21799778236332737</v>
      </c>
    </row>
    <row r="83" spans="2:6" x14ac:dyDescent="0.25">
      <c r="C83" t="s">
        <v>460</v>
      </c>
      <c r="D83" s="68">
        <f>D52</f>
        <v>5496412</v>
      </c>
      <c r="E83" s="68">
        <f>E52</f>
        <v>5993843.3581373449</v>
      </c>
    </row>
    <row r="84" spans="2:6" x14ac:dyDescent="0.25">
      <c r="C84" t="s">
        <v>402</v>
      </c>
      <c r="D84" s="68">
        <f>D33</f>
        <v>27494974</v>
      </c>
      <c r="E84" s="68">
        <f>E33</f>
        <v>27494974</v>
      </c>
    </row>
    <row r="86" spans="2:6" x14ac:dyDescent="0.25">
      <c r="C86" s="26" t="s">
        <v>461</v>
      </c>
    </row>
    <row r="87" spans="2:6" x14ac:dyDescent="0.25">
      <c r="C87" s="65" t="s">
        <v>404</v>
      </c>
      <c r="D87" s="156">
        <f>D63</f>
        <v>5.6921066257948259E-2</v>
      </c>
      <c r="E87" s="156">
        <f>E63</f>
        <v>6.2072485637593926E-2</v>
      </c>
    </row>
    <row r="88" spans="2:6" x14ac:dyDescent="0.25">
      <c r="C88" s="65" t="s">
        <v>399</v>
      </c>
      <c r="D88" s="142">
        <f>D80</f>
        <v>2.3548257784481619</v>
      </c>
      <c r="E88" s="142">
        <f>E80</f>
        <v>2.3548257784481619</v>
      </c>
    </row>
    <row r="89" spans="2:6" x14ac:dyDescent="0.25">
      <c r="C89" s="65" t="s">
        <v>405</v>
      </c>
      <c r="D89" s="64">
        <f>D21/D33</f>
        <v>1.4914000646081718</v>
      </c>
      <c r="E89" s="64">
        <f>E21/E33</f>
        <v>1.4914000646081718</v>
      </c>
    </row>
    <row r="91" spans="2:6" x14ac:dyDescent="0.25">
      <c r="B91" s="26" t="s">
        <v>462</v>
      </c>
      <c r="D91" s="155">
        <f>D82-D74</f>
        <v>-3.8543399253459759E-2</v>
      </c>
      <c r="E91" s="481">
        <f>E82-E74</f>
        <v>-2.0451679721833926E-2</v>
      </c>
      <c r="F91" t="s">
        <v>4139</v>
      </c>
    </row>
    <row r="93" spans="2:6" x14ac:dyDescent="0.25">
      <c r="B93" s="26" t="s">
        <v>4070</v>
      </c>
      <c r="D93" s="69">
        <f>D94-D95*D96</f>
        <v>5125828.0714746974</v>
      </c>
      <c r="E93" s="69">
        <f>E94-E95*E96</f>
        <v>5133042.8856033254</v>
      </c>
    </row>
    <row r="94" spans="2:6" x14ac:dyDescent="0.25">
      <c r="C94" s="441" t="s">
        <v>394</v>
      </c>
      <c r="D94" s="68">
        <f>D75</f>
        <v>9777860.0729608964</v>
      </c>
      <c r="E94" s="68">
        <f>E75</f>
        <v>9777860.0729608964</v>
      </c>
    </row>
    <row r="95" spans="2:6" x14ac:dyDescent="0.25">
      <c r="C95" s="441" t="s">
        <v>379</v>
      </c>
      <c r="D95" s="68">
        <f>D76</f>
        <v>41006006</v>
      </c>
      <c r="E95" s="68">
        <f>E76</f>
        <v>41006006</v>
      </c>
    </row>
    <row r="96" spans="2:6" x14ac:dyDescent="0.25">
      <c r="C96" s="441" t="s">
        <v>4071</v>
      </c>
      <c r="D96" s="156">
        <f>D9</f>
        <v>0.11344757647175389</v>
      </c>
      <c r="E96" s="156">
        <f>E9</f>
        <v>0.11327163116928704</v>
      </c>
    </row>
    <row r="98" spans="2:5" x14ac:dyDescent="0.25">
      <c r="B98" s="26" t="s">
        <v>4061</v>
      </c>
      <c r="D98" s="154">
        <f>D99/D100</f>
        <v>0.26998600898904329</v>
      </c>
      <c r="E98" s="154">
        <f>E99/E100</f>
        <v>0.26998600898904329</v>
      </c>
    </row>
    <row r="99" spans="2:5" x14ac:dyDescent="0.25">
      <c r="C99" s="441" t="s">
        <v>338</v>
      </c>
      <c r="D99" s="68">
        <f>D22</f>
        <v>26070389</v>
      </c>
      <c r="E99" s="68">
        <f>E22</f>
        <v>26070389</v>
      </c>
    </row>
    <row r="100" spans="2:5" x14ac:dyDescent="0.25">
      <c r="C100" s="441" t="s">
        <v>4125</v>
      </c>
      <c r="D100" s="68">
        <f>D39</f>
        <v>96562000</v>
      </c>
      <c r="E100" s="68">
        <f>E39</f>
        <v>96562000</v>
      </c>
    </row>
    <row r="102" spans="2:5" x14ac:dyDescent="0.25">
      <c r="B102" s="26" t="s">
        <v>4105</v>
      </c>
      <c r="D102" s="154">
        <f>D103/D104</f>
        <v>0.42192178540032127</v>
      </c>
      <c r="E102" s="154">
        <f>E103/E104</f>
        <v>0.42192178540032127</v>
      </c>
    </row>
    <row r="103" spans="2:5" x14ac:dyDescent="0.25">
      <c r="C103" t="s">
        <v>4106</v>
      </c>
      <c r="D103" s="68">
        <f>D75+D54</f>
        <v>10999665.072960896</v>
      </c>
      <c r="E103" s="68">
        <f>E75+E54</f>
        <v>10999665.072960896</v>
      </c>
    </row>
    <row r="104" spans="2:5" x14ac:dyDescent="0.25">
      <c r="C104" t="s">
        <v>338</v>
      </c>
      <c r="D104" s="68">
        <f>D99</f>
        <v>26070389</v>
      </c>
      <c r="E104" s="68">
        <f>E99</f>
        <v>26070389</v>
      </c>
    </row>
    <row r="106" spans="2:5" x14ac:dyDescent="0.25">
      <c r="B106" s="473" t="s">
        <v>4143</v>
      </c>
      <c r="C106" s="477"/>
      <c r="D106" s="477"/>
      <c r="E106" s="477"/>
    </row>
    <row r="107" spans="2:5" x14ac:dyDescent="0.25">
      <c r="C107" s="446" t="s">
        <v>394</v>
      </c>
      <c r="D107" s="68">
        <f>D94</f>
        <v>9777860.0729608964</v>
      </c>
      <c r="E107" s="68">
        <f>E94</f>
        <v>9777860.0729608964</v>
      </c>
    </row>
    <row r="108" spans="2:5" x14ac:dyDescent="0.25">
      <c r="C108" s="451" t="s">
        <v>4074</v>
      </c>
      <c r="D108" s="68">
        <f>D54</f>
        <v>1221805</v>
      </c>
      <c r="E108" s="68">
        <f>E54</f>
        <v>1221805</v>
      </c>
    </row>
    <row r="109" spans="2:5" x14ac:dyDescent="0.25">
      <c r="C109" s="454" t="s">
        <v>4075</v>
      </c>
      <c r="D109" s="455">
        <f t="shared" ref="D109:E109" si="2">D107+D108</f>
        <v>10999665.072960896</v>
      </c>
      <c r="E109" s="455">
        <f t="shared" si="2"/>
        <v>10999665.072960896</v>
      </c>
    </row>
    <row r="110" spans="2:5" x14ac:dyDescent="0.25">
      <c r="C110" s="451" t="s">
        <v>4077</v>
      </c>
      <c r="D110" s="67">
        <f>'Flujo de Caja'!H26</f>
        <v>-2855923</v>
      </c>
      <c r="E110" s="67">
        <f>D110</f>
        <v>-2855923</v>
      </c>
    </row>
    <row r="111" spans="2:5" x14ac:dyDescent="0.25">
      <c r="C111" s="483" t="s">
        <v>4078</v>
      </c>
      <c r="D111" s="67">
        <f>'Flujo de Caja'!H27</f>
        <v>-5390232</v>
      </c>
      <c r="E111" s="67">
        <f>D111</f>
        <v>-5390232</v>
      </c>
    </row>
    <row r="112" spans="2:5" x14ac:dyDescent="0.25">
      <c r="C112" s="456" t="s">
        <v>4079</v>
      </c>
      <c r="D112" s="458">
        <f t="shared" ref="D112:E112" si="3">D109+D110+D111</f>
        <v>2753510.0729608964</v>
      </c>
      <c r="E112" s="458">
        <f t="shared" si="3"/>
        <v>2753510.0729608964</v>
      </c>
    </row>
    <row r="113" spans="3:5" x14ac:dyDescent="0.25">
      <c r="C113" s="451" t="s">
        <v>4080</v>
      </c>
      <c r="D113" s="68">
        <f>-D49</f>
        <v>-4144815.2982000001</v>
      </c>
      <c r="E113" s="68">
        <f>-E49</f>
        <v>-3315852.23856</v>
      </c>
    </row>
    <row r="114" spans="3:5" x14ac:dyDescent="0.25">
      <c r="C114" s="451" t="s">
        <v>4081</v>
      </c>
      <c r="D114" s="68">
        <f>'Flujo de Caja'!H30</f>
        <v>6392896</v>
      </c>
      <c r="E114" s="68">
        <f>D114+(E30+E31-D30-D31)</f>
        <v>2077627.6000000015</v>
      </c>
    </row>
    <row r="115" spans="3:5" x14ac:dyDescent="0.25">
      <c r="C115" s="456" t="s">
        <v>4082</v>
      </c>
      <c r="D115" s="458">
        <f t="shared" ref="D115:E115" si="4">D112+D113+D114</f>
        <v>5001590.7747608963</v>
      </c>
      <c r="E115" s="458">
        <f t="shared" si="4"/>
        <v>1515285.4344008979</v>
      </c>
    </row>
  </sheetData>
  <pageMargins left="0.7" right="0.7" top="0.75" bottom="0.75" header="0.3" footer="0.3"/>
  <pageSetup paperSize="9" orientation="portrait" r:id="rId1"/>
  <ignoredErrors>
    <ignoredError sqref="D36"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20"/>
  <sheetViews>
    <sheetView showGridLines="0" workbookViewId="0">
      <pane xSplit="2" ySplit="2" topLeftCell="C21" activePane="bottomRight" state="frozen"/>
      <selection activeCell="D22" sqref="D22"/>
      <selection pane="topRight" activeCell="D22" sqref="D22"/>
      <selection pane="bottomLeft" activeCell="D22" sqref="D22"/>
      <selection pane="bottomRight" activeCell="B27" sqref="B27"/>
    </sheetView>
  </sheetViews>
  <sheetFormatPr baseColWidth="10" defaultColWidth="10.875" defaultRowHeight="15" x14ac:dyDescent="0.25"/>
  <cols>
    <col min="1" max="1" width="3.625" style="107" customWidth="1"/>
    <col min="2" max="2" width="37.625" style="107" customWidth="1"/>
    <col min="3" max="3" width="13.625" style="107" customWidth="1"/>
    <col min="4" max="4" width="14.375" style="107" customWidth="1"/>
    <col min="5" max="5" width="12.375" style="107" bestFit="1" customWidth="1"/>
    <col min="6" max="7" width="10.875" style="107"/>
    <col min="8" max="8" width="12.625" style="107" bestFit="1" customWidth="1"/>
    <col min="9" max="16384" width="10.875" style="107"/>
  </cols>
  <sheetData>
    <row r="2" spans="2:5" x14ac:dyDescent="0.25">
      <c r="C2" s="83">
        <v>2015</v>
      </c>
      <c r="D2" s="83" t="s">
        <v>377</v>
      </c>
    </row>
    <row r="3" spans="2:5" x14ac:dyDescent="0.25">
      <c r="C3" s="83"/>
      <c r="D3" s="83"/>
    </row>
    <row r="4" spans="2:5" x14ac:dyDescent="0.25">
      <c r="B4" s="104" t="s">
        <v>488</v>
      </c>
      <c r="C4" s="134"/>
      <c r="D4" s="134"/>
    </row>
    <row r="5" spans="2:5" x14ac:dyDescent="0.25">
      <c r="C5" s="83"/>
      <c r="D5" s="83"/>
    </row>
    <row r="6" spans="2:5" x14ac:dyDescent="0.25">
      <c r="B6" s="161" t="s">
        <v>474</v>
      </c>
      <c r="C6" s="168">
        <v>1750000000</v>
      </c>
      <c r="D6" s="169"/>
    </row>
    <row r="7" spans="2:5" x14ac:dyDescent="0.25">
      <c r="B7" s="161" t="s">
        <v>475</v>
      </c>
      <c r="D7" s="168">
        <v>2500000000</v>
      </c>
    </row>
    <row r="8" spans="2:5" x14ac:dyDescent="0.25">
      <c r="B8" s="26" t="s">
        <v>476</v>
      </c>
      <c r="D8" s="168">
        <f>D7-C6</f>
        <v>750000000</v>
      </c>
    </row>
    <row r="9" spans="2:5" x14ac:dyDescent="0.25">
      <c r="B9" s="161" t="s">
        <v>477</v>
      </c>
      <c r="C9" s="107">
        <v>70</v>
      </c>
      <c r="D9" s="168"/>
    </row>
    <row r="10" spans="2:5" x14ac:dyDescent="0.25">
      <c r="B10" s="26" t="s">
        <v>478</v>
      </c>
      <c r="C10" s="122">
        <f>C29/C28</f>
        <v>0.52483113440069595</v>
      </c>
    </row>
    <row r="11" spans="2:5" x14ac:dyDescent="0.25">
      <c r="B11" s="26" t="s">
        <v>479</v>
      </c>
      <c r="D11" s="168">
        <f>D8*(C9*C10)</f>
        <v>27553634556.036537</v>
      </c>
    </row>
    <row r="12" spans="2:5" x14ac:dyDescent="0.25">
      <c r="D12" s="109">
        <f>D11*30%</f>
        <v>8266090366.8109608</v>
      </c>
      <c r="E12" s="170"/>
    </row>
    <row r="14" spans="2:5" x14ac:dyDescent="0.25">
      <c r="B14" s="26" t="s">
        <v>346</v>
      </c>
      <c r="C14" s="73">
        <f>'EF Sempertex 2015 I'!B57</f>
        <v>96562000</v>
      </c>
      <c r="D14" s="73">
        <f>C14*(1+D15)</f>
        <v>137945714.2857143</v>
      </c>
    </row>
    <row r="15" spans="2:5" x14ac:dyDescent="0.25">
      <c r="B15" s="107" t="s">
        <v>378</v>
      </c>
      <c r="D15" s="108">
        <f>D7/C6-1</f>
        <v>0.4285714285714286</v>
      </c>
      <c r="E15" s="107" t="s">
        <v>4060</v>
      </c>
    </row>
    <row r="17" spans="1:6" x14ac:dyDescent="0.25">
      <c r="B17" s="78" t="s">
        <v>484</v>
      </c>
      <c r="C17" s="78"/>
      <c r="D17" s="78"/>
    </row>
    <row r="18" spans="1:6" x14ac:dyDescent="0.25">
      <c r="B18" s="119" t="s">
        <v>482</v>
      </c>
      <c r="C18" s="109">
        <f>'EF Sempertex 2015 I'!B31</f>
        <v>14934155</v>
      </c>
      <c r="D18" s="109">
        <f>C18+D11/1000</f>
        <v>42487789.556036532</v>
      </c>
      <c r="E18" s="109"/>
    </row>
    <row r="19" spans="1:6" x14ac:dyDescent="0.25">
      <c r="B19" s="119" t="s">
        <v>481</v>
      </c>
      <c r="C19" s="109">
        <f>'EF Sempertex 2015 I'!B27</f>
        <v>9879131</v>
      </c>
      <c r="D19" s="133">
        <f>C19-D11*30%/1000</f>
        <v>1613040.6331890393</v>
      </c>
      <c r="E19" s="109" t="s">
        <v>493</v>
      </c>
    </row>
    <row r="20" spans="1:6" x14ac:dyDescent="0.25">
      <c r="B20" s="119" t="s">
        <v>483</v>
      </c>
      <c r="C20" s="133">
        <f>'EF Sempertex 2015 I'!B44</f>
        <v>8173091</v>
      </c>
      <c r="D20" s="133">
        <f>C20+D11*70%/1000</f>
        <v>27460635.189225573</v>
      </c>
      <c r="E20" s="109" t="s">
        <v>494</v>
      </c>
    </row>
    <row r="21" spans="1:6" s="163" customFormat="1" x14ac:dyDescent="0.25">
      <c r="B21" s="71"/>
      <c r="C21" s="133"/>
      <c r="D21" s="133"/>
      <c r="E21" s="133"/>
    </row>
    <row r="22" spans="1:6" x14ac:dyDescent="0.25">
      <c r="B22" s="78" t="s">
        <v>487</v>
      </c>
      <c r="C22" s="78"/>
      <c r="D22" s="78"/>
    </row>
    <row r="23" spans="1:6" s="163" customFormat="1" x14ac:dyDescent="0.25">
      <c r="B23" s="175" t="s">
        <v>490</v>
      </c>
      <c r="D23" s="178">
        <f>CERTIFICADO1!E338</f>
        <v>0.21340000000000001</v>
      </c>
    </row>
    <row r="24" spans="1:6" s="163" customFormat="1" x14ac:dyDescent="0.25">
      <c r="C24" s="173"/>
      <c r="D24" s="172"/>
    </row>
    <row r="25" spans="1:6" x14ac:dyDescent="0.25">
      <c r="B25" s="163"/>
      <c r="C25" s="174"/>
    </row>
    <row r="26" spans="1:6" x14ac:dyDescent="0.25">
      <c r="C26" s="167"/>
    </row>
    <row r="27" spans="1:6" x14ac:dyDescent="0.25">
      <c r="A27" s="163"/>
      <c r="B27" s="26" t="s">
        <v>380</v>
      </c>
    </row>
    <row r="28" spans="1:6" x14ac:dyDescent="0.25">
      <c r="A28" s="163"/>
      <c r="B28" s="110" t="s">
        <v>299</v>
      </c>
      <c r="C28" s="96">
        <f>'EF Sempertex 2015 I'!B57</f>
        <v>96562000</v>
      </c>
      <c r="D28" s="118">
        <f>D14</f>
        <v>137945714.2857143</v>
      </c>
    </row>
    <row r="29" spans="1:6" x14ac:dyDescent="0.25">
      <c r="A29" s="163"/>
      <c r="B29" s="111" t="s">
        <v>300</v>
      </c>
      <c r="C29" s="67">
        <f>'EF Sempertex 2015 I'!B58</f>
        <v>50678744</v>
      </c>
      <c r="D29" s="112">
        <f>D$28*E29</f>
        <v>72398205.714285731</v>
      </c>
      <c r="E29" s="437">
        <f>C29/C$28</f>
        <v>0.52483113440069595</v>
      </c>
    </row>
    <row r="30" spans="1:6" x14ac:dyDescent="0.25">
      <c r="A30" s="163"/>
      <c r="B30" s="110" t="s">
        <v>301</v>
      </c>
      <c r="C30" s="96">
        <f>'EF Sempertex 2015 I'!B59</f>
        <v>45883256</v>
      </c>
      <c r="D30" s="118">
        <f>D28-D29</f>
        <v>65547508.571428567</v>
      </c>
      <c r="E30" s="437">
        <f>C30/C$28</f>
        <v>0.47516886559930405</v>
      </c>
    </row>
    <row r="31" spans="1:6" x14ac:dyDescent="0.25">
      <c r="A31" s="163"/>
      <c r="B31" s="111" t="s">
        <v>302</v>
      </c>
      <c r="C31" s="67">
        <f>'EF Sempertex 2015 I'!B60</f>
        <v>1497597</v>
      </c>
      <c r="D31" s="112">
        <f t="shared" ref="D31:D34" si="0">C31</f>
        <v>1497597</v>
      </c>
      <c r="E31" s="437">
        <f t="shared" ref="E31:E41" si="1">C31/C$28</f>
        <v>1.5509175452041175E-2</v>
      </c>
      <c r="F31" s="107" t="s">
        <v>485</v>
      </c>
    </row>
    <row r="32" spans="1:6" x14ac:dyDescent="0.25">
      <c r="A32" s="163"/>
      <c r="B32" s="110" t="s">
        <v>303</v>
      </c>
      <c r="C32" s="96">
        <f>'EF Sempertex 2015 I'!B61</f>
        <v>18133089</v>
      </c>
      <c r="D32" s="118">
        <f t="shared" si="0"/>
        <v>18133089</v>
      </c>
      <c r="E32" s="437">
        <f t="shared" si="1"/>
        <v>0.18778700731136472</v>
      </c>
      <c r="F32" s="107" t="s">
        <v>485</v>
      </c>
    </row>
    <row r="33" spans="1:7" x14ac:dyDescent="0.25">
      <c r="A33" s="163"/>
      <c r="B33" s="111" t="s">
        <v>304</v>
      </c>
      <c r="C33" s="67">
        <f>'EF Sempertex 2015 I'!B62</f>
        <v>12675308</v>
      </c>
      <c r="D33" s="112">
        <f t="shared" si="0"/>
        <v>12675308</v>
      </c>
      <c r="E33" s="437">
        <f t="shared" si="1"/>
        <v>0.13126600526086865</v>
      </c>
      <c r="F33" s="107" t="s">
        <v>485</v>
      </c>
    </row>
    <row r="34" spans="1:7" x14ac:dyDescent="0.25">
      <c r="A34" s="163"/>
      <c r="B34" s="110" t="s">
        <v>305</v>
      </c>
      <c r="C34" s="96">
        <f>'EF Sempertex 2015 I'!B63</f>
        <v>277776</v>
      </c>
      <c r="D34" s="118">
        <f t="shared" si="0"/>
        <v>277776</v>
      </c>
      <c r="E34" s="437">
        <f t="shared" si="1"/>
        <v>2.876659555518734E-3</v>
      </c>
      <c r="F34" s="107" t="s">
        <v>485</v>
      </c>
    </row>
    <row r="35" spans="1:7" x14ac:dyDescent="0.25">
      <c r="A35" s="163"/>
      <c r="B35" s="111" t="s">
        <v>306</v>
      </c>
      <c r="C35" s="67">
        <f>'EF Sempertex 2015 I'!B64</f>
        <v>16294680</v>
      </c>
      <c r="D35" s="112">
        <f>D30+D31-D32-D33-D34</f>
        <v>35958932.571428567</v>
      </c>
      <c r="E35" s="437">
        <f t="shared" si="1"/>
        <v>0.16874836892359313</v>
      </c>
    </row>
    <row r="36" spans="1:7" x14ac:dyDescent="0.25">
      <c r="A36" s="163"/>
      <c r="B36" s="110" t="s">
        <v>307</v>
      </c>
      <c r="C36" s="96">
        <f>'EF Sempertex 2015 I'!B65</f>
        <v>53962906</v>
      </c>
      <c r="D36" s="96">
        <f>C36</f>
        <v>53962906</v>
      </c>
      <c r="E36" s="437">
        <f t="shared" si="1"/>
        <v>0.55884204966757112</v>
      </c>
    </row>
    <row r="37" spans="1:7" x14ac:dyDescent="0.25">
      <c r="A37" s="163"/>
      <c r="B37" s="111" t="s">
        <v>308</v>
      </c>
      <c r="C37" s="67">
        <f>'EF Sempertex 2015 I'!B66</f>
        <v>61097885</v>
      </c>
      <c r="D37" s="132">
        <f>C37+(D23*(D20-C20))</f>
        <v>65213846.92998074</v>
      </c>
      <c r="E37" s="437">
        <f t="shared" si="1"/>
        <v>0.63273218243201257</v>
      </c>
      <c r="F37" s="107" t="s">
        <v>4059</v>
      </c>
      <c r="G37" s="179"/>
    </row>
    <row r="38" spans="1:7" x14ac:dyDescent="0.25">
      <c r="A38" s="163"/>
      <c r="B38" s="110" t="s">
        <v>309</v>
      </c>
      <c r="C38" s="96">
        <f>'EF Sempertex 2015 I'!B67</f>
        <v>9159701</v>
      </c>
      <c r="D38" s="118">
        <f>D35+D36-D37</f>
        <v>24707991.641447827</v>
      </c>
      <c r="E38" s="437">
        <f t="shared" si="1"/>
        <v>9.4858236159151635E-2</v>
      </c>
    </row>
    <row r="39" spans="1:7" x14ac:dyDescent="0.25">
      <c r="A39" s="163"/>
      <c r="B39" s="111" t="s">
        <v>310</v>
      </c>
      <c r="C39" s="67">
        <f>'EF Sempertex 2015 I'!B68</f>
        <v>3663289</v>
      </c>
      <c r="D39" s="132">
        <f>C39/C38*D38</f>
        <v>9881601.3745653667</v>
      </c>
      <c r="E39" s="437">
        <f>C39/C$28</f>
        <v>3.7937169901203369E-2</v>
      </c>
    </row>
    <row r="40" spans="1:7" x14ac:dyDescent="0.25">
      <c r="A40" s="163"/>
      <c r="B40" s="110" t="s">
        <v>311</v>
      </c>
      <c r="C40" s="96">
        <f>'EF Sempertex 2015 I'!B69</f>
        <v>5496412</v>
      </c>
      <c r="D40" s="118">
        <f>D38-D39</f>
        <v>14826390.266882461</v>
      </c>
      <c r="E40" s="437">
        <f t="shared" si="1"/>
        <v>5.6921066257948259E-2</v>
      </c>
    </row>
    <row r="41" spans="1:7" x14ac:dyDescent="0.25">
      <c r="A41" s="163"/>
      <c r="B41" s="111" t="s">
        <v>312</v>
      </c>
      <c r="C41" s="67">
        <f>'EF Sempertex 2015 I'!B70</f>
        <v>5496412</v>
      </c>
      <c r="D41" s="123">
        <f>D40</f>
        <v>14826390.266882461</v>
      </c>
      <c r="E41" s="437">
        <f t="shared" si="1"/>
        <v>5.6921066257948259E-2</v>
      </c>
    </row>
    <row r="42" spans="1:7" x14ac:dyDescent="0.25">
      <c r="A42" s="163"/>
      <c r="B42" s="113" t="s">
        <v>381</v>
      </c>
      <c r="C42" s="78"/>
      <c r="D42" s="103">
        <f>D41-C41</f>
        <v>9329978.2668824606</v>
      </c>
    </row>
    <row r="43" spans="1:7" x14ac:dyDescent="0.25">
      <c r="A43" s="163"/>
    </row>
    <row r="44" spans="1:7" x14ac:dyDescent="0.25">
      <c r="A44" s="163"/>
      <c r="B44" s="104" t="s">
        <v>486</v>
      </c>
      <c r="C44" s="104"/>
      <c r="D44" s="105">
        <f>(D11/1000)/D42</f>
        <v>2.9532367351637325</v>
      </c>
    </row>
    <row r="45" spans="1:7" x14ac:dyDescent="0.25">
      <c r="A45" s="163"/>
    </row>
    <row r="46" spans="1:7" x14ac:dyDescent="0.25">
      <c r="A46" s="163"/>
    </row>
    <row r="47" spans="1:7" x14ac:dyDescent="0.25">
      <c r="A47" s="163"/>
      <c r="B47" s="78" t="s">
        <v>335</v>
      </c>
      <c r="C47" s="78"/>
      <c r="D47" s="78"/>
    </row>
    <row r="48" spans="1:7" x14ac:dyDescent="0.25">
      <c r="A48" s="163"/>
      <c r="B48" s="120" t="s">
        <v>336</v>
      </c>
      <c r="C48" s="93">
        <f>C49/C50</f>
        <v>1.6311381942972671</v>
      </c>
      <c r="D48" s="93">
        <f>D49/D50</f>
        <v>1.3997453484118967</v>
      </c>
    </row>
    <row r="49" spans="1:6" x14ac:dyDescent="0.25">
      <c r="A49" s="163"/>
      <c r="B49" s="115" t="s">
        <v>339</v>
      </c>
      <c r="C49" s="67">
        <f>'EF Sempertex 2015 I'!B25</f>
        <v>58269458</v>
      </c>
      <c r="D49" s="132">
        <f>C49+(D19-C19)</f>
        <v>50003367.633189037</v>
      </c>
      <c r="E49" s="107" t="s">
        <v>492</v>
      </c>
      <c r="F49" s="109"/>
    </row>
    <row r="50" spans="1:6" x14ac:dyDescent="0.25">
      <c r="A50" s="163"/>
      <c r="B50" s="115" t="s">
        <v>341</v>
      </c>
      <c r="C50" s="67">
        <f>'EF Sempertex 2015 I'!B34</f>
        <v>35723189</v>
      </c>
      <c r="D50" s="67">
        <f>C50</f>
        <v>35723189</v>
      </c>
    </row>
    <row r="51" spans="1:6" x14ac:dyDescent="0.25">
      <c r="A51" s="163"/>
      <c r="B51" s="120" t="s">
        <v>337</v>
      </c>
      <c r="C51" s="93">
        <f>(C52-C53)/C54</f>
        <v>0.80634570446664211</v>
      </c>
      <c r="D51" s="93">
        <f>(D52-D53)/D54</f>
        <v>0.57495285858127165</v>
      </c>
    </row>
    <row r="52" spans="1:6" x14ac:dyDescent="0.25">
      <c r="A52" s="163"/>
      <c r="B52" s="115" t="s">
        <v>339</v>
      </c>
      <c r="C52" s="67">
        <f>C49</f>
        <v>58269458</v>
      </c>
      <c r="D52" s="67">
        <f>D49</f>
        <v>50003367.633189037</v>
      </c>
    </row>
    <row r="53" spans="1:6" x14ac:dyDescent="0.25">
      <c r="A53" s="163"/>
      <c r="B53" s="115" t="s">
        <v>382</v>
      </c>
      <c r="C53" s="67">
        <f>C77</f>
        <v>29464218</v>
      </c>
      <c r="D53" s="67">
        <f>D77</f>
        <v>29464218</v>
      </c>
    </row>
    <row r="54" spans="1:6" x14ac:dyDescent="0.25">
      <c r="A54" s="163"/>
      <c r="B54" s="115" t="s">
        <v>341</v>
      </c>
      <c r="C54" s="67">
        <f>C50</f>
        <v>35723189</v>
      </c>
      <c r="D54" s="67">
        <f>D50</f>
        <v>35723189</v>
      </c>
    </row>
    <row r="55" spans="1:6" x14ac:dyDescent="0.25">
      <c r="A55" s="163"/>
    </row>
    <row r="56" spans="1:6" x14ac:dyDescent="0.25">
      <c r="A56" s="163"/>
      <c r="B56" s="78" t="s">
        <v>407</v>
      </c>
      <c r="C56" s="78"/>
      <c r="D56" s="78"/>
    </row>
    <row r="57" spans="1:6" x14ac:dyDescent="0.25">
      <c r="A57" s="163"/>
      <c r="B57" s="85" t="s">
        <v>385</v>
      </c>
      <c r="C57" s="121">
        <f>C70</f>
        <v>70.5598396884903</v>
      </c>
      <c r="D57" s="121">
        <f>D70</f>
        <v>49.391887781943204</v>
      </c>
    </row>
    <row r="58" spans="1:6" x14ac:dyDescent="0.25">
      <c r="A58" s="163"/>
      <c r="B58" s="85" t="s">
        <v>386</v>
      </c>
      <c r="C58" s="64">
        <f>C74</f>
        <v>209.30113185125504</v>
      </c>
      <c r="D58" s="64">
        <f>D74</f>
        <v>146.5107922958785</v>
      </c>
      <c r="E58" s="158"/>
      <c r="F58" s="158"/>
    </row>
    <row r="59" spans="1:6" x14ac:dyDescent="0.25">
      <c r="A59" s="163"/>
      <c r="B59" s="71" t="s">
        <v>387</v>
      </c>
      <c r="C59" s="171">
        <f>C78</f>
        <v>110.19147423988842</v>
      </c>
      <c r="D59" s="171">
        <f>D78</f>
        <v>110.19147423988842</v>
      </c>
    </row>
    <row r="60" spans="1:6" x14ac:dyDescent="0.25">
      <c r="A60" s="163"/>
      <c r="B60" s="119" t="s">
        <v>409</v>
      </c>
      <c r="C60" s="64">
        <f>360/(C28/C92)</f>
        <v>97.1949632360556</v>
      </c>
      <c r="D60" s="64">
        <f>360/(D28/D92)</f>
        <v>68.036474265238908</v>
      </c>
      <c r="E60" s="158"/>
      <c r="F60" s="158"/>
    </row>
    <row r="61" spans="1:6" x14ac:dyDescent="0.25">
      <c r="A61" s="163"/>
      <c r="B61" s="119" t="s">
        <v>410</v>
      </c>
      <c r="C61" s="64">
        <f>360/(C28/C91)</f>
        <v>152.8775518319836</v>
      </c>
      <c r="D61" s="64">
        <f>360/(D28/D91)</f>
        <v>178.9216194788965</v>
      </c>
    </row>
    <row r="62" spans="1:6" x14ac:dyDescent="0.25">
      <c r="A62" s="163"/>
      <c r="B62" s="119"/>
      <c r="C62" s="64"/>
      <c r="D62" s="64"/>
    </row>
    <row r="63" spans="1:6" x14ac:dyDescent="0.25">
      <c r="A63" s="163"/>
      <c r="B63" s="78" t="s">
        <v>411</v>
      </c>
      <c r="C63" s="78"/>
      <c r="D63" s="78"/>
    </row>
    <row r="64" spans="1:6" x14ac:dyDescent="0.25">
      <c r="A64" s="163"/>
      <c r="B64" s="71" t="s">
        <v>412</v>
      </c>
      <c r="C64" s="101">
        <f>C30/C28</f>
        <v>0.47516886559930405</v>
      </c>
      <c r="D64" s="101">
        <f>D30/D28</f>
        <v>0.47516886559930399</v>
      </c>
    </row>
    <row r="65" spans="1:8" x14ac:dyDescent="0.25">
      <c r="A65" s="163"/>
      <c r="B65" s="71" t="s">
        <v>413</v>
      </c>
      <c r="C65" s="101">
        <f>C35/C28</f>
        <v>0.16874836892359313</v>
      </c>
      <c r="D65" s="101">
        <f>D35/D28</f>
        <v>0.26067451792630636</v>
      </c>
    </row>
    <row r="66" spans="1:8" x14ac:dyDescent="0.25">
      <c r="A66" s="163"/>
      <c r="B66" s="71" t="s">
        <v>404</v>
      </c>
      <c r="C66" s="101">
        <f>C41/C28</f>
        <v>5.6921066257948259E-2</v>
      </c>
      <c r="D66" s="101">
        <f>D41/D28</f>
        <v>0.10747989050369422</v>
      </c>
    </row>
    <row r="67" spans="1:8" x14ac:dyDescent="0.25">
      <c r="A67" s="163"/>
      <c r="B67" s="119" t="s">
        <v>398</v>
      </c>
      <c r="C67" s="122">
        <f>C99</f>
        <v>0.1012599166645357</v>
      </c>
      <c r="D67" s="122">
        <f>D99</f>
        <v>0.15642154131716365</v>
      </c>
    </row>
    <row r="68" spans="1:8" x14ac:dyDescent="0.25">
      <c r="A68" s="163"/>
    </row>
    <row r="69" spans="1:8" x14ac:dyDescent="0.25">
      <c r="A69" s="163"/>
      <c r="B69" s="84" t="s">
        <v>384</v>
      </c>
      <c r="C69" s="92">
        <f>C70+C74-C78</f>
        <v>169.66949729985691</v>
      </c>
      <c r="D69" s="92">
        <f>D70+D74-D78</f>
        <v>85.711205837933292</v>
      </c>
    </row>
    <row r="70" spans="1:8" x14ac:dyDescent="0.25">
      <c r="A70" s="163"/>
      <c r="B70" s="89" t="s">
        <v>385</v>
      </c>
      <c r="C70" s="93">
        <f>360/C71</f>
        <v>70.5598396884903</v>
      </c>
      <c r="D70" s="93">
        <f>360/D71</f>
        <v>49.391887781943204</v>
      </c>
    </row>
    <row r="71" spans="1:8" x14ac:dyDescent="0.25">
      <c r="A71" s="163"/>
      <c r="B71" s="86" t="s">
        <v>388</v>
      </c>
      <c r="C71" s="64">
        <f>C72/C73</f>
        <v>5.1020524081310112</v>
      </c>
      <c r="D71" s="64">
        <f>D72/D73</f>
        <v>7.2886462973300166</v>
      </c>
    </row>
    <row r="72" spans="1:8" x14ac:dyDescent="0.25">
      <c r="A72" s="163"/>
      <c r="B72" s="86" t="s">
        <v>346</v>
      </c>
      <c r="C72" s="67">
        <f>'EF Sempertex 2015 I'!B57</f>
        <v>96562000</v>
      </c>
      <c r="D72" s="67">
        <f>D14</f>
        <v>137945714.2857143</v>
      </c>
    </row>
    <row r="73" spans="1:8" x14ac:dyDescent="0.25">
      <c r="A73" s="163"/>
      <c r="B73" s="86" t="s">
        <v>389</v>
      </c>
      <c r="C73" s="67">
        <f>'EF Sempertex 2015 I'!B28</f>
        <v>18926109</v>
      </c>
      <c r="D73" s="67">
        <f>C73</f>
        <v>18926109</v>
      </c>
      <c r="E73" s="109"/>
    </row>
    <row r="74" spans="1:8" x14ac:dyDescent="0.25">
      <c r="A74" s="163"/>
      <c r="B74" s="89" t="s">
        <v>386</v>
      </c>
      <c r="C74" s="93">
        <f>360/C75</f>
        <v>209.30113185125504</v>
      </c>
      <c r="D74" s="93">
        <f>360/D75</f>
        <v>146.5107922958785</v>
      </c>
    </row>
    <row r="75" spans="1:8" x14ac:dyDescent="0.25">
      <c r="A75" s="163"/>
      <c r="B75" s="86" t="s">
        <v>408</v>
      </c>
      <c r="C75" s="64">
        <f>C76/C77</f>
        <v>1.720009809864969</v>
      </c>
      <c r="D75" s="64">
        <f>D76/D77</f>
        <v>2.4571568712356706</v>
      </c>
    </row>
    <row r="76" spans="1:8" x14ac:dyDescent="0.25">
      <c r="A76" s="163"/>
      <c r="B76" s="86" t="s">
        <v>374</v>
      </c>
      <c r="C76" s="67">
        <f>'EF Sempertex 2015 I'!B58</f>
        <v>50678744</v>
      </c>
      <c r="D76" s="67">
        <f>D29</f>
        <v>72398205.714285731</v>
      </c>
      <c r="F76" s="75"/>
      <c r="G76" s="67"/>
      <c r="H76" s="109"/>
    </row>
    <row r="77" spans="1:8" x14ac:dyDescent="0.25">
      <c r="A77" s="163"/>
      <c r="B77" s="86" t="s">
        <v>390</v>
      </c>
      <c r="C77" s="67">
        <f>'EF Sempertex 2015 I'!B29</f>
        <v>29464218</v>
      </c>
      <c r="D77" s="132">
        <f>C77</f>
        <v>29464218</v>
      </c>
      <c r="E77" s="114"/>
      <c r="G77" s="67"/>
      <c r="H77" s="109"/>
    </row>
    <row r="78" spans="1:8" x14ac:dyDescent="0.25">
      <c r="A78" s="163"/>
      <c r="B78" s="89" t="s">
        <v>387</v>
      </c>
      <c r="C78" s="93">
        <f>360/C79</f>
        <v>110.19147423988842</v>
      </c>
      <c r="D78" s="93">
        <f>360/D79</f>
        <v>110.19147423988842</v>
      </c>
      <c r="G78" s="67"/>
      <c r="H78" s="112"/>
    </row>
    <row r="79" spans="1:8" x14ac:dyDescent="0.25">
      <c r="A79" s="163"/>
      <c r="B79" s="115" t="s">
        <v>387</v>
      </c>
      <c r="C79" s="64">
        <f>C80/C81</f>
        <v>3.2670404174489476</v>
      </c>
      <c r="D79" s="64">
        <f>D80/D81</f>
        <v>3.2670404174489476</v>
      </c>
      <c r="G79" s="67"/>
      <c r="H79" s="112"/>
    </row>
    <row r="80" spans="1:8" x14ac:dyDescent="0.25">
      <c r="A80" s="163"/>
      <c r="B80" s="115" t="s">
        <v>375</v>
      </c>
      <c r="C80" s="67">
        <f>C77-'EF Sempertex 2011-2014 I'!E38+'Evaluación Inversión PPE'!C76</f>
        <v>58447340</v>
      </c>
      <c r="D80" s="132">
        <f>C80</f>
        <v>58447340</v>
      </c>
      <c r="E80" s="114"/>
      <c r="F80" s="75"/>
      <c r="G80" s="109"/>
    </row>
    <row r="81" spans="1:8" x14ac:dyDescent="0.25">
      <c r="A81" s="163"/>
      <c r="B81" s="115" t="s">
        <v>391</v>
      </c>
      <c r="C81" s="67">
        <f>'EF Sempertex 2015 I'!B38</f>
        <v>17889996</v>
      </c>
      <c r="D81" s="67">
        <f>C81</f>
        <v>17889996</v>
      </c>
      <c r="H81" s="112"/>
    </row>
    <row r="82" spans="1:8" x14ac:dyDescent="0.25">
      <c r="A82" s="163"/>
    </row>
    <row r="83" spans="1:8" x14ac:dyDescent="0.25">
      <c r="A83" s="163"/>
      <c r="B83" s="84" t="s">
        <v>392</v>
      </c>
      <c r="C83" s="87">
        <f>C84+C85</f>
        <v>279.86097153974532</v>
      </c>
      <c r="D83" s="87">
        <f>D84+D85</f>
        <v>195.90268007782171</v>
      </c>
    </row>
    <row r="84" spans="1:8" x14ac:dyDescent="0.25">
      <c r="A84" s="163"/>
      <c r="B84" s="89" t="s">
        <v>385</v>
      </c>
      <c r="C84" s="90">
        <f>C70</f>
        <v>70.5598396884903</v>
      </c>
      <c r="D84" s="90">
        <f>D70</f>
        <v>49.391887781943204</v>
      </c>
    </row>
    <row r="85" spans="1:8" x14ac:dyDescent="0.25">
      <c r="A85" s="163"/>
      <c r="B85" s="89" t="s">
        <v>386</v>
      </c>
      <c r="C85" s="90">
        <f>C74</f>
        <v>209.30113185125504</v>
      </c>
      <c r="D85" s="90">
        <f>D74</f>
        <v>146.5107922958785</v>
      </c>
    </row>
    <row r="86" spans="1:8" x14ac:dyDescent="0.25">
      <c r="A86" s="163"/>
    </row>
    <row r="87" spans="1:8" x14ac:dyDescent="0.25">
      <c r="A87" s="163"/>
      <c r="B87" s="84" t="s">
        <v>393</v>
      </c>
      <c r="C87" s="98">
        <f>C88/C91</f>
        <v>0.2384494620851613</v>
      </c>
      <c r="D87" s="98">
        <f>D88/D91</f>
        <v>0.31472862272421354</v>
      </c>
    </row>
    <row r="88" spans="1:8" x14ac:dyDescent="0.25">
      <c r="A88" s="163"/>
      <c r="B88" s="89" t="s">
        <v>394</v>
      </c>
      <c r="C88" s="90">
        <f>C89*(1-C90)</f>
        <v>9777860.0729608964</v>
      </c>
      <c r="D88" s="90">
        <f>D89*(1-D90)</f>
        <v>21577681.24666851</v>
      </c>
    </row>
    <row r="89" spans="1:8" x14ac:dyDescent="0.25">
      <c r="A89" s="163"/>
      <c r="B89" s="86" t="s">
        <v>395</v>
      </c>
      <c r="C89" s="67">
        <f>C35</f>
        <v>16294680</v>
      </c>
      <c r="D89" s="67">
        <f>D35</f>
        <v>35958932.571428567</v>
      </c>
    </row>
    <row r="90" spans="1:8" x14ac:dyDescent="0.25">
      <c r="A90" s="163"/>
      <c r="B90" s="86" t="s">
        <v>396</v>
      </c>
      <c r="C90" s="75">
        <f>C39/C38</f>
        <v>0.39993543457368314</v>
      </c>
      <c r="D90" s="75">
        <f>C90</f>
        <v>0.39993543457368314</v>
      </c>
    </row>
    <row r="91" spans="1:8" x14ac:dyDescent="0.25">
      <c r="A91" s="163"/>
      <c r="B91" s="89" t="s">
        <v>379</v>
      </c>
      <c r="C91" s="95">
        <f t="shared" ref="C91:D91" si="2">C92+C97</f>
        <v>41006006</v>
      </c>
      <c r="D91" s="95">
        <f t="shared" si="2"/>
        <v>68559640.556036532</v>
      </c>
    </row>
    <row r="92" spans="1:8" x14ac:dyDescent="0.25">
      <c r="A92" s="163"/>
      <c r="B92" s="86" t="s">
        <v>338</v>
      </c>
      <c r="C92" s="67">
        <f>(C93-C94)-(C95-C96)</f>
        <v>26070389</v>
      </c>
      <c r="D92" s="67">
        <f>(D93-D94)-(D95-D96)</f>
        <v>26070389</v>
      </c>
      <c r="E92" s="109"/>
    </row>
    <row r="93" spans="1:8" x14ac:dyDescent="0.25">
      <c r="A93" s="163"/>
      <c r="B93" s="94" t="s">
        <v>339</v>
      </c>
      <c r="C93" s="132">
        <f>'EF Sempertex 2015 I'!B25</f>
        <v>58269458</v>
      </c>
      <c r="D93" s="133">
        <f>C93+(D19-C19)</f>
        <v>50003367.633189037</v>
      </c>
      <c r="E93" s="109"/>
    </row>
    <row r="94" spans="1:8" x14ac:dyDescent="0.25">
      <c r="A94" s="163"/>
      <c r="B94" s="94" t="s">
        <v>340</v>
      </c>
      <c r="C94" s="132">
        <f>'EF Sempertex 2015 I'!B27</f>
        <v>9879131</v>
      </c>
      <c r="D94" s="133">
        <f>D19</f>
        <v>1613040.6331890393</v>
      </c>
      <c r="E94" s="107" t="s">
        <v>492</v>
      </c>
    </row>
    <row r="95" spans="1:8" x14ac:dyDescent="0.25">
      <c r="A95" s="163"/>
      <c r="B95" s="94" t="s">
        <v>341</v>
      </c>
      <c r="C95" s="132">
        <f>'EF Sempertex 2015 I'!B34</f>
        <v>35723189</v>
      </c>
      <c r="D95" s="133">
        <f>C95</f>
        <v>35723189</v>
      </c>
    </row>
    <row r="96" spans="1:8" x14ac:dyDescent="0.25">
      <c r="A96" s="163"/>
      <c r="B96" s="94" t="s">
        <v>342</v>
      </c>
      <c r="C96" s="132">
        <f>'EF Sempertex 2015 I'!B40</f>
        <v>13403251</v>
      </c>
      <c r="D96" s="133">
        <f>C96</f>
        <v>13403251</v>
      </c>
    </row>
    <row r="97" spans="1:6" x14ac:dyDescent="0.25">
      <c r="A97" s="163"/>
      <c r="B97" s="86" t="s">
        <v>383</v>
      </c>
      <c r="C97" s="132">
        <f>'EF Sempertex 2015 I'!B30</f>
        <v>14935617</v>
      </c>
      <c r="D97" s="133">
        <f>C97+(D18-C18)</f>
        <v>42489251.556036532</v>
      </c>
      <c r="E97" s="109"/>
    </row>
    <row r="98" spans="1:6" x14ac:dyDescent="0.25">
      <c r="A98" s="163"/>
      <c r="B98" s="88" t="s">
        <v>397</v>
      </c>
      <c r="C98" s="116"/>
      <c r="D98" s="116"/>
    </row>
    <row r="99" spans="1:6" x14ac:dyDescent="0.25">
      <c r="A99" s="163"/>
      <c r="B99" s="99" t="s">
        <v>398</v>
      </c>
      <c r="C99" s="97">
        <f>C88/C28</f>
        <v>0.1012599166645357</v>
      </c>
      <c r="D99" s="97">
        <f>D88/D28</f>
        <v>0.15642154131716365</v>
      </c>
    </row>
    <row r="100" spans="1:6" x14ac:dyDescent="0.25">
      <c r="A100" s="163"/>
      <c r="B100" s="99" t="s">
        <v>399</v>
      </c>
      <c r="C100" s="100">
        <f>C28/C91</f>
        <v>2.3548257784481619</v>
      </c>
      <c r="D100" s="100">
        <f>D28/D91</f>
        <v>2.0120542226729698</v>
      </c>
    </row>
    <row r="101" spans="1:6" x14ac:dyDescent="0.25">
      <c r="A101" s="163"/>
    </row>
    <row r="102" spans="1:6" x14ac:dyDescent="0.25">
      <c r="A102" s="163"/>
      <c r="B102" s="91" t="s">
        <v>400</v>
      </c>
      <c r="C102" s="98">
        <f>C103/C104</f>
        <v>0.19990606283170154</v>
      </c>
      <c r="D102" s="98">
        <f>D103/D104</f>
        <v>0.35032874113853851</v>
      </c>
    </row>
    <row r="103" spans="1:6" x14ac:dyDescent="0.25">
      <c r="A103" s="163"/>
      <c r="B103" s="85" t="s">
        <v>401</v>
      </c>
      <c r="C103" s="109">
        <f>C41</f>
        <v>5496412</v>
      </c>
      <c r="D103" s="109">
        <f>D41</f>
        <v>14826390.266882461</v>
      </c>
    </row>
    <row r="104" spans="1:6" x14ac:dyDescent="0.25">
      <c r="A104" s="163"/>
      <c r="B104" s="85" t="s">
        <v>402</v>
      </c>
      <c r="C104" s="109">
        <f>'EF Sempertex 2015 I'!B45</f>
        <v>27494974</v>
      </c>
      <c r="D104" s="133">
        <f>C104+D41</f>
        <v>42321364.266882464</v>
      </c>
    </row>
    <row r="105" spans="1:6" x14ac:dyDescent="0.25">
      <c r="A105" s="163"/>
      <c r="B105" s="88" t="s">
        <v>403</v>
      </c>
      <c r="C105" s="116"/>
      <c r="D105" s="116"/>
    </row>
    <row r="106" spans="1:6" x14ac:dyDescent="0.25">
      <c r="A106" s="163"/>
      <c r="B106" s="99" t="s">
        <v>404</v>
      </c>
      <c r="C106" s="97">
        <f>C103/C28</f>
        <v>5.6921066257948259E-2</v>
      </c>
      <c r="D106" s="97">
        <f>D103/D28</f>
        <v>0.10747989050369422</v>
      </c>
    </row>
    <row r="107" spans="1:6" x14ac:dyDescent="0.25">
      <c r="A107" s="163"/>
      <c r="B107" s="99" t="s">
        <v>399</v>
      </c>
      <c r="C107" s="117">
        <f>C100</f>
        <v>2.3548257784481619</v>
      </c>
      <c r="D107" s="117">
        <f>D100</f>
        <v>2.0120542226729698</v>
      </c>
    </row>
    <row r="108" spans="1:6" x14ac:dyDescent="0.25">
      <c r="A108" s="163"/>
      <c r="B108" s="99" t="s">
        <v>405</v>
      </c>
      <c r="C108" s="100">
        <f>C91/C104</f>
        <v>1.4914000646081718</v>
      </c>
      <c r="D108" s="100">
        <f>D91/D104</f>
        <v>1.6199770906177091</v>
      </c>
    </row>
    <row r="110" spans="1:6" x14ac:dyDescent="0.25">
      <c r="B110" s="91" t="s">
        <v>406</v>
      </c>
      <c r="C110" s="102">
        <f>C102-C87</f>
        <v>-3.8543399253459759E-2</v>
      </c>
      <c r="D110" s="102">
        <f>D102-D87</f>
        <v>3.5600118414324977E-2</v>
      </c>
    </row>
    <row r="112" spans="1:6" x14ac:dyDescent="0.25">
      <c r="B112" s="153" t="s">
        <v>456</v>
      </c>
      <c r="C112" s="154">
        <f>C113/C114</f>
        <v>0.78473767605672218</v>
      </c>
      <c r="D112" s="154">
        <f>D113/D114</f>
        <v>0.96556164710414571</v>
      </c>
      <c r="F112" s="157"/>
    </row>
    <row r="113" spans="2:6" x14ac:dyDescent="0.25">
      <c r="B113" s="65" t="s">
        <v>454</v>
      </c>
      <c r="C113" s="109">
        <f>C20+C96</f>
        <v>21576342</v>
      </c>
      <c r="D113" s="109">
        <f>D20+D96</f>
        <v>40863886.189225569</v>
      </c>
    </row>
    <row r="114" spans="2:6" x14ac:dyDescent="0.25">
      <c r="B114" s="65" t="s">
        <v>402</v>
      </c>
      <c r="C114" s="109">
        <f>C104</f>
        <v>27494974</v>
      </c>
      <c r="D114" s="109">
        <f>D104</f>
        <v>42321364.266882464</v>
      </c>
    </row>
    <row r="115" spans="2:6" x14ac:dyDescent="0.25">
      <c r="B115" s="26" t="s">
        <v>455</v>
      </c>
      <c r="C115" s="154">
        <f>C116/C117</f>
        <v>0.52617516565744049</v>
      </c>
      <c r="D115" s="154">
        <f>D116/D117</f>
        <v>0.59603413696175789</v>
      </c>
      <c r="F115" s="157"/>
    </row>
    <row r="116" spans="2:6" x14ac:dyDescent="0.25">
      <c r="B116" s="119" t="s">
        <v>454</v>
      </c>
      <c r="C116" s="109">
        <f>C113</f>
        <v>21576342</v>
      </c>
      <c r="D116" s="109">
        <f>D113</f>
        <v>40863886.189225569</v>
      </c>
    </row>
    <row r="117" spans="2:6" x14ac:dyDescent="0.25">
      <c r="B117" s="119" t="s">
        <v>379</v>
      </c>
      <c r="C117" s="109">
        <f>C91</f>
        <v>41006006</v>
      </c>
      <c r="D117" s="109">
        <f>D91</f>
        <v>68559640.556036532</v>
      </c>
    </row>
    <row r="118" spans="2:6" x14ac:dyDescent="0.25">
      <c r="B118" s="26" t="s">
        <v>405</v>
      </c>
      <c r="C118" s="150">
        <f>C119/C120</f>
        <v>1.4914000646081718</v>
      </c>
      <c r="D118" s="150">
        <f>D119/D120</f>
        <v>1.6199770906177091</v>
      </c>
    </row>
    <row r="119" spans="2:6" x14ac:dyDescent="0.25">
      <c r="B119" s="119" t="s">
        <v>379</v>
      </c>
      <c r="C119" s="109">
        <f>C117</f>
        <v>41006006</v>
      </c>
      <c r="D119" s="109">
        <f>D117</f>
        <v>68559640.556036532</v>
      </c>
    </row>
    <row r="120" spans="2:6" x14ac:dyDescent="0.25">
      <c r="B120" s="119" t="s">
        <v>402</v>
      </c>
      <c r="C120" s="109">
        <f>C114</f>
        <v>27494974</v>
      </c>
      <c r="D120" s="109">
        <f>D114</f>
        <v>42321364.266882464</v>
      </c>
    </row>
  </sheetData>
  <hyperlinks>
    <hyperlink ref="B6" r:id="rId1"/>
    <hyperlink ref="B7" r:id="rId2"/>
    <hyperlink ref="B9" r:id="rId3"/>
    <hyperlink ref="B23" r:id="rId4" display="https://www.superfinanciera.gov.co/jsp/index.jsf"/>
  </hyperlinks>
  <pageMargins left="0.7" right="0.7" top="0.75" bottom="0.75" header="0.3" footer="0.3"/>
  <pageSetup paperSize="9" orientation="portrait"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95"/>
  <sheetViews>
    <sheetView showGridLines="0" workbookViewId="0">
      <pane xSplit="2" ySplit="1" topLeftCell="C32" activePane="bottomRight" state="frozen"/>
      <selection activeCell="B4" sqref="B4"/>
      <selection pane="topRight" activeCell="B4" sqref="B4"/>
      <selection pane="bottomLeft" activeCell="B4" sqref="B4"/>
      <selection pane="bottomRight" activeCell="D52" sqref="D52"/>
    </sheetView>
  </sheetViews>
  <sheetFormatPr baseColWidth="10" defaultColWidth="10.875" defaultRowHeight="15" x14ac:dyDescent="0.25"/>
  <cols>
    <col min="1" max="1" width="3.625" style="107" customWidth="1"/>
    <col min="2" max="2" width="37.625" style="107" customWidth="1"/>
    <col min="3" max="4" width="13.625" style="107" customWidth="1"/>
    <col min="5" max="7" width="10.875" style="107"/>
    <col min="8" max="8" width="12.625" style="107" bestFit="1" customWidth="1"/>
    <col min="9" max="16384" width="10.875" style="107"/>
  </cols>
  <sheetData>
    <row r="2" spans="2:5" x14ac:dyDescent="0.25">
      <c r="B2" s="104" t="s">
        <v>415</v>
      </c>
      <c r="C2" s="128"/>
      <c r="D2" s="128"/>
    </row>
    <row r="4" spans="2:5" x14ac:dyDescent="0.25">
      <c r="B4" s="26" t="s">
        <v>470</v>
      </c>
      <c r="C4" s="26" t="s">
        <v>471</v>
      </c>
    </row>
    <row r="5" spans="2:5" x14ac:dyDescent="0.25">
      <c r="B5" s="161" t="s">
        <v>472</v>
      </c>
      <c r="C5" s="159">
        <v>1500</v>
      </c>
    </row>
    <row r="6" spans="2:5" ht="30" x14ac:dyDescent="0.25">
      <c r="B6" s="162" t="s">
        <v>473</v>
      </c>
      <c r="C6" s="160">
        <v>1000</v>
      </c>
    </row>
    <row r="8" spans="2:5" x14ac:dyDescent="0.25">
      <c r="B8" s="26" t="s">
        <v>380</v>
      </c>
      <c r="C8" s="83">
        <v>2015</v>
      </c>
      <c r="D8" s="83" t="s">
        <v>377</v>
      </c>
    </row>
    <row r="9" spans="2:5" x14ac:dyDescent="0.25">
      <c r="B9" s="110" t="s">
        <v>299</v>
      </c>
      <c r="C9" s="96">
        <f>'EF Sempertex 2015 I'!B57</f>
        <v>96562000</v>
      </c>
      <c r="D9" s="118">
        <f>C9</f>
        <v>96562000</v>
      </c>
    </row>
    <row r="10" spans="2:5" x14ac:dyDescent="0.25">
      <c r="B10" s="111" t="s">
        <v>300</v>
      </c>
      <c r="C10" s="67">
        <f>'EF Sempertex 2015 I'!B58</f>
        <v>50678744</v>
      </c>
      <c r="D10" s="112">
        <f>C10*(1-D11)</f>
        <v>33785829.333333328</v>
      </c>
      <c r="E10" s="106"/>
    </row>
    <row r="11" spans="2:5" x14ac:dyDescent="0.25">
      <c r="B11" s="125" t="s">
        <v>414</v>
      </c>
      <c r="C11" s="126"/>
      <c r="D11" s="127">
        <f>1-(C6/C5)</f>
        <v>0.33333333333333337</v>
      </c>
      <c r="E11" s="106"/>
    </row>
    <row r="12" spans="2:5" x14ac:dyDescent="0.25">
      <c r="B12" s="131" t="s">
        <v>301</v>
      </c>
      <c r="C12" s="90">
        <f>'EF Sempertex 2015 I'!B59</f>
        <v>45883256</v>
      </c>
      <c r="D12" s="95">
        <f>D9-D10</f>
        <v>62776170.666666672</v>
      </c>
      <c r="E12" s="106"/>
    </row>
    <row r="13" spans="2:5" x14ac:dyDescent="0.25">
      <c r="B13" s="111" t="s">
        <v>302</v>
      </c>
      <c r="C13" s="67">
        <f>'EF Sempertex 2015 I'!B60</f>
        <v>1497597</v>
      </c>
      <c r="D13" s="112">
        <f t="shared" ref="D13:D16" si="0">C13</f>
        <v>1497597</v>
      </c>
      <c r="E13" s="106"/>
    </row>
    <row r="14" spans="2:5" x14ac:dyDescent="0.25">
      <c r="B14" s="110" t="s">
        <v>303</v>
      </c>
      <c r="C14" s="96">
        <f>'EF Sempertex 2015 I'!B61</f>
        <v>18133089</v>
      </c>
      <c r="D14" s="118">
        <f t="shared" si="0"/>
        <v>18133089</v>
      </c>
      <c r="E14" s="106"/>
    </row>
    <row r="15" spans="2:5" x14ac:dyDescent="0.25">
      <c r="B15" s="111" t="s">
        <v>304</v>
      </c>
      <c r="C15" s="67">
        <f>'EF Sempertex 2015 I'!B62</f>
        <v>12675308</v>
      </c>
      <c r="D15" s="112">
        <f t="shared" si="0"/>
        <v>12675308</v>
      </c>
      <c r="E15" s="106"/>
    </row>
    <row r="16" spans="2:5" x14ac:dyDescent="0.25">
      <c r="B16" s="110" t="s">
        <v>305</v>
      </c>
      <c r="C16" s="96">
        <f>'EF Sempertex 2015 I'!B63</f>
        <v>277776</v>
      </c>
      <c r="D16" s="118">
        <f t="shared" si="0"/>
        <v>277776</v>
      </c>
      <c r="E16" s="106"/>
    </row>
    <row r="17" spans="2:6" x14ac:dyDescent="0.25">
      <c r="B17" s="129" t="s">
        <v>306</v>
      </c>
      <c r="C17" s="73">
        <f>'EF Sempertex 2015 I'!B64</f>
        <v>16294680</v>
      </c>
      <c r="D17" s="130">
        <f>D12+D13-D14-D15-D16</f>
        <v>33187594.666666672</v>
      </c>
      <c r="E17" s="106"/>
      <c r="F17" s="109"/>
    </row>
    <row r="18" spans="2:6" x14ac:dyDescent="0.25">
      <c r="B18" s="110" t="s">
        <v>307</v>
      </c>
      <c r="C18" s="96">
        <f>'EF Sempertex 2015 I'!B65</f>
        <v>53962906</v>
      </c>
      <c r="D18" s="118">
        <f>C18</f>
        <v>53962906</v>
      </c>
      <c r="E18" s="106"/>
    </row>
    <row r="19" spans="2:6" x14ac:dyDescent="0.25">
      <c r="B19" s="111" t="s">
        <v>308</v>
      </c>
      <c r="C19" s="67">
        <f>'EF Sempertex 2015 I'!B66</f>
        <v>61097885</v>
      </c>
      <c r="D19" s="112">
        <f>C19</f>
        <v>61097885</v>
      </c>
      <c r="E19" s="106"/>
    </row>
    <row r="20" spans="2:6" x14ac:dyDescent="0.25">
      <c r="B20" s="131" t="s">
        <v>309</v>
      </c>
      <c r="C20" s="90">
        <f>'EF Sempertex 2015 I'!B67</f>
        <v>9159701</v>
      </c>
      <c r="D20" s="95">
        <f>D17+D18-D19</f>
        <v>26052615.666666672</v>
      </c>
      <c r="E20" s="106"/>
    </row>
    <row r="21" spans="2:6" x14ac:dyDescent="0.25">
      <c r="B21" s="111" t="s">
        <v>310</v>
      </c>
      <c r="C21" s="67">
        <f>'EF Sempertex 2015 I'!B68</f>
        <v>3663289</v>
      </c>
      <c r="D21" s="132">
        <f>C21/C20*D20</f>
        <v>10419364.168429481</v>
      </c>
      <c r="E21" s="106"/>
    </row>
    <row r="22" spans="2:6" x14ac:dyDescent="0.25">
      <c r="B22" s="131" t="s">
        <v>311</v>
      </c>
      <c r="C22" s="90">
        <f>'EF Sempertex 2015 I'!B69</f>
        <v>5496412</v>
      </c>
      <c r="D22" s="95">
        <f>D20-D21</f>
        <v>15633251.498237191</v>
      </c>
      <c r="E22" s="106"/>
    </row>
    <row r="23" spans="2:6" x14ac:dyDescent="0.25">
      <c r="B23" s="111" t="s">
        <v>312</v>
      </c>
      <c r="C23" s="67">
        <f>'EF Sempertex 2015 I'!B70</f>
        <v>5496412</v>
      </c>
      <c r="D23" s="123">
        <f>D22</f>
        <v>15633251.498237191</v>
      </c>
      <c r="E23" s="106"/>
    </row>
    <row r="24" spans="2:6" x14ac:dyDescent="0.25">
      <c r="B24" s="113" t="s">
        <v>381</v>
      </c>
      <c r="C24" s="78"/>
      <c r="D24" s="103">
        <f>D23-C23</f>
        <v>10136839.498237191</v>
      </c>
    </row>
    <row r="28" spans="2:6" x14ac:dyDescent="0.25">
      <c r="B28" s="78" t="s">
        <v>335</v>
      </c>
      <c r="C28" s="78"/>
      <c r="D28" s="78"/>
    </row>
    <row r="29" spans="2:6" x14ac:dyDescent="0.25">
      <c r="B29" s="120" t="s">
        <v>336</v>
      </c>
      <c r="C29" s="93">
        <f>C30/C31</f>
        <v>1.6311381942972671</v>
      </c>
      <c r="D29" s="93">
        <f>D30/D31</f>
        <v>1.6311381942972671</v>
      </c>
    </row>
    <row r="30" spans="2:6" x14ac:dyDescent="0.25">
      <c r="B30" s="115" t="s">
        <v>339</v>
      </c>
      <c r="C30" s="67">
        <f>'EF Sempertex 2015 I'!B25</f>
        <v>58269458</v>
      </c>
      <c r="D30" s="67">
        <f>C30</f>
        <v>58269458</v>
      </c>
      <c r="F30" s="109"/>
    </row>
    <row r="31" spans="2:6" x14ac:dyDescent="0.25">
      <c r="B31" s="115" t="s">
        <v>341</v>
      </c>
      <c r="C31" s="67">
        <f>'EF Sempertex 2015 I'!B34</f>
        <v>35723189</v>
      </c>
      <c r="D31" s="67">
        <f>C31</f>
        <v>35723189</v>
      </c>
    </row>
    <row r="32" spans="2:6" x14ac:dyDescent="0.25">
      <c r="B32" s="120" t="s">
        <v>337</v>
      </c>
      <c r="C32" s="93">
        <f>(C33-C34)/C35</f>
        <v>0.80634570446664211</v>
      </c>
      <c r="D32" s="93">
        <f>(D33-D34)/D35</f>
        <v>0.80634570446664211</v>
      </c>
    </row>
    <row r="33" spans="2:4" x14ac:dyDescent="0.25">
      <c r="B33" s="115" t="s">
        <v>339</v>
      </c>
      <c r="C33" s="67">
        <f>C30</f>
        <v>58269458</v>
      </c>
      <c r="D33" s="67">
        <f>D30</f>
        <v>58269458</v>
      </c>
    </row>
    <row r="34" spans="2:4" x14ac:dyDescent="0.25">
      <c r="B34" s="115" t="s">
        <v>382</v>
      </c>
      <c r="C34" s="67">
        <f>C58</f>
        <v>29464218</v>
      </c>
      <c r="D34" s="67">
        <f>D58</f>
        <v>29464218</v>
      </c>
    </row>
    <row r="35" spans="2:4" x14ac:dyDescent="0.25">
      <c r="B35" s="115" t="s">
        <v>341</v>
      </c>
      <c r="C35" s="67">
        <f>C31</f>
        <v>35723189</v>
      </c>
      <c r="D35" s="67">
        <f>D31</f>
        <v>35723189</v>
      </c>
    </row>
    <row r="37" spans="2:4" x14ac:dyDescent="0.25">
      <c r="B37" s="78" t="s">
        <v>407</v>
      </c>
      <c r="C37" s="78"/>
      <c r="D37" s="78"/>
    </row>
    <row r="38" spans="2:4" x14ac:dyDescent="0.25">
      <c r="B38" s="85" t="s">
        <v>385</v>
      </c>
      <c r="C38" s="121">
        <f>C51</f>
        <v>70.5598396884903</v>
      </c>
      <c r="D38" s="121">
        <f>D51</f>
        <v>70.5598396884903</v>
      </c>
    </row>
    <row r="39" spans="2:4" x14ac:dyDescent="0.25">
      <c r="B39" s="85" t="s">
        <v>386</v>
      </c>
      <c r="C39" s="64">
        <f>C55</f>
        <v>209.30113185125504</v>
      </c>
      <c r="D39" s="64">
        <f>D55</f>
        <v>313.95169777688261</v>
      </c>
    </row>
    <row r="40" spans="2:4" x14ac:dyDescent="0.25">
      <c r="B40" s="119" t="s">
        <v>387</v>
      </c>
      <c r="C40" s="64">
        <f>C59</f>
        <v>110.19147423988842</v>
      </c>
      <c r="D40" s="64">
        <f>D59</f>
        <v>110.19147423988842</v>
      </c>
    </row>
    <row r="41" spans="2:4" x14ac:dyDescent="0.25">
      <c r="B41" s="119" t="s">
        <v>409</v>
      </c>
      <c r="C41" s="64">
        <f>360/(C9/C77)</f>
        <v>97.1949632360556</v>
      </c>
      <c r="D41" s="64">
        <f>360/(D9/D77)</f>
        <v>97.1949632360556</v>
      </c>
    </row>
    <row r="42" spans="2:4" x14ac:dyDescent="0.25">
      <c r="B42" s="119" t="s">
        <v>410</v>
      </c>
      <c r="C42" s="64">
        <f>360/(C9/C76)</f>
        <v>152.8775518319836</v>
      </c>
      <c r="D42" s="64">
        <f>360/(D9/D76)</f>
        <v>152.8775518319836</v>
      </c>
    </row>
    <row r="43" spans="2:4" x14ac:dyDescent="0.25">
      <c r="B43" s="119"/>
      <c r="C43" s="64"/>
      <c r="D43" s="64"/>
    </row>
    <row r="44" spans="2:4" x14ac:dyDescent="0.25">
      <c r="B44" s="78" t="s">
        <v>411</v>
      </c>
      <c r="C44" s="78"/>
      <c r="D44" s="78"/>
    </row>
    <row r="45" spans="2:4" x14ac:dyDescent="0.25">
      <c r="B45" s="71" t="s">
        <v>412</v>
      </c>
      <c r="C45" s="101">
        <f>C12/C9</f>
        <v>0.47516886559930405</v>
      </c>
      <c r="D45" s="101">
        <f>D12/D9</f>
        <v>0.65011257706620273</v>
      </c>
    </row>
    <row r="46" spans="2:4" x14ac:dyDescent="0.25">
      <c r="B46" s="71" t="s">
        <v>413</v>
      </c>
      <c r="C46" s="101">
        <f>C17/C9</f>
        <v>0.16874836892359313</v>
      </c>
      <c r="D46" s="101">
        <f>D17/D9</f>
        <v>0.34369208039049182</v>
      </c>
    </row>
    <row r="47" spans="2:4" x14ac:dyDescent="0.25">
      <c r="B47" s="71" t="s">
        <v>404</v>
      </c>
      <c r="C47" s="101">
        <f>C23/C9</f>
        <v>5.6921066257948259E-2</v>
      </c>
      <c r="D47" s="101">
        <f>D23/D9</f>
        <v>0.1618985884533998</v>
      </c>
    </row>
    <row r="48" spans="2:4" x14ac:dyDescent="0.25">
      <c r="B48" s="119" t="s">
        <v>398</v>
      </c>
      <c r="C48" s="122">
        <f>C84</f>
        <v>0.1012599166645357</v>
      </c>
      <c r="D48" s="122">
        <f>D84</f>
        <v>0.20623743885998724</v>
      </c>
    </row>
    <row r="50" spans="2:8" x14ac:dyDescent="0.25">
      <c r="B50" s="84" t="s">
        <v>384</v>
      </c>
      <c r="C50" s="92">
        <f>C51+C55-C59</f>
        <v>169.66949729985691</v>
      </c>
      <c r="D50" s="92">
        <f>D51+D55-D59</f>
        <v>274.32006322548449</v>
      </c>
    </row>
    <row r="51" spans="2:8" x14ac:dyDescent="0.25">
      <c r="B51" s="89" t="s">
        <v>385</v>
      </c>
      <c r="C51" s="93">
        <f>360/C52</f>
        <v>70.5598396884903</v>
      </c>
      <c r="D51" s="93">
        <f>360/D52</f>
        <v>70.5598396884903</v>
      </c>
    </row>
    <row r="52" spans="2:8" x14ac:dyDescent="0.25">
      <c r="B52" s="86" t="s">
        <v>388</v>
      </c>
      <c r="C52" s="64">
        <f>C53/C54</f>
        <v>5.1020524081310112</v>
      </c>
      <c r="D52" s="64">
        <f>D53/D54</f>
        <v>5.1020524081310112</v>
      </c>
    </row>
    <row r="53" spans="2:8" x14ac:dyDescent="0.25">
      <c r="B53" s="86" t="s">
        <v>346</v>
      </c>
      <c r="C53" s="67">
        <f>'EF Sempertex 2015 I'!B57</f>
        <v>96562000</v>
      </c>
      <c r="D53" s="67">
        <f>C53</f>
        <v>96562000</v>
      </c>
    </row>
    <row r="54" spans="2:8" x14ac:dyDescent="0.25">
      <c r="B54" s="86" t="s">
        <v>389</v>
      </c>
      <c r="C54" s="67">
        <f>'EF Sempertex 2015 I'!B28</f>
        <v>18926109</v>
      </c>
      <c r="D54" s="67">
        <f>C54</f>
        <v>18926109</v>
      </c>
      <c r="E54" s="109"/>
    </row>
    <row r="55" spans="2:8" x14ac:dyDescent="0.25">
      <c r="B55" s="89" t="s">
        <v>386</v>
      </c>
      <c r="C55" s="93">
        <f>360/C56</f>
        <v>209.30113185125504</v>
      </c>
      <c r="D55" s="93">
        <f>360/D56</f>
        <v>313.95169777688261</v>
      </c>
    </row>
    <row r="56" spans="2:8" x14ac:dyDescent="0.25">
      <c r="B56" s="86" t="s">
        <v>408</v>
      </c>
      <c r="C56" s="64">
        <f>C57/C58</f>
        <v>1.720009809864969</v>
      </c>
      <c r="D56" s="64">
        <f>D57/D58</f>
        <v>1.1466732065766458</v>
      </c>
    </row>
    <row r="57" spans="2:8" x14ac:dyDescent="0.25">
      <c r="B57" s="86" t="s">
        <v>374</v>
      </c>
      <c r="C57" s="67">
        <f>'EF Sempertex 2015 I'!B58</f>
        <v>50678744</v>
      </c>
      <c r="D57" s="67">
        <f>D10</f>
        <v>33785829.333333328</v>
      </c>
      <c r="F57" s="75"/>
      <c r="G57" s="67"/>
      <c r="H57" s="109"/>
    </row>
    <row r="58" spans="2:8" x14ac:dyDescent="0.25">
      <c r="B58" s="86" t="s">
        <v>390</v>
      </c>
      <c r="C58" s="67">
        <f>'EF Sempertex 2015 I'!B29</f>
        <v>29464218</v>
      </c>
      <c r="D58" s="132">
        <f>C58</f>
        <v>29464218</v>
      </c>
      <c r="E58" s="114"/>
      <c r="G58" s="67"/>
      <c r="H58" s="109"/>
    </row>
    <row r="59" spans="2:8" x14ac:dyDescent="0.25">
      <c r="B59" s="89" t="s">
        <v>387</v>
      </c>
      <c r="C59" s="93">
        <f>360/C60</f>
        <v>110.19147423988842</v>
      </c>
      <c r="D59" s="93">
        <f>360/D60</f>
        <v>110.19147423988842</v>
      </c>
      <c r="G59" s="67"/>
      <c r="H59" s="112"/>
    </row>
    <row r="60" spans="2:8" x14ac:dyDescent="0.25">
      <c r="B60" s="115" t="s">
        <v>387</v>
      </c>
      <c r="C60" s="64">
        <f>C61/C62</f>
        <v>3.2670404174489476</v>
      </c>
      <c r="D60" s="64">
        <f>D61/D62</f>
        <v>3.2670404174489476</v>
      </c>
      <c r="G60" s="67"/>
      <c r="H60" s="112"/>
    </row>
    <row r="61" spans="2:8" x14ac:dyDescent="0.25">
      <c r="B61" s="115" t="s">
        <v>375</v>
      </c>
      <c r="C61" s="67">
        <f>C58-'EF Sempertex 2011-2014 I'!E38+'Evaluación Disminución Costo'!C57</f>
        <v>58447340</v>
      </c>
      <c r="D61" s="132">
        <f>C61</f>
        <v>58447340</v>
      </c>
      <c r="E61" s="114"/>
      <c r="F61" s="75"/>
      <c r="G61" s="109"/>
    </row>
    <row r="62" spans="2:8" x14ac:dyDescent="0.25">
      <c r="B62" s="115" t="s">
        <v>391</v>
      </c>
      <c r="C62" s="67">
        <f>'EF Sempertex 2015 I'!B38</f>
        <v>17889996</v>
      </c>
      <c r="D62" s="67">
        <f>C62</f>
        <v>17889996</v>
      </c>
      <c r="H62" s="112"/>
    </row>
    <row r="64" spans="2:8" x14ac:dyDescent="0.25">
      <c r="B64" s="84" t="s">
        <v>392</v>
      </c>
      <c r="C64" s="87">
        <f>C65+C66</f>
        <v>279.86097153974532</v>
      </c>
      <c r="D64" s="87">
        <f>D65+D66</f>
        <v>384.5115374653729</v>
      </c>
      <c r="E64" s="133"/>
    </row>
    <row r="65" spans="2:5" x14ac:dyDescent="0.25">
      <c r="B65" s="89" t="s">
        <v>385</v>
      </c>
      <c r="C65" s="90">
        <f>C51</f>
        <v>70.5598396884903</v>
      </c>
      <c r="D65" s="90">
        <f>D51</f>
        <v>70.5598396884903</v>
      </c>
      <c r="E65" s="133"/>
    </row>
    <row r="66" spans="2:5" x14ac:dyDescent="0.25">
      <c r="B66" s="89" t="s">
        <v>386</v>
      </c>
      <c r="C66" s="90">
        <f>C55</f>
        <v>209.30113185125504</v>
      </c>
      <c r="D66" s="90">
        <f>D55</f>
        <v>313.95169777688261</v>
      </c>
      <c r="E66" s="133"/>
    </row>
    <row r="67" spans="2:5" s="163" customFormat="1" x14ac:dyDescent="0.25">
      <c r="B67" s="164"/>
      <c r="C67" s="165"/>
      <c r="D67" s="165"/>
      <c r="E67" s="133"/>
    </row>
    <row r="68" spans="2:5" s="163" customFormat="1" x14ac:dyDescent="0.25">
      <c r="B68" s="84" t="s">
        <v>384</v>
      </c>
      <c r="C68" s="87">
        <f>C69-C70</f>
        <v>169.66949729985691</v>
      </c>
      <c r="D68" s="87">
        <f>D69-D70</f>
        <v>274.32006322548449</v>
      </c>
      <c r="E68" s="133"/>
    </row>
    <row r="69" spans="2:5" s="163" customFormat="1" x14ac:dyDescent="0.25">
      <c r="B69" s="89" t="str">
        <f>B64</f>
        <v>Ciclo de Negocio</v>
      </c>
      <c r="C69" s="166">
        <f>C64</f>
        <v>279.86097153974532</v>
      </c>
      <c r="D69" s="166">
        <f>D64</f>
        <v>384.5115374653729</v>
      </c>
    </row>
    <row r="70" spans="2:5" s="163" customFormat="1" x14ac:dyDescent="0.25">
      <c r="B70" s="89" t="s">
        <v>387</v>
      </c>
      <c r="C70" s="166">
        <f>C59</f>
        <v>110.19147423988842</v>
      </c>
      <c r="D70" s="166">
        <f>D59</f>
        <v>110.19147423988842</v>
      </c>
    </row>
    <row r="72" spans="2:5" x14ac:dyDescent="0.25">
      <c r="B72" s="84" t="s">
        <v>393</v>
      </c>
      <c r="C72" s="98">
        <f>C73/C76</f>
        <v>0.2384494620851613</v>
      </c>
      <c r="D72" s="98">
        <f>D73/D76</f>
        <v>0.48565323750862466</v>
      </c>
    </row>
    <row r="73" spans="2:5" x14ac:dyDescent="0.25">
      <c r="B73" s="89" t="s">
        <v>394</v>
      </c>
      <c r="C73" s="90">
        <f>C74*(1-C75)</f>
        <v>9777860.0729608964</v>
      </c>
      <c r="D73" s="90">
        <f>D74*(1-D75)</f>
        <v>19914699.571198087</v>
      </c>
    </row>
    <row r="74" spans="2:5" x14ac:dyDescent="0.25">
      <c r="B74" s="86" t="s">
        <v>395</v>
      </c>
      <c r="C74" s="67">
        <f>C17</f>
        <v>16294680</v>
      </c>
      <c r="D74" s="67">
        <f>D17</f>
        <v>33187594.666666672</v>
      </c>
    </row>
    <row r="75" spans="2:5" x14ac:dyDescent="0.25">
      <c r="B75" s="86" t="s">
        <v>396</v>
      </c>
      <c r="C75" s="75">
        <f>C21/C20</f>
        <v>0.39993543457368314</v>
      </c>
      <c r="D75" s="75">
        <f>C75</f>
        <v>0.39993543457368314</v>
      </c>
    </row>
    <row r="76" spans="2:5" x14ac:dyDescent="0.25">
      <c r="B76" s="89" t="s">
        <v>379</v>
      </c>
      <c r="C76" s="95">
        <f t="shared" ref="C76:D76" si="1">C77+C82</f>
        <v>41006006</v>
      </c>
      <c r="D76" s="95">
        <f t="shared" si="1"/>
        <v>41006006</v>
      </c>
    </row>
    <row r="77" spans="2:5" x14ac:dyDescent="0.25">
      <c r="B77" s="86" t="s">
        <v>338</v>
      </c>
      <c r="C77" s="67">
        <f>(C78-C79)-(C80-C81)</f>
        <v>26070389</v>
      </c>
      <c r="D77" s="67">
        <f>(D78-D79)-(D80-D81)</f>
        <v>26070389</v>
      </c>
      <c r="E77" s="109"/>
    </row>
    <row r="78" spans="2:5" x14ac:dyDescent="0.25">
      <c r="B78" s="94" t="s">
        <v>339</v>
      </c>
      <c r="C78" s="67">
        <f>'EF Sempertex 2015 I'!B25</f>
        <v>58269458</v>
      </c>
      <c r="D78" s="109">
        <f>C78+(D54-C54)+(D58-C58)</f>
        <v>58269458</v>
      </c>
    </row>
    <row r="79" spans="2:5" x14ac:dyDescent="0.25">
      <c r="B79" s="94" t="s">
        <v>340</v>
      </c>
      <c r="C79" s="67">
        <f>'EF Sempertex 2015 I'!B27</f>
        <v>9879131</v>
      </c>
      <c r="D79" s="109">
        <f>C79</f>
        <v>9879131</v>
      </c>
    </row>
    <row r="80" spans="2:5" x14ac:dyDescent="0.25">
      <c r="B80" s="94" t="s">
        <v>341</v>
      </c>
      <c r="C80" s="67">
        <f>'EF Sempertex 2015 I'!B34</f>
        <v>35723189</v>
      </c>
      <c r="D80" s="109">
        <f>C80</f>
        <v>35723189</v>
      </c>
    </row>
    <row r="81" spans="2:6" x14ac:dyDescent="0.25">
      <c r="B81" s="94" t="s">
        <v>342</v>
      </c>
      <c r="C81" s="67">
        <f>'EF Sempertex 2015 I'!B40</f>
        <v>13403251</v>
      </c>
      <c r="D81" s="109">
        <f>C81</f>
        <v>13403251</v>
      </c>
    </row>
    <row r="82" spans="2:6" x14ac:dyDescent="0.25">
      <c r="B82" s="86" t="s">
        <v>383</v>
      </c>
      <c r="C82" s="67">
        <f>'EF Sempertex 2015 I'!B30</f>
        <v>14935617</v>
      </c>
      <c r="D82" s="109">
        <f>C82</f>
        <v>14935617</v>
      </c>
    </row>
    <row r="83" spans="2:6" x14ac:dyDescent="0.25">
      <c r="B83" s="88" t="s">
        <v>397</v>
      </c>
      <c r="C83" s="116"/>
      <c r="D83" s="116"/>
    </row>
    <row r="84" spans="2:6" x14ac:dyDescent="0.25">
      <c r="B84" s="99" t="s">
        <v>398</v>
      </c>
      <c r="C84" s="97">
        <f>C73/C9</f>
        <v>0.1012599166645357</v>
      </c>
      <c r="D84" s="97">
        <f>D73/D9</f>
        <v>0.20623743885998724</v>
      </c>
      <c r="E84" s="67"/>
      <c r="F84" s="67"/>
    </row>
    <row r="85" spans="2:6" x14ac:dyDescent="0.25">
      <c r="B85" s="99" t="s">
        <v>399</v>
      </c>
      <c r="C85" s="100">
        <f>C9/C76</f>
        <v>2.3548257784481619</v>
      </c>
      <c r="D85" s="100">
        <f>D9/D76</f>
        <v>2.3548257784481619</v>
      </c>
    </row>
    <row r="87" spans="2:6" x14ac:dyDescent="0.25">
      <c r="B87" s="91" t="s">
        <v>400</v>
      </c>
      <c r="C87" s="98">
        <f>C88/C89</f>
        <v>0.19990606283170154</v>
      </c>
      <c r="D87" s="98">
        <f>D88/D89</f>
        <v>0.56858578946963878</v>
      </c>
    </row>
    <row r="88" spans="2:6" x14ac:dyDescent="0.25">
      <c r="B88" s="85" t="s">
        <v>401</v>
      </c>
      <c r="C88" s="109">
        <f>C23</f>
        <v>5496412</v>
      </c>
      <c r="D88" s="109">
        <f>D23</f>
        <v>15633251.498237191</v>
      </c>
    </row>
    <row r="89" spans="2:6" x14ac:dyDescent="0.25">
      <c r="B89" s="85" t="s">
        <v>402</v>
      </c>
      <c r="C89" s="109">
        <f>'EF Sempertex 2015 I'!B45</f>
        <v>27494974</v>
      </c>
      <c r="D89" s="133">
        <f>C89</f>
        <v>27494974</v>
      </c>
    </row>
    <row r="90" spans="2:6" x14ac:dyDescent="0.25">
      <c r="B90" s="88" t="s">
        <v>403</v>
      </c>
      <c r="C90" s="116"/>
      <c r="D90" s="116"/>
    </row>
    <row r="91" spans="2:6" x14ac:dyDescent="0.25">
      <c r="B91" s="99" t="s">
        <v>404</v>
      </c>
      <c r="C91" s="97">
        <f>C88/C9</f>
        <v>5.6921066257948259E-2</v>
      </c>
      <c r="D91" s="97">
        <f>D88/D9</f>
        <v>0.1618985884533998</v>
      </c>
    </row>
    <row r="92" spans="2:6" x14ac:dyDescent="0.25">
      <c r="B92" s="99" t="s">
        <v>399</v>
      </c>
      <c r="C92" s="117">
        <f>C85</f>
        <v>2.3548257784481619</v>
      </c>
      <c r="D92" s="117">
        <f>D85</f>
        <v>2.3548257784481619</v>
      </c>
    </row>
    <row r="93" spans="2:6" x14ac:dyDescent="0.25">
      <c r="B93" s="99" t="s">
        <v>405</v>
      </c>
      <c r="C93" s="100">
        <f>C76/C89</f>
        <v>1.4914000646081718</v>
      </c>
      <c r="D93" s="100">
        <f>D76/D89</f>
        <v>1.4914000646081718</v>
      </c>
    </row>
    <row r="95" spans="2:6" x14ac:dyDescent="0.25">
      <c r="B95" s="91" t="s">
        <v>406</v>
      </c>
      <c r="C95" s="102">
        <f>C87-C72</f>
        <v>-3.8543399253459759E-2</v>
      </c>
      <c r="D95" s="102">
        <f>D87-D72</f>
        <v>8.2932551961014123E-2</v>
      </c>
    </row>
  </sheetData>
  <hyperlinks>
    <hyperlink ref="B5" r:id="rId1"/>
    <hyperlink ref="B6" r:id="rId2"/>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57"/>
  <sheetViews>
    <sheetView showGridLines="0" workbookViewId="0">
      <selection activeCell="A16" sqref="A16"/>
    </sheetView>
  </sheetViews>
  <sheetFormatPr baseColWidth="10" defaultColWidth="11.375" defaultRowHeight="15" x14ac:dyDescent="0.25"/>
  <cols>
    <col min="1" max="1" width="3.625" customWidth="1"/>
    <col min="2" max="2" width="37" bestFit="1" customWidth="1"/>
  </cols>
  <sheetData>
    <row r="2" spans="2:7" x14ac:dyDescent="0.25">
      <c r="C2">
        <v>2011</v>
      </c>
      <c r="D2">
        <v>2012</v>
      </c>
      <c r="E2">
        <v>2013</v>
      </c>
      <c r="F2">
        <v>2014</v>
      </c>
      <c r="G2">
        <v>2015</v>
      </c>
    </row>
    <row r="4" spans="2:7" x14ac:dyDescent="0.25">
      <c r="B4" s="72" t="s">
        <v>346</v>
      </c>
      <c r="C4" s="73">
        <f>'EF Sempertex 2011-2014 I'!B96</f>
        <v>60953023</v>
      </c>
      <c r="D4" s="73">
        <f>'EF Sempertex 2011-2014 I'!C96</f>
        <v>63696911</v>
      </c>
      <c r="E4" s="73">
        <f>'EF Sempertex 2011-2014 I'!D96</f>
        <v>66144474</v>
      </c>
      <c r="F4" s="73">
        <f>'EF Sempertex 2011-2014 I'!E96</f>
        <v>82963988</v>
      </c>
      <c r="G4" s="73">
        <f>'EF Sempertex 2015 I'!B57</f>
        <v>96562000</v>
      </c>
    </row>
    <row r="5" spans="2:7" x14ac:dyDescent="0.25">
      <c r="B5" s="33" t="s">
        <v>349</v>
      </c>
      <c r="C5" s="67">
        <f>'EF Sempertex 2011-2014 I'!B97</f>
        <v>41797331</v>
      </c>
      <c r="D5" s="67">
        <f>'EF Sempertex 2011-2014 I'!C97</f>
        <v>42411723</v>
      </c>
      <c r="E5" s="67">
        <f>'EF Sempertex 2011-2014 I'!D97</f>
        <v>40940243</v>
      </c>
      <c r="F5" s="67">
        <f>'EF Sempertex 2011-2014 I'!E97</f>
        <v>44412133</v>
      </c>
      <c r="G5" s="67">
        <f>'EF Sempertex 2015 I'!B58</f>
        <v>50678744</v>
      </c>
    </row>
    <row r="6" spans="2:7" x14ac:dyDescent="0.25">
      <c r="B6" s="72" t="s">
        <v>350</v>
      </c>
      <c r="C6" s="73">
        <f>'EF Sempertex 2011-2014 I'!B98</f>
        <v>19155692</v>
      </c>
      <c r="D6" s="73">
        <f>'EF Sempertex 2011-2014 I'!C98</f>
        <v>21285188</v>
      </c>
      <c r="E6" s="73">
        <f>'EF Sempertex 2011-2014 I'!D98</f>
        <v>25204231</v>
      </c>
      <c r="F6" s="73">
        <f>'EF Sempertex 2011-2014 I'!E98</f>
        <v>38551855</v>
      </c>
      <c r="G6" s="73">
        <f>'EF Sempertex 2015 I'!B59</f>
        <v>45883256</v>
      </c>
    </row>
    <row r="7" spans="2:7" x14ac:dyDescent="0.25">
      <c r="B7" s="33" t="s">
        <v>347</v>
      </c>
      <c r="C7" s="67"/>
      <c r="D7" s="67"/>
      <c r="E7" s="67"/>
      <c r="F7" s="67"/>
      <c r="G7" s="67">
        <f>'EF Sempertex 2015 I'!B60</f>
        <v>1497597</v>
      </c>
    </row>
    <row r="8" spans="2:7" x14ac:dyDescent="0.25">
      <c r="B8" s="30" t="s">
        <v>351</v>
      </c>
      <c r="C8" s="67">
        <f>'EF Sempertex 2011-2014 I'!B99</f>
        <v>5989470</v>
      </c>
      <c r="D8" s="67">
        <f>'EF Sempertex 2011-2014 I'!C99</f>
        <v>7728707</v>
      </c>
      <c r="E8" s="67">
        <f>'EF Sempertex 2011-2014 I'!D99</f>
        <v>9350983</v>
      </c>
      <c r="F8" s="67">
        <f>'EF Sempertex 2011-2014 I'!E99</f>
        <v>10136508</v>
      </c>
      <c r="G8" s="67">
        <f>'EF Sempertex 2015 I'!B62</f>
        <v>12675308</v>
      </c>
    </row>
    <row r="9" spans="2:7" x14ac:dyDescent="0.25">
      <c r="B9" s="33" t="s">
        <v>352</v>
      </c>
      <c r="C9" s="67">
        <f>'EF Sempertex 2011-2014 I'!B100</f>
        <v>8647439</v>
      </c>
      <c r="D9" s="67">
        <f>'EF Sempertex 2011-2014 I'!C100</f>
        <v>9601038</v>
      </c>
      <c r="E9" s="67">
        <f>'EF Sempertex 2011-2014 I'!D100</f>
        <v>11039309</v>
      </c>
      <c r="F9" s="67">
        <f>'EF Sempertex 2011-2014 I'!E100</f>
        <v>15676353</v>
      </c>
      <c r="G9" s="67">
        <f>'EF Sempertex 2015 I'!B61</f>
        <v>18133089</v>
      </c>
    </row>
    <row r="10" spans="2:7" x14ac:dyDescent="0.25">
      <c r="B10" s="30" t="s">
        <v>348</v>
      </c>
      <c r="C10" s="67"/>
      <c r="D10" s="67"/>
      <c r="E10" s="67"/>
      <c r="F10" s="67"/>
      <c r="G10" s="67">
        <f>'EF Sempertex 2015 I'!B63</f>
        <v>277776</v>
      </c>
    </row>
    <row r="11" spans="2:7" x14ac:dyDescent="0.25">
      <c r="B11" s="74" t="s">
        <v>353</v>
      </c>
      <c r="C11" s="73">
        <f>'EF Sempertex 2011-2014 I'!B101</f>
        <v>4518783</v>
      </c>
      <c r="D11" s="73">
        <f>'EF Sempertex 2011-2014 I'!C101</f>
        <v>3955443</v>
      </c>
      <c r="E11" s="73">
        <f>'EF Sempertex 2011-2014 I'!D101</f>
        <v>4813939</v>
      </c>
      <c r="F11" s="73">
        <f>'EF Sempertex 2011-2014 I'!E101</f>
        <v>12738994</v>
      </c>
      <c r="G11" s="73">
        <f>'EF Sempertex 2015 I'!B64</f>
        <v>16294680</v>
      </c>
    </row>
    <row r="12" spans="2:7" x14ac:dyDescent="0.25">
      <c r="B12" s="30" t="s">
        <v>354</v>
      </c>
      <c r="C12" s="67">
        <f>'EF Sempertex 2011-2014 I'!B102</f>
        <v>5445868</v>
      </c>
      <c r="D12" s="67">
        <f>'EF Sempertex 2011-2014 I'!C102</f>
        <v>5771744</v>
      </c>
      <c r="E12" s="67">
        <f>'EF Sempertex 2011-2014 I'!D102</f>
        <v>5961612</v>
      </c>
      <c r="F12" s="67">
        <f>'EF Sempertex 2011-2014 I'!E102</f>
        <v>12528513</v>
      </c>
      <c r="G12" s="67"/>
    </row>
    <row r="13" spans="2:7" x14ac:dyDescent="0.25">
      <c r="B13" s="33" t="s">
        <v>355</v>
      </c>
      <c r="C13" s="67">
        <f>'EF Sempertex 2011-2014 I'!B103</f>
        <v>6422166</v>
      </c>
      <c r="D13" s="67">
        <f>'EF Sempertex 2011-2014 I'!C103</f>
        <v>5246841</v>
      </c>
      <c r="E13" s="132">
        <f>SUM(E14:E15)</f>
        <v>5450656</v>
      </c>
      <c r="F13" s="132">
        <f>SUM(F14:F15)</f>
        <v>16347494</v>
      </c>
      <c r="G13" s="67"/>
    </row>
    <row r="14" spans="2:7" x14ac:dyDescent="0.25">
      <c r="B14" s="30" t="s">
        <v>356</v>
      </c>
      <c r="C14" s="67" t="str">
        <f>'EF Sempertex 2011-2014 I'!B104</f>
        <v> </v>
      </c>
      <c r="D14" s="67" t="str">
        <f>'EF Sempertex 2011-2014 I'!C104</f>
        <v> </v>
      </c>
      <c r="E14" s="67">
        <f>'EF Sempertex 2011-2014 I'!D104</f>
        <v>594701</v>
      </c>
      <c r="F14" s="67">
        <f>'EF Sempertex 2011-2014 I'!E104</f>
        <v>894702</v>
      </c>
      <c r="G14" s="67"/>
    </row>
    <row r="15" spans="2:7" x14ac:dyDescent="0.25">
      <c r="B15" s="33" t="s">
        <v>357</v>
      </c>
      <c r="C15" s="67" t="str">
        <f>'EF Sempertex 2011-2014 I'!B105</f>
        <v> </v>
      </c>
      <c r="D15" s="67" t="str">
        <f>'EF Sempertex 2011-2014 I'!C105</f>
        <v> </v>
      </c>
      <c r="E15" s="67">
        <f>'EF Sempertex 2011-2014 I'!D105</f>
        <v>4855955</v>
      </c>
      <c r="F15" s="67">
        <f>'EF Sempertex 2011-2014 I'!E105</f>
        <v>15452792</v>
      </c>
      <c r="G15" s="67"/>
    </row>
    <row r="16" spans="2:7" x14ac:dyDescent="0.25">
      <c r="B16" s="30" t="s">
        <v>307</v>
      </c>
      <c r="C16" s="67"/>
      <c r="D16" s="67"/>
      <c r="E16" s="67"/>
      <c r="F16" s="67"/>
      <c r="G16" s="132">
        <f>'EF Sempertex 2015 I'!B65</f>
        <v>53962906</v>
      </c>
    </row>
    <row r="17" spans="2:7" x14ac:dyDescent="0.25">
      <c r="B17" s="33" t="s">
        <v>308</v>
      </c>
      <c r="C17" s="67"/>
      <c r="D17" s="67"/>
      <c r="E17" s="67"/>
      <c r="F17" s="67"/>
      <c r="G17" s="132">
        <f>'EF Sempertex 2015 I'!B66</f>
        <v>61097885</v>
      </c>
    </row>
    <row r="18" spans="2:7" x14ac:dyDescent="0.25">
      <c r="B18" s="72" t="s">
        <v>358</v>
      </c>
      <c r="C18" s="73">
        <f>'EF Sempertex 2011-2014 I'!B106</f>
        <v>3542485</v>
      </c>
      <c r="D18" s="73">
        <f>'EF Sempertex 2011-2014 I'!C106</f>
        <v>4480346</v>
      </c>
      <c r="E18" s="73">
        <f>'EF Sempertex 2011-2014 I'!D106</f>
        <v>5324895</v>
      </c>
      <c r="F18" s="73">
        <f>'EF Sempertex 2011-2014 I'!E106</f>
        <v>8920013</v>
      </c>
      <c r="G18" s="73">
        <f>'EF Sempertex 2015 I'!B67</f>
        <v>9159701</v>
      </c>
    </row>
    <row r="19" spans="2:7" x14ac:dyDescent="0.25">
      <c r="B19" s="33" t="s">
        <v>359</v>
      </c>
      <c r="C19" s="67">
        <f>'EF Sempertex 2011-2014 I'!B107</f>
        <v>1250003</v>
      </c>
      <c r="D19" s="67">
        <f>'EF Sempertex 2011-2014 I'!C107</f>
        <v>1618754</v>
      </c>
      <c r="E19" s="67">
        <f>'EF Sempertex 2011-2014 I'!D107</f>
        <v>1940209</v>
      </c>
      <c r="F19" s="67">
        <f>'EF Sempertex 2011-2014 I'!E107</f>
        <v>3124031</v>
      </c>
      <c r="G19" s="67">
        <f>'EF Sempertex 2015 I'!B68</f>
        <v>3663289</v>
      </c>
    </row>
    <row r="20" spans="2:7" x14ac:dyDescent="0.25">
      <c r="B20" s="72" t="s">
        <v>360</v>
      </c>
      <c r="C20" s="73">
        <f>'EF Sempertex 2011-2014 I'!B108</f>
        <v>2292482</v>
      </c>
      <c r="D20" s="73">
        <f>'EF Sempertex 2011-2014 I'!C108</f>
        <v>2861592</v>
      </c>
      <c r="E20" s="73">
        <f>'EF Sempertex 2011-2014 I'!D108</f>
        <v>3384686</v>
      </c>
      <c r="F20" s="73">
        <f>'EF Sempertex 2011-2014 I'!E108</f>
        <v>5795982</v>
      </c>
      <c r="G20" s="73">
        <f>'EF Sempertex 2015 I'!B69</f>
        <v>5496412</v>
      </c>
    </row>
    <row r="22" spans="2:7" x14ac:dyDescent="0.25">
      <c r="B22" s="79" t="s">
        <v>370</v>
      </c>
      <c r="C22" s="80"/>
      <c r="D22" s="80"/>
      <c r="E22" s="80"/>
      <c r="F22" s="80"/>
      <c r="G22" s="80"/>
    </row>
    <row r="23" spans="2:7" x14ac:dyDescent="0.25">
      <c r="B23" s="383" t="s">
        <v>349</v>
      </c>
      <c r="C23" s="75">
        <f>C5/C4</f>
        <v>0.68573023851499537</v>
      </c>
      <c r="D23" s="75">
        <f t="shared" ref="D23:G23" si="0">D5/D4</f>
        <v>0.66583641709093244</v>
      </c>
      <c r="E23" s="75">
        <f t="shared" si="0"/>
        <v>0.6189518265728442</v>
      </c>
      <c r="F23" s="75">
        <f t="shared" si="0"/>
        <v>0.53531820336312663</v>
      </c>
      <c r="G23" s="75">
        <f t="shared" si="0"/>
        <v>0.52483113440069595</v>
      </c>
    </row>
    <row r="24" spans="2:7" x14ac:dyDescent="0.25">
      <c r="B24" s="384" t="s">
        <v>351</v>
      </c>
      <c r="C24" s="75">
        <f>C8/C$4</f>
        <v>9.8263707117528853E-2</v>
      </c>
      <c r="D24" s="75">
        <f t="shared" ref="D24:G25" si="1">D8/D$4</f>
        <v>0.12133566414233179</v>
      </c>
      <c r="E24" s="75">
        <f t="shared" si="1"/>
        <v>0.14137209708554035</v>
      </c>
      <c r="F24" s="75">
        <f t="shared" si="1"/>
        <v>0.12217961364152359</v>
      </c>
      <c r="G24" s="75">
        <f t="shared" si="1"/>
        <v>0.13126600526086865</v>
      </c>
    </row>
    <row r="25" spans="2:7" x14ac:dyDescent="0.25">
      <c r="B25" s="383" t="s">
        <v>352</v>
      </c>
      <c r="C25" s="75">
        <f>C9/C$4</f>
        <v>0.14187055168699345</v>
      </c>
      <c r="D25" s="75">
        <f t="shared" si="1"/>
        <v>0.15073004089633169</v>
      </c>
      <c r="E25" s="75">
        <f t="shared" si="1"/>
        <v>0.16689692021740168</v>
      </c>
      <c r="F25" s="75">
        <f t="shared" si="1"/>
        <v>0.18895370603447847</v>
      </c>
      <c r="G25" s="75">
        <f t="shared" si="1"/>
        <v>0.18778700731136472</v>
      </c>
    </row>
    <row r="26" spans="2:7" x14ac:dyDescent="0.25">
      <c r="B26" s="384" t="s">
        <v>354</v>
      </c>
      <c r="C26" s="75">
        <f>C12/C$4</f>
        <v>8.9345330747582441E-2</v>
      </c>
      <c r="D26" s="75">
        <f t="shared" ref="D26:F26" si="2">D12/D$4</f>
        <v>9.0612620131610463E-2</v>
      </c>
      <c r="E26" s="75">
        <f t="shared" si="2"/>
        <v>9.0130159626033157E-2</v>
      </c>
      <c r="F26" s="75">
        <f t="shared" si="2"/>
        <v>0.15101146053875808</v>
      </c>
      <c r="G26" s="75"/>
    </row>
    <row r="27" spans="2:7" x14ac:dyDescent="0.25">
      <c r="B27" s="383" t="s">
        <v>355</v>
      </c>
      <c r="C27" s="75">
        <f t="shared" ref="C27:F27" si="3">C13/C$4</f>
        <v>0.10536255109119035</v>
      </c>
      <c r="D27" s="75">
        <f t="shared" si="3"/>
        <v>8.2371985040216478E-2</v>
      </c>
      <c r="E27" s="75">
        <f t="shared" si="3"/>
        <v>8.2405311742293097E-2</v>
      </c>
      <c r="F27" s="75">
        <f t="shared" si="3"/>
        <v>0.19704325206739098</v>
      </c>
      <c r="G27" s="75"/>
    </row>
    <row r="28" spans="2:7" x14ac:dyDescent="0.25">
      <c r="B28" s="384" t="s">
        <v>307</v>
      </c>
      <c r="C28" s="75"/>
      <c r="D28" s="75"/>
      <c r="E28" s="75"/>
      <c r="F28" s="75"/>
      <c r="G28" s="75">
        <f t="shared" ref="G28" si="4">G16/G$4</f>
        <v>0.55884204966757112</v>
      </c>
    </row>
    <row r="29" spans="2:7" x14ac:dyDescent="0.25">
      <c r="B29" s="383" t="s">
        <v>308</v>
      </c>
      <c r="C29" s="75"/>
      <c r="D29" s="75"/>
      <c r="E29" s="75"/>
      <c r="F29" s="75"/>
      <c r="G29" s="75">
        <f t="shared" ref="G29" si="5">G17/G$4</f>
        <v>0.63273218243201257</v>
      </c>
    </row>
    <row r="30" spans="2:7" x14ac:dyDescent="0.25">
      <c r="B30" s="383" t="s">
        <v>359</v>
      </c>
      <c r="C30" s="75">
        <f t="shared" ref="C30:G30" si="6">C19/C$4</f>
        <v>2.0507645699541433E-2</v>
      </c>
      <c r="D30" s="75">
        <f t="shared" si="6"/>
        <v>2.5413383075986212E-2</v>
      </c>
      <c r="E30" s="75">
        <f t="shared" si="6"/>
        <v>2.9332896350494828E-2</v>
      </c>
      <c r="F30" s="75">
        <f t="shared" si="6"/>
        <v>3.7655265559317135E-2</v>
      </c>
      <c r="G30" s="75">
        <f t="shared" si="6"/>
        <v>3.7937169901203369E-2</v>
      </c>
    </row>
    <row r="31" spans="2:7" x14ac:dyDescent="0.25">
      <c r="B31" s="77"/>
    </row>
    <row r="33" spans="2:8" x14ac:dyDescent="0.25">
      <c r="D33" s="382"/>
      <c r="E33" s="382"/>
      <c r="H33" s="382"/>
    </row>
    <row r="34" spans="2:8" x14ac:dyDescent="0.25">
      <c r="D34" s="382"/>
      <c r="E34" s="382"/>
      <c r="H34" s="382"/>
    </row>
    <row r="35" spans="2:8" x14ac:dyDescent="0.25">
      <c r="D35" s="382"/>
      <c r="E35" s="382"/>
      <c r="H35" s="382"/>
    </row>
    <row r="36" spans="2:8" x14ac:dyDescent="0.25">
      <c r="D36" s="382"/>
      <c r="E36" s="382"/>
      <c r="H36" s="382"/>
    </row>
    <row r="37" spans="2:8" x14ac:dyDescent="0.25">
      <c r="B37" s="77"/>
      <c r="C37" s="382"/>
    </row>
    <row r="38" spans="2:8" x14ac:dyDescent="0.25">
      <c r="B38" s="79" t="s">
        <v>371</v>
      </c>
      <c r="C38" s="80"/>
      <c r="D38" s="80"/>
      <c r="E38" s="80"/>
      <c r="F38" s="80"/>
      <c r="G38" s="80"/>
    </row>
    <row r="39" spans="2:8" x14ac:dyDescent="0.25">
      <c r="B39" s="76" t="s">
        <v>363</v>
      </c>
      <c r="D39" s="75">
        <f>D4/C4-1</f>
        <v>4.5016438315126805E-2</v>
      </c>
      <c r="E39" s="75">
        <f t="shared" ref="E39:G39" si="7">E4/D4-1</f>
        <v>3.8425144352761453E-2</v>
      </c>
      <c r="F39" s="75">
        <f t="shared" si="7"/>
        <v>0.25428449245813045</v>
      </c>
      <c r="G39" s="75">
        <f t="shared" si="7"/>
        <v>0.16390258385361123</v>
      </c>
    </row>
    <row r="40" spans="2:8" x14ac:dyDescent="0.25">
      <c r="B40" s="33" t="s">
        <v>364</v>
      </c>
      <c r="D40" s="75">
        <f>D5/C5-1</f>
        <v>1.4699311781414925E-2</v>
      </c>
      <c r="E40" s="75">
        <f t="shared" ref="E40:G40" si="8">E5/D5-1</f>
        <v>-3.469512427024013E-2</v>
      </c>
      <c r="F40" s="75">
        <f t="shared" si="8"/>
        <v>8.4803844471563083E-2</v>
      </c>
      <c r="G40" s="75">
        <f t="shared" si="8"/>
        <v>0.14110132922460616</v>
      </c>
    </row>
    <row r="41" spans="2:8" x14ac:dyDescent="0.25">
      <c r="B41" s="30" t="s">
        <v>361</v>
      </c>
      <c r="D41" s="75">
        <f>D8/C8-1</f>
        <v>0.29038245454105294</v>
      </c>
      <c r="E41" s="75">
        <f t="shared" ref="E41:G41" si="9">E8/D8-1</f>
        <v>0.20990263960064737</v>
      </c>
      <c r="F41" s="75">
        <f t="shared" si="9"/>
        <v>8.4004537276989977E-2</v>
      </c>
      <c r="G41" s="75">
        <f t="shared" si="9"/>
        <v>0.25046100688718442</v>
      </c>
    </row>
    <row r="42" spans="2:8" x14ac:dyDescent="0.25">
      <c r="B42" s="33" t="s">
        <v>362</v>
      </c>
      <c r="D42" s="75">
        <f>D9/C9-1</f>
        <v>0.1102753080998895</v>
      </c>
      <c r="E42" s="75">
        <f t="shared" ref="E42:G42" si="10">E9/D9-1</f>
        <v>0.14980369830845364</v>
      </c>
      <c r="F42" s="75">
        <f t="shared" si="10"/>
        <v>0.42004839252166959</v>
      </c>
      <c r="G42" s="75">
        <f t="shared" si="10"/>
        <v>0.15671604230907543</v>
      </c>
    </row>
    <row r="43" spans="2:8" x14ac:dyDescent="0.25">
      <c r="B43" s="30" t="s">
        <v>365</v>
      </c>
      <c r="D43" s="75">
        <f>D12/C12-1</f>
        <v>5.9839129409673619E-2</v>
      </c>
      <c r="E43" s="75">
        <f t="shared" ref="E43:F43" si="11">E12/D12-1</f>
        <v>3.2896122904966019E-2</v>
      </c>
      <c r="F43" s="75">
        <f t="shared" si="11"/>
        <v>1.1015310959519002</v>
      </c>
      <c r="G43" s="75"/>
    </row>
    <row r="44" spans="2:8" x14ac:dyDescent="0.25">
      <c r="B44" s="33" t="s">
        <v>366</v>
      </c>
      <c r="D44" s="75">
        <f t="shared" ref="D44:F44" si="12">D13/C13-1</f>
        <v>-0.18301068518004671</v>
      </c>
      <c r="E44" s="75">
        <f t="shared" si="12"/>
        <v>3.8845278520923454E-2</v>
      </c>
      <c r="F44" s="75">
        <f t="shared" si="12"/>
        <v>1.9991791813682611</v>
      </c>
      <c r="G44" s="75"/>
    </row>
    <row r="45" spans="2:8" x14ac:dyDescent="0.25">
      <c r="B45" s="30" t="s">
        <v>367</v>
      </c>
      <c r="D45" s="75"/>
      <c r="E45" s="75"/>
      <c r="F45" s="75"/>
      <c r="G45" s="417"/>
    </row>
    <row r="46" spans="2:8" x14ac:dyDescent="0.25">
      <c r="B46" s="33" t="s">
        <v>368</v>
      </c>
      <c r="D46" s="75"/>
      <c r="E46" s="75"/>
      <c r="F46" s="75"/>
      <c r="G46" s="417"/>
    </row>
    <row r="47" spans="2:8" x14ac:dyDescent="0.25">
      <c r="B47" s="33" t="s">
        <v>369</v>
      </c>
      <c r="D47" s="75">
        <f t="shared" ref="D47:G47" si="13">D19/C19-1</f>
        <v>0.29500009199977928</v>
      </c>
      <c r="E47" s="75">
        <f t="shared" si="13"/>
        <v>0.19858174867830436</v>
      </c>
      <c r="F47" s="75">
        <f t="shared" si="13"/>
        <v>0.61015179292540123</v>
      </c>
      <c r="G47" s="75">
        <f t="shared" si="13"/>
        <v>0.17261608479557333</v>
      </c>
    </row>
    <row r="50" spans="2:9" x14ac:dyDescent="0.25">
      <c r="B50" s="79" t="s">
        <v>375</v>
      </c>
      <c r="C50" s="80"/>
      <c r="D50" s="80"/>
      <c r="E50" s="80"/>
      <c r="F50" s="80"/>
      <c r="G50" s="80"/>
      <c r="H50" t="s">
        <v>466</v>
      </c>
      <c r="I50" t="s">
        <v>480</v>
      </c>
    </row>
    <row r="51" spans="2:9" x14ac:dyDescent="0.25">
      <c r="B51" s="76" t="s">
        <v>373</v>
      </c>
      <c r="C51" s="67"/>
      <c r="D51" s="67">
        <f>C52</f>
        <v>12744340</v>
      </c>
      <c r="E51" s="67">
        <f>D52</f>
        <v>11756209</v>
      </c>
      <c r="F51" s="67">
        <f>E52</f>
        <v>15485069</v>
      </c>
      <c r="G51" s="67">
        <f>F52</f>
        <v>21695622</v>
      </c>
    </row>
    <row r="52" spans="2:9" x14ac:dyDescent="0.25">
      <c r="B52" s="76" t="s">
        <v>372</v>
      </c>
      <c r="C52" s="67">
        <f>'EF Sempertex 2011-2014 I'!B38</f>
        <v>12744340</v>
      </c>
      <c r="D52" s="67">
        <f>'EF Sempertex 2011-2014 I'!C38</f>
        <v>11756209</v>
      </c>
      <c r="E52" s="67">
        <f>'EF Sempertex 2011-2014 I'!D38</f>
        <v>15485069</v>
      </c>
      <c r="F52" s="67">
        <f>'EF Sempertex 2011-2014 I'!E38</f>
        <v>21695622</v>
      </c>
      <c r="G52" s="67">
        <f>'EF Sempertex 2015 I'!B29</f>
        <v>29464218</v>
      </c>
    </row>
    <row r="53" spans="2:9" x14ac:dyDescent="0.25">
      <c r="B53" s="76" t="s">
        <v>374</v>
      </c>
      <c r="C53" s="67">
        <f>C5</f>
        <v>41797331</v>
      </c>
      <c r="D53" s="67">
        <f t="shared" ref="D53:G53" si="14">D5</f>
        <v>42411723</v>
      </c>
      <c r="E53" s="67">
        <f t="shared" si="14"/>
        <v>40940243</v>
      </c>
      <c r="F53" s="67">
        <f t="shared" si="14"/>
        <v>44412133</v>
      </c>
      <c r="G53" s="67">
        <f t="shared" si="14"/>
        <v>50678744</v>
      </c>
    </row>
    <row r="54" spans="2:9" x14ac:dyDescent="0.25">
      <c r="B54" s="82" t="s">
        <v>375</v>
      </c>
      <c r="C54" s="26"/>
      <c r="D54" s="69">
        <f>D52-D51+D53</f>
        <v>41423592</v>
      </c>
      <c r="E54" s="69">
        <f t="shared" ref="E54:G54" si="15">E52-E51+E53</f>
        <v>44669103</v>
      </c>
      <c r="F54" s="69">
        <f t="shared" si="15"/>
        <v>50622686</v>
      </c>
      <c r="G54" s="69">
        <f t="shared" si="15"/>
        <v>58447340</v>
      </c>
    </row>
    <row r="55" spans="2:9" x14ac:dyDescent="0.25">
      <c r="B55" s="76" t="s">
        <v>376</v>
      </c>
      <c r="E55" s="81">
        <f>E54/D54-1</f>
        <v>7.8349337739711311E-2</v>
      </c>
      <c r="F55" s="81">
        <f t="shared" ref="F55:G55" si="16">F54/E54-1</f>
        <v>0.13328190181029598</v>
      </c>
      <c r="G55" s="81">
        <f t="shared" si="16"/>
        <v>0.15456813176606232</v>
      </c>
    </row>
    <row r="56" spans="2:9" x14ac:dyDescent="0.25">
      <c r="B56" s="76" t="s">
        <v>463</v>
      </c>
      <c r="D56" s="81">
        <f>D54/D4</f>
        <v>0.65032340422285151</v>
      </c>
      <c r="E56" s="81">
        <f t="shared" ref="E56:G56" si="17">E54/E4</f>
        <v>0.67532630163481233</v>
      </c>
      <c r="F56" s="81">
        <f t="shared" si="17"/>
        <v>0.61017662265704975</v>
      </c>
      <c r="G56" s="81">
        <f t="shared" si="17"/>
        <v>0.60528303059174415</v>
      </c>
      <c r="H56" s="156">
        <f>AVERAGE(D56:G56)</f>
        <v>0.63527733977661438</v>
      </c>
      <c r="I56" s="156">
        <f>_xlfn.STDEV.S(D56:H56)</f>
        <v>2.8982787929362964E-2</v>
      </c>
    </row>
    <row r="57" spans="2:9" x14ac:dyDescent="0.25">
      <c r="D57" s="156">
        <f>E56-D56</f>
        <v>2.5002897411960823E-2</v>
      </c>
      <c r="E57" s="156">
        <f>F56-E56</f>
        <v>-6.5149678977762582E-2</v>
      </c>
      <c r="F57" s="156">
        <f>G56-F56</f>
        <v>-4.8935920653055964E-3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7"/>
  <sheetViews>
    <sheetView showGridLines="0" zoomScale="85" zoomScaleNormal="85" workbookViewId="0"/>
  </sheetViews>
  <sheetFormatPr baseColWidth="10" defaultColWidth="11.375" defaultRowHeight="15" x14ac:dyDescent="0.25"/>
  <cols>
    <col min="2" max="2" width="31.375" bestFit="1" customWidth="1"/>
    <col min="3" max="7" width="9.625" customWidth="1"/>
  </cols>
  <sheetData>
    <row r="2" spans="2:3" x14ac:dyDescent="0.25">
      <c r="B2" s="418"/>
      <c r="C2" s="404" t="s">
        <v>466</v>
      </c>
    </row>
    <row r="3" spans="2:3" x14ac:dyDescent="0.25">
      <c r="B3" s="404" t="str">
        <f>'Costos Sempertex'!B23</f>
        <v>Costo Ventas Y Prestación Servicios</v>
      </c>
      <c r="C3" s="405">
        <f>AVERAGE('Costos Sempertex'!C23:G23)</f>
        <v>0.60613356398851903</v>
      </c>
    </row>
    <row r="4" spans="2:3" x14ac:dyDescent="0.25">
      <c r="B4" s="404" t="str">
        <f>'Costos Sempertex'!B24</f>
        <v>Gastos Operacionales Administración.</v>
      </c>
      <c r="C4" s="405">
        <f>AVERAGE('Costos Sempertex'!C24:G24)</f>
        <v>0.12288341744955864</v>
      </c>
    </row>
    <row r="5" spans="2:3" x14ac:dyDescent="0.25">
      <c r="B5" s="404" t="str">
        <f>'Costos Sempertex'!B25</f>
        <v>Gastos Operacionales De Ventas</v>
      </c>
      <c r="C5" s="405">
        <f>AVERAGE('Costos Sempertex'!C25:G25)</f>
        <v>0.16724764522931398</v>
      </c>
    </row>
    <row r="6" spans="2:3" x14ac:dyDescent="0.25">
      <c r="B6" s="404" t="str">
        <f>'Costos Sempertex'!B30</f>
        <v>Impuestos De Renta Y Complementarios</v>
      </c>
      <c r="C6" s="405">
        <f>AVERAGE('Costos Sempertex'!C30:G30)</f>
        <v>3.0169272117308597E-2</v>
      </c>
    </row>
    <row r="24" spans="2:8" x14ac:dyDescent="0.25">
      <c r="C24" s="408">
        <v>2012</v>
      </c>
      <c r="D24" s="408">
        <v>2013</v>
      </c>
      <c r="E24" s="408">
        <v>2014</v>
      </c>
      <c r="F24" s="408">
        <v>2015</v>
      </c>
      <c r="G24" s="408" t="s">
        <v>466</v>
      </c>
      <c r="H24" s="408" t="s">
        <v>480</v>
      </c>
    </row>
    <row r="25" spans="2:8" x14ac:dyDescent="0.25">
      <c r="B25" s="407" t="s">
        <v>374</v>
      </c>
      <c r="C25" s="405">
        <f>'Costos Sempertex'!D23</f>
        <v>0.66583641709093244</v>
      </c>
      <c r="D25" s="405">
        <f>'Costos Sempertex'!E23</f>
        <v>0.6189518265728442</v>
      </c>
      <c r="E25" s="405">
        <f>'Costos Sempertex'!F23</f>
        <v>0.53531820336312663</v>
      </c>
      <c r="F25" s="405">
        <f>'Costos Sempertex'!G23</f>
        <v>0.52483113440069595</v>
      </c>
      <c r="G25" s="405">
        <f>AVERAGE(C25:F25)</f>
        <v>0.58623439535689981</v>
      </c>
      <c r="H25" s="404"/>
    </row>
    <row r="26" spans="2:8" x14ac:dyDescent="0.25">
      <c r="B26" s="407" t="s">
        <v>375</v>
      </c>
      <c r="C26" s="405">
        <f>'Costos Sempertex'!D56</f>
        <v>0.65032340422285151</v>
      </c>
      <c r="D26" s="405">
        <f>'Costos Sempertex'!E56</f>
        <v>0.67532630163481233</v>
      </c>
      <c r="E26" s="405">
        <f>'Costos Sempertex'!F56</f>
        <v>0.61017662265704975</v>
      </c>
      <c r="F26" s="405">
        <f>'Costos Sempertex'!G56</f>
        <v>0.60528303059174415</v>
      </c>
      <c r="G26" s="405">
        <f>AVERAGE(C26:F26)</f>
        <v>0.63527733977661438</v>
      </c>
      <c r="H26" s="404"/>
    </row>
    <row r="27" spans="2:8" x14ac:dyDescent="0.25">
      <c r="B27" s="407" t="s">
        <v>951</v>
      </c>
      <c r="C27" s="404"/>
      <c r="D27" s="404"/>
      <c r="E27" s="404"/>
      <c r="F27" s="404"/>
      <c r="G27" s="404"/>
      <c r="H27" s="406">
        <f>_xlfn.STDEV.S(C25:G25)</f>
        <v>5.8672249046542217E-2</v>
      </c>
    </row>
    <row r="28" spans="2:8" x14ac:dyDescent="0.25">
      <c r="B28" s="407" t="s">
        <v>952</v>
      </c>
      <c r="C28" s="404"/>
      <c r="D28" s="404"/>
      <c r="E28" s="404"/>
      <c r="F28" s="404"/>
      <c r="G28" s="404"/>
      <c r="H28" s="406">
        <f>_xlfn.STDEV.S(C26:G26)</f>
        <v>2.8982787929362964E-2</v>
      </c>
    </row>
    <row r="47" spans="2:9" ht="30" x14ac:dyDescent="0.25">
      <c r="B47" s="408" t="s">
        <v>464</v>
      </c>
      <c r="C47" s="408">
        <v>2011</v>
      </c>
      <c r="D47" s="408">
        <v>2012</v>
      </c>
      <c r="E47" s="408">
        <v>2013</v>
      </c>
      <c r="F47" s="408">
        <v>2014</v>
      </c>
      <c r="G47" s="408">
        <v>2015</v>
      </c>
      <c r="H47" s="408" t="s">
        <v>466</v>
      </c>
      <c r="I47" s="411" t="s">
        <v>467</v>
      </c>
    </row>
    <row r="48" spans="2:9" x14ac:dyDescent="0.25">
      <c r="B48" s="410" t="s">
        <v>418</v>
      </c>
      <c r="C48" s="409">
        <f>AVERAGE(C49:C51)</f>
        <v>0.24994917658593618</v>
      </c>
      <c r="D48" s="409">
        <f>AVERAGE(D49:D51)</f>
        <v>0.27153016154970105</v>
      </c>
      <c r="E48" s="409">
        <f>AVERAGE(E49:E51)</f>
        <v>0.26259600944605527</v>
      </c>
      <c r="F48" s="409">
        <f>AVERAGE(F49:F51)</f>
        <v>0.30393996384341909</v>
      </c>
      <c r="G48" s="409">
        <f>AVERAGE(G49:G51)</f>
        <v>0.372224995147102</v>
      </c>
      <c r="H48" s="406">
        <f>AVERAGE(C48:G48)</f>
        <v>0.29204806131444272</v>
      </c>
      <c r="I48" s="406">
        <f>_xlfn.STDEV.S(H48:H51)</f>
        <v>3.0597314306725663E-2</v>
      </c>
    </row>
    <row r="49" spans="2:8" x14ac:dyDescent="0.25">
      <c r="B49" s="410" t="s">
        <v>451</v>
      </c>
      <c r="C49" s="409">
        <f>'Analisis Sectorial'!D21/'Costos Sempertex'!C4</f>
        <v>0.2346607648975835</v>
      </c>
      <c r="D49" s="409">
        <f>'Analisis Sectorial'!E21/'Costos Sempertex'!D4</f>
        <v>0.25960528917956477</v>
      </c>
      <c r="E49" s="409">
        <f>'Analisis Sectorial'!F21/'Costos Sempertex'!E4</f>
        <v>0.33582376057597796</v>
      </c>
      <c r="F49" s="409">
        <f>'Analisis Sectorial'!G21/'Costos Sempertex'!F4</f>
        <v>0.27981376690811921</v>
      </c>
      <c r="G49" s="409">
        <f>'Analisis Sectorial'!H21/'Costos Sempertex'!G4</f>
        <v>0.26998600898904329</v>
      </c>
      <c r="H49" s="406">
        <f>AVERAGE(C49:G49)</f>
        <v>0.27597791811005778</v>
      </c>
    </row>
    <row r="50" spans="2:8" x14ac:dyDescent="0.25">
      <c r="B50" s="410" t="s">
        <v>333</v>
      </c>
      <c r="C50" s="409">
        <f>'Analisis Sectorial'!D26/'EF Latex de C 2011-2015'!B95</f>
        <v>0.25323189859070838</v>
      </c>
      <c r="D50" s="409">
        <f>'Analisis Sectorial'!E26/'EF Latex de C 2011-2015'!C95</f>
        <v>0.2116845325866786</v>
      </c>
      <c r="E50" s="409">
        <f>'Analisis Sectorial'!F26/'EF Latex de C 2011-2015'!D95</f>
        <v>0.32389056354565521</v>
      </c>
      <c r="F50" s="409">
        <f>'Analisis Sectorial'!G26/'EF Latex de C 2011-2015'!E95</f>
        <v>0.45968262652480812</v>
      </c>
      <c r="G50" s="409">
        <f>'Analisis Sectorial'!H26/'EF Latex de C 2011-2015'!F95</f>
        <v>0.42589488661047642</v>
      </c>
      <c r="H50" s="406">
        <f>AVERAGE(C50:G50)</f>
        <v>0.33487690157166539</v>
      </c>
    </row>
    <row r="51" spans="2:8" x14ac:dyDescent="0.25">
      <c r="B51" s="410" t="s">
        <v>334</v>
      </c>
      <c r="C51" s="409">
        <f>'Analisis Sectorial'!D31/'EF Bombatex 2011-2015'!B94</f>
        <v>0.2619548662695167</v>
      </c>
      <c r="D51" s="409">
        <f>'Analisis Sectorial'!E31/'EF Bombatex 2011-2015'!C94</f>
        <v>0.34330066288285976</v>
      </c>
      <c r="E51" s="409">
        <f>'Analisis Sectorial'!F31/'EF Bombatex 2011-2015'!D94</f>
        <v>0.12807370421653266</v>
      </c>
      <c r="F51" s="409">
        <f>'Analisis Sectorial'!G31/'EF Bombatex 2011-2015'!E94</f>
        <v>0.17232349809733011</v>
      </c>
      <c r="G51" s="409">
        <f>'Analisis Sectorial'!H31/'EF Bombatex 2011-2015'!F94</f>
        <v>0.42079408984178635</v>
      </c>
      <c r="H51" s="406">
        <f>AVERAGE(C51:G51)</f>
        <v>0.2652893642616051</v>
      </c>
    </row>
    <row r="71" spans="2:9" ht="30" x14ac:dyDescent="0.25">
      <c r="B71" s="408" t="s">
        <v>465</v>
      </c>
      <c r="C71" s="408">
        <v>2011</v>
      </c>
      <c r="D71" s="408">
        <v>2012</v>
      </c>
      <c r="E71" s="408">
        <v>2013</v>
      </c>
      <c r="F71" s="408">
        <v>2014</v>
      </c>
      <c r="G71" s="408">
        <v>2015</v>
      </c>
      <c r="H71" s="408" t="s">
        <v>466</v>
      </c>
      <c r="I71" s="411" t="s">
        <v>467</v>
      </c>
    </row>
    <row r="72" spans="2:9" x14ac:dyDescent="0.25">
      <c r="B72" s="410" t="s">
        <v>418</v>
      </c>
      <c r="C72" s="409">
        <f>AVERAGE(C73:C75)</f>
        <v>0.49154783496184828</v>
      </c>
      <c r="D72" s="409">
        <f>AVERAGE(D73:D75)</f>
        <v>0.51282869129904807</v>
      </c>
      <c r="E72" s="409">
        <f>AVERAGE(E73:E75)</f>
        <v>0.47911626724488793</v>
      </c>
      <c r="F72" s="409">
        <f>AVERAGE(F73:F75)</f>
        <v>0.49107681229625738</v>
      </c>
      <c r="G72" s="409">
        <f>AVERAGE(G73:G75)</f>
        <v>0.54156502937948692</v>
      </c>
      <c r="H72" s="406">
        <f>AVERAGE(C72:G72)</f>
        <v>0.50322692703630578</v>
      </c>
      <c r="I72" s="406">
        <f>_xlfn.STDEV.S(H72:H75)</f>
        <v>0.14458653902317353</v>
      </c>
    </row>
    <row r="73" spans="2:9" x14ac:dyDescent="0.25">
      <c r="B73" s="410" t="s">
        <v>451</v>
      </c>
      <c r="C73" s="409">
        <f>'Analisis Sectorial'!D41/'Analisis Sectorial'!D40</f>
        <v>0.70685744406038009</v>
      </c>
      <c r="D73" s="409">
        <f>'Analisis Sectorial'!E41/'Analisis Sectorial'!E40</f>
        <v>0.71726722270596055</v>
      </c>
      <c r="E73" s="409">
        <f>'Analisis Sectorial'!F41/'Analisis Sectorial'!F40</f>
        <v>0.7622022731813809</v>
      </c>
      <c r="F73" s="409">
        <f>'Analisis Sectorial'!G41/'Analisis Sectorial'!G40</f>
        <v>0.68314698965818499</v>
      </c>
      <c r="G73" s="409">
        <f>'Analisis Sectorial'!H41/'Analisis Sectorial'!H40</f>
        <v>0.63577001378773634</v>
      </c>
      <c r="H73" s="406">
        <f>AVERAGE(C73:G73)</f>
        <v>0.70104878867872855</v>
      </c>
    </row>
    <row r="74" spans="2:9" x14ac:dyDescent="0.25">
      <c r="B74" s="410" t="s">
        <v>333</v>
      </c>
      <c r="C74" s="409">
        <f>'Analisis Sectorial'!D44/'Analisis Sectorial'!D43</f>
        <v>0.32640820052963504</v>
      </c>
      <c r="D74" s="409">
        <f>'Analisis Sectorial'!E44/'Analisis Sectorial'!E43</f>
        <v>0.3466261302809524</v>
      </c>
      <c r="E74" s="409">
        <f>'Analisis Sectorial'!F44/'Analisis Sectorial'!F43</f>
        <v>0.46304047200744342</v>
      </c>
      <c r="F74" s="409">
        <f>'Analisis Sectorial'!G44/'Analisis Sectorial'!G43</f>
        <v>0.56210300200949559</v>
      </c>
      <c r="G74" s="409">
        <f>'Analisis Sectorial'!H44/'Analisis Sectorial'!H43</f>
        <v>0.54744370098688022</v>
      </c>
      <c r="H74" s="406">
        <f>AVERAGE(C74:G74)</f>
        <v>0.44912430116288143</v>
      </c>
    </row>
    <row r="75" spans="2:9" x14ac:dyDescent="0.25">
      <c r="B75" s="410" t="s">
        <v>334</v>
      </c>
      <c r="C75" s="409">
        <f>'Analisis Sectorial'!D47/'Analisis Sectorial'!D46</f>
        <v>0.44137786029552956</v>
      </c>
      <c r="D75" s="409">
        <f>'Analisis Sectorial'!E47/'Analisis Sectorial'!E46</f>
        <v>0.4745927209102313</v>
      </c>
      <c r="E75" s="409">
        <f>'Analisis Sectorial'!F47/'Analisis Sectorial'!F46</f>
        <v>0.21210605654583942</v>
      </c>
      <c r="F75" s="409">
        <f>'Analisis Sectorial'!G47/'Analisis Sectorial'!G46</f>
        <v>0.2279804452210914</v>
      </c>
      <c r="G75" s="409">
        <f>'Analisis Sectorial'!H47/'Analisis Sectorial'!H46</f>
        <v>0.44148137336384402</v>
      </c>
      <c r="H75" s="406">
        <f>AVERAGE(C75:G75)</f>
        <v>0.35950769126730714</v>
      </c>
    </row>
    <row r="97" spans="2:7" ht="15.75" thickBot="1" x14ac:dyDescent="0.3">
      <c r="C97" s="385">
        <v>2011</v>
      </c>
      <c r="D97" s="385">
        <v>2012</v>
      </c>
      <c r="E97" s="385">
        <v>2013</v>
      </c>
      <c r="F97" s="385">
        <v>2014</v>
      </c>
      <c r="G97" s="385">
        <v>2015</v>
      </c>
    </row>
    <row r="98" spans="2:7" x14ac:dyDescent="0.25">
      <c r="B98" s="386" t="s">
        <v>388</v>
      </c>
      <c r="C98" s="387"/>
      <c r="D98" s="387"/>
      <c r="E98" s="387"/>
      <c r="F98" s="387"/>
      <c r="G98" s="388"/>
    </row>
    <row r="99" spans="2:7" x14ac:dyDescent="0.25">
      <c r="B99" s="391" t="s">
        <v>418</v>
      </c>
      <c r="C99" s="392">
        <f>'Analisis Sectorial'!D54</f>
        <v>6.5484424857846335</v>
      </c>
      <c r="D99" s="392">
        <f>'Analisis Sectorial'!E54</f>
        <v>6.6781093214405827</v>
      </c>
      <c r="E99" s="392">
        <f>'Analisis Sectorial'!F54</f>
        <v>7.2817162039274272</v>
      </c>
      <c r="F99" s="392">
        <f>'Analisis Sectorial'!G54</f>
        <v>7.3227962657676668</v>
      </c>
      <c r="G99" s="393">
        <f>'Analisis Sectorial'!H54</f>
        <v>9.7260237233129185</v>
      </c>
    </row>
    <row r="100" spans="2:7" x14ac:dyDescent="0.25">
      <c r="B100" s="394" t="s">
        <v>451</v>
      </c>
      <c r="C100" s="395">
        <f>'Analisis Sectorial'!D55</f>
        <v>4.4051784839927226</v>
      </c>
      <c r="D100" s="395">
        <f>'Analisis Sectorial'!E55</f>
        <v>5.3080409720636004</v>
      </c>
      <c r="E100" s="395">
        <f>'Analisis Sectorial'!F55</f>
        <v>4.6065788137615264</v>
      </c>
      <c r="F100" s="395">
        <f>'Analisis Sectorial'!G55</f>
        <v>5.22159678522193</v>
      </c>
      <c r="G100" s="396">
        <f>'Analisis Sectorial'!H55</f>
        <v>5.1020524081310112</v>
      </c>
    </row>
    <row r="101" spans="2:7" x14ac:dyDescent="0.25">
      <c r="B101" s="394" t="s">
        <v>333</v>
      </c>
      <c r="C101" s="395">
        <f>'Analisis Sectorial'!D59</f>
        <v>3.0340822131625371</v>
      </c>
      <c r="D101" s="395">
        <f>'Analisis Sectorial'!E59</f>
        <v>3.7589324949036476</v>
      </c>
      <c r="E101" s="395">
        <f>'Analisis Sectorial'!F59</f>
        <v>3.2427126381768479</v>
      </c>
      <c r="F101" s="395">
        <f>'Analisis Sectorial'!G59</f>
        <v>2.995071310104894</v>
      </c>
      <c r="G101" s="396">
        <f>'Analisis Sectorial'!H59</f>
        <v>3.6409051771736083</v>
      </c>
    </row>
    <row r="102" spans="2:7" ht="15.75" thickBot="1" x14ac:dyDescent="0.3">
      <c r="B102" s="397" t="s">
        <v>334</v>
      </c>
      <c r="C102" s="398">
        <f>'Analisis Sectorial'!D63</f>
        <v>12.20606676019864</v>
      </c>
      <c r="D102" s="398">
        <f>'Analisis Sectorial'!E63</f>
        <v>10.967354497354497</v>
      </c>
      <c r="E102" s="398">
        <f>'Analisis Sectorial'!F63</f>
        <v>13.995857159843908</v>
      </c>
      <c r="F102" s="398">
        <f>'Analisis Sectorial'!G63</f>
        <v>13.751720701976174</v>
      </c>
      <c r="G102" s="399">
        <f>'Analisis Sectorial'!H63</f>
        <v>20.435113584634138</v>
      </c>
    </row>
    <row r="103" spans="2:7" x14ac:dyDescent="0.25">
      <c r="B103" s="386" t="s">
        <v>408</v>
      </c>
      <c r="C103" s="389"/>
      <c r="D103" s="389"/>
      <c r="E103" s="389"/>
      <c r="F103" s="389"/>
      <c r="G103" s="390"/>
    </row>
    <row r="104" spans="2:7" x14ac:dyDescent="0.25">
      <c r="B104" s="391" t="s">
        <v>418</v>
      </c>
      <c r="C104" s="392">
        <f>'Analisis Sectorial'!D69</f>
        <v>2.2269829754983683</v>
      </c>
      <c r="D104" s="392">
        <f>'Analisis Sectorial'!E69</f>
        <v>2.4273636463737356</v>
      </c>
      <c r="E104" s="392">
        <f>'Analisis Sectorial'!F69</f>
        <v>1.7875908034826111</v>
      </c>
      <c r="F104" s="392">
        <f>'Analisis Sectorial'!G69</f>
        <v>1.801005035145969</v>
      </c>
      <c r="G104" s="393">
        <f>'Analisis Sectorial'!H69</f>
        <v>1.6372693670757086</v>
      </c>
    </row>
    <row r="105" spans="2:7" x14ac:dyDescent="0.25">
      <c r="B105" s="394" t="s">
        <v>451</v>
      </c>
      <c r="C105" s="395">
        <f>'Analisis Sectorial'!D70</f>
        <v>3.2796779589998382</v>
      </c>
      <c r="D105" s="395">
        <f>'Analisis Sectorial'!E70</f>
        <v>3.6076019914242763</v>
      </c>
      <c r="E105" s="395">
        <f>'Analisis Sectorial'!F70</f>
        <v>2.6438527978144624</v>
      </c>
      <c r="F105" s="395">
        <f>'Analisis Sectorial'!G70</f>
        <v>2.0470550694513392</v>
      </c>
      <c r="G105" s="396">
        <f>'Analisis Sectorial'!H70</f>
        <v>1.720009809864969</v>
      </c>
    </row>
    <row r="106" spans="2:7" x14ac:dyDescent="0.25">
      <c r="B106" s="394" t="s">
        <v>333</v>
      </c>
      <c r="C106" s="395">
        <f>'Analisis Sectorial'!D74</f>
        <v>2.6900696238494826</v>
      </c>
      <c r="D106" s="395">
        <f>'Analisis Sectorial'!E74</f>
        <v>2.7907456120843208</v>
      </c>
      <c r="E106" s="395">
        <f>'Analisis Sectorial'!F74</f>
        <v>1.9282094954388058</v>
      </c>
      <c r="F106" s="395">
        <f>'Analisis Sectorial'!G74</f>
        <v>2.1748144588474996</v>
      </c>
      <c r="G106" s="396">
        <f>'Analisis Sectorial'!H74</f>
        <v>2.1421791713830562</v>
      </c>
    </row>
    <row r="107" spans="2:7" ht="15.75" thickBot="1" x14ac:dyDescent="0.3">
      <c r="B107" s="397" t="s">
        <v>334</v>
      </c>
      <c r="C107" s="398">
        <f>'Analisis Sectorial'!D78</f>
        <v>0.71120134364578347</v>
      </c>
      <c r="D107" s="398">
        <f>'Analisis Sectorial'!E78</f>
        <v>0.88374333561260998</v>
      </c>
      <c r="E107" s="398">
        <f>'Analisis Sectorial'!F78</f>
        <v>0.79071011719456585</v>
      </c>
      <c r="F107" s="398">
        <f>'Analisis Sectorial'!G78</f>
        <v>1.1811455771390678</v>
      </c>
      <c r="G107" s="399">
        <f>'Analisis Sectorial'!H78</f>
        <v>1.0496191199791005</v>
      </c>
    </row>
    <row r="108" spans="2:7" x14ac:dyDescent="0.25">
      <c r="B108" s="386" t="s">
        <v>433</v>
      </c>
      <c r="C108" s="389"/>
      <c r="D108" s="389"/>
      <c r="E108" s="389"/>
      <c r="F108" s="389"/>
      <c r="G108" s="390"/>
    </row>
    <row r="109" spans="2:7" x14ac:dyDescent="0.25">
      <c r="B109" s="391" t="s">
        <v>418</v>
      </c>
      <c r="C109" s="392">
        <f>'Analisis Sectorial'!D84</f>
        <v>7.0943567761443163</v>
      </c>
      <c r="D109" s="392">
        <f>'Analisis Sectorial'!E84</f>
        <v>7.2977947019085923</v>
      </c>
      <c r="E109" s="392">
        <f>'Analisis Sectorial'!F84</f>
        <v>15.382728599657876</v>
      </c>
      <c r="F109" s="392">
        <f>'Analisis Sectorial'!G84</f>
        <v>6.7099742207409321</v>
      </c>
      <c r="G109" s="393">
        <f>'Analisis Sectorial'!H84</f>
        <v>6.8877909987097938</v>
      </c>
    </row>
    <row r="110" spans="2:7" x14ac:dyDescent="0.25">
      <c r="B110" s="394" t="s">
        <v>451</v>
      </c>
      <c r="C110" s="395">
        <f>'Analisis Sectorial'!D85</f>
        <v>5.5434284943009322</v>
      </c>
      <c r="D110" s="395">
        <f>'Analisis Sectorial'!E85</f>
        <v>8.1744693321177291</v>
      </c>
      <c r="E110" s="395">
        <f>'Analisis Sectorial'!F85</f>
        <v>7.1700591770494428</v>
      </c>
      <c r="F110" s="395">
        <f>'Analisis Sectorial'!G85</f>
        <v>3.6897117097378658</v>
      </c>
      <c r="G110" s="396">
        <f>'Analisis Sectorial'!H85</f>
        <v>3.2670404174489476</v>
      </c>
    </row>
    <row r="111" spans="2:7" x14ac:dyDescent="0.25">
      <c r="B111" s="394" t="s">
        <v>333</v>
      </c>
      <c r="C111" s="395">
        <f>'Analisis Sectorial'!D89</f>
        <v>10.562908527297507</v>
      </c>
      <c r="D111" s="395">
        <f>'Analisis Sectorial'!E89</f>
        <v>5.592987121566968</v>
      </c>
      <c r="E111" s="395">
        <f>'Analisis Sectorial'!F89</f>
        <v>5.0633521979582978</v>
      </c>
      <c r="F111" s="395">
        <f>'Analisis Sectorial'!G89</f>
        <v>9.9352143928499643</v>
      </c>
      <c r="G111" s="396">
        <f>'Analisis Sectorial'!H89</f>
        <v>10.314612119161833</v>
      </c>
    </row>
    <row r="112" spans="2:7" ht="15.75" thickBot="1" x14ac:dyDescent="0.3">
      <c r="B112" s="397" t="s">
        <v>334</v>
      </c>
      <c r="C112" s="398">
        <f>'Analisis Sectorial'!D93</f>
        <v>5.176733306834512</v>
      </c>
      <c r="D112" s="398">
        <f>'Analisis Sectorial'!E93</f>
        <v>8.1259276520410779</v>
      </c>
      <c r="E112" s="398">
        <f>'Analisis Sectorial'!F93</f>
        <v>33.914774423965888</v>
      </c>
      <c r="F112" s="398">
        <f>'Analisis Sectorial'!G93</f>
        <v>6.5049965596349653</v>
      </c>
      <c r="G112" s="399">
        <f>'Analisis Sectorial'!H93</f>
        <v>7.0817204595186007</v>
      </c>
    </row>
    <row r="113" spans="2:8" x14ac:dyDescent="0.25">
      <c r="B113" s="386" t="s">
        <v>441</v>
      </c>
      <c r="C113" s="389"/>
      <c r="D113" s="389"/>
      <c r="E113" s="389"/>
      <c r="F113" s="389"/>
      <c r="G113" s="390"/>
    </row>
    <row r="114" spans="2:8" x14ac:dyDescent="0.25">
      <c r="B114" s="391" t="s">
        <v>418</v>
      </c>
      <c r="C114" s="392">
        <f>'Analisis Sectorial'!D99</f>
        <v>4.0092906343413484</v>
      </c>
      <c r="D114" s="392">
        <f>'Analisis Sectorial'!E99</f>
        <v>3.8296369654999993</v>
      </c>
      <c r="E114" s="392">
        <f>'Analisis Sectorial'!F99</f>
        <v>4.6244063363743679</v>
      </c>
      <c r="F114" s="392">
        <f>'Analisis Sectorial'!G99</f>
        <v>3.8507528812657585</v>
      </c>
      <c r="G114" s="393">
        <f>'Analisis Sectorial'!H99</f>
        <v>2.8094506880995969</v>
      </c>
    </row>
    <row r="115" spans="2:8" x14ac:dyDescent="0.25">
      <c r="B115" s="394" t="s">
        <v>451</v>
      </c>
      <c r="C115" s="395">
        <f>'Analisis Sectorial'!D100</f>
        <v>4.2614708105824377</v>
      </c>
      <c r="D115" s="395">
        <f>'Analisis Sectorial'!E100</f>
        <v>3.8520016412620786</v>
      </c>
      <c r="E115" s="395">
        <f>'Analisis Sectorial'!F100</f>
        <v>2.9777523731045124</v>
      </c>
      <c r="F115" s="395">
        <f>'Analisis Sectorial'!G100</f>
        <v>3.5738055745068613</v>
      </c>
      <c r="G115" s="396">
        <f>'Analisis Sectorial'!H100</f>
        <v>3.7038956342385223</v>
      </c>
    </row>
    <row r="116" spans="2:8" x14ac:dyDescent="0.25">
      <c r="B116" s="394" t="s">
        <v>333</v>
      </c>
      <c r="C116" s="395">
        <f>'Analisis Sectorial'!D101</f>
        <v>3.9489495816491589</v>
      </c>
      <c r="D116" s="395">
        <f>'Analisis Sectorial'!E101</f>
        <v>4.7240107143422456</v>
      </c>
      <c r="E116" s="395">
        <f>'Analisis Sectorial'!F101</f>
        <v>3.0874625955536406</v>
      </c>
      <c r="F116" s="395">
        <f>'Analisis Sectorial'!G101</f>
        <v>2.1754139536662085</v>
      </c>
      <c r="G116" s="396">
        <f>'Analisis Sectorial'!H101</f>
        <v>2.3479971970515821</v>
      </c>
    </row>
    <row r="117" spans="2:8" ht="15.75" thickBot="1" x14ac:dyDescent="0.3">
      <c r="B117" s="397" t="s">
        <v>334</v>
      </c>
      <c r="C117" s="398">
        <f>'Analisis Sectorial'!D102</f>
        <v>3.8174515107924476</v>
      </c>
      <c r="D117" s="398">
        <f>'Analisis Sectorial'!E102</f>
        <v>2.9128985408956742</v>
      </c>
      <c r="E117" s="398">
        <f>'Analisis Sectorial'!F102</f>
        <v>7.8080040404649509</v>
      </c>
      <c r="F117" s="398">
        <f>'Analisis Sectorial'!G102</f>
        <v>5.8030391156242054</v>
      </c>
      <c r="G117" s="399">
        <f>'Analisis Sectorial'!H102</f>
        <v>2.3764592330086871</v>
      </c>
    </row>
    <row r="118" spans="2:8" x14ac:dyDescent="0.25">
      <c r="B118" s="386" t="s">
        <v>446</v>
      </c>
      <c r="C118" s="389"/>
      <c r="D118" s="389"/>
      <c r="E118" s="389"/>
      <c r="F118" s="389"/>
      <c r="G118" s="390"/>
    </row>
    <row r="119" spans="2:8" x14ac:dyDescent="0.25">
      <c r="B119" s="400" t="s">
        <v>418</v>
      </c>
      <c r="C119" s="392">
        <f>'Analisis Sectorial'!D111</f>
        <v>1.9953868238833607</v>
      </c>
      <c r="D119" s="392">
        <f>'Analisis Sectorial'!E111</f>
        <v>1.9276068388880614</v>
      </c>
      <c r="E119" s="392">
        <f>'Analisis Sectorial'!F111</f>
        <v>1.7851315706063324</v>
      </c>
      <c r="F119" s="392">
        <f>'Analisis Sectorial'!G111</f>
        <v>1.662406891677513</v>
      </c>
      <c r="G119" s="393">
        <f>'Analisis Sectorial'!H111</f>
        <v>1.5631281799469212</v>
      </c>
    </row>
    <row r="120" spans="2:8" x14ac:dyDescent="0.25">
      <c r="B120" s="401" t="s">
        <v>451</v>
      </c>
      <c r="C120" s="395">
        <f>'Analisis Sectorial'!D112</f>
        <v>3.0122523651062179</v>
      </c>
      <c r="D120" s="395">
        <f>'Analisis Sectorial'!E112</f>
        <v>2.7629145190868529</v>
      </c>
      <c r="E120" s="395">
        <f>'Analisis Sectorial'!F112</f>
        <v>2.269649627751511</v>
      </c>
      <c r="F120" s="395">
        <f>'Analisis Sectorial'!G112</f>
        <v>2.4414345198480025</v>
      </c>
      <c r="G120" s="396">
        <f>'Analisis Sectorial'!H112</f>
        <v>2.3548257784481619</v>
      </c>
    </row>
    <row r="121" spans="2:8" x14ac:dyDescent="0.25">
      <c r="B121" s="401" t="s">
        <v>333</v>
      </c>
      <c r="C121" s="395">
        <f>'Analisis Sectorial'!D113</f>
        <v>1.288969526928357</v>
      </c>
      <c r="D121" s="395">
        <f>'Analisis Sectorial'!E113</f>
        <v>1.6374655533182105</v>
      </c>
      <c r="E121" s="395">
        <f>'Analisis Sectorial'!F113</f>
        <v>1.4296201375504842</v>
      </c>
      <c r="F121" s="395">
        <f>'Analisis Sectorial'!G113</f>
        <v>1.2228067139691217</v>
      </c>
      <c r="G121" s="396">
        <f>'Analisis Sectorial'!H113</f>
        <v>1.2853962754607393</v>
      </c>
    </row>
    <row r="122" spans="2:8" ht="15.75" thickBot="1" x14ac:dyDescent="0.3">
      <c r="B122" s="402" t="s">
        <v>334</v>
      </c>
      <c r="C122" s="398">
        <f>'Analisis Sectorial'!D114</f>
        <v>1.684938579615507</v>
      </c>
      <c r="D122" s="398">
        <f>'Analisis Sectorial'!E114</f>
        <v>1.3824404442591207</v>
      </c>
      <c r="E122" s="398">
        <f>'Analisis Sectorial'!F114</f>
        <v>1.6561249465170016</v>
      </c>
      <c r="F122" s="398">
        <f>'Analisis Sectorial'!G114</f>
        <v>1.3229794412154148</v>
      </c>
      <c r="G122" s="399">
        <f>'Analisis Sectorial'!H114</f>
        <v>1.0491624859318625</v>
      </c>
    </row>
    <row r="125" spans="2:8" x14ac:dyDescent="0.25">
      <c r="B125" s="407" t="s">
        <v>468</v>
      </c>
      <c r="C125" s="407">
        <v>2011</v>
      </c>
      <c r="D125" s="407">
        <v>2012</v>
      </c>
      <c r="E125" s="407">
        <v>2013</v>
      </c>
      <c r="F125" s="407">
        <v>2014</v>
      </c>
      <c r="G125" s="407">
        <v>2015</v>
      </c>
      <c r="H125" s="407" t="s">
        <v>466</v>
      </c>
    </row>
    <row r="126" spans="2:8" x14ac:dyDescent="0.25">
      <c r="B126" s="415" t="s">
        <v>469</v>
      </c>
      <c r="C126" s="409">
        <f>'EF Sempertex 2011-2014 I'!B31/'EF Sempertex 2011-2014 I'!B25</f>
        <v>0.43835883461738523</v>
      </c>
      <c r="D126" s="409">
        <f>'EF Sempertex 2011-2014 I'!C31/'EF Sempertex 2011-2014 I'!C25</f>
        <v>0.42319171358441465</v>
      </c>
      <c r="E126" s="409">
        <f>'EF Sempertex 2011-2014 I'!D31/'EF Sempertex 2011-2014 I'!D25</f>
        <v>0.45246140938921692</v>
      </c>
      <c r="F126" s="409">
        <f>'EF Sempertex 2011-2014 I'!E31/'EF Sempertex 2011-2014 I'!E25</f>
        <v>0.39395806781003606</v>
      </c>
      <c r="G126" s="409">
        <f>'EF Sempertex 2015 I'!B28/'EF Sempertex 2015 I'!B25</f>
        <v>0.32480324426563228</v>
      </c>
      <c r="H126" s="406">
        <f>AVERAGE(C126:G126)</f>
        <v>0.40655465393333701</v>
      </c>
    </row>
    <row r="127" spans="2:8" x14ac:dyDescent="0.25">
      <c r="B127" s="415" t="s">
        <v>382</v>
      </c>
      <c r="C127" s="409">
        <f>'EF Sempertex 2011-2014 I'!B38/'EF Sempertex 2011-2014 I'!B25</f>
        <v>0.35072947114274405</v>
      </c>
      <c r="D127" s="409">
        <f>'EF Sempertex 2011-2014 I'!C38/'EF Sempertex 2011-2014 I'!C25</f>
        <v>0.33079439920676035</v>
      </c>
      <c r="E127" s="409">
        <f>'EF Sempertex 2011-2014 I'!D38/'EF Sempertex 2011-2014 I'!D25</f>
        <v>0.39716027437253509</v>
      </c>
      <c r="F127" s="409">
        <f>'EF Sempertex 2011-2014 I'!E38/'EF Sempertex 2011-2014 I'!E25</f>
        <v>0.42756918603231525</v>
      </c>
      <c r="G127" s="409">
        <f>'EF Sempertex 2015 I'!B29/'EF Sempertex 2015 I'!B25</f>
        <v>0.50565457464869501</v>
      </c>
      <c r="H127" s="406">
        <f>AVERAGE(C127:G127)</f>
        <v>0.40238158108060995</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2:O331"/>
  <sheetViews>
    <sheetView showGridLines="0" zoomScale="85" zoomScaleNormal="85" workbookViewId="0"/>
  </sheetViews>
  <sheetFormatPr baseColWidth="10" defaultRowHeight="15" outlineLevelRow="1" x14ac:dyDescent="0.25"/>
  <cols>
    <col min="1" max="2" width="3.625" customWidth="1"/>
    <col min="3" max="3" width="23.125" customWidth="1"/>
    <col min="4" max="10" width="9.625" customWidth="1"/>
  </cols>
  <sheetData>
    <row r="2" spans="2:9" x14ac:dyDescent="0.25">
      <c r="B2" s="26" t="s">
        <v>4153</v>
      </c>
    </row>
    <row r="3" spans="2:9" x14ac:dyDescent="0.25">
      <c r="C3" s="107"/>
      <c r="D3" s="620">
        <v>2011</v>
      </c>
      <c r="E3" s="620">
        <v>2012</v>
      </c>
      <c r="F3" s="620">
        <v>2013</v>
      </c>
      <c r="G3" s="620">
        <v>2014</v>
      </c>
      <c r="H3" s="620">
        <v>2015</v>
      </c>
      <c r="I3" s="620" t="s">
        <v>466</v>
      </c>
    </row>
    <row r="4" spans="2:9" x14ac:dyDescent="0.25">
      <c r="C4" s="410" t="s">
        <v>418</v>
      </c>
      <c r="D4" s="621">
        <f>D10/D11</f>
        <v>0.77626984318159609</v>
      </c>
      <c r="E4" s="621">
        <f>E10/E11</f>
        <v>0.77838507638128718</v>
      </c>
      <c r="F4" s="621">
        <f>F10/F11</f>
        <v>0.85800618844726595</v>
      </c>
      <c r="G4" s="621">
        <f>G10/G11</f>
        <v>1.0188748882865193</v>
      </c>
      <c r="H4" s="621">
        <f>H10/H11</f>
        <v>0.7460426765880932</v>
      </c>
      <c r="I4" s="621">
        <f t="shared" ref="I4:I7" si="0">AVERAGE(D4:H4)</f>
        <v>0.83551573457695238</v>
      </c>
    </row>
    <row r="5" spans="2:9" x14ac:dyDescent="0.25">
      <c r="C5" s="489" t="s">
        <v>451</v>
      </c>
      <c r="D5" s="621">
        <f>D13/D14</f>
        <v>0.48515143119758342</v>
      </c>
      <c r="E5" s="621">
        <f>E13/E14</f>
        <v>0.35580154410932363</v>
      </c>
      <c r="F5" s="621">
        <f>F13/F14</f>
        <v>0.34656912888097402</v>
      </c>
      <c r="G5" s="621">
        <f>G13/G14</f>
        <v>0.54305898328637692</v>
      </c>
      <c r="H5" s="621">
        <f>H13/H14</f>
        <v>0.61306883959689484</v>
      </c>
      <c r="I5" s="621">
        <f t="shared" si="0"/>
        <v>0.46872998541423055</v>
      </c>
    </row>
    <row r="6" spans="2:9" x14ac:dyDescent="0.25">
      <c r="C6" s="410" t="s">
        <v>333</v>
      </c>
      <c r="D6" s="621">
        <f>D16/D17</f>
        <v>0.97263363789126622</v>
      </c>
      <c r="E6" s="621">
        <f>E16/E17</f>
        <v>0.9273265594509118</v>
      </c>
      <c r="F6" s="621">
        <f>F16/F17</f>
        <v>0.90322778745621346</v>
      </c>
      <c r="G6" s="621">
        <f>G16/G17</f>
        <v>0.51022040703786042</v>
      </c>
      <c r="H6" s="621">
        <f>H16/H17</f>
        <v>0.46102404542206582</v>
      </c>
      <c r="I6" s="621">
        <f t="shared" si="0"/>
        <v>0.75488648745166365</v>
      </c>
    </row>
    <row r="7" spans="2:9" collapsed="1" x14ac:dyDescent="0.25">
      <c r="C7" s="410" t="s">
        <v>4152</v>
      </c>
      <c r="D7" s="621">
        <f>D19/D20</f>
        <v>0.95074190239322276</v>
      </c>
      <c r="E7" s="621">
        <f>E19/E20</f>
        <v>1.029357553946217</v>
      </c>
      <c r="F7" s="621">
        <f>F19/F20</f>
        <v>1.1691650496390171</v>
      </c>
      <c r="G7" s="621">
        <f>G19/G20</f>
        <v>1.4423671294650535</v>
      </c>
      <c r="H7" s="621">
        <f>H19/H20</f>
        <v>0.85793613565133475</v>
      </c>
      <c r="I7" s="621">
        <f t="shared" si="0"/>
        <v>1.0899135542189691</v>
      </c>
    </row>
    <row r="8" spans="2:9" hidden="1" outlineLevel="1" x14ac:dyDescent="0.25"/>
    <row r="9" spans="2:9" hidden="1" outlineLevel="1" x14ac:dyDescent="0.25">
      <c r="C9" s="143" t="s">
        <v>418</v>
      </c>
    </row>
    <row r="10" spans="2:9" hidden="1" outlineLevel="1" x14ac:dyDescent="0.25">
      <c r="C10" s="145" t="s">
        <v>341</v>
      </c>
      <c r="D10" s="67">
        <f t="shared" ref="D10:H11" si="1">D13+D16+D19</f>
        <v>74890402.246231198</v>
      </c>
      <c r="E10" s="67">
        <f t="shared" si="1"/>
        <v>75610764.294874981</v>
      </c>
      <c r="F10" s="67">
        <f t="shared" si="1"/>
        <v>92558298.339731202</v>
      </c>
      <c r="G10" s="67">
        <f t="shared" si="1"/>
        <v>122800494.62183478</v>
      </c>
      <c r="H10" s="67">
        <f t="shared" si="1"/>
        <v>111561890.71276136</v>
      </c>
      <c r="I10" s="67">
        <f>AVERAGE(D10:H10)</f>
        <v>95484370.043086708</v>
      </c>
    </row>
    <row r="11" spans="2:9" hidden="1" outlineLevel="1" x14ac:dyDescent="0.25">
      <c r="C11" s="145" t="s">
        <v>339</v>
      </c>
      <c r="D11" s="67">
        <f t="shared" si="1"/>
        <v>96474702.584461689</v>
      </c>
      <c r="E11" s="67">
        <f t="shared" si="1"/>
        <v>97137993.249291837</v>
      </c>
      <c r="F11" s="67">
        <f t="shared" si="1"/>
        <v>107876026.52054757</v>
      </c>
      <c r="G11" s="67">
        <f t="shared" si="1"/>
        <v>120525587.61984314</v>
      </c>
      <c r="H11" s="67">
        <f t="shared" si="1"/>
        <v>149538215.72644049</v>
      </c>
      <c r="I11" s="67">
        <f>AVERAGE(D11:H11)</f>
        <v>114310505.14011693</v>
      </c>
    </row>
    <row r="12" spans="2:9" hidden="1" outlineLevel="1" x14ac:dyDescent="0.25">
      <c r="C12" s="144" t="s">
        <v>451</v>
      </c>
    </row>
    <row r="13" spans="2:9" hidden="1" outlineLevel="1" x14ac:dyDescent="0.25">
      <c r="C13" s="145" t="s">
        <v>341</v>
      </c>
      <c r="D13" s="67">
        <f>'Analisis Sectorial'!D24</f>
        <v>17628786</v>
      </c>
      <c r="E13" s="67">
        <f>'Analisis Sectorial'!E24</f>
        <v>12644946</v>
      </c>
      <c r="F13" s="67">
        <f>'Analisis Sectorial'!F24</f>
        <v>13512547</v>
      </c>
      <c r="G13" s="67">
        <f>'Analisis Sectorial'!G24</f>
        <v>27555780</v>
      </c>
      <c r="H13" s="67">
        <f>'Analisis Sectorial'!H24</f>
        <v>35723189</v>
      </c>
      <c r="I13" s="67">
        <f>AVERAGE(D13:H13)</f>
        <v>21413049.600000001</v>
      </c>
    </row>
    <row r="14" spans="2:9" hidden="1" outlineLevel="1" x14ac:dyDescent="0.25">
      <c r="C14" s="145" t="s">
        <v>339</v>
      </c>
      <c r="D14" s="67">
        <f>'Analisis Sectorial'!D22</f>
        <v>36336667</v>
      </c>
      <c r="E14" s="67">
        <f>'Analisis Sectorial'!E22</f>
        <v>35539323</v>
      </c>
      <c r="F14" s="67">
        <f>'Analisis Sectorial'!F22</f>
        <v>38989471</v>
      </c>
      <c r="G14" s="67">
        <f>'Analisis Sectorial'!G22</f>
        <v>50741781</v>
      </c>
      <c r="H14" s="67">
        <f>'Analisis Sectorial'!H22</f>
        <v>58269458</v>
      </c>
      <c r="I14" s="67">
        <f>AVERAGE(D14:H14)</f>
        <v>43975340</v>
      </c>
    </row>
    <row r="15" spans="2:9" hidden="1" outlineLevel="1" x14ac:dyDescent="0.25">
      <c r="C15" s="143" t="s">
        <v>333</v>
      </c>
    </row>
    <row r="16" spans="2:9" hidden="1" outlineLevel="1" x14ac:dyDescent="0.25">
      <c r="C16" s="146" t="s">
        <v>341</v>
      </c>
      <c r="D16" s="67">
        <f>'Analisis Sectorial'!D29</f>
        <v>3814958</v>
      </c>
      <c r="E16" s="67">
        <f>'Analisis Sectorial'!E29</f>
        <v>4010271</v>
      </c>
      <c r="F16" s="67">
        <f>'Analisis Sectorial'!F29</f>
        <v>5074219</v>
      </c>
      <c r="G16" s="67">
        <f>'Analisis Sectorial'!G29</f>
        <v>2960758</v>
      </c>
      <c r="H16" s="67">
        <f>'Analisis Sectorial'!H29</f>
        <v>2862076</v>
      </c>
      <c r="I16" s="67">
        <f>AVERAGE(D16:H16)</f>
        <v>3744456.4</v>
      </c>
    </row>
    <row r="17" spans="3:9" hidden="1" outlineLevel="1" x14ac:dyDescent="0.25">
      <c r="C17" s="146" t="s">
        <v>339</v>
      </c>
      <c r="D17" s="67">
        <f>'Analisis Sectorial'!D27</f>
        <v>3922297</v>
      </c>
      <c r="E17" s="67">
        <f>'Analisis Sectorial'!E27</f>
        <v>4324551</v>
      </c>
      <c r="F17" s="67">
        <f>'Analisis Sectorial'!F27</f>
        <v>5617873</v>
      </c>
      <c r="G17" s="67">
        <f>'Analisis Sectorial'!G27</f>
        <v>5802900</v>
      </c>
      <c r="H17" s="67">
        <f>'Analisis Sectorial'!H27</f>
        <v>6208084</v>
      </c>
      <c r="I17" s="67">
        <f>AVERAGE(D17:H17)</f>
        <v>5175141</v>
      </c>
    </row>
    <row r="18" spans="3:9" hidden="1" outlineLevel="1" x14ac:dyDescent="0.25">
      <c r="C18" s="143" t="s">
        <v>4152</v>
      </c>
    </row>
    <row r="19" spans="3:9" hidden="1" outlineLevel="1" x14ac:dyDescent="0.25">
      <c r="C19" s="146" t="s">
        <v>341</v>
      </c>
      <c r="D19" s="67">
        <f>'Analisis Sectorial'!D34</f>
        <v>53446658.246231206</v>
      </c>
      <c r="E19" s="67">
        <f>'Analisis Sectorial'!E34</f>
        <v>58955547.294874981</v>
      </c>
      <c r="F19" s="67">
        <f>'Analisis Sectorial'!F34</f>
        <v>73971532.339731202</v>
      </c>
      <c r="G19" s="67">
        <f>'Analisis Sectorial'!G34</f>
        <v>92283956.621834785</v>
      </c>
      <c r="H19" s="67">
        <f>'Analisis Sectorial'!H34</f>
        <v>72976625.712761357</v>
      </c>
      <c r="I19" s="67">
        <f>AVERAGE(D19:H19)</f>
        <v>70326864.043086708</v>
      </c>
    </row>
    <row r="20" spans="3:9" hidden="1" outlineLevel="1" x14ac:dyDescent="0.25">
      <c r="C20" s="146" t="s">
        <v>339</v>
      </c>
      <c r="D20" s="67">
        <f>'Analisis Sectorial'!D32</f>
        <v>56215738.584461696</v>
      </c>
      <c r="E20" s="67">
        <f>'Analisis Sectorial'!E32</f>
        <v>57274119.24929183</v>
      </c>
      <c r="F20" s="67">
        <f>'Analisis Sectorial'!F32</f>
        <v>63268682.520547561</v>
      </c>
      <c r="G20" s="67">
        <f>'Analisis Sectorial'!G32</f>
        <v>63980906.61984314</v>
      </c>
      <c r="H20" s="67">
        <f>'Analisis Sectorial'!H32</f>
        <v>85060673.726440474</v>
      </c>
      <c r="I20" s="67">
        <f>AVERAGE(D20:H20)</f>
        <v>65160024.140116945</v>
      </c>
    </row>
    <row r="38" spans="2:8" x14ac:dyDescent="0.25">
      <c r="B38" s="26" t="s">
        <v>4154</v>
      </c>
    </row>
    <row r="39" spans="2:8" x14ac:dyDescent="0.25">
      <c r="D39" s="620">
        <v>2011</v>
      </c>
      <c r="E39" s="620">
        <v>2012</v>
      </c>
      <c r="F39" s="620">
        <v>2013</v>
      </c>
      <c r="G39" s="620">
        <v>2014</v>
      </c>
      <c r="H39" s="620">
        <v>2015</v>
      </c>
    </row>
    <row r="40" spans="2:8" x14ac:dyDescent="0.25">
      <c r="C40" s="404" t="s">
        <v>4155</v>
      </c>
      <c r="D40" s="487">
        <f>'Analisis Sectorial'!D56</f>
        <v>81.72200089239216</v>
      </c>
      <c r="E40" s="487">
        <f>'Analisis Sectorial'!E56</f>
        <v>67.821631727164913</v>
      </c>
      <c r="F40" s="487">
        <f>'Analisis Sectorial'!F56</f>
        <v>78.149102523666599</v>
      </c>
      <c r="G40" s="487">
        <f>'Analisis Sectorial'!G56</f>
        <v>68.944427309834722</v>
      </c>
      <c r="H40" s="487">
        <f>'Analisis Sectorial'!H56</f>
        <v>70.5598396884903</v>
      </c>
    </row>
    <row r="41" spans="2:8" x14ac:dyDescent="0.25">
      <c r="C41" s="404" t="s">
        <v>4156</v>
      </c>
      <c r="D41" s="487">
        <f>'Analisis Sectorial'!D71</f>
        <v>109.76687482748601</v>
      </c>
      <c r="E41" s="487">
        <f>'Analisis Sectorial'!E71</f>
        <v>99.789278544519405</v>
      </c>
      <c r="F41" s="487">
        <f>'Analisis Sectorial'!F71</f>
        <v>136.16491821995294</v>
      </c>
      <c r="G41" s="487">
        <f>'Analisis Sectorial'!G71</f>
        <v>175.86239147757212</v>
      </c>
      <c r="H41" s="487">
        <f>'Analisis Sectorial'!H71</f>
        <v>209.30113185125504</v>
      </c>
    </row>
    <row r="59" spans="2:8" x14ac:dyDescent="0.25">
      <c r="B59" s="26" t="s">
        <v>4157</v>
      </c>
    </row>
    <row r="60" spans="2:8" x14ac:dyDescent="0.25">
      <c r="D60" s="620">
        <v>2011</v>
      </c>
      <c r="E60" s="620">
        <v>2012</v>
      </c>
      <c r="F60" s="620">
        <v>2013</v>
      </c>
      <c r="G60" s="620">
        <v>2014</v>
      </c>
      <c r="H60" s="620">
        <v>2015</v>
      </c>
    </row>
    <row r="61" spans="2:8" x14ac:dyDescent="0.25">
      <c r="C61" s="407" t="s">
        <v>389</v>
      </c>
      <c r="D61" s="409">
        <f>D65/D$64</f>
        <v>0.38079097898549691</v>
      </c>
      <c r="E61" s="409">
        <f t="shared" ref="E61:H61" si="2">E65/E$64</f>
        <v>0.33765637572780999</v>
      </c>
      <c r="F61" s="409">
        <f t="shared" si="2"/>
        <v>0.36827116736208093</v>
      </c>
      <c r="G61" s="409">
        <f t="shared" si="2"/>
        <v>0.31312704613186521</v>
      </c>
      <c r="H61" s="409">
        <f t="shared" si="2"/>
        <v>0.32480324426563228</v>
      </c>
    </row>
    <row r="62" spans="2:8" collapsed="1" x14ac:dyDescent="0.25">
      <c r="C62" s="407" t="s">
        <v>4158</v>
      </c>
      <c r="D62" s="409">
        <f>D66/D$64</f>
        <v>0.35072947114274405</v>
      </c>
      <c r="E62" s="409">
        <f t="shared" ref="E62:H62" si="3">E66/E$64</f>
        <v>0.33079439920676035</v>
      </c>
      <c r="F62" s="409">
        <f t="shared" si="3"/>
        <v>0.39716027437253509</v>
      </c>
      <c r="G62" s="409">
        <f t="shared" si="3"/>
        <v>0.42756918603231525</v>
      </c>
      <c r="H62" s="409">
        <f t="shared" si="3"/>
        <v>0.50565457464869501</v>
      </c>
    </row>
    <row r="63" spans="2:8" hidden="1" outlineLevel="1" x14ac:dyDescent="0.25"/>
    <row r="64" spans="2:8" hidden="1" outlineLevel="1" x14ac:dyDescent="0.25">
      <c r="C64" t="s">
        <v>339</v>
      </c>
      <c r="D64" s="68">
        <f>'Analisis Sectorial'!D22</f>
        <v>36336667</v>
      </c>
      <c r="E64" s="68">
        <f>'Analisis Sectorial'!E22</f>
        <v>35539323</v>
      </c>
      <c r="F64" s="68">
        <f>'Analisis Sectorial'!F22</f>
        <v>38989471</v>
      </c>
      <c r="G64" s="68">
        <f>'Analisis Sectorial'!G22</f>
        <v>50741781</v>
      </c>
      <c r="H64" s="68">
        <f>'Analisis Sectorial'!H22</f>
        <v>58269458</v>
      </c>
    </row>
    <row r="65" spans="3:8" hidden="1" outlineLevel="1" x14ac:dyDescent="0.25">
      <c r="C65" t="s">
        <v>389</v>
      </c>
      <c r="D65" s="68">
        <f>'Analisis Sectorial'!D58</f>
        <v>13836675</v>
      </c>
      <c r="E65" s="68">
        <f>'Analisis Sectorial'!E58</f>
        <v>12000079</v>
      </c>
      <c r="F65" s="68">
        <f>'Analisis Sectorial'!F58</f>
        <v>14358698</v>
      </c>
      <c r="G65" s="68">
        <f>'Analisis Sectorial'!G58</f>
        <v>15888624</v>
      </c>
      <c r="H65" s="68">
        <f>'Analisis Sectorial'!H58</f>
        <v>18926109</v>
      </c>
    </row>
    <row r="66" spans="3:8" hidden="1" outlineLevel="1" x14ac:dyDescent="0.25">
      <c r="C66" t="s">
        <v>4158</v>
      </c>
      <c r="D66" s="68">
        <f>'Analisis Sectorial'!D73</f>
        <v>12744340</v>
      </c>
      <c r="E66" s="68">
        <f>'Analisis Sectorial'!E73</f>
        <v>11756209</v>
      </c>
      <c r="F66" s="68">
        <f>'Analisis Sectorial'!F73</f>
        <v>15485069</v>
      </c>
      <c r="G66" s="68">
        <f>'Analisis Sectorial'!G73</f>
        <v>21695622</v>
      </c>
      <c r="H66" s="68">
        <f>'Analisis Sectorial'!H73</f>
        <v>29464218</v>
      </c>
    </row>
    <row r="67" spans="3:8" x14ac:dyDescent="0.25">
      <c r="D67" s="68"/>
      <c r="E67" s="68"/>
      <c r="F67" s="68"/>
      <c r="G67" s="68"/>
      <c r="H67" s="68"/>
    </row>
    <row r="84" spans="2:10" x14ac:dyDescent="0.25">
      <c r="B84" s="26" t="s">
        <v>4159</v>
      </c>
    </row>
    <row r="85" spans="2:10" x14ac:dyDescent="0.25">
      <c r="D85" s="490">
        <v>2011</v>
      </c>
      <c r="E85" s="490">
        <v>2012</v>
      </c>
      <c r="F85" s="490">
        <v>2013</v>
      </c>
      <c r="G85" s="490">
        <v>2014</v>
      </c>
      <c r="H85" s="490">
        <v>2015</v>
      </c>
      <c r="I85" s="490" t="s">
        <v>466</v>
      </c>
      <c r="J85" s="490" t="s">
        <v>480</v>
      </c>
    </row>
    <row r="86" spans="2:10" x14ac:dyDescent="0.25">
      <c r="C86" s="489" t="s">
        <v>418</v>
      </c>
      <c r="D86" s="487">
        <f>'Analisis Sectorial'!D54</f>
        <v>6.5484424857846335</v>
      </c>
      <c r="E86" s="487">
        <f>'Analisis Sectorial'!E54</f>
        <v>6.6781093214405827</v>
      </c>
      <c r="F86" s="487">
        <f>'Analisis Sectorial'!F54</f>
        <v>7.2817162039274272</v>
      </c>
      <c r="G86" s="487">
        <f>'Analisis Sectorial'!G54</f>
        <v>7.3227962657676668</v>
      </c>
      <c r="H86" s="487">
        <f>'Analisis Sectorial'!H54</f>
        <v>9.7260237233129185</v>
      </c>
      <c r="I86" s="487">
        <f>AVERAGE(D86:H86)</f>
        <v>7.5114176000466459</v>
      </c>
      <c r="J86" s="487">
        <f>_xlfn.STDEV.S(D86:H86)</f>
        <v>1.2859378657437199</v>
      </c>
    </row>
    <row r="87" spans="2:10" x14ac:dyDescent="0.25">
      <c r="C87" s="489" t="s">
        <v>451</v>
      </c>
      <c r="D87" s="487">
        <f>'Analisis Sectorial'!D55</f>
        <v>4.4051784839927226</v>
      </c>
      <c r="E87" s="487">
        <f>'Analisis Sectorial'!E55</f>
        <v>5.3080409720636004</v>
      </c>
      <c r="F87" s="487">
        <f>'Analisis Sectorial'!F55</f>
        <v>4.6065788137615264</v>
      </c>
      <c r="G87" s="487">
        <f>'Analisis Sectorial'!G55</f>
        <v>5.22159678522193</v>
      </c>
      <c r="H87" s="487">
        <f>'Analisis Sectorial'!H55</f>
        <v>5.1020524081310112</v>
      </c>
      <c r="I87" s="487">
        <f t="shared" ref="I87:I89" si="4">AVERAGE(D87:H87)</f>
        <v>4.9286894926341578</v>
      </c>
      <c r="J87" s="487">
        <f t="shared" ref="J87:J89" si="5">_xlfn.STDEV.S(D87:H87)</f>
        <v>0.39924177921359105</v>
      </c>
    </row>
    <row r="88" spans="2:10" x14ac:dyDescent="0.25">
      <c r="C88" s="489" t="s">
        <v>333</v>
      </c>
      <c r="D88" s="487">
        <f>'Analisis Sectorial'!D59</f>
        <v>3.0340822131625371</v>
      </c>
      <c r="E88" s="487">
        <f>'Analisis Sectorial'!E59</f>
        <v>3.7589324949036476</v>
      </c>
      <c r="F88" s="487">
        <f>'Analisis Sectorial'!F59</f>
        <v>3.2427126381768479</v>
      </c>
      <c r="G88" s="487">
        <f>'Analisis Sectorial'!G59</f>
        <v>2.995071310104894</v>
      </c>
      <c r="H88" s="487">
        <f>'Analisis Sectorial'!H59</f>
        <v>3.6409051771736083</v>
      </c>
      <c r="I88" s="487">
        <f t="shared" si="4"/>
        <v>3.3343407667043068</v>
      </c>
      <c r="J88" s="487">
        <f t="shared" si="5"/>
        <v>0.34925440244734007</v>
      </c>
    </row>
    <row r="89" spans="2:10" x14ac:dyDescent="0.25">
      <c r="C89" s="489" t="s">
        <v>4152</v>
      </c>
      <c r="D89" s="487">
        <f>'Analisis Sectorial'!D63</f>
        <v>12.20606676019864</v>
      </c>
      <c r="E89" s="487">
        <f>'Analisis Sectorial'!E63</f>
        <v>10.967354497354497</v>
      </c>
      <c r="F89" s="487">
        <f>'Analisis Sectorial'!F63</f>
        <v>13.995857159843908</v>
      </c>
      <c r="G89" s="487">
        <f>'Analisis Sectorial'!G63</f>
        <v>13.751720701976174</v>
      </c>
      <c r="H89" s="487">
        <f>'Analisis Sectorial'!H63</f>
        <v>20.435113584634138</v>
      </c>
      <c r="I89" s="487">
        <f t="shared" si="4"/>
        <v>14.271222540801471</v>
      </c>
      <c r="J89" s="487">
        <f t="shared" si="5"/>
        <v>3.6578570741788399</v>
      </c>
    </row>
    <row r="91" spans="2:10" x14ac:dyDescent="0.25">
      <c r="B91" s="26" t="s">
        <v>4160</v>
      </c>
      <c r="C91" s="488"/>
    </row>
    <row r="92" spans="2:10" x14ac:dyDescent="0.25">
      <c r="D92" s="490">
        <v>2011</v>
      </c>
      <c r="E92" s="490">
        <v>2012</v>
      </c>
      <c r="F92" s="490">
        <v>2013</v>
      </c>
      <c r="G92" s="490">
        <v>2014</v>
      </c>
      <c r="H92" s="490">
        <v>2015</v>
      </c>
      <c r="I92" s="490" t="s">
        <v>466</v>
      </c>
      <c r="J92" s="490" t="s">
        <v>480</v>
      </c>
    </row>
    <row r="93" spans="2:10" x14ac:dyDescent="0.25">
      <c r="C93" s="489" t="s">
        <v>418</v>
      </c>
      <c r="D93" s="487">
        <f>'Analisis Sectorial'!D69</f>
        <v>2.2269829754983683</v>
      </c>
      <c r="E93" s="487">
        <f>'Analisis Sectorial'!E69</f>
        <v>2.4273636463737356</v>
      </c>
      <c r="F93" s="487">
        <f>'Analisis Sectorial'!F69</f>
        <v>1.7875908034826111</v>
      </c>
      <c r="G93" s="487">
        <f>'Analisis Sectorial'!G69</f>
        <v>1.801005035145969</v>
      </c>
      <c r="H93" s="487">
        <f>'Analisis Sectorial'!H69</f>
        <v>1.6372693670757086</v>
      </c>
      <c r="I93" s="487">
        <f>AVERAGE(D93:H93)</f>
        <v>1.9760423655152786</v>
      </c>
      <c r="J93" s="487">
        <f>_xlfn.STDEV.S(D93:H93)</f>
        <v>0.3345075825080453</v>
      </c>
    </row>
    <row r="94" spans="2:10" x14ac:dyDescent="0.25">
      <c r="C94" s="489" t="s">
        <v>451</v>
      </c>
      <c r="D94" s="487">
        <f>'Analisis Sectorial'!D70</f>
        <v>3.2796779589998382</v>
      </c>
      <c r="E94" s="487">
        <f>'Analisis Sectorial'!E70</f>
        <v>3.6076019914242763</v>
      </c>
      <c r="F94" s="487">
        <f>'Analisis Sectorial'!F70</f>
        <v>2.6438527978144624</v>
      </c>
      <c r="G94" s="487">
        <f>'Analisis Sectorial'!G70</f>
        <v>2.0470550694513392</v>
      </c>
      <c r="H94" s="487">
        <f>'Analisis Sectorial'!H70</f>
        <v>1.720009809864969</v>
      </c>
      <c r="I94" s="487">
        <f t="shared" ref="I94:I96" si="6">AVERAGE(D94:H94)</f>
        <v>2.6596395255109768</v>
      </c>
      <c r="J94" s="487">
        <f t="shared" ref="J94:J96" si="7">_xlfn.STDEV.S(D94:H94)</f>
        <v>0.79710310419763031</v>
      </c>
    </row>
    <row r="95" spans="2:10" x14ac:dyDescent="0.25">
      <c r="C95" s="489" t="s">
        <v>333</v>
      </c>
      <c r="D95" s="487">
        <f>'Analisis Sectorial'!D74</f>
        <v>2.6900696238494826</v>
      </c>
      <c r="E95" s="487">
        <f>'Analisis Sectorial'!E74</f>
        <v>2.7907456120843208</v>
      </c>
      <c r="F95" s="487">
        <f>'Analisis Sectorial'!F74</f>
        <v>1.9282094954388058</v>
      </c>
      <c r="G95" s="487">
        <f>'Analisis Sectorial'!G74</f>
        <v>2.1748144588474996</v>
      </c>
      <c r="H95" s="487">
        <f>'Analisis Sectorial'!H74</f>
        <v>2.1421791713830562</v>
      </c>
      <c r="I95" s="487">
        <f t="shared" si="6"/>
        <v>2.3452036723206331</v>
      </c>
      <c r="J95" s="487">
        <f t="shared" si="7"/>
        <v>0.37469178007216408</v>
      </c>
    </row>
    <row r="96" spans="2:10" x14ac:dyDescent="0.25">
      <c r="C96" s="489" t="s">
        <v>4152</v>
      </c>
      <c r="D96" s="487">
        <f>'Analisis Sectorial'!D78</f>
        <v>0.71120134364578347</v>
      </c>
      <c r="E96" s="487">
        <f>'Analisis Sectorial'!E78</f>
        <v>0.88374333561260998</v>
      </c>
      <c r="F96" s="487">
        <f>'Analisis Sectorial'!F78</f>
        <v>0.79071011719456585</v>
      </c>
      <c r="G96" s="487">
        <f>'Analisis Sectorial'!G78</f>
        <v>1.1811455771390678</v>
      </c>
      <c r="H96" s="487">
        <f>'Analisis Sectorial'!H78</f>
        <v>1.0496191199791005</v>
      </c>
      <c r="I96" s="487">
        <f t="shared" si="6"/>
        <v>0.92328389871422556</v>
      </c>
      <c r="J96" s="487">
        <f t="shared" si="7"/>
        <v>0.19142329219121693</v>
      </c>
    </row>
    <row r="98" spans="2:10" x14ac:dyDescent="0.25">
      <c r="B98" s="26" t="s">
        <v>4161</v>
      </c>
    </row>
    <row r="99" spans="2:10" x14ac:dyDescent="0.25">
      <c r="D99" s="490">
        <v>2011</v>
      </c>
      <c r="E99" s="490">
        <v>2012</v>
      </c>
      <c r="F99" s="490">
        <v>2013</v>
      </c>
      <c r="G99" s="490">
        <v>2014</v>
      </c>
      <c r="H99" s="490">
        <v>2015</v>
      </c>
      <c r="I99" s="490" t="s">
        <v>466</v>
      </c>
      <c r="J99" s="490" t="s">
        <v>480</v>
      </c>
    </row>
    <row r="100" spans="2:10" x14ac:dyDescent="0.25">
      <c r="C100" s="489" t="s">
        <v>418</v>
      </c>
      <c r="D100" s="487">
        <f>'Analisis Sectorial'!D84</f>
        <v>7.0943567761443163</v>
      </c>
      <c r="E100" s="487">
        <f>'Analisis Sectorial'!E84</f>
        <v>7.2977947019085923</v>
      </c>
      <c r="F100" s="487">
        <f>'Analisis Sectorial'!F84</f>
        <v>15.382728599657876</v>
      </c>
      <c r="G100" s="487">
        <f>'Analisis Sectorial'!G84</f>
        <v>6.7099742207409321</v>
      </c>
      <c r="H100" s="487">
        <f>'Analisis Sectorial'!H84</f>
        <v>6.8877909987097938</v>
      </c>
      <c r="I100" s="487">
        <f>AVERAGE(D100:H100)</f>
        <v>8.6745290594323023</v>
      </c>
      <c r="J100" s="487">
        <f>_xlfn.STDEV.S(D100:H100)</f>
        <v>3.7564674768790591</v>
      </c>
    </row>
    <row r="101" spans="2:10" x14ac:dyDescent="0.25">
      <c r="C101" s="489" t="s">
        <v>451</v>
      </c>
      <c r="D101" s="487">
        <f>'Analisis Sectorial'!D85</f>
        <v>5.5434284943009322</v>
      </c>
      <c r="E101" s="487">
        <f>'Analisis Sectorial'!E85</f>
        <v>8.1744693321177291</v>
      </c>
      <c r="F101" s="487">
        <f>'Analisis Sectorial'!F85</f>
        <v>7.1700591770494428</v>
      </c>
      <c r="G101" s="487">
        <f>'Analisis Sectorial'!G85</f>
        <v>3.6897117097378658</v>
      </c>
      <c r="H101" s="487">
        <f>'Analisis Sectorial'!H85</f>
        <v>3.2670404174489476</v>
      </c>
      <c r="I101" s="487">
        <f t="shared" ref="I101:I103" si="8">AVERAGE(D101:H101)</f>
        <v>5.5689418261309829</v>
      </c>
      <c r="J101" s="487">
        <f t="shared" ref="J101:J103" si="9">_xlfn.STDEV.S(D101:H101)</f>
        <v>2.1320915324874097</v>
      </c>
    </row>
    <row r="102" spans="2:10" x14ac:dyDescent="0.25">
      <c r="C102" s="489" t="s">
        <v>333</v>
      </c>
      <c r="D102" s="487">
        <f>'Analisis Sectorial'!D89</f>
        <v>10.562908527297507</v>
      </c>
      <c r="E102" s="487">
        <f>'Analisis Sectorial'!E89</f>
        <v>5.592987121566968</v>
      </c>
      <c r="F102" s="487">
        <f>'Analisis Sectorial'!F89</f>
        <v>5.0633521979582978</v>
      </c>
      <c r="G102" s="487">
        <f>'Analisis Sectorial'!G89</f>
        <v>9.9352143928499643</v>
      </c>
      <c r="H102" s="487">
        <f>'Analisis Sectorial'!H89</f>
        <v>10.314612119161833</v>
      </c>
      <c r="I102" s="487">
        <f t="shared" si="8"/>
        <v>8.2938148717669158</v>
      </c>
      <c r="J102" s="487">
        <f t="shared" si="9"/>
        <v>2.722910186894731</v>
      </c>
    </row>
    <row r="103" spans="2:10" x14ac:dyDescent="0.25">
      <c r="C103" s="489" t="s">
        <v>4152</v>
      </c>
      <c r="D103" s="487">
        <f>'Analisis Sectorial'!D93</f>
        <v>5.176733306834512</v>
      </c>
      <c r="E103" s="487">
        <f>'Analisis Sectorial'!E93</f>
        <v>8.1259276520410779</v>
      </c>
      <c r="F103" s="487">
        <f>'Analisis Sectorial'!F93</f>
        <v>33.914774423965888</v>
      </c>
      <c r="G103" s="487">
        <f>'Analisis Sectorial'!G93</f>
        <v>6.5049965596349653</v>
      </c>
      <c r="H103" s="487">
        <f>'Analisis Sectorial'!H93</f>
        <v>7.0817204595186007</v>
      </c>
      <c r="I103" s="487">
        <f t="shared" si="8"/>
        <v>12.16083048039901</v>
      </c>
      <c r="J103" s="487">
        <f t="shared" si="9"/>
        <v>12.20735380014241</v>
      </c>
    </row>
    <row r="105" spans="2:10" x14ac:dyDescent="0.25">
      <c r="B105" s="26" t="s">
        <v>392</v>
      </c>
    </row>
    <row r="106" spans="2:10" x14ac:dyDescent="0.25">
      <c r="D106" s="490">
        <v>2011</v>
      </c>
      <c r="E106" s="490">
        <v>2012</v>
      </c>
      <c r="F106" s="490">
        <v>2013</v>
      </c>
      <c r="G106" s="490">
        <v>2014</v>
      </c>
      <c r="H106" s="490">
        <v>2015</v>
      </c>
      <c r="I106" s="490" t="s">
        <v>466</v>
      </c>
    </row>
    <row r="107" spans="2:10" x14ac:dyDescent="0.25">
      <c r="C107" s="489" t="s">
        <v>418</v>
      </c>
      <c r="D107" s="487">
        <f>'Analisis Sectorial'!D127</f>
        <v>326.54857812624385</v>
      </c>
      <c r="E107" s="487">
        <f>'Analisis Sectorial'!E127</f>
        <v>277.52111599737526</v>
      </c>
      <c r="F107" s="487">
        <f>'Analisis Sectorial'!F127</f>
        <v>331.01424625969236</v>
      </c>
      <c r="G107" s="487">
        <f>'Analisis Sectorial'!G127</f>
        <v>287.16768112993003</v>
      </c>
      <c r="H107" s="487">
        <f>'Analisis Sectorial'!H127</f>
        <v>302.4629816743946</v>
      </c>
      <c r="I107" s="487">
        <f>AVERAGE(D107:H107)</f>
        <v>304.94292063752721</v>
      </c>
    </row>
    <row r="108" spans="2:10" x14ac:dyDescent="0.25">
      <c r="C108" s="489" t="s">
        <v>451</v>
      </c>
      <c r="D108" s="487">
        <f>'Analisis Sectorial'!D128</f>
        <v>191.48887571987817</v>
      </c>
      <c r="E108" s="487">
        <f>'Analisis Sectorial'!E128</f>
        <v>167.6109102716843</v>
      </c>
      <c r="F108" s="487">
        <f>'Analisis Sectorial'!F128</f>
        <v>214.31402074361955</v>
      </c>
      <c r="G108" s="487">
        <f>'Analisis Sectorial'!G128</f>
        <v>244.80681878740683</v>
      </c>
      <c r="H108" s="487">
        <f>'Analisis Sectorial'!H128</f>
        <v>279.86097153974532</v>
      </c>
      <c r="I108" s="487">
        <f t="shared" ref="I108:I110" si="10">AVERAGE(D108:H108)</f>
        <v>219.61631941246688</v>
      </c>
    </row>
    <row r="109" spans="2:10" x14ac:dyDescent="0.25">
      <c r="C109" s="489" t="s">
        <v>333</v>
      </c>
      <c r="D109" s="487">
        <f>'Analisis Sectorial'!D129</f>
        <v>252.47755800565506</v>
      </c>
      <c r="E109" s="487">
        <f>'Analisis Sectorial'!E129</f>
        <v>224.76965565163289</v>
      </c>
      <c r="F109" s="487">
        <f>'Analisis Sectorial'!F129</f>
        <v>297.71986772473929</v>
      </c>
      <c r="G109" s="487">
        <f>'Analisis Sectorial'!G129</f>
        <v>285.72883426547594</v>
      </c>
      <c r="H109" s="487">
        <f>'Analisis Sectorial'!H129</f>
        <v>266.92968056584562</v>
      </c>
      <c r="I109" s="487">
        <f t="shared" si="10"/>
        <v>265.52511924266975</v>
      </c>
    </row>
    <row r="110" spans="2:10" x14ac:dyDescent="0.25">
      <c r="C110" s="489" t="s">
        <v>4152</v>
      </c>
      <c r="D110" s="487">
        <f>'Analisis Sectorial'!D130</f>
        <v>535.67930065319842</v>
      </c>
      <c r="E110" s="487">
        <f>'Analisis Sectorial'!E130</f>
        <v>440.18278206880848</v>
      </c>
      <c r="F110" s="487">
        <f>'Analisis Sectorial'!F130</f>
        <v>481.00885031071834</v>
      </c>
      <c r="G110" s="487">
        <f>'Analisis Sectorial'!G130</f>
        <v>330.96739033690727</v>
      </c>
      <c r="H110" s="487">
        <f>'Analisis Sectorial'!H130</f>
        <v>360.59829291759286</v>
      </c>
      <c r="I110" s="487">
        <f t="shared" si="10"/>
        <v>429.68732325744503</v>
      </c>
    </row>
    <row r="112" spans="2:10" x14ac:dyDescent="0.25">
      <c r="B112" s="26" t="s">
        <v>384</v>
      </c>
    </row>
    <row r="113" spans="2:9" x14ac:dyDescent="0.25">
      <c r="D113" s="490">
        <v>2011</v>
      </c>
      <c r="E113" s="490">
        <v>2012</v>
      </c>
      <c r="F113" s="490">
        <v>2013</v>
      </c>
      <c r="G113" s="490">
        <v>2014</v>
      </c>
      <c r="H113" s="490">
        <v>2015</v>
      </c>
      <c r="I113" s="490" t="s">
        <v>466</v>
      </c>
    </row>
    <row r="114" spans="2:9" x14ac:dyDescent="0.25">
      <c r="C114" s="489" t="s">
        <v>418</v>
      </c>
      <c r="D114" s="487">
        <f>'Analisis Sectorial'!D119</f>
        <v>270.36017590360188</v>
      </c>
      <c r="E114" s="487">
        <f>'Analisis Sectorial'!E119</f>
        <v>226.61827920316887</v>
      </c>
      <c r="F114" s="487">
        <f>'Analisis Sectorial'!F119</f>
        <v>287.039987572575</v>
      </c>
      <c r="G114" s="487">
        <f>'Analisis Sectorial'!G119</f>
        <v>224.11920737434983</v>
      </c>
      <c r="H114" s="487">
        <f>'Analisis Sectorial'!H119</f>
        <v>237.15347454625854</v>
      </c>
      <c r="I114" s="487">
        <f>AVERAGE(D114:H114)</f>
        <v>249.05822491999083</v>
      </c>
    </row>
    <row r="115" spans="2:9" x14ac:dyDescent="0.25">
      <c r="C115" s="489" t="s">
        <v>451</v>
      </c>
      <c r="D115" s="487">
        <f>'Analisis Sectorial'!D120</f>
        <v>126.54711623473148</v>
      </c>
      <c r="E115" s="487">
        <f>'Analisis Sectorial'!E120</f>
        <v>123.57135426215234</v>
      </c>
      <c r="F115" s="487">
        <f>'Analisis Sectorial'!F120</f>
        <v>164.10523011713215</v>
      </c>
      <c r="G115" s="487">
        <f>'Analisis Sectorial'!G120</f>
        <v>147.2382203926081</v>
      </c>
      <c r="H115" s="487">
        <f>'Analisis Sectorial'!H120</f>
        <v>169.66949729985691</v>
      </c>
      <c r="I115" s="487">
        <f t="shared" ref="I115:I117" si="11">AVERAGE(D115:H115)</f>
        <v>146.22628366129621</v>
      </c>
    </row>
    <row r="116" spans="2:9" x14ac:dyDescent="0.25">
      <c r="C116" s="489" t="s">
        <v>333</v>
      </c>
      <c r="D116" s="487">
        <f>'Analisis Sectorial'!D121</f>
        <v>218.39603594478902</v>
      </c>
      <c r="E116" s="487">
        <f>'Analisis Sectorial'!E121</f>
        <v>160.40333544112968</v>
      </c>
      <c r="F116" s="487">
        <f>'Analisis Sectorial'!F121</f>
        <v>226.62072511617981</v>
      </c>
      <c r="G116" s="487">
        <f>'Analisis Sectorial'!G121</f>
        <v>249.49408524394704</v>
      </c>
      <c r="H116" s="487">
        <f>'Analisis Sectorial'!H121</f>
        <v>232.02773797789169</v>
      </c>
      <c r="I116" s="487">
        <f t="shared" si="11"/>
        <v>217.38838394478745</v>
      </c>
    </row>
    <row r="117" spans="2:9" x14ac:dyDescent="0.25">
      <c r="C117" s="489" t="s">
        <v>4152</v>
      </c>
      <c r="D117" s="487">
        <f>'Analisis Sectorial'!D122</f>
        <v>466.13737553128516</v>
      </c>
      <c r="E117" s="487">
        <f>'Analisis Sectorial'!E122</f>
        <v>395.88014790622458</v>
      </c>
      <c r="F117" s="487">
        <f>'Analisis Sectorial'!F122</f>
        <v>470.39400748441295</v>
      </c>
      <c r="G117" s="487">
        <f>'Analisis Sectorial'!G122</f>
        <v>275.6253164864944</v>
      </c>
      <c r="H117" s="487">
        <f>'Analisis Sectorial'!H122</f>
        <v>309.76318836102695</v>
      </c>
      <c r="I117" s="487">
        <f t="shared" si="11"/>
        <v>383.56000715388882</v>
      </c>
    </row>
    <row r="119" spans="2:9" x14ac:dyDescent="0.25">
      <c r="B119" s="26" t="s">
        <v>4162</v>
      </c>
    </row>
    <row r="120" spans="2:9" x14ac:dyDescent="0.25">
      <c r="D120" s="490">
        <v>2011</v>
      </c>
      <c r="E120" s="490">
        <v>2012</v>
      </c>
      <c r="F120" s="490">
        <v>2013</v>
      </c>
      <c r="G120" s="490">
        <v>2014</v>
      </c>
      <c r="H120" s="490">
        <v>2015</v>
      </c>
      <c r="I120" s="490" t="s">
        <v>466</v>
      </c>
    </row>
    <row r="121" spans="2:9" x14ac:dyDescent="0.25">
      <c r="C121" s="489" t="s">
        <v>418</v>
      </c>
      <c r="D121" s="487">
        <f>360/'Analisis Sectorial'!D99</f>
        <v>89.791445129081112</v>
      </c>
      <c r="E121" s="487">
        <f>360/'Analisis Sectorial'!E99</f>
        <v>94.003688402615524</v>
      </c>
      <c r="F121" s="487">
        <f>360/'Analisis Sectorial'!F99</f>
        <v>77.84783036220982</v>
      </c>
      <c r="G121" s="487">
        <f>360/'Analisis Sectorial'!G99</f>
        <v>93.488211552455297</v>
      </c>
      <c r="H121" s="487">
        <f>360/'Analisis Sectorial'!H99</f>
        <v>128.13892819863503</v>
      </c>
      <c r="I121" s="487">
        <f>AVERAGE(D121:H121)</f>
        <v>96.65402072899937</v>
      </c>
    </row>
    <row r="122" spans="2:9" x14ac:dyDescent="0.25">
      <c r="C122" s="489" t="s">
        <v>451</v>
      </c>
      <c r="D122" s="487">
        <f>360/'Analisis Sectorial'!D100</f>
        <v>84.477875363130053</v>
      </c>
      <c r="E122" s="487">
        <f>360/'Analisis Sectorial'!E100</f>
        <v>93.457904104643319</v>
      </c>
      <c r="F122" s="487">
        <f>360/'Analisis Sectorial'!F100</f>
        <v>120.89655380735208</v>
      </c>
      <c r="G122" s="487">
        <f>360/'Analisis Sectorial'!G100</f>
        <v>100.73295608692293</v>
      </c>
      <c r="H122" s="487">
        <f>360/'Analisis Sectorial'!H100</f>
        <v>97.1949632360556</v>
      </c>
      <c r="I122" s="487">
        <f t="shared" ref="I122:I124" si="12">AVERAGE(D122:H122)</f>
        <v>99.352050519620803</v>
      </c>
    </row>
    <row r="123" spans="2:9" x14ac:dyDescent="0.25">
      <c r="C123" s="489" t="s">
        <v>333</v>
      </c>
      <c r="D123" s="487">
        <f>360/'Analisis Sectorial'!D101</f>
        <v>91.163483492655004</v>
      </c>
      <c r="E123" s="487">
        <f>360/'Analisis Sectorial'!E101</f>
        <v>76.206431731204304</v>
      </c>
      <c r="F123" s="487">
        <f>360/'Analisis Sectorial'!F101</f>
        <v>116.60060287643587</v>
      </c>
      <c r="G123" s="487">
        <f>360/'Analisis Sectorial'!G101</f>
        <v>165.48574554893094</v>
      </c>
      <c r="H123" s="487">
        <f>360/'Analisis Sectorial'!H101</f>
        <v>153.32215917977152</v>
      </c>
      <c r="I123" s="487">
        <f t="shared" si="12"/>
        <v>120.55568456579954</v>
      </c>
    </row>
    <row r="124" spans="2:9" x14ac:dyDescent="0.25">
      <c r="C124" s="489" t="s">
        <v>4152</v>
      </c>
      <c r="D124" s="487">
        <f>360/'Analisis Sectorial'!D102</f>
        <v>94.303751857026</v>
      </c>
      <c r="E124" s="487">
        <f>360/'Analisis Sectorial'!E102</f>
        <v>123.58823863782952</v>
      </c>
      <c r="F124" s="487">
        <f>360/'Analisis Sectorial'!F102</f>
        <v>46.106533517951753</v>
      </c>
      <c r="G124" s="487">
        <f>360/'Analisis Sectorial'!G102</f>
        <v>62.03645931503884</v>
      </c>
      <c r="H124" s="487">
        <f>360/'Analisis Sectorial'!H102</f>
        <v>151.48587234304307</v>
      </c>
      <c r="I124" s="487">
        <f t="shared" si="12"/>
        <v>95.504171134177824</v>
      </c>
    </row>
    <row r="126" spans="2:9" x14ac:dyDescent="0.25">
      <c r="B126" s="26" t="s">
        <v>4163</v>
      </c>
    </row>
    <row r="127" spans="2:9" x14ac:dyDescent="0.25">
      <c r="D127" s="490">
        <v>2011</v>
      </c>
      <c r="E127" s="490">
        <v>2012</v>
      </c>
      <c r="F127" s="490">
        <v>2013</v>
      </c>
      <c r="G127" s="490">
        <v>2014</v>
      </c>
      <c r="H127" s="490">
        <v>2015</v>
      </c>
      <c r="I127" s="490" t="s">
        <v>466</v>
      </c>
    </row>
    <row r="128" spans="2:9" x14ac:dyDescent="0.25">
      <c r="C128" s="489" t="s">
        <v>418</v>
      </c>
      <c r="D128" s="487">
        <f>360/'Analisis Sectorial'!D105</f>
        <v>71.02673424498542</v>
      </c>
      <c r="E128" s="487">
        <f>360/'Analisis Sectorial'!E105</f>
        <v>72.436919011809223</v>
      </c>
      <c r="F128" s="487">
        <f>360/'Analisis Sectorial'!F105</f>
        <v>75.477739793723245</v>
      </c>
      <c r="G128" s="487">
        <f>360/'Analisis Sectorial'!G105</f>
        <v>88.442147578164565</v>
      </c>
      <c r="H128" s="487">
        <f>360/'Analisis Sectorial'!H105</f>
        <v>96.566595947256644</v>
      </c>
      <c r="I128" s="487">
        <f>AVERAGE(D128:H128)</f>
        <v>80.790027315187814</v>
      </c>
    </row>
    <row r="129" spans="2:11" x14ac:dyDescent="0.25">
      <c r="C129" s="489" t="s">
        <v>451</v>
      </c>
      <c r="D129" s="487">
        <f>360/'Analisis Sectorial'!D106</f>
        <v>35.034023497079055</v>
      </c>
      <c r="E129" s="487">
        <f>360/'Analisis Sectorial'!E106</f>
        <v>36.839286602139936</v>
      </c>
      <c r="F129" s="487">
        <f>360/'Analisis Sectorial'!F106</f>
        <v>37.718236598268206</v>
      </c>
      <c r="G129" s="487">
        <f>360/'Analisis Sectorial'!G106</f>
        <v>46.721336491201463</v>
      </c>
      <c r="H129" s="487">
        <f>360/'Analisis Sectorial'!H106</f>
        <v>55.682588595928003</v>
      </c>
      <c r="I129" s="487">
        <f t="shared" ref="I129:I131" si="13">AVERAGE(D129:H129)</f>
        <v>42.399094356923328</v>
      </c>
    </row>
    <row r="130" spans="2:11" x14ac:dyDescent="0.25">
      <c r="C130" s="489" t="s">
        <v>333</v>
      </c>
      <c r="D130" s="487">
        <f>360/'Analisis Sectorial'!D107</f>
        <v>188.12938765681895</v>
      </c>
      <c r="E130" s="487">
        <f>360/'Analisis Sectorial'!E107</f>
        <v>143.64552134987576</v>
      </c>
      <c r="F130" s="487">
        <f>360/'Analisis Sectorial'!F107</f>
        <v>135.21454056217377</v>
      </c>
      <c r="G130" s="487">
        <f>360/'Analisis Sectorial'!G107</f>
        <v>128.91891864486638</v>
      </c>
      <c r="H130" s="487">
        <f>360/'Analisis Sectorial'!H107</f>
        <v>126.74711352055672</v>
      </c>
      <c r="I130" s="487">
        <f t="shared" si="13"/>
        <v>144.53109634685831</v>
      </c>
    </row>
    <row r="131" spans="2:11" x14ac:dyDescent="0.25">
      <c r="C131" s="489" t="s">
        <v>4152</v>
      </c>
      <c r="D131" s="487">
        <f>360/'Analisis Sectorial'!D108</f>
        <v>119.35388786664265</v>
      </c>
      <c r="E131" s="487">
        <f>360/'Analisis Sectorial'!E108</f>
        <v>136.82080935767505</v>
      </c>
      <c r="F131" s="487">
        <f>360/'Analisis Sectorial'!F108</f>
        <v>171.26836972054872</v>
      </c>
      <c r="G131" s="487">
        <f>360/'Analisis Sectorial'!G108</f>
        <v>210.07661272882436</v>
      </c>
      <c r="H131" s="487">
        <f>360/'Analisis Sectorial'!H108</f>
        <v>191.64496280138096</v>
      </c>
      <c r="I131" s="487">
        <f t="shared" si="13"/>
        <v>165.83292849501436</v>
      </c>
    </row>
    <row r="133" spans="2:11" x14ac:dyDescent="0.25">
      <c r="B133" s="26" t="s">
        <v>4169</v>
      </c>
    </row>
    <row r="134" spans="2:11" x14ac:dyDescent="0.25">
      <c r="D134" s="490">
        <v>2011</v>
      </c>
      <c r="E134" s="490">
        <v>2012</v>
      </c>
      <c r="F134" s="490">
        <v>2013</v>
      </c>
      <c r="G134" s="490">
        <v>2014</v>
      </c>
      <c r="H134" s="490">
        <v>2015</v>
      </c>
      <c r="I134" s="490" t="s">
        <v>466</v>
      </c>
    </row>
    <row r="135" spans="2:11" x14ac:dyDescent="0.25">
      <c r="C135" s="489" t="s">
        <v>418</v>
      </c>
      <c r="D135" s="487">
        <f>360/'Analisis Sectorial'!D111</f>
        <v>180.41614572726255</v>
      </c>
      <c r="E135" s="487">
        <f>360/'Analisis Sectorial'!E111</f>
        <v>186.76007614066452</v>
      </c>
      <c r="F135" s="487">
        <f>360/'Analisis Sectorial'!F111</f>
        <v>201.66580767921968</v>
      </c>
      <c r="G135" s="487">
        <f>360/'Analisis Sectorial'!G111</f>
        <v>216.55348146248883</v>
      </c>
      <c r="H135" s="487">
        <f>360/'Analisis Sectorial'!H111</f>
        <v>230.30740832285707</v>
      </c>
      <c r="I135" s="487">
        <f>AVERAGE(D135:H135)</f>
        <v>203.14058386649853</v>
      </c>
    </row>
    <row r="136" spans="2:11" x14ac:dyDescent="0.25">
      <c r="C136" s="489" t="s">
        <v>451</v>
      </c>
      <c r="D136" s="487">
        <f>360/'Analisis Sectorial'!D112</f>
        <v>119.51189886020912</v>
      </c>
      <c r="E136" s="487">
        <f>360/'Analisis Sectorial'!E112</f>
        <v>130.29719070678325</v>
      </c>
      <c r="F136" s="487">
        <f>360/'Analisis Sectorial'!F112</f>
        <v>158.61479040562028</v>
      </c>
      <c r="G136" s="487">
        <f>360/'Analisis Sectorial'!G112</f>
        <v>147.45429257812438</v>
      </c>
      <c r="H136" s="487">
        <f>360/'Analisis Sectorial'!H112</f>
        <v>152.8775518319836</v>
      </c>
      <c r="I136" s="487">
        <f t="shared" ref="I136:I138" si="14">AVERAGE(D136:H136)</f>
        <v>141.75114487654415</v>
      </c>
    </row>
    <row r="137" spans="2:11" x14ac:dyDescent="0.25">
      <c r="C137" s="489" t="s">
        <v>333</v>
      </c>
      <c r="D137" s="487">
        <f>360/'Analisis Sectorial'!D113</f>
        <v>279.29287114947397</v>
      </c>
      <c r="E137" s="487">
        <f>360/'Analisis Sectorial'!E113</f>
        <v>219.85195308108004</v>
      </c>
      <c r="F137" s="487">
        <f>360/'Analisis Sectorial'!F113</f>
        <v>251.81514343860962</v>
      </c>
      <c r="G137" s="487">
        <f>360/'Analisis Sectorial'!G113</f>
        <v>294.40466419379732</v>
      </c>
      <c r="H137" s="487">
        <f>360/'Analisis Sectorial'!H113</f>
        <v>280.06927270032821</v>
      </c>
      <c r="I137" s="487">
        <f t="shared" si="14"/>
        <v>265.08678091265784</v>
      </c>
    </row>
    <row r="138" spans="2:11" x14ac:dyDescent="0.25">
      <c r="C138" s="489" t="s">
        <v>4152</v>
      </c>
      <c r="D138" s="487">
        <f>360/'Analisis Sectorial'!D114</f>
        <v>213.65763972366867</v>
      </c>
      <c r="E138" s="487">
        <f>360/'Analisis Sectorial'!E114</f>
        <v>260.40904799550452</v>
      </c>
      <c r="F138" s="487">
        <f>360/'Analisis Sectorial'!F114</f>
        <v>217.37490323850048</v>
      </c>
      <c r="G138" s="487">
        <f>360/'Analisis Sectorial'!G114</f>
        <v>272.11307204386316</v>
      </c>
      <c r="H138" s="487">
        <f>360/'Analisis Sectorial'!H114</f>
        <v>343.13083514442405</v>
      </c>
      <c r="I138" s="487">
        <f t="shared" si="14"/>
        <v>261.33709962919215</v>
      </c>
    </row>
    <row r="140" spans="2:11" x14ac:dyDescent="0.25">
      <c r="B140" s="26" t="s">
        <v>4170</v>
      </c>
    </row>
    <row r="141" spans="2:11" x14ac:dyDescent="0.25">
      <c r="C141" s="408" t="s">
        <v>465</v>
      </c>
      <c r="D141" s="408">
        <v>2011</v>
      </c>
      <c r="E141" s="408">
        <v>2012</v>
      </c>
      <c r="F141" s="408">
        <v>2013</v>
      </c>
      <c r="G141" s="408">
        <v>2014</v>
      </c>
      <c r="H141" s="408">
        <v>2015</v>
      </c>
      <c r="I141" s="408" t="s">
        <v>466</v>
      </c>
    </row>
    <row r="142" spans="2:11" x14ac:dyDescent="0.25">
      <c r="C142" s="410" t="s">
        <v>418</v>
      </c>
      <c r="D142" s="409">
        <f>'Gráficos II'!C72</f>
        <v>0.49154783496184828</v>
      </c>
      <c r="E142" s="409">
        <f>'Gráficos II'!D72</f>
        <v>0.51282869129904807</v>
      </c>
      <c r="F142" s="409">
        <f>'Gráficos II'!E72</f>
        <v>0.47911626724488793</v>
      </c>
      <c r="G142" s="409">
        <f>'Gráficos II'!F72</f>
        <v>0.49107681229625738</v>
      </c>
      <c r="H142" s="409">
        <f>'Gráficos II'!G72</f>
        <v>0.54156502937948692</v>
      </c>
      <c r="I142" s="406">
        <f>AVERAGE(D142:H142)</f>
        <v>0.50322692703630578</v>
      </c>
    </row>
    <row r="143" spans="2:11" x14ac:dyDescent="0.25">
      <c r="C143" s="410" t="s">
        <v>451</v>
      </c>
      <c r="D143" s="409">
        <f>'Gráficos II'!C73</f>
        <v>0.70685744406038009</v>
      </c>
      <c r="E143" s="409">
        <f>'Gráficos II'!D73</f>
        <v>0.71726722270596055</v>
      </c>
      <c r="F143" s="409">
        <f>'Gráficos II'!E73</f>
        <v>0.7622022731813809</v>
      </c>
      <c r="G143" s="409">
        <f>'Gráficos II'!F73</f>
        <v>0.68314698965818499</v>
      </c>
      <c r="H143" s="409">
        <f>'Gráficos II'!G73</f>
        <v>0.63577001378773634</v>
      </c>
      <c r="I143" s="406">
        <f>AVERAGE(D143:H143)</f>
        <v>0.70104878867872855</v>
      </c>
    </row>
    <row r="144" spans="2:11" x14ac:dyDescent="0.25">
      <c r="C144" s="410" t="s">
        <v>333</v>
      </c>
      <c r="D144" s="409">
        <f>'Gráficos II'!C74</f>
        <v>0.32640820052963504</v>
      </c>
      <c r="E144" s="409">
        <f>'Gráficos II'!D74</f>
        <v>0.3466261302809524</v>
      </c>
      <c r="F144" s="409">
        <f>'Gráficos II'!E74</f>
        <v>0.46304047200744342</v>
      </c>
      <c r="G144" s="409">
        <f>'Gráficos II'!F74</f>
        <v>0.56210300200949559</v>
      </c>
      <c r="H144" s="409">
        <f>'Gráficos II'!G74</f>
        <v>0.54744370098688022</v>
      </c>
      <c r="I144" s="406">
        <f>AVERAGE(D144:H144)</f>
        <v>0.44912430116288143</v>
      </c>
      <c r="K144" s="142"/>
    </row>
    <row r="145" spans="3:9" x14ac:dyDescent="0.25">
      <c r="C145" s="410" t="s">
        <v>4152</v>
      </c>
      <c r="D145" s="409">
        <f>'Gráficos II'!C75</f>
        <v>0.44137786029552956</v>
      </c>
      <c r="E145" s="409">
        <f>'Gráficos II'!D75</f>
        <v>0.4745927209102313</v>
      </c>
      <c r="F145" s="409">
        <f>'Gráficos II'!E75</f>
        <v>0.21210605654583942</v>
      </c>
      <c r="G145" s="409">
        <f>'Gráficos II'!F75</f>
        <v>0.2279804452210914</v>
      </c>
      <c r="H145" s="409">
        <f>'Gráficos II'!G75</f>
        <v>0.44148137336384402</v>
      </c>
      <c r="I145" s="406">
        <f>AVERAGE(D145:H145)</f>
        <v>0.35950769126730714</v>
      </c>
    </row>
    <row r="165" spans="2:9" x14ac:dyDescent="0.25">
      <c r="B165" s="26" t="s">
        <v>4171</v>
      </c>
    </row>
    <row r="166" spans="2:9" x14ac:dyDescent="0.25">
      <c r="D166" s="408">
        <v>2011</v>
      </c>
      <c r="E166" s="408">
        <v>2012</v>
      </c>
      <c r="F166" s="408">
        <v>2013</v>
      </c>
      <c r="G166" s="408">
        <v>2014</v>
      </c>
      <c r="H166" s="408">
        <v>2015</v>
      </c>
      <c r="I166" s="408" t="s">
        <v>466</v>
      </c>
    </row>
    <row r="167" spans="2:9" x14ac:dyDescent="0.25">
      <c r="C167" s="410" t="s">
        <v>418</v>
      </c>
      <c r="D167" s="487">
        <f>'Analisis Sectorial'!D133</f>
        <v>0.24994917658593618</v>
      </c>
      <c r="E167" s="487">
        <f>'Analisis Sectorial'!E133</f>
        <v>0.27153016154970105</v>
      </c>
      <c r="F167" s="487">
        <f>'Analisis Sectorial'!F133</f>
        <v>0.26259600944605527</v>
      </c>
      <c r="G167" s="487">
        <f>'Analisis Sectorial'!G133</f>
        <v>0.30393996384341909</v>
      </c>
      <c r="H167" s="487">
        <f>'Analisis Sectorial'!H133</f>
        <v>0.372224995147102</v>
      </c>
      <c r="I167" s="487">
        <f>AVERAGE(D167:H167)</f>
        <v>0.29204806131444272</v>
      </c>
    </row>
    <row r="168" spans="2:9" x14ac:dyDescent="0.25">
      <c r="C168" s="410" t="s">
        <v>451</v>
      </c>
      <c r="D168" s="487">
        <f>'Analisis Sectorial'!D134</f>
        <v>0.2346607648975835</v>
      </c>
      <c r="E168" s="487">
        <f>'Analisis Sectorial'!E134</f>
        <v>0.25960528917956477</v>
      </c>
      <c r="F168" s="487">
        <f>'Analisis Sectorial'!F134</f>
        <v>0.33582376057597796</v>
      </c>
      <c r="G168" s="487">
        <f>'Analisis Sectorial'!G134</f>
        <v>0.27981376690811921</v>
      </c>
      <c r="H168" s="487">
        <f>'Analisis Sectorial'!H134</f>
        <v>0.26998600898904329</v>
      </c>
      <c r="I168" s="487">
        <f>AVERAGE(D168:H168)</f>
        <v>0.27597791811005778</v>
      </c>
    </row>
    <row r="169" spans="2:9" x14ac:dyDescent="0.25">
      <c r="C169" s="410" t="s">
        <v>333</v>
      </c>
      <c r="D169" s="487">
        <f>'Analisis Sectorial'!D135</f>
        <v>0.25323189859070838</v>
      </c>
      <c r="E169" s="487">
        <f>'Analisis Sectorial'!E135</f>
        <v>0.2116845325866786</v>
      </c>
      <c r="F169" s="487">
        <f>'Analisis Sectorial'!F135</f>
        <v>0.32389056354565521</v>
      </c>
      <c r="G169" s="487">
        <f>'Analisis Sectorial'!G135</f>
        <v>0.45968262652480812</v>
      </c>
      <c r="H169" s="487">
        <f>'Analisis Sectorial'!H135</f>
        <v>0.42589488661047642</v>
      </c>
      <c r="I169" s="487">
        <f>AVERAGE(D169:H169)</f>
        <v>0.33487690157166539</v>
      </c>
    </row>
    <row r="170" spans="2:9" x14ac:dyDescent="0.25">
      <c r="C170" s="410" t="s">
        <v>4152</v>
      </c>
      <c r="D170" s="487">
        <f>'Analisis Sectorial'!D136</f>
        <v>0.2619548662695167</v>
      </c>
      <c r="E170" s="487">
        <f>'Analisis Sectorial'!E136</f>
        <v>0.34330066288285976</v>
      </c>
      <c r="F170" s="487">
        <f>'Analisis Sectorial'!F136</f>
        <v>0.12807370421653266</v>
      </c>
      <c r="G170" s="487">
        <f>'Analisis Sectorial'!G136</f>
        <v>0.17232349809733011</v>
      </c>
      <c r="H170" s="487">
        <f>'Analisis Sectorial'!H136</f>
        <v>0.42079408984178635</v>
      </c>
      <c r="I170" s="487">
        <f>AVERAGE(D170:H170)</f>
        <v>0.2652893642616051</v>
      </c>
    </row>
    <row r="172" spans="2:9" x14ac:dyDescent="0.25">
      <c r="B172" s="26" t="s">
        <v>4172</v>
      </c>
    </row>
    <row r="173" spans="2:9" x14ac:dyDescent="0.25">
      <c r="D173" s="408">
        <v>2011</v>
      </c>
      <c r="E173" s="408">
        <v>2012</v>
      </c>
      <c r="F173" s="408">
        <v>2013</v>
      </c>
      <c r="G173" s="408">
        <v>2014</v>
      </c>
      <c r="H173" s="408">
        <v>2015</v>
      </c>
      <c r="I173" s="408" t="s">
        <v>466</v>
      </c>
    </row>
    <row r="174" spans="2:9" x14ac:dyDescent="0.25">
      <c r="C174" s="410" t="s">
        <v>418</v>
      </c>
      <c r="D174" s="487">
        <f>'Analisis Sectorial'!D139</f>
        <v>0.47539280158354419</v>
      </c>
      <c r="E174" s="487">
        <f>'Analisis Sectorial'!E139</f>
        <v>0.48030030034867216</v>
      </c>
      <c r="F174" s="487">
        <f>'Analisis Sectorial'!F139</f>
        <v>0.75722595927312586</v>
      </c>
      <c r="G174" s="487">
        <f>'Analisis Sectorial'!G139</f>
        <v>0.63852640752522072</v>
      </c>
      <c r="H174" s="487">
        <f>'Analisis Sectorial'!H139</f>
        <v>0.4604002143662016</v>
      </c>
      <c r="I174" s="487">
        <f>AVERAGE(D174:H174)</f>
        <v>0.56236913661935284</v>
      </c>
    </row>
    <row r="175" spans="2:9" x14ac:dyDescent="0.25">
      <c r="C175" s="410" t="s">
        <v>451</v>
      </c>
      <c r="D175" s="487">
        <f>'Analisis Sectorial'!D140</f>
        <v>0.35480071253571643</v>
      </c>
      <c r="E175" s="487">
        <f>'Analisis Sectorial'!E140</f>
        <v>0.2780745468009147</v>
      </c>
      <c r="F175" s="487">
        <f>'Analisis Sectorial'!F140</f>
        <v>0.2454402818256034</v>
      </c>
      <c r="G175" s="487">
        <f>'Analisis Sectorial'!G140</f>
        <v>0.58340519226244536</v>
      </c>
      <c r="H175" s="487">
        <f>'Analisis Sectorial'!H140</f>
        <v>0.67189196908415905</v>
      </c>
      <c r="I175" s="487">
        <f>AVERAGE(D175:H175)</f>
        <v>0.42672254050176778</v>
      </c>
    </row>
    <row r="176" spans="2:9" x14ac:dyDescent="0.25">
      <c r="C176" s="410" t="s">
        <v>333</v>
      </c>
      <c r="D176" s="487">
        <f>'Analisis Sectorial'!D143</f>
        <v>0.32333929359195995</v>
      </c>
      <c r="E176" s="487">
        <f>'Analisis Sectorial'!E143</f>
        <v>0.67361062663894089</v>
      </c>
      <c r="F176" s="487">
        <f>'Analisis Sectorial'!F143</f>
        <v>0.50697151328485435</v>
      </c>
      <c r="G176" s="487">
        <f>'Analisis Sectorial'!G143</f>
        <v>0.33714938508046233</v>
      </c>
      <c r="H176" s="487">
        <f>'Analisis Sectorial'!H143</f>
        <v>0.22708621347265287</v>
      </c>
      <c r="I176" s="487">
        <f>AVERAGE(D176:H176)</f>
        <v>0.41363140641377411</v>
      </c>
    </row>
    <row r="177" spans="2:9" x14ac:dyDescent="0.25">
      <c r="C177" s="410" t="s">
        <v>4152</v>
      </c>
      <c r="D177" s="487">
        <f>'Analisis Sectorial'!D146</f>
        <v>0.74803839862295618</v>
      </c>
      <c r="E177" s="487">
        <f>'Analisis Sectorial'!E146</f>
        <v>0.489215727606161</v>
      </c>
      <c r="F177" s="487">
        <f>'Analisis Sectorial'!F146</f>
        <v>1.5192660827089199</v>
      </c>
      <c r="G177" s="487">
        <f>'Analisis Sectorial'!G146</f>
        <v>0.99502464523275425</v>
      </c>
      <c r="H177" s="487">
        <f>'Analisis Sectorial'!H146</f>
        <v>0.4822224605417928</v>
      </c>
      <c r="I177" s="487">
        <f>AVERAGE(D177:H177)</f>
        <v>0.84675346294251685</v>
      </c>
    </row>
    <row r="179" spans="2:9" x14ac:dyDescent="0.25">
      <c r="B179" s="26" t="s">
        <v>4173</v>
      </c>
    </row>
    <row r="180" spans="2:9" x14ac:dyDescent="0.25">
      <c r="D180" s="619">
        <v>2011</v>
      </c>
      <c r="E180" s="619">
        <v>2012</v>
      </c>
      <c r="F180" s="619">
        <v>2013</v>
      </c>
      <c r="G180" s="619">
        <v>2014</v>
      </c>
      <c r="H180" s="619">
        <v>2015</v>
      </c>
    </row>
    <row r="181" spans="2:9" x14ac:dyDescent="0.25">
      <c r="C181" s="407" t="s">
        <v>393</v>
      </c>
      <c r="D181" s="409">
        <f>'Analisis Sectorial'!D174</f>
        <v>0.14451585781441345</v>
      </c>
      <c r="E181" s="409">
        <f>'Analisis Sectorial'!E174</f>
        <v>0.10958228859602967</v>
      </c>
      <c r="F181" s="409">
        <f>'Analisis Sectorial'!F174</f>
        <v>0.1049961008375343</v>
      </c>
      <c r="G181" s="409">
        <f>'Analisis Sectorial'!G174</f>
        <v>0.2435858939092625</v>
      </c>
      <c r="H181" s="409">
        <f>'Analisis Sectorial'!H174</f>
        <v>0.2384494620851613</v>
      </c>
    </row>
    <row r="182" spans="2:9" x14ac:dyDescent="0.25">
      <c r="C182" s="415" t="s">
        <v>394</v>
      </c>
      <c r="D182" s="468">
        <f>'Analisis Sectorial'!D175*1000</f>
        <v>2924283007.3821058</v>
      </c>
      <c r="E182" s="468">
        <f>'Analisis Sectorial'!E175*1000</f>
        <v>2526337038.5358629</v>
      </c>
      <c r="F182" s="468">
        <f>'Analisis Sectorial'!F175*1000</f>
        <v>3059904831.5795898</v>
      </c>
      <c r="G182" s="468">
        <f>'Analisis Sectorial'!G175*1000</f>
        <v>8277452053.2770529</v>
      </c>
      <c r="H182" s="468">
        <f>'Analisis Sectorial'!H175*1000</f>
        <v>9777860072.9608955</v>
      </c>
    </row>
    <row r="183" spans="2:9" x14ac:dyDescent="0.25">
      <c r="C183" s="415" t="s">
        <v>379</v>
      </c>
      <c r="D183" s="468">
        <f>'Analisis Sectorial'!D178*1000</f>
        <v>20235032000</v>
      </c>
      <c r="E183" s="468">
        <f>'Analisis Sectorial'!E178*1000</f>
        <v>23054246000</v>
      </c>
      <c r="F183" s="468">
        <f>'Analisis Sectorial'!F178*1000</f>
        <v>29143033000</v>
      </c>
      <c r="G183" s="468">
        <f>'Analisis Sectorial'!G178*1000</f>
        <v>33981656000</v>
      </c>
      <c r="H183" s="468">
        <f>'Analisis Sectorial'!H178*1000</f>
        <v>41006006000</v>
      </c>
    </row>
    <row r="201" spans="2:15" x14ac:dyDescent="0.25">
      <c r="B201" s="26" t="s">
        <v>4174</v>
      </c>
    </row>
    <row r="202" spans="2:15" x14ac:dyDescent="0.25">
      <c r="D202" s="493">
        <v>2011</v>
      </c>
      <c r="E202" s="493">
        <v>2012</v>
      </c>
      <c r="F202" s="493">
        <v>2013</v>
      </c>
      <c r="G202" s="493">
        <v>2014</v>
      </c>
      <c r="H202" s="493">
        <v>2015</v>
      </c>
    </row>
    <row r="203" spans="2:15" x14ac:dyDescent="0.25">
      <c r="C203" s="511" t="s">
        <v>4188</v>
      </c>
      <c r="D203" s="509">
        <f>'Analisis Sectorial'!D173</f>
        <v>0.13165142862709631</v>
      </c>
      <c r="E203" s="509">
        <f>'Analisis Sectorial'!E173</f>
        <v>0.11256792080766838</v>
      </c>
      <c r="F203" s="509">
        <f>'Analisis Sectorial'!F173</f>
        <v>0.13508333256127111</v>
      </c>
      <c r="G203" s="509">
        <f>'Analisis Sectorial'!G173</f>
        <v>0.15714630494981421</v>
      </c>
      <c r="H203" s="509">
        <f>'Analisis Sectorial'!H173</f>
        <v>0.13383523248746335</v>
      </c>
      <c r="J203" s="510"/>
      <c r="K203" s="510"/>
      <c r="L203" s="510"/>
      <c r="M203" s="510"/>
      <c r="N203" s="510"/>
      <c r="O203" s="510"/>
    </row>
    <row r="204" spans="2:15" x14ac:dyDescent="0.25">
      <c r="C204" s="511" t="s">
        <v>4173</v>
      </c>
      <c r="D204" s="509">
        <f>'Analisis Sectorial'!D174</f>
        <v>0.14451585781441345</v>
      </c>
      <c r="E204" s="509">
        <f>'Analisis Sectorial'!E174</f>
        <v>0.10958228859602967</v>
      </c>
      <c r="F204" s="509">
        <f>'Analisis Sectorial'!F174</f>
        <v>0.1049961008375343</v>
      </c>
      <c r="G204" s="509">
        <f>'Analisis Sectorial'!G174</f>
        <v>0.2435858939092625</v>
      </c>
      <c r="H204" s="509">
        <f>'Analisis Sectorial'!H174</f>
        <v>0.2384494620851613</v>
      </c>
      <c r="J204" s="510"/>
      <c r="K204" s="510"/>
      <c r="L204" s="510"/>
      <c r="M204" s="510"/>
      <c r="N204" s="510"/>
      <c r="O204" s="510"/>
    </row>
    <row r="205" spans="2:15" x14ac:dyDescent="0.25">
      <c r="C205" s="512" t="s">
        <v>398</v>
      </c>
      <c r="D205" s="406">
        <f>'Analisis Sectorial'!D192</f>
        <v>4.7976012730034837E-2</v>
      </c>
      <c r="E205" s="406">
        <f>'Analisis Sectorial'!E192</f>
        <v>3.9661845431340659E-2</v>
      </c>
      <c r="F205" s="406">
        <f>'Analisis Sectorial'!F192</f>
        <v>4.6260929243757985E-2</v>
      </c>
      <c r="G205" s="406">
        <f>'Analisis Sectorial'!G192</f>
        <v>9.9771626856667656E-2</v>
      </c>
      <c r="H205" s="406">
        <f>'Analisis Sectorial'!H192</f>
        <v>0.1012599166645357</v>
      </c>
    </row>
    <row r="206" spans="2:15" x14ac:dyDescent="0.25">
      <c r="C206" s="512" t="s">
        <v>399</v>
      </c>
      <c r="D206" s="487">
        <f>'Analisis Sectorial'!D193</f>
        <v>3.0122523651062179</v>
      </c>
      <c r="E206" s="487">
        <f>'Analisis Sectorial'!E193</f>
        <v>2.7629145190868529</v>
      </c>
      <c r="F206" s="487">
        <f>'Analisis Sectorial'!F193</f>
        <v>2.269649627751511</v>
      </c>
      <c r="G206" s="487">
        <f>'Analisis Sectorial'!G193</f>
        <v>2.4414345198480025</v>
      </c>
      <c r="H206" s="487">
        <f>'Analisis Sectorial'!H193</f>
        <v>2.3548257784481619</v>
      </c>
    </row>
    <row r="207" spans="2:15" x14ac:dyDescent="0.25">
      <c r="C207" s="511" t="s">
        <v>4184</v>
      </c>
      <c r="D207" s="509">
        <f>'Analisis Sectorial'!D179</f>
        <v>6.9656794008037495E-2</v>
      </c>
      <c r="E207" s="509">
        <f>'Analisis Sectorial'!E179</f>
        <v>0.10431671493515272</v>
      </c>
      <c r="F207" s="509">
        <f>'Analisis Sectorial'!F179</f>
        <v>0.13178533013946947</v>
      </c>
      <c r="G207" s="509">
        <f>'Analisis Sectorial'!G179</f>
        <v>0.10843583831735423</v>
      </c>
      <c r="H207" s="509">
        <f>'Analisis Sectorial'!H179</f>
        <v>6.1130467090764903E-2</v>
      </c>
      <c r="J207" s="510"/>
      <c r="K207" s="510"/>
      <c r="L207" s="510"/>
      <c r="M207" s="510"/>
      <c r="N207" s="510"/>
      <c r="O207" s="510"/>
    </row>
    <row r="208" spans="2:15" x14ac:dyDescent="0.25">
      <c r="C208" s="512" t="s">
        <v>398</v>
      </c>
      <c r="D208" s="406">
        <f>'Analisis Sectorial'!D195</f>
        <v>5.4040683315478517E-2</v>
      </c>
      <c r="E208" s="406">
        <f>'Analisis Sectorial'!E195</f>
        <v>6.3706204215265558E-2</v>
      </c>
      <c r="F208" s="406">
        <f>'Analisis Sectorial'!F195</f>
        <v>9.2182060589375073E-2</v>
      </c>
      <c r="G208" s="406">
        <f>'Analisis Sectorial'!G195</f>
        <v>8.8677823795537708E-2</v>
      </c>
      <c r="H208" s="406">
        <f>'Analisis Sectorial'!H195</f>
        <v>4.755768182761632E-2</v>
      </c>
    </row>
    <row r="209" spans="2:15" x14ac:dyDescent="0.25">
      <c r="C209" s="512" t="s">
        <v>399</v>
      </c>
      <c r="D209" s="487">
        <f>'Analisis Sectorial'!D196</f>
        <v>1.288969526928357</v>
      </c>
      <c r="E209" s="487">
        <f>'Analisis Sectorial'!E196</f>
        <v>1.6374655533182105</v>
      </c>
      <c r="F209" s="487">
        <f>'Analisis Sectorial'!F196</f>
        <v>1.4296201375504842</v>
      </c>
      <c r="G209" s="487">
        <f>'Analisis Sectorial'!G196</f>
        <v>1.2228067139691217</v>
      </c>
      <c r="H209" s="487">
        <f>'Analisis Sectorial'!H196</f>
        <v>1.2853962754607393</v>
      </c>
    </row>
    <row r="210" spans="2:15" x14ac:dyDescent="0.25">
      <c r="C210" s="511" t="s">
        <v>4185</v>
      </c>
      <c r="D210" s="509">
        <f>'Analisis Sectorial'!D184</f>
        <v>0.18078163405883796</v>
      </c>
      <c r="E210" s="509">
        <f>'Analisis Sectorial'!E184</f>
        <v>0.12380475889182274</v>
      </c>
      <c r="F210" s="509">
        <f>'Analisis Sectorial'!F184</f>
        <v>0.16846856670680954</v>
      </c>
      <c r="G210" s="509">
        <f>'Analisis Sectorial'!G184</f>
        <v>0.119417182622826</v>
      </c>
      <c r="H210" s="509">
        <f>'Analisis Sectorial'!H184</f>
        <v>0.10192576828646388</v>
      </c>
      <c r="J210" s="510"/>
      <c r="K210" s="510"/>
      <c r="L210" s="510"/>
      <c r="M210" s="510"/>
      <c r="N210" s="510"/>
      <c r="O210" s="510"/>
    </row>
    <row r="211" spans="2:15" x14ac:dyDescent="0.25">
      <c r="C211" s="512" t="s">
        <v>398</v>
      </c>
      <c r="D211" s="406">
        <f>'Analisis Sectorial'!D198</f>
        <v>0.10729271455110918</v>
      </c>
      <c r="E211" s="406">
        <f>'Analisis Sectorial'!E198</f>
        <v>8.955522055647927E-2</v>
      </c>
      <c r="F211" s="406">
        <f>'Analisis Sectorial'!F198</f>
        <v>0.10172455107394886</v>
      </c>
      <c r="G211" s="406">
        <f>'Analisis Sectorial'!G198</f>
        <v>9.0263823384222813E-2</v>
      </c>
      <c r="H211" s="406">
        <f>'Analisis Sectorial'!H198</f>
        <v>9.7149649985753886E-2</v>
      </c>
    </row>
    <row r="212" spans="2:15" x14ac:dyDescent="0.25">
      <c r="C212" s="512" t="s">
        <v>399</v>
      </c>
      <c r="D212" s="487">
        <f>'Analisis Sectorial'!D199</f>
        <v>1.684938579615507</v>
      </c>
      <c r="E212" s="487">
        <f>'Analisis Sectorial'!E199</f>
        <v>1.3824404442591207</v>
      </c>
      <c r="F212" s="487">
        <f>'Analisis Sectorial'!F199</f>
        <v>1.6561249465170016</v>
      </c>
      <c r="G212" s="487">
        <f>'Analisis Sectorial'!G199</f>
        <v>1.3229794412154148</v>
      </c>
      <c r="H212" s="487">
        <f>'Analisis Sectorial'!H199</f>
        <v>1.0491624859318625</v>
      </c>
    </row>
    <row r="214" spans="2:15" x14ac:dyDescent="0.25">
      <c r="B214" s="26" t="s">
        <v>4175</v>
      </c>
    </row>
    <row r="215" spans="2:15" x14ac:dyDescent="0.25">
      <c r="C215" s="496"/>
      <c r="D215" s="408">
        <v>2011</v>
      </c>
      <c r="E215" s="408">
        <v>2012</v>
      </c>
      <c r="F215" s="408">
        <v>2013</v>
      </c>
      <c r="G215" s="408">
        <v>2014</v>
      </c>
      <c r="H215" s="408">
        <v>2015</v>
      </c>
    </row>
    <row r="216" spans="2:15" x14ac:dyDescent="0.25">
      <c r="C216" s="407" t="s">
        <v>400</v>
      </c>
      <c r="D216" s="406">
        <f>'Analisis Sectorial'!D204</f>
        <v>0.14420411285310628</v>
      </c>
      <c r="E216" s="406">
        <f>'Analisis Sectorial'!E204</f>
        <v>0.15969531459579411</v>
      </c>
      <c r="F216" s="406">
        <f>'Analisis Sectorial'!F204</f>
        <v>0.16886484061521798</v>
      </c>
      <c r="G216" s="406">
        <f>'Analisis Sectorial'!G204</f>
        <v>0.24271546686502729</v>
      </c>
      <c r="H216" s="406">
        <f>'Analisis Sectorial'!H204</f>
        <v>0.19990606283170154</v>
      </c>
    </row>
    <row r="217" spans="2:15" x14ac:dyDescent="0.25">
      <c r="C217" s="622" t="s">
        <v>460</v>
      </c>
      <c r="D217" s="468">
        <f>'Analisis Sectorial'!D205*1000</f>
        <v>2292482000</v>
      </c>
      <c r="E217" s="468">
        <f>'Analisis Sectorial'!E205*1000</f>
        <v>2861592000</v>
      </c>
      <c r="F217" s="468">
        <f>'Analisis Sectorial'!F205*1000</f>
        <v>3384686000</v>
      </c>
      <c r="G217" s="468">
        <f>'Analisis Sectorial'!G205*1000</f>
        <v>5795982000</v>
      </c>
      <c r="H217" s="468">
        <f>'Analisis Sectorial'!H205*1000</f>
        <v>5496412000</v>
      </c>
    </row>
    <row r="218" spans="2:15" x14ac:dyDescent="0.25">
      <c r="C218" s="622" t="s">
        <v>402</v>
      </c>
      <c r="D218" s="468">
        <f>'Analisis Sectorial'!D206*1000</f>
        <v>15897480000</v>
      </c>
      <c r="E218" s="468">
        <f>'Analisis Sectorial'!E206*1000</f>
        <v>17919073000</v>
      </c>
      <c r="F218" s="468">
        <f>'Analisis Sectorial'!F206*1000</f>
        <v>20043758000</v>
      </c>
      <c r="G218" s="468">
        <f>'Analisis Sectorial'!G206*1000</f>
        <v>23879739000</v>
      </c>
      <c r="H218" s="468">
        <f>'Analisis Sectorial'!H206*1000</f>
        <v>27494974000</v>
      </c>
    </row>
    <row r="236" spans="2:12" x14ac:dyDescent="0.25">
      <c r="B236" s="26" t="s">
        <v>4183</v>
      </c>
    </row>
    <row r="237" spans="2:12" x14ac:dyDescent="0.25">
      <c r="D237" s="493">
        <v>2011</v>
      </c>
      <c r="E237" s="493">
        <v>2012</v>
      </c>
      <c r="F237" s="493">
        <v>2013</v>
      </c>
      <c r="G237" s="493">
        <v>2014</v>
      </c>
      <c r="H237" s="493">
        <v>2015</v>
      </c>
    </row>
    <row r="238" spans="2:12" x14ac:dyDescent="0.25">
      <c r="C238" s="511" t="s">
        <v>4189</v>
      </c>
      <c r="D238" s="509">
        <f>'Analisis Sectorial'!D203</f>
        <v>0.10324272920277694</v>
      </c>
      <c r="E238" s="509">
        <f>'Analisis Sectorial'!E203</f>
        <v>0.1521494607507663</v>
      </c>
      <c r="F238" s="509">
        <f>'Analisis Sectorial'!F203</f>
        <v>0.16996620940966276</v>
      </c>
      <c r="G238" s="509">
        <f>'Analisis Sectorial'!G203</f>
        <v>0.12802411080531992</v>
      </c>
      <c r="H238" s="509">
        <f>'Analisis Sectorial'!H203</f>
        <v>0.11201556632833577</v>
      </c>
      <c r="J238" s="510"/>
      <c r="K238" s="510"/>
      <c r="L238" s="510"/>
    </row>
    <row r="239" spans="2:12" x14ac:dyDescent="0.25">
      <c r="C239" s="511" t="s">
        <v>4175</v>
      </c>
      <c r="D239" s="509">
        <f>D216</f>
        <v>0.14420411285310628</v>
      </c>
      <c r="E239" s="509">
        <f t="shared" ref="E239:H239" si="15">E216</f>
        <v>0.15969531459579411</v>
      </c>
      <c r="F239" s="509">
        <f t="shared" si="15"/>
        <v>0.16886484061521798</v>
      </c>
      <c r="G239" s="509">
        <f t="shared" si="15"/>
        <v>0.24271546686502729</v>
      </c>
      <c r="H239" s="509">
        <f t="shared" si="15"/>
        <v>0.19990606283170154</v>
      </c>
      <c r="J239" s="510"/>
      <c r="K239" s="510"/>
      <c r="L239" s="510"/>
    </row>
    <row r="240" spans="2:12" x14ac:dyDescent="0.25">
      <c r="C240" s="512" t="s">
        <v>404</v>
      </c>
      <c r="D240" s="406">
        <f>'Analisis Sectorial'!D216</f>
        <v>3.7610636637332981E-2</v>
      </c>
      <c r="E240" s="406">
        <f>'Analisis Sectorial'!E216</f>
        <v>4.492512988581189E-2</v>
      </c>
      <c r="F240" s="406">
        <f>'Analisis Sectorial'!F216</f>
        <v>5.1171107657459032E-2</v>
      </c>
      <c r="G240" s="406">
        <f>'Analisis Sectorial'!G216</f>
        <v>6.9861419872921243E-2</v>
      </c>
      <c r="H240" s="406">
        <f>'Analisis Sectorial'!H216</f>
        <v>5.6921066257948259E-2</v>
      </c>
    </row>
    <row r="241" spans="1:12" x14ac:dyDescent="0.25">
      <c r="C241" s="512" t="s">
        <v>399</v>
      </c>
      <c r="D241" s="487">
        <f>'Analisis Sectorial'!D217</f>
        <v>3.0122523651062179</v>
      </c>
      <c r="E241" s="487">
        <f>'Analisis Sectorial'!E217</f>
        <v>2.7629145190868529</v>
      </c>
      <c r="F241" s="487">
        <f>'Analisis Sectorial'!F217</f>
        <v>2.269649627751511</v>
      </c>
      <c r="G241" s="487">
        <f>'Analisis Sectorial'!G217</f>
        <v>2.4414345198480025</v>
      </c>
      <c r="H241" s="487">
        <f>'Analisis Sectorial'!H217</f>
        <v>2.3548257784481619</v>
      </c>
    </row>
    <row r="242" spans="1:12" x14ac:dyDescent="0.25">
      <c r="C242" s="512" t="s">
        <v>405</v>
      </c>
      <c r="D242" s="487">
        <f>'Analisis Sectorial'!D218</f>
        <v>1.2728452559776771</v>
      </c>
      <c r="E242" s="487">
        <f>'Analisis Sectorial'!E218</f>
        <v>1.2865758178450415</v>
      </c>
      <c r="F242" s="487">
        <f>'Analisis Sectorial'!F218</f>
        <v>1.4539705079257093</v>
      </c>
      <c r="G242" s="487">
        <f>'Analisis Sectorial'!G218</f>
        <v>1.4230329736853489</v>
      </c>
      <c r="H242" s="487">
        <f>'Analisis Sectorial'!H218</f>
        <v>1.4914000646081718</v>
      </c>
    </row>
    <row r="243" spans="1:12" x14ac:dyDescent="0.25">
      <c r="C243" s="511" t="s">
        <v>4186</v>
      </c>
      <c r="D243" s="509">
        <f>'Analisis Sectorial'!D207</f>
        <v>-0.17892857219262395</v>
      </c>
      <c r="E243" s="509">
        <f>'Analisis Sectorial'!E207</f>
        <v>7.9209864675240937E-2</v>
      </c>
      <c r="F243" s="509">
        <f>'Analisis Sectorial'!F207</f>
        <v>0.10102675440771253</v>
      </c>
      <c r="G243" s="509">
        <f>'Analisis Sectorial'!G207</f>
        <v>2.3292863265445711E-2</v>
      </c>
      <c r="H243" s="509">
        <f>'Analisis Sectorial'!H207</f>
        <v>-6.0724320226202048E-2</v>
      </c>
      <c r="J243" s="510"/>
      <c r="K243" s="510"/>
      <c r="L243" s="510"/>
    </row>
    <row r="244" spans="1:12" x14ac:dyDescent="0.25">
      <c r="C244" s="512" t="s">
        <v>404</v>
      </c>
      <c r="D244" s="406">
        <f>'Analisis Sectorial'!D220</f>
        <v>-7.8515597680433619E-2</v>
      </c>
      <c r="E244" s="406">
        <f>'Analisis Sectorial'!E220</f>
        <v>2.9940732088638525E-2</v>
      </c>
      <c r="F244" s="406">
        <f>'Analisis Sectorial'!F220</f>
        <v>4.0481988924558135E-2</v>
      </c>
      <c r="G244" s="406">
        <f>'Analisis Sectorial'!G220</f>
        <v>1.262310314046447E-2</v>
      </c>
      <c r="H244" s="406">
        <f>'Analisis Sectorial'!H220</f>
        <v>-2.9721744579745798E-2</v>
      </c>
    </row>
    <row r="245" spans="1:12" x14ac:dyDescent="0.25">
      <c r="C245" s="512" t="s">
        <v>399</v>
      </c>
      <c r="D245" s="487">
        <f>'Analisis Sectorial'!D221</f>
        <v>1.288969526928357</v>
      </c>
      <c r="E245" s="487">
        <f>'Analisis Sectorial'!E221</f>
        <v>1.6374655533182105</v>
      </c>
      <c r="F245" s="487">
        <f>'Analisis Sectorial'!F221</f>
        <v>1.4296201375504842</v>
      </c>
      <c r="G245" s="487">
        <f>'Analisis Sectorial'!G221</f>
        <v>1.2228067139691217</v>
      </c>
      <c r="H245" s="487">
        <f>'Analisis Sectorial'!H221</f>
        <v>1.2853962754607393</v>
      </c>
    </row>
    <row r="246" spans="1:12" x14ac:dyDescent="0.25">
      <c r="C246" s="512" t="s">
        <v>405</v>
      </c>
      <c r="D246" s="487">
        <f>'Analisis Sectorial'!D222</f>
        <v>1.7679952962888745</v>
      </c>
      <c r="E246" s="487">
        <f>'Analisis Sectorial'!E222</f>
        <v>1.6156403220373372</v>
      </c>
      <c r="F246" s="487">
        <f>'Analisis Sectorial'!F222</f>
        <v>1.7456368545448964</v>
      </c>
      <c r="G246" s="487">
        <f>'Analisis Sectorial'!G222</f>
        <v>1.5090336767318973</v>
      </c>
      <c r="H246" s="487">
        <f>'Analisis Sectorial'!H222</f>
        <v>1.5894663095101844</v>
      </c>
    </row>
    <row r="247" spans="1:12" x14ac:dyDescent="0.25">
      <c r="C247" s="511" t="s">
        <v>4187</v>
      </c>
      <c r="D247" s="509">
        <f>'Analisis Sectorial'!D210</f>
        <v>0.3444526469478485</v>
      </c>
      <c r="E247" s="509">
        <f>'Analisis Sectorial'!E210</f>
        <v>0.21754320298126384</v>
      </c>
      <c r="F247" s="509">
        <f>'Analisis Sectorial'!F210</f>
        <v>0.24000703320605779</v>
      </c>
      <c r="G247" s="509">
        <f>'Analisis Sectorial'!G210</f>
        <v>0.11806400228548673</v>
      </c>
      <c r="H247" s="509">
        <f>'Analisis Sectorial'!H210</f>
        <v>0.19686495637950785</v>
      </c>
      <c r="J247" s="510"/>
      <c r="K247" s="510"/>
      <c r="L247" s="510"/>
    </row>
    <row r="248" spans="1:12" x14ac:dyDescent="0.25">
      <c r="C248" s="512" t="s">
        <v>404</v>
      </c>
      <c r="D248" s="406">
        <f>'Analisis Sectorial'!D224</f>
        <v>0.12919682949424902</v>
      </c>
      <c r="E248" s="406">
        <f>'Analisis Sectorial'!E224</f>
        <v>7.7777514421053004E-2</v>
      </c>
      <c r="F248" s="406">
        <f>'Analisis Sectorial'!F224</f>
        <v>8.2495731294884647E-2</v>
      </c>
      <c r="G248" s="406">
        <f>'Analisis Sectorial'!G224</f>
        <v>3.482533150091395E-2</v>
      </c>
      <c r="H248" s="406">
        <f>'Analisis Sectorial'!H224</f>
        <v>6.5108434053544287E-2</v>
      </c>
    </row>
    <row r="249" spans="1:12" x14ac:dyDescent="0.25">
      <c r="C249" s="512" t="s">
        <v>399</v>
      </c>
      <c r="D249" s="487">
        <f>'Analisis Sectorial'!D225</f>
        <v>1.684938579615507</v>
      </c>
      <c r="E249" s="487">
        <f>'Analisis Sectorial'!E225</f>
        <v>1.3824404442591207</v>
      </c>
      <c r="F249" s="487">
        <f>'Analisis Sectorial'!F225</f>
        <v>1.6561249465170016</v>
      </c>
      <c r="G249" s="487">
        <f>'Analisis Sectorial'!G225</f>
        <v>1.3229794412154148</v>
      </c>
      <c r="H249" s="487">
        <f>'Analisis Sectorial'!H225</f>
        <v>1.0491624859318625</v>
      </c>
    </row>
    <row r="250" spans="1:12" x14ac:dyDescent="0.25">
      <c r="C250" s="512" t="s">
        <v>405</v>
      </c>
      <c r="D250" s="487">
        <f>'Analisis Sectorial'!D226</f>
        <v>1.5823173712617091</v>
      </c>
      <c r="E250" s="487">
        <f>'Analisis Sectorial'!E226</f>
        <v>2.023228935906582</v>
      </c>
      <c r="F250" s="487">
        <f>'Analisis Sectorial'!F226</f>
        <v>1.7567072461683915</v>
      </c>
      <c r="G250" s="487">
        <f>'Analisis Sectorial'!G226</f>
        <v>2.5625311116209208</v>
      </c>
      <c r="H250" s="487">
        <f>'Analisis Sectorial'!H226</f>
        <v>2.8819630698953422</v>
      </c>
    </row>
    <row r="252" spans="1:12" x14ac:dyDescent="0.25">
      <c r="A252" t="s">
        <v>4176</v>
      </c>
      <c r="B252" s="26" t="s">
        <v>406</v>
      </c>
    </row>
    <row r="253" spans="1:12" x14ac:dyDescent="0.25">
      <c r="D253" s="493">
        <v>2011</v>
      </c>
      <c r="E253" s="493">
        <v>2012</v>
      </c>
      <c r="F253" s="493">
        <v>2013</v>
      </c>
      <c r="G253" s="493">
        <v>2014</v>
      </c>
      <c r="H253" s="493">
        <v>2015</v>
      </c>
    </row>
    <row r="254" spans="1:12" x14ac:dyDescent="0.25">
      <c r="C254" s="495" t="s">
        <v>418</v>
      </c>
      <c r="D254" s="409">
        <f>'Analisis Sectorial'!D230</f>
        <v>-2.8408699424319367E-2</v>
      </c>
      <c r="E254" s="409">
        <f>'Analisis Sectorial'!E230</f>
        <v>3.9581539943097918E-2</v>
      </c>
      <c r="F254" s="409">
        <f>'Analisis Sectorial'!F230</f>
        <v>3.4882876848391663E-2</v>
      </c>
      <c r="G254" s="409">
        <f>'Analisis Sectorial'!G230</f>
        <v>-2.9122194144494327E-2</v>
      </c>
      <c r="H254" s="409">
        <f>'Analisis Sectorial'!H230</f>
        <v>-2.1819666159127577E-2</v>
      </c>
    </row>
    <row r="255" spans="1:12" x14ac:dyDescent="0.25">
      <c r="C255" s="495" t="s">
        <v>451</v>
      </c>
      <c r="D255" s="409">
        <f>'Analisis Sectorial'!D231</f>
        <v>-3.1174496130717544E-4</v>
      </c>
      <c r="E255" s="409">
        <f>'Analisis Sectorial'!E231</f>
        <v>5.0113025999764443E-2</v>
      </c>
      <c r="F255" s="409">
        <f>'Analisis Sectorial'!F231</f>
        <v>6.3868739777683675E-2</v>
      </c>
      <c r="G255" s="409">
        <f>'Analisis Sectorial'!G231</f>
        <v>-8.7042704423520578E-4</v>
      </c>
      <c r="H255" s="409">
        <f>'Analisis Sectorial'!H231</f>
        <v>-3.8543399253459759E-2</v>
      </c>
    </row>
    <row r="256" spans="1:12" x14ac:dyDescent="0.25">
      <c r="C256" s="495" t="s">
        <v>333</v>
      </c>
      <c r="D256" s="409">
        <f>'Analisis Sectorial'!D232</f>
        <v>-0.24858536620066146</v>
      </c>
      <c r="E256" s="409">
        <f>'Analisis Sectorial'!E232</f>
        <v>-2.5106850259911787E-2</v>
      </c>
      <c r="F256" s="409">
        <f>'Analisis Sectorial'!F232</f>
        <v>-3.0758575731756943E-2</v>
      </c>
      <c r="G256" s="409">
        <f>'Analisis Sectorial'!G232</f>
        <v>-8.5142975051908515E-2</v>
      </c>
      <c r="H256" s="409">
        <f>'Analisis Sectorial'!H232</f>
        <v>-0.12185478731696694</v>
      </c>
    </row>
    <row r="257" spans="2:8" x14ac:dyDescent="0.25">
      <c r="C257" s="495" t="s">
        <v>4152</v>
      </c>
      <c r="D257" s="409">
        <f>'Analisis Sectorial'!D233</f>
        <v>0.16367101288901054</v>
      </c>
      <c r="E257" s="409">
        <f>'Analisis Sectorial'!E233</f>
        <v>9.3738444089441098E-2</v>
      </c>
      <c r="F257" s="409">
        <f>'Analisis Sectorial'!F233</f>
        <v>7.1538466499248249E-2</v>
      </c>
      <c r="G257" s="409">
        <f>'Analisis Sectorial'!G233</f>
        <v>-1.3531803373392631E-3</v>
      </c>
      <c r="H257" s="409">
        <f>'Analisis Sectorial'!H233</f>
        <v>9.4939188093043969E-2</v>
      </c>
    </row>
    <row r="258" spans="2:8" x14ac:dyDescent="0.25">
      <c r="C258" s="497"/>
      <c r="D258" s="492"/>
      <c r="E258" s="492"/>
      <c r="F258" s="492"/>
      <c r="G258" s="492"/>
      <c r="H258" s="492"/>
    </row>
    <row r="259" spans="2:8" x14ac:dyDescent="0.25">
      <c r="B259" s="26" t="s">
        <v>4177</v>
      </c>
    </row>
    <row r="260" spans="2:8" x14ac:dyDescent="0.25">
      <c r="H260" s="501" t="s">
        <v>4179</v>
      </c>
    </row>
    <row r="261" spans="2:8" x14ac:dyDescent="0.25">
      <c r="C261" s="82" t="s">
        <v>4178</v>
      </c>
      <c r="D261" s="498">
        <v>2011</v>
      </c>
      <c r="E261" s="498">
        <v>2012</v>
      </c>
      <c r="F261" s="498">
        <v>2013</v>
      </c>
      <c r="G261" s="498">
        <v>2014</v>
      </c>
      <c r="H261" s="498">
        <v>2015</v>
      </c>
    </row>
    <row r="262" spans="2:8" x14ac:dyDescent="0.25">
      <c r="C262" s="499" t="s">
        <v>394</v>
      </c>
      <c r="D262" s="502">
        <f>'Flujo de Caja'!D23</f>
        <v>2924283.007382106</v>
      </c>
      <c r="E262" s="502">
        <f>'Flujo de Caja'!E23</f>
        <v>2526337.0385358627</v>
      </c>
      <c r="F262" s="502">
        <f>'Flujo de Caja'!F23</f>
        <v>3059904.8315795898</v>
      </c>
      <c r="G262" s="502">
        <f>'Flujo de Caja'!G23</f>
        <v>8277452.0532770529</v>
      </c>
      <c r="H262" s="503">
        <f>'Flujo de Caja'!H23</f>
        <v>9777860.0729608964</v>
      </c>
    </row>
    <row r="263" spans="2:8" x14ac:dyDescent="0.25">
      <c r="C263" s="499" t="s">
        <v>4074</v>
      </c>
      <c r="D263" s="504">
        <f>'Flujo de Caja'!D24</f>
        <v>556032</v>
      </c>
      <c r="E263" s="504">
        <f>'Flujo de Caja'!E24</f>
        <v>642813</v>
      </c>
      <c r="F263" s="504">
        <f>'Flujo de Caja'!F24</f>
        <v>637998</v>
      </c>
      <c r="G263" s="504">
        <f>'Flujo de Caja'!G24</f>
        <v>804446</v>
      </c>
      <c r="H263" s="505">
        <f>'Flujo de Caja'!H24</f>
        <v>1221805</v>
      </c>
    </row>
    <row r="264" spans="2:8" x14ac:dyDescent="0.25">
      <c r="C264" s="500" t="s">
        <v>4075</v>
      </c>
      <c r="D264" s="506">
        <f>'Flujo de Caja'!D25</f>
        <v>3480315.007382106</v>
      </c>
      <c r="E264" s="506">
        <f>'Flujo de Caja'!E25</f>
        <v>3169150.0385358627</v>
      </c>
      <c r="F264" s="506">
        <f>'Flujo de Caja'!F25</f>
        <v>3697902.8315795898</v>
      </c>
      <c r="G264" s="506">
        <f>'Flujo de Caja'!G25</f>
        <v>9081898.0532770529</v>
      </c>
      <c r="H264" s="507">
        <f>'Flujo de Caja'!H25</f>
        <v>10999665.072960896</v>
      </c>
    </row>
    <row r="265" spans="2:8" x14ac:dyDescent="0.25">
      <c r="C265" s="499" t="s">
        <v>4077</v>
      </c>
      <c r="D265" s="504">
        <f>'Flujo de Caja'!D26</f>
        <v>0</v>
      </c>
      <c r="E265" s="504">
        <f>'Flujo de Caja'!E26</f>
        <v>-2232772</v>
      </c>
      <c r="F265" s="504">
        <f>'Flujo de Caja'!F26</f>
        <v>-5676831</v>
      </c>
      <c r="G265" s="504">
        <f>'Flujo de Caja'!G26</f>
        <v>-1001580</v>
      </c>
      <c r="H265" s="505">
        <f>'Flujo de Caja'!H26</f>
        <v>-2855923</v>
      </c>
    </row>
    <row r="266" spans="2:8" x14ac:dyDescent="0.25">
      <c r="C266" s="499" t="s">
        <v>4078</v>
      </c>
      <c r="D266" s="504">
        <f>'Flujo de Caja'!D27</f>
        <v>0</v>
      </c>
      <c r="E266" s="504">
        <f>'Flujo de Caja'!E27</f>
        <v>-1229255</v>
      </c>
      <c r="F266" s="504">
        <f>'Flujo de Caja'!F27</f>
        <v>-1049954</v>
      </c>
      <c r="G266" s="504">
        <f>'Flujo de Caja'!G27</f>
        <v>-4641489</v>
      </c>
      <c r="H266" s="505">
        <f>'Flujo de Caja'!H27</f>
        <v>-5390232</v>
      </c>
    </row>
    <row r="267" spans="2:8" x14ac:dyDescent="0.25">
      <c r="C267" s="500" t="s">
        <v>4079</v>
      </c>
      <c r="D267" s="508" t="s">
        <v>4181</v>
      </c>
      <c r="E267" s="506">
        <f>'Flujo de Caja'!E28</f>
        <v>-292876.9614641373</v>
      </c>
      <c r="F267" s="506">
        <f>'Flujo de Caja'!F28</f>
        <v>-3028882.1684204102</v>
      </c>
      <c r="G267" s="506">
        <f>'Flujo de Caja'!G28</f>
        <v>3438829.0532770529</v>
      </c>
      <c r="H267" s="507">
        <f>'Flujo de Caja'!H28</f>
        <v>2753510.0729608964</v>
      </c>
    </row>
    <row r="268" spans="2:8" x14ac:dyDescent="0.25">
      <c r="C268" s="499" t="s">
        <v>4080</v>
      </c>
      <c r="D268" s="504">
        <f>'Flujo de Caja'!D29</f>
        <v>-885965.98724282731</v>
      </c>
      <c r="E268" s="504">
        <f>'Flujo de Caja'!E29</f>
        <v>-1501106.4116899939</v>
      </c>
      <c r="F268" s="504">
        <f>'Flujo de Caja'!F29</f>
        <v>-1658958.8452342916</v>
      </c>
      <c r="G268" s="504">
        <f>'Flujo de Caja'!G29</f>
        <v>-1938627.8376270863</v>
      </c>
      <c r="H268" s="505">
        <f>'Flujo de Caja'!H29</f>
        <v>-2487156.7906867326</v>
      </c>
    </row>
    <row r="269" spans="2:8" x14ac:dyDescent="0.25">
      <c r="C269" s="499" t="s">
        <v>4081</v>
      </c>
      <c r="D269" s="504">
        <f>'Flujo de Caja'!D30</f>
        <v>0</v>
      </c>
      <c r="E269" s="504">
        <f>'Flujo de Caja'!E30</f>
        <v>3028142</v>
      </c>
      <c r="F269" s="504">
        <f>'Flujo de Caja'!F30</f>
        <v>779481</v>
      </c>
      <c r="G269" s="504">
        <f>'Flujo de Caja'!G30</f>
        <v>2605487</v>
      </c>
      <c r="H269" s="505">
        <f>'Flujo de Caja'!H30</f>
        <v>6392896</v>
      </c>
    </row>
    <row r="270" spans="2:8" x14ac:dyDescent="0.25">
      <c r="C270" s="500" t="s">
        <v>4082</v>
      </c>
      <c r="D270" s="508" t="s">
        <v>4181</v>
      </c>
      <c r="E270" s="506">
        <f>'Flujo de Caja'!E31</f>
        <v>1234158.6268458688</v>
      </c>
      <c r="F270" s="506">
        <f>'Flujo de Caja'!F31</f>
        <v>-3908360.0136547014</v>
      </c>
      <c r="G270" s="506">
        <f>'Flujo de Caja'!G31</f>
        <v>4105688.2156499666</v>
      </c>
      <c r="H270" s="507">
        <f>'Flujo de Caja'!H31</f>
        <v>6659249.2822741643</v>
      </c>
    </row>
    <row r="271" spans="2:8" x14ac:dyDescent="0.25">
      <c r="C271" s="499" t="s">
        <v>4149</v>
      </c>
      <c r="D271" s="504">
        <f>'Flujo de Caja'!D32</f>
        <v>-616000</v>
      </c>
      <c r="E271" s="504">
        <f>'Flujo de Caja'!E32</f>
        <v>-826000</v>
      </c>
      <c r="F271" s="504">
        <f>'Flujo de Caja'!F32</f>
        <v>-1255000</v>
      </c>
      <c r="G271" s="504">
        <f>'Flujo de Caja'!G32</f>
        <v>-1960000</v>
      </c>
      <c r="H271" s="505">
        <f>'Flujo de Caja'!H32</f>
        <v>-2520000</v>
      </c>
    </row>
    <row r="272" spans="2:8" x14ac:dyDescent="0.25">
      <c r="C272" s="499" t="s">
        <v>4150</v>
      </c>
      <c r="D272" s="504">
        <f>'Flujo de Caja'!D33</f>
        <v>0</v>
      </c>
      <c r="E272" s="504">
        <f>'Flujo de Caja'!E33</f>
        <v>0</v>
      </c>
      <c r="F272" s="504">
        <f>'Flujo de Caja'!F33</f>
        <v>0</v>
      </c>
      <c r="G272" s="504">
        <f>'Flujo de Caja'!G33</f>
        <v>0</v>
      </c>
      <c r="H272" s="505">
        <f>'Flujo de Caja'!H33</f>
        <v>0</v>
      </c>
    </row>
    <row r="273" spans="3:8" x14ac:dyDescent="0.25">
      <c r="C273" s="500" t="s">
        <v>4151</v>
      </c>
      <c r="D273" s="508" t="s">
        <v>4181</v>
      </c>
      <c r="E273" s="506">
        <f>'Flujo de Caja'!E34</f>
        <v>408158.62684586877</v>
      </c>
      <c r="F273" s="506">
        <f>'Flujo de Caja'!F34</f>
        <v>-5163360.0136547014</v>
      </c>
      <c r="G273" s="506">
        <f>'Flujo de Caja'!G34</f>
        <v>2145688.2156499666</v>
      </c>
      <c r="H273" s="507">
        <f>'Flujo de Caja'!H34</f>
        <v>4139249.2822741643</v>
      </c>
    </row>
    <row r="275" spans="3:8" x14ac:dyDescent="0.25">
      <c r="H275" s="501" t="s">
        <v>4179</v>
      </c>
    </row>
    <row r="276" spans="3:8" x14ac:dyDescent="0.25">
      <c r="C276" s="82" t="s">
        <v>4180</v>
      </c>
      <c r="D276" s="498">
        <v>2011</v>
      </c>
      <c r="E276" s="498">
        <v>2012</v>
      </c>
      <c r="F276" s="498">
        <v>2013</v>
      </c>
      <c r="G276" s="498">
        <v>2014</v>
      </c>
      <c r="H276" s="498">
        <v>2015</v>
      </c>
    </row>
    <row r="277" spans="3:8" x14ac:dyDescent="0.25">
      <c r="C277" s="499" t="s">
        <v>394</v>
      </c>
      <c r="D277" s="502">
        <f>'Flujo de Caja'!D58</f>
        <v>345393.83999999997</v>
      </c>
      <c r="E277" s="502">
        <f>'Flujo de Caja'!E58</f>
        <v>513343.70167975087</v>
      </c>
      <c r="F277" s="502">
        <f>'Flujo de Caja'!F58</f>
        <v>779442.09475927975</v>
      </c>
      <c r="G277" s="502">
        <f>'Flujo de Caja'!G58</f>
        <v>787085.65298837179</v>
      </c>
      <c r="H277" s="503">
        <f>'Flujo de Caja'!H58</f>
        <v>440613.98</v>
      </c>
    </row>
    <row r="278" spans="3:8" x14ac:dyDescent="0.25">
      <c r="C278" s="499" t="s">
        <v>4074</v>
      </c>
      <c r="D278" s="504">
        <f>'Flujo de Caja'!D59</f>
        <v>0</v>
      </c>
      <c r="E278" s="504">
        <f>'Flujo de Caja'!E59</f>
        <v>227233</v>
      </c>
      <c r="F278" s="504">
        <f>'Flujo de Caja'!F59</f>
        <v>205826</v>
      </c>
      <c r="G278" s="504">
        <f>'Flujo de Caja'!G59</f>
        <v>183028</v>
      </c>
      <c r="H278" s="505">
        <f>'Flujo de Caja'!H59</f>
        <v>173729</v>
      </c>
    </row>
    <row r="279" spans="3:8" x14ac:dyDescent="0.25">
      <c r="C279" s="500" t="s">
        <v>4075</v>
      </c>
      <c r="D279" s="506">
        <f>'Flujo de Caja'!D60</f>
        <v>345393.83999999997</v>
      </c>
      <c r="E279" s="506">
        <f>'Flujo de Caja'!E60</f>
        <v>740576.70167975081</v>
      </c>
      <c r="F279" s="506">
        <f>'Flujo de Caja'!F60</f>
        <v>985268.09475927975</v>
      </c>
      <c r="G279" s="506">
        <f>'Flujo de Caja'!G60</f>
        <v>970113.65298837179</v>
      </c>
      <c r="H279" s="507">
        <f>'Flujo de Caja'!H60</f>
        <v>614342.98</v>
      </c>
    </row>
    <row r="280" spans="3:8" x14ac:dyDescent="0.25">
      <c r="C280" s="499" t="s">
        <v>4077</v>
      </c>
      <c r="D280" s="504">
        <f>'Flujo de Caja'!D61</f>
        <v>0</v>
      </c>
      <c r="E280" s="504">
        <f>'Flujo de Caja'!E61</f>
        <v>-87253</v>
      </c>
      <c r="F280" s="504">
        <f>'Flujo de Caja'!F61</f>
        <v>-1032894</v>
      </c>
      <c r="G280" s="504">
        <f>'Flujo de Caja'!G61</f>
        <v>-1341401</v>
      </c>
      <c r="H280" s="505">
        <f>'Flujo de Caja'!H61</f>
        <v>134201</v>
      </c>
    </row>
    <row r="281" spans="3:8" x14ac:dyDescent="0.25">
      <c r="C281" s="499" t="s">
        <v>4078</v>
      </c>
      <c r="D281" s="504">
        <f>'Flujo de Caja'!D62</f>
        <v>0</v>
      </c>
      <c r="E281" s="504">
        <f>'Flujo de Caja'!E62</f>
        <v>-102482</v>
      </c>
      <c r="F281" s="504">
        <f>'Flujo de Caja'!F62</f>
        <v>-166404</v>
      </c>
      <c r="G281" s="504">
        <f>'Flujo de Caja'!G62</f>
        <v>-185682</v>
      </c>
      <c r="H281" s="505">
        <f>'Flujo de Caja'!H62</f>
        <v>-257156</v>
      </c>
    </row>
    <row r="282" spans="3:8" x14ac:dyDescent="0.25">
      <c r="C282" s="500" t="s">
        <v>4079</v>
      </c>
      <c r="D282" s="508" t="s">
        <v>4181</v>
      </c>
      <c r="E282" s="506">
        <f>'Flujo de Caja'!E63</f>
        <v>550841.70167975081</v>
      </c>
      <c r="F282" s="506">
        <f>'Flujo de Caja'!F63</f>
        <v>-214029.90524072025</v>
      </c>
      <c r="G282" s="506">
        <f>'Flujo de Caja'!G63</f>
        <v>-556969.34701162821</v>
      </c>
      <c r="H282" s="507">
        <f>'Flujo de Caja'!H63</f>
        <v>491387.98</v>
      </c>
    </row>
    <row r="283" spans="3:8" x14ac:dyDescent="0.25">
      <c r="C283" s="499" t="s">
        <v>4080</v>
      </c>
      <c r="D283" s="504">
        <f>'Flujo de Caja'!D64</f>
        <v>-226683.98675999994</v>
      </c>
      <c r="E283" s="504">
        <f>'Flujo de Caja'!E64</f>
        <v>-211253.46890329369</v>
      </c>
      <c r="F283" s="504">
        <f>'Flujo de Caja'!F64</f>
        <v>-352138.88484369498</v>
      </c>
      <c r="G283" s="504">
        <f>'Flujo de Caja'!G64</f>
        <v>-319069.28449157043</v>
      </c>
      <c r="H283" s="505">
        <f>'Flujo de Caja'!H64</f>
        <v>-340789.76835399994</v>
      </c>
    </row>
    <row r="284" spans="3:8" x14ac:dyDescent="0.25">
      <c r="C284" s="499" t="s">
        <v>4081</v>
      </c>
      <c r="D284" s="504">
        <f>'Flujo de Caja'!D65</f>
        <v>0</v>
      </c>
      <c r="E284" s="504">
        <f>'Flujo de Caja'!E65</f>
        <v>-295970</v>
      </c>
      <c r="F284" s="504">
        <f>'Flujo de Caja'!F65</f>
        <v>670524</v>
      </c>
      <c r="G284" s="504">
        <f>'Flujo de Caja'!G65</f>
        <v>-114562</v>
      </c>
      <c r="H284" s="505">
        <f>'Flujo de Caja'!H65</f>
        <v>447982</v>
      </c>
    </row>
    <row r="285" spans="3:8" x14ac:dyDescent="0.25">
      <c r="C285" s="500" t="s">
        <v>4082</v>
      </c>
      <c r="D285" s="508" t="s">
        <v>4181</v>
      </c>
      <c r="E285" s="506">
        <f>'Flujo de Caja'!E66</f>
        <v>43618.232776457095</v>
      </c>
      <c r="F285" s="506">
        <f>'Flujo de Caja'!F66</f>
        <v>104355.20991558477</v>
      </c>
      <c r="G285" s="506">
        <f>'Flujo de Caja'!G66</f>
        <v>-990600.63150319865</v>
      </c>
      <c r="H285" s="507">
        <f>'Flujo de Caja'!H66</f>
        <v>598580.21164600004</v>
      </c>
    </row>
    <row r="286" spans="3:8" x14ac:dyDescent="0.25">
      <c r="C286" s="499" t="s">
        <v>4149</v>
      </c>
      <c r="D286" s="504">
        <f>'Flujo de Caja'!D67</f>
        <v>-104592</v>
      </c>
      <c r="E286" s="504">
        <f>'Flujo de Caja'!E67</f>
        <v>0</v>
      </c>
      <c r="F286" s="504">
        <f>'Flujo de Caja'!F67</f>
        <v>0</v>
      </c>
      <c r="G286" s="504">
        <f>'Flujo de Caja'!G67</f>
        <v>0</v>
      </c>
      <c r="H286" s="505">
        <f>'Flujo de Caja'!H67</f>
        <v>0</v>
      </c>
    </row>
    <row r="287" spans="3:8" x14ac:dyDescent="0.25">
      <c r="C287" s="499" t="s">
        <v>4150</v>
      </c>
      <c r="D287" s="504">
        <f>'Flujo de Caja'!D68</f>
        <v>0</v>
      </c>
      <c r="E287" s="504">
        <f>'Flujo de Caja'!E68</f>
        <v>0</v>
      </c>
      <c r="F287" s="504">
        <f>'Flujo de Caja'!F68</f>
        <v>0</v>
      </c>
      <c r="G287" s="504">
        <f>'Flujo de Caja'!G68</f>
        <v>635100</v>
      </c>
      <c r="H287" s="505">
        <f>'Flujo de Caja'!H68</f>
        <v>0</v>
      </c>
    </row>
    <row r="288" spans="3:8" x14ac:dyDescent="0.25">
      <c r="C288" s="500" t="s">
        <v>4151</v>
      </c>
      <c r="D288" s="508" t="s">
        <v>4181</v>
      </c>
      <c r="E288" s="506">
        <f>'Flujo de Caja'!E69</f>
        <v>43618.232776457095</v>
      </c>
      <c r="F288" s="506">
        <f>'Flujo de Caja'!F69</f>
        <v>104355.20991558477</v>
      </c>
      <c r="G288" s="506">
        <f>'Flujo de Caja'!G69</f>
        <v>-355500.63150319865</v>
      </c>
      <c r="H288" s="507">
        <f>'Flujo de Caja'!H69</f>
        <v>598580.21164600004</v>
      </c>
    </row>
    <row r="290" spans="3:8" x14ac:dyDescent="0.25">
      <c r="H290" s="501" t="s">
        <v>4179</v>
      </c>
    </row>
    <row r="291" spans="3:8" x14ac:dyDescent="0.25">
      <c r="C291" s="82" t="s">
        <v>4182</v>
      </c>
      <c r="D291" s="498">
        <v>2011</v>
      </c>
      <c r="E291" s="498">
        <v>2012</v>
      </c>
      <c r="F291" s="498">
        <v>2013</v>
      </c>
      <c r="G291" s="498">
        <v>2014</v>
      </c>
      <c r="H291" s="498">
        <v>2015</v>
      </c>
    </row>
    <row r="292" spans="3:8" x14ac:dyDescent="0.25">
      <c r="C292" s="499" t="s">
        <v>394</v>
      </c>
      <c r="D292" s="502">
        <f>'Flujo de Caja'!D93</f>
        <v>6823650.3530258769</v>
      </c>
      <c r="E292" s="502">
        <f>'Flujo de Caja'!E93</f>
        <v>6683249.8511308935</v>
      </c>
      <c r="F292" s="502">
        <f>'Flujo de Caja'!F93</f>
        <v>8246592.3933129869</v>
      </c>
      <c r="G292" s="502">
        <f>'Flujo de Caja'!G93</f>
        <v>8852918.0044766888</v>
      </c>
      <c r="H292" s="503">
        <f>'Flujo de Caja'!H93</f>
        <v>10581184.891627267</v>
      </c>
    </row>
    <row r="293" spans="3:8" x14ac:dyDescent="0.25">
      <c r="C293" s="499" t="s">
        <v>4074</v>
      </c>
      <c r="D293" s="504">
        <f>'Flujo de Caja'!D94</f>
        <v>2123398.3190690964</v>
      </c>
      <c r="E293" s="504">
        <f>'Flujo de Caja'!E94</f>
        <v>2407348.7621728722</v>
      </c>
      <c r="F293" s="504">
        <f>'Flujo de Caja'!F94</f>
        <v>3279189.3260951987</v>
      </c>
      <c r="G293" s="504">
        <f>'Flujo de Caja'!G94</f>
        <v>3403585.9176798575</v>
      </c>
      <c r="H293" s="505">
        <f>'Flujo de Caja'!H94</f>
        <v>3850940.9184220191</v>
      </c>
    </row>
    <row r="294" spans="3:8" x14ac:dyDescent="0.25">
      <c r="C294" s="500" t="s">
        <v>4075</v>
      </c>
      <c r="D294" s="506">
        <f>'Flujo de Caja'!D95</f>
        <v>8947048.6720949728</v>
      </c>
      <c r="E294" s="506">
        <f>'Flujo de Caja'!E95</f>
        <v>9090598.6133037657</v>
      </c>
      <c r="F294" s="506">
        <f>'Flujo de Caja'!F95</f>
        <v>11525781.719408186</v>
      </c>
      <c r="G294" s="506">
        <f>'Flujo de Caja'!G95</f>
        <v>12256503.922156546</v>
      </c>
      <c r="H294" s="507">
        <f>'Flujo de Caja'!H95</f>
        <v>14432125.810049286</v>
      </c>
    </row>
    <row r="295" spans="3:8" x14ac:dyDescent="0.25">
      <c r="C295" s="499" t="s">
        <v>4077</v>
      </c>
      <c r="D295" s="504">
        <f>'Flujo de Caja'!D96</f>
        <v>0</v>
      </c>
      <c r="E295" s="504">
        <f>'Flujo de Caja'!E96</f>
        <v>-8959622.6363693029</v>
      </c>
      <c r="F295" s="504">
        <f>'Flujo de Caja'!F96</f>
        <v>15236884.088576198</v>
      </c>
      <c r="G295" s="504">
        <f>'Flujo de Caja'!G96</f>
        <v>-6518525.4091836587</v>
      </c>
      <c r="H295" s="505">
        <f>'Flujo de Caja'!H96</f>
        <v>-28930167.234740645</v>
      </c>
    </row>
    <row r="296" spans="3:8" x14ac:dyDescent="0.25">
      <c r="C296" s="499" t="s">
        <v>4078</v>
      </c>
      <c r="D296" s="504">
        <f>'Flujo de Caja'!D97</f>
        <v>0</v>
      </c>
      <c r="E296" s="504">
        <f>'Flujo de Caja'!E97</f>
        <v>-9684635.462898396</v>
      </c>
      <c r="F296" s="504">
        <f>'Flujo de Caja'!F97</f>
        <v>-13484233.633063495</v>
      </c>
      <c r="G296" s="504">
        <f>'Flujo de Caja'!G97</f>
        <v>-22069101.166988075</v>
      </c>
      <c r="H296" s="505">
        <f>'Flujo de Caja'!H97</f>
        <v>-4599057.981666714</v>
      </c>
    </row>
    <row r="297" spans="3:8" x14ac:dyDescent="0.25">
      <c r="C297" s="500" t="s">
        <v>4079</v>
      </c>
      <c r="D297" s="508" t="s">
        <v>4181</v>
      </c>
      <c r="E297" s="506">
        <f>'Flujo de Caja'!E98</f>
        <v>-9553659.4859639332</v>
      </c>
      <c r="F297" s="506">
        <f>'Flujo de Caja'!F98</f>
        <v>13278432.174920887</v>
      </c>
      <c r="G297" s="506">
        <f>'Flujo de Caja'!G98</f>
        <v>-16331122.654015187</v>
      </c>
      <c r="H297" s="507">
        <f>'Flujo de Caja'!H98</f>
        <v>-19097099.406358071</v>
      </c>
    </row>
    <row r="298" spans="3:8" x14ac:dyDescent="0.25">
      <c r="C298" s="499" t="s">
        <v>4080</v>
      </c>
      <c r="D298" s="504">
        <f>'Flujo de Caja'!D99</f>
        <v>-959847.66961436043</v>
      </c>
      <c r="E298" s="504">
        <f>'Flujo de Caja'!E99</f>
        <v>-1715138.3166002678</v>
      </c>
      <c r="F298" s="504">
        <f>'Flujo de Caja'!F99</f>
        <v>-1619420.0936380143</v>
      </c>
      <c r="G298" s="504">
        <f>'Flujo de Caja'!G99</f>
        <v>-1434110.0272296018</v>
      </c>
      <c r="H298" s="505">
        <f>'Flujo de Caja'!H99</f>
        <v>-5085991.1185876522</v>
      </c>
    </row>
    <row r="299" spans="3:8" x14ac:dyDescent="0.25">
      <c r="C299" s="499" t="s">
        <v>4081</v>
      </c>
      <c r="D299" s="504">
        <f>'Flujo de Caja'!D100</f>
        <v>0</v>
      </c>
      <c r="E299" s="504">
        <f>'Flujo de Caja'!E100</f>
        <v>12323903.175734196</v>
      </c>
      <c r="F299" s="504">
        <f>'Flujo de Caja'!F100</f>
        <v>-3510889.130881425</v>
      </c>
      <c r="G299" s="504">
        <f>'Flujo de Caja'!G100</f>
        <v>21236550.328103807</v>
      </c>
      <c r="H299" s="505">
        <f>'Flujo de Caja'!H100</f>
        <v>-7457471.5712088421</v>
      </c>
    </row>
    <row r="300" spans="3:8" x14ac:dyDescent="0.25">
      <c r="C300" s="500" t="s">
        <v>4082</v>
      </c>
      <c r="D300" s="508" t="s">
        <v>4181</v>
      </c>
      <c r="E300" s="506">
        <f>'Flujo de Caja'!E101</f>
        <v>1055105.3731699958</v>
      </c>
      <c r="F300" s="506">
        <f>'Flujo de Caja'!F101</f>
        <v>8148122.9504014477</v>
      </c>
      <c r="G300" s="506">
        <f>'Flujo de Caja'!G101</f>
        <v>3471317.6468590163</v>
      </c>
      <c r="H300" s="507">
        <f>'Flujo de Caja'!H101</f>
        <v>-31640562.096154563</v>
      </c>
    </row>
    <row r="301" spans="3:8" x14ac:dyDescent="0.25">
      <c r="C301" s="499" t="s">
        <v>4149</v>
      </c>
      <c r="D301" s="504">
        <f>'Flujo de Caja'!D102</f>
        <v>-3293402.501527295</v>
      </c>
      <c r="E301" s="504">
        <f>'Flujo de Caja'!E102</f>
        <v>-10644228.297164697</v>
      </c>
      <c r="F301" s="504">
        <f>'Flujo de Caja'!F102</f>
        <v>-5804313.343720817</v>
      </c>
      <c r="G301" s="504">
        <f>'Flujo de Caja'!G102</f>
        <v>0</v>
      </c>
      <c r="H301" s="505">
        <f>'Flujo de Caja'!H102</f>
        <v>0</v>
      </c>
    </row>
    <row r="302" spans="3:8" x14ac:dyDescent="0.25">
      <c r="C302" s="499" t="s">
        <v>4150</v>
      </c>
      <c r="D302" s="504">
        <f>'Flujo de Caja'!D103</f>
        <v>0</v>
      </c>
      <c r="E302" s="504">
        <f>'Flujo de Caja'!E103</f>
        <v>10644228.297164697</v>
      </c>
      <c r="F302" s="504">
        <f>'Flujo de Caja'!F103</f>
        <v>0</v>
      </c>
      <c r="G302" s="504">
        <f>'Flujo de Caja'!G103</f>
        <v>3913319.2268987857</v>
      </c>
      <c r="H302" s="505">
        <f>'Flujo de Caja'!H103</f>
        <v>0</v>
      </c>
    </row>
    <row r="303" spans="3:8" x14ac:dyDescent="0.25">
      <c r="C303" s="500" t="s">
        <v>4151</v>
      </c>
      <c r="D303" s="508" t="s">
        <v>4181</v>
      </c>
      <c r="E303" s="506">
        <f>'Flujo de Caja'!E104</f>
        <v>1055105.3731699958</v>
      </c>
      <c r="F303" s="506">
        <f>'Flujo de Caja'!F104</f>
        <v>2343809.6066806307</v>
      </c>
      <c r="G303" s="506">
        <f>'Flujo de Caja'!G104</f>
        <v>7384636.8737578019</v>
      </c>
      <c r="H303" s="507">
        <f>'Flujo de Caja'!H104</f>
        <v>-31640562.096154563</v>
      </c>
    </row>
    <row r="305" spans="2:9" x14ac:dyDescent="0.25">
      <c r="B305" s="26" t="s">
        <v>456</v>
      </c>
    </row>
    <row r="306" spans="2:9" x14ac:dyDescent="0.25">
      <c r="D306" s="498">
        <v>2011</v>
      </c>
      <c r="E306" s="498">
        <v>2012</v>
      </c>
      <c r="F306" s="498">
        <v>2013</v>
      </c>
      <c r="G306" s="498">
        <v>2014</v>
      </c>
      <c r="H306" s="498">
        <v>2015</v>
      </c>
      <c r="I306" s="408" t="s">
        <v>466</v>
      </c>
    </row>
    <row r="307" spans="2:9" x14ac:dyDescent="0.25">
      <c r="C307" s="494" t="s">
        <v>418</v>
      </c>
      <c r="D307" s="406">
        <f>'Analisis Sectorial'!D276</f>
        <v>0.67630994598492145</v>
      </c>
      <c r="E307" s="406">
        <f>'Analisis Sectorial'!E276</f>
        <v>0.78828971975284701</v>
      </c>
      <c r="F307" s="406">
        <f>'Analisis Sectorial'!F276</f>
        <v>0.76559262799362449</v>
      </c>
      <c r="G307" s="406">
        <f>'Analisis Sectorial'!G276</f>
        <v>0.91906539710401225</v>
      </c>
      <c r="H307" s="406">
        <f>'Analisis Sectorial'!H276</f>
        <v>0.83733095963043713</v>
      </c>
      <c r="I307" s="409">
        <f>AVERAGE(D307:H307)</f>
        <v>0.79731773009316842</v>
      </c>
    </row>
    <row r="308" spans="2:9" x14ac:dyDescent="0.25">
      <c r="C308" s="494" t="s">
        <v>451</v>
      </c>
      <c r="D308" s="406">
        <f>'Analisis Sectorial'!D277</f>
        <v>0.55168089533687104</v>
      </c>
      <c r="E308" s="406">
        <f>'Analisis Sectorial'!E277</f>
        <v>0.65843127041225846</v>
      </c>
      <c r="F308" s="406">
        <f>'Analisis Sectorial'!F277</f>
        <v>0.62752498807858292</v>
      </c>
      <c r="G308" s="406">
        <f>'Analisis Sectorial'!G277</f>
        <v>0.63582964621179483</v>
      </c>
      <c r="H308" s="406">
        <f>'Analisis Sectorial'!H277</f>
        <v>0.78473767605672218</v>
      </c>
      <c r="I308" s="409">
        <f>AVERAGE(D308:H308)</f>
        <v>0.65164089521924584</v>
      </c>
    </row>
    <row r="309" spans="2:9" x14ac:dyDescent="0.25">
      <c r="C309" s="494" t="s">
        <v>333</v>
      </c>
      <c r="D309" s="406">
        <f>'Analisis Sectorial'!D280</f>
        <v>0.78451996973536986</v>
      </c>
      <c r="E309" s="406">
        <f>'Analisis Sectorial'!E280</f>
        <v>0.62520642787680847</v>
      </c>
      <c r="F309" s="406">
        <f>'Analisis Sectorial'!F280</f>
        <v>0.75994642507183863</v>
      </c>
      <c r="G309" s="406">
        <f>'Analisis Sectorial'!G280</f>
        <v>0.51148084107943004</v>
      </c>
      <c r="H309" s="406">
        <f>'Analisis Sectorial'!H280</f>
        <v>0.64132787410520675</v>
      </c>
      <c r="I309" s="409">
        <f>AVERAGE(D309:H309)</f>
        <v>0.66449630757373079</v>
      </c>
    </row>
    <row r="310" spans="2:9" x14ac:dyDescent="0.25">
      <c r="C310" s="494" t="s">
        <v>4152</v>
      </c>
      <c r="D310" s="406">
        <f>'Analisis Sectorial'!D283</f>
        <v>0.69272897288252366</v>
      </c>
      <c r="E310" s="406">
        <f>'Analisis Sectorial'!E283</f>
        <v>1.081231460969474</v>
      </c>
      <c r="F310" s="406">
        <f>'Analisis Sectorial'!F283</f>
        <v>0.90930647083045191</v>
      </c>
      <c r="G310" s="406">
        <f>'Analisis Sectorial'!G283</f>
        <v>1.6098857040208119</v>
      </c>
      <c r="H310" s="406">
        <f>'Analisis Sectorial'!H283</f>
        <v>1.0859273287293827</v>
      </c>
      <c r="I310" s="409">
        <f>AVERAGE(D310:H310)</f>
        <v>1.075815987486529</v>
      </c>
    </row>
    <row r="311" spans="2:9" x14ac:dyDescent="0.25">
      <c r="D311" s="156"/>
    </row>
    <row r="312" spans="2:9" x14ac:dyDescent="0.25">
      <c r="B312" s="26" t="s">
        <v>455</v>
      </c>
    </row>
    <row r="313" spans="2:9" x14ac:dyDescent="0.25">
      <c r="D313" s="498">
        <v>2011</v>
      </c>
      <c r="E313" s="498">
        <v>2012</v>
      </c>
      <c r="F313" s="498">
        <v>2013</v>
      </c>
      <c r="G313" s="498">
        <v>2014</v>
      </c>
      <c r="H313" s="498">
        <v>2015</v>
      </c>
      <c r="I313" s="408" t="s">
        <v>466</v>
      </c>
    </row>
    <row r="314" spans="2:9" x14ac:dyDescent="0.25">
      <c r="C314" s="494" t="s">
        <v>418</v>
      </c>
      <c r="D314" s="406">
        <f>'Analisis Sectorial'!D288</f>
        <v>0.43831717578911561</v>
      </c>
      <c r="E314" s="406">
        <f>'Analisis Sectorial'!E288</f>
        <v>0.47771681136312077</v>
      </c>
      <c r="F314" s="406">
        <f>'Analisis Sectorial'!F288</f>
        <v>0.46151811339297594</v>
      </c>
      <c r="G314" s="406">
        <f>'Analisis Sectorial'!G288</f>
        <v>0.4713331346727761</v>
      </c>
      <c r="H314" s="406">
        <f>'Analisis Sectorial'!H288</f>
        <v>0.43548757541235422</v>
      </c>
      <c r="I314" s="409">
        <f>AVERAGE(D314:H314)</f>
        <v>0.45687456212606853</v>
      </c>
    </row>
    <row r="315" spans="2:9" x14ac:dyDescent="0.25">
      <c r="C315" s="494" t="s">
        <v>451</v>
      </c>
      <c r="D315" s="406">
        <f>'Analisis Sectorial'!D289</f>
        <v>0.43342338178659662</v>
      </c>
      <c r="E315" s="406">
        <f>'Analisis Sectorial'!E289</f>
        <v>0.51177028300990623</v>
      </c>
      <c r="F315" s="406">
        <f>'Analisis Sectorial'!F289</f>
        <v>0.43159402797917429</v>
      </c>
      <c r="G315" s="406">
        <f>'Analisis Sectorial'!G289</f>
        <v>0.44681300993689066</v>
      </c>
      <c r="H315" s="406">
        <f>'Analisis Sectorial'!H289</f>
        <v>0.52617516565744049</v>
      </c>
      <c r="I315" s="409">
        <f>AVERAGE(D315:H315)</f>
        <v>0.46995517367400169</v>
      </c>
    </row>
    <row r="316" spans="2:9" x14ac:dyDescent="0.25">
      <c r="C316" s="494" t="s">
        <v>333</v>
      </c>
      <c r="D316" s="406">
        <f>'Analisis Sectorial'!D290</f>
        <v>0.44373419509776024</v>
      </c>
      <c r="E316" s="406">
        <f>'Analisis Sectorial'!E290</f>
        <v>0.38697129512614381</v>
      </c>
      <c r="F316" s="406">
        <f>'Analisis Sectorial'!F290</f>
        <v>0.43534050228904198</v>
      </c>
      <c r="G316" s="406">
        <f>'Analisis Sectorial'!G290</f>
        <v>0.33894594200650324</v>
      </c>
      <c r="H316" s="406">
        <f>'Analisis Sectorial'!H290</f>
        <v>0.4034862961661897</v>
      </c>
      <c r="I316" s="409">
        <f>AVERAGE(D316:H316)</f>
        <v>0.40169564613712783</v>
      </c>
    </row>
    <row r="317" spans="2:9" x14ac:dyDescent="0.25">
      <c r="C317" s="494" t="s">
        <v>4152</v>
      </c>
      <c r="D317" s="406">
        <f>'Analisis Sectorial'!D291</f>
        <v>0.43779395048299008</v>
      </c>
      <c r="E317" s="406">
        <f>'Analisis Sectorial'!E291</f>
        <v>0.53440885595331233</v>
      </c>
      <c r="F317" s="406">
        <f>'Analisis Sectorial'!F291</f>
        <v>0.51761980991071133</v>
      </c>
      <c r="G317" s="406">
        <f>'Analisis Sectorial'!G291</f>
        <v>0.62824045207493451</v>
      </c>
      <c r="H317" s="406">
        <f>'Analisis Sectorial'!H291</f>
        <v>0.37680126441343254</v>
      </c>
      <c r="I317" s="409">
        <f>AVERAGE(D317:H317)</f>
        <v>0.49897286656707618</v>
      </c>
    </row>
    <row r="319" spans="2:9" x14ac:dyDescent="0.25">
      <c r="B319" s="26" t="s">
        <v>405</v>
      </c>
    </row>
    <row r="320" spans="2:9" x14ac:dyDescent="0.25">
      <c r="D320" s="498">
        <v>2011</v>
      </c>
      <c r="E320" s="498">
        <v>2012</v>
      </c>
      <c r="F320" s="498">
        <v>2013</v>
      </c>
      <c r="G320" s="498">
        <v>2014</v>
      </c>
      <c r="H320" s="498">
        <v>2015</v>
      </c>
      <c r="I320" s="408" t="s">
        <v>466</v>
      </c>
    </row>
    <row r="321" spans="2:9" x14ac:dyDescent="0.25">
      <c r="C321" s="494" t="s">
        <v>418</v>
      </c>
      <c r="D321" s="487">
        <f>'Analisis Sectorial'!D294</f>
        <v>1.541052641176087</v>
      </c>
      <c r="E321" s="487">
        <f>'Analisis Sectorial'!E294</f>
        <v>1.6418150252629868</v>
      </c>
      <c r="F321" s="487">
        <f>'Analisis Sectorial'!F294</f>
        <v>1.6521048695463325</v>
      </c>
      <c r="G321" s="487">
        <f>'Analisis Sectorial'!G294</f>
        <v>1.8315325873460555</v>
      </c>
      <c r="H321" s="487">
        <f>'Analisis Sectorial'!H294</f>
        <v>1.9876098146712327</v>
      </c>
      <c r="I321" s="487">
        <f>AVERAGE(D321:H321)</f>
        <v>1.7308229876005388</v>
      </c>
    </row>
    <row r="322" spans="2:9" x14ac:dyDescent="0.25">
      <c r="C322" s="494" t="s">
        <v>451</v>
      </c>
      <c r="D322" s="487">
        <f>'Analisis Sectorial'!D295</f>
        <v>1.2728452559776771</v>
      </c>
      <c r="E322" s="487">
        <f>'Analisis Sectorial'!E295</f>
        <v>1.2865758178450415</v>
      </c>
      <c r="F322" s="487">
        <f>'Analisis Sectorial'!F295</f>
        <v>1.4539705079257093</v>
      </c>
      <c r="G322" s="487">
        <f>'Analisis Sectorial'!G295</f>
        <v>1.4230329736853489</v>
      </c>
      <c r="H322" s="487">
        <f>'Analisis Sectorial'!H295</f>
        <v>1.4914000646081718</v>
      </c>
      <c r="I322" s="487">
        <f>AVERAGE(D322:H322)</f>
        <v>1.3855649240083896</v>
      </c>
    </row>
    <row r="323" spans="2:9" x14ac:dyDescent="0.25">
      <c r="C323" s="494" t="s">
        <v>333</v>
      </c>
      <c r="D323" s="487">
        <f>'Analisis Sectorial'!D296</f>
        <v>1.7679952962888745</v>
      </c>
      <c r="E323" s="487">
        <f>'Analisis Sectorial'!E296</f>
        <v>1.6156403220373372</v>
      </c>
      <c r="F323" s="487">
        <f>'Analisis Sectorial'!F296</f>
        <v>1.7456368545448964</v>
      </c>
      <c r="G323" s="487">
        <f>'Analisis Sectorial'!G296</f>
        <v>1.5090336767318973</v>
      </c>
      <c r="H323" s="487">
        <f>'Analisis Sectorial'!H296</f>
        <v>1.5894663095101844</v>
      </c>
      <c r="I323" s="487">
        <f>AVERAGE(D323:H323)</f>
        <v>1.6455544918226379</v>
      </c>
    </row>
    <row r="324" spans="2:9" x14ac:dyDescent="0.25">
      <c r="C324" s="494" t="s">
        <v>4152</v>
      </c>
      <c r="D324" s="487">
        <f>'Analisis Sectorial'!D297</f>
        <v>1.5823173712617091</v>
      </c>
      <c r="E324" s="487">
        <f>'Analisis Sectorial'!E297</f>
        <v>2.023228935906582</v>
      </c>
      <c r="F324" s="487">
        <f>'Analisis Sectorial'!F297</f>
        <v>1.7567072461683915</v>
      </c>
      <c r="G324" s="487">
        <f>'Analisis Sectorial'!G297</f>
        <v>2.5625311116209208</v>
      </c>
      <c r="H324" s="487">
        <f>'Analisis Sectorial'!H297</f>
        <v>2.8819630698953422</v>
      </c>
      <c r="I324" s="487">
        <f>AVERAGE(D324:H324)</f>
        <v>2.1613495469705888</v>
      </c>
    </row>
    <row r="326" spans="2:9" x14ac:dyDescent="0.25">
      <c r="B326" s="26" t="s">
        <v>4066</v>
      </c>
    </row>
    <row r="327" spans="2:9" x14ac:dyDescent="0.25">
      <c r="D327" s="498">
        <v>2011</v>
      </c>
      <c r="E327" s="498">
        <v>2012</v>
      </c>
      <c r="F327" s="498">
        <v>2013</v>
      </c>
      <c r="G327" s="498">
        <v>2014</v>
      </c>
      <c r="H327" s="498">
        <v>2015</v>
      </c>
      <c r="I327" s="493" t="s">
        <v>466</v>
      </c>
    </row>
    <row r="328" spans="2:9" x14ac:dyDescent="0.25">
      <c r="C328" s="495" t="s">
        <v>418</v>
      </c>
      <c r="D328" s="409">
        <f>'Analisis Sectorial'!D318</f>
        <v>0.57036216462844835</v>
      </c>
      <c r="E328" s="409">
        <f>'Analisis Sectorial'!E318</f>
        <v>0.59061779119129676</v>
      </c>
      <c r="F328" s="409">
        <f>'Analisis Sectorial'!F318</f>
        <v>0.62946007511982727</v>
      </c>
      <c r="G328" s="409">
        <f>'Analisis Sectorial'!G318</f>
        <v>0.61483209322648102</v>
      </c>
      <c r="H328" s="409">
        <f>'Analisis Sectorial'!H318</f>
        <v>0.63610730168210194</v>
      </c>
      <c r="I328" s="409">
        <f>AVERAGE(D328:H328)</f>
        <v>0.60827588516963105</v>
      </c>
    </row>
    <row r="329" spans="2:9" x14ac:dyDescent="0.25">
      <c r="C329" s="495" t="s">
        <v>451</v>
      </c>
      <c r="D329" s="409">
        <f>'Analisis Sectorial'!D319</f>
        <v>3.2137879324121675E-3</v>
      </c>
      <c r="E329" s="409">
        <f>'Analisis Sectorial'!E319</f>
        <v>2.5849351077316923E-2</v>
      </c>
      <c r="F329" s="409">
        <f>'Analisis Sectorial'!F319</f>
        <v>1.7065248821370782E-2</v>
      </c>
      <c r="G329" s="409">
        <f>'Analisis Sectorial'!G319</f>
        <v>0.33655034568568953</v>
      </c>
      <c r="H329" s="409">
        <f>'Analisis Sectorial'!H319</f>
        <v>0.62120126757353034</v>
      </c>
      <c r="I329" s="409">
        <f>AVERAGE(D329:H329)</f>
        <v>0.20077600021806394</v>
      </c>
    </row>
    <row r="330" spans="2:9" x14ac:dyDescent="0.25">
      <c r="C330" s="495" t="s">
        <v>333</v>
      </c>
      <c r="D330" s="409">
        <f>'Analisis Sectorial'!D322</f>
        <v>0.70787270595293283</v>
      </c>
      <c r="E330" s="409">
        <f>'Analisis Sectorial'!E322</f>
        <v>0.74600402249657349</v>
      </c>
      <c r="F330" s="409">
        <f>'Analisis Sectorial'!F322</f>
        <v>0.87131497653811107</v>
      </c>
      <c r="G330" s="409">
        <f>'Analisis Sectorial'!G322</f>
        <v>0.50794593399375354</v>
      </c>
      <c r="H330" s="409">
        <f>'Analisis Sectorial'!H322</f>
        <v>0.28712063747277555</v>
      </c>
      <c r="I330" s="409">
        <f>AVERAGE(D330:H330)</f>
        <v>0.62405165529082929</v>
      </c>
    </row>
    <row r="331" spans="2:9" x14ac:dyDescent="0.25">
      <c r="C331" s="495" t="s">
        <v>334</v>
      </c>
      <c r="D331" s="409">
        <f>'Analisis Sectorial'!D325</f>
        <v>1</v>
      </c>
      <c r="E331" s="409">
        <f>'Analisis Sectorial'!E325</f>
        <v>1</v>
      </c>
      <c r="F331" s="409">
        <f>'Analisis Sectorial'!F325</f>
        <v>1</v>
      </c>
      <c r="G331" s="409">
        <f>'Analisis Sectorial'!G325</f>
        <v>1</v>
      </c>
      <c r="H331" s="409">
        <f>'Analisis Sectorial'!H325</f>
        <v>1</v>
      </c>
      <c r="I331" s="409">
        <f>AVERAGE(D331:H331)</f>
        <v>1</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G122"/>
  <sheetViews>
    <sheetView showGridLines="0" topLeftCell="A27" workbookViewId="0">
      <selection activeCell="A46" sqref="A46"/>
    </sheetView>
  </sheetViews>
  <sheetFormatPr baseColWidth="10" defaultColWidth="9.125" defaultRowHeight="15" x14ac:dyDescent="0.25"/>
  <cols>
    <col min="1" max="1" width="50" style="1" customWidth="1"/>
    <col min="2" max="6" width="20" style="1" customWidth="1"/>
    <col min="7" max="16384" width="9.125" style="1"/>
  </cols>
  <sheetData>
    <row r="2" spans="1:7" x14ac:dyDescent="0.25">
      <c r="G2" s="2" t="s">
        <v>0</v>
      </c>
    </row>
    <row r="3" spans="1:7" x14ac:dyDescent="0.25">
      <c r="G3" s="2" t="s">
        <v>1</v>
      </c>
    </row>
    <row r="4" spans="1:7" x14ac:dyDescent="0.25">
      <c r="G4" s="2" t="s">
        <v>2</v>
      </c>
    </row>
    <row r="5" spans="1:7" x14ac:dyDescent="0.25">
      <c r="G5" s="2" t="s">
        <v>3</v>
      </c>
    </row>
    <row r="7" spans="1:7" ht="20.100000000000001" customHeight="1" x14ac:dyDescent="0.25">
      <c r="A7" s="643" t="s">
        <v>249</v>
      </c>
      <c r="B7" s="644"/>
      <c r="C7" s="644"/>
      <c r="D7" s="644"/>
      <c r="E7" s="644"/>
      <c r="F7" s="644"/>
      <c r="G7" s="644"/>
    </row>
    <row r="8" spans="1:7" x14ac:dyDescent="0.25">
      <c r="A8" s="1" t="s">
        <v>4</v>
      </c>
    </row>
    <row r="10" spans="1:7" x14ac:dyDescent="0.25">
      <c r="A10" s="3" t="s">
        <v>5</v>
      </c>
    </row>
    <row r="11" spans="1:7" x14ac:dyDescent="0.25">
      <c r="A11" s="3" t="s">
        <v>6</v>
      </c>
      <c r="B11" s="3" t="s">
        <v>7</v>
      </c>
      <c r="C11" s="3" t="s">
        <v>8</v>
      </c>
      <c r="D11" s="3" t="s">
        <v>9</v>
      </c>
      <c r="E11" s="3" t="s">
        <v>10</v>
      </c>
      <c r="F11" s="3" t="s">
        <v>11</v>
      </c>
    </row>
    <row r="12" spans="1:7" x14ac:dyDescent="0.25">
      <c r="A12" s="4" t="s">
        <v>12</v>
      </c>
      <c r="B12" s="4" t="s">
        <v>13</v>
      </c>
      <c r="C12" s="5" t="s">
        <v>14</v>
      </c>
      <c r="D12" s="5" t="s">
        <v>15</v>
      </c>
      <c r="E12" s="5" t="s">
        <v>16</v>
      </c>
      <c r="F12" s="5" t="s">
        <v>17</v>
      </c>
    </row>
    <row r="13" spans="1:7" x14ac:dyDescent="0.25">
      <c r="A13" s="6" t="s">
        <v>18</v>
      </c>
      <c r="B13" s="6" t="s">
        <v>19</v>
      </c>
      <c r="C13" s="7" t="s">
        <v>20</v>
      </c>
      <c r="D13" s="7" t="s">
        <v>21</v>
      </c>
      <c r="E13" s="7" t="s">
        <v>22</v>
      </c>
      <c r="F13" s="7" t="s">
        <v>23</v>
      </c>
    </row>
    <row r="14" spans="1:7" x14ac:dyDescent="0.25">
      <c r="A14" s="4" t="s">
        <v>24</v>
      </c>
      <c r="B14" s="4" t="s">
        <v>25</v>
      </c>
      <c r="C14" s="5" t="s">
        <v>25</v>
      </c>
      <c r="D14" s="5" t="s">
        <v>25</v>
      </c>
      <c r="E14" s="5" t="s">
        <v>25</v>
      </c>
      <c r="F14" s="5" t="s">
        <v>25</v>
      </c>
    </row>
    <row r="15" spans="1:7" x14ac:dyDescent="0.25">
      <c r="A15" s="6" t="s">
        <v>26</v>
      </c>
      <c r="B15" s="6" t="s">
        <v>25</v>
      </c>
      <c r="C15" s="7" t="s">
        <v>25</v>
      </c>
      <c r="D15" s="7" t="s">
        <v>25</v>
      </c>
      <c r="E15" s="7" t="s">
        <v>25</v>
      </c>
      <c r="F15" s="7" t="s">
        <v>25</v>
      </c>
    </row>
    <row r="16" spans="1:7" x14ac:dyDescent="0.25">
      <c r="A16" s="4" t="s">
        <v>27</v>
      </c>
      <c r="B16" s="4" t="s">
        <v>28</v>
      </c>
      <c r="C16" s="5" t="s">
        <v>28</v>
      </c>
      <c r="D16" s="5" t="s">
        <v>28</v>
      </c>
      <c r="E16" s="5" t="s">
        <v>28</v>
      </c>
      <c r="F16" s="5" t="s">
        <v>28</v>
      </c>
    </row>
    <row r="17" spans="1:6" x14ac:dyDescent="0.25">
      <c r="A17" s="6" t="s">
        <v>29</v>
      </c>
      <c r="B17" s="6" t="s">
        <v>29</v>
      </c>
      <c r="C17" s="7" t="s">
        <v>29</v>
      </c>
      <c r="D17" s="7" t="s">
        <v>29</v>
      </c>
      <c r="E17" s="7" t="s">
        <v>29</v>
      </c>
      <c r="F17" s="7" t="s">
        <v>29</v>
      </c>
    </row>
    <row r="18" spans="1:6" x14ac:dyDescent="0.25">
      <c r="A18" s="4" t="s">
        <v>30</v>
      </c>
      <c r="B18" s="8" t="s">
        <v>31</v>
      </c>
      <c r="C18" s="9" t="s">
        <v>31</v>
      </c>
      <c r="D18" s="9" t="s">
        <v>31</v>
      </c>
      <c r="E18" s="9" t="s">
        <v>31</v>
      </c>
      <c r="F18" s="9" t="s">
        <v>31</v>
      </c>
    </row>
    <row r="21" spans="1:6" x14ac:dyDescent="0.25">
      <c r="A21" s="3" t="s">
        <v>32</v>
      </c>
    </row>
    <row r="22" spans="1:6" x14ac:dyDescent="0.25">
      <c r="A22" s="3" t="s">
        <v>6</v>
      </c>
      <c r="B22" s="3" t="s">
        <v>7</v>
      </c>
      <c r="C22" s="3" t="s">
        <v>8</v>
      </c>
      <c r="D22" s="3" t="s">
        <v>9</v>
      </c>
      <c r="E22" s="3" t="s">
        <v>10</v>
      </c>
      <c r="F22" s="3" t="s">
        <v>11</v>
      </c>
    </row>
    <row r="23" spans="1:6" x14ac:dyDescent="0.25">
      <c r="A23" s="6" t="s">
        <v>33</v>
      </c>
      <c r="B23" s="10">
        <v>1</v>
      </c>
      <c r="C23" s="11">
        <v>1</v>
      </c>
      <c r="D23" s="11">
        <v>1</v>
      </c>
      <c r="E23" s="11">
        <v>1</v>
      </c>
      <c r="F23" s="11">
        <v>1</v>
      </c>
    </row>
    <row r="26" spans="1:6" x14ac:dyDescent="0.25">
      <c r="A26" s="4" t="s">
        <v>34</v>
      </c>
      <c r="B26" s="12">
        <v>-6.9099999999999995E-2</v>
      </c>
      <c r="C26" s="13">
        <v>3.2000000000000001E-2</v>
      </c>
      <c r="D26" s="13">
        <v>3.8899999999999997E-2</v>
      </c>
      <c r="E26" s="13">
        <v>1.2500000000000001E-2</v>
      </c>
      <c r="F26" s="13">
        <v>-2.9100000000000001E-2</v>
      </c>
    </row>
    <row r="27" spans="1:6" x14ac:dyDescent="0.25">
      <c r="A27" s="6" t="s">
        <v>35</v>
      </c>
      <c r="B27" s="14">
        <v>-6.9099999999999995E-2</v>
      </c>
      <c r="C27" s="15">
        <v>3.2000000000000001E-2</v>
      </c>
      <c r="D27" s="15">
        <v>3.8899999999999997E-2</v>
      </c>
      <c r="E27" s="15">
        <v>1.2500000000000001E-2</v>
      </c>
      <c r="F27" s="15">
        <v>-2.9100000000000001E-2</v>
      </c>
    </row>
    <row r="28" spans="1:6" x14ac:dyDescent="0.25">
      <c r="A28" s="4" t="s">
        <v>36</v>
      </c>
      <c r="B28" s="12">
        <v>-0.1789</v>
      </c>
      <c r="C28" s="13">
        <v>7.9199999999999993E-2</v>
      </c>
      <c r="D28" s="13">
        <v>0.10100000000000001</v>
      </c>
      <c r="E28" s="13">
        <v>2.3300000000000001E-2</v>
      </c>
      <c r="F28" s="13">
        <v>-6.0699999999999997E-2</v>
      </c>
    </row>
    <row r="29" spans="1:6" x14ac:dyDescent="0.25">
      <c r="A29" s="6" t="s">
        <v>37</v>
      </c>
      <c r="B29" s="14">
        <v>-0.1789</v>
      </c>
      <c r="C29" s="15">
        <v>7.9199999999999993E-2</v>
      </c>
      <c r="D29" s="15">
        <v>0.10100000000000001</v>
      </c>
      <c r="E29" s="15">
        <v>2.3300000000000001E-2</v>
      </c>
      <c r="F29" s="15">
        <v>-6.0699999999999997E-2</v>
      </c>
    </row>
    <row r="30" spans="1:6" x14ac:dyDescent="0.25">
      <c r="A30" s="4" t="s">
        <v>38</v>
      </c>
      <c r="B30" s="12">
        <v>-0.1003</v>
      </c>
      <c r="C30" s="13">
        <v>4.87E-2</v>
      </c>
      <c r="D30" s="13">
        <v>5.74E-2</v>
      </c>
      <c r="E30" s="13">
        <v>1.54E-2</v>
      </c>
      <c r="F30" s="13">
        <v>-3.7000000000000012E-2</v>
      </c>
    </row>
    <row r="31" spans="1:6" x14ac:dyDescent="0.25">
      <c r="A31" s="6" t="s">
        <v>39</v>
      </c>
      <c r="B31" s="14">
        <v>-7.85E-2</v>
      </c>
      <c r="C31" s="15">
        <v>2.9899999999999999E-2</v>
      </c>
      <c r="D31" s="15">
        <v>4.0500000000000001E-2</v>
      </c>
      <c r="E31" s="15">
        <v>1.26E-2</v>
      </c>
      <c r="F31" s="15">
        <v>-2.9700000000000001E-2</v>
      </c>
    </row>
    <row r="32" spans="1:6" x14ac:dyDescent="0.25">
      <c r="A32" s="4" t="s">
        <v>40</v>
      </c>
      <c r="B32" s="12">
        <v>0.32369999999999999</v>
      </c>
      <c r="C32" s="13">
        <v>0.34589999999999999</v>
      </c>
      <c r="D32" s="13">
        <v>0.40039999999999998</v>
      </c>
      <c r="E32" s="13">
        <v>0.40039999999999998</v>
      </c>
      <c r="F32" s="13">
        <v>0.33310000000000001</v>
      </c>
    </row>
    <row r="33" spans="1:6" x14ac:dyDescent="0.25">
      <c r="A33" s="6" t="s">
        <v>41</v>
      </c>
      <c r="B33" s="14">
        <v>8.1900000000000001E-2</v>
      </c>
      <c r="C33" s="15">
        <v>0.1144</v>
      </c>
      <c r="D33" s="15">
        <v>0.1399</v>
      </c>
      <c r="E33" s="15">
        <v>0.13439999999999999</v>
      </c>
      <c r="F33" s="15">
        <v>7.8E-2</v>
      </c>
    </row>
    <row r="34" spans="1:6" x14ac:dyDescent="0.25">
      <c r="A34" s="4" t="s">
        <v>42</v>
      </c>
      <c r="B34" s="4" t="s">
        <v>61</v>
      </c>
      <c r="C34" s="13">
        <v>0.1426</v>
      </c>
      <c r="D34" s="13">
        <v>0.16420000000000001</v>
      </c>
      <c r="E34" s="13">
        <v>0.155</v>
      </c>
      <c r="F34" s="13">
        <v>9.6699999999999994E-2</v>
      </c>
    </row>
    <row r="35" spans="1:6" x14ac:dyDescent="0.25">
      <c r="A35" s="6" t="s">
        <v>43</v>
      </c>
      <c r="B35" s="14">
        <v>7.2099999999999997E-2</v>
      </c>
      <c r="C35" s="15">
        <v>0.12230000000000001</v>
      </c>
      <c r="D35" s="15">
        <v>0.13450000000000001</v>
      </c>
      <c r="E35" s="15">
        <v>0.1328</v>
      </c>
      <c r="F35" s="15">
        <v>7.6299999999999993E-2</v>
      </c>
    </row>
    <row r="38" spans="1:6" x14ac:dyDescent="0.25">
      <c r="A38" s="4" t="s">
        <v>44</v>
      </c>
      <c r="B38" s="16">
        <v>3.98</v>
      </c>
      <c r="C38" s="17">
        <v>4.2699999999999996</v>
      </c>
      <c r="D38" s="17">
        <v>3.22</v>
      </c>
      <c r="E38" s="17">
        <v>3.63</v>
      </c>
      <c r="F38" s="17">
        <v>3.21</v>
      </c>
    </row>
    <row r="39" spans="1:6" x14ac:dyDescent="0.25">
      <c r="A39" s="6" t="s">
        <v>45</v>
      </c>
      <c r="B39" s="18">
        <v>2.83</v>
      </c>
      <c r="C39" s="19">
        <v>3.39</v>
      </c>
      <c r="D39" s="19">
        <v>2.91</v>
      </c>
      <c r="E39" s="19">
        <v>2.68</v>
      </c>
      <c r="F39" s="19">
        <v>3.03</v>
      </c>
    </row>
    <row r="40" spans="1:6" x14ac:dyDescent="0.25">
      <c r="A40" s="4" t="s">
        <v>46</v>
      </c>
      <c r="B40" s="16">
        <v>1.63</v>
      </c>
      <c r="C40" s="17">
        <v>1.86</v>
      </c>
      <c r="D40" s="17">
        <v>1.51</v>
      </c>
      <c r="E40" s="17">
        <v>1.53</v>
      </c>
      <c r="F40" s="17">
        <v>1.49</v>
      </c>
    </row>
    <row r="41" spans="1:6" x14ac:dyDescent="0.25">
      <c r="A41" s="6" t="s">
        <v>47</v>
      </c>
      <c r="B41" s="18">
        <v>1.91</v>
      </c>
      <c r="C41" s="19">
        <v>2.5099999999999998</v>
      </c>
      <c r="D41" s="19">
        <v>2.66</v>
      </c>
      <c r="E41" s="19">
        <v>2.79</v>
      </c>
      <c r="F41" s="19">
        <v>2.84</v>
      </c>
    </row>
    <row r="42" spans="1:6" x14ac:dyDescent="0.25">
      <c r="A42" s="4" t="s">
        <v>48</v>
      </c>
      <c r="B42" s="16">
        <v>0.88</v>
      </c>
      <c r="C42" s="17">
        <v>1.07</v>
      </c>
      <c r="D42" s="17">
        <v>0.96</v>
      </c>
      <c r="E42" s="17">
        <v>0.99</v>
      </c>
      <c r="F42" s="17">
        <v>0.98</v>
      </c>
    </row>
    <row r="43" spans="1:6" x14ac:dyDescent="0.25">
      <c r="A43" s="6" t="s">
        <v>45</v>
      </c>
      <c r="B43" s="18">
        <v>10.56</v>
      </c>
      <c r="C43" s="19">
        <v>5.59</v>
      </c>
      <c r="D43" s="19">
        <v>5.0599999999999996</v>
      </c>
      <c r="E43" s="19">
        <v>9.94</v>
      </c>
      <c r="F43" s="19">
        <v>10.31</v>
      </c>
    </row>
    <row r="44" spans="1:6" x14ac:dyDescent="0.25">
      <c r="A44" s="4" t="s">
        <v>49</v>
      </c>
      <c r="B44" s="16">
        <v>59.54</v>
      </c>
      <c r="C44" s="17">
        <v>25.64</v>
      </c>
      <c r="D44" s="17">
        <v>15.55</v>
      </c>
      <c r="E44" s="17">
        <v>3.12</v>
      </c>
      <c r="F44" s="17">
        <v>2.77</v>
      </c>
    </row>
    <row r="47" spans="1:6" x14ac:dyDescent="0.25">
      <c r="A47" s="6" t="s">
        <v>50</v>
      </c>
      <c r="B47" s="20">
        <v>2441494</v>
      </c>
      <c r="C47" s="21">
        <v>2722300</v>
      </c>
      <c r="D47" s="21">
        <v>3041451</v>
      </c>
      <c r="E47" s="21">
        <v>4378579</v>
      </c>
      <c r="F47" s="21">
        <v>4074068</v>
      </c>
    </row>
    <row r="48" spans="1:6" x14ac:dyDescent="0.25">
      <c r="A48" s="4" t="s">
        <v>51</v>
      </c>
      <c r="B48" s="22">
        <v>-4411369</v>
      </c>
      <c r="C48" s="23">
        <v>-4464816</v>
      </c>
      <c r="D48" s="23">
        <v>-5357076</v>
      </c>
      <c r="E48" s="23">
        <v>-4159564</v>
      </c>
      <c r="F48" s="23">
        <v>-4700119</v>
      </c>
    </row>
    <row r="49" spans="1:6" x14ac:dyDescent="0.25">
      <c r="A49" s="6" t="s">
        <v>52</v>
      </c>
      <c r="B49" s="20">
        <v>2153915</v>
      </c>
      <c r="C49" s="21">
        <v>1875153</v>
      </c>
      <c r="D49" s="21">
        <v>2526331</v>
      </c>
      <c r="E49" s="21">
        <v>2448481</v>
      </c>
      <c r="F49" s="21">
        <v>2673057</v>
      </c>
    </row>
    <row r="50" spans="1:6" x14ac:dyDescent="0.25">
      <c r="A50" s="4" t="s">
        <v>53</v>
      </c>
      <c r="B50" s="22">
        <v>107339</v>
      </c>
      <c r="C50" s="23">
        <v>314280</v>
      </c>
      <c r="D50" s="23">
        <v>543654</v>
      </c>
      <c r="E50" s="23">
        <v>2842141</v>
      </c>
      <c r="F50" s="23">
        <v>3346008</v>
      </c>
    </row>
    <row r="51" spans="1:6" x14ac:dyDescent="0.25">
      <c r="A51" s="6" t="s">
        <v>54</v>
      </c>
      <c r="B51" s="20">
        <v>523324</v>
      </c>
      <c r="C51" s="21">
        <v>921779</v>
      </c>
      <c r="D51" s="21">
        <v>1182589</v>
      </c>
      <c r="E51" s="21">
        <v>1192557</v>
      </c>
      <c r="F51" s="21">
        <v>722318</v>
      </c>
    </row>
    <row r="52" spans="1:6" x14ac:dyDescent="0.25">
      <c r="A52" s="4" t="s">
        <v>55</v>
      </c>
      <c r="B52" s="4" t="s">
        <v>61</v>
      </c>
      <c r="C52" s="23">
        <v>1149012</v>
      </c>
      <c r="D52" s="23">
        <v>1388415</v>
      </c>
      <c r="E52" s="23">
        <v>1375585</v>
      </c>
      <c r="F52" s="23">
        <v>896047</v>
      </c>
    </row>
    <row r="55" spans="1:6" x14ac:dyDescent="0.25">
      <c r="A55" s="6" t="s">
        <v>56</v>
      </c>
      <c r="B55" s="18">
        <v>1.03</v>
      </c>
      <c r="C55" s="19">
        <v>1.08</v>
      </c>
      <c r="D55" s="19">
        <v>1.1100000000000001</v>
      </c>
      <c r="E55" s="19">
        <v>1.96</v>
      </c>
      <c r="F55" s="19">
        <v>2.17</v>
      </c>
    </row>
    <row r="56" spans="1:6" x14ac:dyDescent="0.25">
      <c r="A56" s="4" t="s">
        <v>57</v>
      </c>
      <c r="B56" s="16">
        <v>0.61</v>
      </c>
      <c r="C56" s="17">
        <v>0.61</v>
      </c>
      <c r="D56" s="17">
        <v>0.59</v>
      </c>
      <c r="E56" s="17">
        <v>1.1299999999999999</v>
      </c>
      <c r="F56" s="17">
        <v>1.1599999999999999</v>
      </c>
    </row>
    <row r="57" spans="1:6" x14ac:dyDescent="0.25">
      <c r="A57" s="6" t="s">
        <v>58</v>
      </c>
      <c r="B57" s="18">
        <v>0.01</v>
      </c>
      <c r="C57" s="19">
        <v>0.01</v>
      </c>
      <c r="D57" s="19">
        <v>0.01</v>
      </c>
      <c r="E57" s="19">
        <v>0</v>
      </c>
      <c r="F57" s="19">
        <v>0.08</v>
      </c>
    </row>
    <row r="58" spans="1:6" x14ac:dyDescent="0.25">
      <c r="A58" s="4" t="s">
        <v>59</v>
      </c>
      <c r="B58" s="16">
        <v>0.01</v>
      </c>
      <c r="C58" s="17">
        <v>0.01</v>
      </c>
      <c r="D58" s="17">
        <v>0.01</v>
      </c>
      <c r="E58" s="17">
        <v>0</v>
      </c>
      <c r="F58" s="17">
        <v>0.08</v>
      </c>
    </row>
    <row r="59" spans="1:6" x14ac:dyDescent="0.25">
      <c r="A59" s="6" t="s">
        <v>60</v>
      </c>
      <c r="B59" s="18">
        <v>0.1</v>
      </c>
      <c r="C59" s="19">
        <v>0.79</v>
      </c>
      <c r="D59" s="19">
        <v>-1.46</v>
      </c>
      <c r="E59" s="19">
        <v>-0.86</v>
      </c>
      <c r="F59" s="19">
        <v>-0.17</v>
      </c>
    </row>
    <row r="62" spans="1:6" x14ac:dyDescent="0.25">
      <c r="A62" s="4" t="s">
        <v>62</v>
      </c>
      <c r="B62" s="12">
        <v>0.30299999999999999</v>
      </c>
      <c r="C62" s="13">
        <v>0.25259999999999999</v>
      </c>
      <c r="D62" s="13">
        <v>0.2928</v>
      </c>
      <c r="E62" s="13">
        <v>0.27389999999999998</v>
      </c>
      <c r="F62" s="13">
        <v>0.30709999999999998</v>
      </c>
    </row>
    <row r="63" spans="1:6" x14ac:dyDescent="0.25">
      <c r="A63" s="6" t="s">
        <v>63</v>
      </c>
      <c r="B63" s="14">
        <v>0.78449999999999998</v>
      </c>
      <c r="C63" s="15">
        <v>0.62519999999999998</v>
      </c>
      <c r="D63" s="15">
        <v>0.75989999999999991</v>
      </c>
      <c r="E63" s="15">
        <v>0.51149999999999995</v>
      </c>
      <c r="F63" s="15">
        <v>0.64129999999999998</v>
      </c>
    </row>
    <row r="64" spans="1:6" x14ac:dyDescent="0.25">
      <c r="A64" s="4" t="s">
        <v>64</v>
      </c>
      <c r="B64" s="12">
        <v>0.18640000000000001</v>
      </c>
      <c r="C64" s="13">
        <v>0.13700000000000001</v>
      </c>
      <c r="D64" s="13">
        <v>8.9099999999999999E-2</v>
      </c>
      <c r="E64" s="13">
        <v>0.2011</v>
      </c>
      <c r="F64" s="13">
        <v>0.31369999999999998</v>
      </c>
    </row>
    <row r="65" spans="1:6" x14ac:dyDescent="0.25">
      <c r="A65" s="6" t="s">
        <v>66</v>
      </c>
      <c r="B65" s="14">
        <v>0.03</v>
      </c>
      <c r="C65" s="15">
        <v>4.9949000000000003</v>
      </c>
      <c r="D65" s="15">
        <v>-5.3113999999999999</v>
      </c>
      <c r="E65" s="15">
        <v>-2.3513999999999999</v>
      </c>
      <c r="F65" s="15">
        <v>-8.1822999999999997</v>
      </c>
    </row>
    <row r="66" spans="1:6" x14ac:dyDescent="0.25">
      <c r="A66" s="4" t="s">
        <v>67</v>
      </c>
      <c r="B66" s="16">
        <v>2.59</v>
      </c>
      <c r="C66" s="17">
        <v>2.48</v>
      </c>
      <c r="D66" s="17">
        <v>2.6</v>
      </c>
      <c r="E66" s="17">
        <v>1.87</v>
      </c>
      <c r="F66" s="17">
        <v>2.09</v>
      </c>
    </row>
    <row r="69" spans="1:6" x14ac:dyDescent="0.25">
      <c r="A69" s="6" t="s">
        <v>68</v>
      </c>
      <c r="B69" s="6" t="s">
        <v>61</v>
      </c>
      <c r="C69" s="15">
        <v>0.26079999999999998</v>
      </c>
      <c r="D69" s="15">
        <v>4.9299999999999997E-2</v>
      </c>
      <c r="E69" s="15">
        <v>4.9699999999999987E-2</v>
      </c>
      <c r="F69" s="15">
        <v>4.3799999999999999E-2</v>
      </c>
    </row>
    <row r="70" spans="1:6" x14ac:dyDescent="0.25">
      <c r="A70" s="4" t="s">
        <v>69</v>
      </c>
      <c r="B70" s="4" t="s">
        <v>61</v>
      </c>
      <c r="C70" s="13">
        <v>0.26079999999999998</v>
      </c>
      <c r="D70" s="13">
        <v>4.9299999999999997E-2</v>
      </c>
      <c r="E70" s="13">
        <v>4.9699999999999987E-2</v>
      </c>
      <c r="F70" s="13">
        <v>4.3799999999999999E-2</v>
      </c>
    </row>
    <row r="71" spans="1:6" x14ac:dyDescent="0.25">
      <c r="A71" s="6" t="s">
        <v>70</v>
      </c>
      <c r="B71" s="6" t="s">
        <v>61</v>
      </c>
      <c r="C71" s="15">
        <v>0.34720000000000001</v>
      </c>
      <c r="D71" s="15">
        <v>0.2147</v>
      </c>
      <c r="E71" s="15">
        <v>4.9500000000000002E-2</v>
      </c>
      <c r="F71" s="15">
        <v>-0.13159999999999999</v>
      </c>
    </row>
    <row r="72" spans="1:6" x14ac:dyDescent="0.25">
      <c r="A72" s="4" t="s">
        <v>71</v>
      </c>
      <c r="B72" s="4" t="s">
        <v>61</v>
      </c>
      <c r="C72" s="13">
        <v>1.1956</v>
      </c>
      <c r="D72" s="13">
        <v>0.2084</v>
      </c>
      <c r="E72" s="13">
        <v>-9.1999999999999998E-3</v>
      </c>
      <c r="F72" s="13">
        <v>-0.34860000000000002</v>
      </c>
    </row>
    <row r="73" spans="1:6" x14ac:dyDescent="0.25">
      <c r="A73" s="6" t="s">
        <v>72</v>
      </c>
      <c r="B73" s="6" t="s">
        <v>61</v>
      </c>
      <c r="C73" s="15">
        <v>0.76139999999999997</v>
      </c>
      <c r="D73" s="15">
        <v>0.28289999999999998</v>
      </c>
      <c r="E73" s="15">
        <v>8.3999999999999995E-3</v>
      </c>
      <c r="F73" s="15">
        <v>-0.39429999999999998</v>
      </c>
    </row>
    <row r="74" spans="1:6" x14ac:dyDescent="0.25">
      <c r="A74" s="4" t="s">
        <v>73</v>
      </c>
      <c r="B74" s="4" t="s">
        <v>61</v>
      </c>
      <c r="C74" s="13">
        <v>-1.4807999999999999</v>
      </c>
      <c r="D74" s="13">
        <v>0.41880000000000001</v>
      </c>
      <c r="E74" s="13">
        <v>-0.67269999999999996</v>
      </c>
      <c r="F74" s="13">
        <v>-3.4577</v>
      </c>
    </row>
    <row r="75" spans="1:6" x14ac:dyDescent="0.25">
      <c r="A75" s="6" t="s">
        <v>74</v>
      </c>
      <c r="B75" s="6" t="s">
        <v>61</v>
      </c>
      <c r="C75" s="15">
        <v>5.3699999999999998E-2</v>
      </c>
      <c r="D75" s="15">
        <v>0.22320000000000001</v>
      </c>
      <c r="E75" s="15">
        <v>0.13969999999999999</v>
      </c>
      <c r="F75" s="15">
        <v>-7.7699999999999991E-2</v>
      </c>
    </row>
    <row r="76" spans="1:6" x14ac:dyDescent="0.25">
      <c r="A76" s="4" t="s">
        <v>75</v>
      </c>
      <c r="B76" s="4" t="s">
        <v>61</v>
      </c>
      <c r="C76" s="13">
        <v>0.1754</v>
      </c>
      <c r="D76" s="13">
        <v>0.3921</v>
      </c>
      <c r="E76" s="13">
        <v>-6.9199999999999998E-2</v>
      </c>
      <c r="F76" s="13">
        <v>0.1787</v>
      </c>
    </row>
    <row r="77" spans="1:6" x14ac:dyDescent="0.25">
      <c r="A77" s="6" t="s">
        <v>76</v>
      </c>
      <c r="B77" s="6" t="s">
        <v>61</v>
      </c>
      <c r="C77" s="15">
        <v>-9.2200000000000004E-2</v>
      </c>
      <c r="D77" s="15">
        <v>-7.4499999999999997E-2</v>
      </c>
      <c r="E77" s="15">
        <v>-0.1057</v>
      </c>
      <c r="F77" s="15">
        <v>7.8100000000000003E-2</v>
      </c>
    </row>
    <row r="78" spans="1:6" x14ac:dyDescent="0.25">
      <c r="A78" s="4" t="s">
        <v>77</v>
      </c>
      <c r="B78" s="4" t="s">
        <v>61</v>
      </c>
      <c r="C78" s="13">
        <v>3.8199999999999998E-2</v>
      </c>
      <c r="D78" s="13">
        <v>0.1663</v>
      </c>
      <c r="E78" s="13">
        <v>2.1299999999999999E-2</v>
      </c>
      <c r="F78" s="13">
        <v>5.4399999999999997E-2</v>
      </c>
    </row>
    <row r="79" spans="1:6" x14ac:dyDescent="0.25">
      <c r="A79" s="6" t="s">
        <v>78</v>
      </c>
      <c r="B79" s="6" t="s">
        <v>61</v>
      </c>
      <c r="C79" s="15">
        <v>0.115</v>
      </c>
      <c r="D79" s="15">
        <v>0.1172</v>
      </c>
      <c r="E79" s="15">
        <v>0.43959999999999999</v>
      </c>
      <c r="F79" s="15">
        <v>-6.9500000000000006E-2</v>
      </c>
    </row>
    <row r="80" spans="1:6" x14ac:dyDescent="0.25">
      <c r="A80" s="4" t="s">
        <v>79</v>
      </c>
      <c r="B80" s="4" t="s">
        <v>61</v>
      </c>
      <c r="C80" s="13">
        <v>8.5999999999999993E-2</v>
      </c>
      <c r="D80" s="13">
        <v>0.1124</v>
      </c>
      <c r="E80" s="13">
        <v>0.41970000000000002</v>
      </c>
      <c r="F80" s="13">
        <v>-5.7200000000000001E-2</v>
      </c>
    </row>
    <row r="81" spans="1:6" x14ac:dyDescent="0.25">
      <c r="A81" s="6" t="s">
        <v>80</v>
      </c>
      <c r="B81" s="6" t="s">
        <v>61</v>
      </c>
      <c r="C81" s="15">
        <v>4.9131999999999998</v>
      </c>
      <c r="D81" s="15">
        <v>-2.2715000000000001</v>
      </c>
      <c r="E81" s="15">
        <v>1.1584000000000001</v>
      </c>
      <c r="F81" s="15">
        <v>-0.6603</v>
      </c>
    </row>
    <row r="82" spans="1:6" x14ac:dyDescent="0.25">
      <c r="A82" s="4" t="s">
        <v>81</v>
      </c>
      <c r="B82" s="4" t="s">
        <v>61</v>
      </c>
      <c r="C82" s="13">
        <v>0.70819999999999994</v>
      </c>
      <c r="D82" s="13">
        <v>0.39789999999999998</v>
      </c>
      <c r="E82" s="13">
        <v>-0.29570000000000002</v>
      </c>
      <c r="F82" s="13">
        <v>0.6401</v>
      </c>
    </row>
    <row r="85" spans="1:6" x14ac:dyDescent="0.25">
      <c r="A85" s="6" t="s">
        <v>82</v>
      </c>
      <c r="B85" s="18">
        <v>0.03</v>
      </c>
      <c r="C85" s="19">
        <v>0.2</v>
      </c>
      <c r="D85" s="19">
        <v>-0.19</v>
      </c>
      <c r="E85" s="19">
        <v>-0.43</v>
      </c>
      <c r="F85" s="19">
        <v>-0.12</v>
      </c>
    </row>
    <row r="88" spans="1:6" x14ac:dyDescent="0.25">
      <c r="A88" s="4" t="s">
        <v>83</v>
      </c>
      <c r="B88" s="12">
        <v>1.01E-2</v>
      </c>
      <c r="C88" s="13">
        <v>4.7300000000000002E-2</v>
      </c>
      <c r="D88" s="13">
        <v>-5.7299999999999997E-2</v>
      </c>
      <c r="E88" s="13">
        <v>-0.1179</v>
      </c>
      <c r="F88" s="13">
        <v>-3.8399999999999997E-2</v>
      </c>
    </row>
    <row r="89" spans="1:6" x14ac:dyDescent="0.25">
      <c r="A89" s="6" t="s">
        <v>84</v>
      </c>
      <c r="B89" s="14">
        <v>8.8999999999999999E-3</v>
      </c>
      <c r="C89" s="15">
        <v>5.0599999999999999E-2</v>
      </c>
      <c r="D89" s="15">
        <v>-5.5100000000000003E-2</v>
      </c>
      <c r="E89" s="15">
        <v>-0.11650000000000001</v>
      </c>
      <c r="F89" s="15">
        <v>-3.7499999999999999E-2</v>
      </c>
    </row>
    <row r="90" spans="1:6" x14ac:dyDescent="0.25">
      <c r="A90" s="4" t="s">
        <v>85</v>
      </c>
      <c r="B90" s="12">
        <v>2.3E-2</v>
      </c>
      <c r="C90" s="13">
        <v>0.12520000000000001</v>
      </c>
      <c r="D90" s="13">
        <v>-0.1431</v>
      </c>
      <c r="E90" s="13">
        <v>-0.2175</v>
      </c>
      <c r="F90" s="13">
        <v>-7.8399999999999997E-2</v>
      </c>
    </row>
    <row r="91" spans="1:6" x14ac:dyDescent="0.25">
      <c r="A91" s="6" t="s">
        <v>86</v>
      </c>
      <c r="B91" s="14">
        <v>0.1232</v>
      </c>
      <c r="C91" s="15">
        <v>0.41360000000000002</v>
      </c>
      <c r="D91" s="15">
        <v>-0.40989999999999999</v>
      </c>
      <c r="E91" s="15">
        <v>-0.87739999999999996</v>
      </c>
      <c r="F91" s="15">
        <v>-0.49209999999999998</v>
      </c>
    </row>
    <row r="94" spans="1:6" x14ac:dyDescent="0.25">
      <c r="A94" s="4" t="s">
        <v>87</v>
      </c>
      <c r="B94" s="12">
        <v>6.4000000000000003E-3</v>
      </c>
      <c r="C94" s="13">
        <v>3.8999999999999998E-3</v>
      </c>
      <c r="D94" s="13">
        <v>5.5000000000000014E-3</v>
      </c>
      <c r="E94" s="13">
        <v>1.2999999999999999E-3</v>
      </c>
      <c r="F94" s="13">
        <v>2.4799999999999999E-2</v>
      </c>
    </row>
    <row r="95" spans="1:6" x14ac:dyDescent="0.25">
      <c r="A95" s="6" t="s">
        <v>88</v>
      </c>
      <c r="B95" s="14">
        <v>0.31059999999999999</v>
      </c>
      <c r="C95" s="15">
        <v>0.31519999999999998</v>
      </c>
      <c r="D95" s="15">
        <v>0.3306</v>
      </c>
      <c r="E95" s="15">
        <v>0.36890000000000001</v>
      </c>
      <c r="F95" s="15">
        <v>0.32269999999999999</v>
      </c>
    </row>
    <row r="96" spans="1:6" x14ac:dyDescent="0.25">
      <c r="A96" s="4" t="s">
        <v>89</v>
      </c>
      <c r="B96" s="12">
        <v>0.22120000000000001</v>
      </c>
      <c r="C96" s="13">
        <v>0.2505</v>
      </c>
      <c r="D96" s="13">
        <v>0.29899999999999999</v>
      </c>
      <c r="E96" s="13">
        <v>0.27250000000000002</v>
      </c>
      <c r="F96" s="13">
        <v>0.30459999999999998</v>
      </c>
    </row>
    <row r="97" spans="1:6" x14ac:dyDescent="0.25">
      <c r="A97" s="6" t="s">
        <v>90</v>
      </c>
      <c r="B97" s="14">
        <v>0.45989999999999998</v>
      </c>
      <c r="C97" s="15">
        <v>0.4264</v>
      </c>
      <c r="D97" s="15">
        <v>0.36109999999999998</v>
      </c>
      <c r="E97" s="15">
        <v>0.35389999999999999</v>
      </c>
      <c r="F97" s="15">
        <v>0.34439999999999998</v>
      </c>
    </row>
    <row r="98" spans="1:6" x14ac:dyDescent="0.25">
      <c r="A98" s="4" t="s">
        <v>91</v>
      </c>
      <c r="B98" s="12">
        <v>0.85580000000000001</v>
      </c>
      <c r="C98" s="13">
        <v>0.89239999999999997</v>
      </c>
      <c r="D98" s="13">
        <v>0.93870000000000009</v>
      </c>
      <c r="E98" s="13">
        <v>0.70979999999999999</v>
      </c>
      <c r="F98" s="13">
        <v>0.57989999999999997</v>
      </c>
    </row>
    <row r="101" spans="1:6" x14ac:dyDescent="0.25">
      <c r="A101" s="6" t="s">
        <v>92</v>
      </c>
      <c r="B101" s="14">
        <v>6.2399999999999997E-2</v>
      </c>
      <c r="C101" s="15">
        <v>6.0599999999999987E-2</v>
      </c>
      <c r="D101" s="15">
        <v>6.59E-2</v>
      </c>
      <c r="E101" s="15">
        <v>7.5499999999999998E-2</v>
      </c>
      <c r="F101" s="15">
        <v>8.7300000000000003E-2</v>
      </c>
    </row>
    <row r="102" spans="1:6" x14ac:dyDescent="0.25">
      <c r="A102" s="4" t="s">
        <v>93</v>
      </c>
      <c r="B102" s="12" t="s">
        <v>65</v>
      </c>
      <c r="C102" s="13">
        <v>2.8199999999999999E-2</v>
      </c>
      <c r="D102" s="13">
        <v>2.4299999999999999E-2</v>
      </c>
      <c r="E102" s="13">
        <v>2.06E-2</v>
      </c>
      <c r="F102" s="13">
        <v>1.8800000000000001E-2</v>
      </c>
    </row>
    <row r="103" spans="1:6" x14ac:dyDescent="0.25">
      <c r="A103" s="6" t="s">
        <v>94</v>
      </c>
      <c r="B103" s="14">
        <v>2.6100000000000002E-2</v>
      </c>
      <c r="C103" s="15">
        <v>2.3800000000000002E-2</v>
      </c>
      <c r="D103" s="15">
        <v>2.0899999999999998E-2</v>
      </c>
      <c r="E103" s="15">
        <v>6.5000000000000006E-3</v>
      </c>
      <c r="F103" s="15">
        <v>3.2000000000000002E-3</v>
      </c>
    </row>
    <row r="106" spans="1:6" x14ac:dyDescent="0.25">
      <c r="A106" s="4" t="s">
        <v>95</v>
      </c>
      <c r="B106" s="12">
        <v>-1.2190000000000001</v>
      </c>
      <c r="C106" s="13">
        <v>-0.02</v>
      </c>
      <c r="D106" s="13">
        <v>-0.02</v>
      </c>
      <c r="E106" s="13">
        <v>0.02</v>
      </c>
      <c r="F106" s="13">
        <v>-1.591</v>
      </c>
    </row>
    <row r="107" spans="1:6" x14ac:dyDescent="0.25">
      <c r="A107" s="6" t="s">
        <v>96</v>
      </c>
      <c r="B107" s="14">
        <v>1.1194</v>
      </c>
      <c r="C107" s="15">
        <v>5.9555999999999996</v>
      </c>
      <c r="D107" s="15">
        <v>-8.6014999999999997</v>
      </c>
      <c r="E107" s="15" t="s">
        <v>65</v>
      </c>
      <c r="F107" s="15">
        <v>-0.53939999999999999</v>
      </c>
    </row>
    <row r="108" spans="1:6" x14ac:dyDescent="0.25">
      <c r="A108" s="4" t="s">
        <v>97</v>
      </c>
      <c r="B108" s="12">
        <v>1.0995999999999999</v>
      </c>
      <c r="C108" s="13">
        <v>0.01</v>
      </c>
      <c r="D108" s="13">
        <v>0.03</v>
      </c>
      <c r="E108" s="13">
        <v>-0.03</v>
      </c>
      <c r="F108" s="13">
        <v>3.1303999999999998</v>
      </c>
    </row>
    <row r="111" spans="1:6" x14ac:dyDescent="0.25">
      <c r="A111" s="3" t="s">
        <v>98</v>
      </c>
    </row>
    <row r="112" spans="1:6" x14ac:dyDescent="0.25">
      <c r="A112" s="3" t="s">
        <v>6</v>
      </c>
      <c r="B112" s="3" t="s">
        <v>7</v>
      </c>
      <c r="C112" s="3" t="s">
        <v>8</v>
      </c>
      <c r="D112" s="3" t="s">
        <v>9</v>
      </c>
      <c r="E112" s="3" t="s">
        <v>10</v>
      </c>
      <c r="F112" s="3" t="s">
        <v>11</v>
      </c>
    </row>
    <row r="115" spans="1:6" x14ac:dyDescent="0.25">
      <c r="A115" s="6" t="s">
        <v>29</v>
      </c>
      <c r="B115" s="6" t="s">
        <v>29</v>
      </c>
      <c r="C115" s="7" t="s">
        <v>29</v>
      </c>
      <c r="D115" s="7" t="s">
        <v>29</v>
      </c>
      <c r="E115" s="7" t="s">
        <v>29</v>
      </c>
      <c r="F115" s="7" t="s">
        <v>29</v>
      </c>
    </row>
    <row r="116" spans="1:6" x14ac:dyDescent="0.25">
      <c r="A116" s="4" t="s">
        <v>99</v>
      </c>
      <c r="B116" s="4" t="s">
        <v>100</v>
      </c>
      <c r="C116" s="5" t="s">
        <v>100</v>
      </c>
      <c r="D116" s="5" t="s">
        <v>100</v>
      </c>
      <c r="E116" s="5" t="s">
        <v>100</v>
      </c>
      <c r="F116" s="5" t="s">
        <v>100</v>
      </c>
    </row>
    <row r="117" spans="1:6" x14ac:dyDescent="0.25">
      <c r="A117" s="6" t="s">
        <v>101</v>
      </c>
      <c r="B117" s="6" t="s">
        <v>102</v>
      </c>
      <c r="C117" s="7" t="s">
        <v>102</v>
      </c>
      <c r="D117" s="7" t="s">
        <v>102</v>
      </c>
      <c r="E117" s="7" t="s">
        <v>102</v>
      </c>
      <c r="F117" s="7" t="s">
        <v>102</v>
      </c>
    </row>
    <row r="120" spans="1:6" x14ac:dyDescent="0.25">
      <c r="A120" s="1" t="s">
        <v>103</v>
      </c>
    </row>
    <row r="121" spans="1:6" x14ac:dyDescent="0.25">
      <c r="A121" s="1" t="s">
        <v>104</v>
      </c>
    </row>
    <row r="122" spans="1:6" x14ac:dyDescent="0.25">
      <c r="A122" s="1" t="s">
        <v>105</v>
      </c>
    </row>
  </sheetData>
  <sheetProtection formatCells="0" formatColumns="0" formatRows="0" insertColumns="0" insertRows="0" insertHyperlinks="0" deleteColumns="0" deleteRows="0" sort="0" autoFilter="0" pivotTables="0"/>
  <mergeCells count="1">
    <mergeCell ref="A7:G7"/>
  </mergeCells>
  <hyperlinks>
    <hyperlink ref="B18" r:id="rId1"/>
    <hyperlink ref="C18" r:id="rId2"/>
    <hyperlink ref="D18" r:id="rId3"/>
    <hyperlink ref="E18" r:id="rId4"/>
    <hyperlink ref="F18" r:id="rId5"/>
  </hyperlinks>
  <pageMargins left="0.7" right="0.7" top="0.75" bottom="0.75" header="0.3" footer="0.3"/>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M122"/>
  <sheetViews>
    <sheetView showGridLines="0" topLeftCell="A42" workbookViewId="0">
      <selection activeCell="A42" sqref="A42"/>
    </sheetView>
  </sheetViews>
  <sheetFormatPr baseColWidth="10" defaultColWidth="9.125" defaultRowHeight="15" x14ac:dyDescent="0.25"/>
  <cols>
    <col min="1" max="1" width="50" style="1" customWidth="1"/>
    <col min="2" max="6" width="20" style="1" customWidth="1"/>
    <col min="7" max="11" width="9.125" style="1"/>
    <col min="12" max="13" width="10.125" style="1" bestFit="1" customWidth="1"/>
    <col min="14" max="16384" width="9.125" style="1"/>
  </cols>
  <sheetData>
    <row r="2" spans="1:7" x14ac:dyDescent="0.25">
      <c r="G2" s="2" t="s">
        <v>0</v>
      </c>
    </row>
    <row r="3" spans="1:7" x14ac:dyDescent="0.25">
      <c r="G3" s="2" t="s">
        <v>1</v>
      </c>
    </row>
    <row r="4" spans="1:7" x14ac:dyDescent="0.25">
      <c r="G4" s="2" t="s">
        <v>2</v>
      </c>
    </row>
    <row r="5" spans="1:7" x14ac:dyDescent="0.25">
      <c r="G5" s="2" t="s">
        <v>3</v>
      </c>
    </row>
    <row r="7" spans="1:7" ht="20.100000000000001" customHeight="1" x14ac:dyDescent="0.25">
      <c r="A7" s="643" t="s">
        <v>258</v>
      </c>
      <c r="B7" s="644"/>
      <c r="C7" s="644"/>
      <c r="D7" s="644"/>
      <c r="E7" s="644"/>
      <c r="F7" s="644"/>
      <c r="G7" s="644"/>
    </row>
    <row r="8" spans="1:7" x14ac:dyDescent="0.25">
      <c r="A8" s="1" t="s">
        <v>4</v>
      </c>
    </row>
    <row r="10" spans="1:7" x14ac:dyDescent="0.25">
      <c r="A10" s="3" t="s">
        <v>5</v>
      </c>
    </row>
    <row r="11" spans="1:7" x14ac:dyDescent="0.25">
      <c r="A11" s="3" t="s">
        <v>6</v>
      </c>
      <c r="B11" s="3" t="s">
        <v>7</v>
      </c>
      <c r="C11" s="3" t="s">
        <v>8</v>
      </c>
      <c r="D11" s="3" t="s">
        <v>9</v>
      </c>
      <c r="E11" s="3" t="s">
        <v>10</v>
      </c>
      <c r="F11" s="3" t="s">
        <v>11</v>
      </c>
    </row>
    <row r="12" spans="1:7" x14ac:dyDescent="0.25">
      <c r="A12" s="4" t="s">
        <v>12</v>
      </c>
      <c r="B12" s="4" t="s">
        <v>13</v>
      </c>
      <c r="C12" s="5" t="s">
        <v>14</v>
      </c>
      <c r="D12" s="5" t="s">
        <v>15</v>
      </c>
      <c r="E12" s="5" t="s">
        <v>16</v>
      </c>
      <c r="F12" s="5" t="s">
        <v>17</v>
      </c>
    </row>
    <row r="13" spans="1:7" x14ac:dyDescent="0.25">
      <c r="A13" s="6" t="s">
        <v>18</v>
      </c>
      <c r="B13" s="6" t="s">
        <v>19</v>
      </c>
      <c r="C13" s="7" t="s">
        <v>20</v>
      </c>
      <c r="D13" s="7" t="s">
        <v>21</v>
      </c>
      <c r="E13" s="7" t="s">
        <v>22</v>
      </c>
      <c r="F13" s="7" t="s">
        <v>23</v>
      </c>
    </row>
    <row r="14" spans="1:7" x14ac:dyDescent="0.25">
      <c r="A14" s="4" t="s">
        <v>24</v>
      </c>
      <c r="B14" s="4" t="s">
        <v>25</v>
      </c>
      <c r="C14" s="5" t="s">
        <v>25</v>
      </c>
      <c r="D14" s="5" t="s">
        <v>25</v>
      </c>
      <c r="E14" s="5" t="s">
        <v>25</v>
      </c>
      <c r="F14" s="5" t="s">
        <v>25</v>
      </c>
    </row>
    <row r="15" spans="1:7" x14ac:dyDescent="0.25">
      <c r="A15" s="6" t="s">
        <v>26</v>
      </c>
      <c r="B15" s="6" t="s">
        <v>25</v>
      </c>
      <c r="C15" s="7" t="s">
        <v>25</v>
      </c>
      <c r="D15" s="7" t="s">
        <v>25</v>
      </c>
      <c r="E15" s="7" t="s">
        <v>25</v>
      </c>
      <c r="F15" s="7" t="s">
        <v>25</v>
      </c>
    </row>
    <row r="16" spans="1:7" x14ac:dyDescent="0.25">
      <c r="A16" s="4" t="s">
        <v>27</v>
      </c>
      <c r="B16" s="4" t="s">
        <v>28</v>
      </c>
      <c r="C16" s="5" t="s">
        <v>28</v>
      </c>
      <c r="D16" s="5" t="s">
        <v>28</v>
      </c>
      <c r="E16" s="5" t="s">
        <v>28</v>
      </c>
      <c r="F16" s="5" t="s">
        <v>28</v>
      </c>
    </row>
    <row r="17" spans="1:6" x14ac:dyDescent="0.25">
      <c r="A17" s="6" t="s">
        <v>29</v>
      </c>
      <c r="B17" s="6" t="s">
        <v>29</v>
      </c>
      <c r="C17" s="7" t="s">
        <v>29</v>
      </c>
      <c r="D17" s="7" t="s">
        <v>29</v>
      </c>
      <c r="E17" s="7" t="s">
        <v>29</v>
      </c>
      <c r="F17" s="7" t="s">
        <v>29</v>
      </c>
    </row>
    <row r="18" spans="1:6" x14ac:dyDescent="0.25">
      <c r="A18" s="4" t="s">
        <v>30</v>
      </c>
      <c r="B18" s="8" t="s">
        <v>31</v>
      </c>
      <c r="C18" s="9" t="s">
        <v>31</v>
      </c>
      <c r="D18" s="9" t="s">
        <v>31</v>
      </c>
      <c r="E18" s="9" t="s">
        <v>31</v>
      </c>
      <c r="F18" s="9" t="s">
        <v>31</v>
      </c>
    </row>
    <row r="21" spans="1:6" x14ac:dyDescent="0.25">
      <c r="A21" s="3" t="s">
        <v>32</v>
      </c>
    </row>
    <row r="22" spans="1:6" x14ac:dyDescent="0.25">
      <c r="A22" s="3" t="s">
        <v>6</v>
      </c>
      <c r="B22" s="3" t="s">
        <v>7</v>
      </c>
      <c r="C22" s="3" t="s">
        <v>8</v>
      </c>
      <c r="D22" s="3" t="s">
        <v>9</v>
      </c>
      <c r="E22" s="3" t="s">
        <v>10</v>
      </c>
      <c r="F22" s="3" t="s">
        <v>11</v>
      </c>
    </row>
    <row r="23" spans="1:6" x14ac:dyDescent="0.25">
      <c r="A23" s="6" t="s">
        <v>33</v>
      </c>
      <c r="B23" s="10">
        <v>1</v>
      </c>
      <c r="C23" s="11">
        <v>1</v>
      </c>
      <c r="D23" s="11">
        <v>1</v>
      </c>
      <c r="E23" s="11">
        <v>1</v>
      </c>
      <c r="F23" s="11">
        <v>1</v>
      </c>
    </row>
    <row r="26" spans="1:6" x14ac:dyDescent="0.25">
      <c r="A26" s="4" t="s">
        <v>34</v>
      </c>
      <c r="B26" s="12">
        <v>0.10630000000000001</v>
      </c>
      <c r="C26" s="13">
        <v>6.7799999999999999E-2</v>
      </c>
      <c r="D26" s="13">
        <v>6.5700000000000008E-2</v>
      </c>
      <c r="E26" s="13">
        <v>2.8199999999999999E-2</v>
      </c>
      <c r="F26" s="13">
        <v>4.9599999999999998E-2</v>
      </c>
    </row>
    <row r="27" spans="1:6" x14ac:dyDescent="0.25">
      <c r="A27" s="6" t="s">
        <v>35</v>
      </c>
      <c r="B27" s="14">
        <v>0.10630000000000001</v>
      </c>
      <c r="C27" s="15">
        <v>6.7799999999999999E-2</v>
      </c>
      <c r="D27" s="15">
        <v>6.5700000000000008E-2</v>
      </c>
      <c r="E27" s="15">
        <v>2.8199999999999999E-2</v>
      </c>
      <c r="F27" s="15">
        <v>4.9599999999999998E-2</v>
      </c>
    </row>
    <row r="28" spans="1:6" x14ac:dyDescent="0.25">
      <c r="A28" s="4" t="s">
        <v>36</v>
      </c>
      <c r="B28" s="12">
        <v>0.34449999999999997</v>
      </c>
      <c r="C28" s="13">
        <v>0.2175</v>
      </c>
      <c r="D28" s="13">
        <v>0.24</v>
      </c>
      <c r="E28" s="13">
        <v>0.1181</v>
      </c>
      <c r="F28" s="13">
        <v>0.19689999999999999</v>
      </c>
    </row>
    <row r="29" spans="1:6" x14ac:dyDescent="0.25">
      <c r="A29" s="6" t="s">
        <v>37</v>
      </c>
      <c r="B29" s="14">
        <v>0.34449999999999997</v>
      </c>
      <c r="C29" s="15">
        <v>0.2175</v>
      </c>
      <c r="D29" s="15">
        <v>0.24</v>
      </c>
      <c r="E29" s="15">
        <v>0.1181</v>
      </c>
      <c r="F29" s="15">
        <v>0.19689999999999999</v>
      </c>
    </row>
    <row r="30" spans="1:6" x14ac:dyDescent="0.25">
      <c r="A30" s="4" t="s">
        <v>38</v>
      </c>
      <c r="B30" s="12">
        <v>0.20349999999999999</v>
      </c>
      <c r="C30" s="13">
        <v>0.1045</v>
      </c>
      <c r="D30" s="13">
        <v>0.12570000000000001</v>
      </c>
      <c r="E30" s="13">
        <v>4.5199999999999997E-2</v>
      </c>
      <c r="F30" s="13">
        <v>9.4399999999999998E-2</v>
      </c>
    </row>
    <row r="31" spans="1:6" x14ac:dyDescent="0.25">
      <c r="A31" s="6" t="s">
        <v>39</v>
      </c>
      <c r="B31" s="14">
        <v>0.12920000000000001</v>
      </c>
      <c r="C31" s="15">
        <v>7.7800000000000008E-2</v>
      </c>
      <c r="D31" s="15">
        <v>8.2500000000000004E-2</v>
      </c>
      <c r="E31" s="15">
        <v>3.4799999999999998E-2</v>
      </c>
      <c r="F31" s="15">
        <v>6.5099999999999991E-2</v>
      </c>
    </row>
    <row r="32" spans="1:6" x14ac:dyDescent="0.25">
      <c r="A32" s="4" t="s">
        <v>40</v>
      </c>
      <c r="B32" s="12">
        <v>0.5151</v>
      </c>
      <c r="C32" s="13">
        <v>0.4803</v>
      </c>
      <c r="D32" s="13">
        <v>0.51890000000000003</v>
      </c>
      <c r="E32" s="13">
        <v>0.39510000000000001</v>
      </c>
      <c r="F32" s="13">
        <v>0.38269999999999998</v>
      </c>
    </row>
    <row r="33" spans="1:13" x14ac:dyDescent="0.25">
      <c r="A33" s="6" t="s">
        <v>41</v>
      </c>
      <c r="B33" s="14">
        <v>0.16259999999999999</v>
      </c>
      <c r="C33" s="15">
        <v>0.13569999999999999</v>
      </c>
      <c r="D33" s="15">
        <v>0.15409999999999999</v>
      </c>
      <c r="E33" s="15">
        <v>0.1368</v>
      </c>
      <c r="F33" s="15">
        <v>0.1676</v>
      </c>
    </row>
    <row r="34" spans="1:13" x14ac:dyDescent="0.25">
      <c r="A34" s="4" t="s">
        <v>42</v>
      </c>
      <c r="B34" s="12">
        <v>0.19600000000000001</v>
      </c>
      <c r="C34" s="13">
        <v>0.16789999999999999</v>
      </c>
      <c r="D34" s="13">
        <v>0.1946</v>
      </c>
      <c r="E34" s="13">
        <v>0.17150000000000001</v>
      </c>
      <c r="F34" s="13">
        <v>0.2029</v>
      </c>
    </row>
    <row r="35" spans="1:13" x14ac:dyDescent="0.25">
      <c r="A35" s="6" t="s">
        <v>43</v>
      </c>
      <c r="B35" s="14">
        <v>0.13370000000000001</v>
      </c>
      <c r="C35" s="15">
        <v>0.1182</v>
      </c>
      <c r="D35" s="15">
        <v>0.1227</v>
      </c>
      <c r="E35" s="15">
        <v>0.11070000000000001</v>
      </c>
      <c r="F35" s="15">
        <v>0.12759999999999999</v>
      </c>
    </row>
    <row r="36" spans="1:13" x14ac:dyDescent="0.25">
      <c r="C36" s="124"/>
      <c r="D36" s="124"/>
      <c r="E36" s="124"/>
      <c r="F36" s="124"/>
      <c r="L36" s="136"/>
      <c r="M36" s="136"/>
    </row>
    <row r="37" spans="1:13" x14ac:dyDescent="0.25">
      <c r="B37" s="139">
        <f>'EF Bombatex 2011-2015'!B94/'EF Bombatex 2011-2015'!B30</f>
        <v>6.3030921693587922</v>
      </c>
      <c r="C37" s="139">
        <f>'EF Bombatex 2011-2015'!C94/'EF Bombatex 2011-2015'!C30</f>
        <v>6.6458159666559791</v>
      </c>
      <c r="D37" s="139">
        <f>'EF Bombatex 2011-2015'!D94/'EF Bombatex 2011-2015'!D30</f>
        <v>8.3657951911350175</v>
      </c>
      <c r="E37" s="139">
        <f>'EF Bombatex 2011-2015'!E94/'EF Bombatex 2011-2015'!E30</f>
        <v>7.9208692936957119</v>
      </c>
      <c r="F37" s="139">
        <f>'EF Bombatex 2011-2015'!F94/'EF Bombatex 2011-2015'!F30</f>
        <v>6.9646355806236899</v>
      </c>
      <c r="G37" s="141"/>
    </row>
    <row r="38" spans="1:13" x14ac:dyDescent="0.25">
      <c r="A38" s="4" t="s">
        <v>44</v>
      </c>
      <c r="B38" s="16">
        <v>1.47</v>
      </c>
      <c r="C38" s="17">
        <v>1.7</v>
      </c>
      <c r="D38" s="17">
        <v>1.64</v>
      </c>
      <c r="E38" s="17">
        <v>1.95</v>
      </c>
      <c r="F38" s="17">
        <v>1.7</v>
      </c>
    </row>
    <row r="39" spans="1:13" x14ac:dyDescent="0.25">
      <c r="A39" s="6" t="s">
        <v>45</v>
      </c>
      <c r="B39" s="18">
        <v>6.3</v>
      </c>
      <c r="C39" s="19">
        <v>6.65</v>
      </c>
      <c r="D39" s="19">
        <v>8.3699999999999992</v>
      </c>
      <c r="E39" s="19">
        <v>7.92</v>
      </c>
      <c r="F39" s="19">
        <v>6.96</v>
      </c>
      <c r="G39" s="141"/>
    </row>
    <row r="40" spans="1:13" x14ac:dyDescent="0.25">
      <c r="A40" s="4" t="s">
        <v>46</v>
      </c>
      <c r="B40" s="16">
        <v>1.1299999999999999</v>
      </c>
      <c r="C40" s="17">
        <v>1.3</v>
      </c>
      <c r="D40" s="17">
        <v>1.28</v>
      </c>
      <c r="E40" s="17">
        <v>1.53</v>
      </c>
      <c r="F40" s="17">
        <v>1.28</v>
      </c>
    </row>
    <row r="41" spans="1:13" x14ac:dyDescent="0.25">
      <c r="A41" s="6" t="s">
        <v>47</v>
      </c>
      <c r="B41" s="18">
        <v>3.02</v>
      </c>
      <c r="C41" s="19">
        <v>2.63</v>
      </c>
      <c r="D41" s="19">
        <v>2.1</v>
      </c>
      <c r="E41" s="19">
        <v>1.71</v>
      </c>
      <c r="F41" s="19">
        <v>1.88</v>
      </c>
    </row>
    <row r="42" spans="1:13" x14ac:dyDescent="0.25">
      <c r="A42" s="4" t="s">
        <v>48</v>
      </c>
      <c r="B42" s="16">
        <v>0.82</v>
      </c>
      <c r="C42" s="17">
        <v>0.87</v>
      </c>
      <c r="D42" s="17">
        <v>0.8</v>
      </c>
      <c r="E42" s="17">
        <v>0.81</v>
      </c>
      <c r="F42" s="17">
        <v>0.76</v>
      </c>
    </row>
    <row r="43" spans="1:13" x14ac:dyDescent="0.25">
      <c r="A43" s="6" t="s">
        <v>45</v>
      </c>
      <c r="B43" s="18">
        <v>3.15</v>
      </c>
      <c r="C43" s="19">
        <v>8.1300000000000008</v>
      </c>
      <c r="D43" s="19">
        <v>33.909999999999997</v>
      </c>
      <c r="E43" s="19">
        <v>6.51</v>
      </c>
      <c r="F43" s="19">
        <v>7.08</v>
      </c>
      <c r="G43" s="140"/>
    </row>
    <row r="44" spans="1:13" x14ac:dyDescent="0.25">
      <c r="A44" s="4" t="s">
        <v>49</v>
      </c>
      <c r="B44" s="16">
        <v>22.97</v>
      </c>
      <c r="C44" s="17">
        <v>-44.38</v>
      </c>
      <c r="D44" s="17">
        <v>-7.57</v>
      </c>
      <c r="E44" s="17">
        <v>-3.47</v>
      </c>
      <c r="F44" s="17">
        <v>9.01</v>
      </c>
    </row>
    <row r="45" spans="1:13" x14ac:dyDescent="0.25">
      <c r="C45" s="1">
        <f>'EF Bombatex 2011-2015'!C39-'EF Bombatex 2011-2015'!B39+'EF Bombatex 2011-2015'!C95</f>
        <v>39301324.11625234</v>
      </c>
      <c r="D45" s="124">
        <f>'EF Bombatex 2011-2015'!D39-'EF Bombatex 2011-2015'!C39+'EF Bombatex 2011-2015'!D95</f>
        <v>44444521.309780873</v>
      </c>
      <c r="E45" s="124">
        <f>'EF Bombatex 2011-2015'!E39-'EF Bombatex 2011-2015'!D39+'EF Bombatex 2011-2015'!E95</f>
        <v>60229911.874476112</v>
      </c>
      <c r="F45" s="124">
        <f>'EF Bombatex 2011-2015'!F39-'EF Bombatex 2011-2015'!E39+'EF Bombatex 2011-2015'!F95</f>
        <v>81055078.432171434</v>
      </c>
    </row>
    <row r="46" spans="1:13" x14ac:dyDescent="0.25">
      <c r="C46" s="1">
        <f>C45/'EF Bombatex 2011-2015'!C59</f>
        <v>8.1259276520410779</v>
      </c>
      <c r="D46" s="124">
        <f>D45/'EF Bombatex 2011-2015'!D59</f>
        <v>33.914774423965888</v>
      </c>
      <c r="E46" s="139">
        <f>E45/'EF Bombatex 2011-2015'!E59</f>
        <v>6.5049965596349653</v>
      </c>
      <c r="F46" s="124">
        <f>F45/'EF Bombatex 2011-2015'!F59</f>
        <v>7.0817204595186007</v>
      </c>
      <c r="G46" s="140"/>
    </row>
    <row r="47" spans="1:13" x14ac:dyDescent="0.25">
      <c r="A47" s="6" t="s">
        <v>50</v>
      </c>
      <c r="B47" s="20">
        <v>1518139</v>
      </c>
      <c r="C47" s="21">
        <v>1695768</v>
      </c>
      <c r="D47" s="21">
        <v>1770193</v>
      </c>
      <c r="E47" s="21">
        <v>1836366</v>
      </c>
      <c r="F47" s="21">
        <v>2284251</v>
      </c>
    </row>
    <row r="48" spans="1:13" x14ac:dyDescent="0.25">
      <c r="A48" s="4" t="s">
        <v>51</v>
      </c>
      <c r="B48" s="22">
        <v>-3246148</v>
      </c>
      <c r="C48" s="23">
        <v>-3667473</v>
      </c>
      <c r="D48" s="23">
        <v>-4453980</v>
      </c>
      <c r="E48" s="23">
        <v>-5807984</v>
      </c>
      <c r="F48" s="23">
        <v>-6493914</v>
      </c>
    </row>
    <row r="49" spans="1:6" x14ac:dyDescent="0.25">
      <c r="A49" s="6" t="s">
        <v>52</v>
      </c>
      <c r="B49" s="20">
        <v>887408</v>
      </c>
      <c r="C49" s="21">
        <v>1744106</v>
      </c>
      <c r="D49" s="21">
        <v>1347035</v>
      </c>
      <c r="E49" s="21">
        <v>2887845</v>
      </c>
      <c r="F49" s="21">
        <v>2155926</v>
      </c>
    </row>
    <row r="50" spans="1:6" x14ac:dyDescent="0.25">
      <c r="A50" s="4" t="s">
        <v>53</v>
      </c>
      <c r="B50" s="22">
        <v>176901</v>
      </c>
      <c r="C50" s="23">
        <v>-107417</v>
      </c>
      <c r="D50" s="23">
        <v>-683745</v>
      </c>
      <c r="E50" s="23">
        <v>-1808123</v>
      </c>
      <c r="F50" s="23">
        <v>771982</v>
      </c>
    </row>
    <row r="51" spans="1:6" x14ac:dyDescent="0.25">
      <c r="A51" s="6" t="s">
        <v>54</v>
      </c>
      <c r="B51" s="20">
        <v>660492</v>
      </c>
      <c r="C51" s="21">
        <v>646902</v>
      </c>
      <c r="D51" s="21">
        <v>798225</v>
      </c>
      <c r="E51" s="21">
        <v>856914</v>
      </c>
      <c r="F51" s="21">
        <v>1165888</v>
      </c>
    </row>
    <row r="52" spans="1:6" x14ac:dyDescent="0.25">
      <c r="A52" s="4" t="s">
        <v>55</v>
      </c>
      <c r="B52" s="22">
        <v>796144</v>
      </c>
      <c r="C52" s="23">
        <v>800694</v>
      </c>
      <c r="D52" s="23">
        <v>1007714</v>
      </c>
      <c r="E52" s="23">
        <v>1074350</v>
      </c>
      <c r="F52" s="23">
        <v>1411903</v>
      </c>
    </row>
    <row r="55" spans="1:6" x14ac:dyDescent="0.25">
      <c r="A55" s="6" t="s">
        <v>56</v>
      </c>
      <c r="B55" s="18">
        <v>1.05</v>
      </c>
      <c r="C55" s="19">
        <v>0.97</v>
      </c>
      <c r="D55" s="19">
        <v>0.86</v>
      </c>
      <c r="E55" s="19">
        <v>0.69</v>
      </c>
      <c r="F55" s="19">
        <v>1.17</v>
      </c>
    </row>
    <row r="56" spans="1:6" x14ac:dyDescent="0.25">
      <c r="A56" s="4" t="s">
        <v>57</v>
      </c>
      <c r="B56" s="16">
        <v>0.24</v>
      </c>
      <c r="C56" s="17">
        <v>0.23</v>
      </c>
      <c r="D56" s="17">
        <v>0.19</v>
      </c>
      <c r="E56" s="17">
        <v>0.15</v>
      </c>
      <c r="F56" s="17">
        <v>0.28999999999999998</v>
      </c>
    </row>
    <row r="57" spans="1:6" x14ac:dyDescent="0.25">
      <c r="A57" s="6" t="s">
        <v>58</v>
      </c>
      <c r="B57" s="18">
        <v>0.05</v>
      </c>
      <c r="C57" s="19">
        <v>0.03</v>
      </c>
      <c r="D57" s="19">
        <v>0.06</v>
      </c>
      <c r="E57" s="19">
        <v>0.01</v>
      </c>
      <c r="F57" s="19">
        <v>7.0000000000000007E-2</v>
      </c>
    </row>
    <row r="58" spans="1:6" x14ac:dyDescent="0.25">
      <c r="A58" s="4" t="s">
        <v>59</v>
      </c>
      <c r="B58" s="16">
        <v>0.05</v>
      </c>
      <c r="C58" s="17">
        <v>0.03</v>
      </c>
      <c r="D58" s="17">
        <v>0.06</v>
      </c>
      <c r="E58" s="17">
        <v>0.01</v>
      </c>
      <c r="F58" s="17">
        <v>7.0000000000000007E-2</v>
      </c>
    </row>
    <row r="59" spans="1:6" x14ac:dyDescent="0.25">
      <c r="A59" s="6" t="s">
        <v>60</v>
      </c>
      <c r="B59" s="6" t="s">
        <v>61</v>
      </c>
      <c r="C59" s="7" t="s">
        <v>61</v>
      </c>
      <c r="D59" s="7" t="s">
        <v>61</v>
      </c>
      <c r="E59" s="7" t="s">
        <v>61</v>
      </c>
      <c r="F59" s="19">
        <v>0.52</v>
      </c>
    </row>
    <row r="62" spans="1:6" x14ac:dyDescent="0.25">
      <c r="A62" s="4" t="s">
        <v>62</v>
      </c>
      <c r="B62" s="12">
        <v>0.21379999999999999</v>
      </c>
      <c r="C62" s="13">
        <v>0.33689999999999998</v>
      </c>
      <c r="D62" s="13">
        <v>0.24879999999999999</v>
      </c>
      <c r="E62" s="13">
        <v>0.38419999999999999</v>
      </c>
      <c r="F62" s="13">
        <v>0.27350000000000002</v>
      </c>
    </row>
    <row r="63" spans="1:6" x14ac:dyDescent="0.25">
      <c r="A63" s="6" t="s">
        <v>63</v>
      </c>
      <c r="B63" s="14">
        <v>0.69269999999999998</v>
      </c>
      <c r="C63" s="15">
        <v>1.0811999999999999</v>
      </c>
      <c r="D63" s="15">
        <v>0.90930000000000011</v>
      </c>
      <c r="E63" s="15">
        <v>1.6099000000000001</v>
      </c>
      <c r="F63" s="15">
        <v>1.0859000000000001</v>
      </c>
    </row>
    <row r="64" spans="1:6" x14ac:dyDescent="0.25">
      <c r="A64" s="4" t="s">
        <v>64</v>
      </c>
      <c r="B64" s="12" t="s">
        <v>65</v>
      </c>
      <c r="C64" s="13" t="s">
        <v>65</v>
      </c>
      <c r="D64" s="13" t="s">
        <v>65</v>
      </c>
      <c r="E64" s="13" t="s">
        <v>65</v>
      </c>
      <c r="F64" s="13" t="s">
        <v>65</v>
      </c>
    </row>
    <row r="65" spans="1:6" x14ac:dyDescent="0.25">
      <c r="A65" s="6" t="s">
        <v>66</v>
      </c>
      <c r="B65" s="14">
        <v>-0.01</v>
      </c>
      <c r="C65" s="15">
        <v>-4.4970999999999997</v>
      </c>
      <c r="D65" s="15">
        <v>1.089</v>
      </c>
      <c r="E65" s="15">
        <v>-6.8836000000000004</v>
      </c>
      <c r="F65" s="15">
        <v>2.1978</v>
      </c>
    </row>
    <row r="66" spans="1:6" x14ac:dyDescent="0.25">
      <c r="A66" s="4" t="s">
        <v>67</v>
      </c>
      <c r="B66" s="16">
        <v>3.24</v>
      </c>
      <c r="C66" s="17">
        <v>3.21</v>
      </c>
      <c r="D66" s="17">
        <v>3.65</v>
      </c>
      <c r="E66" s="17">
        <v>4.1900000000000004</v>
      </c>
      <c r="F66" s="17">
        <v>3.97</v>
      </c>
    </row>
    <row r="69" spans="1:6" x14ac:dyDescent="0.25">
      <c r="A69" s="6" t="s">
        <v>68</v>
      </c>
      <c r="B69" s="14">
        <v>0.30420000000000003</v>
      </c>
      <c r="C69" s="15">
        <v>0.1734</v>
      </c>
      <c r="D69" s="15">
        <v>8.6300000000000002E-2</v>
      </c>
      <c r="E69" s="15">
        <v>0.20979999999999999</v>
      </c>
      <c r="F69" s="15">
        <v>0.1105</v>
      </c>
    </row>
    <row r="70" spans="1:6" x14ac:dyDescent="0.25">
      <c r="A70" s="4" t="s">
        <v>69</v>
      </c>
      <c r="B70" s="12">
        <v>0.30420000000000003</v>
      </c>
      <c r="C70" s="13">
        <v>0.1734</v>
      </c>
      <c r="D70" s="13">
        <v>8.6300000000000002E-2</v>
      </c>
      <c r="E70" s="13">
        <v>0.20979999999999999</v>
      </c>
      <c r="F70" s="13">
        <v>0.1105</v>
      </c>
    </row>
    <row r="71" spans="1:6" x14ac:dyDescent="0.25">
      <c r="A71" s="6" t="s">
        <v>70</v>
      </c>
      <c r="B71" s="14">
        <v>0.2928</v>
      </c>
      <c r="C71" s="15">
        <v>9.4299999999999995E-2</v>
      </c>
      <c r="D71" s="15">
        <v>0.17349999999999999</v>
      </c>
      <c r="E71" s="15">
        <v>-7.8799999999999995E-2</v>
      </c>
      <c r="F71" s="15">
        <v>7.5700000000000003E-2</v>
      </c>
    </row>
    <row r="72" spans="1:6" x14ac:dyDescent="0.25">
      <c r="A72" s="4" t="s">
        <v>71</v>
      </c>
      <c r="B72" s="12">
        <v>0.18870000000000001</v>
      </c>
      <c r="C72" s="13">
        <v>5.6999999999999993E-3</v>
      </c>
      <c r="D72" s="13">
        <v>0.2586</v>
      </c>
      <c r="E72" s="13">
        <v>6.6100000000000006E-2</v>
      </c>
      <c r="F72" s="13">
        <v>0.31419999999999998</v>
      </c>
    </row>
    <row r="73" spans="1:6" x14ac:dyDescent="0.25">
      <c r="A73" s="6" t="s">
        <v>72</v>
      </c>
      <c r="B73" s="14">
        <v>0.18659999999999999</v>
      </c>
      <c r="C73" s="15">
        <v>-2.06E-2</v>
      </c>
      <c r="D73" s="15">
        <v>0.2339</v>
      </c>
      <c r="E73" s="15">
        <v>7.3499999999999996E-2</v>
      </c>
      <c r="F73" s="15">
        <v>0.36059999999999998</v>
      </c>
    </row>
    <row r="74" spans="1:6" x14ac:dyDescent="0.25">
      <c r="A74" s="4" t="s">
        <v>73</v>
      </c>
      <c r="B74" s="12">
        <v>0.1794</v>
      </c>
      <c r="C74" s="13">
        <v>-0.29360000000000003</v>
      </c>
      <c r="D74" s="13">
        <v>0.1522</v>
      </c>
      <c r="E74" s="13">
        <v>-0.48930000000000001</v>
      </c>
      <c r="F74" s="13">
        <v>1.0762</v>
      </c>
    </row>
    <row r="75" spans="1:6" x14ac:dyDescent="0.25">
      <c r="A75" s="6" t="s">
        <v>74</v>
      </c>
      <c r="B75" s="14">
        <v>0.38900000000000001</v>
      </c>
      <c r="C75" s="15">
        <v>0.1129</v>
      </c>
      <c r="D75" s="15">
        <v>-0.13700000000000001</v>
      </c>
      <c r="E75" s="15">
        <v>0.27779999999999999</v>
      </c>
      <c r="F75" s="15">
        <v>0.26300000000000001</v>
      </c>
    </row>
    <row r="76" spans="1:6" x14ac:dyDescent="0.25">
      <c r="A76" s="4" t="s">
        <v>75</v>
      </c>
      <c r="B76" s="12">
        <v>0.495</v>
      </c>
      <c r="C76" s="13">
        <v>1.2E-2</v>
      </c>
      <c r="D76" s="13">
        <v>0.124</v>
      </c>
      <c r="E76" s="13">
        <v>1.83E-2</v>
      </c>
      <c r="F76" s="13">
        <v>0.2752</v>
      </c>
    </row>
    <row r="77" spans="1:6" x14ac:dyDescent="0.25">
      <c r="A77" s="6" t="s">
        <v>76</v>
      </c>
      <c r="B77" s="14">
        <v>0.17760000000000001</v>
      </c>
      <c r="C77" s="15">
        <v>0.4904</v>
      </c>
      <c r="D77" s="15">
        <v>0.371</v>
      </c>
      <c r="E77" s="15">
        <v>0.50280000000000002</v>
      </c>
      <c r="F77" s="15">
        <v>1.2E-2</v>
      </c>
    </row>
    <row r="78" spans="1:6" x14ac:dyDescent="0.25">
      <c r="A78" s="4" t="s">
        <v>77</v>
      </c>
      <c r="B78" s="12">
        <v>0.39300000000000002</v>
      </c>
      <c r="C78" s="13">
        <v>0.10780000000000001</v>
      </c>
      <c r="D78" s="13">
        <v>0.18920000000000001</v>
      </c>
      <c r="E78" s="13">
        <v>0.1903</v>
      </c>
      <c r="F78" s="13">
        <v>0.18010000000000001</v>
      </c>
    </row>
    <row r="79" spans="1:6" x14ac:dyDescent="0.25">
      <c r="A79" s="6" t="s">
        <v>78</v>
      </c>
      <c r="B79" s="14">
        <v>0.34749999999999998</v>
      </c>
      <c r="C79" s="15">
        <v>0.11700000000000001</v>
      </c>
      <c r="D79" s="15">
        <v>4.3899999999999988E-2</v>
      </c>
      <c r="E79" s="15">
        <v>3.7400000000000003E-2</v>
      </c>
      <c r="F79" s="15">
        <v>0.24390000000000001</v>
      </c>
    </row>
    <row r="80" spans="1:6" x14ac:dyDescent="0.25">
      <c r="A80" s="4" t="s">
        <v>79</v>
      </c>
      <c r="B80" s="12">
        <v>0.35260000000000002</v>
      </c>
      <c r="C80" s="13">
        <v>0.11849999999999999</v>
      </c>
      <c r="D80" s="13">
        <v>4.4400000000000002E-2</v>
      </c>
      <c r="E80" s="13">
        <v>3.8199999999999998E-2</v>
      </c>
      <c r="F80" s="13">
        <v>0.24510000000000001</v>
      </c>
    </row>
    <row r="81" spans="1:6" x14ac:dyDescent="0.25">
      <c r="A81" s="6" t="s">
        <v>80</v>
      </c>
      <c r="B81" s="14">
        <v>-1.2758</v>
      </c>
      <c r="C81" s="15">
        <v>5.0389999999999997</v>
      </c>
      <c r="D81" s="15">
        <v>-4.6271000000000004</v>
      </c>
      <c r="E81" s="15">
        <v>-1.2907999999999999</v>
      </c>
      <c r="F81" s="15">
        <v>-3.6305000000000001</v>
      </c>
    </row>
    <row r="82" spans="1:6" x14ac:dyDescent="0.25">
      <c r="A82" s="4" t="s">
        <v>81</v>
      </c>
      <c r="B82" s="12">
        <v>1.0595000000000001</v>
      </c>
      <c r="C82" s="13">
        <v>-0.64639999999999997</v>
      </c>
      <c r="D82" s="13">
        <v>5.7122000000000002</v>
      </c>
      <c r="E82" s="13">
        <v>-1</v>
      </c>
      <c r="F82" s="5" t="s">
        <v>61</v>
      </c>
    </row>
    <row r="85" spans="1:6" x14ac:dyDescent="0.25">
      <c r="A85" s="6" t="s">
        <v>82</v>
      </c>
      <c r="B85" s="18">
        <v>-0.06</v>
      </c>
      <c r="C85" s="19">
        <v>-0.22</v>
      </c>
      <c r="D85" s="19">
        <v>0.92</v>
      </c>
      <c r="E85" s="19">
        <v>-0.15</v>
      </c>
      <c r="F85" s="19">
        <v>0.46</v>
      </c>
    </row>
    <row r="88" spans="1:6" x14ac:dyDescent="0.25">
      <c r="A88" s="4" t="s">
        <v>83</v>
      </c>
      <c r="B88" s="12">
        <v>-1.67E-2</v>
      </c>
      <c r="C88" s="13">
        <v>-8.5999999999999993E-2</v>
      </c>
      <c r="D88" s="13">
        <v>0.28699999999999998</v>
      </c>
      <c r="E88" s="13">
        <v>-6.9000000000000006E-2</v>
      </c>
      <c r="F88" s="13">
        <v>0.16339999999999999</v>
      </c>
    </row>
    <row r="89" spans="1:6" x14ac:dyDescent="0.25">
      <c r="A89" s="6" t="s">
        <v>84</v>
      </c>
      <c r="B89" s="14">
        <v>-1.37E-2</v>
      </c>
      <c r="C89" s="15">
        <v>-7.4900000000000008E-2</v>
      </c>
      <c r="D89" s="15">
        <v>0.22850000000000001</v>
      </c>
      <c r="E89" s="15">
        <v>-5.5800000000000002E-2</v>
      </c>
      <c r="F89" s="15">
        <v>0.1244</v>
      </c>
    </row>
    <row r="90" spans="1:6" x14ac:dyDescent="0.25">
      <c r="A90" s="4" t="s">
        <v>85</v>
      </c>
      <c r="B90" s="12">
        <v>-4.4499999999999998E-2</v>
      </c>
      <c r="C90" s="13">
        <v>-0.2404</v>
      </c>
      <c r="D90" s="13">
        <v>0.83499999999999996</v>
      </c>
      <c r="E90" s="13">
        <v>-0.2339</v>
      </c>
      <c r="F90" s="13">
        <v>0.49409999999999998</v>
      </c>
    </row>
    <row r="91" spans="1:6" x14ac:dyDescent="0.25">
      <c r="A91" s="6" t="s">
        <v>86</v>
      </c>
      <c r="B91" s="14">
        <v>-0.1027</v>
      </c>
      <c r="C91" s="15">
        <v>-0.63350000000000006</v>
      </c>
      <c r="D91" s="15">
        <v>1.8622000000000001</v>
      </c>
      <c r="E91" s="15">
        <v>-0.50439999999999996</v>
      </c>
      <c r="F91" s="15">
        <v>0.97519999999999996</v>
      </c>
    </row>
    <row r="94" spans="1:6" x14ac:dyDescent="0.25">
      <c r="A94" s="4" t="s">
        <v>87</v>
      </c>
      <c r="B94" s="12">
        <v>3.4099999999999998E-2</v>
      </c>
      <c r="C94" s="13">
        <v>1.8100000000000002E-2</v>
      </c>
      <c r="D94" s="13">
        <v>4.1799999999999997E-2</v>
      </c>
      <c r="E94" s="13">
        <v>1.1299999999999999E-2</v>
      </c>
      <c r="F94" s="13">
        <v>3.7499999999999999E-2</v>
      </c>
    </row>
    <row r="95" spans="1:6" x14ac:dyDescent="0.25">
      <c r="A95" s="6" t="s">
        <v>88</v>
      </c>
      <c r="B95" s="14">
        <v>0.1305</v>
      </c>
      <c r="C95" s="15">
        <v>0.13109999999999999</v>
      </c>
      <c r="D95" s="15">
        <v>9.5199999999999993E-2</v>
      </c>
      <c r="E95" s="15">
        <v>0.1022</v>
      </c>
      <c r="F95" s="15">
        <v>0.10929999999999999</v>
      </c>
    </row>
    <row r="96" spans="1:6" x14ac:dyDescent="0.25">
      <c r="A96" s="4" t="s">
        <v>89</v>
      </c>
      <c r="B96" s="12">
        <v>0.56100000000000005</v>
      </c>
      <c r="C96" s="13">
        <v>0.51239999999999997</v>
      </c>
      <c r="D96" s="13">
        <v>0.4844</v>
      </c>
      <c r="E96" s="13">
        <v>0.41439999999999999</v>
      </c>
      <c r="F96" s="13">
        <v>0.44779999999999998</v>
      </c>
    </row>
    <row r="97" spans="1:6" x14ac:dyDescent="0.25">
      <c r="A97" s="6" t="s">
        <v>90</v>
      </c>
      <c r="B97" s="14">
        <v>0.27279999999999999</v>
      </c>
      <c r="C97" s="15">
        <v>0.33119999999999999</v>
      </c>
      <c r="D97" s="15">
        <v>0.37869999999999998</v>
      </c>
      <c r="E97" s="15">
        <v>0.47220000000000001</v>
      </c>
      <c r="F97" s="15">
        <v>0.40529999999999999</v>
      </c>
    </row>
    <row r="98" spans="1:6" x14ac:dyDescent="0.25">
      <c r="A98" s="4" t="s">
        <v>91</v>
      </c>
      <c r="B98" s="12">
        <v>1</v>
      </c>
      <c r="C98" s="13">
        <v>1</v>
      </c>
      <c r="D98" s="13">
        <v>1</v>
      </c>
      <c r="E98" s="13">
        <v>1</v>
      </c>
      <c r="F98" s="13">
        <v>0.68189999999999995</v>
      </c>
    </row>
    <row r="101" spans="1:6" x14ac:dyDescent="0.25">
      <c r="A101" s="6" t="s">
        <v>92</v>
      </c>
      <c r="B101" s="14">
        <v>0.35070000000000001</v>
      </c>
      <c r="C101" s="15">
        <v>0.34039999999999998</v>
      </c>
      <c r="D101" s="15">
        <v>0.33860000000000001</v>
      </c>
      <c r="E101" s="15">
        <v>0.25619999999999998</v>
      </c>
      <c r="F101" s="15">
        <v>0.20610000000000001</v>
      </c>
    </row>
    <row r="102" spans="1:6" x14ac:dyDescent="0.25">
      <c r="A102" s="4" t="s">
        <v>93</v>
      </c>
      <c r="B102" s="12">
        <v>3.3399999999999999E-2</v>
      </c>
      <c r="C102" s="13">
        <v>3.2300000000000002E-2</v>
      </c>
      <c r="D102" s="13">
        <v>4.0399999999999998E-2</v>
      </c>
      <c r="E102" s="13">
        <v>3.4700000000000002E-2</v>
      </c>
      <c r="F102" s="13">
        <v>3.5400000000000001E-2</v>
      </c>
    </row>
    <row r="103" spans="1:6" x14ac:dyDescent="0.25">
      <c r="A103" s="6" t="s">
        <v>94</v>
      </c>
      <c r="B103" s="14" t="s">
        <v>65</v>
      </c>
      <c r="C103" s="15" t="s">
        <v>65</v>
      </c>
      <c r="D103" s="15" t="s">
        <v>65</v>
      </c>
      <c r="E103" s="15" t="s">
        <v>65</v>
      </c>
      <c r="F103" s="15">
        <v>4.7199999999999999E-2</v>
      </c>
    </row>
    <row r="106" spans="1:6" x14ac:dyDescent="0.25">
      <c r="A106" s="4" t="s">
        <v>95</v>
      </c>
      <c r="B106" s="12">
        <v>-0.69059999999999999</v>
      </c>
      <c r="C106" s="13">
        <v>5.9057000000000004</v>
      </c>
      <c r="D106" s="13">
        <v>8.6030999999999995</v>
      </c>
      <c r="E106" s="13">
        <v>2.3475000000000001</v>
      </c>
      <c r="F106" s="13">
        <v>4.4500999999999999</v>
      </c>
    </row>
    <row r="107" spans="1:6" x14ac:dyDescent="0.25">
      <c r="A107" s="6" t="s">
        <v>96</v>
      </c>
      <c r="B107" s="14">
        <v>-3.1932999999999998</v>
      </c>
      <c r="C107" s="15">
        <v>2.3597000000000001</v>
      </c>
      <c r="D107" s="15">
        <v>-4.1589</v>
      </c>
      <c r="E107" s="15" t="s">
        <v>65</v>
      </c>
      <c r="F107" s="15">
        <v>-1.5854999999999999</v>
      </c>
    </row>
    <row r="108" spans="1:6" x14ac:dyDescent="0.25">
      <c r="A108" s="4" t="s">
        <v>97</v>
      </c>
      <c r="B108" s="12">
        <v>4.8838999999999997</v>
      </c>
      <c r="C108" s="13">
        <v>-7.2653999999999996</v>
      </c>
      <c r="D108" s="13">
        <v>-3.4441999999999999</v>
      </c>
      <c r="E108" s="13">
        <v>-1.3577999999999999</v>
      </c>
      <c r="F108" s="13">
        <v>-1.8646</v>
      </c>
    </row>
    <row r="111" spans="1:6" x14ac:dyDescent="0.25">
      <c r="A111" s="3" t="s">
        <v>98</v>
      </c>
    </row>
    <row r="112" spans="1:6" x14ac:dyDescent="0.25">
      <c r="A112" s="3" t="s">
        <v>6</v>
      </c>
      <c r="B112" s="3" t="s">
        <v>7</v>
      </c>
      <c r="C112" s="3" t="s">
        <v>8</v>
      </c>
      <c r="D112" s="3" t="s">
        <v>9</v>
      </c>
      <c r="E112" s="3" t="s">
        <v>10</v>
      </c>
      <c r="F112" s="3" t="s">
        <v>11</v>
      </c>
    </row>
    <row r="115" spans="1:6" x14ac:dyDescent="0.25">
      <c r="A115" s="6" t="s">
        <v>29</v>
      </c>
      <c r="B115" s="6" t="s">
        <v>29</v>
      </c>
      <c r="C115" s="7" t="s">
        <v>29</v>
      </c>
      <c r="D115" s="7" t="s">
        <v>29</v>
      </c>
      <c r="E115" s="7" t="s">
        <v>29</v>
      </c>
      <c r="F115" s="7" t="s">
        <v>29</v>
      </c>
    </row>
    <row r="116" spans="1:6" x14ac:dyDescent="0.25">
      <c r="A116" s="4" t="s">
        <v>99</v>
      </c>
      <c r="B116" s="4" t="s">
        <v>100</v>
      </c>
      <c r="C116" s="5" t="s">
        <v>100</v>
      </c>
      <c r="D116" s="5" t="s">
        <v>100</v>
      </c>
      <c r="E116" s="5" t="s">
        <v>100</v>
      </c>
      <c r="F116" s="5" t="s">
        <v>100</v>
      </c>
    </row>
    <row r="117" spans="1:6" x14ac:dyDescent="0.25">
      <c r="A117" s="6" t="s">
        <v>101</v>
      </c>
      <c r="B117" s="6" t="s">
        <v>102</v>
      </c>
      <c r="C117" s="7" t="s">
        <v>102</v>
      </c>
      <c r="D117" s="7" t="s">
        <v>102</v>
      </c>
      <c r="E117" s="7" t="s">
        <v>102</v>
      </c>
      <c r="F117" s="7" t="s">
        <v>102</v>
      </c>
    </row>
    <row r="120" spans="1:6" x14ac:dyDescent="0.25">
      <c r="A120" s="1" t="s">
        <v>103</v>
      </c>
    </row>
    <row r="121" spans="1:6" x14ac:dyDescent="0.25">
      <c r="A121" s="1" t="s">
        <v>104</v>
      </c>
    </row>
    <row r="122" spans="1:6" x14ac:dyDescent="0.25">
      <c r="A122" s="1" t="s">
        <v>105</v>
      </c>
    </row>
  </sheetData>
  <sheetProtection formatCells="0" formatColumns="0" formatRows="0" insertColumns="0" insertRows="0" insertHyperlinks="0" deleteColumns="0" deleteRows="0" sort="0" autoFilter="0" pivotTables="0"/>
  <mergeCells count="1">
    <mergeCell ref="A7:G7"/>
  </mergeCells>
  <hyperlinks>
    <hyperlink ref="B18" r:id="rId1"/>
    <hyperlink ref="C18" r:id="rId2"/>
    <hyperlink ref="D18" r:id="rId3"/>
    <hyperlink ref="E18" r:id="rId4"/>
    <hyperlink ref="F18" r:id="rId5"/>
  </hyperlinks>
  <pageMargins left="0.7" right="0.7" top="0.75" bottom="0.75" header="0.3" footer="0.3"/>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K182"/>
  <sheetViews>
    <sheetView showGridLines="0" topLeftCell="A118" workbookViewId="0">
      <selection activeCell="G32" sqref="G32:K32"/>
    </sheetView>
  </sheetViews>
  <sheetFormatPr baseColWidth="10" defaultColWidth="9.125" defaultRowHeight="15" x14ac:dyDescent="0.25"/>
  <cols>
    <col min="1" max="1" width="50" style="27" customWidth="1"/>
    <col min="2" max="5" width="20" style="27" customWidth="1"/>
    <col min="6" max="6" width="9.125" style="27"/>
    <col min="7" max="7" width="11.75" style="27" bestFit="1" customWidth="1"/>
    <col min="8" max="10" width="10.125" style="27" bestFit="1" customWidth="1"/>
    <col min="11" max="11" width="9.875" style="27" bestFit="1" customWidth="1"/>
    <col min="12" max="16384" width="9.125" style="27"/>
  </cols>
  <sheetData>
    <row r="2" spans="1:7" x14ac:dyDescent="0.25">
      <c r="G2" s="28" t="s">
        <v>0</v>
      </c>
    </row>
    <row r="3" spans="1:7" x14ac:dyDescent="0.25">
      <c r="G3" s="28" t="s">
        <v>1</v>
      </c>
    </row>
    <row r="4" spans="1:7" x14ac:dyDescent="0.25">
      <c r="G4" s="28" t="s">
        <v>2</v>
      </c>
    </row>
    <row r="5" spans="1:7" x14ac:dyDescent="0.25">
      <c r="G5" s="28" t="s">
        <v>3</v>
      </c>
    </row>
    <row r="7" spans="1:7" ht="20.100000000000001" customHeight="1" x14ac:dyDescent="0.25">
      <c r="A7" s="645" t="s">
        <v>260</v>
      </c>
      <c r="B7" s="646"/>
      <c r="C7" s="646"/>
      <c r="D7" s="646"/>
      <c r="E7" s="646"/>
      <c r="F7" s="646"/>
      <c r="G7" s="646"/>
    </row>
    <row r="8" spans="1:7" x14ac:dyDescent="0.25">
      <c r="A8" s="27" t="s">
        <v>4</v>
      </c>
    </row>
    <row r="10" spans="1:7" x14ac:dyDescent="0.25">
      <c r="A10" s="29" t="s">
        <v>5</v>
      </c>
    </row>
    <row r="11" spans="1:7" x14ac:dyDescent="0.25">
      <c r="A11" s="29" t="s">
        <v>6</v>
      </c>
      <c r="B11" s="29" t="s">
        <v>7</v>
      </c>
      <c r="C11" s="29" t="s">
        <v>8</v>
      </c>
      <c r="D11" s="29" t="s">
        <v>9</v>
      </c>
      <c r="E11" s="29" t="s">
        <v>10</v>
      </c>
    </row>
    <row r="12" spans="1:7" x14ac:dyDescent="0.25">
      <c r="A12" s="30" t="s">
        <v>12</v>
      </c>
      <c r="B12" s="31">
        <v>2011</v>
      </c>
      <c r="C12" s="32">
        <v>2012</v>
      </c>
      <c r="D12" s="32">
        <v>2013</v>
      </c>
      <c r="E12" s="32">
        <v>2014</v>
      </c>
    </row>
    <row r="13" spans="1:7" x14ac:dyDescent="0.25">
      <c r="A13" s="33" t="s">
        <v>18</v>
      </c>
      <c r="B13" s="34">
        <v>2011</v>
      </c>
      <c r="C13" s="35">
        <v>2012</v>
      </c>
      <c r="D13" s="35">
        <v>2013</v>
      </c>
      <c r="E13" s="35">
        <v>2014</v>
      </c>
    </row>
    <row r="14" spans="1:7" x14ac:dyDescent="0.25">
      <c r="A14" s="30" t="s">
        <v>24</v>
      </c>
      <c r="B14" s="30" t="s">
        <v>25</v>
      </c>
      <c r="C14" s="36" t="s">
        <v>25</v>
      </c>
      <c r="D14" s="36" t="s">
        <v>25</v>
      </c>
      <c r="E14" s="36" t="s">
        <v>25</v>
      </c>
    </row>
    <row r="15" spans="1:7" x14ac:dyDescent="0.25">
      <c r="A15" s="33" t="s">
        <v>26</v>
      </c>
      <c r="B15" s="33" t="s">
        <v>25</v>
      </c>
      <c r="C15" s="37" t="s">
        <v>25</v>
      </c>
      <c r="D15" s="37" t="s">
        <v>25</v>
      </c>
      <c r="E15" s="37" t="s">
        <v>25</v>
      </c>
    </row>
    <row r="16" spans="1:7" x14ac:dyDescent="0.25">
      <c r="A16" s="30" t="s">
        <v>27</v>
      </c>
      <c r="B16" s="30" t="s">
        <v>28</v>
      </c>
      <c r="C16" s="36" t="s">
        <v>28</v>
      </c>
      <c r="D16" s="36" t="s">
        <v>28</v>
      </c>
      <c r="E16" s="36" t="s">
        <v>28</v>
      </c>
    </row>
    <row r="17" spans="1:11" x14ac:dyDescent="0.25">
      <c r="A17" s="33" t="s">
        <v>29</v>
      </c>
      <c r="B17" s="33" t="s">
        <v>29</v>
      </c>
      <c r="C17" s="37" t="s">
        <v>29</v>
      </c>
      <c r="D17" s="37" t="s">
        <v>29</v>
      </c>
      <c r="E17" s="37" t="s">
        <v>29</v>
      </c>
    </row>
    <row r="18" spans="1:11" x14ac:dyDescent="0.25">
      <c r="A18" s="30" t="s">
        <v>30</v>
      </c>
      <c r="B18" s="38" t="s">
        <v>31</v>
      </c>
      <c r="C18" s="39" t="s">
        <v>31</v>
      </c>
      <c r="D18" s="39" t="s">
        <v>31</v>
      </c>
      <c r="E18" s="39" t="s">
        <v>31</v>
      </c>
    </row>
    <row r="21" spans="1:11" x14ac:dyDescent="0.25">
      <c r="A21" s="29" t="s">
        <v>108</v>
      </c>
    </row>
    <row r="22" spans="1:11" x14ac:dyDescent="0.25">
      <c r="A22" s="29" t="s">
        <v>6</v>
      </c>
      <c r="B22" s="29" t="s">
        <v>7</v>
      </c>
      <c r="C22" s="29" t="s">
        <v>8</v>
      </c>
      <c r="D22" s="29" t="s">
        <v>9</v>
      </c>
      <c r="E22" s="29" t="s">
        <v>10</v>
      </c>
    </row>
    <row r="23" spans="1:11" x14ac:dyDescent="0.25">
      <c r="A23" s="33" t="s">
        <v>33</v>
      </c>
      <c r="B23" s="40">
        <v>1</v>
      </c>
      <c r="C23" s="41">
        <v>1</v>
      </c>
      <c r="D23" s="41">
        <v>1</v>
      </c>
      <c r="E23" s="41">
        <v>1</v>
      </c>
    </row>
    <row r="24" spans="1:11" x14ac:dyDescent="0.25">
      <c r="A24" s="30" t="s">
        <v>110</v>
      </c>
      <c r="B24" s="42">
        <v>42268416</v>
      </c>
      <c r="C24" s="43">
        <v>42057514</v>
      </c>
      <c r="D24" s="43">
        <v>45919618</v>
      </c>
      <c r="E24" s="43">
        <v>61508971</v>
      </c>
    </row>
    <row r="25" spans="1:11" x14ac:dyDescent="0.25">
      <c r="A25" s="33" t="s">
        <v>111</v>
      </c>
      <c r="B25" s="44">
        <v>36336667</v>
      </c>
      <c r="C25" s="45">
        <v>35539323</v>
      </c>
      <c r="D25" s="45">
        <v>38989471</v>
      </c>
      <c r="E25" s="45">
        <v>50741781</v>
      </c>
    </row>
    <row r="26" spans="1:11" x14ac:dyDescent="0.25">
      <c r="A26" s="30" t="s">
        <v>112</v>
      </c>
      <c r="B26" s="42">
        <v>4432784</v>
      </c>
      <c r="C26" s="43">
        <v>6663305</v>
      </c>
      <c r="D26" s="43">
        <v>3478684</v>
      </c>
      <c r="E26" s="43">
        <v>5081529</v>
      </c>
      <c r="G26" s="594"/>
      <c r="H26" s="594"/>
      <c r="I26" s="594"/>
      <c r="J26" s="594"/>
    </row>
    <row r="27" spans="1:11" x14ac:dyDescent="0.25">
      <c r="A27" s="33" t="s">
        <v>113</v>
      </c>
      <c r="B27" s="44">
        <v>2550</v>
      </c>
      <c r="C27" s="45">
        <v>2550</v>
      </c>
      <c r="D27" s="45">
        <v>2550</v>
      </c>
      <c r="E27" s="45">
        <v>3550</v>
      </c>
      <c r="G27" s="594"/>
      <c r="H27" s="594"/>
      <c r="I27" s="594"/>
      <c r="J27" s="594"/>
    </row>
    <row r="28" spans="1:11" x14ac:dyDescent="0.25">
      <c r="A28" s="30" t="s">
        <v>114</v>
      </c>
      <c r="B28" s="42">
        <v>1849637</v>
      </c>
      <c r="C28" s="43">
        <v>5296736</v>
      </c>
      <c r="D28" s="43">
        <v>2214368</v>
      </c>
      <c r="E28" s="43">
        <v>3624047</v>
      </c>
      <c r="G28" s="595"/>
      <c r="H28" s="595"/>
      <c r="I28" s="595"/>
      <c r="J28" s="595"/>
    </row>
    <row r="29" spans="1:11" x14ac:dyDescent="0.25">
      <c r="A29" s="33" t="s">
        <v>115</v>
      </c>
      <c r="B29" s="44">
        <v>2580597</v>
      </c>
      <c r="C29" s="45">
        <v>1364019</v>
      </c>
      <c r="D29" s="45">
        <v>1261766</v>
      </c>
      <c r="E29" s="45">
        <v>1453932</v>
      </c>
      <c r="G29" s="595"/>
      <c r="H29" s="595"/>
      <c r="I29" s="595"/>
      <c r="J29" s="595"/>
    </row>
    <row r="30" spans="1:11" x14ac:dyDescent="0.25">
      <c r="A30" s="30" t="s">
        <v>116</v>
      </c>
      <c r="B30" s="42">
        <v>2655021</v>
      </c>
      <c r="C30" s="43">
        <v>1647042</v>
      </c>
      <c r="D30" s="43">
        <v>2153865</v>
      </c>
      <c r="E30" s="43">
        <v>3928595</v>
      </c>
      <c r="G30" s="595"/>
      <c r="H30" s="595"/>
      <c r="I30" s="595"/>
      <c r="J30" s="595"/>
    </row>
    <row r="31" spans="1:11" x14ac:dyDescent="0.25">
      <c r="A31" s="33" t="s">
        <v>117</v>
      </c>
      <c r="B31" s="44">
        <v>15928499</v>
      </c>
      <c r="C31" s="45">
        <v>15039947</v>
      </c>
      <c r="D31" s="45">
        <v>17641231</v>
      </c>
      <c r="E31" s="45">
        <v>19990134</v>
      </c>
    </row>
    <row r="32" spans="1:11" x14ac:dyDescent="0.25">
      <c r="A32" s="30" t="s">
        <v>118</v>
      </c>
      <c r="B32" s="42">
        <v>13836675</v>
      </c>
      <c r="C32" s="43">
        <v>12000079</v>
      </c>
      <c r="D32" s="43">
        <v>14358698</v>
      </c>
      <c r="E32" s="43">
        <v>15888624</v>
      </c>
      <c r="G32" s="595"/>
      <c r="H32" s="595"/>
      <c r="I32" s="595"/>
      <c r="J32" s="595"/>
      <c r="K32" s="595"/>
    </row>
    <row r="33" spans="1:5" x14ac:dyDescent="0.25">
      <c r="A33" s="33" t="s">
        <v>120</v>
      </c>
      <c r="B33" s="44">
        <v>281527</v>
      </c>
      <c r="C33" s="45">
        <v>169213</v>
      </c>
      <c r="D33" s="45">
        <v>704203</v>
      </c>
      <c r="E33" s="45">
        <v>1041905</v>
      </c>
    </row>
    <row r="34" spans="1:5" x14ac:dyDescent="0.25">
      <c r="A34" s="30" t="s">
        <v>121</v>
      </c>
      <c r="B34" s="42">
        <v>756752</v>
      </c>
      <c r="C34" s="43">
        <v>1302935</v>
      </c>
      <c r="D34" s="43">
        <v>117824</v>
      </c>
      <c r="E34" s="43">
        <v>345753</v>
      </c>
    </row>
    <row r="35" spans="1:5" x14ac:dyDescent="0.25">
      <c r="A35" s="33" t="s">
        <v>122</v>
      </c>
      <c r="B35" s="44">
        <v>427316</v>
      </c>
      <c r="C35" s="45">
        <v>725677</v>
      </c>
      <c r="D35" s="45">
        <v>709476</v>
      </c>
      <c r="E35" s="45">
        <v>990412</v>
      </c>
    </row>
    <row r="36" spans="1:5" x14ac:dyDescent="0.25">
      <c r="A36" s="30" t="s">
        <v>123</v>
      </c>
      <c r="B36" s="42">
        <v>683092</v>
      </c>
      <c r="C36" s="43">
        <v>951036</v>
      </c>
      <c r="D36" s="43">
        <v>1850644</v>
      </c>
      <c r="E36" s="43">
        <v>1924640</v>
      </c>
    </row>
    <row r="37" spans="1:5" x14ac:dyDescent="0.25">
      <c r="A37" s="33" t="s">
        <v>125</v>
      </c>
      <c r="B37" s="44">
        <v>56863</v>
      </c>
      <c r="C37" s="45">
        <v>108993</v>
      </c>
      <c r="D37" s="45">
        <v>99614</v>
      </c>
      <c r="E37" s="45">
        <v>201200</v>
      </c>
    </row>
    <row r="38" spans="1:5" x14ac:dyDescent="0.25">
      <c r="A38" s="30" t="s">
        <v>126</v>
      </c>
      <c r="B38" s="42">
        <v>12744340</v>
      </c>
      <c r="C38" s="43">
        <v>11756209</v>
      </c>
      <c r="D38" s="43">
        <v>15485069</v>
      </c>
      <c r="E38" s="43">
        <v>21695622</v>
      </c>
    </row>
    <row r="39" spans="1:5" x14ac:dyDescent="0.25">
      <c r="A39" s="33" t="s">
        <v>238</v>
      </c>
      <c r="B39" s="44">
        <v>5682062</v>
      </c>
      <c r="C39" s="45">
        <v>4858800</v>
      </c>
      <c r="D39" s="45">
        <v>3600812</v>
      </c>
      <c r="E39" s="45">
        <v>5120305</v>
      </c>
    </row>
    <row r="40" spans="1:5" x14ac:dyDescent="0.25">
      <c r="A40" s="30" t="s">
        <v>239</v>
      </c>
      <c r="B40" s="46">
        <v>0</v>
      </c>
      <c r="C40" s="36" t="s">
        <v>61</v>
      </c>
      <c r="D40" s="43">
        <v>7772644</v>
      </c>
      <c r="E40" s="43">
        <v>9141517</v>
      </c>
    </row>
    <row r="41" spans="1:5" x14ac:dyDescent="0.25">
      <c r="A41" s="33" t="s">
        <v>240</v>
      </c>
      <c r="B41" s="44">
        <v>4413174</v>
      </c>
      <c r="C41" s="45">
        <v>4607193</v>
      </c>
      <c r="D41" s="45">
        <v>1344222</v>
      </c>
      <c r="E41" s="45">
        <v>2366492</v>
      </c>
    </row>
    <row r="42" spans="1:5" x14ac:dyDescent="0.25">
      <c r="A42" s="30" t="s">
        <v>127</v>
      </c>
      <c r="B42" s="42">
        <v>1709460</v>
      </c>
      <c r="C42" s="43">
        <v>1383140</v>
      </c>
      <c r="D42" s="43">
        <v>1830615</v>
      </c>
      <c r="E42" s="43">
        <v>1855022</v>
      </c>
    </row>
    <row r="43" spans="1:5" x14ac:dyDescent="0.25">
      <c r="A43" s="33" t="s">
        <v>254</v>
      </c>
      <c r="B43" s="47">
        <v>0</v>
      </c>
      <c r="C43" s="37" t="s">
        <v>61</v>
      </c>
      <c r="D43" s="45">
        <v>354419</v>
      </c>
      <c r="E43" s="45">
        <v>1273374</v>
      </c>
    </row>
    <row r="44" spans="1:5" x14ac:dyDescent="0.25">
      <c r="A44" s="30" t="s">
        <v>255</v>
      </c>
      <c r="B44" s="42">
        <v>248733</v>
      </c>
      <c r="C44" s="43">
        <v>420657</v>
      </c>
      <c r="D44" s="43">
        <v>386690</v>
      </c>
      <c r="E44" s="43">
        <v>895556</v>
      </c>
    </row>
    <row r="45" spans="1:5" x14ac:dyDescent="0.25">
      <c r="A45" s="33" t="s">
        <v>128</v>
      </c>
      <c r="B45" s="44">
        <v>690911</v>
      </c>
      <c r="C45" s="45">
        <v>486419</v>
      </c>
      <c r="D45" s="45">
        <v>195667</v>
      </c>
      <c r="E45" s="45">
        <v>1043356</v>
      </c>
    </row>
    <row r="46" spans="1:5" x14ac:dyDescent="0.25">
      <c r="A46" s="30" t="s">
        <v>129</v>
      </c>
      <c r="B46" s="42">
        <v>576023</v>
      </c>
      <c r="C46" s="43">
        <v>432820</v>
      </c>
      <c r="D46" s="43">
        <v>230622</v>
      </c>
      <c r="E46" s="43">
        <v>45901</v>
      </c>
    </row>
    <row r="47" spans="1:5" x14ac:dyDescent="0.25">
      <c r="A47" s="33" t="s">
        <v>130</v>
      </c>
      <c r="B47" s="44">
        <v>20233</v>
      </c>
      <c r="C47" s="45">
        <v>25327</v>
      </c>
      <c r="D47" s="45">
        <v>52638</v>
      </c>
      <c r="E47" s="45">
        <v>45901</v>
      </c>
    </row>
    <row r="48" spans="1:5" x14ac:dyDescent="0.25">
      <c r="A48" s="30" t="s">
        <v>131</v>
      </c>
      <c r="B48" s="42">
        <v>555790</v>
      </c>
      <c r="C48" s="43">
        <v>407493</v>
      </c>
      <c r="D48" s="43">
        <v>177984</v>
      </c>
      <c r="E48" s="48">
        <v>0</v>
      </c>
    </row>
    <row r="49" spans="1:5" x14ac:dyDescent="0.25">
      <c r="A49" s="33" t="s">
        <v>132</v>
      </c>
      <c r="B49" s="44">
        <v>5931749</v>
      </c>
      <c r="C49" s="45">
        <v>6518191</v>
      </c>
      <c r="D49" s="45">
        <v>6930147</v>
      </c>
      <c r="E49" s="45">
        <v>10767190</v>
      </c>
    </row>
    <row r="50" spans="1:5" x14ac:dyDescent="0.25">
      <c r="A50" s="30" t="s">
        <v>116</v>
      </c>
      <c r="B50" s="46">
        <v>0</v>
      </c>
      <c r="C50" s="48">
        <v>0</v>
      </c>
      <c r="D50" s="43">
        <v>4301</v>
      </c>
      <c r="E50" s="43">
        <v>4301</v>
      </c>
    </row>
    <row r="51" spans="1:5" x14ac:dyDescent="0.25">
      <c r="A51" s="33" t="s">
        <v>133</v>
      </c>
      <c r="B51" s="44">
        <v>2783892</v>
      </c>
      <c r="C51" s="45">
        <v>3370873</v>
      </c>
      <c r="D51" s="45">
        <v>3783370</v>
      </c>
      <c r="E51" s="45">
        <v>7620413</v>
      </c>
    </row>
    <row r="52" spans="1:5" x14ac:dyDescent="0.25">
      <c r="A52" s="30" t="s">
        <v>134</v>
      </c>
      <c r="B52" s="42">
        <v>5381</v>
      </c>
      <c r="C52" s="43">
        <v>4843</v>
      </c>
      <c r="D52" s="48">
        <v>0</v>
      </c>
      <c r="E52" s="48">
        <v>0</v>
      </c>
    </row>
    <row r="53" spans="1:5" x14ac:dyDescent="0.25">
      <c r="A53" s="33" t="s">
        <v>135</v>
      </c>
      <c r="B53" s="44">
        <v>24082</v>
      </c>
      <c r="C53" s="45">
        <v>24082</v>
      </c>
      <c r="D53" s="45">
        <v>24082</v>
      </c>
      <c r="E53" s="45">
        <v>24082</v>
      </c>
    </row>
    <row r="54" spans="1:5" x14ac:dyDescent="0.25">
      <c r="A54" s="30" t="s">
        <v>138</v>
      </c>
      <c r="B54" s="42">
        <v>18701</v>
      </c>
      <c r="C54" s="43">
        <v>19239</v>
      </c>
      <c r="D54" s="43">
        <v>24082</v>
      </c>
      <c r="E54" s="43">
        <v>24082</v>
      </c>
    </row>
    <row r="55" spans="1:5" x14ac:dyDescent="0.25">
      <c r="A55" s="33" t="s">
        <v>139</v>
      </c>
      <c r="B55" s="44">
        <v>3142476</v>
      </c>
      <c r="C55" s="45">
        <v>3142475</v>
      </c>
      <c r="D55" s="45">
        <v>3142476</v>
      </c>
      <c r="E55" s="45">
        <v>3142476</v>
      </c>
    </row>
    <row r="56" spans="1:5" x14ac:dyDescent="0.25">
      <c r="A56" s="30" t="s">
        <v>140</v>
      </c>
      <c r="B56" s="42">
        <v>3142476</v>
      </c>
      <c r="C56" s="43">
        <v>3142475</v>
      </c>
      <c r="D56" s="43">
        <v>3142476</v>
      </c>
      <c r="E56" s="43">
        <v>3142476</v>
      </c>
    </row>
    <row r="57" spans="1:5" x14ac:dyDescent="0.25">
      <c r="A57" s="33" t="s">
        <v>141</v>
      </c>
      <c r="B57" s="44">
        <v>26370936</v>
      </c>
      <c r="C57" s="45">
        <v>24138441</v>
      </c>
      <c r="D57" s="45">
        <v>25875860</v>
      </c>
      <c r="E57" s="45">
        <v>37629232</v>
      </c>
    </row>
    <row r="58" spans="1:5" x14ac:dyDescent="0.25">
      <c r="A58" s="30" t="s">
        <v>142</v>
      </c>
      <c r="B58" s="42">
        <v>17628786</v>
      </c>
      <c r="C58" s="43">
        <v>12644946</v>
      </c>
      <c r="D58" s="43">
        <v>13512547</v>
      </c>
      <c r="E58" s="43">
        <v>27555780</v>
      </c>
    </row>
    <row r="59" spans="1:5" x14ac:dyDescent="0.25">
      <c r="A59" s="33" t="s">
        <v>143</v>
      </c>
      <c r="B59" s="44">
        <v>28186</v>
      </c>
      <c r="C59" s="45">
        <v>304983</v>
      </c>
      <c r="D59" s="45">
        <v>214646</v>
      </c>
      <c r="E59" s="45">
        <v>5109994</v>
      </c>
    </row>
    <row r="60" spans="1:5" x14ac:dyDescent="0.25">
      <c r="A60" s="30" t="s">
        <v>144</v>
      </c>
      <c r="B60" s="42">
        <v>9838978</v>
      </c>
      <c r="C60" s="43">
        <v>5067435</v>
      </c>
      <c r="D60" s="43">
        <v>6229949</v>
      </c>
      <c r="E60" s="43">
        <v>13719957</v>
      </c>
    </row>
    <row r="61" spans="1:5" x14ac:dyDescent="0.25">
      <c r="A61" s="33" t="s">
        <v>145</v>
      </c>
      <c r="B61" s="44">
        <v>3981277</v>
      </c>
      <c r="C61" s="45">
        <v>3525669</v>
      </c>
      <c r="D61" s="45">
        <v>2683178</v>
      </c>
      <c r="E61" s="45">
        <v>3395903</v>
      </c>
    </row>
    <row r="62" spans="1:5" x14ac:dyDescent="0.25">
      <c r="A62" s="30" t="s">
        <v>146</v>
      </c>
      <c r="B62" s="42">
        <v>3442902</v>
      </c>
      <c r="C62" s="43">
        <v>2814507</v>
      </c>
      <c r="D62" s="43">
        <v>2080884</v>
      </c>
      <c r="E62" s="43">
        <v>2531271</v>
      </c>
    </row>
    <row r="63" spans="1:5" x14ac:dyDescent="0.25">
      <c r="A63" s="33" t="s">
        <v>148</v>
      </c>
      <c r="B63" s="44">
        <v>56000</v>
      </c>
      <c r="C63" s="45">
        <v>70000</v>
      </c>
      <c r="D63" s="45">
        <v>105000</v>
      </c>
      <c r="E63" s="45">
        <v>419999</v>
      </c>
    </row>
    <row r="64" spans="1:5" x14ac:dyDescent="0.25">
      <c r="A64" s="30" t="s">
        <v>149</v>
      </c>
      <c r="B64" s="42">
        <v>60065</v>
      </c>
      <c r="C64" s="43">
        <v>141563</v>
      </c>
      <c r="D64" s="43">
        <v>122701</v>
      </c>
      <c r="E64" s="43">
        <v>272478</v>
      </c>
    </row>
    <row r="65" spans="1:5" x14ac:dyDescent="0.25">
      <c r="A65" s="33" t="s">
        <v>150</v>
      </c>
      <c r="B65" s="44">
        <v>27263</v>
      </c>
      <c r="C65" s="45">
        <v>51417</v>
      </c>
      <c r="D65" s="45">
        <v>13386</v>
      </c>
      <c r="E65" s="45">
        <v>25940</v>
      </c>
    </row>
    <row r="66" spans="1:5" x14ac:dyDescent="0.25">
      <c r="A66" s="30" t="s">
        <v>151</v>
      </c>
      <c r="B66" s="42">
        <v>23046</v>
      </c>
      <c r="C66" s="43">
        <v>25446</v>
      </c>
      <c r="D66" s="48">
        <v>0</v>
      </c>
      <c r="E66" s="48">
        <v>0</v>
      </c>
    </row>
    <row r="67" spans="1:5" x14ac:dyDescent="0.25">
      <c r="A67" s="33" t="s">
        <v>152</v>
      </c>
      <c r="B67" s="44">
        <v>312388</v>
      </c>
      <c r="C67" s="45">
        <v>361803</v>
      </c>
      <c r="D67" s="45">
        <v>343206</v>
      </c>
      <c r="E67" s="45">
        <v>88425</v>
      </c>
    </row>
    <row r="68" spans="1:5" x14ac:dyDescent="0.25">
      <c r="A68" s="30" t="s">
        <v>153</v>
      </c>
      <c r="B68" s="42">
        <v>59613</v>
      </c>
      <c r="C68" s="43">
        <v>60933</v>
      </c>
      <c r="D68" s="43">
        <v>18001</v>
      </c>
      <c r="E68" s="43">
        <v>57790</v>
      </c>
    </row>
    <row r="69" spans="1:5" x14ac:dyDescent="0.25">
      <c r="A69" s="33" t="s">
        <v>154</v>
      </c>
      <c r="B69" s="44">
        <v>2106535</v>
      </c>
      <c r="C69" s="45">
        <v>2275160</v>
      </c>
      <c r="D69" s="45">
        <v>1769963</v>
      </c>
      <c r="E69" s="45">
        <v>2524630</v>
      </c>
    </row>
    <row r="70" spans="1:5" x14ac:dyDescent="0.25">
      <c r="A70" s="30" t="s">
        <v>155</v>
      </c>
      <c r="B70" s="42">
        <v>1019731</v>
      </c>
      <c r="C70" s="43">
        <v>1221623</v>
      </c>
      <c r="D70" s="43">
        <v>1599135</v>
      </c>
      <c r="E70" s="43">
        <v>1704152</v>
      </c>
    </row>
    <row r="71" spans="1:5" x14ac:dyDescent="0.25">
      <c r="A71" s="33" t="s">
        <v>156</v>
      </c>
      <c r="B71" s="44">
        <v>13000</v>
      </c>
      <c r="C71" s="49">
        <v>0</v>
      </c>
      <c r="D71" s="45">
        <v>297659</v>
      </c>
      <c r="E71" s="45">
        <v>278472</v>
      </c>
    </row>
    <row r="72" spans="1:5" x14ac:dyDescent="0.25">
      <c r="A72" s="30" t="s">
        <v>157</v>
      </c>
      <c r="B72" s="42">
        <v>13000</v>
      </c>
      <c r="C72" s="36" t="s">
        <v>61</v>
      </c>
      <c r="D72" s="48">
        <v>0</v>
      </c>
      <c r="E72" s="48">
        <v>0</v>
      </c>
    </row>
    <row r="73" spans="1:5" x14ac:dyDescent="0.25">
      <c r="A73" s="33" t="s">
        <v>159</v>
      </c>
      <c r="B73" s="47">
        <v>0</v>
      </c>
      <c r="C73" s="37" t="s">
        <v>61</v>
      </c>
      <c r="D73" s="45">
        <v>297659</v>
      </c>
      <c r="E73" s="45">
        <v>278472</v>
      </c>
    </row>
    <row r="74" spans="1:5" x14ac:dyDescent="0.25">
      <c r="A74" s="30" t="s">
        <v>129</v>
      </c>
      <c r="B74" s="42">
        <v>3127</v>
      </c>
      <c r="C74" s="43">
        <v>2088</v>
      </c>
      <c r="D74" s="43">
        <v>1046</v>
      </c>
      <c r="E74" s="48">
        <v>0</v>
      </c>
    </row>
    <row r="75" spans="1:5" x14ac:dyDescent="0.25">
      <c r="A75" s="33" t="s">
        <v>160</v>
      </c>
      <c r="B75" s="44">
        <v>637952</v>
      </c>
      <c r="C75" s="45">
        <v>247988</v>
      </c>
      <c r="D75" s="45">
        <v>716971</v>
      </c>
      <c r="E75" s="45">
        <v>822672</v>
      </c>
    </row>
    <row r="76" spans="1:5" x14ac:dyDescent="0.25">
      <c r="A76" s="30" t="s">
        <v>242</v>
      </c>
      <c r="B76" s="42">
        <v>637952</v>
      </c>
      <c r="C76" s="43">
        <v>247988</v>
      </c>
      <c r="D76" s="43">
        <v>716971</v>
      </c>
      <c r="E76" s="43">
        <v>815757</v>
      </c>
    </row>
    <row r="77" spans="1:5" x14ac:dyDescent="0.25">
      <c r="A77" s="33" t="s">
        <v>256</v>
      </c>
      <c r="B77" s="47">
        <v>0</v>
      </c>
      <c r="C77" s="37" t="s">
        <v>61</v>
      </c>
      <c r="D77" s="49">
        <v>0</v>
      </c>
      <c r="E77" s="45">
        <v>6915</v>
      </c>
    </row>
    <row r="78" spans="1:5" x14ac:dyDescent="0.25">
      <c r="A78" s="30" t="s">
        <v>162</v>
      </c>
      <c r="B78" s="42">
        <v>8742150</v>
      </c>
      <c r="C78" s="43">
        <v>11493495</v>
      </c>
      <c r="D78" s="43">
        <v>12363313</v>
      </c>
      <c r="E78" s="43">
        <v>10073452</v>
      </c>
    </row>
    <row r="79" spans="1:5" x14ac:dyDescent="0.25">
      <c r="A79" s="33" t="s">
        <v>143</v>
      </c>
      <c r="B79" s="44">
        <v>8742150</v>
      </c>
      <c r="C79" s="45">
        <v>11493495</v>
      </c>
      <c r="D79" s="45">
        <v>12363313</v>
      </c>
      <c r="E79" s="45">
        <v>10073452</v>
      </c>
    </row>
    <row r="80" spans="1:5" x14ac:dyDescent="0.25">
      <c r="A80" s="30" t="s">
        <v>163</v>
      </c>
      <c r="B80" s="42">
        <v>15897480</v>
      </c>
      <c r="C80" s="43">
        <v>17919073</v>
      </c>
      <c r="D80" s="43">
        <v>20043758</v>
      </c>
      <c r="E80" s="43">
        <v>23879739</v>
      </c>
    </row>
    <row r="81" spans="1:5" x14ac:dyDescent="0.25">
      <c r="A81" s="33" t="s">
        <v>164</v>
      </c>
      <c r="B81" s="44">
        <v>755566</v>
      </c>
      <c r="C81" s="45">
        <v>755566</v>
      </c>
      <c r="D81" s="45">
        <v>755566</v>
      </c>
      <c r="E81" s="45">
        <v>755566</v>
      </c>
    </row>
    <row r="82" spans="1:5" x14ac:dyDescent="0.25">
      <c r="A82" s="30" t="s">
        <v>165</v>
      </c>
      <c r="B82" s="42">
        <v>755566</v>
      </c>
      <c r="C82" s="43">
        <v>755566</v>
      </c>
      <c r="D82" s="43">
        <v>755566</v>
      </c>
      <c r="E82" s="43">
        <v>755566</v>
      </c>
    </row>
    <row r="83" spans="1:5" x14ac:dyDescent="0.25">
      <c r="A83" s="33" t="s">
        <v>166</v>
      </c>
      <c r="B83" s="44">
        <v>3256020</v>
      </c>
      <c r="C83" s="45">
        <v>3256020</v>
      </c>
      <c r="D83" s="45">
        <v>3256020</v>
      </c>
      <c r="E83" s="45">
        <v>3256020</v>
      </c>
    </row>
    <row r="84" spans="1:5" x14ac:dyDescent="0.25">
      <c r="A84" s="30" t="s">
        <v>167</v>
      </c>
      <c r="B84" s="42">
        <v>3256020</v>
      </c>
      <c r="C84" s="43">
        <v>3256020</v>
      </c>
      <c r="D84" s="43">
        <v>3256020</v>
      </c>
      <c r="E84" s="43">
        <v>3256020</v>
      </c>
    </row>
    <row r="85" spans="1:5" x14ac:dyDescent="0.25">
      <c r="A85" s="33" t="s">
        <v>168</v>
      </c>
      <c r="B85" s="44">
        <v>377783</v>
      </c>
      <c r="C85" s="45">
        <v>377783</v>
      </c>
      <c r="D85" s="45">
        <v>377783</v>
      </c>
      <c r="E85" s="45">
        <v>377783</v>
      </c>
    </row>
    <row r="86" spans="1:5" x14ac:dyDescent="0.25">
      <c r="A86" s="30" t="s">
        <v>169</v>
      </c>
      <c r="B86" s="42">
        <v>3004671</v>
      </c>
      <c r="C86" s="43">
        <v>3004671</v>
      </c>
      <c r="D86" s="43">
        <v>4296488</v>
      </c>
      <c r="E86" s="43">
        <v>4296488</v>
      </c>
    </row>
    <row r="87" spans="1:5" x14ac:dyDescent="0.25">
      <c r="A87" s="33" t="s">
        <v>170</v>
      </c>
      <c r="B87" s="44">
        <v>2292482</v>
      </c>
      <c r="C87" s="45">
        <v>2861592</v>
      </c>
      <c r="D87" s="45">
        <v>3384686</v>
      </c>
      <c r="E87" s="45">
        <v>5795982</v>
      </c>
    </row>
    <row r="88" spans="1:5" x14ac:dyDescent="0.25">
      <c r="A88" s="30" t="s">
        <v>171</v>
      </c>
      <c r="B88" s="42">
        <v>1776666</v>
      </c>
      <c r="C88" s="43">
        <v>3229148</v>
      </c>
      <c r="D88" s="43">
        <v>4830739</v>
      </c>
      <c r="E88" s="43">
        <v>6255425</v>
      </c>
    </row>
    <row r="89" spans="1:5" x14ac:dyDescent="0.25">
      <c r="A89" s="33" t="s">
        <v>172</v>
      </c>
      <c r="B89" s="33" t="s">
        <v>61</v>
      </c>
      <c r="C89" s="37" t="s">
        <v>61</v>
      </c>
      <c r="D89" s="37" t="s">
        <v>61</v>
      </c>
      <c r="E89" s="45">
        <v>6255425</v>
      </c>
    </row>
    <row r="90" spans="1:5" x14ac:dyDescent="0.25">
      <c r="A90" s="30" t="s">
        <v>173</v>
      </c>
      <c r="B90" s="42">
        <v>4434292</v>
      </c>
      <c r="C90" s="43">
        <v>4434293</v>
      </c>
      <c r="D90" s="43">
        <v>3142476</v>
      </c>
      <c r="E90" s="43">
        <v>3142475</v>
      </c>
    </row>
    <row r="93" spans="1:5" x14ac:dyDescent="0.25">
      <c r="A93" s="29" t="s">
        <v>174</v>
      </c>
      <c r="D93" s="66"/>
    </row>
    <row r="94" spans="1:5" x14ac:dyDescent="0.25">
      <c r="A94" s="29" t="s">
        <v>6</v>
      </c>
      <c r="B94" s="29" t="s">
        <v>7</v>
      </c>
      <c r="C94" s="29" t="s">
        <v>8</v>
      </c>
      <c r="D94" s="29" t="s">
        <v>9</v>
      </c>
      <c r="E94" s="29" t="s">
        <v>10</v>
      </c>
    </row>
    <row r="95" spans="1:5" x14ac:dyDescent="0.25">
      <c r="A95" s="33" t="s">
        <v>33</v>
      </c>
      <c r="B95" s="40">
        <v>1</v>
      </c>
      <c r="C95" s="41">
        <v>1</v>
      </c>
      <c r="D95" s="41">
        <v>1</v>
      </c>
      <c r="E95" s="41">
        <v>1</v>
      </c>
    </row>
    <row r="96" spans="1:5" x14ac:dyDescent="0.25">
      <c r="A96" s="30" t="s">
        <v>175</v>
      </c>
      <c r="B96" s="42">
        <v>60953023</v>
      </c>
      <c r="C96" s="43">
        <v>63696911</v>
      </c>
      <c r="D96" s="43">
        <v>66144474</v>
      </c>
      <c r="E96" s="43">
        <v>82963988</v>
      </c>
    </row>
    <row r="97" spans="1:11" x14ac:dyDescent="0.25">
      <c r="A97" s="33" t="s">
        <v>176</v>
      </c>
      <c r="B97" s="44">
        <v>41797331</v>
      </c>
      <c r="C97" s="45">
        <v>42411723</v>
      </c>
      <c r="D97" s="45">
        <v>40940243</v>
      </c>
      <c r="E97" s="45">
        <v>44412133</v>
      </c>
    </row>
    <row r="98" spans="1:11" x14ac:dyDescent="0.25">
      <c r="A98" s="30" t="s">
        <v>177</v>
      </c>
      <c r="B98" s="42">
        <v>19155692</v>
      </c>
      <c r="C98" s="43">
        <v>21285188</v>
      </c>
      <c r="D98" s="43">
        <v>25204231</v>
      </c>
      <c r="E98" s="43">
        <v>38551855</v>
      </c>
    </row>
    <row r="99" spans="1:11" x14ac:dyDescent="0.25">
      <c r="A99" s="33" t="s">
        <v>178</v>
      </c>
      <c r="B99" s="44">
        <v>5989470</v>
      </c>
      <c r="C99" s="45">
        <v>7728707</v>
      </c>
      <c r="D99" s="45">
        <v>9350983</v>
      </c>
      <c r="E99" s="45">
        <v>10136508</v>
      </c>
    </row>
    <row r="100" spans="1:11" x14ac:dyDescent="0.25">
      <c r="A100" s="30" t="s">
        <v>179</v>
      </c>
      <c r="B100" s="42">
        <v>8647439</v>
      </c>
      <c r="C100" s="43">
        <v>9601038</v>
      </c>
      <c r="D100" s="43">
        <v>11039309</v>
      </c>
      <c r="E100" s="43">
        <v>15676353</v>
      </c>
    </row>
    <row r="101" spans="1:11" x14ac:dyDescent="0.25">
      <c r="A101" s="33" t="s">
        <v>180</v>
      </c>
      <c r="B101" s="44">
        <v>4518783</v>
      </c>
      <c r="C101" s="45">
        <v>3955443</v>
      </c>
      <c r="D101" s="45">
        <v>4813939</v>
      </c>
      <c r="E101" s="45">
        <v>12738994</v>
      </c>
      <c r="G101" s="594"/>
      <c r="H101" s="594"/>
      <c r="I101" s="594"/>
      <c r="J101" s="594"/>
      <c r="K101" s="460"/>
    </row>
    <row r="102" spans="1:11" x14ac:dyDescent="0.25">
      <c r="A102" s="30" t="s">
        <v>181</v>
      </c>
      <c r="B102" s="42">
        <v>5445868</v>
      </c>
      <c r="C102" s="43">
        <v>5771744</v>
      </c>
      <c r="D102" s="43">
        <v>5961612</v>
      </c>
      <c r="E102" s="43">
        <v>12528513</v>
      </c>
      <c r="G102" s="600"/>
      <c r="H102" s="600"/>
      <c r="I102" s="600"/>
      <c r="J102" s="600"/>
      <c r="K102" s="600"/>
    </row>
    <row r="103" spans="1:11" x14ac:dyDescent="0.25">
      <c r="A103" s="33" t="s">
        <v>182</v>
      </c>
      <c r="B103" s="44">
        <v>6422166</v>
      </c>
      <c r="C103" s="45">
        <v>5246841</v>
      </c>
      <c r="D103" s="45">
        <v>5450656</v>
      </c>
      <c r="E103" s="45">
        <v>16347494</v>
      </c>
    </row>
    <row r="104" spans="1:11" x14ac:dyDescent="0.25">
      <c r="A104" s="30" t="s">
        <v>183</v>
      </c>
      <c r="B104" s="30" t="s">
        <v>61</v>
      </c>
      <c r="C104" s="36" t="s">
        <v>61</v>
      </c>
      <c r="D104" s="43">
        <v>594701</v>
      </c>
      <c r="E104" s="43">
        <v>894702</v>
      </c>
    </row>
    <row r="105" spans="1:11" x14ac:dyDescent="0.25">
      <c r="A105" s="33" t="s">
        <v>184</v>
      </c>
      <c r="B105" s="33" t="s">
        <v>61</v>
      </c>
      <c r="C105" s="37" t="s">
        <v>61</v>
      </c>
      <c r="D105" s="45">
        <v>4855955</v>
      </c>
      <c r="E105" s="45">
        <v>15452792</v>
      </c>
    </row>
    <row r="106" spans="1:11" x14ac:dyDescent="0.25">
      <c r="A106" s="30" t="s">
        <v>185</v>
      </c>
      <c r="B106" s="42">
        <v>3542485</v>
      </c>
      <c r="C106" s="43">
        <v>4480346</v>
      </c>
      <c r="D106" s="43">
        <v>5324895</v>
      </c>
      <c r="E106" s="43">
        <v>8920013</v>
      </c>
    </row>
    <row r="107" spans="1:11" x14ac:dyDescent="0.25">
      <c r="A107" s="33" t="s">
        <v>186</v>
      </c>
      <c r="B107" s="44">
        <v>1250003</v>
      </c>
      <c r="C107" s="45">
        <v>1618754</v>
      </c>
      <c r="D107" s="45">
        <v>1940209</v>
      </c>
      <c r="E107" s="45">
        <v>3124031</v>
      </c>
    </row>
    <row r="108" spans="1:11" x14ac:dyDescent="0.25">
      <c r="A108" s="30" t="s">
        <v>187</v>
      </c>
      <c r="B108" s="42">
        <v>2292482</v>
      </c>
      <c r="C108" s="43">
        <v>2861592</v>
      </c>
      <c r="D108" s="43">
        <v>3384686</v>
      </c>
      <c r="E108" s="43">
        <v>5795982</v>
      </c>
    </row>
    <row r="109" spans="1:11" x14ac:dyDescent="0.25">
      <c r="B109" s="70">
        <f>B99/B96</f>
        <v>9.8263707117528853E-2</v>
      </c>
      <c r="C109" s="70">
        <f t="shared" ref="C109:E109" si="0">C99/C96</f>
        <v>0.12133566414233179</v>
      </c>
      <c r="D109" s="70">
        <f t="shared" si="0"/>
        <v>0.14137209708554035</v>
      </c>
      <c r="E109" s="70">
        <f t="shared" si="0"/>
        <v>0.12217961364152359</v>
      </c>
    </row>
    <row r="110" spans="1:11" x14ac:dyDescent="0.25">
      <c r="B110" s="70">
        <f>B100/B96</f>
        <v>0.14187055168699345</v>
      </c>
      <c r="C110" s="70">
        <f t="shared" ref="C110:E110" si="1">C100/C96</f>
        <v>0.15073004089633169</v>
      </c>
      <c r="D110" s="70">
        <f t="shared" si="1"/>
        <v>0.16689692021740168</v>
      </c>
      <c r="E110" s="70">
        <f t="shared" si="1"/>
        <v>0.18895370603447847</v>
      </c>
    </row>
    <row r="111" spans="1:11" x14ac:dyDescent="0.25">
      <c r="A111" s="29" t="s">
        <v>109</v>
      </c>
    </row>
    <row r="112" spans="1:11" x14ac:dyDescent="0.25">
      <c r="A112" s="29" t="s">
        <v>6</v>
      </c>
      <c r="B112" s="29" t="s">
        <v>7</v>
      </c>
      <c r="C112" s="29" t="s">
        <v>8</v>
      </c>
      <c r="D112" s="29" t="s">
        <v>9</v>
      </c>
      <c r="E112" s="29" t="s">
        <v>10</v>
      </c>
    </row>
    <row r="113" spans="1:5" x14ac:dyDescent="0.25">
      <c r="A113" s="33" t="s">
        <v>33</v>
      </c>
      <c r="B113" s="40">
        <v>1</v>
      </c>
      <c r="C113" s="41">
        <v>1</v>
      </c>
      <c r="D113" s="41">
        <v>1</v>
      </c>
      <c r="E113" s="41">
        <v>1</v>
      </c>
    </row>
    <row r="114" spans="1:5" x14ac:dyDescent="0.25">
      <c r="A114" s="30" t="s">
        <v>261</v>
      </c>
      <c r="B114" s="42">
        <v>28038466</v>
      </c>
      <c r="C114" s="43">
        <v>8859718</v>
      </c>
      <c r="D114" s="43">
        <v>1137731</v>
      </c>
      <c r="E114" s="43">
        <v>247171</v>
      </c>
    </row>
    <row r="115" spans="1:5" x14ac:dyDescent="0.25">
      <c r="A115" s="33" t="s">
        <v>262</v>
      </c>
      <c r="B115" s="44">
        <v>3366235</v>
      </c>
      <c r="C115" s="45">
        <v>15965</v>
      </c>
      <c r="D115" s="49">
        <v>0</v>
      </c>
      <c r="E115" s="49">
        <v>0</v>
      </c>
    </row>
    <row r="116" spans="1:5" x14ac:dyDescent="0.25">
      <c r="A116" s="30" t="s">
        <v>263</v>
      </c>
      <c r="B116" s="42">
        <v>20333984</v>
      </c>
      <c r="C116" s="43">
        <v>3567446</v>
      </c>
      <c r="D116" s="43">
        <v>361731</v>
      </c>
      <c r="E116" s="43">
        <v>247171</v>
      </c>
    </row>
    <row r="117" spans="1:5" x14ac:dyDescent="0.25">
      <c r="A117" s="33" t="s">
        <v>264</v>
      </c>
      <c r="B117" s="44">
        <v>4338247</v>
      </c>
      <c r="C117" s="45">
        <v>5276307</v>
      </c>
      <c r="D117" s="45">
        <v>776000</v>
      </c>
      <c r="E117" s="49">
        <v>0</v>
      </c>
    </row>
    <row r="118" spans="1:5" x14ac:dyDescent="0.25">
      <c r="A118" s="30" t="s">
        <v>265</v>
      </c>
      <c r="B118" s="42">
        <v>314064</v>
      </c>
      <c r="C118" s="43">
        <v>238093</v>
      </c>
      <c r="D118" s="43">
        <v>278827</v>
      </c>
      <c r="E118" s="43">
        <v>1149468</v>
      </c>
    </row>
    <row r="119" spans="1:5" x14ac:dyDescent="0.25">
      <c r="A119" s="33" t="s">
        <v>266</v>
      </c>
      <c r="B119" s="44">
        <v>314064</v>
      </c>
      <c r="C119" s="45">
        <v>238093</v>
      </c>
      <c r="D119" s="45">
        <v>278827</v>
      </c>
      <c r="E119" s="45">
        <v>1149468</v>
      </c>
    </row>
    <row r="122" spans="1:5" x14ac:dyDescent="0.25">
      <c r="A122" s="29" t="s">
        <v>188</v>
      </c>
    </row>
    <row r="123" spans="1:5" x14ac:dyDescent="0.25">
      <c r="A123" s="29" t="s">
        <v>6</v>
      </c>
      <c r="B123" s="29" t="s">
        <v>7</v>
      </c>
      <c r="C123" s="29" t="s">
        <v>8</v>
      </c>
      <c r="D123" s="29" t="s">
        <v>9</v>
      </c>
      <c r="E123" s="29" t="s">
        <v>10</v>
      </c>
    </row>
    <row r="124" spans="1:5" x14ac:dyDescent="0.25">
      <c r="A124" s="30" t="s">
        <v>33</v>
      </c>
      <c r="B124" s="50">
        <v>1</v>
      </c>
      <c r="C124" s="51">
        <v>1</v>
      </c>
      <c r="D124" s="51">
        <v>1</v>
      </c>
      <c r="E124" s="51">
        <v>1</v>
      </c>
    </row>
    <row r="125" spans="1:5" x14ac:dyDescent="0.25">
      <c r="A125" s="33" t="s">
        <v>189</v>
      </c>
      <c r="B125" s="44">
        <v>4068060</v>
      </c>
      <c r="C125" s="45">
        <v>5456084</v>
      </c>
      <c r="D125" s="45">
        <v>5975566</v>
      </c>
      <c r="E125" s="45">
        <v>10071556</v>
      </c>
    </row>
    <row r="126" spans="1:5" x14ac:dyDescent="0.25">
      <c r="A126" s="30" t="s">
        <v>190</v>
      </c>
      <c r="B126" s="42">
        <v>2292482</v>
      </c>
      <c r="C126" s="43">
        <v>2861592</v>
      </c>
      <c r="D126" s="43">
        <v>3384686</v>
      </c>
      <c r="E126" s="43">
        <v>5795982</v>
      </c>
    </row>
    <row r="127" spans="1:5" x14ac:dyDescent="0.25">
      <c r="A127" s="33" t="s">
        <v>191</v>
      </c>
      <c r="B127" s="44">
        <v>555489</v>
      </c>
      <c r="C127" s="45">
        <v>642275</v>
      </c>
      <c r="D127" s="45">
        <v>633155</v>
      </c>
      <c r="E127" s="45">
        <v>804446</v>
      </c>
    </row>
    <row r="128" spans="1:5" x14ac:dyDescent="0.25">
      <c r="A128" s="30" t="s">
        <v>192</v>
      </c>
      <c r="B128" s="46">
        <v>543</v>
      </c>
      <c r="C128" s="48">
        <v>538</v>
      </c>
      <c r="D128" s="43">
        <v>4843</v>
      </c>
      <c r="E128" s="48">
        <v>0</v>
      </c>
    </row>
    <row r="129" spans="1:5" x14ac:dyDescent="0.25">
      <c r="A129" s="33" t="s">
        <v>193</v>
      </c>
      <c r="B129" s="44">
        <v>12811</v>
      </c>
      <c r="C129" s="45">
        <v>332046</v>
      </c>
      <c r="D129" s="45">
        <v>7166</v>
      </c>
      <c r="E129" s="45">
        <v>413574</v>
      </c>
    </row>
    <row r="130" spans="1:5" x14ac:dyDescent="0.25">
      <c r="A130" s="30" t="s">
        <v>194</v>
      </c>
      <c r="B130" s="42">
        <v>44000</v>
      </c>
      <c r="C130" s="48">
        <v>0</v>
      </c>
      <c r="D130" s="43">
        <v>2000</v>
      </c>
      <c r="E130" s="43">
        <v>66477</v>
      </c>
    </row>
    <row r="131" spans="1:5" x14ac:dyDescent="0.25">
      <c r="A131" s="33" t="s">
        <v>196</v>
      </c>
      <c r="B131" s="47">
        <v>732</v>
      </c>
      <c r="C131" s="49">
        <v>879</v>
      </c>
      <c r="D131" s="45">
        <v>7507</v>
      </c>
      <c r="E131" s="49">
        <v>0</v>
      </c>
    </row>
    <row r="132" spans="1:5" x14ac:dyDescent="0.25">
      <c r="A132" s="30" t="s">
        <v>197</v>
      </c>
      <c r="B132" s="42">
        <v>1250003</v>
      </c>
      <c r="C132" s="43">
        <v>1618754</v>
      </c>
      <c r="D132" s="43">
        <v>1940209</v>
      </c>
      <c r="E132" s="43">
        <v>3124031</v>
      </c>
    </row>
    <row r="133" spans="1:5" x14ac:dyDescent="0.25">
      <c r="A133" s="33" t="s">
        <v>198</v>
      </c>
      <c r="B133" s="44">
        <v>-245885</v>
      </c>
      <c r="C133" s="45">
        <v>250535</v>
      </c>
      <c r="D133" s="45">
        <v>-1168644</v>
      </c>
      <c r="E133" s="45">
        <v>7307102</v>
      </c>
    </row>
    <row r="134" spans="1:5" x14ac:dyDescent="0.25">
      <c r="A134" s="30" t="s">
        <v>200</v>
      </c>
      <c r="B134" s="42">
        <v>4068060</v>
      </c>
      <c r="C134" s="43">
        <v>5456084</v>
      </c>
      <c r="D134" s="43">
        <v>5975566</v>
      </c>
      <c r="E134" s="43">
        <v>10071556</v>
      </c>
    </row>
    <row r="135" spans="1:5" x14ac:dyDescent="0.25">
      <c r="A135" s="33" t="s">
        <v>246</v>
      </c>
      <c r="B135" s="47">
        <v>0</v>
      </c>
      <c r="C135" s="45">
        <v>556505</v>
      </c>
      <c r="D135" s="49">
        <v>0</v>
      </c>
      <c r="E135" s="49">
        <v>0</v>
      </c>
    </row>
    <row r="136" spans="1:5" x14ac:dyDescent="0.25">
      <c r="A136" s="30" t="s">
        <v>201</v>
      </c>
      <c r="B136" s="46">
        <v>0</v>
      </c>
      <c r="C136" s="43">
        <v>988133</v>
      </c>
      <c r="D136" s="48">
        <v>0</v>
      </c>
      <c r="E136" s="48">
        <v>0</v>
      </c>
    </row>
    <row r="137" spans="1:5" x14ac:dyDescent="0.25">
      <c r="A137" s="33" t="s">
        <v>202</v>
      </c>
      <c r="B137" s="47">
        <v>0</v>
      </c>
      <c r="C137" s="45">
        <v>143203</v>
      </c>
      <c r="D137" s="45">
        <v>202196</v>
      </c>
      <c r="E137" s="45">
        <v>184723</v>
      </c>
    </row>
    <row r="138" spans="1:5" x14ac:dyDescent="0.25">
      <c r="A138" s="30" t="s">
        <v>203</v>
      </c>
      <c r="B138" s="42">
        <v>1728007</v>
      </c>
      <c r="C138" s="36" t="s">
        <v>61</v>
      </c>
      <c r="D138" s="43">
        <v>1162515</v>
      </c>
      <c r="E138" s="43">
        <v>7490007</v>
      </c>
    </row>
    <row r="139" spans="1:5" x14ac:dyDescent="0.25">
      <c r="A139" s="33" t="s">
        <v>204</v>
      </c>
      <c r="B139" s="47">
        <v>0</v>
      </c>
      <c r="C139" s="37" t="s">
        <v>61</v>
      </c>
      <c r="D139" s="49">
        <v>0</v>
      </c>
      <c r="E139" s="45">
        <v>712727</v>
      </c>
    </row>
    <row r="140" spans="1:5" x14ac:dyDescent="0.25">
      <c r="A140" s="30" t="s">
        <v>205</v>
      </c>
      <c r="B140" s="42">
        <v>971919</v>
      </c>
      <c r="C140" s="36" t="s">
        <v>61</v>
      </c>
      <c r="D140" s="48">
        <v>0</v>
      </c>
      <c r="E140" s="43">
        <v>-2369365</v>
      </c>
    </row>
    <row r="141" spans="1:5" x14ac:dyDescent="0.25">
      <c r="A141" s="33" t="s">
        <v>206</v>
      </c>
      <c r="B141" s="44">
        <v>143406</v>
      </c>
      <c r="C141" s="45">
        <v>201891</v>
      </c>
      <c r="D141" s="45">
        <v>377512</v>
      </c>
      <c r="E141" s="45">
        <v>105017</v>
      </c>
    </row>
    <row r="142" spans="1:5" x14ac:dyDescent="0.25">
      <c r="A142" s="30" t="s">
        <v>207</v>
      </c>
      <c r="B142" s="46">
        <v>0</v>
      </c>
      <c r="C142" s="36" t="s">
        <v>61</v>
      </c>
      <c r="D142" s="43">
        <v>297659</v>
      </c>
      <c r="E142" s="48">
        <v>0</v>
      </c>
    </row>
    <row r="143" spans="1:5" x14ac:dyDescent="0.25">
      <c r="A143" s="33" t="s">
        <v>267</v>
      </c>
      <c r="B143" s="44">
        <v>507315</v>
      </c>
      <c r="C143" s="37" t="s">
        <v>61</v>
      </c>
      <c r="D143" s="49">
        <v>0</v>
      </c>
      <c r="E143" s="49">
        <v>0</v>
      </c>
    </row>
    <row r="144" spans="1:5" x14ac:dyDescent="0.25">
      <c r="A144" s="30" t="s">
        <v>208</v>
      </c>
      <c r="B144" s="42">
        <v>1553408</v>
      </c>
      <c r="C144" s="36" t="s">
        <v>61</v>
      </c>
      <c r="D144" s="43">
        <v>468983</v>
      </c>
      <c r="E144" s="43">
        <v>105701</v>
      </c>
    </row>
    <row r="145" spans="1:5" x14ac:dyDescent="0.25">
      <c r="A145" s="33" t="s">
        <v>209</v>
      </c>
      <c r="B145" s="44">
        <v>3354148</v>
      </c>
      <c r="C145" s="37" t="s">
        <v>61</v>
      </c>
      <c r="D145" s="45">
        <v>2594117</v>
      </c>
      <c r="E145" s="45">
        <v>2762479</v>
      </c>
    </row>
    <row r="146" spans="1:5" x14ac:dyDescent="0.25">
      <c r="A146" s="30" t="s">
        <v>210</v>
      </c>
      <c r="B146" s="42">
        <v>1927045</v>
      </c>
      <c r="C146" s="36" t="s">
        <v>61</v>
      </c>
      <c r="D146" s="43">
        <v>3728860</v>
      </c>
      <c r="E146" s="43">
        <v>6210552</v>
      </c>
    </row>
    <row r="147" spans="1:5" x14ac:dyDescent="0.25">
      <c r="A147" s="33" t="s">
        <v>211</v>
      </c>
      <c r="B147" s="44">
        <v>507310</v>
      </c>
      <c r="C147" s="37" t="s">
        <v>61</v>
      </c>
      <c r="D147" s="49">
        <v>0</v>
      </c>
      <c r="E147" s="49">
        <v>0</v>
      </c>
    </row>
    <row r="148" spans="1:5" x14ac:dyDescent="0.25">
      <c r="A148" s="30" t="s">
        <v>212</v>
      </c>
      <c r="B148" s="42">
        <v>43969</v>
      </c>
      <c r="C148" s="43">
        <v>4771544</v>
      </c>
      <c r="D148" s="48">
        <v>0</v>
      </c>
      <c r="E148" s="48">
        <v>0</v>
      </c>
    </row>
    <row r="149" spans="1:5" x14ac:dyDescent="0.25">
      <c r="A149" s="33" t="s">
        <v>213</v>
      </c>
      <c r="B149" s="47">
        <v>0</v>
      </c>
      <c r="C149" s="45">
        <v>424496</v>
      </c>
      <c r="D149" s="45">
        <v>468983</v>
      </c>
      <c r="E149" s="49">
        <v>0</v>
      </c>
    </row>
    <row r="150" spans="1:5" x14ac:dyDescent="0.25">
      <c r="A150" s="30" t="s">
        <v>214</v>
      </c>
      <c r="B150" s="42">
        <v>543000</v>
      </c>
      <c r="C150" s="43">
        <v>1509277</v>
      </c>
      <c r="D150" s="43">
        <v>2861115</v>
      </c>
      <c r="E150" s="48">
        <v>0</v>
      </c>
    </row>
    <row r="151" spans="1:5" x14ac:dyDescent="0.25">
      <c r="A151" s="33" t="s">
        <v>247</v>
      </c>
      <c r="B151" s="47">
        <v>0</v>
      </c>
      <c r="C151" s="37" t="s">
        <v>61</v>
      </c>
      <c r="D151" s="49">
        <v>0</v>
      </c>
      <c r="E151" s="45">
        <v>19187</v>
      </c>
    </row>
    <row r="152" spans="1:5" x14ac:dyDescent="0.25">
      <c r="A152" s="30" t="s">
        <v>268</v>
      </c>
      <c r="B152" s="46">
        <v>0</v>
      </c>
      <c r="C152" s="36" t="s">
        <v>61</v>
      </c>
      <c r="D152" s="48">
        <v>0</v>
      </c>
      <c r="E152" s="43">
        <v>1046</v>
      </c>
    </row>
    <row r="153" spans="1:5" x14ac:dyDescent="0.25">
      <c r="A153" s="33" t="s">
        <v>216</v>
      </c>
      <c r="B153" s="44">
        <v>2842528</v>
      </c>
      <c r="C153" s="45">
        <v>389964</v>
      </c>
      <c r="D153" s="49">
        <v>0</v>
      </c>
      <c r="E153" s="49">
        <v>0</v>
      </c>
    </row>
    <row r="154" spans="1:5" x14ac:dyDescent="0.25">
      <c r="A154" s="30" t="s">
        <v>217</v>
      </c>
      <c r="B154" s="42">
        <v>-603794</v>
      </c>
      <c r="C154" s="43">
        <v>-222156</v>
      </c>
      <c r="D154" s="43">
        <v>-1540459</v>
      </c>
      <c r="E154" s="36" t="s">
        <v>61</v>
      </c>
    </row>
    <row r="155" spans="1:5" x14ac:dyDescent="0.25">
      <c r="A155" s="33" t="s">
        <v>218</v>
      </c>
      <c r="B155" s="47">
        <v>0</v>
      </c>
      <c r="C155" s="37" t="s">
        <v>61</v>
      </c>
      <c r="D155" s="37" t="s">
        <v>61</v>
      </c>
      <c r="E155" s="45">
        <v>-6349742</v>
      </c>
    </row>
    <row r="156" spans="1:5" x14ac:dyDescent="0.25">
      <c r="A156" s="30" t="s">
        <v>221</v>
      </c>
      <c r="B156" s="42">
        <v>618804</v>
      </c>
      <c r="C156" s="43">
        <v>1230135</v>
      </c>
      <c r="D156" s="43">
        <v>1036178</v>
      </c>
      <c r="E156" s="43">
        <v>4641490</v>
      </c>
    </row>
    <row r="157" spans="1:5" x14ac:dyDescent="0.25">
      <c r="A157" s="33" t="s">
        <v>269</v>
      </c>
      <c r="B157" s="47">
        <v>0</v>
      </c>
      <c r="C157" s="37" t="s">
        <v>61</v>
      </c>
      <c r="D157" s="45">
        <v>511124</v>
      </c>
      <c r="E157" s="45">
        <v>1774729</v>
      </c>
    </row>
    <row r="158" spans="1:5" x14ac:dyDescent="0.25">
      <c r="A158" s="30" t="s">
        <v>223</v>
      </c>
      <c r="B158" s="42">
        <v>15010</v>
      </c>
      <c r="C158" s="36" t="s">
        <v>61</v>
      </c>
      <c r="D158" s="48">
        <v>0</v>
      </c>
      <c r="E158" s="48">
        <v>0</v>
      </c>
    </row>
    <row r="159" spans="1:5" x14ac:dyDescent="0.25">
      <c r="A159" s="33" t="s">
        <v>224</v>
      </c>
      <c r="B159" s="47">
        <v>0</v>
      </c>
      <c r="C159" s="37">
        <v>0</v>
      </c>
      <c r="D159" s="45">
        <v>2000</v>
      </c>
      <c r="E159" s="45">
        <v>66477</v>
      </c>
    </row>
    <row r="160" spans="1:5" x14ac:dyDescent="0.25">
      <c r="A160" s="30" t="s">
        <v>225</v>
      </c>
      <c r="B160" s="46">
        <v>0</v>
      </c>
      <c r="C160" s="36" t="s">
        <v>61</v>
      </c>
      <c r="D160" s="43">
        <v>4843</v>
      </c>
      <c r="E160" s="48">
        <v>0</v>
      </c>
    </row>
    <row r="161" spans="1:7" x14ac:dyDescent="0.25">
      <c r="A161" s="33" t="s">
        <v>226</v>
      </c>
      <c r="B161" s="47">
        <v>0</v>
      </c>
      <c r="C161" s="45">
        <v>1007979</v>
      </c>
      <c r="D161" s="49">
        <v>0</v>
      </c>
      <c r="E161" s="49">
        <v>0</v>
      </c>
    </row>
    <row r="162" spans="1:7" x14ac:dyDescent="0.25">
      <c r="A162" s="30" t="s">
        <v>227</v>
      </c>
      <c r="B162" s="42">
        <v>-556000</v>
      </c>
      <c r="C162" s="43">
        <v>2202142</v>
      </c>
      <c r="D162" s="43">
        <v>-475518</v>
      </c>
      <c r="E162" s="43">
        <v>645485</v>
      </c>
    </row>
    <row r="163" spans="1:7" x14ac:dyDescent="0.25">
      <c r="A163" s="33" t="s">
        <v>228</v>
      </c>
      <c r="B163" s="44">
        <v>60000</v>
      </c>
      <c r="C163" s="45">
        <v>5455173</v>
      </c>
      <c r="D163" s="45">
        <v>12226728</v>
      </c>
      <c r="E163" s="45">
        <v>5110757</v>
      </c>
    </row>
    <row r="164" spans="1:7" x14ac:dyDescent="0.25">
      <c r="A164" s="30" t="s">
        <v>229</v>
      </c>
      <c r="B164" s="46">
        <v>0</v>
      </c>
      <c r="C164" s="36" t="s">
        <v>61</v>
      </c>
      <c r="D164" s="48">
        <v>0</v>
      </c>
      <c r="E164" s="43">
        <v>13086892</v>
      </c>
    </row>
    <row r="165" spans="1:7" x14ac:dyDescent="0.25">
      <c r="A165" s="33" t="s">
        <v>231</v>
      </c>
      <c r="B165" s="47">
        <v>0</v>
      </c>
      <c r="C165" s="45">
        <v>2427031</v>
      </c>
      <c r="D165" s="45">
        <v>11447246</v>
      </c>
      <c r="E165" s="45">
        <v>215410</v>
      </c>
    </row>
    <row r="166" spans="1:7" x14ac:dyDescent="0.25">
      <c r="A166" s="30" t="s">
        <v>248</v>
      </c>
      <c r="B166" s="46">
        <v>0</v>
      </c>
      <c r="C166" s="36" t="s">
        <v>61</v>
      </c>
      <c r="D166" s="48">
        <v>0</v>
      </c>
      <c r="E166" s="43">
        <v>15376754</v>
      </c>
      <c r="G166" s="460"/>
    </row>
    <row r="167" spans="1:7" x14ac:dyDescent="0.25">
      <c r="A167" s="33" t="s">
        <v>233</v>
      </c>
      <c r="B167" s="44">
        <v>616000</v>
      </c>
      <c r="C167" s="45">
        <v>826000</v>
      </c>
      <c r="D167" s="45">
        <v>1255000</v>
      </c>
      <c r="E167" s="45">
        <v>1960000</v>
      </c>
    </row>
    <row r="168" spans="1:7" x14ac:dyDescent="0.25">
      <c r="A168" s="30" t="s">
        <v>234</v>
      </c>
      <c r="B168" s="42">
        <v>4432784</v>
      </c>
      <c r="C168" s="43">
        <v>6663305</v>
      </c>
      <c r="D168" s="43">
        <v>3478684</v>
      </c>
      <c r="E168" s="43">
        <v>5081529</v>
      </c>
    </row>
    <row r="169" spans="1:7" x14ac:dyDescent="0.25">
      <c r="A169" s="33" t="s">
        <v>235</v>
      </c>
      <c r="B169" s="44">
        <v>-1405679</v>
      </c>
      <c r="C169" s="45">
        <v>2230521</v>
      </c>
      <c r="D169" s="45">
        <v>-3184621</v>
      </c>
      <c r="E169" s="45">
        <v>1602845</v>
      </c>
    </row>
    <row r="170" spans="1:7" x14ac:dyDescent="0.25">
      <c r="A170" s="30" t="s">
        <v>236</v>
      </c>
      <c r="B170" s="42">
        <v>5838463</v>
      </c>
      <c r="C170" s="43">
        <v>4432784</v>
      </c>
      <c r="D170" s="43">
        <v>6663305</v>
      </c>
      <c r="E170" s="43">
        <v>3478684</v>
      </c>
    </row>
    <row r="173" spans="1:7" x14ac:dyDescent="0.25">
      <c r="A173" s="29" t="s">
        <v>98</v>
      </c>
    </row>
    <row r="174" spans="1:7" x14ac:dyDescent="0.25">
      <c r="A174" s="29" t="s">
        <v>6</v>
      </c>
      <c r="B174" s="29" t="s">
        <v>7</v>
      </c>
      <c r="C174" s="29" t="s">
        <v>8</v>
      </c>
      <c r="D174" s="29" t="s">
        <v>9</v>
      </c>
      <c r="E174" s="29" t="s">
        <v>10</v>
      </c>
    </row>
    <row r="175" spans="1:7" x14ac:dyDescent="0.25">
      <c r="A175" s="33" t="s">
        <v>29</v>
      </c>
      <c r="B175" s="33" t="s">
        <v>29</v>
      </c>
      <c r="C175" s="37" t="s">
        <v>29</v>
      </c>
      <c r="D175" s="37" t="s">
        <v>29</v>
      </c>
      <c r="E175" s="37" t="s">
        <v>29</v>
      </c>
    </row>
    <row r="176" spans="1:7" x14ac:dyDescent="0.25">
      <c r="A176" s="30" t="s">
        <v>99</v>
      </c>
      <c r="B176" s="30" t="s">
        <v>100</v>
      </c>
      <c r="C176" s="36" t="s">
        <v>100</v>
      </c>
      <c r="D176" s="36" t="s">
        <v>100</v>
      </c>
      <c r="E176" s="36" t="s">
        <v>100</v>
      </c>
    </row>
    <row r="177" spans="1:5" x14ac:dyDescent="0.25">
      <c r="A177" s="33" t="s">
        <v>101</v>
      </c>
      <c r="B177" s="33" t="s">
        <v>102</v>
      </c>
      <c r="C177" s="37" t="s">
        <v>102</v>
      </c>
      <c r="D177" s="37" t="s">
        <v>102</v>
      </c>
      <c r="E177" s="37" t="s">
        <v>102</v>
      </c>
    </row>
    <row r="180" spans="1:5" x14ac:dyDescent="0.25">
      <c r="A180" s="27" t="s">
        <v>103</v>
      </c>
    </row>
    <row r="181" spans="1:5" x14ac:dyDescent="0.25">
      <c r="A181" s="27" t="s">
        <v>104</v>
      </c>
    </row>
    <row r="182" spans="1:5" x14ac:dyDescent="0.25">
      <c r="A182" s="27" t="s">
        <v>105</v>
      </c>
    </row>
  </sheetData>
  <sheetProtection formatCells="0" formatColumns="0" formatRows="0" insertColumns="0" insertRows="0" insertHyperlinks="0" deleteColumns="0" deleteRows="0" sort="0" autoFilter="0" pivotTables="0"/>
  <mergeCells count="1">
    <mergeCell ref="A7:G7"/>
  </mergeCells>
  <hyperlinks>
    <hyperlink ref="B18" r:id="rId1"/>
    <hyperlink ref="C18" r:id="rId2"/>
    <hyperlink ref="D18" r:id="rId3"/>
    <hyperlink ref="E18" r:id="rId4"/>
  </hyperlinks>
  <pageMargins left="0.7" right="0.7" top="0.75" bottom="0.75" header="0.3" footer="0.3"/>
  <pageSetup paperSize="9"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2:P173"/>
  <sheetViews>
    <sheetView topLeftCell="A116" zoomScaleNormal="100" workbookViewId="0">
      <selection activeCell="C131" sqref="C131"/>
    </sheetView>
  </sheetViews>
  <sheetFormatPr baseColWidth="10" defaultRowHeight="15" outlineLevelRow="1" x14ac:dyDescent="0.25"/>
  <cols>
    <col min="1" max="1" width="3.625" customWidth="1"/>
    <col min="2" max="2" width="35.25" bestFit="1" customWidth="1"/>
    <col min="3" max="8" width="12.625" customWidth="1"/>
    <col min="10" max="12" width="11.625" bestFit="1" customWidth="1"/>
    <col min="13" max="13" width="11.75" bestFit="1" customWidth="1"/>
    <col min="14" max="15" width="11.625" bestFit="1" customWidth="1"/>
  </cols>
  <sheetData>
    <row r="2" spans="2:15" x14ac:dyDescent="0.25">
      <c r="C2" s="26">
        <v>2015</v>
      </c>
      <c r="D2" s="26">
        <f>C2+1</f>
        <v>2016</v>
      </c>
      <c r="E2" s="26">
        <f t="shared" ref="E2:H2" si="0">D2+1</f>
        <v>2017</v>
      </c>
      <c r="F2" s="26">
        <f t="shared" si="0"/>
        <v>2018</v>
      </c>
      <c r="G2" s="26">
        <f t="shared" si="0"/>
        <v>2019</v>
      </c>
      <c r="H2" s="26">
        <f t="shared" si="0"/>
        <v>2020</v>
      </c>
    </row>
    <row r="4" spans="2:15" x14ac:dyDescent="0.25">
      <c r="B4" s="26" t="s">
        <v>4191</v>
      </c>
      <c r="C4" s="26"/>
      <c r="D4" s="155">
        <f>Supuestos!I65</f>
        <v>0.16</v>
      </c>
      <c r="E4" s="155">
        <f>Supuestos!J65</f>
        <v>0.15415305516612579</v>
      </c>
      <c r="F4" s="155">
        <f>Supuestos!K65</f>
        <v>0.18308503286946687</v>
      </c>
      <c r="G4" s="155">
        <f>Supuestos!L65</f>
        <v>0.16528516797230097</v>
      </c>
      <c r="H4" s="155">
        <f>Supuestos!M65</f>
        <v>0.16563081400197341</v>
      </c>
      <c r="I4" t="s">
        <v>5524</v>
      </c>
    </row>
    <row r="5" spans="2:15" x14ac:dyDescent="0.25">
      <c r="B5" s="26" t="s">
        <v>5534</v>
      </c>
      <c r="C5" s="26"/>
      <c r="D5" s="155"/>
      <c r="E5" s="155"/>
      <c r="F5" s="155"/>
      <c r="G5" s="155"/>
      <c r="H5" s="155"/>
    </row>
    <row r="6" spans="2:15" x14ac:dyDescent="0.25">
      <c r="B6" s="26" t="s">
        <v>4207</v>
      </c>
      <c r="C6" s="155">
        <f>CERTIFICADO1!E330</f>
        <v>0.19209999999999999</v>
      </c>
      <c r="D6" s="155">
        <f>C6</f>
        <v>0.19209999999999999</v>
      </c>
      <c r="E6" s="155">
        <f t="shared" ref="E6:H9" si="1">D6</f>
        <v>0.19209999999999999</v>
      </c>
      <c r="F6" s="155">
        <f t="shared" si="1"/>
        <v>0.19209999999999999</v>
      </c>
      <c r="G6" s="155">
        <f t="shared" si="1"/>
        <v>0.19209999999999999</v>
      </c>
      <c r="H6" s="155">
        <f t="shared" si="1"/>
        <v>0.19209999999999999</v>
      </c>
    </row>
    <row r="7" spans="2:15" x14ac:dyDescent="0.25">
      <c r="B7" s="26" t="s">
        <v>396</v>
      </c>
      <c r="C7" s="155">
        <f>C62/C61</f>
        <v>0.39993543457368314</v>
      </c>
      <c r="D7" s="155">
        <f>C7</f>
        <v>0.39993543457368314</v>
      </c>
      <c r="E7" s="155">
        <f t="shared" si="1"/>
        <v>0.39993543457368314</v>
      </c>
      <c r="F7" s="155">
        <f t="shared" si="1"/>
        <v>0.39993543457368314</v>
      </c>
      <c r="G7" s="155">
        <f t="shared" si="1"/>
        <v>0.39993543457368314</v>
      </c>
      <c r="H7" s="155">
        <f t="shared" si="1"/>
        <v>0.39993543457368314</v>
      </c>
    </row>
    <row r="8" spans="2:15" x14ac:dyDescent="0.25">
      <c r="B8" s="26" t="s">
        <v>4209</v>
      </c>
      <c r="C8" s="155">
        <f>C65/C63</f>
        <v>0.45848091445837758</v>
      </c>
      <c r="D8" s="155">
        <f>C8</f>
        <v>0.45848091445837758</v>
      </c>
      <c r="E8" s="155">
        <f t="shared" si="1"/>
        <v>0.45848091445837758</v>
      </c>
      <c r="F8" s="155">
        <f t="shared" si="1"/>
        <v>0.45848091445837758</v>
      </c>
      <c r="G8" s="155">
        <f t="shared" si="1"/>
        <v>0.45848091445837758</v>
      </c>
      <c r="H8" s="155">
        <f t="shared" si="1"/>
        <v>0.45848091445837758</v>
      </c>
    </row>
    <row r="9" spans="2:15" x14ac:dyDescent="0.25">
      <c r="B9" s="26" t="s">
        <v>4210</v>
      </c>
      <c r="C9" s="532">
        <f>Supuestos!I26</f>
        <v>8.7940209281263254E-2</v>
      </c>
      <c r="D9" s="155">
        <f>C9</f>
        <v>8.7940209281263254E-2</v>
      </c>
      <c r="E9" s="155">
        <f t="shared" si="1"/>
        <v>8.7940209281263254E-2</v>
      </c>
      <c r="F9" s="155">
        <f t="shared" si="1"/>
        <v>8.7940209281263254E-2</v>
      </c>
      <c r="G9" s="155">
        <f t="shared" si="1"/>
        <v>8.7940209281263254E-2</v>
      </c>
      <c r="H9" s="155">
        <f t="shared" si="1"/>
        <v>8.7940209281263254E-2</v>
      </c>
    </row>
    <row r="10" spans="2:15" x14ac:dyDescent="0.25">
      <c r="D10" s="64"/>
      <c r="E10" s="64"/>
      <c r="F10" s="64"/>
      <c r="G10" s="64"/>
      <c r="H10" s="64"/>
    </row>
    <row r="12" spans="2:15" x14ac:dyDescent="0.25">
      <c r="B12" s="482" t="s">
        <v>4205</v>
      </c>
      <c r="C12" s="482"/>
      <c r="D12" s="482"/>
      <c r="E12" s="482"/>
      <c r="F12" s="482"/>
      <c r="G12" s="482"/>
      <c r="H12" s="482"/>
    </row>
    <row r="14" spans="2:15" x14ac:dyDescent="0.25">
      <c r="B14" s="78" t="s">
        <v>4124</v>
      </c>
      <c r="C14" s="87">
        <f>'EF Sempertex 2015 I'!B27</f>
        <v>9879131</v>
      </c>
      <c r="D14" s="87">
        <f>C14</f>
        <v>9879131</v>
      </c>
      <c r="E14" s="87">
        <f t="shared" ref="E14:H14" si="2">D14</f>
        <v>9879131</v>
      </c>
      <c r="F14" s="87">
        <f t="shared" si="2"/>
        <v>9879131</v>
      </c>
      <c r="G14" s="87">
        <f t="shared" si="2"/>
        <v>9879131</v>
      </c>
      <c r="H14" s="87">
        <f t="shared" si="2"/>
        <v>9879131</v>
      </c>
    </row>
    <row r="15" spans="2:15" s="521" customFormat="1" ht="5.0999999999999996" customHeight="1" x14ac:dyDescent="0.25">
      <c r="B15" s="519"/>
      <c r="C15" s="520"/>
    </row>
    <row r="16" spans="2:15" x14ac:dyDescent="0.25">
      <c r="B16" s="78" t="s">
        <v>379</v>
      </c>
      <c r="C16" s="87">
        <f t="shared" ref="C16:H16" si="3">C17+C22</f>
        <v>41006006</v>
      </c>
      <c r="D16" s="87">
        <f t="shared" si="3"/>
        <v>47566966.959999993</v>
      </c>
      <c r="E16" s="87">
        <f t="shared" si="3"/>
        <v>54899560.241870165</v>
      </c>
      <c r="F16" s="87">
        <f t="shared" si="3"/>
        <v>64950848.033272244</v>
      </c>
      <c r="G16" s="87">
        <f t="shared" si="3"/>
        <v>75686259.860395044</v>
      </c>
      <c r="H16" s="87">
        <f t="shared" si="3"/>
        <v>88222236.689837158</v>
      </c>
      <c r="J16" s="92">
        <f t="shared" ref="J16:O16" si="4">C48/C16</f>
        <v>2.3548257784481619</v>
      </c>
      <c r="K16" s="92">
        <f t="shared" si="4"/>
        <v>2.3548257784481619</v>
      </c>
      <c r="L16" s="92">
        <f t="shared" si="4"/>
        <v>2.3548257784481619</v>
      </c>
      <c r="M16" s="92">
        <f t="shared" si="4"/>
        <v>2.3548257784481614</v>
      </c>
      <c r="N16" s="92">
        <f t="shared" si="4"/>
        <v>2.3548257784481614</v>
      </c>
      <c r="O16" s="92">
        <f t="shared" si="4"/>
        <v>2.3548257784481614</v>
      </c>
    </row>
    <row r="17" spans="2:15" x14ac:dyDescent="0.25">
      <c r="B17" s="143" t="s">
        <v>338</v>
      </c>
      <c r="C17" s="609">
        <f>C18+C19-C21-C20</f>
        <v>26070389</v>
      </c>
      <c r="D17" s="609">
        <f>D48/C99</f>
        <v>30241651.239999998</v>
      </c>
      <c r="E17" s="609">
        <f>E48/D99</f>
        <v>34903494.171914458</v>
      </c>
      <c r="F17" s="609">
        <f>F48/E99</f>
        <v>41293801.549638666</v>
      </c>
      <c r="G17" s="609">
        <f>G48/F99</f>
        <v>48119054.474985555</v>
      </c>
      <c r="H17" s="609">
        <f>H48/G99</f>
        <v>56089052.636682712</v>
      </c>
      <c r="K17" s="165" t="b">
        <f>K16=J16</f>
        <v>1</v>
      </c>
      <c r="L17" s="165" t="b">
        <f>L16=K16</f>
        <v>1</v>
      </c>
      <c r="M17" s="165" t="b">
        <f t="shared" ref="M17:O17" si="5">M16=L16</f>
        <v>1</v>
      </c>
      <c r="N17" s="165" t="b">
        <f t="shared" si="5"/>
        <v>1</v>
      </c>
      <c r="O17" s="165" t="b">
        <f t="shared" si="5"/>
        <v>1</v>
      </c>
    </row>
    <row r="18" spans="2:15" x14ac:dyDescent="0.25">
      <c r="B18" s="146" t="s">
        <v>4196</v>
      </c>
      <c r="C18" s="67">
        <f>'EF Sempertex 2015 I'!B28</f>
        <v>18926109</v>
      </c>
      <c r="D18" s="67">
        <f>D48/D92</f>
        <v>37337306.666666664</v>
      </c>
      <c r="E18" s="67">
        <f t="shared" ref="E18:H18" si="6">E48/E92</f>
        <v>37735706.952157117</v>
      </c>
      <c r="F18" s="67">
        <f t="shared" si="6"/>
        <v>39094399.71354942</v>
      </c>
      <c r="G18" s="67">
        <f t="shared" si="6"/>
        <v>39892648.093172967</v>
      </c>
      <c r="H18" s="67">
        <f t="shared" si="6"/>
        <v>40719270.033052482</v>
      </c>
      <c r="I18" s="68"/>
      <c r="J18" s="68"/>
      <c r="K18" s="68"/>
      <c r="L18" s="68"/>
      <c r="M18" s="68"/>
      <c r="N18" s="68"/>
      <c r="O18" s="68"/>
    </row>
    <row r="19" spans="2:15" x14ac:dyDescent="0.25">
      <c r="B19" s="146" t="s">
        <v>4197</v>
      </c>
      <c r="C19" s="67">
        <f>'EF Sempertex 2015 I'!B29</f>
        <v>29464218</v>
      </c>
      <c r="D19" s="67">
        <f>D49/D93</f>
        <v>58787343.039999992</v>
      </c>
      <c r="E19" s="67">
        <f t="shared" ref="E19:H19" si="7">E49/E93</f>
        <v>59246346.89808625</v>
      </c>
      <c r="F19" s="67">
        <f t="shared" si="7"/>
        <v>61205701.04228045</v>
      </c>
      <c r="G19" s="67">
        <f t="shared" si="7"/>
        <v>62278541.705632642</v>
      </c>
      <c r="H19" s="67">
        <f t="shared" si="7"/>
        <v>63388984.414222464</v>
      </c>
    </row>
    <row r="20" spans="2:15" x14ac:dyDescent="0.25">
      <c r="B20" s="146" t="s">
        <v>4198</v>
      </c>
      <c r="C20" s="67">
        <f>'EF Sempertex 2015 I'!B38</f>
        <v>17889996</v>
      </c>
      <c r="D20" s="67">
        <f>D96/D94</f>
        <v>28292368.919404298</v>
      </c>
      <c r="E20" s="67">
        <f t="shared" ref="E20:H20" si="8">E96/E94</f>
        <v>23009833.218446944</v>
      </c>
      <c r="F20" s="67">
        <f t="shared" si="8"/>
        <v>29058353.590137225</v>
      </c>
      <c r="G20" s="67">
        <f t="shared" si="8"/>
        <v>35073482.767962337</v>
      </c>
      <c r="H20" s="67">
        <f t="shared" si="8"/>
        <v>42833561.487876311</v>
      </c>
    </row>
    <row r="21" spans="2:15" x14ac:dyDescent="0.25">
      <c r="B21" s="146" t="s">
        <v>4251</v>
      </c>
      <c r="C21" s="67">
        <f>'EF Sempertex 2015 I'!B36+'EF Sempertex 2015 I'!B39+'EF Sempertex 2015 I'!B41</f>
        <v>4429942</v>
      </c>
      <c r="D21" s="529">
        <f>D18+D19-D20-D17</f>
        <v>37590629.547262356</v>
      </c>
      <c r="E21" s="529">
        <f t="shared" ref="E21:H21" si="9">E18+E19-E20-E17</f>
        <v>39068726.459881961</v>
      </c>
      <c r="F21" s="529">
        <f t="shared" si="9"/>
        <v>29947945.616053976</v>
      </c>
      <c r="G21" s="529">
        <f t="shared" si="9"/>
        <v>18978652.555857718</v>
      </c>
      <c r="H21" s="529">
        <f t="shared" si="9"/>
        <v>5185640.3227159306</v>
      </c>
      <c r="I21" t="s">
        <v>4243</v>
      </c>
    </row>
    <row r="22" spans="2:15" x14ac:dyDescent="0.25">
      <c r="B22" s="143" t="s">
        <v>4085</v>
      </c>
      <c r="C22" s="165">
        <f>C23-C24+C25</f>
        <v>14935617</v>
      </c>
      <c r="D22" s="165">
        <f>D48/C100</f>
        <v>17325315.719999999</v>
      </c>
      <c r="E22" s="165">
        <f>E48/D100</f>
        <v>19996066.069955707</v>
      </c>
      <c r="F22" s="165">
        <f>F48/E100</f>
        <v>23657046.483633578</v>
      </c>
      <c r="G22" s="165">
        <f>G48/F100</f>
        <v>27567205.385409486</v>
      </c>
      <c r="H22" s="165">
        <f>H48/G100</f>
        <v>32133184.053154442</v>
      </c>
    </row>
    <row r="23" spans="2:15" x14ac:dyDescent="0.25">
      <c r="B23" s="115" t="s">
        <v>4193</v>
      </c>
      <c r="C23" s="132">
        <f>'EF Sempertex 2015 I'!B31+C24</f>
        <v>18797249</v>
      </c>
      <c r="D23" s="132">
        <f>D22+D24-D25</f>
        <v>22479964.036340386</v>
      </c>
      <c r="E23" s="132">
        <f t="shared" ref="E23:H23" si="10">E22+E24-E25</f>
        <v>26643053.118179999</v>
      </c>
      <c r="F23" s="132">
        <f t="shared" si="10"/>
        <v>32069597.14952112</v>
      </c>
      <c r="G23" s="132">
        <f t="shared" si="10"/>
        <v>38037141.148071527</v>
      </c>
      <c r="H23" s="132">
        <f t="shared" si="10"/>
        <v>45001271.280885279</v>
      </c>
      <c r="J23" s="68"/>
      <c r="K23" s="68"/>
      <c r="L23" s="68"/>
      <c r="M23" s="68"/>
      <c r="N23" s="68"/>
      <c r="O23" s="68"/>
    </row>
    <row r="24" spans="2:15" x14ac:dyDescent="0.25">
      <c r="B24" s="115" t="s">
        <v>4194</v>
      </c>
      <c r="C24" s="132">
        <f>'Flujo de Caja'!H7</f>
        <v>3863094</v>
      </c>
      <c r="D24" s="414">
        <f>C24+D54</f>
        <v>5156110.316340385</v>
      </c>
      <c r="E24" s="414">
        <f>D24+E54</f>
        <v>6648449.0482242908</v>
      </c>
      <c r="F24" s="414">
        <f>E24+F54</f>
        <v>8414012.6658875402</v>
      </c>
      <c r="G24" s="414">
        <f>F24+G54</f>
        <v>10471397.762662042</v>
      </c>
      <c r="H24" s="414">
        <f>G24+H54</f>
        <v>12869549.227730833</v>
      </c>
    </row>
    <row r="25" spans="2:15" x14ac:dyDescent="0.25">
      <c r="B25" s="115" t="s">
        <v>4195</v>
      </c>
      <c r="C25">
        <f>'EF Sempertex 2015 I'!B32</f>
        <v>1462</v>
      </c>
      <c r="D25" s="530">
        <f>C25</f>
        <v>1462</v>
      </c>
      <c r="E25" s="530">
        <f t="shared" ref="E25:H25" si="11">D25</f>
        <v>1462</v>
      </c>
      <c r="F25" s="530">
        <f t="shared" si="11"/>
        <v>1462</v>
      </c>
      <c r="G25" s="530">
        <f t="shared" si="11"/>
        <v>1462</v>
      </c>
      <c r="H25" s="530">
        <f t="shared" si="11"/>
        <v>1462</v>
      </c>
    </row>
    <row r="26" spans="2:15" ht="5.0999999999999996" customHeight="1" x14ac:dyDescent="0.25"/>
    <row r="27" spans="2:15" x14ac:dyDescent="0.25">
      <c r="B27" s="517" t="s">
        <v>4117</v>
      </c>
      <c r="C27" s="518">
        <f>SUM(C28:C30)</f>
        <v>21576342</v>
      </c>
      <c r="D27" s="518">
        <f t="shared" ref="D27:H27" si="12">SUM(D28:D30)</f>
        <v>24313707.304757796</v>
      </c>
      <c r="E27" s="518">
        <f t="shared" si="12"/>
        <v>27046756.684695303</v>
      </c>
      <c r="F27" s="518">
        <f t="shared" si="12"/>
        <v>31371231.667031273</v>
      </c>
      <c r="G27" s="518">
        <f t="shared" si="12"/>
        <v>35263564.603762716</v>
      </c>
      <c r="H27" s="518">
        <f t="shared" si="12"/>
        <v>39580723.363310426</v>
      </c>
    </row>
    <row r="28" spans="2:15" x14ac:dyDescent="0.25">
      <c r="B28" s="119" t="s">
        <v>4199</v>
      </c>
      <c r="C28" s="67">
        <f>'EF Sempertex 2015 I'!B40</f>
        <v>13403251</v>
      </c>
      <c r="D28" s="529">
        <f>C28</f>
        <v>13403251</v>
      </c>
      <c r="E28" s="529">
        <f t="shared" ref="E28:H28" si="13">D28</f>
        <v>13403251</v>
      </c>
      <c r="F28" s="529">
        <f t="shared" si="13"/>
        <v>13403251</v>
      </c>
      <c r="G28" s="529">
        <f t="shared" si="13"/>
        <v>13403251</v>
      </c>
      <c r="H28" s="529">
        <f t="shared" si="13"/>
        <v>13403251</v>
      </c>
      <c r="I28" t="s">
        <v>485</v>
      </c>
      <c r="J28" s="68"/>
      <c r="K28" s="68"/>
    </row>
    <row r="29" spans="2:15" x14ac:dyDescent="0.25">
      <c r="B29" s="119" t="s">
        <v>4200</v>
      </c>
      <c r="C29" s="67">
        <f>'EF Sempertex 2015 I'!B44</f>
        <v>8173091</v>
      </c>
      <c r="D29" s="529">
        <f>C29+C30</f>
        <v>8173091</v>
      </c>
      <c r="E29" s="529">
        <f>D29+D30</f>
        <v>10910456.304757796</v>
      </c>
      <c r="F29" s="529">
        <f>E29+E30</f>
        <v>13643505.684695303</v>
      </c>
      <c r="G29" s="529">
        <f>F29+F30</f>
        <v>17967980.667031273</v>
      </c>
      <c r="H29" s="529">
        <f>G29+G30</f>
        <v>21860313.603762716</v>
      </c>
      <c r="I29" t="s">
        <v>4241</v>
      </c>
      <c r="K29" s="167"/>
    </row>
    <row r="30" spans="2:15" x14ac:dyDescent="0.25">
      <c r="B30" s="115" t="s">
        <v>4218</v>
      </c>
      <c r="C30" s="67"/>
      <c r="D30" s="527">
        <f>D14+D16-D28-D29-D33-D35</f>
        <v>2737365.3047577962</v>
      </c>
      <c r="E30" s="527">
        <f t="shared" ref="E30:H30" si="14">E14+E16-E28-E29-E33-E35</f>
        <v>2733049.3799375072</v>
      </c>
      <c r="F30" s="527">
        <f t="shared" si="14"/>
        <v>4324474.9823359698</v>
      </c>
      <c r="G30" s="527">
        <f t="shared" si="14"/>
        <v>3892332.9367314428</v>
      </c>
      <c r="H30" s="527">
        <f t="shared" si="14"/>
        <v>4317158.7595477104</v>
      </c>
      <c r="I30" t="s">
        <v>4234</v>
      </c>
    </row>
    <row r="31" spans="2:15" ht="5.0999999999999996" customHeight="1" x14ac:dyDescent="0.25"/>
    <row r="32" spans="2:15" x14ac:dyDescent="0.25">
      <c r="B32" s="517" t="s">
        <v>4250</v>
      </c>
      <c r="C32" s="518">
        <f>C33</f>
        <v>1813821</v>
      </c>
      <c r="D32" s="518">
        <f t="shared" ref="D32:H32" si="15">D33</f>
        <v>1813821</v>
      </c>
      <c r="E32" s="518">
        <f t="shared" si="15"/>
        <v>1813821</v>
      </c>
      <c r="F32" s="518">
        <f t="shared" si="15"/>
        <v>1813821</v>
      </c>
      <c r="G32" s="518">
        <f t="shared" si="15"/>
        <v>1813821</v>
      </c>
      <c r="H32" s="518">
        <f t="shared" si="15"/>
        <v>1813821</v>
      </c>
    </row>
    <row r="33" spans="2:11" x14ac:dyDescent="0.25">
      <c r="B33" s="65" t="s">
        <v>4242</v>
      </c>
      <c r="C33" s="67">
        <f>'EF Sempertex 2015 I'!B43</f>
        <v>1813821</v>
      </c>
      <c r="D33" s="529">
        <f>C33</f>
        <v>1813821</v>
      </c>
      <c r="E33" s="529">
        <f t="shared" ref="E33:H33" si="16">D33</f>
        <v>1813821</v>
      </c>
      <c r="F33" s="529">
        <f t="shared" si="16"/>
        <v>1813821</v>
      </c>
      <c r="G33" s="529">
        <f t="shared" si="16"/>
        <v>1813821</v>
      </c>
      <c r="H33" s="529">
        <f t="shared" si="16"/>
        <v>1813821</v>
      </c>
    </row>
    <row r="34" spans="2:11" ht="5.0999999999999996" customHeight="1" x14ac:dyDescent="0.25"/>
    <row r="35" spans="2:11" x14ac:dyDescent="0.25">
      <c r="B35" s="517" t="s">
        <v>4119</v>
      </c>
      <c r="C35" s="518">
        <f>SUM(C36:C40)</f>
        <v>27494974</v>
      </c>
      <c r="D35" s="518">
        <f t="shared" ref="D35:H35" si="17">SUM(D36:D40)</f>
        <v>31318569.655242197</v>
      </c>
      <c r="E35" s="518">
        <f t="shared" si="17"/>
        <v>35918113.557174861</v>
      </c>
      <c r="F35" s="518">
        <f t="shared" si="17"/>
        <v>41644926.366240963</v>
      </c>
      <c r="G35" s="518">
        <f t="shared" si="17"/>
        <v>48488005.256632328</v>
      </c>
      <c r="H35" s="518">
        <f t="shared" si="17"/>
        <v>56706823.326526731</v>
      </c>
    </row>
    <row r="36" spans="2:11" x14ac:dyDescent="0.25">
      <c r="B36" s="65" t="s">
        <v>4121</v>
      </c>
      <c r="C36" s="67">
        <f>'EF Sempertex 2015 I'!B47</f>
        <v>755566</v>
      </c>
      <c r="D36" s="68">
        <f>C36</f>
        <v>755566</v>
      </c>
      <c r="E36" s="68">
        <f t="shared" ref="E36:H36" si="18">D36</f>
        <v>755566</v>
      </c>
      <c r="F36" s="68">
        <f t="shared" si="18"/>
        <v>755566</v>
      </c>
      <c r="G36" s="68">
        <f t="shared" si="18"/>
        <v>755566</v>
      </c>
      <c r="H36" s="68">
        <f t="shared" si="18"/>
        <v>755566</v>
      </c>
      <c r="J36" s="68"/>
      <c r="K36" s="68"/>
    </row>
    <row r="37" spans="2:11" x14ac:dyDescent="0.25">
      <c r="B37" s="65" t="s">
        <v>4122</v>
      </c>
      <c r="C37" s="67">
        <f>'EF Sempertex 2015 I'!B48</f>
        <v>23105605</v>
      </c>
      <c r="D37" s="68">
        <f>C37+C38</f>
        <v>23105605</v>
      </c>
      <c r="E37" s="68">
        <f t="shared" ref="E37:H37" si="19">D37+D38</f>
        <v>26929200.655242197</v>
      </c>
      <c r="F37" s="68">
        <f t="shared" si="19"/>
        <v>31528744.557174858</v>
      </c>
      <c r="G37" s="68">
        <f t="shared" si="19"/>
        <v>37255557.366240963</v>
      </c>
      <c r="H37" s="68">
        <f t="shared" si="19"/>
        <v>44098636.256632328</v>
      </c>
      <c r="K37" s="528"/>
    </row>
    <row r="38" spans="2:11" x14ac:dyDescent="0.25">
      <c r="B38" s="146" t="s">
        <v>4201</v>
      </c>
      <c r="C38" s="67"/>
      <c r="D38" s="68">
        <f>D66</f>
        <v>3823595.6552421954</v>
      </c>
      <c r="E38" s="68">
        <f t="shared" ref="E38:H38" si="20">E66</f>
        <v>4599543.9019326605</v>
      </c>
      <c r="F38" s="68">
        <f t="shared" si="20"/>
        <v>5726812.8090661038</v>
      </c>
      <c r="G38" s="68">
        <f t="shared" si="20"/>
        <v>6843078.8903913666</v>
      </c>
      <c r="H38" s="68">
        <f t="shared" si="20"/>
        <v>8218818.0698944032</v>
      </c>
      <c r="J38" s="68"/>
    </row>
    <row r="39" spans="2:11" x14ac:dyDescent="0.25">
      <c r="B39" s="65" t="s">
        <v>4202</v>
      </c>
      <c r="C39" s="67">
        <f>'EF Sempertex 2015 I'!B49</f>
        <v>3256020</v>
      </c>
      <c r="D39" s="67">
        <f>C39</f>
        <v>3256020</v>
      </c>
      <c r="E39" s="67">
        <f t="shared" ref="E39:H40" si="21">D39</f>
        <v>3256020</v>
      </c>
      <c r="F39" s="67">
        <f t="shared" si="21"/>
        <v>3256020</v>
      </c>
      <c r="G39" s="67">
        <f t="shared" si="21"/>
        <v>3256020</v>
      </c>
      <c r="H39" s="67">
        <f t="shared" si="21"/>
        <v>3256020</v>
      </c>
    </row>
    <row r="40" spans="2:11" x14ac:dyDescent="0.25">
      <c r="B40" s="65" t="s">
        <v>4203</v>
      </c>
      <c r="C40" s="67">
        <f>'EF Sempertex 2015 I'!B50</f>
        <v>377783</v>
      </c>
      <c r="D40" s="67">
        <f>C40</f>
        <v>377783</v>
      </c>
      <c r="E40" s="67">
        <f t="shared" si="21"/>
        <v>377783</v>
      </c>
      <c r="F40" s="67">
        <f t="shared" si="21"/>
        <v>377783</v>
      </c>
      <c r="G40" s="67">
        <f t="shared" si="21"/>
        <v>377783</v>
      </c>
      <c r="H40" s="67">
        <f t="shared" si="21"/>
        <v>377783</v>
      </c>
    </row>
    <row r="41" spans="2:11" ht="5.0999999999999996" customHeight="1" x14ac:dyDescent="0.25"/>
    <row r="42" spans="2:11" x14ac:dyDescent="0.25">
      <c r="B42" s="523" t="s">
        <v>4204</v>
      </c>
      <c r="C42" s="522">
        <f>C14+C16-C27-C35-C32</f>
        <v>0</v>
      </c>
      <c r="D42" s="522">
        <f t="shared" ref="D42:H42" si="22">D14+D16-D27-D35-D32</f>
        <v>0</v>
      </c>
      <c r="E42" s="522">
        <f t="shared" si="22"/>
        <v>0</v>
      </c>
      <c r="F42" s="522">
        <f t="shared" si="22"/>
        <v>0</v>
      </c>
      <c r="G42" s="522">
        <f t="shared" si="22"/>
        <v>0</v>
      </c>
      <c r="H42" s="522">
        <f t="shared" si="22"/>
        <v>0</v>
      </c>
    </row>
    <row r="43" spans="2:11" x14ac:dyDescent="0.25">
      <c r="B43" t="s">
        <v>4232</v>
      </c>
      <c r="C43" s="524">
        <f>(C27/C35)</f>
        <v>0.78473767605672218</v>
      </c>
      <c r="D43" s="524">
        <f t="shared" ref="D43:H43" si="23">(D27/D35)</f>
        <v>0.7763351766190284</v>
      </c>
      <c r="E43" s="524">
        <f t="shared" si="23"/>
        <v>0.753011614645128</v>
      </c>
      <c r="F43" s="524">
        <f t="shared" si="23"/>
        <v>0.75330260860929377</v>
      </c>
      <c r="G43" s="524">
        <f t="shared" si="23"/>
        <v>0.72726366896562045</v>
      </c>
      <c r="H43" s="524">
        <f t="shared" si="23"/>
        <v>0.69798872589632555</v>
      </c>
    </row>
    <row r="44" spans="2:11" x14ac:dyDescent="0.25">
      <c r="D44" s="525">
        <f>D43-C43</f>
        <v>-8.4024994376937778E-3</v>
      </c>
      <c r="E44" s="525">
        <f t="shared" ref="E44:H44" si="24">E43-D43</f>
        <v>-2.3323561973900397E-2</v>
      </c>
      <c r="F44" s="525">
        <f t="shared" si="24"/>
        <v>2.909939641657644E-4</v>
      </c>
      <c r="G44" s="525">
        <f t="shared" si="24"/>
        <v>-2.603893964367332E-2</v>
      </c>
      <c r="H44" s="525">
        <f t="shared" si="24"/>
        <v>-2.9274943069294901E-2</v>
      </c>
    </row>
    <row r="46" spans="2:11" x14ac:dyDescent="0.25">
      <c r="B46" s="482" t="s">
        <v>174</v>
      </c>
      <c r="C46" s="482"/>
      <c r="D46" s="482"/>
      <c r="E46" s="482"/>
      <c r="F46" s="482"/>
      <c r="G46" s="482"/>
      <c r="H46" s="482"/>
    </row>
    <row r="48" spans="2:11" x14ac:dyDescent="0.25">
      <c r="B48" t="s">
        <v>299</v>
      </c>
      <c r="C48" s="67">
        <f>'EF Sempertex 2015 I'!B57</f>
        <v>96562000</v>
      </c>
      <c r="D48" s="67">
        <f>C48*(1+D4)</f>
        <v>112011919.99999999</v>
      </c>
      <c r="E48" s="67">
        <f t="shared" ref="E48:H48" si="25">D48*(1+E4)</f>
        <v>129278899.68302366</v>
      </c>
      <c r="F48" s="67">
        <f t="shared" si="25"/>
        <v>152947931.28081855</v>
      </c>
      <c r="G48" s="67">
        <f t="shared" si="25"/>
        <v>178227955.79358459</v>
      </c>
      <c r="H48" s="67">
        <f t="shared" si="25"/>
        <v>207747997.18958372</v>
      </c>
    </row>
    <row r="49" spans="2:16" x14ac:dyDescent="0.25">
      <c r="B49" t="s">
        <v>300</v>
      </c>
      <c r="C49" s="67">
        <f>'EF Sempertex 2015 I'!B58</f>
        <v>50678744</v>
      </c>
      <c r="D49" s="68">
        <f>$C49/$C$48*D$48</f>
        <v>58787343.039999992</v>
      </c>
      <c r="E49" s="68">
        <f t="shared" ref="E49:H55" si="26">$C49/$C$48*E$48</f>
        <v>67849591.574715078</v>
      </c>
      <c r="F49" s="68">
        <f t="shared" si="26"/>
        <v>80271836.278351694</v>
      </c>
      <c r="G49" s="68">
        <f t="shared" si="26"/>
        <v>93539580.221064091</v>
      </c>
      <c r="H49" s="68">
        <f t="shared" si="26"/>
        <v>109032617.03448182</v>
      </c>
      <c r="I49" t="s">
        <v>4228</v>
      </c>
    </row>
    <row r="50" spans="2:16" x14ac:dyDescent="0.25">
      <c r="B50" s="78" t="s">
        <v>177</v>
      </c>
      <c r="C50" s="87">
        <f>C48-C49</f>
        <v>45883256</v>
      </c>
      <c r="D50" s="87">
        <f t="shared" ref="D50:H50" si="27">D48-D49</f>
        <v>53224576.959999993</v>
      </c>
      <c r="E50" s="87">
        <f t="shared" si="27"/>
        <v>61429308.108308583</v>
      </c>
      <c r="F50" s="87">
        <f t="shared" si="27"/>
        <v>72676095.002466857</v>
      </c>
      <c r="G50" s="87">
        <f t="shared" si="27"/>
        <v>84688375.572520494</v>
      </c>
      <c r="H50" s="87">
        <f t="shared" si="27"/>
        <v>98715380.155101895</v>
      </c>
      <c r="K50" s="98">
        <f>C50/C$48</f>
        <v>0.47516886559930405</v>
      </c>
      <c r="L50" s="98">
        <f t="shared" ref="L50:P50" si="28">D50/D$48</f>
        <v>0.4751688655993041</v>
      </c>
      <c r="M50" s="98">
        <f t="shared" si="28"/>
        <v>0.47516886559930405</v>
      </c>
      <c r="N50" s="98">
        <f t="shared" si="28"/>
        <v>0.47516886559930405</v>
      </c>
      <c r="O50" s="98">
        <f t="shared" si="28"/>
        <v>0.47516886559930405</v>
      </c>
      <c r="P50" s="98">
        <f t="shared" si="28"/>
        <v>0.47516886559930405</v>
      </c>
    </row>
    <row r="51" spans="2:16" x14ac:dyDescent="0.25">
      <c r="B51" t="s">
        <v>302</v>
      </c>
      <c r="C51" s="67">
        <f>'EF Sempertex 2015 I'!B60</f>
        <v>1497597</v>
      </c>
      <c r="D51" s="68">
        <f>$C51/$C$48*D$48</f>
        <v>1737212.5199999998</v>
      </c>
      <c r="E51" s="68">
        <f t="shared" si="26"/>
        <v>2005009.1374308444</v>
      </c>
      <c r="F51" s="68">
        <f t="shared" si="26"/>
        <v>2372096.3012609519</v>
      </c>
      <c r="G51" s="68">
        <f t="shared" si="26"/>
        <v>2764168.636861342</v>
      </c>
      <c r="H51" s="68">
        <f t="shared" si="26"/>
        <v>3222000.138223411</v>
      </c>
      <c r="I51" t="s">
        <v>4228</v>
      </c>
      <c r="L51" t="b">
        <f>L50=K50</f>
        <v>1</v>
      </c>
      <c r="M51" t="b">
        <f t="shared" ref="M51:P51" si="29">M50=L50</f>
        <v>1</v>
      </c>
      <c r="N51" t="b">
        <f t="shared" si="29"/>
        <v>1</v>
      </c>
      <c r="O51" t="b">
        <f t="shared" si="29"/>
        <v>1</v>
      </c>
      <c r="P51" t="b">
        <f t="shared" si="29"/>
        <v>1</v>
      </c>
    </row>
    <row r="52" spans="2:16" x14ac:dyDescent="0.25">
      <c r="B52" t="s">
        <v>303</v>
      </c>
      <c r="C52" s="67">
        <f>'EF Sempertex 2015 I'!B61</f>
        <v>18133089</v>
      </c>
      <c r="D52" s="68">
        <f>$C52/$C$48*D$48</f>
        <v>21034383.239999998</v>
      </c>
      <c r="E52" s="68">
        <f t="shared" si="26"/>
        <v>24276897.67998115</v>
      </c>
      <c r="F52" s="68">
        <f t="shared" si="26"/>
        <v>28721634.289689183</v>
      </c>
      <c r="G52" s="68">
        <f t="shared" si="26"/>
        <v>33468894.437699456</v>
      </c>
      <c r="H52" s="68">
        <f t="shared" si="26"/>
        <v>39012374.667161733</v>
      </c>
      <c r="I52" t="s">
        <v>4228</v>
      </c>
    </row>
    <row r="53" spans="2:16" x14ac:dyDescent="0.25">
      <c r="B53" t="s">
        <v>304</v>
      </c>
      <c r="C53" s="67">
        <f>'EF Sempertex 2015 I'!B62</f>
        <v>12675308</v>
      </c>
      <c r="D53" s="68">
        <f>$C53/$C$48*D$48</f>
        <v>14703357.279999996</v>
      </c>
      <c r="E53" s="68">
        <f t="shared" si="26"/>
        <v>16969924.725911096</v>
      </c>
      <c r="F53" s="68">
        <f t="shared" si="26"/>
        <v>20076863.952146906</v>
      </c>
      <c r="G53" s="68">
        <f t="shared" si="26"/>
        <v>23395271.782834541</v>
      </c>
      <c r="H53" s="68">
        <f t="shared" si="26"/>
        <v>27270249.692022823</v>
      </c>
      <c r="I53" t="s">
        <v>4228</v>
      </c>
    </row>
    <row r="54" spans="2:16" x14ac:dyDescent="0.25">
      <c r="B54" s="71" t="s">
        <v>4140</v>
      </c>
      <c r="C54" s="173">
        <f>'EF Sempertex 2015 I'!B84</f>
        <v>1221805</v>
      </c>
      <c r="D54" s="529">
        <f>D53*D9</f>
        <v>1293016.3163403852</v>
      </c>
      <c r="E54" s="529">
        <f t="shared" ref="E54:H54" si="30">E53*E9</f>
        <v>1492338.7318839058</v>
      </c>
      <c r="F54" s="529">
        <f t="shared" si="30"/>
        <v>1765563.6176632491</v>
      </c>
      <c r="G54" s="529">
        <f t="shared" si="30"/>
        <v>2057385.0967745024</v>
      </c>
      <c r="H54" s="529">
        <f t="shared" si="30"/>
        <v>2398151.465068792</v>
      </c>
      <c r="I54" s="488" t="s">
        <v>4249</v>
      </c>
      <c r="J54" s="488"/>
    </row>
    <row r="55" spans="2:16" x14ac:dyDescent="0.25">
      <c r="B55" t="s">
        <v>305</v>
      </c>
      <c r="C55" s="67">
        <f>'EF Sempertex 2015 I'!B63</f>
        <v>277776</v>
      </c>
      <c r="D55" s="68">
        <f>$C55/$C$48*D$48</f>
        <v>322220.15999999997</v>
      </c>
      <c r="E55" s="68">
        <f t="shared" si="26"/>
        <v>371891.38210011786</v>
      </c>
      <c r="F55" s="68">
        <f t="shared" si="26"/>
        <v>439979.12801578938</v>
      </c>
      <c r="G55" s="68">
        <f t="shared" si="26"/>
        <v>512701.15209418559</v>
      </c>
      <c r="H55" s="68">
        <f t="shared" si="26"/>
        <v>597620.26125529513</v>
      </c>
      <c r="I55" t="s">
        <v>4228</v>
      </c>
    </row>
    <row r="56" spans="2:16" x14ac:dyDescent="0.25">
      <c r="B56" s="78" t="s">
        <v>180</v>
      </c>
      <c r="C56" s="87">
        <f t="shared" ref="C56:H56" si="31">C50+C51-C52-C53-C55</f>
        <v>16294680</v>
      </c>
      <c r="D56" s="87">
        <f t="shared" si="31"/>
        <v>18901828.800000001</v>
      </c>
      <c r="E56" s="87">
        <f t="shared" si="31"/>
        <v>21815603.457747068</v>
      </c>
      <c r="F56" s="87">
        <f t="shared" si="31"/>
        <v>25809713.933875926</v>
      </c>
      <c r="G56" s="87">
        <f t="shared" si="31"/>
        <v>30075676.836753655</v>
      </c>
      <c r="H56" s="87">
        <f t="shared" si="31"/>
        <v>35057135.672885455</v>
      </c>
      <c r="K56" s="98">
        <f>C56/C$48</f>
        <v>0.16874836892359313</v>
      </c>
      <c r="L56" s="98">
        <f t="shared" ref="L56:P56" si="32">D56/D$48</f>
        <v>0.16874836892359316</v>
      </c>
      <c r="M56" s="98">
        <f t="shared" si="32"/>
        <v>0.16874836892359316</v>
      </c>
      <c r="N56" s="98">
        <f t="shared" si="32"/>
        <v>0.16874836892359305</v>
      </c>
      <c r="O56" s="98">
        <f t="shared" si="32"/>
        <v>0.1687483689235931</v>
      </c>
      <c r="P56" s="98">
        <f t="shared" si="32"/>
        <v>0.1687483689235931</v>
      </c>
    </row>
    <row r="57" spans="2:16" x14ac:dyDescent="0.25">
      <c r="B57" t="s">
        <v>307</v>
      </c>
      <c r="C57" s="67">
        <f>'EF Sempertex 2015 I'!B65</f>
        <v>53962906</v>
      </c>
      <c r="D57" s="414">
        <f>C57</f>
        <v>53962906</v>
      </c>
      <c r="E57" s="414">
        <f t="shared" ref="E57:H57" si="33">D57</f>
        <v>53962906</v>
      </c>
      <c r="F57" s="414">
        <f t="shared" si="33"/>
        <v>53962906</v>
      </c>
      <c r="G57" s="414">
        <f t="shared" si="33"/>
        <v>53962906</v>
      </c>
      <c r="H57" s="414">
        <f t="shared" si="33"/>
        <v>53962906</v>
      </c>
      <c r="I57" t="s">
        <v>4233</v>
      </c>
      <c r="L57" t="b">
        <f>L56=K56</f>
        <v>1</v>
      </c>
      <c r="M57" t="b">
        <f t="shared" ref="M57:P57" si="34">M56=L56</f>
        <v>1</v>
      </c>
      <c r="N57" t="b">
        <f t="shared" si="34"/>
        <v>1</v>
      </c>
      <c r="O57" t="b">
        <f t="shared" si="34"/>
        <v>1</v>
      </c>
      <c r="P57" t="b">
        <f t="shared" si="34"/>
        <v>1</v>
      </c>
    </row>
    <row r="58" spans="2:16" x14ac:dyDescent="0.25">
      <c r="B58" t="s">
        <v>4229</v>
      </c>
      <c r="C58" s="67">
        <f>C59+C60</f>
        <v>61097885</v>
      </c>
      <c r="D58" s="67">
        <f t="shared" ref="D58:H58" si="35">D59+D60</f>
        <v>61097885</v>
      </c>
      <c r="E58" s="67">
        <f t="shared" si="35"/>
        <v>61623732.875043973</v>
      </c>
      <c r="F58" s="67">
        <f t="shared" si="35"/>
        <v>62148751.66092997</v>
      </c>
      <c r="G58" s="67">
        <f t="shared" si="35"/>
        <v>62979483.305036709</v>
      </c>
      <c r="H58" s="67">
        <f t="shared" si="35"/>
        <v>63727200.46218282</v>
      </c>
      <c r="K58" s="68"/>
    </row>
    <row r="59" spans="2:16" x14ac:dyDescent="0.25">
      <c r="B59" s="65" t="s">
        <v>4230</v>
      </c>
      <c r="C59" s="67">
        <f>'EF Sempertex 2015 I'!B66-C60</f>
        <v>56953069.701800004</v>
      </c>
      <c r="D59" s="414">
        <f>C59</f>
        <v>56953069.701800004</v>
      </c>
      <c r="E59" s="414">
        <f t="shared" ref="E59:H59" si="36">D59</f>
        <v>56953069.701800004</v>
      </c>
      <c r="F59" s="414">
        <f t="shared" si="36"/>
        <v>56953069.701800004</v>
      </c>
      <c r="G59" s="414">
        <f t="shared" si="36"/>
        <v>56953069.701800004</v>
      </c>
      <c r="H59" s="414">
        <f t="shared" si="36"/>
        <v>56953069.701800004</v>
      </c>
      <c r="I59" t="s">
        <v>4233</v>
      </c>
    </row>
    <row r="60" spans="2:16" x14ac:dyDescent="0.25">
      <c r="B60" s="65" t="s">
        <v>4065</v>
      </c>
      <c r="C60" s="67">
        <f>(C28+C29)*C6</f>
        <v>4144815.2982000001</v>
      </c>
      <c r="D60" s="67">
        <f t="shared" ref="D60:H60" si="37">(D28+D29)*D6</f>
        <v>4144815.2982000001</v>
      </c>
      <c r="E60" s="67">
        <f t="shared" si="37"/>
        <v>4670663.1732439725</v>
      </c>
      <c r="F60" s="67">
        <f t="shared" si="37"/>
        <v>5195681.9591299677</v>
      </c>
      <c r="G60" s="67">
        <f t="shared" si="37"/>
        <v>6026413.6032367069</v>
      </c>
      <c r="H60" s="67">
        <f t="shared" si="37"/>
        <v>6774130.7603828171</v>
      </c>
      <c r="L60" s="526"/>
    </row>
    <row r="61" spans="2:16" x14ac:dyDescent="0.25">
      <c r="B61" s="78" t="s">
        <v>185</v>
      </c>
      <c r="C61" s="87">
        <f>C56+C57-C58</f>
        <v>9159701</v>
      </c>
      <c r="D61" s="87">
        <f t="shared" ref="D61:H61" si="38">D56+D57-D58</f>
        <v>11766849.799999997</v>
      </c>
      <c r="E61" s="87">
        <f t="shared" si="38"/>
        <v>14154776.582703099</v>
      </c>
      <c r="F61" s="87">
        <f t="shared" si="38"/>
        <v>17623868.272945948</v>
      </c>
      <c r="G61" s="87">
        <f t="shared" si="38"/>
        <v>21059099.531716943</v>
      </c>
      <c r="H61" s="87">
        <f t="shared" si="38"/>
        <v>25292841.210702628</v>
      </c>
      <c r="K61" s="98">
        <f>C61/C$48</f>
        <v>9.4858236159151635E-2</v>
      </c>
      <c r="L61" s="98">
        <f t="shared" ref="L61:P61" si="39">D61/D$48</f>
        <v>0.10504997860941942</v>
      </c>
      <c r="M61" s="98">
        <f t="shared" si="39"/>
        <v>0.10949023094572209</v>
      </c>
      <c r="N61" s="98">
        <f t="shared" si="39"/>
        <v>0.11522789569862057</v>
      </c>
      <c r="O61" s="98">
        <f t="shared" si="39"/>
        <v>0.11815822853350022</v>
      </c>
      <c r="P61" s="98">
        <f t="shared" si="39"/>
        <v>0.12174770179671694</v>
      </c>
    </row>
    <row r="62" spans="2:16" x14ac:dyDescent="0.25">
      <c r="B62" t="s">
        <v>4132</v>
      </c>
      <c r="C62" s="67">
        <f>'EF Sempertex 2015 I'!B68</f>
        <v>3663289</v>
      </c>
      <c r="D62" s="67">
        <f>D61*D7</f>
        <v>4705980.1883262554</v>
      </c>
      <c r="E62" s="67">
        <f>E61*E7</f>
        <v>5660996.7238967577</v>
      </c>
      <c r="F62" s="67">
        <f>F61*F7</f>
        <v>7048409.4166099839</v>
      </c>
      <c r="G62" s="67">
        <f>G61*G7</f>
        <v>8422280.1229476631</v>
      </c>
      <c r="H62" s="67">
        <f>H61*H7</f>
        <v>10115503.441205516</v>
      </c>
    </row>
    <row r="63" spans="2:16" x14ac:dyDescent="0.25">
      <c r="B63" s="78" t="s">
        <v>4206</v>
      </c>
      <c r="C63" s="87">
        <f>C61-C62</f>
        <v>5496412</v>
      </c>
      <c r="D63" s="87">
        <f t="shared" ref="D63:H63" si="40">D61-D62</f>
        <v>7060869.6116737416</v>
      </c>
      <c r="E63" s="87">
        <f t="shared" si="40"/>
        <v>8493779.8588063419</v>
      </c>
      <c r="F63" s="87">
        <f t="shared" si="40"/>
        <v>10575458.856335964</v>
      </c>
      <c r="G63" s="87">
        <f t="shared" si="40"/>
        <v>12636819.40876928</v>
      </c>
      <c r="H63" s="87">
        <f t="shared" si="40"/>
        <v>15177337.769497111</v>
      </c>
      <c r="K63" s="98">
        <f>C63/C$48</f>
        <v>5.6921066257948259E-2</v>
      </c>
      <c r="L63" s="98">
        <f t="shared" ref="L63:P63" si="41">D63/D$48</f>
        <v>6.3036769762305142E-2</v>
      </c>
      <c r="M63" s="98">
        <f t="shared" si="41"/>
        <v>6.5701207850871801E-2</v>
      </c>
      <c r="N63" s="98">
        <f t="shared" si="41"/>
        <v>6.914417715738172E-2</v>
      </c>
      <c r="O63" s="98">
        <f t="shared" si="41"/>
        <v>7.0902566056498237E-2</v>
      </c>
      <c r="P63" s="98">
        <f t="shared" si="41"/>
        <v>7.3056481770299775E-2</v>
      </c>
    </row>
    <row r="64" spans="2:16" s="488" customFormat="1" ht="5.0999999999999996" customHeight="1" x14ac:dyDescent="0.25">
      <c r="B64" s="172"/>
      <c r="C64" s="165"/>
    </row>
    <row r="65" spans="2:16" x14ac:dyDescent="0.25">
      <c r="B65" t="s">
        <v>4147</v>
      </c>
      <c r="C65" s="67">
        <f>'EF Sempertex 2015 I'!B90</f>
        <v>2520000</v>
      </c>
      <c r="D65" s="67">
        <f>D63*D8</f>
        <v>3237273.9564315462</v>
      </c>
      <c r="E65" s="67">
        <f>E63*E8</f>
        <v>3894235.9568736809</v>
      </c>
      <c r="F65" s="67">
        <f>F63*F8</f>
        <v>4848646.0472698603</v>
      </c>
      <c r="G65" s="67">
        <f>G63*G8</f>
        <v>5793740.5183779132</v>
      </c>
      <c r="H65" s="67">
        <f>H63*H8</f>
        <v>6958519.6996027082</v>
      </c>
      <c r="L65" s="156"/>
    </row>
    <row r="66" spans="2:16" x14ac:dyDescent="0.25">
      <c r="B66" s="78" t="s">
        <v>4208</v>
      </c>
      <c r="C66" s="518">
        <f>C63-C65</f>
        <v>2976412</v>
      </c>
      <c r="D66" s="518">
        <f t="shared" ref="D66:H66" si="42">D63-D65</f>
        <v>3823595.6552421954</v>
      </c>
      <c r="E66" s="518">
        <f t="shared" si="42"/>
        <v>4599543.9019326605</v>
      </c>
      <c r="F66" s="518">
        <f t="shared" si="42"/>
        <v>5726812.8090661038</v>
      </c>
      <c r="G66" s="518">
        <f t="shared" si="42"/>
        <v>6843078.8903913666</v>
      </c>
      <c r="H66" s="518">
        <f t="shared" si="42"/>
        <v>8218818.0698944032</v>
      </c>
      <c r="K66" s="98">
        <f>C66/C$48</f>
        <v>3.0823843748058244E-2</v>
      </c>
      <c r="L66" s="98">
        <f t="shared" ref="L66:P66" si="43">D66/D$48</f>
        <v>3.4135613917181278E-2</v>
      </c>
      <c r="M66" s="98">
        <f t="shared" si="43"/>
        <v>3.5578457994384159E-2</v>
      </c>
      <c r="N66" s="98">
        <f t="shared" si="43"/>
        <v>3.7442891584793296E-2</v>
      </c>
      <c r="O66" s="98">
        <f t="shared" si="43"/>
        <v>3.8395092733469409E-2</v>
      </c>
      <c r="P66" s="98">
        <f t="shared" si="43"/>
        <v>3.9561479201140941E-2</v>
      </c>
    </row>
    <row r="69" spans="2:16" x14ac:dyDescent="0.25">
      <c r="B69" s="482" t="s">
        <v>4143</v>
      </c>
      <c r="C69" s="482"/>
      <c r="D69" s="482"/>
      <c r="E69" s="482"/>
      <c r="F69" s="482"/>
      <c r="G69" s="482"/>
      <c r="H69" s="482"/>
    </row>
    <row r="71" spans="2:16" x14ac:dyDescent="0.25">
      <c r="B71" s="446" t="s">
        <v>394</v>
      </c>
      <c r="C71" s="67">
        <f t="shared" ref="C71:H71" si="44">C56*(1-C7)</f>
        <v>9777860.0729608964</v>
      </c>
      <c r="D71" s="67">
        <f t="shared" si="44"/>
        <v>11342317.684634639</v>
      </c>
      <c r="E71" s="67">
        <f t="shared" si="44"/>
        <v>13090770.60838585</v>
      </c>
      <c r="F71" s="67">
        <f t="shared" si="44"/>
        <v>15487494.775508812</v>
      </c>
      <c r="G71" s="67">
        <f t="shared" si="44"/>
        <v>18047347.950948924</v>
      </c>
      <c r="H71" s="67">
        <f t="shared" si="44"/>
        <v>21036544.882641438</v>
      </c>
    </row>
    <row r="72" spans="2:16" x14ac:dyDescent="0.25">
      <c r="B72" s="451" t="s">
        <v>4074</v>
      </c>
      <c r="C72" s="67">
        <f t="shared" ref="C72:H72" si="45">C54</f>
        <v>1221805</v>
      </c>
      <c r="D72" s="67">
        <f t="shared" si="45"/>
        <v>1293016.3163403852</v>
      </c>
      <c r="E72" s="67">
        <f t="shared" si="45"/>
        <v>1492338.7318839058</v>
      </c>
      <c r="F72" s="67">
        <f t="shared" si="45"/>
        <v>1765563.6176632491</v>
      </c>
      <c r="G72" s="67">
        <f t="shared" si="45"/>
        <v>2057385.0967745024</v>
      </c>
      <c r="H72" s="67">
        <f t="shared" si="45"/>
        <v>2398151.465068792</v>
      </c>
    </row>
    <row r="73" spans="2:16" x14ac:dyDescent="0.25">
      <c r="B73" s="454" t="s">
        <v>4075</v>
      </c>
      <c r="C73" s="87">
        <f>C71+C72</f>
        <v>10999665.072960896</v>
      </c>
      <c r="D73" s="87">
        <f t="shared" ref="D73:H73" si="46">D71+D72</f>
        <v>12635334.000975024</v>
      </c>
      <c r="E73" s="87">
        <f t="shared" si="46"/>
        <v>14583109.340269756</v>
      </c>
      <c r="F73" s="87">
        <f t="shared" si="46"/>
        <v>17253058.393172059</v>
      </c>
      <c r="G73" s="87">
        <f t="shared" si="46"/>
        <v>20104733.047723427</v>
      </c>
      <c r="H73" s="87">
        <f t="shared" si="46"/>
        <v>23434696.347710229</v>
      </c>
    </row>
    <row r="74" spans="2:16" x14ac:dyDescent="0.25">
      <c r="B74" s="451" t="s">
        <v>4077</v>
      </c>
      <c r="C74" s="67">
        <f>-('Flujo de Caja'!H13-'Flujo de Caja'!G13)</f>
        <v>-2855923</v>
      </c>
      <c r="D74" s="68">
        <f>-(D17-C17)</f>
        <v>-4171262.2399999984</v>
      </c>
      <c r="E74" s="68">
        <f>-(E17-D17)</f>
        <v>-4661842.9319144599</v>
      </c>
      <c r="F74" s="68">
        <f>-(F17-E17)</f>
        <v>-6390307.3777242079</v>
      </c>
      <c r="G74" s="68">
        <f>-(G17-F17)</f>
        <v>-6825252.9253468886</v>
      </c>
      <c r="H74" s="68">
        <f>-(H17-G17)</f>
        <v>-7969998.1616971567</v>
      </c>
    </row>
    <row r="75" spans="2:16" x14ac:dyDescent="0.25">
      <c r="B75" s="483" t="s">
        <v>4078</v>
      </c>
      <c r="C75" s="67">
        <f>-('Flujo de Caja'!H15-'Flujo de Caja'!G15)</f>
        <v>-5390232</v>
      </c>
      <c r="D75" s="68">
        <f>-(D23-C23)</f>
        <v>-3682715.0363403857</v>
      </c>
      <c r="E75" s="68">
        <f>-(E23-D23)</f>
        <v>-4163089.0818396136</v>
      </c>
      <c r="F75" s="68">
        <f>-(F23-E23)</f>
        <v>-5426544.0313411206</v>
      </c>
      <c r="G75" s="68">
        <f>-(G23-F23)</f>
        <v>-5967543.9985504076</v>
      </c>
      <c r="H75" s="68">
        <f>-(H23-G23)</f>
        <v>-6964130.1328137517</v>
      </c>
    </row>
    <row r="76" spans="2:16" x14ac:dyDescent="0.25">
      <c r="B76" s="456" t="s">
        <v>4079</v>
      </c>
      <c r="C76" s="518">
        <f>C73+C74+C75</f>
        <v>2753510.0729608964</v>
      </c>
      <c r="D76" s="518">
        <f t="shared" ref="D76:H76" si="47">D73+D74+D75</f>
        <v>4781356.7246346399</v>
      </c>
      <c r="E76" s="518">
        <f t="shared" si="47"/>
        <v>5758177.326515682</v>
      </c>
      <c r="F76" s="518">
        <f t="shared" si="47"/>
        <v>5436206.9841067307</v>
      </c>
      <c r="G76" s="518">
        <f t="shared" si="47"/>
        <v>7311936.1238261312</v>
      </c>
      <c r="H76" s="518">
        <f t="shared" si="47"/>
        <v>8500568.053199321</v>
      </c>
    </row>
    <row r="77" spans="2:16" x14ac:dyDescent="0.25">
      <c r="B77" s="451" t="s">
        <v>4080</v>
      </c>
      <c r="C77" s="67">
        <f t="shared" ref="C77:H77" si="48">-C60*(1-C7)</f>
        <v>-2487156.7906867326</v>
      </c>
      <c r="D77" s="67">
        <f t="shared" si="48"/>
        <v>-2487156.7906867326</v>
      </c>
      <c r="E77" s="67">
        <f t="shared" si="48"/>
        <v>-2802699.4673053464</v>
      </c>
      <c r="F77" s="67">
        <f t="shared" si="48"/>
        <v>-3117744.6368986783</v>
      </c>
      <c r="G77" s="67">
        <f t="shared" si="48"/>
        <v>-3616237.2599054785</v>
      </c>
      <c r="H77" s="67">
        <f t="shared" si="48"/>
        <v>-4064915.8308701604</v>
      </c>
    </row>
    <row r="78" spans="2:16" x14ac:dyDescent="0.25">
      <c r="B78" s="451" t="s">
        <v>4081</v>
      </c>
      <c r="C78" s="67">
        <f>('Flujo de Caja'!H17-'Flujo de Caja'!G17)</f>
        <v>6392896</v>
      </c>
      <c r="D78" s="67">
        <f>D27-C27</f>
        <v>2737365.3047577962</v>
      </c>
      <c r="E78" s="67">
        <f t="shared" ref="E78:H78" si="49">E27-D27</f>
        <v>2733049.3799375072</v>
      </c>
      <c r="F78" s="67">
        <f t="shared" si="49"/>
        <v>4324474.9823359698</v>
      </c>
      <c r="G78" s="67">
        <f t="shared" si="49"/>
        <v>3892332.9367314428</v>
      </c>
      <c r="H78" s="67">
        <f t="shared" si="49"/>
        <v>4317158.7595477104</v>
      </c>
    </row>
    <row r="79" spans="2:16" x14ac:dyDescent="0.25">
      <c r="B79" s="456" t="s">
        <v>4082</v>
      </c>
      <c r="C79" s="518">
        <f>C76+C77+C78</f>
        <v>6659249.2822741643</v>
      </c>
      <c r="D79" s="518">
        <f t="shared" ref="D79:H79" si="50">D76+D77+D78</f>
        <v>5031565.238705704</v>
      </c>
      <c r="E79" s="518">
        <f t="shared" si="50"/>
        <v>5688527.2391478429</v>
      </c>
      <c r="F79" s="518">
        <f t="shared" si="50"/>
        <v>6642937.3295440227</v>
      </c>
      <c r="G79" s="518">
        <f t="shared" si="50"/>
        <v>7588031.800652096</v>
      </c>
      <c r="H79" s="518">
        <f t="shared" si="50"/>
        <v>8752810.9818768706</v>
      </c>
    </row>
    <row r="80" spans="2:16" x14ac:dyDescent="0.25">
      <c r="B80" s="451" t="s">
        <v>4149</v>
      </c>
      <c r="C80" s="68">
        <f>-C65</f>
        <v>-2520000</v>
      </c>
      <c r="D80" s="68">
        <f t="shared" ref="D80:H80" si="51">-D65</f>
        <v>-3237273.9564315462</v>
      </c>
      <c r="E80" s="68">
        <f t="shared" si="51"/>
        <v>-3894235.9568736809</v>
      </c>
      <c r="F80" s="68">
        <f t="shared" si="51"/>
        <v>-4848646.0472698603</v>
      </c>
      <c r="G80" s="68">
        <f t="shared" si="51"/>
        <v>-5793740.5183779132</v>
      </c>
      <c r="H80" s="68">
        <f t="shared" si="51"/>
        <v>-6958519.6996027082</v>
      </c>
    </row>
    <row r="81" spans="2:10" x14ac:dyDescent="0.25">
      <c r="B81" s="451" t="s">
        <v>4150</v>
      </c>
      <c r="C81" s="67">
        <f>('Flujo de Caja'!H18-'Flujo de Caja'!G18)</f>
        <v>0</v>
      </c>
      <c r="D81" s="68">
        <f>(D36-C36)</f>
        <v>0</v>
      </c>
      <c r="E81" s="68">
        <f>(E36-D36)</f>
        <v>0</v>
      </c>
      <c r="F81" s="68">
        <f>(F36-E36)</f>
        <v>0</v>
      </c>
      <c r="G81" s="68">
        <f>(G36-F36)</f>
        <v>0</v>
      </c>
      <c r="H81" s="68">
        <f>(H36-G36)</f>
        <v>0</v>
      </c>
    </row>
    <row r="82" spans="2:10" x14ac:dyDescent="0.25">
      <c r="B82" s="456" t="s">
        <v>4151</v>
      </c>
      <c r="C82" s="518">
        <f>C79+C80+C81</f>
        <v>4139249.2822741643</v>
      </c>
      <c r="D82" s="518">
        <f t="shared" ref="D82:H82" si="52">D79+D80+D81</f>
        <v>1794291.2822741577</v>
      </c>
      <c r="E82" s="518">
        <f t="shared" si="52"/>
        <v>1794291.2822741619</v>
      </c>
      <c r="F82" s="518">
        <f t="shared" si="52"/>
        <v>1794291.2822741624</v>
      </c>
      <c r="G82" s="518">
        <f t="shared" si="52"/>
        <v>1794291.2822741829</v>
      </c>
      <c r="H82" s="518">
        <f t="shared" si="52"/>
        <v>1794291.2822741624</v>
      </c>
    </row>
    <row r="85" spans="2:10" x14ac:dyDescent="0.25">
      <c r="B85" s="482" t="s">
        <v>335</v>
      </c>
      <c r="C85" s="482"/>
      <c r="D85" s="482"/>
      <c r="E85" s="482"/>
      <c r="F85" s="482"/>
      <c r="G85" s="482"/>
      <c r="H85" s="482"/>
    </row>
    <row r="87" spans="2:10" x14ac:dyDescent="0.25">
      <c r="B87" s="488" t="s">
        <v>336</v>
      </c>
      <c r="C87" s="171">
        <f>(C18+C19+C14)/(C21+C20+C28)</f>
        <v>1.6311381942972671</v>
      </c>
      <c r="D87" s="171">
        <f t="shared" ref="D87:H87" si="53">(D18+D19+D14)/(D21+D20+D28)</f>
        <v>1.3369755969000969</v>
      </c>
      <c r="E87" s="171">
        <f t="shared" si="53"/>
        <v>1.4157210047019129</v>
      </c>
      <c r="F87" s="171">
        <f t="shared" si="53"/>
        <v>1.5216118791248792</v>
      </c>
      <c r="G87" s="171">
        <f t="shared" si="53"/>
        <v>1.6611026473246666</v>
      </c>
      <c r="H87" s="171">
        <f t="shared" si="53"/>
        <v>1.855793447369753</v>
      </c>
      <c r="J87" s="64"/>
    </row>
    <row r="88" spans="2:10" x14ac:dyDescent="0.25">
      <c r="B88" s="488" t="s">
        <v>337</v>
      </c>
      <c r="C88" s="171">
        <f>(C18+C14)/(C21+C20+C28)</f>
        <v>0.80634570446664211</v>
      </c>
      <c r="D88" s="171">
        <f t="shared" ref="D88:H88" si="54">(D18+D14)/(D21+D20+D28)</f>
        <v>0.59551861746868595</v>
      </c>
      <c r="E88" s="171">
        <f t="shared" si="54"/>
        <v>0.6308120794170019</v>
      </c>
      <c r="F88" s="171">
        <f t="shared" si="54"/>
        <v>0.67634076684765898</v>
      </c>
      <c r="G88" s="171">
        <f t="shared" si="54"/>
        <v>0.73784736557942454</v>
      </c>
      <c r="H88" s="171">
        <f t="shared" si="54"/>
        <v>0.82377695317837973</v>
      </c>
      <c r="J88" s="64"/>
    </row>
    <row r="90" spans="2:10" x14ac:dyDescent="0.25">
      <c r="B90" s="482" t="s">
        <v>416</v>
      </c>
      <c r="C90" s="482"/>
      <c r="D90" s="482"/>
      <c r="E90" s="482"/>
      <c r="F90" s="482"/>
      <c r="G90" s="482"/>
      <c r="H90" s="482"/>
    </row>
    <row r="91" spans="2:10" x14ac:dyDescent="0.25">
      <c r="C91" s="149">
        <f>360/C92</f>
        <v>70.5598396884903</v>
      </c>
      <c r="D91" s="149">
        <f t="shared" ref="D91:H91" si="55">360/D92</f>
        <v>120</v>
      </c>
      <c r="E91" s="149">
        <f t="shared" si="55"/>
        <v>105.0817614946058</v>
      </c>
      <c r="F91" s="149">
        <f t="shared" si="55"/>
        <v>92.018138323410156</v>
      </c>
      <c r="G91" s="149">
        <f t="shared" si="55"/>
        <v>80.578567203985259</v>
      </c>
      <c r="H91" s="149">
        <f t="shared" si="55"/>
        <v>70.56114817088536</v>
      </c>
    </row>
    <row r="92" spans="2:10" x14ac:dyDescent="0.25">
      <c r="B92" t="s">
        <v>4211</v>
      </c>
      <c r="C92" s="64">
        <f t="shared" ref="C92:C93" si="56">C48/C18</f>
        <v>5.1020524081310112</v>
      </c>
      <c r="D92" s="613">
        <f>Supuestos!E56</f>
        <v>3</v>
      </c>
      <c r="E92" s="613">
        <f>Supuestos!F56</f>
        <v>3.4259037427582522</v>
      </c>
      <c r="F92" s="613">
        <f>Supuestos!G56</f>
        <v>3.9122721515483336</v>
      </c>
      <c r="G92" s="613">
        <f>Supuestos!H56</f>
        <v>4.4676892688927721</v>
      </c>
      <c r="H92" s="613">
        <f>Supuestos!I56</f>
        <v>5.101957795926876</v>
      </c>
    </row>
    <row r="93" spans="2:10" x14ac:dyDescent="0.25">
      <c r="B93" t="s">
        <v>4212</v>
      </c>
      <c r="C93" s="64">
        <f t="shared" si="56"/>
        <v>1.720009809864969</v>
      </c>
      <c r="D93" s="613">
        <f>Supuestos!E58</f>
        <v>1</v>
      </c>
      <c r="E93" s="613">
        <f>Supuestos!F58</f>
        <v>1.1452113949139828</v>
      </c>
      <c r="F93" s="613">
        <f>Supuestos!G58</f>
        <v>1.3115091390408304</v>
      </c>
      <c r="G93" s="613">
        <f>Supuestos!H58</f>
        <v>1.501955210563386</v>
      </c>
      <c r="H93" s="613">
        <f>Supuestos!I58</f>
        <v>1.7200562217876201</v>
      </c>
    </row>
    <row r="94" spans="2:10" x14ac:dyDescent="0.25">
      <c r="B94" t="s">
        <v>4213</v>
      </c>
      <c r="C94" s="64">
        <f t="shared" ref="C94" si="57">C96/C20</f>
        <v>3.2670404174489476</v>
      </c>
      <c r="D94" s="613">
        <f>Supuestos!E60</f>
        <v>3.1142838668263475</v>
      </c>
      <c r="E94" s="613">
        <f>Supuestos!F60</f>
        <v>2.9686697328183347</v>
      </c>
      <c r="F94" s="613">
        <f>Supuestos!G60</f>
        <v>2.8298640584529271</v>
      </c>
      <c r="G94" s="613">
        <f>Supuestos!H60</f>
        <v>2.697548501537447</v>
      </c>
      <c r="H94" s="613">
        <f>Supuestos!I60</f>
        <v>2.5714196045604742</v>
      </c>
    </row>
    <row r="95" spans="2:10" outlineLevel="1" x14ac:dyDescent="0.25">
      <c r="B95" s="65" t="s">
        <v>373</v>
      </c>
      <c r="C95" s="67">
        <f>'EF Sempertex 2011-2014 I'!E38</f>
        <v>21695622</v>
      </c>
      <c r="D95" s="68">
        <f>C98</f>
        <v>29464218</v>
      </c>
      <c r="E95" s="68">
        <f t="shared" ref="E95:H95" si="58">D98</f>
        <v>58787343.039999992</v>
      </c>
      <c r="F95" s="68">
        <f t="shared" si="58"/>
        <v>59246346.89808625</v>
      </c>
      <c r="G95" s="68">
        <f t="shared" si="58"/>
        <v>61205701.04228045</v>
      </c>
      <c r="H95" s="68">
        <f t="shared" si="58"/>
        <v>62278541.705632642</v>
      </c>
    </row>
    <row r="96" spans="2:10" outlineLevel="1" x14ac:dyDescent="0.25">
      <c r="B96" s="65" t="s">
        <v>375</v>
      </c>
      <c r="C96" s="67">
        <f>C98+C97-C95</f>
        <v>58447340</v>
      </c>
      <c r="D96" s="67">
        <f>D98+D97-D95</f>
        <v>88110468.079999983</v>
      </c>
      <c r="E96" s="67">
        <f t="shared" ref="E96:H96" si="59">E98+E97-E95</f>
        <v>68308595.432801336</v>
      </c>
      <c r="F96" s="67">
        <f t="shared" si="59"/>
        <v>82231190.42254591</v>
      </c>
      <c r="G96" s="67">
        <f t="shared" si="59"/>
        <v>94612420.884416267</v>
      </c>
      <c r="H96" s="67">
        <f t="shared" si="59"/>
        <v>110143059.74307166</v>
      </c>
    </row>
    <row r="97" spans="2:8" outlineLevel="1" x14ac:dyDescent="0.25">
      <c r="B97" s="65" t="s">
        <v>374</v>
      </c>
      <c r="C97" s="67">
        <f t="shared" ref="C97:H97" si="60">C49</f>
        <v>50678744</v>
      </c>
      <c r="D97" s="67">
        <f t="shared" si="60"/>
        <v>58787343.039999992</v>
      </c>
      <c r="E97" s="67">
        <f t="shared" si="60"/>
        <v>67849591.574715078</v>
      </c>
      <c r="F97" s="67">
        <f t="shared" si="60"/>
        <v>80271836.278351694</v>
      </c>
      <c r="G97" s="67">
        <f t="shared" si="60"/>
        <v>93539580.221064091</v>
      </c>
      <c r="H97" s="67">
        <f t="shared" si="60"/>
        <v>109032617.03448182</v>
      </c>
    </row>
    <row r="98" spans="2:8" outlineLevel="1" x14ac:dyDescent="0.25">
      <c r="B98" s="65" t="s">
        <v>372</v>
      </c>
      <c r="C98" s="67">
        <f t="shared" ref="C98:H98" si="61">C19</f>
        <v>29464218</v>
      </c>
      <c r="D98" s="67">
        <f t="shared" si="61"/>
        <v>58787343.039999992</v>
      </c>
      <c r="E98" s="67">
        <f t="shared" si="61"/>
        <v>59246346.89808625</v>
      </c>
      <c r="F98" s="67">
        <f t="shared" si="61"/>
        <v>61205701.04228045</v>
      </c>
      <c r="G98" s="67">
        <f t="shared" si="61"/>
        <v>62278541.705632642</v>
      </c>
      <c r="H98" s="67">
        <f t="shared" si="61"/>
        <v>63388984.414222464</v>
      </c>
    </row>
    <row r="99" spans="2:8" x14ac:dyDescent="0.25">
      <c r="B99" t="s">
        <v>4219</v>
      </c>
      <c r="C99" s="64">
        <f t="shared" ref="C99:H99" si="62">C48/C17</f>
        <v>3.7038956342385223</v>
      </c>
      <c r="D99" s="64">
        <f t="shared" si="62"/>
        <v>3.7038956342385223</v>
      </c>
      <c r="E99" s="64">
        <f t="shared" si="62"/>
        <v>3.7038956342385219</v>
      </c>
      <c r="F99" s="64">
        <f t="shared" si="62"/>
        <v>3.7038956342385214</v>
      </c>
      <c r="G99" s="64">
        <f t="shared" si="62"/>
        <v>3.7038956342385214</v>
      </c>
      <c r="H99" s="64">
        <f t="shared" si="62"/>
        <v>3.7038956342385214</v>
      </c>
    </row>
    <row r="100" spans="2:8" x14ac:dyDescent="0.25">
      <c r="B100" t="s">
        <v>4220</v>
      </c>
      <c r="C100" s="64">
        <f t="shared" ref="C100:H100" si="63">C48/C22</f>
        <v>6.465216669656165</v>
      </c>
      <c r="D100" s="64">
        <f t="shared" si="63"/>
        <v>6.4652166696561642</v>
      </c>
      <c r="E100" s="64">
        <f t="shared" si="63"/>
        <v>6.4652166696561642</v>
      </c>
      <c r="F100" s="64">
        <f t="shared" si="63"/>
        <v>6.4652166696561642</v>
      </c>
      <c r="G100" s="64">
        <f t="shared" si="63"/>
        <v>6.4652166696561642</v>
      </c>
      <c r="H100" s="64">
        <f t="shared" si="63"/>
        <v>6.4652166696561642</v>
      </c>
    </row>
    <row r="101" spans="2:8" x14ac:dyDescent="0.25">
      <c r="B101" s="426" t="s">
        <v>4221</v>
      </c>
      <c r="C101" s="64">
        <f t="shared" ref="C101:H101" si="64">C48/C23</f>
        <v>5.1370282960022502</v>
      </c>
      <c r="D101" s="64">
        <f t="shared" si="64"/>
        <v>4.9827446262336155</v>
      </c>
      <c r="E101" s="64">
        <f t="shared" si="64"/>
        <v>4.8522554494630974</v>
      </c>
      <c r="F101" s="64">
        <f t="shared" si="64"/>
        <v>4.7692501582640698</v>
      </c>
      <c r="G101" s="64">
        <f t="shared" si="64"/>
        <v>4.6856296349869266</v>
      </c>
      <c r="H101" s="64">
        <f t="shared" si="64"/>
        <v>4.616491740708371</v>
      </c>
    </row>
    <row r="102" spans="2:8" x14ac:dyDescent="0.25">
      <c r="B102" t="s">
        <v>4222</v>
      </c>
      <c r="C102" s="64">
        <f t="shared" ref="C102:H102" si="65">C48/C16</f>
        <v>2.3548257784481619</v>
      </c>
      <c r="D102" s="64">
        <f t="shared" si="65"/>
        <v>2.3548257784481619</v>
      </c>
      <c r="E102" s="64">
        <f t="shared" si="65"/>
        <v>2.3548257784481619</v>
      </c>
      <c r="F102" s="64">
        <f t="shared" si="65"/>
        <v>2.3548257784481614</v>
      </c>
      <c r="G102" s="64">
        <f t="shared" si="65"/>
        <v>2.3548257784481614</v>
      </c>
      <c r="H102" s="64">
        <f t="shared" si="65"/>
        <v>2.3548257784481614</v>
      </c>
    </row>
    <row r="104" spans="2:8" x14ac:dyDescent="0.25">
      <c r="B104" s="482" t="s">
        <v>4214</v>
      </c>
      <c r="C104" s="482"/>
      <c r="D104" s="482"/>
      <c r="E104" s="482"/>
      <c r="F104" s="482"/>
      <c r="G104" s="482"/>
      <c r="H104" s="482"/>
    </row>
    <row r="106" spans="2:8" x14ac:dyDescent="0.25">
      <c r="B106" t="s">
        <v>384</v>
      </c>
      <c r="C106" s="149">
        <f>360/C92+360/C93-360/C94</f>
        <v>169.66949729985691</v>
      </c>
      <c r="D106" s="149">
        <f t="shared" ref="D106:H106" si="66">360/D92+360/D93-360/D94</f>
        <v>364.40360115057115</v>
      </c>
      <c r="E106" s="149">
        <f t="shared" si="66"/>
        <v>298.16776809950312</v>
      </c>
      <c r="F106" s="149">
        <f t="shared" si="66"/>
        <v>239.29648734108736</v>
      </c>
      <c r="G106" s="149">
        <f t="shared" si="66"/>
        <v>186.81163574838143</v>
      </c>
      <c r="H106" s="149">
        <f t="shared" si="66"/>
        <v>139.85614429496738</v>
      </c>
    </row>
    <row r="107" spans="2:8" x14ac:dyDescent="0.25">
      <c r="B107" t="s">
        <v>392</v>
      </c>
      <c r="C107" s="149">
        <f>360/C92+360/C93</f>
        <v>279.86097153974532</v>
      </c>
      <c r="D107" s="149">
        <f t="shared" ref="D107:H107" si="67">360/D92+360/D93</f>
        <v>480</v>
      </c>
      <c r="E107" s="149">
        <f t="shared" si="67"/>
        <v>419.43420471932563</v>
      </c>
      <c r="F107" s="149">
        <f t="shared" si="67"/>
        <v>366.51107877160655</v>
      </c>
      <c r="G107" s="149">
        <f t="shared" si="67"/>
        <v>320.26614075350767</v>
      </c>
      <c r="H107" s="149">
        <f t="shared" si="67"/>
        <v>279.85663249282175</v>
      </c>
    </row>
    <row r="109" spans="2:8" x14ac:dyDescent="0.25">
      <c r="B109" s="482" t="s">
        <v>4215</v>
      </c>
      <c r="C109" s="482"/>
      <c r="D109" s="482"/>
      <c r="E109" s="482"/>
      <c r="F109" s="482"/>
      <c r="G109" s="482"/>
      <c r="H109" s="482"/>
    </row>
    <row r="111" spans="2:8" x14ac:dyDescent="0.25">
      <c r="B111" s="488" t="s">
        <v>4216</v>
      </c>
      <c r="C111" s="171">
        <f t="shared" ref="C111:H111" si="68">C17/C48</f>
        <v>0.26998600898904329</v>
      </c>
      <c r="D111" s="171">
        <f t="shared" si="68"/>
        <v>0.26998600898904335</v>
      </c>
      <c r="E111" s="171">
        <f t="shared" si="68"/>
        <v>0.26998600898904335</v>
      </c>
      <c r="F111" s="171">
        <f t="shared" si="68"/>
        <v>0.2699860089890434</v>
      </c>
      <c r="G111" s="171">
        <f t="shared" si="68"/>
        <v>0.2699860089890434</v>
      </c>
      <c r="H111" s="171">
        <f t="shared" si="68"/>
        <v>0.2699860089890434</v>
      </c>
    </row>
    <row r="112" spans="2:8" x14ac:dyDescent="0.25">
      <c r="B112" s="488" t="s">
        <v>4105</v>
      </c>
      <c r="C112" s="171">
        <f>(C56+C54)/C17</f>
        <v>0.67189196908415905</v>
      </c>
      <c r="D112" s="171">
        <f t="shared" ref="D112:H112" si="69">(D56+D54)/D17</f>
        <v>0.66778248833281595</v>
      </c>
      <c r="E112" s="171">
        <f t="shared" si="69"/>
        <v>0.66778248833281584</v>
      </c>
      <c r="F112" s="171">
        <f t="shared" si="69"/>
        <v>0.66778248833281539</v>
      </c>
      <c r="G112" s="171">
        <f t="shared" si="69"/>
        <v>0.66778248833281562</v>
      </c>
      <c r="H112" s="171">
        <f t="shared" si="69"/>
        <v>0.6677824883328155</v>
      </c>
    </row>
    <row r="114" spans="2:8" x14ac:dyDescent="0.25">
      <c r="B114" s="482" t="s">
        <v>411</v>
      </c>
      <c r="C114" s="482"/>
      <c r="D114" s="482"/>
      <c r="E114" s="482"/>
      <c r="F114" s="482"/>
      <c r="G114" s="482"/>
      <c r="H114" s="482"/>
    </row>
    <row r="116" spans="2:8" x14ac:dyDescent="0.25">
      <c r="B116" t="s">
        <v>412</v>
      </c>
      <c r="C116" s="81">
        <f t="shared" ref="C116:H116" si="70">C50/C48</f>
        <v>0.47516886559930405</v>
      </c>
      <c r="D116" s="81">
        <f t="shared" si="70"/>
        <v>0.4751688655993041</v>
      </c>
      <c r="E116" s="81">
        <f t="shared" si="70"/>
        <v>0.47516886559930405</v>
      </c>
      <c r="F116" s="81">
        <f t="shared" si="70"/>
        <v>0.47516886559930405</v>
      </c>
      <c r="G116" s="81">
        <f t="shared" si="70"/>
        <v>0.47516886559930405</v>
      </c>
      <c r="H116" s="81">
        <f t="shared" si="70"/>
        <v>0.47516886559930405</v>
      </c>
    </row>
    <row r="117" spans="2:8" x14ac:dyDescent="0.25">
      <c r="B117" t="s">
        <v>452</v>
      </c>
      <c r="C117" s="81">
        <f t="shared" ref="C117:H117" si="71">C56/C48</f>
        <v>0.16874836892359313</v>
      </c>
      <c r="D117" s="81">
        <f t="shared" si="71"/>
        <v>0.16874836892359316</v>
      </c>
      <c r="E117" s="81">
        <f t="shared" si="71"/>
        <v>0.16874836892359316</v>
      </c>
      <c r="F117" s="81">
        <f t="shared" si="71"/>
        <v>0.16874836892359305</v>
      </c>
      <c r="G117" s="81">
        <f t="shared" si="71"/>
        <v>0.1687483689235931</v>
      </c>
      <c r="H117" s="81">
        <f t="shared" si="71"/>
        <v>0.1687483689235931</v>
      </c>
    </row>
    <row r="118" spans="2:8" x14ac:dyDescent="0.25">
      <c r="B118" t="s">
        <v>404</v>
      </c>
      <c r="C118" s="81">
        <f t="shared" ref="C118:H118" si="72">C63/C48</f>
        <v>5.6921066257948259E-2</v>
      </c>
      <c r="D118" s="81">
        <f t="shared" si="72"/>
        <v>6.3036769762305142E-2</v>
      </c>
      <c r="E118" s="81">
        <f t="shared" si="72"/>
        <v>6.5701207850871801E-2</v>
      </c>
      <c r="F118" s="81">
        <f t="shared" si="72"/>
        <v>6.914417715738172E-2</v>
      </c>
      <c r="G118" s="81">
        <f t="shared" si="72"/>
        <v>7.0902566056498237E-2</v>
      </c>
      <c r="H118" s="81">
        <f t="shared" si="72"/>
        <v>7.3056481770299775E-2</v>
      </c>
    </row>
    <row r="120" spans="2:8" x14ac:dyDescent="0.25">
      <c r="B120" s="26" t="s">
        <v>393</v>
      </c>
      <c r="C120" s="154">
        <f t="shared" ref="C120:H120" si="73">C71/C16</f>
        <v>0.2384494620851613</v>
      </c>
      <c r="D120" s="154">
        <f t="shared" si="73"/>
        <v>0.2384494620851613</v>
      </c>
      <c r="E120" s="154">
        <f t="shared" si="73"/>
        <v>0.23844946208516132</v>
      </c>
      <c r="F120" s="154">
        <f t="shared" si="73"/>
        <v>0.23844946208516113</v>
      </c>
      <c r="G120" s="154">
        <f t="shared" si="73"/>
        <v>0.23844946208516116</v>
      </c>
      <c r="H120" s="154">
        <f t="shared" si="73"/>
        <v>0.23844946208516116</v>
      </c>
    </row>
    <row r="121" spans="2:8" x14ac:dyDescent="0.25">
      <c r="B121" s="65" t="s">
        <v>398</v>
      </c>
      <c r="C121" s="81">
        <f t="shared" ref="C121:H121" si="74">C71/C48</f>
        <v>0.1012599166645357</v>
      </c>
      <c r="D121" s="81">
        <f t="shared" si="74"/>
        <v>0.10125991666453571</v>
      </c>
      <c r="E121" s="81">
        <f t="shared" si="74"/>
        <v>0.10125991666453572</v>
      </c>
      <c r="F121" s="81">
        <f t="shared" si="74"/>
        <v>0.10125991666453565</v>
      </c>
      <c r="G121" s="81">
        <f t="shared" si="74"/>
        <v>0.10125991666453568</v>
      </c>
      <c r="H121" s="81">
        <f t="shared" si="74"/>
        <v>0.10125991666453567</v>
      </c>
    </row>
    <row r="122" spans="2:8" x14ac:dyDescent="0.25">
      <c r="B122" s="65" t="s">
        <v>4217</v>
      </c>
      <c r="C122" s="64">
        <f>C102</f>
        <v>2.3548257784481619</v>
      </c>
      <c r="D122" s="64">
        <f t="shared" ref="D122:H122" si="75">D102</f>
        <v>2.3548257784481619</v>
      </c>
      <c r="E122" s="64">
        <f t="shared" si="75"/>
        <v>2.3548257784481619</v>
      </c>
      <c r="F122" s="64">
        <f t="shared" si="75"/>
        <v>2.3548257784481614</v>
      </c>
      <c r="G122" s="64">
        <f t="shared" si="75"/>
        <v>2.3548257784481614</v>
      </c>
      <c r="H122" s="64">
        <f t="shared" si="75"/>
        <v>2.3548257784481614</v>
      </c>
    </row>
    <row r="124" spans="2:8" x14ac:dyDescent="0.25">
      <c r="B124" s="26" t="s">
        <v>400</v>
      </c>
      <c r="C124" s="154">
        <f t="shared" ref="C124:H124" si="76">C63/C35</f>
        <v>0.19990606283170154</v>
      </c>
      <c r="D124" s="154">
        <f t="shared" si="76"/>
        <v>0.22545313178093598</v>
      </c>
      <c r="E124" s="154">
        <f t="shared" si="76"/>
        <v>0.23647622376620217</v>
      </c>
      <c r="F124" s="154">
        <f t="shared" si="76"/>
        <v>0.25394351194984588</v>
      </c>
      <c r="G124" s="154">
        <f t="shared" si="76"/>
        <v>0.26061743191716014</v>
      </c>
      <c r="H124" s="154">
        <f t="shared" si="76"/>
        <v>0.26764570609260957</v>
      </c>
    </row>
    <row r="125" spans="2:8" x14ac:dyDescent="0.25">
      <c r="B125" s="65" t="s">
        <v>404</v>
      </c>
      <c r="C125" s="156">
        <f>C118</f>
        <v>5.6921066257948259E-2</v>
      </c>
      <c r="D125" s="156">
        <f t="shared" ref="D125:H125" si="77">D118</f>
        <v>6.3036769762305142E-2</v>
      </c>
      <c r="E125" s="156">
        <f t="shared" si="77"/>
        <v>6.5701207850871801E-2</v>
      </c>
      <c r="F125" s="156">
        <f t="shared" si="77"/>
        <v>6.914417715738172E-2</v>
      </c>
      <c r="G125" s="156">
        <f t="shared" si="77"/>
        <v>7.0902566056498237E-2</v>
      </c>
      <c r="H125" s="156">
        <f t="shared" si="77"/>
        <v>7.3056481770299775E-2</v>
      </c>
    </row>
    <row r="126" spans="2:8" x14ac:dyDescent="0.25">
      <c r="B126" s="65" t="s">
        <v>399</v>
      </c>
      <c r="C126" s="64">
        <f>C102</f>
        <v>2.3548257784481619</v>
      </c>
      <c r="D126" s="64">
        <f t="shared" ref="D126:H126" si="78">D102</f>
        <v>2.3548257784481619</v>
      </c>
      <c r="E126" s="64">
        <f t="shared" si="78"/>
        <v>2.3548257784481619</v>
      </c>
      <c r="F126" s="64">
        <f t="shared" si="78"/>
        <v>2.3548257784481614</v>
      </c>
      <c r="G126" s="64">
        <f t="shared" si="78"/>
        <v>2.3548257784481614</v>
      </c>
      <c r="H126" s="64">
        <f t="shared" si="78"/>
        <v>2.3548257784481614</v>
      </c>
    </row>
    <row r="127" spans="2:8" x14ac:dyDescent="0.25">
      <c r="B127" s="65" t="s">
        <v>405</v>
      </c>
      <c r="C127" s="64">
        <f t="shared" ref="C127:H127" si="79">C16/C35</f>
        <v>1.4914000646081718</v>
      </c>
      <c r="D127" s="64">
        <f t="shared" si="79"/>
        <v>1.5188103251081293</v>
      </c>
      <c r="E127" s="64">
        <f t="shared" si="79"/>
        <v>1.5284644655538611</v>
      </c>
      <c r="F127" s="64">
        <f t="shared" si="79"/>
        <v>1.5596341187416287</v>
      </c>
      <c r="G127" s="64">
        <f t="shared" si="79"/>
        <v>1.5609274801017405</v>
      </c>
      <c r="H127" s="64">
        <f t="shared" si="79"/>
        <v>1.5557605154822334</v>
      </c>
    </row>
    <row r="129" spans="2:9" x14ac:dyDescent="0.25">
      <c r="B129" s="426" t="s">
        <v>406</v>
      </c>
      <c r="C129" s="156">
        <f>C124-C120</f>
        <v>-3.8543399253459759E-2</v>
      </c>
      <c r="D129" s="156">
        <f t="shared" ref="D129:H129" si="80">D124-D120</f>
        <v>-1.2996330304225312E-2</v>
      </c>
      <c r="E129" s="156">
        <f t="shared" si="80"/>
        <v>-1.9732383189591529E-3</v>
      </c>
      <c r="F129" s="156">
        <f t="shared" si="80"/>
        <v>1.549404986468475E-2</v>
      </c>
      <c r="G129" s="156">
        <f t="shared" si="80"/>
        <v>2.2167969831998979E-2</v>
      </c>
      <c r="H129" s="156">
        <f t="shared" si="80"/>
        <v>2.9196244007448413E-2</v>
      </c>
    </row>
    <row r="131" spans="2:9" x14ac:dyDescent="0.25">
      <c r="B131" s="26" t="s">
        <v>4070</v>
      </c>
      <c r="C131" s="73">
        <f>C132-C133*C134</f>
        <v>5125828.0714746974</v>
      </c>
      <c r="D131" s="73">
        <f t="shared" ref="D131:H131" si="81">D132-D133*D134</f>
        <v>5946371.1550457859</v>
      </c>
      <c r="E131" s="73">
        <f t="shared" si="81"/>
        <v>6864361.649851935</v>
      </c>
      <c r="F131" s="73">
        <f t="shared" si="81"/>
        <v>8121103.5008101016</v>
      </c>
      <c r="G131" s="73">
        <f t="shared" si="81"/>
        <v>9465520.8954893257</v>
      </c>
      <c r="H131" s="73">
        <f t="shared" si="81"/>
        <v>11036170.809969893</v>
      </c>
    </row>
    <row r="132" spans="2:9" x14ac:dyDescent="0.25">
      <c r="B132" s="119" t="s">
        <v>394</v>
      </c>
      <c r="C132" s="67">
        <f>C71</f>
        <v>9777860.0729608964</v>
      </c>
      <c r="D132" s="67">
        <f t="shared" ref="D132:H132" si="82">D71</f>
        <v>11342317.684634639</v>
      </c>
      <c r="E132" s="67">
        <f t="shared" si="82"/>
        <v>13090770.60838585</v>
      </c>
      <c r="F132" s="67">
        <f t="shared" si="82"/>
        <v>15487494.775508812</v>
      </c>
      <c r="G132" s="67">
        <f t="shared" si="82"/>
        <v>18047347.950948924</v>
      </c>
      <c r="H132" s="67">
        <f t="shared" si="82"/>
        <v>21036544.882641438</v>
      </c>
    </row>
    <row r="133" spans="2:9" x14ac:dyDescent="0.25">
      <c r="B133" s="119" t="s">
        <v>379</v>
      </c>
      <c r="C133" s="67">
        <f t="shared" ref="C133:H133" si="83">C16</f>
        <v>41006006</v>
      </c>
      <c r="D133" s="67">
        <f t="shared" si="83"/>
        <v>47566966.959999993</v>
      </c>
      <c r="E133" s="67">
        <f t="shared" si="83"/>
        <v>54899560.241870165</v>
      </c>
      <c r="F133" s="67">
        <f t="shared" si="83"/>
        <v>64950848.033272244</v>
      </c>
      <c r="G133" s="67">
        <f t="shared" si="83"/>
        <v>75686259.860395044</v>
      </c>
      <c r="H133" s="67">
        <f t="shared" si="83"/>
        <v>88222236.689837158</v>
      </c>
    </row>
    <row r="134" spans="2:9" x14ac:dyDescent="0.25">
      <c r="B134" s="119" t="s">
        <v>4071</v>
      </c>
      <c r="C134" s="156">
        <f>C135*C137+C136*C138</f>
        <v>0.11344757647175389</v>
      </c>
      <c r="D134" s="156">
        <f t="shared" ref="D134:H134" si="84">D135*D137+D136*D138</f>
        <v>0.11343894459628699</v>
      </c>
      <c r="E134" s="156">
        <f t="shared" si="84"/>
        <v>0.11341455070135933</v>
      </c>
      <c r="F134" s="156">
        <f t="shared" si="84"/>
        <v>0.11341485904733904</v>
      </c>
      <c r="G134" s="156">
        <f t="shared" si="84"/>
        <v>0.11338685609896651</v>
      </c>
      <c r="H134" s="156">
        <f t="shared" si="84"/>
        <v>0.11335434747398042</v>
      </c>
    </row>
    <row r="135" spans="2:9" x14ac:dyDescent="0.25">
      <c r="B135" s="115" t="s">
        <v>4102</v>
      </c>
      <c r="C135" s="81">
        <f>C6*(1-C7)</f>
        <v>0.11527240301839546</v>
      </c>
      <c r="D135" s="81">
        <f t="shared" ref="D135:H135" si="85">D6*(1-D7)</f>
        <v>0.11527240301839546</v>
      </c>
      <c r="E135" s="81">
        <f t="shared" si="85"/>
        <v>0.11527240301839546</v>
      </c>
      <c r="F135" s="81">
        <f t="shared" si="85"/>
        <v>0.11527240301839546</v>
      </c>
      <c r="G135" s="81">
        <f t="shared" si="85"/>
        <v>0.11527240301839546</v>
      </c>
      <c r="H135" s="81">
        <f t="shared" si="85"/>
        <v>0.11527240301839546</v>
      </c>
    </row>
    <row r="136" spans="2:9" x14ac:dyDescent="0.25">
      <c r="B136" s="115" t="s">
        <v>4103</v>
      </c>
      <c r="C136" s="531">
        <f>'Analisis Sectorial'!$H$203</f>
        <v>0.11201556632833577</v>
      </c>
      <c r="D136" s="531">
        <f>'Analisis Sectorial'!$H$203</f>
        <v>0.11201556632833577</v>
      </c>
      <c r="E136" s="531">
        <f>'Analisis Sectorial'!$H$203</f>
        <v>0.11201556632833577</v>
      </c>
      <c r="F136" s="531">
        <f>'Analisis Sectorial'!$H$203</f>
        <v>0.11201556632833577</v>
      </c>
      <c r="G136" s="531">
        <f>'Analisis Sectorial'!$H$203</f>
        <v>0.11201556632833577</v>
      </c>
      <c r="H136" s="531">
        <f>'Analisis Sectorial'!$H$203</f>
        <v>0.11201556632833577</v>
      </c>
      <c r="I136" t="s">
        <v>4244</v>
      </c>
    </row>
    <row r="137" spans="2:9" x14ac:dyDescent="0.25">
      <c r="B137" s="115" t="s">
        <v>4129</v>
      </c>
      <c r="C137" s="81">
        <f t="shared" ref="C137:H137" si="86">(C28+C29+C30)/(C28+C29+C30+C35)</f>
        <v>0.43969356762308964</v>
      </c>
      <c r="D137" s="81">
        <f t="shared" si="86"/>
        <v>0.43704318128556063</v>
      </c>
      <c r="E137" s="81">
        <f t="shared" si="86"/>
        <v>0.42955312352426389</v>
      </c>
      <c r="F137" s="81">
        <f t="shared" si="86"/>
        <v>0.4296478000490786</v>
      </c>
      <c r="G137" s="81">
        <f t="shared" si="86"/>
        <v>0.42104959539914688</v>
      </c>
      <c r="H137" s="81">
        <f t="shared" si="86"/>
        <v>0.41106793893927351</v>
      </c>
    </row>
    <row r="138" spans="2:9" x14ac:dyDescent="0.25">
      <c r="B138" s="115" t="s">
        <v>4130</v>
      </c>
      <c r="C138" s="81">
        <f t="shared" ref="C138:H138" si="87">(C35)/(C28+C29+C30+C35)</f>
        <v>0.56030643237691036</v>
      </c>
      <c r="D138" s="81">
        <f t="shared" si="87"/>
        <v>0.56295681871443937</v>
      </c>
      <c r="E138" s="81">
        <f t="shared" si="87"/>
        <v>0.57044687647573611</v>
      </c>
      <c r="F138" s="81">
        <f t="shared" si="87"/>
        <v>0.57035219995092146</v>
      </c>
      <c r="G138" s="81">
        <f t="shared" si="87"/>
        <v>0.57895040460085312</v>
      </c>
      <c r="H138" s="81">
        <f t="shared" si="87"/>
        <v>0.58893206106072649</v>
      </c>
    </row>
    <row r="140" spans="2:9" x14ac:dyDescent="0.25">
      <c r="B140" s="482" t="s">
        <v>453</v>
      </c>
      <c r="C140" s="482"/>
      <c r="D140" s="482"/>
      <c r="E140" s="482"/>
      <c r="F140" s="482"/>
      <c r="G140" s="482"/>
      <c r="H140" s="482"/>
    </row>
    <row r="142" spans="2:9" x14ac:dyDescent="0.25">
      <c r="B142" t="s">
        <v>456</v>
      </c>
      <c r="C142" s="64">
        <f>C27/C35</f>
        <v>0.78473767605672218</v>
      </c>
      <c r="D142" s="64">
        <f t="shared" ref="D142:H142" si="88">D27/D35</f>
        <v>0.7763351766190284</v>
      </c>
      <c r="E142" s="64">
        <f t="shared" si="88"/>
        <v>0.753011614645128</v>
      </c>
      <c r="F142" s="64">
        <f t="shared" si="88"/>
        <v>0.75330260860929377</v>
      </c>
      <c r="G142" s="64">
        <f t="shared" si="88"/>
        <v>0.72726366896562045</v>
      </c>
      <c r="H142" s="64">
        <f t="shared" si="88"/>
        <v>0.69798872589632555</v>
      </c>
    </row>
    <row r="143" spans="2:9" x14ac:dyDescent="0.25">
      <c r="B143" t="s">
        <v>455</v>
      </c>
      <c r="C143" s="81">
        <f>C27/C16</f>
        <v>0.52617516565744049</v>
      </c>
      <c r="D143" s="81">
        <f t="shared" ref="D143:H143" si="89">D27/D16</f>
        <v>0.5111468916065991</v>
      </c>
      <c r="E143" s="81">
        <f t="shared" si="89"/>
        <v>0.49265889499908222</v>
      </c>
      <c r="F143" s="81">
        <f t="shared" si="89"/>
        <v>0.48299956993572729</v>
      </c>
      <c r="G143" s="81">
        <f t="shared" si="89"/>
        <v>0.46591765359798631</v>
      </c>
      <c r="H143" s="81">
        <f t="shared" si="89"/>
        <v>0.4486479242468579</v>
      </c>
    </row>
    <row r="144" spans="2:9" x14ac:dyDescent="0.25">
      <c r="B144" t="s">
        <v>405</v>
      </c>
      <c r="C144" s="64">
        <f>C16/C35</f>
        <v>1.4914000646081718</v>
      </c>
      <c r="D144" s="64">
        <f t="shared" ref="D144:H144" si="90">D16/D35</f>
        <v>1.5188103251081293</v>
      </c>
      <c r="E144" s="64">
        <f t="shared" si="90"/>
        <v>1.5284644655538611</v>
      </c>
      <c r="F144" s="64">
        <f t="shared" si="90"/>
        <v>1.5596341187416287</v>
      </c>
      <c r="G144" s="64">
        <f t="shared" si="90"/>
        <v>1.5609274801017405</v>
      </c>
      <c r="H144" s="64">
        <f t="shared" si="90"/>
        <v>1.5557605154822334</v>
      </c>
    </row>
    <row r="146" spans="2:8" x14ac:dyDescent="0.25">
      <c r="B146" s="482" t="s">
        <v>4190</v>
      </c>
      <c r="C146" s="482"/>
      <c r="D146" s="482"/>
      <c r="E146" s="482"/>
      <c r="F146" s="482"/>
      <c r="G146" s="482"/>
      <c r="H146" s="482"/>
    </row>
    <row r="147" spans="2:8" outlineLevel="1" x14ac:dyDescent="0.25"/>
    <row r="148" spans="2:8" outlineLevel="1" x14ac:dyDescent="0.25">
      <c r="B148" t="s">
        <v>4063</v>
      </c>
      <c r="C148" s="64">
        <f>C56/C60</f>
        <v>3.9313404404477112</v>
      </c>
      <c r="D148" s="64">
        <f t="shared" ref="D148:H148" si="91">D56/D60</f>
        <v>4.5603549109193455</v>
      </c>
      <c r="E148" s="64">
        <f t="shared" si="91"/>
        <v>4.6707721470300783</v>
      </c>
      <c r="F148" s="64">
        <f t="shared" si="91"/>
        <v>4.9675315265443691</v>
      </c>
      <c r="G148" s="64">
        <f t="shared" si="91"/>
        <v>4.9906426635902337</v>
      </c>
      <c r="H148" s="64">
        <f t="shared" si="91"/>
        <v>5.1751489472140513</v>
      </c>
    </row>
    <row r="149" spans="2:8" outlineLevel="1" x14ac:dyDescent="0.25">
      <c r="B149" t="s">
        <v>4066</v>
      </c>
      <c r="C149" s="81">
        <f t="shared" ref="C149:H149" si="92">C28/(C28+C29+C30)</f>
        <v>0.62120126757353034</v>
      </c>
      <c r="D149" s="81">
        <f t="shared" si="92"/>
        <v>0.55126315505892443</v>
      </c>
      <c r="E149" s="81">
        <f t="shared" si="92"/>
        <v>0.4955585305939611</v>
      </c>
      <c r="F149" s="81">
        <f t="shared" si="92"/>
        <v>0.42724656597036881</v>
      </c>
      <c r="G149" s="81">
        <f t="shared" si="92"/>
        <v>0.38008780877954229</v>
      </c>
      <c r="H149" s="81">
        <f t="shared" si="92"/>
        <v>0.33863077430323618</v>
      </c>
    </row>
    <row r="150" spans="2:8" outlineLevel="1" x14ac:dyDescent="0.25"/>
    <row r="151" spans="2:8" outlineLevel="1" x14ac:dyDescent="0.25"/>
    <row r="152" spans="2:8" x14ac:dyDescent="0.25">
      <c r="B152" s="482" t="s">
        <v>4231</v>
      </c>
      <c r="C152" s="482"/>
      <c r="D152" s="482"/>
      <c r="E152" s="482"/>
      <c r="F152" s="482"/>
      <c r="G152" s="482"/>
      <c r="H152" s="482"/>
    </row>
    <row r="154" spans="2:8" x14ac:dyDescent="0.25">
      <c r="B154" t="s">
        <v>4223</v>
      </c>
      <c r="C154" s="81">
        <f t="shared" ref="C154:H154" si="93">1-C8</f>
        <v>0.54151908554162242</v>
      </c>
      <c r="D154" s="81">
        <f t="shared" si="93"/>
        <v>0.54151908554162242</v>
      </c>
      <c r="E154" s="81">
        <f t="shared" si="93"/>
        <v>0.54151908554162242</v>
      </c>
      <c r="F154" s="81">
        <f t="shared" si="93"/>
        <v>0.54151908554162242</v>
      </c>
      <c r="G154" s="81">
        <f t="shared" si="93"/>
        <v>0.54151908554162242</v>
      </c>
      <c r="H154" s="81">
        <f t="shared" si="93"/>
        <v>0.54151908554162242</v>
      </c>
    </row>
    <row r="156" spans="2:8" x14ac:dyDescent="0.25">
      <c r="B156" s="26" t="s">
        <v>4224</v>
      </c>
      <c r="C156" s="154">
        <f>(C157*C154)/(1-C158*C154)</f>
        <v>8.33469515172479E-2</v>
      </c>
      <c r="D156" s="154">
        <f t="shared" ref="D156:H156" si="94">(D157*D154)/(1-D158*D154)</f>
        <v>9.230190048397284E-2</v>
      </c>
      <c r="E156" s="154">
        <f t="shared" si="94"/>
        <v>9.620331707343216E-2</v>
      </c>
      <c r="F156" s="154">
        <f t="shared" si="94"/>
        <v>0.10124470183183845</v>
      </c>
      <c r="G156" s="154">
        <f t="shared" si="94"/>
        <v>0.10381943143474125</v>
      </c>
      <c r="H156" s="154">
        <f t="shared" si="94"/>
        <v>0.10697331312341017</v>
      </c>
    </row>
    <row r="157" spans="2:8" x14ac:dyDescent="0.25">
      <c r="B157" s="65" t="s">
        <v>4225</v>
      </c>
      <c r="C157" s="81">
        <f t="shared" ref="C157:H157" si="95">C63/C16</f>
        <v>0.13403919416097243</v>
      </c>
      <c r="D157" s="81">
        <f t="shared" si="95"/>
        <v>0.14844061042637777</v>
      </c>
      <c r="E157" s="81">
        <f t="shared" si="95"/>
        <v>0.15471489792241366</v>
      </c>
      <c r="F157" s="81">
        <f t="shared" si="95"/>
        <v>0.162822490799789</v>
      </c>
      <c r="G157" s="81">
        <f t="shared" si="95"/>
        <v>0.16696319030796566</v>
      </c>
      <c r="H157" s="81">
        <f t="shared" si="95"/>
        <v>0.17203528655543007</v>
      </c>
    </row>
    <row r="158" spans="2:8" x14ac:dyDescent="0.25">
      <c r="B158" s="65" t="s">
        <v>393</v>
      </c>
      <c r="C158" s="156">
        <f>C120</f>
        <v>0.2384494620851613</v>
      </c>
      <c r="D158" s="156">
        <f t="shared" ref="D158:H158" si="96">D120</f>
        <v>0.2384494620851613</v>
      </c>
      <c r="E158" s="156">
        <f t="shared" si="96"/>
        <v>0.23844946208516132</v>
      </c>
      <c r="F158" s="156">
        <f t="shared" si="96"/>
        <v>0.23844946208516113</v>
      </c>
      <c r="G158" s="156">
        <f t="shared" si="96"/>
        <v>0.23844946208516116</v>
      </c>
      <c r="H158" s="156">
        <f t="shared" si="96"/>
        <v>0.23844946208516116</v>
      </c>
    </row>
    <row r="160" spans="2:8" x14ac:dyDescent="0.25">
      <c r="B160" s="26" t="s">
        <v>4226</v>
      </c>
      <c r="C160" s="154">
        <f>(C161*C154)/(1-C162*C154)</f>
        <v>0.13407215269236802</v>
      </c>
      <c r="D160" s="154">
        <f t="shared" ref="D160:H160" si="97">(D161*D154)/(1-D162*D154)</f>
        <v>0.15187168407849963</v>
      </c>
      <c r="E160" s="154">
        <f t="shared" si="97"/>
        <v>0.15954456171561068</v>
      </c>
      <c r="F160" s="154">
        <f t="shared" si="97"/>
        <v>0.17219275284471242</v>
      </c>
      <c r="G160" s="154">
        <f t="shared" si="97"/>
        <v>0.17675513418173303</v>
      </c>
      <c r="H160" s="154">
        <f t="shared" si="97"/>
        <v>0.18137027447381412</v>
      </c>
    </row>
    <row r="161" spans="2:8" x14ac:dyDescent="0.25">
      <c r="B161" s="65" t="s">
        <v>400</v>
      </c>
      <c r="C161" s="156">
        <f>C124</f>
        <v>0.19990606283170154</v>
      </c>
      <c r="D161" s="156">
        <f t="shared" ref="D161:H161" si="98">D124</f>
        <v>0.22545313178093598</v>
      </c>
      <c r="E161" s="156">
        <f t="shared" si="98"/>
        <v>0.23647622376620217</v>
      </c>
      <c r="F161" s="156">
        <f t="shared" si="98"/>
        <v>0.25394351194984588</v>
      </c>
      <c r="G161" s="156">
        <f t="shared" si="98"/>
        <v>0.26061743191716014</v>
      </c>
      <c r="H161" s="156">
        <f t="shared" si="98"/>
        <v>0.26764570609260957</v>
      </c>
    </row>
    <row r="162" spans="2:8" x14ac:dyDescent="0.25">
      <c r="B162" s="65" t="s">
        <v>4227</v>
      </c>
      <c r="C162" s="81">
        <f t="shared" ref="C162:H162" si="99">C71/C35</f>
        <v>0.35562354315959332</v>
      </c>
      <c r="D162" s="81">
        <f t="shared" si="99"/>
        <v>0.36215950503142236</v>
      </c>
      <c r="E162" s="81">
        <f t="shared" si="99"/>
        <v>0.36446152962760175</v>
      </c>
      <c r="F162" s="81">
        <f t="shared" si="99"/>
        <v>0.37189391666360566</v>
      </c>
      <c r="G162" s="81">
        <f t="shared" si="99"/>
        <v>0.37220231798420611</v>
      </c>
      <c r="H162" s="81">
        <f t="shared" si="99"/>
        <v>0.37097025805007156</v>
      </c>
    </row>
    <row r="163" spans="2:8" x14ac:dyDescent="0.25">
      <c r="B163" s="65"/>
      <c r="C163" s="156"/>
      <c r="D163" s="156"/>
      <c r="E163" s="156"/>
      <c r="F163" s="156"/>
      <c r="G163" s="156"/>
      <c r="H163" s="156"/>
    </row>
    <row r="164" spans="2:8" x14ac:dyDescent="0.25">
      <c r="B164" s="65"/>
      <c r="D164" s="149"/>
      <c r="E164" s="149"/>
      <c r="F164" s="149"/>
      <c r="G164" s="149"/>
      <c r="H164" s="149"/>
    </row>
    <row r="165" spans="2:8" x14ac:dyDescent="0.25">
      <c r="B165" s="65"/>
      <c r="C165" s="156"/>
      <c r="D165" s="156"/>
      <c r="E165" s="156"/>
      <c r="F165" s="156"/>
      <c r="G165" s="156"/>
      <c r="H165" s="156"/>
    </row>
    <row r="166" spans="2:8" x14ac:dyDescent="0.25">
      <c r="B166" s="65"/>
      <c r="C166" s="142"/>
      <c r="D166" s="142"/>
      <c r="E166" s="142"/>
      <c r="F166" s="142"/>
      <c r="G166" s="142"/>
      <c r="H166" s="142"/>
    </row>
    <row r="167" spans="2:8" x14ac:dyDescent="0.25">
      <c r="B167" s="65"/>
      <c r="C167" s="142"/>
      <c r="D167" s="142"/>
      <c r="E167" s="142"/>
      <c r="F167" s="142"/>
      <c r="G167" s="142"/>
      <c r="H167" s="142"/>
    </row>
    <row r="168" spans="2:8" x14ac:dyDescent="0.25">
      <c r="D168" s="64"/>
      <c r="E168" s="64"/>
      <c r="F168" s="64"/>
      <c r="G168" s="64"/>
      <c r="H168" s="64"/>
    </row>
    <row r="173" spans="2:8" x14ac:dyDescent="0.25">
      <c r="D173" s="149"/>
      <c r="E173" s="149"/>
      <c r="F173" s="149"/>
      <c r="G173" s="149"/>
      <c r="H173" s="149"/>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G107"/>
  <sheetViews>
    <sheetView showGridLines="0" topLeftCell="A41" workbookViewId="0">
      <selection activeCell="A26" sqref="A26"/>
    </sheetView>
  </sheetViews>
  <sheetFormatPr baseColWidth="10" defaultColWidth="9.125" defaultRowHeight="15" x14ac:dyDescent="0.25"/>
  <cols>
    <col min="1" max="1" width="70.25" style="52" customWidth="1"/>
    <col min="2" max="2" width="20" style="52" customWidth="1"/>
    <col min="3" max="4" width="9.875" style="52" bestFit="1" customWidth="1"/>
    <col min="5" max="5" width="10.375" style="52" bestFit="1" customWidth="1"/>
    <col min="6" max="6" width="9.5" style="52" bestFit="1" customWidth="1"/>
    <col min="7" max="16384" width="9.125" style="52"/>
  </cols>
  <sheetData>
    <row r="2" spans="1:7" x14ac:dyDescent="0.25">
      <c r="G2" s="53" t="s">
        <v>0</v>
      </c>
    </row>
    <row r="3" spans="1:7" x14ac:dyDescent="0.25">
      <c r="G3" s="53" t="s">
        <v>1</v>
      </c>
    </row>
    <row r="4" spans="1:7" x14ac:dyDescent="0.25">
      <c r="G4" s="53" t="s">
        <v>2</v>
      </c>
    </row>
    <row r="5" spans="1:7" x14ac:dyDescent="0.25">
      <c r="G5" s="53" t="s">
        <v>3</v>
      </c>
    </row>
    <row r="7" spans="1:7" ht="20.100000000000001" customHeight="1" x14ac:dyDescent="0.25">
      <c r="A7" s="647" t="s">
        <v>260</v>
      </c>
      <c r="B7" s="648"/>
      <c r="C7" s="648"/>
      <c r="D7" s="648"/>
      <c r="E7" s="648"/>
      <c r="F7" s="648"/>
      <c r="G7" s="648"/>
    </row>
    <row r="8" spans="1:7" x14ac:dyDescent="0.25">
      <c r="A8" s="52" t="s">
        <v>270</v>
      </c>
    </row>
    <row r="10" spans="1:7" x14ac:dyDescent="0.25">
      <c r="A10" s="54" t="s">
        <v>5</v>
      </c>
    </row>
    <row r="11" spans="1:7" x14ac:dyDescent="0.25">
      <c r="A11" s="54" t="s">
        <v>6</v>
      </c>
      <c r="B11" s="54" t="s">
        <v>11</v>
      </c>
    </row>
    <row r="12" spans="1:7" x14ac:dyDescent="0.25">
      <c r="A12" s="55" t="s">
        <v>12</v>
      </c>
      <c r="B12" s="56">
        <v>2015</v>
      </c>
    </row>
    <row r="13" spans="1:7" x14ac:dyDescent="0.25">
      <c r="A13" s="57" t="s">
        <v>18</v>
      </c>
      <c r="B13" s="58">
        <v>2015</v>
      </c>
    </row>
    <row r="14" spans="1:7" x14ac:dyDescent="0.25">
      <c r="A14" s="55" t="s">
        <v>24</v>
      </c>
      <c r="B14" s="55" t="s">
        <v>25</v>
      </c>
    </row>
    <row r="15" spans="1:7" x14ac:dyDescent="0.25">
      <c r="A15" s="57" t="s">
        <v>26</v>
      </c>
      <c r="B15" s="57" t="s">
        <v>25</v>
      </c>
    </row>
    <row r="16" spans="1:7" x14ac:dyDescent="0.25">
      <c r="A16" s="55" t="s">
        <v>27</v>
      </c>
      <c r="B16" s="55" t="s">
        <v>28</v>
      </c>
    </row>
    <row r="17" spans="1:4" x14ac:dyDescent="0.25">
      <c r="A17" s="57" t="s">
        <v>29</v>
      </c>
      <c r="B17" s="57" t="s">
        <v>29</v>
      </c>
    </row>
    <row r="18" spans="1:4" x14ac:dyDescent="0.25">
      <c r="A18" s="55" t="s">
        <v>30</v>
      </c>
      <c r="B18" s="59" t="s">
        <v>31</v>
      </c>
    </row>
    <row r="21" spans="1:4" x14ac:dyDescent="0.25">
      <c r="A21" s="54" t="s">
        <v>108</v>
      </c>
    </row>
    <row r="22" spans="1:4" x14ac:dyDescent="0.25">
      <c r="A22" s="54" t="s">
        <v>6</v>
      </c>
      <c r="B22" s="54" t="s">
        <v>11</v>
      </c>
    </row>
    <row r="23" spans="1:4" x14ac:dyDescent="0.25">
      <c r="A23" s="57" t="s">
        <v>33</v>
      </c>
      <c r="B23" s="60">
        <v>1</v>
      </c>
    </row>
    <row r="24" spans="1:4" x14ac:dyDescent="0.25">
      <c r="A24" s="55" t="s">
        <v>271</v>
      </c>
      <c r="B24" s="61">
        <v>73205075</v>
      </c>
    </row>
    <row r="25" spans="1:4" x14ac:dyDescent="0.25">
      <c r="A25" s="57" t="s">
        <v>272</v>
      </c>
      <c r="B25" s="62">
        <v>58269458</v>
      </c>
    </row>
    <row r="26" spans="1:4" x14ac:dyDescent="0.25">
      <c r="A26" s="55" t="s">
        <v>273</v>
      </c>
      <c r="B26" s="61">
        <v>58269458</v>
      </c>
    </row>
    <row r="27" spans="1:4" x14ac:dyDescent="0.25">
      <c r="A27" s="57" t="s">
        <v>274</v>
      </c>
      <c r="B27" s="62">
        <v>9879131</v>
      </c>
      <c r="D27" s="170"/>
    </row>
    <row r="28" spans="1:4" x14ac:dyDescent="0.25">
      <c r="A28" s="55" t="s">
        <v>275</v>
      </c>
      <c r="B28" s="61">
        <v>18926109</v>
      </c>
      <c r="D28" s="170"/>
    </row>
    <row r="29" spans="1:4" x14ac:dyDescent="0.25">
      <c r="A29" s="57" t="s">
        <v>276</v>
      </c>
      <c r="B29" s="62">
        <v>29464218</v>
      </c>
    </row>
    <row r="30" spans="1:4" x14ac:dyDescent="0.25">
      <c r="A30" s="55" t="s">
        <v>277</v>
      </c>
      <c r="B30" s="61">
        <v>14935617</v>
      </c>
    </row>
    <row r="31" spans="1:4" x14ac:dyDescent="0.25">
      <c r="A31" s="57" t="s">
        <v>278</v>
      </c>
      <c r="B31" s="62">
        <v>14934155</v>
      </c>
    </row>
    <row r="32" spans="1:4" x14ac:dyDescent="0.25">
      <c r="A32" s="55" t="s">
        <v>279</v>
      </c>
      <c r="B32" s="61">
        <v>1462</v>
      </c>
    </row>
    <row r="33" spans="1:2" x14ac:dyDescent="0.25">
      <c r="A33" s="57" t="s">
        <v>280</v>
      </c>
      <c r="B33" s="62">
        <v>45710101</v>
      </c>
    </row>
    <row r="34" spans="1:2" x14ac:dyDescent="0.25">
      <c r="A34" s="55" t="s">
        <v>281</v>
      </c>
      <c r="B34" s="61">
        <v>35723189</v>
      </c>
    </row>
    <row r="35" spans="1:2" x14ac:dyDescent="0.25">
      <c r="A35" s="57" t="s">
        <v>282</v>
      </c>
      <c r="B35" s="62">
        <v>35723189</v>
      </c>
    </row>
    <row r="36" spans="1:2" x14ac:dyDescent="0.25">
      <c r="A36" s="55" t="s">
        <v>283</v>
      </c>
      <c r="B36" s="61">
        <v>1924988</v>
      </c>
    </row>
    <row r="37" spans="1:2" x14ac:dyDescent="0.25">
      <c r="A37" s="57" t="s">
        <v>284</v>
      </c>
      <c r="B37" s="62">
        <v>1924988</v>
      </c>
    </row>
    <row r="38" spans="1:2" x14ac:dyDescent="0.25">
      <c r="A38" s="55" t="s">
        <v>285</v>
      </c>
      <c r="B38" s="61">
        <v>17889996</v>
      </c>
    </row>
    <row r="39" spans="1:2" x14ac:dyDescent="0.25">
      <c r="A39" s="57" t="s">
        <v>286</v>
      </c>
      <c r="B39" s="62">
        <v>1866840</v>
      </c>
    </row>
    <row r="40" spans="1:2" x14ac:dyDescent="0.25">
      <c r="A40" s="55" t="s">
        <v>287</v>
      </c>
      <c r="B40" s="61">
        <v>13403251</v>
      </c>
    </row>
    <row r="41" spans="1:2" x14ac:dyDescent="0.25">
      <c r="A41" s="57" t="s">
        <v>288</v>
      </c>
      <c r="B41" s="62">
        <v>638114</v>
      </c>
    </row>
    <row r="42" spans="1:2" x14ac:dyDescent="0.25">
      <c r="A42" s="55" t="s">
        <v>289</v>
      </c>
      <c r="B42" s="61">
        <v>9986912</v>
      </c>
    </row>
    <row r="43" spans="1:2" x14ac:dyDescent="0.25">
      <c r="A43" s="57" t="s">
        <v>290</v>
      </c>
      <c r="B43" s="62">
        <v>1813821</v>
      </c>
    </row>
    <row r="44" spans="1:2" x14ac:dyDescent="0.25">
      <c r="A44" s="55" t="s">
        <v>291</v>
      </c>
      <c r="B44" s="61">
        <v>8173091</v>
      </c>
    </row>
    <row r="45" spans="1:2" x14ac:dyDescent="0.25">
      <c r="A45" s="57" t="s">
        <v>292</v>
      </c>
      <c r="B45" s="62">
        <v>27494974</v>
      </c>
    </row>
    <row r="46" spans="1:2" x14ac:dyDescent="0.25">
      <c r="A46" s="55" t="s">
        <v>293</v>
      </c>
      <c r="B46" s="61">
        <v>27494974</v>
      </c>
    </row>
    <row r="47" spans="1:2" x14ac:dyDescent="0.25">
      <c r="A47" s="57" t="s">
        <v>294</v>
      </c>
      <c r="B47" s="62">
        <v>755566</v>
      </c>
    </row>
    <row r="48" spans="1:2" x14ac:dyDescent="0.25">
      <c r="A48" s="55" t="s">
        <v>295</v>
      </c>
      <c r="B48" s="61">
        <v>23105605</v>
      </c>
    </row>
    <row r="49" spans="1:7" x14ac:dyDescent="0.25">
      <c r="A49" s="57" t="s">
        <v>296</v>
      </c>
      <c r="B49" s="62">
        <v>3256020</v>
      </c>
    </row>
    <row r="50" spans="1:7" x14ac:dyDescent="0.25">
      <c r="A50" s="55" t="s">
        <v>297</v>
      </c>
      <c r="B50" s="61">
        <v>377783</v>
      </c>
    </row>
    <row r="51" spans="1:7" x14ac:dyDescent="0.25">
      <c r="A51" s="57" t="s">
        <v>298</v>
      </c>
      <c r="B51" s="62">
        <v>73205075</v>
      </c>
    </row>
    <row r="54" spans="1:7" x14ac:dyDescent="0.25">
      <c r="A54" s="54" t="s">
        <v>174</v>
      </c>
    </row>
    <row r="55" spans="1:7" x14ac:dyDescent="0.25">
      <c r="A55" s="54" t="s">
        <v>6</v>
      </c>
      <c r="B55" s="54" t="s">
        <v>11</v>
      </c>
    </row>
    <row r="56" spans="1:7" x14ac:dyDescent="0.25">
      <c r="A56" s="55" t="s">
        <v>33</v>
      </c>
      <c r="B56" s="63">
        <v>1</v>
      </c>
    </row>
    <row r="57" spans="1:7" x14ac:dyDescent="0.25">
      <c r="A57" s="57" t="s">
        <v>299</v>
      </c>
      <c r="B57" s="62">
        <v>96562000</v>
      </c>
      <c r="D57" s="62">
        <f>'EF Bombatex 2011-2015'!F94</f>
        <v>108916346.00000001</v>
      </c>
      <c r="E57" s="464">
        <v>15.653276907595142</v>
      </c>
      <c r="F57" s="62">
        <f>D57*(1+E57)</f>
        <v>1813814069.7014427</v>
      </c>
      <c r="G57" s="465">
        <f>F57/B57-1</f>
        <v>17.783932289114173</v>
      </c>
    </row>
    <row r="58" spans="1:7" x14ac:dyDescent="0.25">
      <c r="A58" s="55" t="s">
        <v>300</v>
      </c>
      <c r="B58" s="61">
        <v>50678744</v>
      </c>
    </row>
    <row r="59" spans="1:7" x14ac:dyDescent="0.25">
      <c r="A59" s="57" t="s">
        <v>301</v>
      </c>
      <c r="B59" s="62">
        <v>45883256</v>
      </c>
    </row>
    <row r="60" spans="1:7" x14ac:dyDescent="0.25">
      <c r="A60" s="55" t="s">
        <v>302</v>
      </c>
      <c r="B60" s="61">
        <v>1497597</v>
      </c>
    </row>
    <row r="61" spans="1:7" x14ac:dyDescent="0.25">
      <c r="A61" s="57" t="s">
        <v>303</v>
      </c>
      <c r="B61" s="62">
        <v>18133089</v>
      </c>
    </row>
    <row r="62" spans="1:7" x14ac:dyDescent="0.25">
      <c r="A62" s="55" t="s">
        <v>304</v>
      </c>
      <c r="B62" s="61">
        <v>12675308</v>
      </c>
    </row>
    <row r="63" spans="1:7" x14ac:dyDescent="0.25">
      <c r="A63" s="57" t="s">
        <v>305</v>
      </c>
      <c r="B63" s="62">
        <v>277776</v>
      </c>
    </row>
    <row r="64" spans="1:7" x14ac:dyDescent="0.25">
      <c r="A64" s="55" t="s">
        <v>306</v>
      </c>
      <c r="B64" s="61">
        <v>16294680</v>
      </c>
      <c r="D64" s="52">
        <f>B64/B66</f>
        <v>0.26669793888937399</v>
      </c>
    </row>
    <row r="65" spans="1:3" x14ac:dyDescent="0.25">
      <c r="A65" s="57" t="s">
        <v>307</v>
      </c>
      <c r="B65" s="62">
        <v>53962906</v>
      </c>
    </row>
    <row r="66" spans="1:3" x14ac:dyDescent="0.25">
      <c r="A66" s="55" t="s">
        <v>308</v>
      </c>
      <c r="B66" s="61">
        <v>61097885</v>
      </c>
    </row>
    <row r="67" spans="1:3" x14ac:dyDescent="0.25">
      <c r="A67" s="57" t="s">
        <v>309</v>
      </c>
      <c r="B67" s="62">
        <v>9159701</v>
      </c>
    </row>
    <row r="68" spans="1:3" x14ac:dyDescent="0.25">
      <c r="A68" s="55" t="s">
        <v>310</v>
      </c>
      <c r="B68" s="61">
        <v>3663289</v>
      </c>
    </row>
    <row r="69" spans="1:3" x14ac:dyDescent="0.25">
      <c r="A69" s="57" t="s">
        <v>311</v>
      </c>
      <c r="B69" s="62">
        <v>5496412</v>
      </c>
    </row>
    <row r="70" spans="1:3" x14ac:dyDescent="0.25">
      <c r="A70" s="55" t="s">
        <v>312</v>
      </c>
      <c r="B70" s="61">
        <v>5496412</v>
      </c>
    </row>
    <row r="73" spans="1:3" x14ac:dyDescent="0.25">
      <c r="A73" s="54" t="s">
        <v>188</v>
      </c>
    </row>
    <row r="74" spans="1:3" x14ac:dyDescent="0.25">
      <c r="A74" s="54" t="s">
        <v>6</v>
      </c>
      <c r="B74" s="54" t="s">
        <v>11</v>
      </c>
    </row>
    <row r="75" spans="1:3" x14ac:dyDescent="0.25">
      <c r="A75" s="57" t="s">
        <v>33</v>
      </c>
      <c r="B75" s="60">
        <v>1</v>
      </c>
    </row>
    <row r="76" spans="1:3" x14ac:dyDescent="0.25">
      <c r="A76" s="55" t="s">
        <v>313</v>
      </c>
      <c r="B76" s="61">
        <v>6528068</v>
      </c>
    </row>
    <row r="77" spans="1:3" x14ac:dyDescent="0.25">
      <c r="A77" s="57" t="s">
        <v>314</v>
      </c>
      <c r="B77" s="62">
        <v>5496412</v>
      </c>
    </row>
    <row r="78" spans="1:3" x14ac:dyDescent="0.25">
      <c r="A78" s="55" t="s">
        <v>315</v>
      </c>
      <c r="B78" s="61">
        <v>1031656</v>
      </c>
    </row>
    <row r="79" spans="1:3" x14ac:dyDescent="0.25">
      <c r="A79" s="57" t="s">
        <v>316</v>
      </c>
      <c r="B79" s="62">
        <v>-6731514</v>
      </c>
      <c r="C79" s="170"/>
    </row>
    <row r="80" spans="1:3" x14ac:dyDescent="0.25">
      <c r="A80" s="55" t="s">
        <v>317</v>
      </c>
      <c r="B80" s="61">
        <v>72844</v>
      </c>
      <c r="C80" s="170"/>
    </row>
    <row r="81" spans="1:3" x14ac:dyDescent="0.25">
      <c r="A81" s="57" t="s">
        <v>318</v>
      </c>
      <c r="B81" s="62">
        <v>220835</v>
      </c>
      <c r="C81" s="170"/>
    </row>
    <row r="82" spans="1:3" x14ac:dyDescent="0.25">
      <c r="A82" s="55" t="s">
        <v>319</v>
      </c>
      <c r="B82" s="61">
        <v>1072554</v>
      </c>
      <c r="C82" s="170"/>
    </row>
    <row r="83" spans="1:3" x14ac:dyDescent="0.25">
      <c r="A83" s="57" t="s">
        <v>320</v>
      </c>
      <c r="B83" s="62">
        <v>5175132</v>
      </c>
      <c r="C83" s="170"/>
    </row>
    <row r="84" spans="1:3" x14ac:dyDescent="0.25">
      <c r="A84" s="55" t="s">
        <v>321</v>
      </c>
      <c r="B84" s="61">
        <v>1221805</v>
      </c>
      <c r="C84" s="170"/>
    </row>
    <row r="85" spans="1:3" x14ac:dyDescent="0.25">
      <c r="A85" s="57" t="s">
        <v>322</v>
      </c>
      <c r="B85" s="62">
        <v>-2774222</v>
      </c>
    </row>
    <row r="86" spans="1:3" x14ac:dyDescent="0.25">
      <c r="A86" s="55" t="s">
        <v>323</v>
      </c>
      <c r="B86" s="61">
        <v>2803822</v>
      </c>
    </row>
    <row r="87" spans="1:3" x14ac:dyDescent="0.25">
      <c r="A87" s="57" t="s">
        <v>324</v>
      </c>
      <c r="B87" s="62">
        <v>29600</v>
      </c>
    </row>
    <row r="88" spans="1:3" x14ac:dyDescent="0.25">
      <c r="A88" s="55" t="s">
        <v>325</v>
      </c>
      <c r="B88" s="61">
        <v>-2856439</v>
      </c>
    </row>
    <row r="89" spans="1:3" x14ac:dyDescent="0.25">
      <c r="A89" s="57" t="s">
        <v>326</v>
      </c>
      <c r="B89" s="62">
        <v>201474</v>
      </c>
    </row>
    <row r="90" spans="1:3" x14ac:dyDescent="0.25">
      <c r="A90" s="55" t="s">
        <v>327</v>
      </c>
      <c r="B90" s="61">
        <v>2520000</v>
      </c>
    </row>
    <row r="91" spans="1:3" x14ac:dyDescent="0.25">
      <c r="A91" s="57" t="s">
        <v>324</v>
      </c>
      <c r="B91" s="62">
        <v>-134965</v>
      </c>
    </row>
    <row r="92" spans="1:3" x14ac:dyDescent="0.25">
      <c r="A92" s="55" t="s">
        <v>328</v>
      </c>
      <c r="B92" s="61">
        <v>9879131</v>
      </c>
    </row>
    <row r="93" spans="1:3" x14ac:dyDescent="0.25">
      <c r="A93" s="57" t="s">
        <v>329</v>
      </c>
      <c r="B93" s="62">
        <v>8981724</v>
      </c>
    </row>
    <row r="94" spans="1:3" x14ac:dyDescent="0.25">
      <c r="A94" s="55" t="s">
        <v>330</v>
      </c>
      <c r="B94" s="61">
        <v>897407</v>
      </c>
    </row>
    <row r="95" spans="1:3" x14ac:dyDescent="0.25">
      <c r="A95" s="57" t="s">
        <v>331</v>
      </c>
      <c r="B95" s="62">
        <v>897407</v>
      </c>
    </row>
    <row r="98" spans="1:2" x14ac:dyDescent="0.25">
      <c r="A98" s="54" t="s">
        <v>98</v>
      </c>
    </row>
    <row r="99" spans="1:2" x14ac:dyDescent="0.25">
      <c r="A99" s="54" t="s">
        <v>6</v>
      </c>
      <c r="B99" s="54" t="s">
        <v>11</v>
      </c>
    </row>
    <row r="100" spans="1:2" x14ac:dyDescent="0.25">
      <c r="A100" s="55" t="s">
        <v>29</v>
      </c>
      <c r="B100" s="55" t="s">
        <v>29</v>
      </c>
    </row>
    <row r="101" spans="1:2" x14ac:dyDescent="0.25">
      <c r="A101" s="57" t="s">
        <v>99</v>
      </c>
      <c r="B101" s="57" t="s">
        <v>100</v>
      </c>
    </row>
    <row r="102" spans="1:2" x14ac:dyDescent="0.25">
      <c r="A102" s="55" t="s">
        <v>101</v>
      </c>
      <c r="B102" s="55" t="s">
        <v>102</v>
      </c>
    </row>
    <row r="105" spans="1:2" x14ac:dyDescent="0.25">
      <c r="A105" s="52" t="s">
        <v>103</v>
      </c>
    </row>
    <row r="106" spans="1:2" x14ac:dyDescent="0.25">
      <c r="A106" s="52" t="s">
        <v>104</v>
      </c>
    </row>
    <row r="107" spans="1:2" x14ac:dyDescent="0.25">
      <c r="A107" s="52" t="s">
        <v>105</v>
      </c>
    </row>
  </sheetData>
  <sheetProtection formatCells="0" formatColumns="0" formatRows="0" insertColumns="0" insertRows="0" insertHyperlinks="0" deleteColumns="0" deleteRows="0" sort="0" autoFilter="0" pivotTables="0"/>
  <mergeCells count="1">
    <mergeCell ref="A7:G7"/>
  </mergeCells>
  <hyperlinks>
    <hyperlink ref="B18" r:id="rId1"/>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M167"/>
  <sheetViews>
    <sheetView showGridLines="0" topLeftCell="A16" workbookViewId="0">
      <pane xSplit="1" topLeftCell="E1" activePane="topRight" state="frozen"/>
      <selection activeCell="A22" sqref="A22"/>
      <selection pane="topRight" activeCell="H31" sqref="H31:L31"/>
    </sheetView>
  </sheetViews>
  <sheetFormatPr baseColWidth="10" defaultColWidth="9.125" defaultRowHeight="15" x14ac:dyDescent="0.25"/>
  <cols>
    <col min="1" max="1" width="50" style="1" customWidth="1"/>
    <col min="2" max="6" width="20" style="1" customWidth="1"/>
    <col min="7" max="7" width="9.125" style="1"/>
    <col min="8" max="8" width="10.375" style="1" bestFit="1" customWidth="1"/>
    <col min="9" max="16384" width="9.125" style="1"/>
  </cols>
  <sheetData>
    <row r="2" spans="1:7" x14ac:dyDescent="0.25">
      <c r="G2" s="2" t="s">
        <v>0</v>
      </c>
    </row>
    <row r="3" spans="1:7" x14ac:dyDescent="0.25">
      <c r="G3" s="2" t="s">
        <v>1</v>
      </c>
    </row>
    <row r="4" spans="1:7" x14ac:dyDescent="0.25">
      <c r="G4" s="2" t="s">
        <v>2</v>
      </c>
    </row>
    <row r="5" spans="1:7" x14ac:dyDescent="0.25">
      <c r="G5" s="2" t="s">
        <v>3</v>
      </c>
    </row>
    <row r="7" spans="1:7" ht="20.100000000000001" customHeight="1" x14ac:dyDescent="0.25">
      <c r="A7" s="643" t="s">
        <v>250</v>
      </c>
      <c r="B7" s="644"/>
      <c r="C7" s="644"/>
      <c r="D7" s="644"/>
      <c r="E7" s="644"/>
      <c r="F7" s="644"/>
      <c r="G7" s="644"/>
    </row>
    <row r="8" spans="1:7" x14ac:dyDescent="0.25">
      <c r="A8" s="1" t="s">
        <v>4</v>
      </c>
    </row>
    <row r="10" spans="1:7" x14ac:dyDescent="0.25">
      <c r="A10" s="3" t="s">
        <v>5</v>
      </c>
    </row>
    <row r="11" spans="1:7" x14ac:dyDescent="0.25">
      <c r="A11" s="3" t="s">
        <v>6</v>
      </c>
      <c r="B11" s="3" t="s">
        <v>7</v>
      </c>
      <c r="C11" s="3" t="s">
        <v>8</v>
      </c>
      <c r="D11" s="3" t="s">
        <v>9</v>
      </c>
      <c r="E11" s="3" t="s">
        <v>10</v>
      </c>
      <c r="F11" s="3" t="s">
        <v>11</v>
      </c>
    </row>
    <row r="12" spans="1:7" x14ac:dyDescent="0.25">
      <c r="A12" s="4" t="s">
        <v>12</v>
      </c>
      <c r="B12" s="4" t="s">
        <v>13</v>
      </c>
      <c r="C12" s="5" t="s">
        <v>14</v>
      </c>
      <c r="D12" s="5" t="s">
        <v>15</v>
      </c>
      <c r="E12" s="5" t="s">
        <v>16</v>
      </c>
      <c r="F12" s="5" t="s">
        <v>17</v>
      </c>
    </row>
    <row r="13" spans="1:7" x14ac:dyDescent="0.25">
      <c r="A13" s="6" t="s">
        <v>18</v>
      </c>
      <c r="B13" s="6" t="s">
        <v>19</v>
      </c>
      <c r="C13" s="7" t="s">
        <v>20</v>
      </c>
      <c r="D13" s="7" t="s">
        <v>21</v>
      </c>
      <c r="E13" s="7" t="s">
        <v>22</v>
      </c>
      <c r="F13" s="7" t="s">
        <v>23</v>
      </c>
    </row>
    <row r="14" spans="1:7" x14ac:dyDescent="0.25">
      <c r="A14" s="4" t="s">
        <v>24</v>
      </c>
      <c r="B14" s="4" t="s">
        <v>25</v>
      </c>
      <c r="C14" s="5" t="s">
        <v>25</v>
      </c>
      <c r="D14" s="5" t="s">
        <v>25</v>
      </c>
      <c r="E14" s="5" t="s">
        <v>25</v>
      </c>
      <c r="F14" s="5" t="s">
        <v>25</v>
      </c>
    </row>
    <row r="15" spans="1:7" x14ac:dyDescent="0.25">
      <c r="A15" s="6" t="s">
        <v>26</v>
      </c>
      <c r="B15" s="6" t="s">
        <v>25</v>
      </c>
      <c r="C15" s="7" t="s">
        <v>25</v>
      </c>
      <c r="D15" s="7" t="s">
        <v>25</v>
      </c>
      <c r="E15" s="7" t="s">
        <v>25</v>
      </c>
      <c r="F15" s="7" t="s">
        <v>25</v>
      </c>
    </row>
    <row r="16" spans="1:7" x14ac:dyDescent="0.25">
      <c r="A16" s="4" t="s">
        <v>27</v>
      </c>
      <c r="B16" s="4" t="s">
        <v>28</v>
      </c>
      <c r="C16" s="5" t="s">
        <v>28</v>
      </c>
      <c r="D16" s="5" t="s">
        <v>28</v>
      </c>
      <c r="E16" s="5" t="s">
        <v>28</v>
      </c>
      <c r="F16" s="5" t="s">
        <v>28</v>
      </c>
    </row>
    <row r="17" spans="1:13" x14ac:dyDescent="0.25">
      <c r="A17" s="6" t="s">
        <v>29</v>
      </c>
      <c r="B17" s="6" t="s">
        <v>29</v>
      </c>
      <c r="C17" s="7" t="s">
        <v>29</v>
      </c>
      <c r="D17" s="7" t="s">
        <v>29</v>
      </c>
      <c r="E17" s="7" t="s">
        <v>29</v>
      </c>
      <c r="F17" s="7" t="s">
        <v>29</v>
      </c>
    </row>
    <row r="18" spans="1:13" x14ac:dyDescent="0.25">
      <c r="A18" s="4" t="s">
        <v>30</v>
      </c>
      <c r="B18" s="8" t="s">
        <v>31</v>
      </c>
      <c r="C18" s="9" t="s">
        <v>31</v>
      </c>
      <c r="D18" s="9" t="s">
        <v>31</v>
      </c>
      <c r="E18" s="9" t="s">
        <v>31</v>
      </c>
      <c r="F18" s="9" t="s">
        <v>31</v>
      </c>
    </row>
    <row r="20" spans="1:13" x14ac:dyDescent="0.25">
      <c r="B20" s="136">
        <f>'EF Latex de C 2011-2015'!B95/'Ratios Latex de C.'!B39</f>
        <v>2258433.5689045936</v>
      </c>
      <c r="C20" s="137">
        <f>B20-B30</f>
        <v>2807.5689045935869</v>
      </c>
    </row>
    <row r="21" spans="1:13" x14ac:dyDescent="0.25">
      <c r="A21" s="3" t="s">
        <v>108</v>
      </c>
    </row>
    <row r="22" spans="1:13" x14ac:dyDescent="0.25">
      <c r="A22" s="3" t="s">
        <v>6</v>
      </c>
      <c r="B22" s="3" t="s">
        <v>7</v>
      </c>
      <c r="C22" s="3" t="s">
        <v>8</v>
      </c>
      <c r="D22" s="3" t="s">
        <v>9</v>
      </c>
      <c r="E22" s="3" t="s">
        <v>10</v>
      </c>
      <c r="F22" s="3" t="s">
        <v>11</v>
      </c>
    </row>
    <row r="23" spans="1:13" x14ac:dyDescent="0.25">
      <c r="A23" s="6" t="s">
        <v>33</v>
      </c>
      <c r="B23" s="10">
        <v>1</v>
      </c>
      <c r="C23" s="11">
        <v>1</v>
      </c>
      <c r="D23" s="11">
        <v>1</v>
      </c>
      <c r="E23" s="11">
        <v>1</v>
      </c>
      <c r="F23" s="11">
        <v>1</v>
      </c>
    </row>
    <row r="24" spans="1:13" x14ac:dyDescent="0.25">
      <c r="A24" s="4" t="s">
        <v>110</v>
      </c>
      <c r="B24" s="22">
        <v>7262308</v>
      </c>
      <c r="C24" s="23">
        <v>7539811</v>
      </c>
      <c r="D24" s="23">
        <v>8793711</v>
      </c>
      <c r="E24" s="23">
        <v>8981392</v>
      </c>
      <c r="F24" s="23">
        <v>9470003</v>
      </c>
    </row>
    <row r="25" spans="1:13" x14ac:dyDescent="0.25">
      <c r="A25" s="6" t="s">
        <v>111</v>
      </c>
      <c r="B25" s="20">
        <v>3922297</v>
      </c>
      <c r="C25" s="21">
        <v>4324551</v>
      </c>
      <c r="D25" s="21">
        <v>5617873</v>
      </c>
      <c r="E25" s="21">
        <v>5802900</v>
      </c>
      <c r="F25" s="21">
        <v>6208084</v>
      </c>
      <c r="H25" s="596"/>
      <c r="I25" s="596"/>
      <c r="J25" s="596"/>
      <c r="K25" s="596"/>
      <c r="L25" s="596"/>
      <c r="M25" s="138"/>
    </row>
    <row r="26" spans="1:13" x14ac:dyDescent="0.25">
      <c r="A26" s="4" t="s">
        <v>112</v>
      </c>
      <c r="B26" s="22">
        <v>46345</v>
      </c>
      <c r="C26" s="23">
        <v>29137</v>
      </c>
      <c r="D26" s="23">
        <v>48483</v>
      </c>
      <c r="E26" s="23">
        <v>11771</v>
      </c>
      <c r="F26" s="23">
        <v>235177</v>
      </c>
      <c r="H26" s="596"/>
      <c r="I26" s="596"/>
      <c r="J26" s="596"/>
      <c r="K26" s="596"/>
      <c r="L26" s="596"/>
      <c r="M26" s="138"/>
    </row>
    <row r="27" spans="1:13" x14ac:dyDescent="0.25">
      <c r="A27" s="6" t="s">
        <v>113</v>
      </c>
      <c r="B27" s="20">
        <v>1575</v>
      </c>
      <c r="C27" s="21">
        <v>1080</v>
      </c>
      <c r="D27" s="21">
        <v>1536</v>
      </c>
      <c r="E27" s="21">
        <v>1766</v>
      </c>
      <c r="F27" s="21">
        <v>1977</v>
      </c>
      <c r="H27" s="597"/>
      <c r="I27" s="597"/>
      <c r="J27" s="597"/>
      <c r="K27" s="597"/>
      <c r="L27" s="597"/>
      <c r="M27" s="585"/>
    </row>
    <row r="28" spans="1:13" x14ac:dyDescent="0.25">
      <c r="A28" s="4" t="s">
        <v>114</v>
      </c>
      <c r="B28" s="22">
        <v>44770</v>
      </c>
      <c r="C28" s="23">
        <v>28057</v>
      </c>
      <c r="D28" s="23">
        <v>46947</v>
      </c>
      <c r="E28" s="23">
        <v>10005</v>
      </c>
      <c r="F28" s="23">
        <v>233200</v>
      </c>
    </row>
    <row r="29" spans="1:13" x14ac:dyDescent="0.25">
      <c r="A29" s="6" t="s">
        <v>116</v>
      </c>
      <c r="B29" s="18">
        <v>223</v>
      </c>
      <c r="C29" s="19">
        <v>224</v>
      </c>
      <c r="D29" s="19">
        <v>224</v>
      </c>
      <c r="E29" s="19">
        <v>246.93</v>
      </c>
      <c r="F29" s="19">
        <v>301</v>
      </c>
    </row>
    <row r="30" spans="1:13" x14ac:dyDescent="0.25">
      <c r="A30" s="4" t="s">
        <v>117</v>
      </c>
      <c r="B30" s="22">
        <v>2255626</v>
      </c>
      <c r="C30" s="23">
        <v>2376772</v>
      </c>
      <c r="D30" s="23">
        <v>2907173</v>
      </c>
      <c r="E30" s="23">
        <v>3313388</v>
      </c>
      <c r="F30" s="23">
        <v>3055786</v>
      </c>
      <c r="G30" s="138">
        <f>SUM(F31:F39)-F30</f>
        <v>61740</v>
      </c>
    </row>
    <row r="31" spans="1:13" x14ac:dyDescent="0.25">
      <c r="A31" s="6" t="s">
        <v>118</v>
      </c>
      <c r="B31" s="20">
        <v>2106524</v>
      </c>
      <c r="C31" s="21">
        <v>2143690</v>
      </c>
      <c r="D31" s="21">
        <v>2607528</v>
      </c>
      <c r="E31" s="21">
        <v>2963465</v>
      </c>
      <c r="F31" s="21">
        <v>2544651</v>
      </c>
      <c r="H31" s="597"/>
      <c r="I31" s="597"/>
      <c r="J31" s="597"/>
      <c r="K31" s="597"/>
      <c r="L31" s="597"/>
    </row>
    <row r="32" spans="1:13" x14ac:dyDescent="0.25">
      <c r="A32" s="4" t="s">
        <v>251</v>
      </c>
      <c r="B32" s="22">
        <v>4277</v>
      </c>
      <c r="C32" s="17">
        <v>0</v>
      </c>
      <c r="D32" s="17">
        <v>0</v>
      </c>
      <c r="E32" s="17">
        <v>0</v>
      </c>
      <c r="F32" s="17">
        <v>0</v>
      </c>
    </row>
    <row r="33" spans="1:6" x14ac:dyDescent="0.25">
      <c r="A33" s="6" t="s">
        <v>120</v>
      </c>
      <c r="B33" s="20">
        <v>13597</v>
      </c>
      <c r="C33" s="21">
        <v>43111</v>
      </c>
      <c r="D33" s="21">
        <v>55539</v>
      </c>
      <c r="E33" s="21">
        <v>89897</v>
      </c>
      <c r="F33" s="21">
        <v>134552</v>
      </c>
    </row>
    <row r="34" spans="1:6" x14ac:dyDescent="0.25">
      <c r="A34" s="4" t="s">
        <v>252</v>
      </c>
      <c r="B34" s="16">
        <v>0</v>
      </c>
      <c r="C34" s="17">
        <v>0</v>
      </c>
      <c r="D34" s="23">
        <v>1000</v>
      </c>
      <c r="E34" s="17">
        <v>0</v>
      </c>
      <c r="F34" s="17">
        <v>664</v>
      </c>
    </row>
    <row r="35" spans="1:6" x14ac:dyDescent="0.25">
      <c r="A35" s="6" t="s">
        <v>121</v>
      </c>
      <c r="B35" s="20">
        <v>72147</v>
      </c>
      <c r="C35" s="21">
        <v>121976</v>
      </c>
      <c r="D35" s="21">
        <v>171991</v>
      </c>
      <c r="E35" s="21">
        <v>158477</v>
      </c>
      <c r="F35" s="21">
        <v>258322</v>
      </c>
    </row>
    <row r="36" spans="1:6" x14ac:dyDescent="0.25">
      <c r="A36" s="4" t="s">
        <v>253</v>
      </c>
      <c r="B36" s="22">
        <v>2591</v>
      </c>
      <c r="C36" s="23">
        <v>6037</v>
      </c>
      <c r="D36" s="23">
        <v>14725</v>
      </c>
      <c r="E36" s="23">
        <v>26676</v>
      </c>
      <c r="F36" s="23">
        <v>34778</v>
      </c>
    </row>
    <row r="37" spans="1:6" x14ac:dyDescent="0.25">
      <c r="A37" s="6" t="s">
        <v>122</v>
      </c>
      <c r="B37" s="20">
        <v>3917</v>
      </c>
      <c r="C37" s="21">
        <v>5008</v>
      </c>
      <c r="D37" s="21">
        <v>10512</v>
      </c>
      <c r="E37" s="21">
        <v>12073</v>
      </c>
      <c r="F37" s="21">
        <v>20861</v>
      </c>
    </row>
    <row r="38" spans="1:6" x14ac:dyDescent="0.25">
      <c r="A38" s="4" t="s">
        <v>123</v>
      </c>
      <c r="B38" s="22">
        <v>83443</v>
      </c>
      <c r="C38" s="23">
        <v>87820</v>
      </c>
      <c r="D38" s="23">
        <v>76748</v>
      </c>
      <c r="E38" s="23">
        <v>93670</v>
      </c>
      <c r="F38" s="23">
        <v>92828</v>
      </c>
    </row>
    <row r="39" spans="1:6" x14ac:dyDescent="0.25">
      <c r="A39" s="6" t="s">
        <v>125</v>
      </c>
      <c r="B39" s="20">
        <v>30870</v>
      </c>
      <c r="C39" s="21">
        <v>30870</v>
      </c>
      <c r="D39" s="21">
        <v>30870</v>
      </c>
      <c r="E39" s="21">
        <v>30870</v>
      </c>
      <c r="F39" s="21">
        <v>30870</v>
      </c>
    </row>
    <row r="40" spans="1:6" x14ac:dyDescent="0.25">
      <c r="A40" s="4" t="s">
        <v>126</v>
      </c>
      <c r="B40" s="22">
        <v>1606777</v>
      </c>
      <c r="C40" s="23">
        <v>1888596</v>
      </c>
      <c r="D40" s="23">
        <v>2629136</v>
      </c>
      <c r="E40" s="23">
        <v>2447166</v>
      </c>
      <c r="F40" s="23">
        <v>2884445</v>
      </c>
    </row>
    <row r="41" spans="1:6" x14ac:dyDescent="0.25">
      <c r="A41" s="6" t="s">
        <v>238</v>
      </c>
      <c r="B41" s="20">
        <v>213178</v>
      </c>
      <c r="C41" s="21">
        <v>362167</v>
      </c>
      <c r="D41" s="21">
        <v>701542</v>
      </c>
      <c r="E41" s="21">
        <v>587220</v>
      </c>
      <c r="F41" s="21">
        <v>616434</v>
      </c>
    </row>
    <row r="42" spans="1:6" x14ac:dyDescent="0.25">
      <c r="A42" s="4" t="s">
        <v>239</v>
      </c>
      <c r="B42" s="22">
        <v>365408</v>
      </c>
      <c r="C42" s="23">
        <v>374368</v>
      </c>
      <c r="D42" s="23">
        <v>552034</v>
      </c>
      <c r="E42" s="23">
        <v>608694</v>
      </c>
      <c r="F42" s="23">
        <v>772460</v>
      </c>
    </row>
    <row r="43" spans="1:6" x14ac:dyDescent="0.25">
      <c r="A43" s="6" t="s">
        <v>240</v>
      </c>
      <c r="B43" s="20">
        <v>313076</v>
      </c>
      <c r="C43" s="21">
        <v>282172</v>
      </c>
      <c r="D43" s="21">
        <v>37054</v>
      </c>
      <c r="E43" s="21">
        <v>302850</v>
      </c>
      <c r="F43" s="21">
        <v>561512</v>
      </c>
    </row>
    <row r="44" spans="1:6" x14ac:dyDescent="0.25">
      <c r="A44" s="4" t="s">
        <v>127</v>
      </c>
      <c r="B44" s="22">
        <v>621644</v>
      </c>
      <c r="C44" s="23">
        <v>691062</v>
      </c>
      <c r="D44" s="23">
        <v>1107481</v>
      </c>
      <c r="E44" s="23">
        <v>726725</v>
      </c>
      <c r="F44" s="23">
        <v>783859</v>
      </c>
    </row>
    <row r="45" spans="1:6" x14ac:dyDescent="0.25">
      <c r="A45" s="6" t="s">
        <v>254</v>
      </c>
      <c r="B45" s="20">
        <v>56073</v>
      </c>
      <c r="C45" s="21">
        <v>70913</v>
      </c>
      <c r="D45" s="21">
        <v>106144</v>
      </c>
      <c r="E45" s="21">
        <v>118557</v>
      </c>
      <c r="F45" s="21">
        <v>79132</v>
      </c>
    </row>
    <row r="46" spans="1:6" x14ac:dyDescent="0.25">
      <c r="A46" s="4" t="s">
        <v>255</v>
      </c>
      <c r="B46" s="22">
        <v>35548</v>
      </c>
      <c r="C46" s="23">
        <v>68507</v>
      </c>
      <c r="D46" s="23">
        <v>124881</v>
      </c>
      <c r="E46" s="23">
        <v>99603</v>
      </c>
      <c r="F46" s="23">
        <v>71048</v>
      </c>
    </row>
    <row r="47" spans="1:6" x14ac:dyDescent="0.25">
      <c r="A47" s="6" t="s">
        <v>128</v>
      </c>
      <c r="B47" s="20">
        <v>1850</v>
      </c>
      <c r="C47" s="21">
        <v>39407</v>
      </c>
      <c r="D47" s="19">
        <v>0</v>
      </c>
      <c r="E47" s="21">
        <v>3517</v>
      </c>
      <c r="F47" s="19">
        <v>0</v>
      </c>
    </row>
    <row r="48" spans="1:6" x14ac:dyDescent="0.25">
      <c r="A48" s="4" t="s">
        <v>129</v>
      </c>
      <c r="B48" s="22">
        <v>13326</v>
      </c>
      <c r="C48" s="23">
        <v>29822</v>
      </c>
      <c r="D48" s="23">
        <v>32857</v>
      </c>
      <c r="E48" s="23">
        <v>30328</v>
      </c>
      <c r="F48" s="23">
        <v>32375</v>
      </c>
    </row>
    <row r="49" spans="1:6" x14ac:dyDescent="0.25">
      <c r="A49" s="6" t="s">
        <v>130</v>
      </c>
      <c r="B49" s="20">
        <v>10792</v>
      </c>
      <c r="C49" s="21">
        <v>16715</v>
      </c>
      <c r="D49" s="21">
        <v>29231</v>
      </c>
      <c r="E49" s="21">
        <v>27460</v>
      </c>
      <c r="F49" s="21">
        <v>29132</v>
      </c>
    </row>
    <row r="50" spans="1:6" x14ac:dyDescent="0.25">
      <c r="A50" s="4" t="s">
        <v>131</v>
      </c>
      <c r="B50" s="22">
        <v>2534</v>
      </c>
      <c r="C50" s="23">
        <v>13107</v>
      </c>
      <c r="D50" s="23">
        <v>3626</v>
      </c>
      <c r="E50" s="23">
        <v>2868</v>
      </c>
      <c r="F50" s="23">
        <v>3243</v>
      </c>
    </row>
    <row r="51" spans="1:6" x14ac:dyDescent="0.25">
      <c r="A51" s="6" t="s">
        <v>132</v>
      </c>
      <c r="B51" s="20">
        <v>3340011</v>
      </c>
      <c r="C51" s="21">
        <v>3215260</v>
      </c>
      <c r="D51" s="21">
        <v>3175838</v>
      </c>
      <c r="E51" s="21">
        <v>3178492</v>
      </c>
      <c r="F51" s="21">
        <v>3261919</v>
      </c>
    </row>
    <row r="52" spans="1:6" x14ac:dyDescent="0.25">
      <c r="A52" s="4" t="s">
        <v>133</v>
      </c>
      <c r="B52" s="22">
        <v>924479</v>
      </c>
      <c r="C52" s="23">
        <v>839270</v>
      </c>
      <c r="D52" s="23">
        <v>776705</v>
      </c>
      <c r="E52" s="23">
        <v>694583</v>
      </c>
      <c r="F52" s="23">
        <v>748848</v>
      </c>
    </row>
    <row r="53" spans="1:6" x14ac:dyDescent="0.25">
      <c r="A53" s="6" t="s">
        <v>134</v>
      </c>
      <c r="B53" s="20">
        <v>363100</v>
      </c>
      <c r="C53" s="21">
        <v>323558</v>
      </c>
      <c r="D53" s="21">
        <v>346701</v>
      </c>
      <c r="E53" s="21">
        <v>431477</v>
      </c>
      <c r="F53" s="21">
        <v>460639</v>
      </c>
    </row>
    <row r="54" spans="1:6" x14ac:dyDescent="0.25">
      <c r="A54" s="4" t="s">
        <v>136</v>
      </c>
      <c r="B54" s="22">
        <v>365449</v>
      </c>
      <c r="C54" s="23">
        <v>365448</v>
      </c>
      <c r="D54" s="23">
        <v>428661</v>
      </c>
      <c r="E54" s="23">
        <v>567774</v>
      </c>
      <c r="F54" s="23">
        <v>659399</v>
      </c>
    </row>
    <row r="55" spans="1:6" x14ac:dyDescent="0.25">
      <c r="A55" s="6" t="s">
        <v>138</v>
      </c>
      <c r="B55" s="20">
        <v>2349</v>
      </c>
      <c r="C55" s="21">
        <v>41890</v>
      </c>
      <c r="D55" s="21">
        <v>81960</v>
      </c>
      <c r="E55" s="21">
        <v>136296</v>
      </c>
      <c r="F55" s="21">
        <v>198760</v>
      </c>
    </row>
    <row r="56" spans="1:6" x14ac:dyDescent="0.25">
      <c r="A56" s="4" t="s">
        <v>139</v>
      </c>
      <c r="B56" s="22">
        <v>2052432</v>
      </c>
      <c r="C56" s="23">
        <v>2052432</v>
      </c>
      <c r="D56" s="23">
        <v>2052432</v>
      </c>
      <c r="E56" s="23">
        <v>2052432</v>
      </c>
      <c r="F56" s="23">
        <v>2052432</v>
      </c>
    </row>
    <row r="57" spans="1:6" x14ac:dyDescent="0.25">
      <c r="A57" s="6" t="s">
        <v>140</v>
      </c>
      <c r="B57" s="20">
        <v>2052432</v>
      </c>
      <c r="C57" s="21">
        <v>2052432</v>
      </c>
      <c r="D57" s="21">
        <v>2052432</v>
      </c>
      <c r="E57" s="21">
        <v>2052432</v>
      </c>
      <c r="F57" s="21">
        <v>2052432</v>
      </c>
    </row>
    <row r="58" spans="1:6" x14ac:dyDescent="0.25">
      <c r="A58" s="4" t="s">
        <v>141</v>
      </c>
      <c r="B58" s="22">
        <v>4457714</v>
      </c>
      <c r="C58" s="23">
        <v>4493953</v>
      </c>
      <c r="D58" s="23">
        <v>5405559</v>
      </c>
      <c r="E58" s="23">
        <v>4171335</v>
      </c>
      <c r="F58" s="23">
        <v>4935296</v>
      </c>
    </row>
    <row r="59" spans="1:6" x14ac:dyDescent="0.25">
      <c r="A59" s="6" t="s">
        <v>142</v>
      </c>
      <c r="B59" s="20">
        <v>3814958</v>
      </c>
      <c r="C59" s="21">
        <v>4010271</v>
      </c>
      <c r="D59" s="21">
        <v>5074219</v>
      </c>
      <c r="E59" s="21">
        <v>2960758</v>
      </c>
      <c r="F59" s="21">
        <v>2862076</v>
      </c>
    </row>
    <row r="60" spans="1:6" x14ac:dyDescent="0.25">
      <c r="A60" s="4" t="s">
        <v>143</v>
      </c>
      <c r="B60" s="22">
        <v>1557504</v>
      </c>
      <c r="C60" s="23">
        <v>1420608</v>
      </c>
      <c r="D60" s="23">
        <v>2243474</v>
      </c>
      <c r="E60" s="23">
        <v>1249675</v>
      </c>
      <c r="F60" s="23">
        <v>835014</v>
      </c>
    </row>
    <row r="61" spans="1:6" x14ac:dyDescent="0.25">
      <c r="A61" s="6" t="s">
        <v>144</v>
      </c>
      <c r="B61" s="20">
        <v>561315</v>
      </c>
      <c r="C61" s="21">
        <v>992745</v>
      </c>
      <c r="D61" s="21">
        <v>1147474</v>
      </c>
      <c r="E61" s="21">
        <v>517368</v>
      </c>
      <c r="F61" s="21">
        <v>641447</v>
      </c>
    </row>
    <row r="62" spans="1:6" x14ac:dyDescent="0.25">
      <c r="A62" s="4" t="s">
        <v>145</v>
      </c>
      <c r="B62" s="22">
        <v>524548</v>
      </c>
      <c r="C62" s="23">
        <v>386273</v>
      </c>
      <c r="D62" s="23">
        <v>381117</v>
      </c>
      <c r="E62" s="23">
        <v>417543</v>
      </c>
      <c r="F62" s="23">
        <v>564759</v>
      </c>
    </row>
    <row r="63" spans="1:6" x14ac:dyDescent="0.25">
      <c r="A63" s="6" t="s">
        <v>146</v>
      </c>
      <c r="B63" s="20">
        <v>462061</v>
      </c>
      <c r="C63" s="21">
        <v>322211</v>
      </c>
      <c r="D63" s="21">
        <v>312426</v>
      </c>
      <c r="E63" s="21">
        <v>346455</v>
      </c>
      <c r="F63" s="21">
        <v>504789</v>
      </c>
    </row>
    <row r="64" spans="1:6" x14ac:dyDescent="0.25">
      <c r="A64" s="4" t="s">
        <v>149</v>
      </c>
      <c r="B64" s="22">
        <v>7885</v>
      </c>
      <c r="C64" s="23">
        <v>7932</v>
      </c>
      <c r="D64" s="23">
        <v>8995</v>
      </c>
      <c r="E64" s="23">
        <v>7569</v>
      </c>
      <c r="F64" s="23">
        <v>12211</v>
      </c>
    </row>
    <row r="65" spans="1:6" x14ac:dyDescent="0.25">
      <c r="A65" s="6" t="s">
        <v>150</v>
      </c>
      <c r="B65" s="20">
        <v>6083</v>
      </c>
      <c r="C65" s="21">
        <v>9336</v>
      </c>
      <c r="D65" s="21">
        <v>2252</v>
      </c>
      <c r="E65" s="19">
        <v>526</v>
      </c>
      <c r="F65" s="21">
        <v>1352</v>
      </c>
    </row>
    <row r="66" spans="1:6" x14ac:dyDescent="0.25">
      <c r="A66" s="4" t="s">
        <v>151</v>
      </c>
      <c r="B66" s="16">
        <v>0</v>
      </c>
      <c r="C66" s="17">
        <v>778</v>
      </c>
      <c r="D66" s="17">
        <v>626</v>
      </c>
      <c r="E66" s="23">
        <v>1393</v>
      </c>
      <c r="F66" s="23">
        <v>2554</v>
      </c>
    </row>
    <row r="67" spans="1:6" x14ac:dyDescent="0.25">
      <c r="A67" s="6" t="s">
        <v>152</v>
      </c>
      <c r="B67" s="20">
        <v>30785</v>
      </c>
      <c r="C67" s="21">
        <v>28282</v>
      </c>
      <c r="D67" s="21">
        <v>39084</v>
      </c>
      <c r="E67" s="21">
        <v>61599</v>
      </c>
      <c r="F67" s="21">
        <v>43853</v>
      </c>
    </row>
    <row r="68" spans="1:6" x14ac:dyDescent="0.25">
      <c r="A68" s="4" t="s">
        <v>153</v>
      </c>
      <c r="B68" s="22">
        <v>17734</v>
      </c>
      <c r="C68" s="23">
        <v>17734</v>
      </c>
      <c r="D68" s="23">
        <v>17734</v>
      </c>
      <c r="E68" s="17">
        <v>0</v>
      </c>
      <c r="F68" s="17">
        <v>0</v>
      </c>
    </row>
    <row r="69" spans="1:6" x14ac:dyDescent="0.25">
      <c r="A69" s="6" t="s">
        <v>154</v>
      </c>
      <c r="B69" s="20">
        <v>266671</v>
      </c>
      <c r="C69" s="21">
        <v>305031</v>
      </c>
      <c r="D69" s="21">
        <v>310491</v>
      </c>
      <c r="E69" s="21">
        <v>214995</v>
      </c>
      <c r="F69" s="21">
        <v>316313</v>
      </c>
    </row>
    <row r="70" spans="1:6" x14ac:dyDescent="0.25">
      <c r="A70" s="4" t="s">
        <v>155</v>
      </c>
      <c r="B70" s="22">
        <v>130620</v>
      </c>
      <c r="C70" s="23">
        <v>151654</v>
      </c>
      <c r="D70" s="23">
        <v>195704</v>
      </c>
      <c r="E70" s="23">
        <v>297970</v>
      </c>
      <c r="F70" s="23">
        <v>251563</v>
      </c>
    </row>
    <row r="71" spans="1:6" x14ac:dyDescent="0.25">
      <c r="A71" s="6" t="s">
        <v>156</v>
      </c>
      <c r="B71" s="18">
        <v>0</v>
      </c>
      <c r="C71" s="19">
        <v>0</v>
      </c>
      <c r="D71" s="19">
        <v>0</v>
      </c>
      <c r="E71" s="19">
        <v>0</v>
      </c>
      <c r="F71" s="21">
        <v>24088</v>
      </c>
    </row>
    <row r="72" spans="1:6" x14ac:dyDescent="0.25">
      <c r="A72" s="4" t="s">
        <v>157</v>
      </c>
      <c r="B72" s="16">
        <v>0</v>
      </c>
      <c r="C72" s="5" t="s">
        <v>61</v>
      </c>
      <c r="D72" s="17">
        <v>0</v>
      </c>
      <c r="E72" s="17">
        <v>0</v>
      </c>
      <c r="F72" s="23">
        <v>24088</v>
      </c>
    </row>
    <row r="73" spans="1:6" x14ac:dyDescent="0.25">
      <c r="A73" s="6" t="s">
        <v>160</v>
      </c>
      <c r="B73" s="20">
        <v>774300</v>
      </c>
      <c r="C73" s="21">
        <v>753960</v>
      </c>
      <c r="D73" s="21">
        <v>795959</v>
      </c>
      <c r="E73" s="21">
        <v>263208</v>
      </c>
      <c r="F73" s="21">
        <v>228892</v>
      </c>
    </row>
    <row r="74" spans="1:6" x14ac:dyDescent="0.25">
      <c r="A74" s="4" t="s">
        <v>242</v>
      </c>
      <c r="B74" s="22">
        <v>688722</v>
      </c>
      <c r="C74" s="23">
        <v>668383</v>
      </c>
      <c r="D74" s="23">
        <v>710381</v>
      </c>
      <c r="E74" s="23">
        <v>177630</v>
      </c>
      <c r="F74" s="23">
        <v>143314</v>
      </c>
    </row>
    <row r="75" spans="1:6" x14ac:dyDescent="0.25">
      <c r="A75" s="6" t="s">
        <v>256</v>
      </c>
      <c r="B75" s="20">
        <v>85578</v>
      </c>
      <c r="C75" s="21">
        <v>85577</v>
      </c>
      <c r="D75" s="21">
        <v>85578</v>
      </c>
      <c r="E75" s="21">
        <v>85578</v>
      </c>
      <c r="F75" s="21">
        <v>85578</v>
      </c>
    </row>
    <row r="76" spans="1:6" x14ac:dyDescent="0.25">
      <c r="A76" s="4" t="s">
        <v>162</v>
      </c>
      <c r="B76" s="22">
        <v>642756</v>
      </c>
      <c r="C76" s="23">
        <v>483682</v>
      </c>
      <c r="D76" s="23">
        <v>331340</v>
      </c>
      <c r="E76" s="23">
        <v>1210577</v>
      </c>
      <c r="F76" s="23">
        <v>2073220</v>
      </c>
    </row>
    <row r="77" spans="1:6" x14ac:dyDescent="0.25">
      <c r="A77" s="6" t="s">
        <v>143</v>
      </c>
      <c r="B77" s="20">
        <v>642756</v>
      </c>
      <c r="C77" s="21">
        <v>483682</v>
      </c>
      <c r="D77" s="21">
        <v>331340</v>
      </c>
      <c r="E77" s="21">
        <v>1210577</v>
      </c>
      <c r="F77" s="21">
        <v>2073220</v>
      </c>
    </row>
    <row r="78" spans="1:6" x14ac:dyDescent="0.25">
      <c r="A78" s="4" t="s">
        <v>163</v>
      </c>
      <c r="B78" s="22">
        <v>2804594</v>
      </c>
      <c r="C78" s="23">
        <v>3045858</v>
      </c>
      <c r="D78" s="23">
        <v>3388152</v>
      </c>
      <c r="E78" s="23">
        <v>4810057</v>
      </c>
      <c r="F78" s="23">
        <v>4534707</v>
      </c>
    </row>
    <row r="79" spans="1:6" x14ac:dyDescent="0.25">
      <c r="A79" s="6" t="s">
        <v>164</v>
      </c>
      <c r="B79" s="20">
        <v>1000000</v>
      </c>
      <c r="C79" s="21">
        <v>1000000</v>
      </c>
      <c r="D79" s="21">
        <v>1000000</v>
      </c>
      <c r="E79" s="21">
        <v>1635100</v>
      </c>
      <c r="F79" s="21">
        <v>1635100</v>
      </c>
    </row>
    <row r="80" spans="1:6" x14ac:dyDescent="0.25">
      <c r="A80" s="4" t="s">
        <v>165</v>
      </c>
      <c r="B80" s="22">
        <v>1000000</v>
      </c>
      <c r="C80" s="23">
        <v>1000000</v>
      </c>
      <c r="D80" s="23">
        <v>1000000</v>
      </c>
      <c r="E80" s="23">
        <v>1635100</v>
      </c>
      <c r="F80" s="23">
        <v>1635100</v>
      </c>
    </row>
    <row r="81" spans="1:6" x14ac:dyDescent="0.25">
      <c r="A81" s="6" t="s">
        <v>166</v>
      </c>
      <c r="B81" s="18">
        <v>0</v>
      </c>
      <c r="C81" s="19">
        <v>0</v>
      </c>
      <c r="D81" s="19">
        <v>0</v>
      </c>
      <c r="E81" s="21">
        <v>673387</v>
      </c>
      <c r="F81" s="21">
        <v>673387</v>
      </c>
    </row>
    <row r="82" spans="1:6" x14ac:dyDescent="0.25">
      <c r="A82" s="4" t="s">
        <v>167</v>
      </c>
      <c r="B82" s="16">
        <v>0</v>
      </c>
      <c r="C82" s="5" t="s">
        <v>61</v>
      </c>
      <c r="D82" s="17">
        <v>0</v>
      </c>
      <c r="E82" s="23">
        <v>673387</v>
      </c>
      <c r="F82" s="23">
        <v>673387</v>
      </c>
    </row>
    <row r="83" spans="1:6" x14ac:dyDescent="0.25">
      <c r="A83" s="6" t="s">
        <v>168</v>
      </c>
      <c r="B83" s="20">
        <v>51523</v>
      </c>
      <c r="C83" s="21">
        <v>51523</v>
      </c>
      <c r="D83" s="21">
        <v>51523</v>
      </c>
      <c r="E83" s="21">
        <v>51523</v>
      </c>
      <c r="F83" s="21">
        <v>51523</v>
      </c>
    </row>
    <row r="84" spans="1:6" x14ac:dyDescent="0.25">
      <c r="A84" s="4" t="s">
        <v>169</v>
      </c>
      <c r="B84" s="22">
        <v>202461</v>
      </c>
      <c r="C84" s="23">
        <v>202461</v>
      </c>
      <c r="D84" s="23">
        <v>202461</v>
      </c>
      <c r="E84" s="23">
        <v>202461</v>
      </c>
      <c r="F84" s="23">
        <v>202461</v>
      </c>
    </row>
    <row r="85" spans="1:6" x14ac:dyDescent="0.25">
      <c r="A85" s="6" t="s">
        <v>170</v>
      </c>
      <c r="B85" s="20">
        <v>-501822</v>
      </c>
      <c r="C85" s="21">
        <v>241262</v>
      </c>
      <c r="D85" s="21">
        <v>342294</v>
      </c>
      <c r="E85" s="21">
        <v>112040</v>
      </c>
      <c r="F85" s="21">
        <v>-275367</v>
      </c>
    </row>
    <row r="86" spans="1:6" x14ac:dyDescent="0.25">
      <c r="A86" s="4" t="s">
        <v>171</v>
      </c>
      <c r="B86" s="16">
        <v>0</v>
      </c>
      <c r="C86" s="23">
        <v>-501820</v>
      </c>
      <c r="D86" s="23">
        <v>-260558</v>
      </c>
      <c r="E86" s="23">
        <v>83113</v>
      </c>
      <c r="F86" s="23">
        <v>195171</v>
      </c>
    </row>
    <row r="87" spans="1:6" x14ac:dyDescent="0.25">
      <c r="A87" s="6" t="s">
        <v>172</v>
      </c>
      <c r="B87" s="6" t="s">
        <v>61</v>
      </c>
      <c r="C87" s="7" t="s">
        <v>61</v>
      </c>
      <c r="D87" s="7" t="s">
        <v>61</v>
      </c>
      <c r="E87" s="21">
        <v>584934</v>
      </c>
      <c r="F87" s="21">
        <v>696991</v>
      </c>
    </row>
    <row r="88" spans="1:6" x14ac:dyDescent="0.25">
      <c r="A88" s="4" t="s">
        <v>257</v>
      </c>
      <c r="B88" s="4" t="s">
        <v>61</v>
      </c>
      <c r="C88" s="5" t="s">
        <v>61</v>
      </c>
      <c r="D88" s="5" t="s">
        <v>61</v>
      </c>
      <c r="E88" s="23">
        <v>501820</v>
      </c>
      <c r="F88" s="23">
        <v>501820</v>
      </c>
    </row>
    <row r="89" spans="1:6" x14ac:dyDescent="0.25">
      <c r="A89" s="6" t="s">
        <v>173</v>
      </c>
      <c r="B89" s="20">
        <v>2052432</v>
      </c>
      <c r="C89" s="21">
        <v>2052432</v>
      </c>
      <c r="D89" s="21">
        <v>2052432</v>
      </c>
      <c r="E89" s="21">
        <v>2052432</v>
      </c>
      <c r="F89" s="21">
        <v>2052432</v>
      </c>
    </row>
    <row r="92" spans="1:6" x14ac:dyDescent="0.25">
      <c r="A92" s="3" t="s">
        <v>174</v>
      </c>
    </row>
    <row r="93" spans="1:6" x14ac:dyDescent="0.25">
      <c r="A93" s="3" t="s">
        <v>6</v>
      </c>
      <c r="B93" s="3" t="s">
        <v>7</v>
      </c>
      <c r="C93" s="3" t="s">
        <v>8</v>
      </c>
      <c r="D93" s="3" t="s">
        <v>9</v>
      </c>
      <c r="E93" s="3" t="s">
        <v>10</v>
      </c>
      <c r="F93" s="3" t="s">
        <v>11</v>
      </c>
    </row>
    <row r="94" spans="1:6" x14ac:dyDescent="0.25">
      <c r="A94" s="4" t="s">
        <v>33</v>
      </c>
      <c r="B94" s="24">
        <v>1</v>
      </c>
      <c r="C94" s="25">
        <v>1</v>
      </c>
      <c r="D94" s="25">
        <v>1</v>
      </c>
      <c r="E94" s="25">
        <v>1</v>
      </c>
      <c r="F94" s="25">
        <v>1</v>
      </c>
    </row>
    <row r="95" spans="1:6" x14ac:dyDescent="0.25">
      <c r="A95" s="6" t="s">
        <v>175</v>
      </c>
      <c r="B95" s="20">
        <v>6391367</v>
      </c>
      <c r="C95" s="21">
        <v>8057986</v>
      </c>
      <c r="D95" s="21">
        <v>8455464</v>
      </c>
      <c r="E95" s="21">
        <v>8875789</v>
      </c>
      <c r="F95" s="21">
        <v>9264833</v>
      </c>
    </row>
    <row r="96" spans="1:6" x14ac:dyDescent="0.25">
      <c r="A96" s="4" t="s">
        <v>176</v>
      </c>
      <c r="B96" s="22">
        <v>4322342</v>
      </c>
      <c r="C96" s="23">
        <v>5270591</v>
      </c>
      <c r="D96" s="23">
        <v>5069525</v>
      </c>
      <c r="E96" s="23">
        <v>5322132</v>
      </c>
      <c r="F96" s="23">
        <v>6178998</v>
      </c>
    </row>
    <row r="97" spans="1:12" x14ac:dyDescent="0.25">
      <c r="A97" s="6" t="s">
        <v>177</v>
      </c>
      <c r="B97" s="20">
        <v>2069025</v>
      </c>
      <c r="C97" s="21">
        <v>2787395</v>
      </c>
      <c r="D97" s="21">
        <v>3385939</v>
      </c>
      <c r="E97" s="21">
        <v>3553657</v>
      </c>
      <c r="F97" s="21">
        <v>3085835</v>
      </c>
    </row>
    <row r="98" spans="1:12" x14ac:dyDescent="0.25">
      <c r="A98" s="4" t="s">
        <v>178</v>
      </c>
      <c r="B98" s="22">
        <v>398953</v>
      </c>
      <c r="C98" s="23">
        <v>488514</v>
      </c>
      <c r="D98" s="23">
        <v>557368</v>
      </c>
      <c r="E98" s="23">
        <v>670393</v>
      </c>
      <c r="F98" s="23">
        <v>809144</v>
      </c>
    </row>
    <row r="99" spans="1:12" x14ac:dyDescent="0.25">
      <c r="A99" s="6" t="s">
        <v>179</v>
      </c>
      <c r="B99" s="20">
        <v>1146748</v>
      </c>
      <c r="C99" s="21">
        <v>1377102</v>
      </c>
      <c r="D99" s="21">
        <v>1645982</v>
      </c>
      <c r="E99" s="21">
        <v>1690707</v>
      </c>
      <c r="F99" s="21">
        <v>1554373</v>
      </c>
    </row>
    <row r="100" spans="1:12" x14ac:dyDescent="0.25">
      <c r="A100" s="4" t="s">
        <v>180</v>
      </c>
      <c r="B100" s="22">
        <v>523324</v>
      </c>
      <c r="C100" s="23">
        <v>921779</v>
      </c>
      <c r="D100" s="23">
        <v>1182589</v>
      </c>
      <c r="E100" s="23">
        <v>1192557</v>
      </c>
      <c r="F100" s="23">
        <v>722318</v>
      </c>
      <c r="H100" s="138"/>
      <c r="I100" s="138"/>
      <c r="J100" s="138"/>
      <c r="K100" s="138"/>
      <c r="L100" s="138"/>
    </row>
    <row r="101" spans="1:12" x14ac:dyDescent="0.25">
      <c r="A101" s="6" t="s">
        <v>181</v>
      </c>
      <c r="B101" s="20">
        <v>233746</v>
      </c>
      <c r="C101" s="21">
        <v>381082</v>
      </c>
      <c r="D101" s="21">
        <v>190525</v>
      </c>
      <c r="E101" s="21">
        <v>253580</v>
      </c>
      <c r="F101" s="21">
        <v>403479</v>
      </c>
      <c r="H101" s="597"/>
      <c r="I101" s="597"/>
      <c r="J101" s="597"/>
      <c r="K101" s="597"/>
      <c r="L101" s="597"/>
    </row>
    <row r="102" spans="1:12" x14ac:dyDescent="0.25">
      <c r="A102" s="4" t="s">
        <v>182</v>
      </c>
      <c r="B102" s="22">
        <v>1091892</v>
      </c>
      <c r="C102" s="23">
        <v>869642</v>
      </c>
      <c r="D102" s="23">
        <v>853777</v>
      </c>
      <c r="E102" s="23">
        <v>1276379</v>
      </c>
      <c r="F102" s="23">
        <v>1371672</v>
      </c>
    </row>
    <row r="103" spans="1:12" x14ac:dyDescent="0.25">
      <c r="A103" s="6" t="s">
        <v>183</v>
      </c>
      <c r="B103" s="6" t="s">
        <v>61</v>
      </c>
      <c r="C103" s="7" t="s">
        <v>61</v>
      </c>
      <c r="D103" s="21">
        <v>296884</v>
      </c>
      <c r="E103" s="21">
        <v>282068</v>
      </c>
      <c r="F103" s="21">
        <v>265597</v>
      </c>
    </row>
    <row r="104" spans="1:12" x14ac:dyDescent="0.25">
      <c r="A104" s="4" t="s">
        <v>184</v>
      </c>
      <c r="B104" s="4" t="s">
        <v>61</v>
      </c>
      <c r="C104" s="5" t="s">
        <v>61</v>
      </c>
      <c r="D104" s="23">
        <v>556893</v>
      </c>
      <c r="E104" s="23">
        <v>994311</v>
      </c>
      <c r="F104" s="23">
        <v>1106075</v>
      </c>
    </row>
    <row r="105" spans="1:12" x14ac:dyDescent="0.25">
      <c r="A105" s="6" t="s">
        <v>185</v>
      </c>
      <c r="B105" s="20">
        <v>-334822</v>
      </c>
      <c r="C105" s="21">
        <v>433219</v>
      </c>
      <c r="D105" s="21">
        <v>519337</v>
      </c>
      <c r="E105" s="21">
        <v>169758</v>
      </c>
      <c r="F105" s="21">
        <v>-245875</v>
      </c>
    </row>
    <row r="106" spans="1:12" x14ac:dyDescent="0.25">
      <c r="A106" s="4" t="s">
        <v>186</v>
      </c>
      <c r="B106" s="22">
        <v>167000</v>
      </c>
      <c r="C106" s="23">
        <v>191957</v>
      </c>
      <c r="D106" s="23">
        <v>177043</v>
      </c>
      <c r="E106" s="23">
        <v>57718</v>
      </c>
      <c r="F106" s="23">
        <v>29492</v>
      </c>
    </row>
    <row r="107" spans="1:12" x14ac:dyDescent="0.25">
      <c r="A107" s="6" t="s">
        <v>187</v>
      </c>
      <c r="B107" s="20">
        <v>-501822</v>
      </c>
      <c r="C107" s="21">
        <v>241262</v>
      </c>
      <c r="D107" s="21">
        <v>342294</v>
      </c>
      <c r="E107" s="21">
        <v>112040</v>
      </c>
      <c r="F107" s="21">
        <v>-275367</v>
      </c>
    </row>
    <row r="110" spans="1:12" x14ac:dyDescent="0.25">
      <c r="A110" s="3" t="s">
        <v>188</v>
      </c>
    </row>
    <row r="111" spans="1:12" x14ac:dyDescent="0.25">
      <c r="A111" s="3" t="s">
        <v>6</v>
      </c>
      <c r="B111" s="3" t="s">
        <v>7</v>
      </c>
      <c r="C111" s="3" t="s">
        <v>8</v>
      </c>
      <c r="D111" s="3" t="s">
        <v>9</v>
      </c>
      <c r="E111" s="3" t="s">
        <v>10</v>
      </c>
      <c r="F111" s="3" t="s">
        <v>11</v>
      </c>
    </row>
    <row r="112" spans="1:12" x14ac:dyDescent="0.25">
      <c r="A112" s="4" t="s">
        <v>33</v>
      </c>
      <c r="B112" s="24">
        <v>1</v>
      </c>
      <c r="C112" s="25">
        <v>1</v>
      </c>
      <c r="D112" s="25">
        <v>1</v>
      </c>
      <c r="E112" s="25">
        <v>1</v>
      </c>
      <c r="F112" s="25">
        <v>1</v>
      </c>
    </row>
    <row r="113" spans="1:6" x14ac:dyDescent="0.25">
      <c r="A113" s="6" t="s">
        <v>189</v>
      </c>
      <c r="B113" s="20">
        <v>-332830</v>
      </c>
      <c r="C113" s="21">
        <v>669404</v>
      </c>
      <c r="D113" s="21">
        <v>726276</v>
      </c>
      <c r="E113" s="21">
        <v>354603</v>
      </c>
      <c r="F113" s="21">
        <v>-72146</v>
      </c>
    </row>
    <row r="114" spans="1:6" x14ac:dyDescent="0.25">
      <c r="A114" s="4" t="s">
        <v>190</v>
      </c>
      <c r="B114" s="22">
        <v>-501822</v>
      </c>
      <c r="C114" s="23">
        <v>241262</v>
      </c>
      <c r="D114" s="23">
        <v>342294</v>
      </c>
      <c r="E114" s="23">
        <v>112040</v>
      </c>
      <c r="F114" s="23">
        <v>-275367</v>
      </c>
    </row>
    <row r="115" spans="1:6" x14ac:dyDescent="0.25">
      <c r="A115" s="6" t="s">
        <v>191</v>
      </c>
      <c r="B115" s="18">
        <v>0</v>
      </c>
      <c r="C115" s="21">
        <v>227233</v>
      </c>
      <c r="D115" s="21">
        <v>205826</v>
      </c>
      <c r="E115" s="21">
        <v>183028</v>
      </c>
      <c r="F115" s="21">
        <v>173729</v>
      </c>
    </row>
    <row r="116" spans="1:6" x14ac:dyDescent="0.25">
      <c r="A116" s="4" t="s">
        <v>193</v>
      </c>
      <c r="B116" s="22">
        <v>1530</v>
      </c>
      <c r="C116" s="17">
        <v>0</v>
      </c>
      <c r="D116" s="17">
        <v>0</v>
      </c>
      <c r="E116" s="17">
        <v>500.04</v>
      </c>
      <c r="F116" s="17">
        <v>0</v>
      </c>
    </row>
    <row r="117" spans="1:6" x14ac:dyDescent="0.25">
      <c r="A117" s="6" t="s">
        <v>196</v>
      </c>
      <c r="B117" s="18">
        <v>462</v>
      </c>
      <c r="C117" s="21">
        <v>8952</v>
      </c>
      <c r="D117" s="21">
        <v>1113</v>
      </c>
      <c r="E117" s="21">
        <v>1317</v>
      </c>
      <c r="F117" s="19">
        <v>0</v>
      </c>
    </row>
    <row r="118" spans="1:6" x14ac:dyDescent="0.25">
      <c r="A118" s="4" t="s">
        <v>197</v>
      </c>
      <c r="B118" s="22">
        <v>167000</v>
      </c>
      <c r="C118" s="23">
        <v>191957</v>
      </c>
      <c r="D118" s="23">
        <v>177043</v>
      </c>
      <c r="E118" s="23">
        <v>57718</v>
      </c>
      <c r="F118" s="23">
        <v>29492</v>
      </c>
    </row>
    <row r="119" spans="1:6" x14ac:dyDescent="0.25">
      <c r="A119" s="6" t="s">
        <v>198</v>
      </c>
      <c r="B119" s="20">
        <v>64474</v>
      </c>
      <c r="C119" s="21">
        <v>381248</v>
      </c>
      <c r="D119" s="21">
        <v>-484771</v>
      </c>
      <c r="E119" s="21">
        <v>-1046311</v>
      </c>
      <c r="F119" s="21">
        <v>-355430</v>
      </c>
    </row>
    <row r="120" spans="1:6" x14ac:dyDescent="0.25">
      <c r="A120" s="4" t="s">
        <v>200</v>
      </c>
      <c r="B120" s="22">
        <v>-332830</v>
      </c>
      <c r="C120" s="23">
        <v>669404</v>
      </c>
      <c r="D120" s="23">
        <v>726276</v>
      </c>
      <c r="E120" s="23">
        <v>354603</v>
      </c>
      <c r="F120" s="23">
        <v>-72146</v>
      </c>
    </row>
    <row r="121" spans="1:6" x14ac:dyDescent="0.25">
      <c r="A121" s="6" t="s">
        <v>246</v>
      </c>
      <c r="B121" s="18">
        <v>0</v>
      </c>
      <c r="C121" s="7" t="s">
        <v>61</v>
      </c>
      <c r="D121" s="19">
        <v>0</v>
      </c>
      <c r="E121" s="19">
        <v>0</v>
      </c>
      <c r="F121" s="21">
        <v>257601</v>
      </c>
    </row>
    <row r="122" spans="1:6" x14ac:dyDescent="0.25">
      <c r="A122" s="4" t="s">
        <v>201</v>
      </c>
      <c r="B122" s="16">
        <v>0</v>
      </c>
      <c r="C122" s="5" t="s">
        <v>61</v>
      </c>
      <c r="D122" s="17">
        <v>0</v>
      </c>
      <c r="E122" s="23">
        <v>181969</v>
      </c>
      <c r="F122" s="17">
        <v>0</v>
      </c>
    </row>
    <row r="123" spans="1:6" x14ac:dyDescent="0.25">
      <c r="A123" s="6" t="s">
        <v>202</v>
      </c>
      <c r="B123" s="18">
        <v>0</v>
      </c>
      <c r="C123" s="7" t="s">
        <v>61</v>
      </c>
      <c r="D123" s="19">
        <v>0</v>
      </c>
      <c r="E123" s="21">
        <v>2529</v>
      </c>
      <c r="F123" s="19">
        <v>0</v>
      </c>
    </row>
    <row r="124" spans="1:6" x14ac:dyDescent="0.25">
      <c r="A124" s="4" t="s">
        <v>203</v>
      </c>
      <c r="B124" s="16">
        <v>0</v>
      </c>
      <c r="C124" s="23">
        <v>431430</v>
      </c>
      <c r="D124" s="23">
        <v>154729</v>
      </c>
      <c r="E124" s="17">
        <v>0</v>
      </c>
      <c r="F124" s="23">
        <v>124089</v>
      </c>
    </row>
    <row r="125" spans="1:6" x14ac:dyDescent="0.25">
      <c r="A125" s="6" t="s">
        <v>204</v>
      </c>
      <c r="B125" s="20">
        <v>31978</v>
      </c>
      <c r="C125" s="7" t="s">
        <v>61</v>
      </c>
      <c r="D125" s="19">
        <v>0</v>
      </c>
      <c r="E125" s="21">
        <v>36426</v>
      </c>
      <c r="F125" s="21">
        <v>147213</v>
      </c>
    </row>
    <row r="126" spans="1:6" x14ac:dyDescent="0.25">
      <c r="A126" s="4" t="s">
        <v>205</v>
      </c>
      <c r="B126" s="22">
        <v>50398</v>
      </c>
      <c r="C126" s="5" t="s">
        <v>61</v>
      </c>
      <c r="D126" s="17">
        <v>0</v>
      </c>
      <c r="E126" s="17">
        <v>0</v>
      </c>
      <c r="F126" s="23">
        <v>101318</v>
      </c>
    </row>
    <row r="127" spans="1:6" x14ac:dyDescent="0.25">
      <c r="A127" s="6" t="s">
        <v>206</v>
      </c>
      <c r="B127" s="18">
        <v>0</v>
      </c>
      <c r="C127" s="21">
        <v>21034</v>
      </c>
      <c r="D127" s="21">
        <v>44050</v>
      </c>
      <c r="E127" s="21">
        <v>102266</v>
      </c>
      <c r="F127" s="19">
        <v>0</v>
      </c>
    </row>
    <row r="128" spans="1:6" x14ac:dyDescent="0.25">
      <c r="A128" s="4" t="s">
        <v>207</v>
      </c>
      <c r="B128" s="16">
        <v>0</v>
      </c>
      <c r="C128" s="5" t="s">
        <v>61</v>
      </c>
      <c r="D128" s="17">
        <v>0</v>
      </c>
      <c r="E128" s="17">
        <v>0</v>
      </c>
      <c r="F128" s="23">
        <v>24083</v>
      </c>
    </row>
    <row r="129" spans="1:6" x14ac:dyDescent="0.25">
      <c r="A129" s="6" t="s">
        <v>208</v>
      </c>
      <c r="B129" s="20">
        <v>555937</v>
      </c>
      <c r="C129" s="7" t="s">
        <v>61</v>
      </c>
      <c r="D129" s="21">
        <v>41999</v>
      </c>
      <c r="E129" s="19">
        <v>0</v>
      </c>
      <c r="F129" s="19">
        <v>0</v>
      </c>
    </row>
    <row r="130" spans="1:6" x14ac:dyDescent="0.25">
      <c r="A130" s="4" t="s">
        <v>209</v>
      </c>
      <c r="B130" s="22">
        <v>22335</v>
      </c>
      <c r="C130" s="23">
        <v>130099</v>
      </c>
      <c r="D130" s="23">
        <v>531513</v>
      </c>
      <c r="E130" s="23">
        <v>407532</v>
      </c>
      <c r="F130" s="17">
        <v>0</v>
      </c>
    </row>
    <row r="131" spans="1:6" x14ac:dyDescent="0.25">
      <c r="A131" s="6" t="s">
        <v>210</v>
      </c>
      <c r="B131" s="20">
        <v>206505</v>
      </c>
      <c r="C131" s="21">
        <v>281818</v>
      </c>
      <c r="D131" s="21">
        <v>740540</v>
      </c>
      <c r="E131" s="19">
        <v>0</v>
      </c>
      <c r="F131" s="21">
        <v>437278</v>
      </c>
    </row>
    <row r="132" spans="1:6" x14ac:dyDescent="0.25">
      <c r="A132" s="4" t="s">
        <v>211</v>
      </c>
      <c r="B132" s="16">
        <v>0</v>
      </c>
      <c r="C132" s="23">
        <v>16496</v>
      </c>
      <c r="D132" s="23">
        <v>3035</v>
      </c>
      <c r="E132" s="17">
        <v>0</v>
      </c>
      <c r="F132" s="23">
        <v>2045</v>
      </c>
    </row>
    <row r="133" spans="1:6" x14ac:dyDescent="0.25">
      <c r="A133" s="6" t="s">
        <v>212</v>
      </c>
      <c r="B133" s="20">
        <v>11721</v>
      </c>
      <c r="C133" s="7" t="s">
        <v>61</v>
      </c>
      <c r="D133" s="19">
        <v>0</v>
      </c>
      <c r="E133" s="21">
        <v>630106</v>
      </c>
      <c r="F133" s="19">
        <v>0</v>
      </c>
    </row>
    <row r="134" spans="1:6" x14ac:dyDescent="0.25">
      <c r="A134" s="4" t="s">
        <v>213</v>
      </c>
      <c r="B134" s="16">
        <v>0</v>
      </c>
      <c r="C134" s="23">
        <v>138272</v>
      </c>
      <c r="D134" s="23">
        <v>5154</v>
      </c>
      <c r="E134" s="17">
        <v>0</v>
      </c>
      <c r="F134" s="23">
        <v>417542</v>
      </c>
    </row>
    <row r="135" spans="1:6" x14ac:dyDescent="0.25">
      <c r="A135" s="6" t="s">
        <v>214</v>
      </c>
      <c r="B135" s="18">
        <v>0</v>
      </c>
      <c r="C135" s="21">
        <v>153597</v>
      </c>
      <c r="D135" s="21">
        <v>171583</v>
      </c>
      <c r="E135" s="21">
        <v>153715</v>
      </c>
      <c r="F135" s="19">
        <v>0</v>
      </c>
    </row>
    <row r="136" spans="1:6" x14ac:dyDescent="0.25">
      <c r="A136" s="4" t="s">
        <v>215</v>
      </c>
      <c r="B136" s="16">
        <v>448</v>
      </c>
      <c r="C136" s="5" t="s">
        <v>61</v>
      </c>
      <c r="D136" s="17">
        <v>0</v>
      </c>
      <c r="E136" s="17">
        <v>0</v>
      </c>
      <c r="F136" s="23">
        <v>46408</v>
      </c>
    </row>
    <row r="137" spans="1:6" x14ac:dyDescent="0.25">
      <c r="A137" s="6" t="s">
        <v>216</v>
      </c>
      <c r="B137" s="18">
        <v>0</v>
      </c>
      <c r="C137" s="21">
        <v>20338</v>
      </c>
      <c r="D137" s="19">
        <v>0</v>
      </c>
      <c r="E137" s="21">
        <v>532751</v>
      </c>
      <c r="F137" s="21">
        <v>34315</v>
      </c>
    </row>
    <row r="138" spans="1:6" x14ac:dyDescent="0.25">
      <c r="A138" s="4" t="s">
        <v>217</v>
      </c>
      <c r="B138" s="22">
        <v>-59207</v>
      </c>
      <c r="C138" s="23">
        <v>-102484</v>
      </c>
      <c r="D138" s="23">
        <v>-166404</v>
      </c>
      <c r="E138" s="5" t="s">
        <v>61</v>
      </c>
      <c r="F138" s="23">
        <v>-120510</v>
      </c>
    </row>
    <row r="139" spans="1:6" x14ac:dyDescent="0.25">
      <c r="A139" s="6" t="s">
        <v>218</v>
      </c>
      <c r="B139" s="18">
        <v>0</v>
      </c>
      <c r="C139" s="7" t="s">
        <v>61</v>
      </c>
      <c r="D139" s="7" t="s">
        <v>61</v>
      </c>
      <c r="E139" s="21">
        <v>-185704</v>
      </c>
      <c r="F139" s="7" t="s">
        <v>61</v>
      </c>
    </row>
    <row r="140" spans="1:6" x14ac:dyDescent="0.25">
      <c r="A140" s="4" t="s">
        <v>219</v>
      </c>
      <c r="B140" s="16">
        <v>0</v>
      </c>
      <c r="C140" s="17">
        <v>1</v>
      </c>
      <c r="D140" s="17">
        <v>0</v>
      </c>
      <c r="E140" s="17">
        <v>23</v>
      </c>
      <c r="F140" s="17">
        <v>54</v>
      </c>
    </row>
    <row r="141" spans="1:6" x14ac:dyDescent="0.25">
      <c r="A141" s="6" t="s">
        <v>221</v>
      </c>
      <c r="B141" s="20">
        <v>59993</v>
      </c>
      <c r="C141" s="21">
        <v>102483</v>
      </c>
      <c r="D141" s="21">
        <v>143261</v>
      </c>
      <c r="E141" s="21">
        <v>100905</v>
      </c>
      <c r="F141" s="21">
        <v>165498</v>
      </c>
    </row>
    <row r="142" spans="1:6" x14ac:dyDescent="0.25">
      <c r="A142" s="4" t="s">
        <v>222</v>
      </c>
      <c r="B142" s="16">
        <v>0</v>
      </c>
      <c r="C142" s="5" t="s">
        <v>61</v>
      </c>
      <c r="D142" s="23">
        <v>23143</v>
      </c>
      <c r="E142" s="23">
        <v>84776</v>
      </c>
      <c r="F142" s="17">
        <v>0</v>
      </c>
    </row>
    <row r="143" spans="1:6" x14ac:dyDescent="0.25">
      <c r="A143" s="6" t="s">
        <v>223</v>
      </c>
      <c r="B143" s="18">
        <v>786</v>
      </c>
      <c r="C143" s="7" t="s">
        <v>61</v>
      </c>
      <c r="D143" s="19">
        <v>0</v>
      </c>
      <c r="E143" s="19">
        <v>0</v>
      </c>
      <c r="F143" s="19">
        <v>0</v>
      </c>
    </row>
    <row r="144" spans="1:6" x14ac:dyDescent="0.25">
      <c r="A144" s="4" t="s">
        <v>226</v>
      </c>
      <c r="B144" s="16">
        <v>0</v>
      </c>
      <c r="C144" s="5" t="s">
        <v>61</v>
      </c>
      <c r="D144" s="17">
        <v>0</v>
      </c>
      <c r="E144" s="17">
        <v>0</v>
      </c>
      <c r="F144" s="23">
        <v>45042</v>
      </c>
    </row>
    <row r="145" spans="1:6" x14ac:dyDescent="0.25">
      <c r="A145" s="6" t="s">
        <v>227</v>
      </c>
      <c r="B145" s="20">
        <v>-58158</v>
      </c>
      <c r="C145" s="21">
        <v>-295972</v>
      </c>
      <c r="D145" s="21">
        <v>670521</v>
      </c>
      <c r="E145" s="21">
        <v>1195303</v>
      </c>
      <c r="F145" s="21">
        <v>699346</v>
      </c>
    </row>
    <row r="146" spans="1:6" x14ac:dyDescent="0.25">
      <c r="A146" s="4" t="s">
        <v>228</v>
      </c>
      <c r="B146" s="22">
        <v>46434</v>
      </c>
      <c r="C146" s="5" t="s">
        <v>61</v>
      </c>
      <c r="D146" s="23">
        <v>822866</v>
      </c>
      <c r="E146" s="17">
        <v>0</v>
      </c>
      <c r="F146" s="23">
        <v>2073219</v>
      </c>
    </row>
    <row r="147" spans="1:6" x14ac:dyDescent="0.25">
      <c r="A147" s="6" t="s">
        <v>229</v>
      </c>
      <c r="B147" s="18">
        <v>0</v>
      </c>
      <c r="C147" s="7" t="s">
        <v>61</v>
      </c>
      <c r="D147" s="19">
        <v>0</v>
      </c>
      <c r="E147" s="21">
        <v>879237</v>
      </c>
      <c r="F147" s="19">
        <v>0</v>
      </c>
    </row>
    <row r="148" spans="1:6" x14ac:dyDescent="0.25">
      <c r="A148" s="4" t="s">
        <v>230</v>
      </c>
      <c r="B148" s="16">
        <v>0</v>
      </c>
      <c r="C148" s="5" t="s">
        <v>61</v>
      </c>
      <c r="D148" s="17">
        <v>0</v>
      </c>
      <c r="E148" s="23">
        <v>1309865</v>
      </c>
      <c r="F148" s="17">
        <v>0</v>
      </c>
    </row>
    <row r="149" spans="1:6" x14ac:dyDescent="0.25">
      <c r="A149" s="6" t="s">
        <v>231</v>
      </c>
      <c r="B149" s="18">
        <v>0</v>
      </c>
      <c r="C149" s="21">
        <v>136896</v>
      </c>
      <c r="D149" s="19">
        <v>0</v>
      </c>
      <c r="E149" s="21">
        <v>993799</v>
      </c>
      <c r="F149" s="21">
        <v>1210576</v>
      </c>
    </row>
    <row r="150" spans="1:6" x14ac:dyDescent="0.25">
      <c r="A150" s="4" t="s">
        <v>248</v>
      </c>
      <c r="B150" s="16">
        <v>0</v>
      </c>
      <c r="C150" s="23">
        <v>159076</v>
      </c>
      <c r="D150" s="23">
        <v>152345</v>
      </c>
      <c r="E150" s="17">
        <v>0</v>
      </c>
      <c r="F150" s="17">
        <v>0</v>
      </c>
    </row>
    <row r="151" spans="1:6" x14ac:dyDescent="0.25">
      <c r="A151" s="6" t="s">
        <v>232</v>
      </c>
      <c r="B151" s="18">
        <v>0</v>
      </c>
      <c r="C151" s="7" t="s">
        <v>61</v>
      </c>
      <c r="D151" s="19">
        <v>0</v>
      </c>
      <c r="E151" s="19">
        <v>0</v>
      </c>
      <c r="F151" s="21">
        <v>163297</v>
      </c>
    </row>
    <row r="152" spans="1:6" x14ac:dyDescent="0.25">
      <c r="A152" s="4" t="s">
        <v>233</v>
      </c>
      <c r="B152" s="22">
        <v>104592</v>
      </c>
      <c r="C152" s="17">
        <v>0</v>
      </c>
      <c r="D152" s="17">
        <v>0</v>
      </c>
      <c r="E152" s="17">
        <v>0</v>
      </c>
      <c r="F152" s="17">
        <v>0</v>
      </c>
    </row>
    <row r="153" spans="1:6" x14ac:dyDescent="0.25">
      <c r="A153" s="6" t="s">
        <v>234</v>
      </c>
      <c r="B153" s="20">
        <v>46345</v>
      </c>
      <c r="C153" s="21">
        <v>29137</v>
      </c>
      <c r="D153" s="21">
        <v>48483</v>
      </c>
      <c r="E153" s="21">
        <v>11771</v>
      </c>
      <c r="F153" s="21">
        <v>235177</v>
      </c>
    </row>
    <row r="154" spans="1:6" x14ac:dyDescent="0.25">
      <c r="A154" s="4" t="s">
        <v>235</v>
      </c>
      <c r="B154" s="22">
        <v>-52891</v>
      </c>
      <c r="C154" s="23">
        <v>-17208</v>
      </c>
      <c r="D154" s="23">
        <v>19346</v>
      </c>
      <c r="E154" s="23">
        <v>-36712</v>
      </c>
      <c r="F154" s="23">
        <v>223406</v>
      </c>
    </row>
    <row r="155" spans="1:6" x14ac:dyDescent="0.25">
      <c r="A155" s="6" t="s">
        <v>236</v>
      </c>
      <c r="B155" s="20">
        <v>99236</v>
      </c>
      <c r="C155" s="21">
        <v>46345</v>
      </c>
      <c r="D155" s="21">
        <v>29137</v>
      </c>
      <c r="E155" s="21">
        <v>48483</v>
      </c>
      <c r="F155" s="21">
        <v>11771</v>
      </c>
    </row>
    <row r="158" spans="1:6" x14ac:dyDescent="0.25">
      <c r="A158" s="3" t="s">
        <v>98</v>
      </c>
    </row>
    <row r="159" spans="1:6" x14ac:dyDescent="0.25">
      <c r="A159" s="3" t="s">
        <v>6</v>
      </c>
      <c r="B159" s="3" t="s">
        <v>7</v>
      </c>
      <c r="C159" s="3" t="s">
        <v>8</v>
      </c>
      <c r="D159" s="3" t="s">
        <v>9</v>
      </c>
      <c r="E159" s="3" t="s">
        <v>10</v>
      </c>
      <c r="F159" s="3" t="s">
        <v>11</v>
      </c>
    </row>
    <row r="160" spans="1:6" x14ac:dyDescent="0.25">
      <c r="A160" s="4" t="s">
        <v>29</v>
      </c>
      <c r="B160" s="4" t="s">
        <v>29</v>
      </c>
      <c r="C160" s="5" t="s">
        <v>29</v>
      </c>
      <c r="D160" s="5" t="s">
        <v>29</v>
      </c>
      <c r="E160" s="5" t="s">
        <v>29</v>
      </c>
      <c r="F160" s="5" t="s">
        <v>29</v>
      </c>
    </row>
    <row r="161" spans="1:6" x14ac:dyDescent="0.25">
      <c r="A161" s="6" t="s">
        <v>99</v>
      </c>
      <c r="B161" s="6" t="s">
        <v>100</v>
      </c>
      <c r="C161" s="7" t="s">
        <v>100</v>
      </c>
      <c r="D161" s="7" t="s">
        <v>100</v>
      </c>
      <c r="E161" s="7" t="s">
        <v>100</v>
      </c>
      <c r="F161" s="7" t="s">
        <v>100</v>
      </c>
    </row>
    <row r="162" spans="1:6" x14ac:dyDescent="0.25">
      <c r="A162" s="4" t="s">
        <v>101</v>
      </c>
      <c r="B162" s="4" t="s">
        <v>102</v>
      </c>
      <c r="C162" s="5" t="s">
        <v>102</v>
      </c>
      <c r="D162" s="5" t="s">
        <v>102</v>
      </c>
      <c r="E162" s="5" t="s">
        <v>102</v>
      </c>
      <c r="F162" s="5" t="s">
        <v>102</v>
      </c>
    </row>
    <row r="165" spans="1:6" x14ac:dyDescent="0.25">
      <c r="A165" s="1" t="s">
        <v>103</v>
      </c>
    </row>
    <row r="166" spans="1:6" x14ac:dyDescent="0.25">
      <c r="A166" s="1" t="s">
        <v>104</v>
      </c>
    </row>
    <row r="167" spans="1:6" x14ac:dyDescent="0.25">
      <c r="A167" s="1" t="s">
        <v>105</v>
      </c>
    </row>
  </sheetData>
  <sheetProtection formatCells="0" formatColumns="0" formatRows="0" insertColumns="0" insertRows="0" insertHyperlinks="0" deleteColumns="0" deleteRows="0" sort="0" autoFilter="0" pivotTables="0"/>
  <mergeCells count="1">
    <mergeCell ref="A7:G7"/>
  </mergeCells>
  <hyperlinks>
    <hyperlink ref="B18" r:id="rId1"/>
    <hyperlink ref="C18" r:id="rId2"/>
    <hyperlink ref="D18" r:id="rId3"/>
    <hyperlink ref="E18" r:id="rId4"/>
    <hyperlink ref="F18" r:id="rId5"/>
  </hyperlinks>
  <pageMargins left="0.7" right="0.7" top="0.75" bottom="0.75" header="0.3" footer="0.3"/>
  <pageSetup paperSize="9" orientation="portrait" r:id="rId6"/>
  <drawing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M167"/>
  <sheetViews>
    <sheetView showGridLines="0" topLeftCell="A22" workbookViewId="0">
      <pane xSplit="1" topLeftCell="E1" activePane="topRight" state="frozen"/>
      <selection activeCell="A40" sqref="A40"/>
      <selection pane="topRight" activeCell="H31" sqref="H31:L31"/>
    </sheetView>
  </sheetViews>
  <sheetFormatPr baseColWidth="10" defaultColWidth="9.125" defaultRowHeight="15" x14ac:dyDescent="0.25"/>
  <cols>
    <col min="1" max="1" width="50" style="1" customWidth="1"/>
    <col min="2" max="6" width="20" style="1" customWidth="1"/>
    <col min="7" max="7" width="9.125" style="1"/>
    <col min="8" max="8" width="13.625" style="1" bestFit="1" customWidth="1"/>
    <col min="9" max="12" width="9.625" style="1" bestFit="1" customWidth="1"/>
    <col min="13" max="16384" width="9.125" style="1"/>
  </cols>
  <sheetData>
    <row r="2" spans="1:9" x14ac:dyDescent="0.25">
      <c r="G2" s="2" t="s">
        <v>0</v>
      </c>
      <c r="I2" s="139">
        <f>Supuestos!$E$12</f>
        <v>15.653276907595142</v>
      </c>
    </row>
    <row r="3" spans="1:9" x14ac:dyDescent="0.25">
      <c r="G3" s="2" t="s">
        <v>1</v>
      </c>
    </row>
    <row r="4" spans="1:9" x14ac:dyDescent="0.25">
      <c r="G4" s="2" t="s">
        <v>2</v>
      </c>
    </row>
    <row r="5" spans="1:9" x14ac:dyDescent="0.25">
      <c r="G5" s="2" t="s">
        <v>3</v>
      </c>
    </row>
    <row r="7" spans="1:9" ht="20.100000000000001" customHeight="1" x14ac:dyDescent="0.25">
      <c r="A7" s="643" t="s">
        <v>237</v>
      </c>
      <c r="B7" s="644"/>
      <c r="C7" s="644"/>
      <c r="D7" s="644"/>
      <c r="E7" s="644"/>
      <c r="F7" s="644"/>
      <c r="G7" s="644"/>
    </row>
    <row r="8" spans="1:9" x14ac:dyDescent="0.25">
      <c r="A8" s="1" t="s">
        <v>4</v>
      </c>
    </row>
    <row r="10" spans="1:9" x14ac:dyDescent="0.25">
      <c r="A10" s="3" t="s">
        <v>5</v>
      </c>
    </row>
    <row r="11" spans="1:9" x14ac:dyDescent="0.25">
      <c r="A11" s="3" t="s">
        <v>6</v>
      </c>
      <c r="B11" s="3" t="s">
        <v>7</v>
      </c>
      <c r="C11" s="3" t="s">
        <v>8</v>
      </c>
      <c r="D11" s="3" t="s">
        <v>9</v>
      </c>
      <c r="E11" s="3" t="s">
        <v>10</v>
      </c>
      <c r="F11" s="3" t="s">
        <v>11</v>
      </c>
    </row>
    <row r="12" spans="1:9" x14ac:dyDescent="0.25">
      <c r="A12" s="4" t="s">
        <v>12</v>
      </c>
      <c r="B12" s="4" t="s">
        <v>13</v>
      </c>
      <c r="C12" s="5" t="s">
        <v>14</v>
      </c>
      <c r="D12" s="5" t="s">
        <v>15</v>
      </c>
      <c r="E12" s="5" t="s">
        <v>16</v>
      </c>
      <c r="F12" s="5" t="s">
        <v>17</v>
      </c>
    </row>
    <row r="13" spans="1:9" x14ac:dyDescent="0.25">
      <c r="A13" s="6" t="s">
        <v>18</v>
      </c>
      <c r="B13" s="6" t="s">
        <v>19</v>
      </c>
      <c r="C13" s="7" t="s">
        <v>20</v>
      </c>
      <c r="D13" s="7" t="s">
        <v>21</v>
      </c>
      <c r="E13" s="7" t="s">
        <v>22</v>
      </c>
      <c r="F13" s="7" t="s">
        <v>23</v>
      </c>
    </row>
    <row r="14" spans="1:9" x14ac:dyDescent="0.25">
      <c r="A14" s="4" t="s">
        <v>24</v>
      </c>
      <c r="B14" s="4" t="s">
        <v>25</v>
      </c>
      <c r="C14" s="5" t="s">
        <v>25</v>
      </c>
      <c r="D14" s="5" t="s">
        <v>25</v>
      </c>
      <c r="E14" s="5" t="s">
        <v>25</v>
      </c>
      <c r="F14" s="5" t="s">
        <v>25</v>
      </c>
    </row>
    <row r="15" spans="1:9" x14ac:dyDescent="0.25">
      <c r="A15" s="6" t="s">
        <v>26</v>
      </c>
      <c r="B15" s="6" t="s">
        <v>25</v>
      </c>
      <c r="C15" s="7" t="s">
        <v>25</v>
      </c>
      <c r="D15" s="7" t="s">
        <v>25</v>
      </c>
      <c r="E15" s="7" t="s">
        <v>25</v>
      </c>
      <c r="F15" s="7" t="s">
        <v>25</v>
      </c>
    </row>
    <row r="16" spans="1:9" x14ac:dyDescent="0.25">
      <c r="A16" s="4" t="s">
        <v>27</v>
      </c>
      <c r="B16" s="4" t="s">
        <v>28</v>
      </c>
      <c r="C16" s="5" t="s">
        <v>28</v>
      </c>
      <c r="D16" s="5" t="s">
        <v>28</v>
      </c>
      <c r="E16" s="5" t="s">
        <v>28</v>
      </c>
      <c r="F16" s="5" t="s">
        <v>28</v>
      </c>
    </row>
    <row r="17" spans="1:12" x14ac:dyDescent="0.25">
      <c r="A17" s="6" t="s">
        <v>29</v>
      </c>
      <c r="B17" s="6" t="s">
        <v>29</v>
      </c>
      <c r="C17" s="7" t="s">
        <v>29</v>
      </c>
      <c r="D17" s="7" t="s">
        <v>29</v>
      </c>
      <c r="E17" s="7" t="s">
        <v>29</v>
      </c>
      <c r="F17" s="7" t="s">
        <v>29</v>
      </c>
    </row>
    <row r="18" spans="1:12" x14ac:dyDescent="0.25">
      <c r="A18" s="4" t="s">
        <v>30</v>
      </c>
      <c r="B18" s="8" t="s">
        <v>31</v>
      </c>
      <c r="C18" s="9" t="s">
        <v>31</v>
      </c>
      <c r="D18" s="9" t="s">
        <v>31</v>
      </c>
      <c r="E18" s="9" t="s">
        <v>31</v>
      </c>
      <c r="F18" s="9" t="s">
        <v>31</v>
      </c>
    </row>
    <row r="20" spans="1:12" x14ac:dyDescent="0.25">
      <c r="B20" s="138"/>
    </row>
    <row r="21" spans="1:12" x14ac:dyDescent="0.25">
      <c r="A21" s="3" t="s">
        <v>108</v>
      </c>
    </row>
    <row r="22" spans="1:12" x14ac:dyDescent="0.25">
      <c r="A22" s="3" t="s">
        <v>6</v>
      </c>
      <c r="B22" s="3" t="s">
        <v>7</v>
      </c>
      <c r="C22" s="3" t="s">
        <v>8</v>
      </c>
      <c r="D22" s="3" t="s">
        <v>9</v>
      </c>
      <c r="E22" s="3" t="s">
        <v>10</v>
      </c>
      <c r="F22" s="3" t="s">
        <v>11</v>
      </c>
    </row>
    <row r="23" spans="1:12" x14ac:dyDescent="0.25">
      <c r="A23" s="6" t="s">
        <v>33</v>
      </c>
      <c r="B23" s="10">
        <v>1</v>
      </c>
      <c r="C23" s="11">
        <v>1</v>
      </c>
      <c r="D23" s="11">
        <v>1</v>
      </c>
      <c r="E23" s="11">
        <v>1</v>
      </c>
      <c r="F23" s="11">
        <v>1</v>
      </c>
    </row>
    <row r="24" spans="1:12" x14ac:dyDescent="0.25">
      <c r="A24" s="4" t="s">
        <v>110</v>
      </c>
      <c r="B24" s="471">
        <f>4938332*(Supuestos!$E$12)</f>
        <v>77301078.257638127</v>
      </c>
      <c r="C24" s="471">
        <f>5470851*(Supuestos!$E$12)</f>
        <v>85636745.623193786</v>
      </c>
      <c r="D24" s="471">
        <f>6505753*(Supuestos!$E$12)</f>
        <v>101836353.20141782</v>
      </c>
      <c r="E24" s="471">
        <f>7743688*(Supuestos!$E$12)</f>
        <v>121214092.5500216</v>
      </c>
      <c r="F24" s="471">
        <f>9138149*(Supuestos!$E$12)</f>
        <v>143041976.71986365</v>
      </c>
    </row>
    <row r="25" spans="1:12" x14ac:dyDescent="0.25">
      <c r="A25" s="6" t="s">
        <v>111</v>
      </c>
      <c r="B25" s="471">
        <f>3591308*(Supuestos!$E$12)</f>
        <v>56215738.584461696</v>
      </c>
      <c r="C25" s="471">
        <f>3658922*(Supuestos!$E$12)</f>
        <v>57274119.24929183</v>
      </c>
      <c r="D25" s="471">
        <f>4041881*(Supuestos!$E$12)</f>
        <v>63268682.520547561</v>
      </c>
      <c r="E25" s="471">
        <f>4087381*(Supuestos!$E$12)</f>
        <v>63980906.61984314</v>
      </c>
      <c r="F25" s="471">
        <f>5434049*(Supuestos!$E$12)</f>
        <v>85060673.726440474</v>
      </c>
    </row>
    <row r="26" spans="1:12" x14ac:dyDescent="0.25">
      <c r="A26" s="4" t="s">
        <v>112</v>
      </c>
      <c r="B26" s="471">
        <f>168259*(Supuestos!$E$12)</f>
        <v>2633804.7191950511</v>
      </c>
      <c r="C26" s="471">
        <f>98866*(Supuestos!$E$12)</f>
        <v>1547576.8747463012</v>
      </c>
      <c r="D26" s="471">
        <f>271646*(Supuestos!$E$12)</f>
        <v>4252150.0588405896</v>
      </c>
      <c r="E26" s="471">
        <f>87520*(Supuestos!$E$12)</f>
        <v>1369974.7949527269</v>
      </c>
      <c r="F26" s="471">
        <f>343023*(Supuestos!$E$12)</f>
        <v>5369434.0046740081</v>
      </c>
      <c r="H26" s="598"/>
      <c r="I26" s="598"/>
      <c r="J26" s="598"/>
      <c r="K26" s="598"/>
      <c r="L26" s="598"/>
    </row>
    <row r="27" spans="1:12" x14ac:dyDescent="0.25">
      <c r="A27" s="6" t="s">
        <v>113</v>
      </c>
      <c r="B27" s="471">
        <f>46539*(Supuestos!$E$12)</f>
        <v>728487.85400257027</v>
      </c>
      <c r="C27" s="471">
        <f>51206*(Supuestos!$E$12)</f>
        <v>801541.69733031688</v>
      </c>
      <c r="D27" s="471">
        <f>14997*(Supuestos!$E$12)</f>
        <v>234752.19378320433</v>
      </c>
      <c r="E27" s="471">
        <f>21453*(Supuestos!$E$12)</f>
        <v>335809.74949863856</v>
      </c>
      <c r="F27" s="471">
        <f>26215*(Supuestos!$E$12)</f>
        <v>410350.65413260664</v>
      </c>
      <c r="H27" s="598"/>
      <c r="I27" s="598"/>
      <c r="J27" s="598"/>
      <c r="K27" s="598"/>
      <c r="L27" s="598"/>
    </row>
    <row r="28" spans="1:12" x14ac:dyDescent="0.25">
      <c r="A28" s="4" t="s">
        <v>114</v>
      </c>
      <c r="B28" s="471">
        <f>114413*(Supuestos!$E$12)</f>
        <v>1790938.370828683</v>
      </c>
      <c r="C28" s="471" t="s">
        <v>61</v>
      </c>
      <c r="D28" s="471">
        <f>113695*(Supuestos!$E$12)</f>
        <v>1779699.3180090296</v>
      </c>
      <c r="E28" s="471">
        <f>0*(Supuestos!$E$12)</f>
        <v>0</v>
      </c>
      <c r="F28" s="471">
        <f>295260*(Supuestos!$E$12)</f>
        <v>4621786.5397365419</v>
      </c>
      <c r="H28" s="597"/>
      <c r="I28" s="597"/>
      <c r="J28" s="597"/>
      <c r="K28" s="597"/>
      <c r="L28" s="597"/>
    </row>
    <row r="29" spans="1:12" x14ac:dyDescent="0.25">
      <c r="A29" s="6" t="s">
        <v>115</v>
      </c>
      <c r="B29" s="471">
        <f>7307*(Supuestos!$E$12)</f>
        <v>114378.4943637977</v>
      </c>
      <c r="C29" s="471">
        <f>47660*(Supuestos!$E$12)</f>
        <v>746035.17741598445</v>
      </c>
      <c r="D29" s="471">
        <f>142954*(Supuestos!$E$12)</f>
        <v>2237698.5470483559</v>
      </c>
      <c r="E29" s="471">
        <f>66067*(Supuestos!$E$12)</f>
        <v>1034165.0454540882</v>
      </c>
      <c r="F29" s="471">
        <f>21548*(Supuestos!$E$12)</f>
        <v>337296.81080486014</v>
      </c>
    </row>
    <row r="30" spans="1:12" x14ac:dyDescent="0.25">
      <c r="A30" s="4" t="s">
        <v>117</v>
      </c>
      <c r="B30" s="471">
        <f>644596*(Supuestos!$E$12)</f>
        <v>10090039.681528198</v>
      </c>
      <c r="C30" s="471">
        <f>717370*(Supuestos!$E$12)</f>
        <v>11229191.255201528</v>
      </c>
      <c r="D30" s="471">
        <f>619065*(Supuestos!$E$12)</f>
        <v>9690395.8688003868</v>
      </c>
      <c r="E30" s="471">
        <f>791033*(Supuestos!$E$12)</f>
        <v>12382258.592045708</v>
      </c>
      <c r="F30" s="471">
        <f>999055*(Supuestos!$E$12)</f>
        <v>15638484.560917465</v>
      </c>
    </row>
    <row r="31" spans="1:12" x14ac:dyDescent="0.25">
      <c r="A31" s="6" t="s">
        <v>118</v>
      </c>
      <c r="B31" s="471">
        <f>332863*(Supuestos!$E$12)</f>
        <v>5210396.7112928415</v>
      </c>
      <c r="C31" s="471">
        <f>434700*(Supuestos!$E$12)</f>
        <v>6804479.4717316087</v>
      </c>
      <c r="D31" s="471">
        <f>370036*(Supuestos!$E$12)</f>
        <v>5792275.9737788755</v>
      </c>
      <c r="E31" s="471">
        <f>455628*(Supuestos!$E$12)</f>
        <v>7132071.2508537592</v>
      </c>
      <c r="F31" s="471">
        <f>340495*(Supuestos!$E$12)</f>
        <v>5329862.5206516078</v>
      </c>
      <c r="H31" s="597"/>
      <c r="I31" s="597"/>
      <c r="J31" s="597"/>
      <c r="K31" s="597"/>
      <c r="L31" s="597"/>
    </row>
    <row r="32" spans="1:12" x14ac:dyDescent="0.25">
      <c r="A32" s="4" t="s">
        <v>119</v>
      </c>
      <c r="B32" s="471">
        <f>54149*(Supuestos!$E$12)</f>
        <v>847609.29126936931</v>
      </c>
      <c r="C32" s="471">
        <f>40095*(Supuestos!$E$12)</f>
        <v>627618.13761002722</v>
      </c>
      <c r="D32" s="471">
        <f>22134*(Supuestos!$E$12)</f>
        <v>346469.63107271085</v>
      </c>
      <c r="E32" s="471">
        <f>22134*(Supuestos!$E$12)</f>
        <v>346469.63107271085</v>
      </c>
      <c r="F32" s="471">
        <f>19245*(Supuestos!$E$12)</f>
        <v>301247.31408666848</v>
      </c>
    </row>
    <row r="33" spans="1:6" x14ac:dyDescent="0.25">
      <c r="A33" s="6" t="s">
        <v>120</v>
      </c>
      <c r="B33" s="471">
        <f>72774*(Supuestos!$E$12)</f>
        <v>1139151.5736733289</v>
      </c>
      <c r="C33" s="471">
        <f>70497*(Supuestos!$E$12)</f>
        <v>1103509.0621547347</v>
      </c>
      <c r="D33" s="471">
        <f>66914*(Supuestos!$E$12)</f>
        <v>1047423.3709948213</v>
      </c>
      <c r="E33" s="471">
        <f>131362*(Supuestos!$E$12)</f>
        <v>2056245.761135513</v>
      </c>
      <c r="F33" s="471">
        <f>351536*(Supuestos!$E$12)</f>
        <v>5502690.3509883657</v>
      </c>
    </row>
    <row r="34" spans="1:6" x14ac:dyDescent="0.25">
      <c r="A34" s="4" t="s">
        <v>121</v>
      </c>
      <c r="B34" s="471">
        <f>171817*(Supuestos!$E$12)</f>
        <v>2689499.0784322745</v>
      </c>
      <c r="C34" s="471">
        <f>162395*(Supuestos!$E$12)</f>
        <v>2542013.9034089129</v>
      </c>
      <c r="D34" s="471">
        <f>154003*(Supuestos!$E$12)</f>
        <v>2410651.6036003749</v>
      </c>
      <c r="E34" s="471">
        <f>181009*(Supuestos!$E$12)</f>
        <v>2833383.999766889</v>
      </c>
      <c r="F34" s="471">
        <f>257509*(Supuestos!$E$12)</f>
        <v>4030859.6831979174</v>
      </c>
    </row>
    <row r="35" spans="1:6" x14ac:dyDescent="0.25">
      <c r="A35" s="6" t="s">
        <v>122</v>
      </c>
      <c r="B35" s="471">
        <f>953*(Supuestos!$E$12)</f>
        <v>14917.572892938171</v>
      </c>
      <c r="C35" s="471">
        <f>0*(Supuestos!$E$12)</f>
        <v>0</v>
      </c>
      <c r="D35" s="471">
        <f>0*(Supuestos!$E$12)</f>
        <v>0</v>
      </c>
      <c r="E35" s="471">
        <f>0*(Supuestos!$E$12)</f>
        <v>0</v>
      </c>
      <c r="F35" s="471">
        <f>3238*(Supuestos!$E$12)</f>
        <v>50685.310626793071</v>
      </c>
    </row>
    <row r="36" spans="1:6" x14ac:dyDescent="0.25">
      <c r="A36" s="4" t="s">
        <v>123</v>
      </c>
      <c r="B36" s="471">
        <f>12040*(Supuestos!$E$12)</f>
        <v>188465.4539674455</v>
      </c>
      <c r="C36" s="471">
        <f>1710*(Supuestos!$E$12)</f>
        <v>26767.103511987694</v>
      </c>
      <c r="D36" s="471">
        <f>1990*(Supuestos!$E$12)</f>
        <v>31150.021046114332</v>
      </c>
      <c r="E36" s="471">
        <f>900*(Supuestos!$E$12)</f>
        <v>14087.949216835628</v>
      </c>
      <c r="F36" s="471">
        <f>13436*(Supuestos!$E$12)</f>
        <v>210317.42853044832</v>
      </c>
    </row>
    <row r="37" spans="1:6" x14ac:dyDescent="0.25">
      <c r="A37" s="6" t="s">
        <v>124</v>
      </c>
      <c r="B37" s="471">
        <f>0*(Supuestos!$E$12)</f>
        <v>0</v>
      </c>
      <c r="C37" s="471">
        <f>11897*(Supuestos!$E$12)</f>
        <v>186227.0353696594</v>
      </c>
      <c r="D37" s="471">
        <f>11720*(Supuestos!$E$12)</f>
        <v>183456.40535701506</v>
      </c>
      <c r="E37" s="471">
        <f>11720*(Supuestos!$E$12)</f>
        <v>183456.40535701506</v>
      </c>
      <c r="F37" s="471">
        <f>20292*(Supuestos!$E$12)</f>
        <v>317636.2950089206</v>
      </c>
    </row>
    <row r="38" spans="1:6" x14ac:dyDescent="0.25">
      <c r="A38" s="4" t="s">
        <v>125</v>
      </c>
      <c r="B38" s="471">
        <f>0*(Supuestos!$E$12)</f>
        <v>0</v>
      </c>
      <c r="C38" s="471">
        <f>3924*(Supuestos!$E$12)</f>
        <v>61423.458585403336</v>
      </c>
      <c r="D38" s="471">
        <f>7732*(Supuestos!$E$12)</f>
        <v>121031.13704952564</v>
      </c>
      <c r="E38" s="471">
        <f>11720*(Supuestos!$E$12)</f>
        <v>183456.40535701506</v>
      </c>
      <c r="F38" s="471">
        <f>6696*(Supuestos!$E$12)</f>
        <v>104814.34217325707</v>
      </c>
    </row>
    <row r="39" spans="1:6" x14ac:dyDescent="0.25">
      <c r="A39" s="6" t="s">
        <v>126</v>
      </c>
      <c r="B39" s="471">
        <f>2770373*(Supuestos!$E$12)</f>
        <v>43365415.706325077</v>
      </c>
      <c r="C39" s="471">
        <f>2803521*(Supuestos!$E$12)</f>
        <v>43884290.529258043</v>
      </c>
      <c r="D39" s="471">
        <f>3151170*(Supuestos!$E$12)</f>
        <v>49326136.592906587</v>
      </c>
      <c r="E39" s="471">
        <f>3208828*(Supuestos!$E$12)</f>
        <v>50228673.232844703</v>
      </c>
      <c r="F39" s="471">
        <f>4091971*(Supuestos!$E$12)</f>
        <v>64052755.160849005</v>
      </c>
    </row>
    <row r="40" spans="1:6" x14ac:dyDescent="0.25">
      <c r="A40" s="4" t="s">
        <v>238</v>
      </c>
      <c r="B40" s="471">
        <f>2311948*(Supuestos!$E$12)</f>
        <v>36189562.239960775</v>
      </c>
      <c r="C40" s="471">
        <f>2447300*(Supuestos!$E$12)</f>
        <v>38308264.575957589</v>
      </c>
      <c r="D40" s="471">
        <f>2213663*(Supuestos!$E$12)</f>
        <v>34651079.919097789</v>
      </c>
      <c r="E40" s="471">
        <f>1758836*(Supuestos!$E$12)</f>
        <v>27531546.943047009</v>
      </c>
      <c r="F40" s="471">
        <f>2330286*(Supuestos!$E$12)</f>
        <v>36476612.031892255</v>
      </c>
    </row>
    <row r="41" spans="1:6" x14ac:dyDescent="0.25">
      <c r="A41" s="6" t="s">
        <v>239</v>
      </c>
      <c r="B41" s="471">
        <f>0*(Supuestos!$E$12)</f>
        <v>0</v>
      </c>
      <c r="C41" s="471" t="s">
        <v>61</v>
      </c>
      <c r="D41" s="471">
        <f>0*(Supuestos!$E$12)</f>
        <v>0</v>
      </c>
      <c r="E41" s="471">
        <f>0*(Supuestos!$E$12)</f>
        <v>0</v>
      </c>
      <c r="F41" s="471">
        <f>5*(Supuestos!$E$12)</f>
        <v>78.266384537975711</v>
      </c>
    </row>
    <row r="42" spans="1:6" x14ac:dyDescent="0.25">
      <c r="A42" s="4" t="s">
        <v>240</v>
      </c>
      <c r="B42" s="471">
        <f>0*(Supuestos!$E$12)</f>
        <v>0</v>
      </c>
      <c r="C42" s="471">
        <f>65390*(Supuestos!$E$12)</f>
        <v>1023567.7769876464</v>
      </c>
      <c r="D42" s="471">
        <f>108781*(Supuestos!$E$12)</f>
        <v>1702779.1152851072</v>
      </c>
      <c r="E42" s="471">
        <f>54294*(Supuestos!$E$12)</f>
        <v>849879.01642097067</v>
      </c>
      <c r="F42" s="471">
        <f>66100*(Supuestos!$E$12)</f>
        <v>1034681.6035920389</v>
      </c>
    </row>
    <row r="43" spans="1:6" x14ac:dyDescent="0.25">
      <c r="A43" s="6" t="s">
        <v>127</v>
      </c>
      <c r="B43" s="471">
        <f>167020*(Supuestos!$E$12)</f>
        <v>2614410.3091065409</v>
      </c>
      <c r="C43" s="471">
        <f>257119*(Supuestos!$E$12)</f>
        <v>4024754.9052039552</v>
      </c>
      <c r="D43" s="471">
        <f>575518*(Supuestos!$E$12)</f>
        <v>9008742.6193053406</v>
      </c>
      <c r="E43" s="471">
        <f>1395698*(Supuestos!$E$12)</f>
        <v>21847247.273376726</v>
      </c>
      <c r="F43" s="471">
        <f>1687867*(Supuestos!$E$12)</f>
        <v>26420649.534191892</v>
      </c>
    </row>
    <row r="44" spans="1:6" x14ac:dyDescent="0.25">
      <c r="A44" s="4" t="s">
        <v>128</v>
      </c>
      <c r="B44" s="471">
        <f>291405*(Supuestos!$E$12)</f>
        <v>4561443.1572577627</v>
      </c>
      <c r="C44" s="471">
        <f>33712*(Supuestos!$E$12)</f>
        <v>527703.27110884746</v>
      </c>
      <c r="D44" s="471">
        <f>253208*(Supuestos!$E$12)</f>
        <v>3963534.9392183507</v>
      </c>
      <c r="E44" s="471">
        <f>0*(Supuestos!$E$12)</f>
        <v>0</v>
      </c>
      <c r="F44" s="471">
        <f>7713*(Supuestos!$E$12)</f>
        <v>120733.72478828132</v>
      </c>
    </row>
    <row r="45" spans="1:6" x14ac:dyDescent="0.25">
      <c r="A45" s="6" t="s">
        <v>129</v>
      </c>
      <c r="B45" s="471">
        <f>8080*(Supuestos!$E$12)</f>
        <v>126478.47741336875</v>
      </c>
      <c r="C45" s="471">
        <f>39165*(Supuestos!$E$12)</f>
        <v>613060.59008596372</v>
      </c>
      <c r="D45" s="471">
        <f>0*(Supuestos!$E$12)</f>
        <v>0</v>
      </c>
      <c r="E45" s="471">
        <f>0*(Supuestos!$E$12)</f>
        <v>0</v>
      </c>
      <c r="F45" s="471">
        <f>0*(Supuestos!$E$12)</f>
        <v>0</v>
      </c>
    </row>
    <row r="46" spans="1:6" x14ac:dyDescent="0.25">
      <c r="A46" s="4" t="s">
        <v>130</v>
      </c>
      <c r="B46" s="471">
        <f>8080*(Supuestos!$E$12)</f>
        <v>126478.47741336875</v>
      </c>
      <c r="C46" s="471" t="s">
        <v>61</v>
      </c>
      <c r="D46" s="471">
        <f>0*(Supuestos!$E$12)</f>
        <v>0</v>
      </c>
      <c r="E46" s="471">
        <f>0*(Supuestos!$E$12)</f>
        <v>0</v>
      </c>
      <c r="F46" s="471">
        <f>0*(Supuestos!$E$12)</f>
        <v>0</v>
      </c>
    </row>
    <row r="47" spans="1:6" x14ac:dyDescent="0.25">
      <c r="A47" s="6" t="s">
        <v>131</v>
      </c>
      <c r="B47" s="471">
        <f>0*(Supuestos!$E$12)</f>
        <v>0</v>
      </c>
      <c r="C47" s="471">
        <f>39165*(Supuestos!$E$12)</f>
        <v>613060.59008596372</v>
      </c>
      <c r="D47" s="471">
        <f>0*(Supuestos!$E$12)</f>
        <v>0</v>
      </c>
      <c r="E47" s="471">
        <f>0*(Supuestos!$E$12)</f>
        <v>0</v>
      </c>
      <c r="F47" s="471">
        <f>0*(Supuestos!$E$12)</f>
        <v>0</v>
      </c>
    </row>
    <row r="48" spans="1:6" x14ac:dyDescent="0.25">
      <c r="A48" s="4" t="s">
        <v>132</v>
      </c>
      <c r="B48" s="471">
        <f>1347024*(Supuestos!$E$12)</f>
        <v>21085339.673176438</v>
      </c>
      <c r="C48" s="471">
        <f>1811929*(Supuestos!$E$12)</f>
        <v>28362626.37390196</v>
      </c>
      <c r="D48" s="471">
        <f>2463872*(Supuestos!$E$12)</f>
        <v>38567670.680870257</v>
      </c>
      <c r="E48" s="471">
        <f>3656307*(Supuestos!$E$12)</f>
        <v>57233185.930178471</v>
      </c>
      <c r="F48" s="471">
        <f>3704100*(Supuestos!$E$12)</f>
        <v>57981302.993423164</v>
      </c>
    </row>
    <row r="49" spans="1:6" x14ac:dyDescent="0.25">
      <c r="A49" s="6" t="s">
        <v>116</v>
      </c>
      <c r="B49" s="471">
        <f>20000*(Supuestos!$E$12)</f>
        <v>313065.53815190285</v>
      </c>
      <c r="C49" s="471">
        <f>76000*(Supuestos!$E$12)</f>
        <v>1189649.0449772307</v>
      </c>
      <c r="D49" s="471">
        <f>86000*(Supuestos!$E$12)</f>
        <v>1346181.8140531823</v>
      </c>
      <c r="E49" s="471">
        <f>86000*(Supuestos!$E$12)</f>
        <v>1346181.8140531823</v>
      </c>
      <c r="F49" s="471">
        <f>86000*(Supuestos!$E$12)</f>
        <v>1346181.8140531823</v>
      </c>
    </row>
    <row r="50" spans="1:6" x14ac:dyDescent="0.25">
      <c r="A50" s="4" t="s">
        <v>133</v>
      </c>
      <c r="B50" s="471">
        <f>1158855*(Supuestos!$E$12)</f>
        <v>18139878.210751168</v>
      </c>
      <c r="C50" s="471">
        <f>1727185*(Supuestos!$E$12)</f>
        <v>27036105.075644717</v>
      </c>
      <c r="D50" s="471">
        <f>2367938*(Supuestos!$E$12)</f>
        <v>37065989.214017026</v>
      </c>
      <c r="E50" s="471">
        <f>3558489*(Supuestos!$E$12)</f>
        <v>55702013.689631328</v>
      </c>
      <c r="F50" s="471">
        <f>3601139*(Supuestos!$E$12)</f>
        <v>56369625.949740261</v>
      </c>
    </row>
    <row r="51" spans="1:6" x14ac:dyDescent="0.25">
      <c r="A51" s="6" t="s">
        <v>134</v>
      </c>
      <c r="B51" s="471">
        <f>5786*(Supuestos!$E$12)</f>
        <v>90569.86018734549</v>
      </c>
      <c r="C51" s="471">
        <f>8744*(Supuestos!$E$12)</f>
        <v>136872.25328001194</v>
      </c>
      <c r="D51" s="471">
        <f>9934*(Supuestos!$E$12)</f>
        <v>155499.65280005013</v>
      </c>
      <c r="E51" s="471">
        <f>11818*(Supuestos!$E$12)</f>
        <v>184990.42649395938</v>
      </c>
      <c r="F51" s="471">
        <f>16961*(Supuestos!$E$12)</f>
        <v>265495.2296297212</v>
      </c>
    </row>
    <row r="52" spans="1:6" x14ac:dyDescent="0.25">
      <c r="A52" s="4" t="s">
        <v>135</v>
      </c>
      <c r="B52" s="471">
        <f>692*(Supuestos!$E$12)</f>
        <v>10832.067620055839</v>
      </c>
      <c r="C52" s="471">
        <f>692*(Supuestos!$E$12)</f>
        <v>10832.067620055839</v>
      </c>
      <c r="D52" s="471">
        <f>692*(Supuestos!$E$12)</f>
        <v>10832.067620055839</v>
      </c>
      <c r="E52" s="471">
        <f>692*(Supuestos!$E$12)</f>
        <v>10832.067620055839</v>
      </c>
      <c r="F52" s="471">
        <f>692*(Supuestos!$E$12)</f>
        <v>10832.067620055839</v>
      </c>
    </row>
    <row r="53" spans="1:6" x14ac:dyDescent="0.25">
      <c r="A53" s="6" t="s">
        <v>137</v>
      </c>
      <c r="B53" s="471">
        <f>5094*(Supuestos!$E$12)</f>
        <v>79737.792567289653</v>
      </c>
      <c r="C53" s="471">
        <f>8052*(Supuestos!$E$12)</f>
        <v>126040.18565995609</v>
      </c>
      <c r="D53" s="471">
        <f>9242*(Supuestos!$E$12)</f>
        <v>144667.58517999429</v>
      </c>
      <c r="E53" s="471">
        <f>11126*(Supuestos!$E$12)</f>
        <v>174158.35887390355</v>
      </c>
      <c r="F53" s="471">
        <f>16269*(Supuestos!$E$12)</f>
        <v>254663.16200966536</v>
      </c>
    </row>
    <row r="54" spans="1:6" x14ac:dyDescent="0.25">
      <c r="A54" s="4" t="s">
        <v>139</v>
      </c>
      <c r="B54" s="471">
        <f>162383*(Supuestos!$E$12)</f>
        <v>2541826.0640860219</v>
      </c>
      <c r="C54" s="471">
        <f>0*(Supuestos!$E$12)</f>
        <v>0</v>
      </c>
      <c r="D54" s="471">
        <f>0*(Supuestos!$E$12)</f>
        <v>0</v>
      </c>
      <c r="E54" s="471">
        <f>0*(Supuestos!$E$12)</f>
        <v>0</v>
      </c>
      <c r="F54" s="471">
        <f>0*(Supuestos!$E$12)</f>
        <v>0</v>
      </c>
    </row>
    <row r="55" spans="1:6" x14ac:dyDescent="0.25">
      <c r="A55" s="6" t="s">
        <v>140</v>
      </c>
      <c r="B55" s="471">
        <f>162383*(Supuestos!$E$12)</f>
        <v>2541826.0640860219</v>
      </c>
      <c r="C55" s="471">
        <f>0*(Supuestos!$E$12)</f>
        <v>0</v>
      </c>
      <c r="D55" s="471">
        <f>0*(Supuestos!$E$12)</f>
        <v>0</v>
      </c>
      <c r="E55" s="471">
        <f>0*(Supuestos!$E$12)</f>
        <v>0</v>
      </c>
      <c r="F55" s="471">
        <f>0*(Supuestos!$E$12)</f>
        <v>0</v>
      </c>
    </row>
    <row r="56" spans="1:6" x14ac:dyDescent="0.25">
      <c r="A56" s="4" t="s">
        <v>141</v>
      </c>
      <c r="B56" s="471">
        <f>3414407*(Supuestos!$E$12)</f>
        <v>53446658.246231206</v>
      </c>
      <c r="C56" s="471">
        <f>3766339*(Supuestos!$E$12)</f>
        <v>58955547.294874981</v>
      </c>
      <c r="D56" s="471">
        <f>4725626*(Supuestos!$E$12)</f>
        <v>73971532.339731202</v>
      </c>
      <c r="E56" s="471">
        <f>5895504*(Supuestos!$E$12)</f>
        <v>92283956.621834785</v>
      </c>
      <c r="F56" s="471">
        <f>6836937*(Supuestos!$E$12)</f>
        <v>107020468.06078281</v>
      </c>
    </row>
    <row r="57" spans="1:6" x14ac:dyDescent="0.25">
      <c r="A57" s="6" t="s">
        <v>142</v>
      </c>
      <c r="B57" s="471">
        <f>3414407*(Supuestos!$E$12)</f>
        <v>53446658.246231206</v>
      </c>
      <c r="C57" s="471">
        <f>3766339*(Supuestos!$E$12)</f>
        <v>58955547.294874981</v>
      </c>
      <c r="D57" s="471">
        <f>4725626*(Supuestos!$E$12)</f>
        <v>73971532.339731202</v>
      </c>
      <c r="E57" s="471">
        <f>5895504*(Supuestos!$E$12)</f>
        <v>92283956.621834785</v>
      </c>
      <c r="F57" s="471">
        <f>4662067*(Supuestos!$E$12)</f>
        <v>72976625.712761357</v>
      </c>
    </row>
    <row r="58" spans="1:6" x14ac:dyDescent="0.25">
      <c r="A58" s="4" t="s">
        <v>143</v>
      </c>
      <c r="B58" s="471">
        <f>1055667*(Supuestos!$E$12)</f>
        <v>16524647.87321024</v>
      </c>
      <c r="C58" s="471">
        <f>1842972*(Supuestos!$E$12)</f>
        <v>28848551.048944436</v>
      </c>
      <c r="D58" s="471">
        <f>1618681*(Supuestos!$E$12)</f>
        <v>25337661.918063011</v>
      </c>
      <c r="E58" s="471">
        <f>2975365*(Supuestos!$E$12)</f>
        <v>46574212.246166818</v>
      </c>
      <c r="F58" s="471">
        <f>2498949*(Supuestos!$E$12)</f>
        <v>39116740.674957976</v>
      </c>
    </row>
    <row r="59" spans="1:6" x14ac:dyDescent="0.25">
      <c r="A59" s="6" t="s">
        <v>144</v>
      </c>
      <c r="B59" s="471">
        <f>915764*(Supuestos!$E$12)</f>
        <v>14334707.474006958</v>
      </c>
      <c r="C59" s="471">
        <f>308979*(Supuestos!$E$12)</f>
        <v>4836533.8456318397</v>
      </c>
      <c r="D59" s="471">
        <f>83719*(Supuestos!$E$12)</f>
        <v>1310476.6894269576</v>
      </c>
      <c r="E59" s="471">
        <f>591507*(Supuestos!$E$12)</f>
        <v>9259022.8637808803</v>
      </c>
      <c r="F59" s="471">
        <f>731200*(Supuestos!$E$12)</f>
        <v>11445676.074833568</v>
      </c>
    </row>
    <row r="60" spans="1:6" x14ac:dyDescent="0.25">
      <c r="A60" s="4" t="s">
        <v>145</v>
      </c>
      <c r="B60" s="471">
        <f>1233919*(Supuestos!$E$12)</f>
        <v>19314875.788542889</v>
      </c>
      <c r="C60" s="471">
        <f>1324137*(Supuestos!$E$12)</f>
        <v>20727083.124592308</v>
      </c>
      <c r="D60" s="471">
        <f>2383538*(Supuestos!$E$12)</f>
        <v>37310180.333775513</v>
      </c>
      <c r="E60" s="471">
        <f>2187458*(Supuestos!$E$12)</f>
        <v>34240885.797734253</v>
      </c>
      <c r="F60" s="471">
        <f>1069223*(Supuestos!$E$12)</f>
        <v>16736843.6949696</v>
      </c>
    </row>
    <row r="61" spans="1:6" x14ac:dyDescent="0.25">
      <c r="A61" s="6" t="s">
        <v>146</v>
      </c>
      <c r="B61" s="471">
        <f>191986*(Supuestos!$E$12)</f>
        <v>3005210.020381561</v>
      </c>
      <c r="C61" s="471">
        <f>343303*(Supuestos!$E$12)</f>
        <v>5373816.922208135</v>
      </c>
      <c r="D61" s="471">
        <f>105773*(Supuestos!$E$12)</f>
        <v>1655694.058347061</v>
      </c>
      <c r="E61" s="471">
        <f>234175*(Supuestos!$E$12)</f>
        <v>3665606.1198360925</v>
      </c>
      <c r="F61" s="471">
        <f>793541*(Supuestos!$E$12)</f>
        <v>12421517.010529956</v>
      </c>
    </row>
    <row r="62" spans="1:6" x14ac:dyDescent="0.25">
      <c r="A62" s="4" t="s">
        <v>147</v>
      </c>
      <c r="B62" s="471">
        <f>1018624*(Supuestos!$E$12)</f>
        <v>15944803.536722194</v>
      </c>
      <c r="C62" s="471">
        <f>937871*(Supuestos!$E$12)</f>
        <v>14680754.466603164</v>
      </c>
      <c r="D62" s="471">
        <f>2055832*(Supuestos!$E$12)</f>
        <v>32180507.571495134</v>
      </c>
      <c r="E62" s="471">
        <f>1737478*(Supuestos!$E$12)</f>
        <v>27197224.254854593</v>
      </c>
      <c r="F62" s="471">
        <f>0*(Supuestos!$E$12)</f>
        <v>0</v>
      </c>
    </row>
    <row r="63" spans="1:6" x14ac:dyDescent="0.25">
      <c r="A63" s="6" t="s">
        <v>148</v>
      </c>
      <c r="B63" s="471">
        <f>0*(Supuestos!$E$12)</f>
        <v>0</v>
      </c>
      <c r="C63" s="471" t="s">
        <v>61</v>
      </c>
      <c r="D63" s="471">
        <f>189118*(Supuestos!$E$12)</f>
        <v>2960316.4222105779</v>
      </c>
      <c r="E63" s="471">
        <f>189117*(Supuestos!$E$12)</f>
        <v>2960300.7689336706</v>
      </c>
      <c r="F63" s="471">
        <f>189118*(Supuestos!$E$12)</f>
        <v>2960316.4222105779</v>
      </c>
    </row>
    <row r="64" spans="1:6" x14ac:dyDescent="0.25">
      <c r="A64" s="4" t="s">
        <v>149</v>
      </c>
      <c r="B64" s="471">
        <f>17738*(Supuestos!$E$12)</f>
        <v>277657.82578692265</v>
      </c>
      <c r="C64" s="471">
        <f>20365*(Supuestos!$E$12)</f>
        <v>318778.9842231751</v>
      </c>
      <c r="D64" s="471">
        <f>27676*(Supuestos!$E$12)</f>
        <v>433220.09169460315</v>
      </c>
      <c r="E64" s="471">
        <f>24854*(Supuestos!$E$12)</f>
        <v>389046.54426136968</v>
      </c>
      <c r="F64" s="471">
        <f>46169*(Supuestos!$E$12)</f>
        <v>722696.1415467601</v>
      </c>
    </row>
    <row r="65" spans="1:6" x14ac:dyDescent="0.25">
      <c r="A65" s="6" t="s">
        <v>150</v>
      </c>
      <c r="B65" s="471">
        <f>4495*(Supuestos!$E$12)</f>
        <v>70361.479699640171</v>
      </c>
      <c r="C65" s="471">
        <f>6115*(Supuestos!$E$12)</f>
        <v>95719.788289944292</v>
      </c>
      <c r="D65" s="471">
        <f>3019*(Supuestos!$E$12)</f>
        <v>47257.242984029734</v>
      </c>
      <c r="E65" s="471">
        <f>289*(Supuestos!$E$12)</f>
        <v>4523.7970262949957</v>
      </c>
      <c r="F65" s="471">
        <f>0*(Supuestos!$E$12)</f>
        <v>0</v>
      </c>
    </row>
    <row r="66" spans="1:6" x14ac:dyDescent="0.25">
      <c r="A66" s="4" t="s">
        <v>151</v>
      </c>
      <c r="B66" s="471">
        <f>1076*(Supuestos!$E$12)</f>
        <v>16842.925952572372</v>
      </c>
      <c r="C66" s="471">
        <f>1413*(Supuestos!$E$12)</f>
        <v>22118.080270431936</v>
      </c>
      <c r="D66" s="471">
        <f>2120*(Supuestos!$E$12)</f>
        <v>33184.947044101704</v>
      </c>
      <c r="E66" s="471">
        <f>1545*(Supuestos!$E$12)</f>
        <v>24184.312822234493</v>
      </c>
      <c r="F66" s="471">
        <f>2098*(Supuestos!$E$12)</f>
        <v>32840.574952134608</v>
      </c>
    </row>
    <row r="67" spans="1:6" x14ac:dyDescent="0.25">
      <c r="A67" s="6" t="s">
        <v>152</v>
      </c>
      <c r="B67" s="471">
        <f>0*(Supuestos!$E$12)</f>
        <v>0</v>
      </c>
      <c r="C67" s="471">
        <f>8997*(Supuestos!$E$12)</f>
        <v>140832.53233763349</v>
      </c>
      <c r="D67" s="471">
        <f>0*(Supuestos!$E$12)</f>
        <v>0</v>
      </c>
      <c r="E67" s="471">
        <f>0*(Supuestos!$E$12)</f>
        <v>0</v>
      </c>
      <c r="F67" s="471">
        <f>0*(Supuestos!$E$12)</f>
        <v>0</v>
      </c>
    </row>
    <row r="68" spans="1:6" x14ac:dyDescent="0.25">
      <c r="A68" s="4" t="s">
        <v>153</v>
      </c>
      <c r="B68" s="471">
        <f>0*(Supuestos!$E$12)</f>
        <v>0</v>
      </c>
      <c r="C68" s="471">
        <f>6073*(Supuestos!$E$12)</f>
        <v>95062.350659825301</v>
      </c>
      <c r="D68" s="471">
        <f>0*(Supuestos!$E$12)</f>
        <v>0</v>
      </c>
      <c r="E68" s="471">
        <f>0*(Supuestos!$E$12)</f>
        <v>0</v>
      </c>
      <c r="F68" s="471">
        <f>38297*(Supuestos!$E$12)</f>
        <v>599473.54573017114</v>
      </c>
    </row>
    <row r="69" spans="1:6" x14ac:dyDescent="0.25">
      <c r="A69" s="6" t="s">
        <v>154</v>
      </c>
      <c r="B69" s="471">
        <f>49202*(Supuestos!$E$12)</f>
        <v>770172.53040749615</v>
      </c>
      <c r="C69" s="471">
        <f>48985*(Supuestos!$E$12)</f>
        <v>766775.76931854803</v>
      </c>
      <c r="D69" s="471">
        <f>75326*(Supuestos!$E$12)</f>
        <v>1179098.7363415116</v>
      </c>
      <c r="E69" s="471">
        <f>13789*(Supuestos!$E$12)</f>
        <v>215843.03527882943</v>
      </c>
      <c r="F69" s="471">
        <f>86078*(Supuestos!$E$12)</f>
        <v>1347402.7696519746</v>
      </c>
    </row>
    <row r="70" spans="1:6" x14ac:dyDescent="0.25">
      <c r="A70" s="4" t="s">
        <v>155</v>
      </c>
      <c r="B70" s="471">
        <f>0*(Supuestos!$E$12)</f>
        <v>0</v>
      </c>
      <c r="C70" s="471" t="s">
        <v>61</v>
      </c>
      <c r="D70" s="471">
        <f>0*(Supuestos!$E$12)</f>
        <v>0</v>
      </c>
      <c r="E70" s="471">
        <f>0*(Supuestos!$E$12)</f>
        <v>0</v>
      </c>
      <c r="F70" s="471">
        <f>30186*(Supuestos!$E$12)</f>
        <v>472509.81673266698</v>
      </c>
    </row>
    <row r="71" spans="1:6" x14ac:dyDescent="0.25">
      <c r="A71" s="6" t="s">
        <v>156</v>
      </c>
      <c r="B71" s="471">
        <f>37741*(Supuestos!$E$12)</f>
        <v>590770.32376954821</v>
      </c>
      <c r="C71" s="471">
        <f>46930*(Supuestos!$E$12)</f>
        <v>734608.28527344007</v>
      </c>
      <c r="D71" s="471">
        <f>37966*(Supuestos!$E$12)</f>
        <v>594292.31107375713</v>
      </c>
      <c r="E71" s="471">
        <f>32625*(Supuestos!$E$12)</f>
        <v>510688.15911029151</v>
      </c>
      <c r="F71" s="471">
        <f>233378*(Supuestos!$E$12)</f>
        <v>3653130.4581407392</v>
      </c>
    </row>
    <row r="72" spans="1:6" x14ac:dyDescent="0.25">
      <c r="A72" s="4" t="s">
        <v>241</v>
      </c>
      <c r="B72" s="471">
        <f>37741*(Supuestos!$E$12)</f>
        <v>590770.32376954821</v>
      </c>
      <c r="C72" s="471">
        <f>46930*(Supuestos!$E$12)</f>
        <v>734608.28527344007</v>
      </c>
      <c r="D72" s="471">
        <f>37966*(Supuestos!$E$12)</f>
        <v>594292.31107375713</v>
      </c>
      <c r="E72" s="471">
        <f>32625*(Supuestos!$E$12)</f>
        <v>510688.15911029151</v>
      </c>
      <c r="F72" s="471">
        <f>0*(Supuestos!$E$12)</f>
        <v>0</v>
      </c>
    </row>
    <row r="73" spans="1:6" x14ac:dyDescent="0.25">
      <c r="A73" s="6" t="s">
        <v>158</v>
      </c>
      <c r="B73" s="471">
        <f>0*(Supuestos!$E$12)</f>
        <v>0</v>
      </c>
      <c r="C73" s="471" t="s">
        <v>61</v>
      </c>
      <c r="D73" s="471">
        <f>0*(Supuestos!$E$12)</f>
        <v>0</v>
      </c>
      <c r="E73" s="471">
        <f>0*(Supuestos!$E$12)</f>
        <v>0</v>
      </c>
      <c r="F73" s="471">
        <f>233378*(Supuestos!$E$12)</f>
        <v>3653130.4581407392</v>
      </c>
    </row>
    <row r="74" spans="1:6" x14ac:dyDescent="0.25">
      <c r="A74" s="4" t="s">
        <v>160</v>
      </c>
      <c r="B74" s="471">
        <f>122114*(Supuestos!$E$12)</f>
        <v>1911484.2562940731</v>
      </c>
      <c r="C74" s="471">
        <f>194336*(Supuestos!$E$12)</f>
        <v>3041995.2211144096</v>
      </c>
      <c r="D74" s="471">
        <f>526396*(Supuestos!$E$12)</f>
        <v>8239822.3510504523</v>
      </c>
      <c r="E74" s="471">
        <f>94760*(Supuestos!$E$12)</f>
        <v>1483304.5197637156</v>
      </c>
      <c r="F74" s="471">
        <f>13053*(Supuestos!$E$12)</f>
        <v>204322.22347483938</v>
      </c>
    </row>
    <row r="75" spans="1:6" x14ac:dyDescent="0.25">
      <c r="A75" s="6" t="s">
        <v>242</v>
      </c>
      <c r="B75" s="471">
        <f>122114*(Supuestos!$E$12)</f>
        <v>1911484.2562940731</v>
      </c>
      <c r="C75" s="471">
        <f>194041*(Supuestos!$E$12)</f>
        <v>3037377.5044266689</v>
      </c>
      <c r="D75" s="471">
        <f>526396*(Supuestos!$E$12)</f>
        <v>8239822.3510504523</v>
      </c>
      <c r="E75" s="471">
        <f>94041*(Supuestos!$E$12)</f>
        <v>1472049.8136671549</v>
      </c>
      <c r="F75" s="471">
        <f>13053*(Supuestos!$E$12)</f>
        <v>204322.22347483938</v>
      </c>
    </row>
    <row r="76" spans="1:6" x14ac:dyDescent="0.25">
      <c r="A76" s="4" t="s">
        <v>161</v>
      </c>
      <c r="B76" s="471">
        <f>0*(Supuestos!$E$12)</f>
        <v>0</v>
      </c>
      <c r="C76" s="471">
        <f>295*(Supuestos!$E$12)</f>
        <v>4617.7166877405671</v>
      </c>
      <c r="D76" s="471">
        <f>0*(Supuestos!$E$12)</f>
        <v>0</v>
      </c>
      <c r="E76" s="471">
        <f>719*(Supuestos!$E$12)</f>
        <v>11254.706096560907</v>
      </c>
      <c r="F76" s="471">
        <f>0*(Supuestos!$E$12)</f>
        <v>0</v>
      </c>
    </row>
    <row r="77" spans="1:6" x14ac:dyDescent="0.25">
      <c r="A77" s="6" t="s">
        <v>162</v>
      </c>
      <c r="B77" s="471">
        <f>0*(Supuestos!$E$12)</f>
        <v>0</v>
      </c>
      <c r="C77" s="471">
        <f>0*(Supuestos!$E$12)</f>
        <v>0</v>
      </c>
      <c r="D77" s="471">
        <f>0*(Supuestos!$E$12)</f>
        <v>0</v>
      </c>
      <c r="E77" s="471">
        <f>0*(Supuestos!$E$12)</f>
        <v>0</v>
      </c>
      <c r="F77" s="471">
        <f>2174870*(Supuestos!$E$12)</f>
        <v>34043842.348021448</v>
      </c>
    </row>
    <row r="78" spans="1:6" x14ac:dyDescent="0.25">
      <c r="A78" s="4" t="s">
        <v>243</v>
      </c>
      <c r="B78" s="471">
        <f>0*(Supuestos!$E$12)</f>
        <v>0</v>
      </c>
      <c r="C78" s="471">
        <f>0*(Supuestos!$E$12)</f>
        <v>0</v>
      </c>
      <c r="D78" s="471">
        <f>0*(Supuestos!$E$12)</f>
        <v>0</v>
      </c>
      <c r="E78" s="471">
        <f>0*(Supuestos!$E$12)</f>
        <v>0</v>
      </c>
      <c r="F78" s="471">
        <f>2174870*(Supuestos!$E$12)</f>
        <v>34043842.348021448</v>
      </c>
    </row>
    <row r="79" spans="1:6" x14ac:dyDescent="0.25">
      <c r="A79" s="6" t="s">
        <v>244</v>
      </c>
      <c r="B79" s="471">
        <f>0*(Supuestos!$E$12)</f>
        <v>0</v>
      </c>
      <c r="C79" s="471" t="s">
        <v>61</v>
      </c>
      <c r="D79" s="471">
        <f>0*(Supuestos!$E$12)</f>
        <v>0</v>
      </c>
      <c r="E79" s="471">
        <f>0*(Supuestos!$E$12)</f>
        <v>0</v>
      </c>
      <c r="F79" s="471">
        <f>2174870*(Supuestos!$E$12)</f>
        <v>34043842.348021448</v>
      </c>
    </row>
    <row r="80" spans="1:6" x14ac:dyDescent="0.25">
      <c r="A80" s="4" t="s">
        <v>163</v>
      </c>
      <c r="B80" s="471">
        <f>1523925*(Supuestos!$E$12)</f>
        <v>23854420.011406928</v>
      </c>
      <c r="C80" s="471">
        <f>1704512*(Supuestos!$E$12)</f>
        <v>26681198.328318812</v>
      </c>
      <c r="D80" s="471">
        <f>1780127*(Supuestos!$E$12)</f>
        <v>27864820.861686617</v>
      </c>
      <c r="E80" s="471">
        <f>1848184*(Supuestos!$E$12)</f>
        <v>28930135.928186819</v>
      </c>
      <c r="F80" s="471">
        <f>2301212*(Supuestos!$E$12)</f>
        <v>36021508.659080833</v>
      </c>
    </row>
    <row r="81" spans="1:6" x14ac:dyDescent="0.25">
      <c r="A81" s="6" t="s">
        <v>164</v>
      </c>
      <c r="B81" s="471">
        <f>500000*(Supuestos!$E$12)</f>
        <v>7826638.4537975714</v>
      </c>
      <c r="C81" s="471">
        <f>1180000*(Supuestos!$E$12)</f>
        <v>18470866.750962269</v>
      </c>
      <c r="D81" s="471">
        <f>1180000*(Supuestos!$E$12)</f>
        <v>18470866.750962269</v>
      </c>
      <c r="E81" s="471">
        <f>1430000*(Supuestos!$E$12)</f>
        <v>22384185.977861054</v>
      </c>
      <c r="F81" s="471">
        <f>1430000*(Supuestos!$E$12)</f>
        <v>22384185.977861054</v>
      </c>
    </row>
    <row r="82" spans="1:6" x14ac:dyDescent="0.25">
      <c r="A82" s="4" t="s">
        <v>165</v>
      </c>
      <c r="B82" s="471">
        <f>0*(Supuestos!$E$12)</f>
        <v>0</v>
      </c>
      <c r="C82" s="471">
        <f>1180000*(Supuestos!$E$12)</f>
        <v>18470866.750962269</v>
      </c>
      <c r="D82" s="471">
        <f>1180000*(Supuestos!$E$12)</f>
        <v>18470866.750962269</v>
      </c>
      <c r="E82" s="471">
        <f>1430000*(Supuestos!$E$12)</f>
        <v>22384185.977861054</v>
      </c>
      <c r="F82" s="471">
        <f>1430000*(Supuestos!$E$12)</f>
        <v>22384185.977861054</v>
      </c>
    </row>
    <row r="83" spans="1:6" x14ac:dyDescent="0.25">
      <c r="A83" s="6" t="s">
        <v>245</v>
      </c>
      <c r="B83" s="471">
        <f>500000*(Supuestos!$E$12)</f>
        <v>7826638.4537975714</v>
      </c>
      <c r="C83" s="471" t="s">
        <v>61</v>
      </c>
      <c r="D83" s="471">
        <f>0*(Supuestos!$E$12)</f>
        <v>0</v>
      </c>
      <c r="E83" s="471">
        <f>0*(Supuestos!$E$12)</f>
        <v>0</v>
      </c>
      <c r="F83" s="471">
        <f>0*(Supuestos!$E$12)</f>
        <v>0</v>
      </c>
    </row>
    <row r="84" spans="1:6" x14ac:dyDescent="0.25">
      <c r="A84" s="4" t="s">
        <v>168</v>
      </c>
      <c r="B84" s="471">
        <f>116645*(Supuestos!$E$12)</f>
        <v>1825876.4848864353</v>
      </c>
      <c r="C84" s="471">
        <f>150029*(Supuestos!$E$12)</f>
        <v>2348445.4811695917</v>
      </c>
      <c r="D84" s="471">
        <f>172884*(Supuestos!$E$12)</f>
        <v>2706201.1248926786</v>
      </c>
      <c r="E84" s="471">
        <f>199980*(Supuestos!$E$12)</f>
        <v>3130342.3159808763</v>
      </c>
      <c r="F84" s="471">
        <f>215376*(Supuestos!$E$12)</f>
        <v>3371340.1672502114</v>
      </c>
    </row>
    <row r="85" spans="1:6" x14ac:dyDescent="0.25">
      <c r="A85" s="6" t="s">
        <v>170</v>
      </c>
      <c r="B85" s="471">
        <f>524920*(Supuestos!$E$12)</f>
        <v>8216718.1143348422</v>
      </c>
      <c r="C85" s="471">
        <f>370805*(Supuestos!$E$12)</f>
        <v>5804313.343720817</v>
      </c>
      <c r="D85" s="471">
        <f>427243*(Supuestos!$E$12)</f>
        <v>6687752.9858316714</v>
      </c>
      <c r="E85" s="471">
        <f>218204*(Supuestos!$E$12)</f>
        <v>3415607.6343448902</v>
      </c>
      <c r="F85" s="471">
        <f>453028*(Supuestos!$E$12)</f>
        <v>7091372.7308940124</v>
      </c>
    </row>
    <row r="86" spans="1:6" x14ac:dyDescent="0.25">
      <c r="A86" s="4" t="s">
        <v>171</v>
      </c>
      <c r="B86" s="471">
        <f>219977*(Supuestos!$E$12)</f>
        <v>3443360.8943020566</v>
      </c>
      <c r="C86" s="471">
        <f>3678*(Supuestos!$E$12)</f>
        <v>57572.752466134931</v>
      </c>
      <c r="D86" s="471">
        <f>0*(Supuestos!$E$12)</f>
        <v>0</v>
      </c>
      <c r="E86" s="471">
        <f>0*(Supuestos!$E$12)</f>
        <v>0</v>
      </c>
      <c r="F86" s="471">
        <f>202808*(Supuestos!$E$12)</f>
        <v>3174609.7830755557</v>
      </c>
    </row>
    <row r="87" spans="1:6" x14ac:dyDescent="0.25">
      <c r="A87" s="6" t="s">
        <v>172</v>
      </c>
      <c r="B87" s="471" t="s">
        <v>61</v>
      </c>
      <c r="C87" s="471" t="s">
        <v>61</v>
      </c>
      <c r="D87" s="471" t="s">
        <v>61</v>
      </c>
      <c r="E87" s="471">
        <f>0*(Supuestos!$E$12)</f>
        <v>0</v>
      </c>
      <c r="F87" s="471">
        <f>202808*(Supuestos!$E$12)</f>
        <v>3174609.7830755557</v>
      </c>
    </row>
    <row r="88" spans="1:6" x14ac:dyDescent="0.25">
      <c r="A88" s="4" t="s">
        <v>173</v>
      </c>
      <c r="B88" s="471">
        <f>162383*(Supuestos!$E$12)</f>
        <v>2541826.0640860219</v>
      </c>
      <c r="C88" s="471" t="s">
        <v>61</v>
      </c>
      <c r="D88" s="471">
        <f>0*(Supuestos!$E$12)</f>
        <v>0</v>
      </c>
      <c r="E88" s="471">
        <f>0*(Supuestos!$E$12)</f>
        <v>0</v>
      </c>
      <c r="F88" s="471">
        <f>0*(Supuestos!$E$12)</f>
        <v>0</v>
      </c>
    </row>
    <row r="90" spans="1:6" x14ac:dyDescent="0.25">
      <c r="B90" s="124"/>
    </row>
    <row r="91" spans="1:6" x14ac:dyDescent="0.25">
      <c r="A91" s="3" t="s">
        <v>174</v>
      </c>
    </row>
    <row r="92" spans="1:6" x14ac:dyDescent="0.25">
      <c r="A92" s="3" t="s">
        <v>6</v>
      </c>
      <c r="B92" s="3" t="s">
        <v>7</v>
      </c>
      <c r="C92" s="3" t="s">
        <v>8</v>
      </c>
      <c r="D92" s="3" t="s">
        <v>9</v>
      </c>
      <c r="E92" s="3" t="s">
        <v>10</v>
      </c>
      <c r="F92" s="3" t="s">
        <v>11</v>
      </c>
    </row>
    <row r="93" spans="1:6" x14ac:dyDescent="0.25">
      <c r="A93" s="6" t="s">
        <v>33</v>
      </c>
      <c r="B93" s="10">
        <v>1</v>
      </c>
      <c r="C93" s="11">
        <v>1</v>
      </c>
      <c r="D93" s="11">
        <v>1</v>
      </c>
      <c r="E93" s="11">
        <v>1</v>
      </c>
      <c r="F93" s="11">
        <v>1</v>
      </c>
    </row>
    <row r="94" spans="1:6" x14ac:dyDescent="0.25">
      <c r="A94" s="4" t="s">
        <v>175</v>
      </c>
      <c r="B94" s="139">
        <f>4062948*(Supuestos!$E$12)</f>
        <v>63598450.105159864</v>
      </c>
      <c r="C94" s="139">
        <f>4767509*(Supuestos!$E$12)</f>
        <v>74627138.53645201</v>
      </c>
      <c r="D94" s="139">
        <f>5178971*(Supuestos!$E$12)</f>
        <v>81067867.159404919</v>
      </c>
      <c r="E94" s="139">
        <f>6265669*(Supuestos!$E$12)</f>
        <v>98078251.86833474</v>
      </c>
      <c r="F94" s="139">
        <f>6958054*(Supuestos!$E$12)</f>
        <v>108916346.00000001</v>
      </c>
    </row>
    <row r="95" spans="1:6" x14ac:dyDescent="0.25">
      <c r="A95" s="6" t="s">
        <v>176</v>
      </c>
      <c r="B95" s="139">
        <f>1970293*(Supuestos!$E$12)</f>
        <v>30841541.918096356</v>
      </c>
      <c r="C95" s="139">
        <f>2477593*(Supuestos!$E$12)</f>
        <v>38782449.293319374</v>
      </c>
      <c r="D95" s="139">
        <f>2491662*(Supuestos!$E$12)</f>
        <v>39002675.246132329</v>
      </c>
      <c r="E95" s="139">
        <f>3790093*(Supuestos!$E$12)</f>
        <v>59327375.234537996</v>
      </c>
      <c r="F95" s="139">
        <f>4295011*(Supuestos!$E$12)</f>
        <v>67230996.504167125</v>
      </c>
    </row>
    <row r="96" spans="1:6" x14ac:dyDescent="0.25">
      <c r="A96" s="4" t="s">
        <v>177</v>
      </c>
      <c r="B96" s="139">
        <f>2092655*(Supuestos!$E$12)</f>
        <v>32756908.187063511</v>
      </c>
      <c r="C96" s="139">
        <f>2289916*(Supuestos!$E$12)</f>
        <v>35844689.243132636</v>
      </c>
      <c r="D96" s="139">
        <f>2687309*(Supuestos!$E$12)</f>
        <v>42065191.913272597</v>
      </c>
      <c r="E96" s="139">
        <f>2475576*(Supuestos!$E$12)</f>
        <v>38750876.633796751</v>
      </c>
      <c r="F96" s="139">
        <f>2663043*(Supuestos!$E$12)</f>
        <v>41685349.49583289</v>
      </c>
    </row>
    <row r="97" spans="1:13" x14ac:dyDescent="0.25">
      <c r="A97" s="6" t="s">
        <v>178</v>
      </c>
      <c r="B97" s="139">
        <f>1425061*(Supuestos!$E$12)</f>
        <v>22306874.443214443</v>
      </c>
      <c r="C97" s="139">
        <f>1622753*(Supuestos!$E$12)</f>
        <v>25401402.061630741</v>
      </c>
      <c r="D97" s="139">
        <f>1753808*(Supuestos!$E$12)</f>
        <v>27452842.266755622</v>
      </c>
      <c r="E97" s="139">
        <f>1605313*(Supuestos!$E$12)</f>
        <v>25128408.912362281</v>
      </c>
      <c r="F97" s="139">
        <f>1434310*(Supuestos!$E$12)</f>
        <v>22451651.601332787</v>
      </c>
    </row>
    <row r="98" spans="1:13" x14ac:dyDescent="0.25">
      <c r="A98" s="4" t="s">
        <v>179</v>
      </c>
      <c r="B98" s="139">
        <f>7102*(Supuestos!$E$12)</f>
        <v>111169.5725977407</v>
      </c>
      <c r="C98" s="139">
        <f>20261*(Supuestos!$E$12)</f>
        <v>317151.0434247852</v>
      </c>
      <c r="D98" s="139">
        <f>135276*(Supuestos!$E$12)</f>
        <v>2117512.6869518403</v>
      </c>
      <c r="E98" s="139">
        <f>13349*(Supuestos!$E$12)</f>
        <v>208955.59343948757</v>
      </c>
      <c r="F98" s="139">
        <f>62845*(Supuestos!$E$12)</f>
        <v>983730.18725781667</v>
      </c>
    </row>
    <row r="99" spans="1:13" x14ac:dyDescent="0.25">
      <c r="A99" s="6" t="s">
        <v>180</v>
      </c>
      <c r="B99" s="139">
        <f>660492*(Supuestos!$E$12)</f>
        <v>10338864.171251331</v>
      </c>
      <c r="C99" s="139">
        <f>646902*(Supuestos!$E$12)</f>
        <v>10126136.138077112</v>
      </c>
      <c r="D99" s="139">
        <f>798225*(Supuestos!$E$12)</f>
        <v>12494836.959565133</v>
      </c>
      <c r="E99" s="139">
        <f>856914*(Supuestos!$E$12)</f>
        <v>13413512.127994984</v>
      </c>
      <c r="F99" s="139">
        <f>1165888*(Supuestos!$E$12)</f>
        <v>18249967.707242284</v>
      </c>
      <c r="H99" s="601"/>
      <c r="I99" s="601"/>
      <c r="J99" s="601"/>
      <c r="K99" s="601"/>
      <c r="L99" s="601"/>
      <c r="M99" s="601"/>
    </row>
    <row r="100" spans="1:13" x14ac:dyDescent="0.25">
      <c r="A100" s="4" t="s">
        <v>181</v>
      </c>
      <c r="B100" s="139">
        <f>92908*(Supuestos!$E$12)</f>
        <v>1454314.6509308494</v>
      </c>
      <c r="C100" s="139">
        <f>166016*(Supuestos!$E$12)</f>
        <v>2598694.419091315</v>
      </c>
      <c r="D100" s="139">
        <f>156751*(Supuestos!$E$12)</f>
        <v>2453666.8085424462</v>
      </c>
      <c r="E100" s="139">
        <f>138814*(Supuestos!$E$12)</f>
        <v>2172893.980650912</v>
      </c>
      <c r="F100" s="139">
        <f>560400*(Supuestos!$E$12)</f>
        <v>8772096.3790163174</v>
      </c>
      <c r="H100" s="597"/>
      <c r="I100" s="597"/>
      <c r="J100" s="597"/>
      <c r="K100" s="597"/>
      <c r="L100" s="597"/>
      <c r="M100" s="597"/>
    </row>
    <row r="101" spans="1:13" x14ac:dyDescent="0.25">
      <c r="A101" s="6" t="s">
        <v>182</v>
      </c>
      <c r="B101" s="139">
        <f>228480*(Supuestos!$E$12)</f>
        <v>3576460.7078473382</v>
      </c>
      <c r="C101" s="139">
        <f>442113*(Supuestos!$E$12)</f>
        <v>6920517.2134476108</v>
      </c>
      <c r="D101" s="139">
        <f>527733*(Supuestos!$E$12)</f>
        <v>8260750.7822759068</v>
      </c>
      <c r="E101" s="139">
        <f>777524*(Supuestos!$E$12)</f>
        <v>12170798.474301005</v>
      </c>
      <c r="F101" s="139">
        <f>944925*(Supuestos!$E$12)</f>
        <v>14791172.68190934</v>
      </c>
    </row>
    <row r="102" spans="1:13" x14ac:dyDescent="0.25">
      <c r="A102" s="4" t="s">
        <v>183</v>
      </c>
      <c r="B102" s="139" t="s">
        <v>61</v>
      </c>
      <c r="C102" s="139" t="s">
        <v>61</v>
      </c>
      <c r="D102" s="139">
        <f>347041*(Supuestos!$E$12)</f>
        <v>5432328.8712887261</v>
      </c>
      <c r="E102" s="139">
        <f>449787*(Supuestos!$E$12)</f>
        <v>7040640.460436496</v>
      </c>
      <c r="F102" s="139">
        <f>575629*(Supuestos!$E$12)</f>
        <v>9010480.1330420841</v>
      </c>
    </row>
    <row r="103" spans="1:13" x14ac:dyDescent="0.25">
      <c r="A103" s="6" t="s">
        <v>184</v>
      </c>
      <c r="B103" s="139" t="s">
        <v>61</v>
      </c>
      <c r="C103" s="139" t="s">
        <v>61</v>
      </c>
      <c r="D103" s="139">
        <f>180692*(Supuestos!$E$12)</f>
        <v>2828421.9109871816</v>
      </c>
      <c r="E103" s="139">
        <f>327737*(Supuestos!$E$12)</f>
        <v>5130158.0138645088</v>
      </c>
      <c r="F103" s="139">
        <f>369296*(Supuestos!$E$12)</f>
        <v>5780692.5488672554</v>
      </c>
    </row>
    <row r="104" spans="1:13" x14ac:dyDescent="0.25">
      <c r="A104" s="4" t="s">
        <v>185</v>
      </c>
      <c r="B104" s="139">
        <f>524920*(Supuestos!$E$12)</f>
        <v>8216718.1143348422</v>
      </c>
      <c r="C104" s="139">
        <f>370805*(Supuestos!$E$12)</f>
        <v>5804313.343720817</v>
      </c>
      <c r="D104" s="139">
        <f>427243*(Supuestos!$E$12)</f>
        <v>6687752.9858316714</v>
      </c>
      <c r="E104" s="139">
        <f>218204*(Supuestos!$E$12)</f>
        <v>3415607.6343448902</v>
      </c>
      <c r="F104" s="139">
        <f>781363*(Supuestos!$E$12)</f>
        <v>12230891.404349264</v>
      </c>
    </row>
    <row r="105" spans="1:13" x14ac:dyDescent="0.25">
      <c r="A105" s="6" t="s">
        <v>186</v>
      </c>
      <c r="B105" s="139">
        <f>0*(Supuestos!$E$12)</f>
        <v>0</v>
      </c>
      <c r="C105" s="139">
        <f>0*(Supuestos!$E$12)</f>
        <v>0</v>
      </c>
      <c r="D105" s="139">
        <f>0*(Supuestos!$E$12)</f>
        <v>0</v>
      </c>
      <c r="E105" s="139">
        <f>0*(Supuestos!$E$12)</f>
        <v>0</v>
      </c>
      <c r="F105" s="139">
        <f>328335*(Supuestos!$E$12)</f>
        <v>5139518.6734552514</v>
      </c>
    </row>
    <row r="106" spans="1:13" x14ac:dyDescent="0.25">
      <c r="A106" s="4" t="s">
        <v>187</v>
      </c>
      <c r="B106" s="139">
        <f>524920*(Supuestos!$E$12)</f>
        <v>8216718.1143348422</v>
      </c>
      <c r="C106" s="139">
        <f>370805*(Supuestos!$E$12)</f>
        <v>5804313.343720817</v>
      </c>
      <c r="D106" s="139">
        <f>427243*(Supuestos!$E$12)</f>
        <v>6687752.9858316714</v>
      </c>
      <c r="E106" s="139">
        <f>218204*(Supuestos!$E$12)</f>
        <v>3415607.6343448902</v>
      </c>
      <c r="F106" s="139">
        <f>453028*(Supuestos!$E$12)</f>
        <v>7091372.7308940124</v>
      </c>
    </row>
    <row r="109" spans="1:13" x14ac:dyDescent="0.25">
      <c r="A109" s="3" t="s">
        <v>188</v>
      </c>
    </row>
    <row r="110" spans="1:13" x14ac:dyDescent="0.25">
      <c r="A110" s="3" t="s">
        <v>6</v>
      </c>
      <c r="B110" s="3" t="s">
        <v>7</v>
      </c>
      <c r="C110" s="3" t="s">
        <v>8</v>
      </c>
      <c r="D110" s="3" t="s">
        <v>9</v>
      </c>
      <c r="E110" s="3" t="s">
        <v>10</v>
      </c>
      <c r="F110" s="3" t="s">
        <v>11</v>
      </c>
    </row>
    <row r="111" spans="1:13" x14ac:dyDescent="0.25">
      <c r="A111" s="6" t="s">
        <v>33</v>
      </c>
      <c r="B111" s="10">
        <v>1</v>
      </c>
      <c r="C111" s="11">
        <v>1</v>
      </c>
      <c r="D111" s="11">
        <v>1</v>
      </c>
      <c r="E111" s="11">
        <v>1</v>
      </c>
      <c r="F111" s="11">
        <v>1</v>
      </c>
    </row>
    <row r="112" spans="1:13" x14ac:dyDescent="0.25">
      <c r="A112" s="4" t="s">
        <v>189</v>
      </c>
      <c r="B112" s="139">
        <f>661653*(Supuestos!$E$12)</f>
        <v>10357037.625741048</v>
      </c>
      <c r="C112" s="139">
        <f>497885*(Supuestos!$E$12)</f>
        <v>7793531.7731380071</v>
      </c>
      <c r="D112" s="139">
        <f>566007*(Supuestos!$E$12)</f>
        <v>8859864.3026372045</v>
      </c>
      <c r="E112" s="139">
        <f>472548*(Supuestos!$E$12)</f>
        <v>7396924.6961302692</v>
      </c>
      <c r="F112" s="139">
        <f>828437*(Supuestos!$E$12)</f>
        <v>12967753.761497397</v>
      </c>
    </row>
    <row r="113" spans="1:6" x14ac:dyDescent="0.25">
      <c r="A113" s="6" t="s">
        <v>190</v>
      </c>
      <c r="B113" s="139">
        <f>524920*(Supuestos!$E$12)</f>
        <v>8216718.1143348422</v>
      </c>
      <c r="C113" s="139">
        <f>370805*(Supuestos!$E$12)</f>
        <v>5804313.343720817</v>
      </c>
      <c r="D113" s="139">
        <f>427243*(Supuestos!$E$12)</f>
        <v>6687752.9858316714</v>
      </c>
      <c r="E113" s="139">
        <f>218204*(Supuestos!$E$12)</f>
        <v>3415607.6343448902</v>
      </c>
      <c r="F113" s="139">
        <f>453028*(Supuestos!$E$12)</f>
        <v>7091372.7308940124</v>
      </c>
    </row>
    <row r="114" spans="1:6" x14ac:dyDescent="0.25">
      <c r="A114" s="4" t="s">
        <v>191</v>
      </c>
      <c r="B114" s="139">
        <f>135652*(Supuestos!$E$12)</f>
        <v>2123398.3190690964</v>
      </c>
      <c r="C114" s="139">
        <f>153792*(Supuestos!$E$12)</f>
        <v>2407348.7621728722</v>
      </c>
      <c r="D114" s="139">
        <f>209489*(Supuestos!$E$12)</f>
        <v>3279189.3260951987</v>
      </c>
      <c r="E114" s="139">
        <f>217436*(Supuestos!$E$12)</f>
        <v>3403585.9176798575</v>
      </c>
      <c r="F114" s="139">
        <f>246015*(Supuestos!$E$12)</f>
        <v>3850940.9184220191</v>
      </c>
    </row>
    <row r="115" spans="1:6" x14ac:dyDescent="0.25">
      <c r="A115" s="6" t="s">
        <v>193</v>
      </c>
      <c r="B115" s="139">
        <f>0*(Supuestos!$E$12)</f>
        <v>0</v>
      </c>
      <c r="C115" s="139">
        <f>3924*(Supuestos!$E$12)</f>
        <v>61423.458585403336</v>
      </c>
      <c r="D115" s="139">
        <f>3866*(Supuestos!$E$12)</f>
        <v>60515.568524762821</v>
      </c>
      <c r="E115" s="139">
        <f>3989*(Supuestos!$E$12)</f>
        <v>62440.921584397023</v>
      </c>
      <c r="F115" s="139">
        <f>6696*(Supuestos!$E$12)</f>
        <v>104814.34217325707</v>
      </c>
    </row>
    <row r="116" spans="1:6" x14ac:dyDescent="0.25">
      <c r="A116" s="4" t="s">
        <v>194</v>
      </c>
      <c r="B116" s="139">
        <f>0*(Supuestos!$E$12)</f>
        <v>0</v>
      </c>
      <c r="C116" s="139">
        <f>28560*(Supuestos!$E$12)</f>
        <v>447057.58848091727</v>
      </c>
      <c r="D116" s="139">
        <f>70199*(Supuestos!$E$12)</f>
        <v>1098844.3856362714</v>
      </c>
      <c r="E116" s="139">
        <f>58996*(Supuestos!$E$12)</f>
        <v>923480.72444048303</v>
      </c>
      <c r="F116" s="139">
        <f>209992*(Supuestos!$E$12)</f>
        <v>3287062.924379719</v>
      </c>
    </row>
    <row r="117" spans="1:6" x14ac:dyDescent="0.25">
      <c r="A117" s="6" t="s">
        <v>195</v>
      </c>
      <c r="B117" s="139">
        <f>0*(Supuestos!$E$12)</f>
        <v>0</v>
      </c>
      <c r="C117" s="139">
        <f>3620*(Supuestos!$E$12)</f>
        <v>56664.862405494416</v>
      </c>
      <c r="D117" s="139">
        <f>4392*(Supuestos!$E$12)</f>
        <v>68749.192178157871</v>
      </c>
      <c r="E117" s="139">
        <f>670*(Supuestos!$E$12)</f>
        <v>10487.695528088745</v>
      </c>
      <c r="F117" s="139">
        <f>4005*(Supuestos!$E$12)</f>
        <v>62691.374014918547</v>
      </c>
    </row>
    <row r="118" spans="1:6" x14ac:dyDescent="0.25">
      <c r="A118" s="4" t="s">
        <v>196</v>
      </c>
      <c r="B118" s="139">
        <f>1081*(Supuestos!$E$12)</f>
        <v>16921.192337110348</v>
      </c>
      <c r="C118" s="139">
        <f>1544*(Supuestos!$E$12)</f>
        <v>24168.6595453269</v>
      </c>
      <c r="D118" s="139">
        <f>0*(Supuestos!$E$12)</f>
        <v>0</v>
      </c>
      <c r="E118" s="139">
        <f>92585*(Supuestos!$E$12)</f>
        <v>1449258.6424896962</v>
      </c>
      <c r="F118" s="139">
        <f>8360*(Supuestos!$E$12)</f>
        <v>130861.39494749538</v>
      </c>
    </row>
    <row r="119" spans="1:6" x14ac:dyDescent="0.25">
      <c r="A119" s="6" t="s">
        <v>197</v>
      </c>
      <c r="B119" s="139">
        <f>0*(Supuestos!$E$12)</f>
        <v>0</v>
      </c>
      <c r="C119" s="139">
        <f>0*(Supuestos!$E$12)</f>
        <v>0</v>
      </c>
      <c r="D119" s="139">
        <f>0*(Supuestos!$E$12)</f>
        <v>0</v>
      </c>
      <c r="E119" s="139">
        <f>0*(Supuestos!$E$12)</f>
        <v>0</v>
      </c>
      <c r="F119" s="139">
        <f>328335*(Supuestos!$E$12)</f>
        <v>5139518.6734552514</v>
      </c>
    </row>
    <row r="120" spans="1:6" x14ac:dyDescent="0.25">
      <c r="A120" s="4" t="s">
        <v>198</v>
      </c>
      <c r="B120" s="139">
        <f>-67861*(Supuestos!$E$12)</f>
        <v>-1062247.0242263139</v>
      </c>
      <c r="C120" s="139">
        <f>-409815*(Supuestos!$E$12)</f>
        <v>-6414947.675886103</v>
      </c>
      <c r="D120" s="139">
        <f>1486449*(Supuestos!$E$12)</f>
        <v>23267797.806017891</v>
      </c>
      <c r="E120" s="139">
        <f>-432240*(Supuestos!$E$12)</f>
        <v>-6765972.4105389239</v>
      </c>
      <c r="F120" s="139">
        <f>1137028*(Supuestos!$E$12)</f>
        <v>17798214.135689091</v>
      </c>
    </row>
    <row r="121" spans="1:6" x14ac:dyDescent="0.25">
      <c r="A121" s="6" t="s">
        <v>199</v>
      </c>
      <c r="B121" s="139">
        <f>20197*(Supuestos!$E$12)</f>
        <v>316149.23370269907</v>
      </c>
      <c r="C121" s="139">
        <f>-27228*(Supuestos!$E$12)</f>
        <v>-426207.42364000052</v>
      </c>
      <c r="D121" s="139">
        <f>-16739*(Supuestos!$E$12)</f>
        <v>-262020.20215623509</v>
      </c>
      <c r="E121" s="139">
        <f>26309*(Supuestos!$E$12)</f>
        <v>411822.06216192059</v>
      </c>
      <c r="F121" s="139">
        <f>-18092*(Supuestos!$E$12)</f>
        <v>-283199.08581221133</v>
      </c>
    </row>
    <row r="122" spans="1:6" x14ac:dyDescent="0.25">
      <c r="A122" s="4" t="s">
        <v>200</v>
      </c>
      <c r="B122" s="139">
        <f>681850*(Supuestos!$E$12)</f>
        <v>10673186.859443748</v>
      </c>
      <c r="C122" s="139">
        <f>470657*(Supuestos!$E$12)</f>
        <v>7367324.3494980065</v>
      </c>
      <c r="D122" s="139">
        <f>549268*(Supuestos!$E$12)</f>
        <v>8597844.1004809681</v>
      </c>
      <c r="E122" s="139">
        <f>498857*(Supuestos!$E$12)</f>
        <v>7808746.7582921898</v>
      </c>
      <c r="F122" s="139">
        <f>810345*(Supuestos!$E$12)</f>
        <v>12684554.675685186</v>
      </c>
    </row>
    <row r="123" spans="1:6" x14ac:dyDescent="0.25">
      <c r="A123" s="6" t="s">
        <v>246</v>
      </c>
      <c r="B123" s="139">
        <f>0*(Supuestos!$E$12)</f>
        <v>0</v>
      </c>
      <c r="C123" s="139" t="s">
        <v>61</v>
      </c>
      <c r="D123" s="139">
        <f>98302*(Supuestos!$E$12)</f>
        <v>1538748.4265704176</v>
      </c>
      <c r="E123" s="139">
        <f>0*(Supuestos!$E$12)</f>
        <v>0</v>
      </c>
      <c r="F123" s="139">
        <f>0*(Supuestos!$E$12)</f>
        <v>0</v>
      </c>
    </row>
    <row r="124" spans="1:6" x14ac:dyDescent="0.25">
      <c r="A124" s="4" t="s">
        <v>202</v>
      </c>
      <c r="B124" s="139">
        <f>0*(Supuestos!$E$12)</f>
        <v>0</v>
      </c>
      <c r="C124" s="139" t="s">
        <v>61</v>
      </c>
      <c r="D124" s="139">
        <f>31085*(Supuestos!$E$12)</f>
        <v>486582.11267259502</v>
      </c>
      <c r="E124" s="139">
        <f>0*(Supuestos!$E$12)</f>
        <v>0</v>
      </c>
      <c r="F124" s="139">
        <f>0*(Supuestos!$E$12)</f>
        <v>0</v>
      </c>
    </row>
    <row r="125" spans="1:6" x14ac:dyDescent="0.25">
      <c r="A125" s="6" t="s">
        <v>203</v>
      </c>
      <c r="B125" s="139">
        <f>0*(Supuestos!$E$12)</f>
        <v>0</v>
      </c>
      <c r="C125" s="139" t="s">
        <v>61</v>
      </c>
      <c r="D125" s="139">
        <f>0*(Supuestos!$E$12)</f>
        <v>0</v>
      </c>
      <c r="E125" s="139">
        <f>88706*(Supuestos!$E$12)</f>
        <v>1388539.5813651346</v>
      </c>
      <c r="F125" s="139">
        <f>139691*(Supuestos!$E$12)</f>
        <v>2186621.9044988728</v>
      </c>
    </row>
    <row r="126" spans="1:6" x14ac:dyDescent="0.25">
      <c r="A126" s="4" t="s">
        <v>204</v>
      </c>
      <c r="B126" s="139">
        <f>754478*(Supuestos!$E$12)</f>
        <v>11810053.054688567</v>
      </c>
      <c r="C126" s="139">
        <f>151317*(Supuestos!$E$12)</f>
        <v>2368606.901826574</v>
      </c>
      <c r="D126" s="139">
        <f>1059400*(Supuestos!$E$12)</f>
        <v>16583081.555906294</v>
      </c>
      <c r="E126" s="139">
        <f>128402*(Supuestos!$E$12)</f>
        <v>2009912.0614890314</v>
      </c>
      <c r="F126" s="139">
        <f>1056633*(Supuestos!$E$12)</f>
        <v>16539768.938702978</v>
      </c>
    </row>
    <row r="127" spans="1:6" x14ac:dyDescent="0.25">
      <c r="A127" s="6" t="s">
        <v>205</v>
      </c>
      <c r="B127" s="139">
        <f>0*(Supuestos!$E$12)</f>
        <v>0</v>
      </c>
      <c r="C127" s="139">
        <f>6984*(Supuestos!$E$12)</f>
        <v>109322.48592264447</v>
      </c>
      <c r="D127" s="139">
        <f>26341*(Supuestos!$E$12)</f>
        <v>412322.96702296362</v>
      </c>
      <c r="E127" s="139">
        <f>0*(Supuestos!$E$12)</f>
        <v>0</v>
      </c>
      <c r="F127" s="139">
        <f>72289*(Supuestos!$E$12)</f>
        <v>1131559.7343731453</v>
      </c>
    </row>
    <row r="128" spans="1:6" x14ac:dyDescent="0.25">
      <c r="A128" s="4" t="s">
        <v>206</v>
      </c>
      <c r="B128" s="139">
        <f>0*(Supuestos!$E$12)</f>
        <v>0</v>
      </c>
      <c r="C128" s="139" t="s">
        <v>61</v>
      </c>
      <c r="D128" s="139">
        <f>0*(Supuestos!$E$12)</f>
        <v>0</v>
      </c>
      <c r="E128" s="139">
        <f>0*(Supuestos!$E$12)</f>
        <v>0</v>
      </c>
      <c r="F128" s="139">
        <f>30186*(Supuestos!$E$12)</f>
        <v>472509.81673266698</v>
      </c>
    </row>
    <row r="129" spans="1:6" x14ac:dyDescent="0.25">
      <c r="A129" s="6" t="s">
        <v>207</v>
      </c>
      <c r="B129" s="139">
        <f>5984*(Supuestos!$E$12)</f>
        <v>93669.209015049331</v>
      </c>
      <c r="C129" s="139" t="s">
        <v>61</v>
      </c>
      <c r="D129" s="139">
        <f>0*(Supuestos!$E$12)</f>
        <v>0</v>
      </c>
      <c r="E129" s="139">
        <f>0*(Supuestos!$E$12)</f>
        <v>0</v>
      </c>
      <c r="F129" s="139">
        <f>200753*(Supuestos!$E$12)</f>
        <v>3142442.2990304474</v>
      </c>
    </row>
    <row r="130" spans="1:6" x14ac:dyDescent="0.25">
      <c r="A130" s="4" t="s">
        <v>208</v>
      </c>
      <c r="B130" s="139">
        <f>105813*(Supuestos!$E$12)</f>
        <v>1656320.1894233648</v>
      </c>
      <c r="C130" s="139">
        <f>72223*(Supuestos!$E$12)</f>
        <v>1130526.6180972441</v>
      </c>
      <c r="D130" s="139">
        <f>323391*(Supuestos!$E$12)</f>
        <v>5062128.8724241005</v>
      </c>
      <c r="E130" s="139">
        <f>0*(Supuestos!$E$12)</f>
        <v>0</v>
      </c>
      <c r="F130" s="139">
        <f>0*(Supuestos!$E$12)</f>
        <v>0</v>
      </c>
    </row>
    <row r="131" spans="1:6" x14ac:dyDescent="0.25">
      <c r="A131" s="6" t="s">
        <v>209</v>
      </c>
      <c r="B131" s="139">
        <f>180531*(Supuestos!$E$12)</f>
        <v>2825901.7334050587</v>
      </c>
      <c r="C131" s="139">
        <f>72771*(Supuestos!$E$12)</f>
        <v>1139104.6138426061</v>
      </c>
      <c r="D131" s="139">
        <f>0*(Supuestos!$E$12)</f>
        <v>0</v>
      </c>
      <c r="E131" s="139">
        <f>85591*(Supuestos!$E$12)</f>
        <v>1339779.6237979757</v>
      </c>
      <c r="F131" s="139">
        <f>208023*(Supuestos!$E$12)</f>
        <v>3256241.6221486642</v>
      </c>
    </row>
    <row r="132" spans="1:6" x14ac:dyDescent="0.25">
      <c r="A132" s="4" t="s">
        <v>210</v>
      </c>
      <c r="B132" s="139">
        <f>917267*(Supuestos!$E$12)</f>
        <v>14358234.349199073</v>
      </c>
      <c r="C132" s="139">
        <f>391166*(Supuestos!$E$12)</f>
        <v>6123029.7148363618</v>
      </c>
      <c r="D132" s="139">
        <f>367116*(Supuestos!$E$12)</f>
        <v>5746568.4052086985</v>
      </c>
      <c r="E132" s="139">
        <f>379931*(Supuestos!$E$12)</f>
        <v>5947165.1487795301</v>
      </c>
      <c r="F132" s="139">
        <f>883142*(Supuestos!$E$12)</f>
        <v>13824066.274727389</v>
      </c>
    </row>
    <row r="133" spans="1:6" x14ac:dyDescent="0.25">
      <c r="A133" s="6" t="s">
        <v>211</v>
      </c>
      <c r="B133" s="139">
        <f>6510*(Supuestos!$E$12)</f>
        <v>101902.83266844437</v>
      </c>
      <c r="C133" s="139">
        <f>31085*(Supuestos!$E$12)</f>
        <v>486582.11267259502</v>
      </c>
      <c r="D133" s="139">
        <f>0*(Supuestos!$E$12)</f>
        <v>0</v>
      </c>
      <c r="E133" s="139">
        <f>0*(Supuestos!$E$12)</f>
        <v>0</v>
      </c>
      <c r="F133" s="139">
        <f>0*(Supuestos!$E$12)</f>
        <v>0</v>
      </c>
    </row>
    <row r="134" spans="1:6" x14ac:dyDescent="0.25">
      <c r="A134" s="4" t="s">
        <v>212</v>
      </c>
      <c r="B134" s="139">
        <f>484599*(Supuestos!$E$12)</f>
        <v>7585562.3361436985</v>
      </c>
      <c r="C134" s="139">
        <f>606785*(Supuestos!$E$12)</f>
        <v>9498173.6283751186</v>
      </c>
      <c r="D134" s="139">
        <f>225258*(Supuestos!$E$12)</f>
        <v>3526025.8496510666</v>
      </c>
      <c r="E134" s="139">
        <f>0*(Supuestos!$E$12)</f>
        <v>0</v>
      </c>
      <c r="F134" s="139">
        <f>0*(Supuestos!$E$12)</f>
        <v>0</v>
      </c>
    </row>
    <row r="135" spans="1:6" x14ac:dyDescent="0.25">
      <c r="A135" s="6" t="s">
        <v>213</v>
      </c>
      <c r="B135" s="139">
        <f>0*(Supuestos!$E$12)</f>
        <v>0</v>
      </c>
      <c r="C135" s="139" t="s">
        <v>61</v>
      </c>
      <c r="D135" s="139">
        <f>0*(Supuestos!$E$12)</f>
        <v>0</v>
      </c>
      <c r="E135" s="139">
        <f>196079*(Supuestos!$E$12)</f>
        <v>3069278.8827643478</v>
      </c>
      <c r="F135" s="139">
        <f>0*(Supuestos!$E$12)</f>
        <v>0</v>
      </c>
    </row>
    <row r="136" spans="1:6" x14ac:dyDescent="0.25">
      <c r="A136" s="4" t="s">
        <v>214</v>
      </c>
      <c r="B136" s="139">
        <f>27079*(Supuestos!$E$12)</f>
        <v>423875.08538076887</v>
      </c>
      <c r="C136" s="139">
        <f>0*(Supuestos!$E$12)</f>
        <v>0</v>
      </c>
      <c r="D136" s="139">
        <f>0*(Supuestos!$E$12)</f>
        <v>0</v>
      </c>
      <c r="E136" s="139">
        <f>48905*(Supuestos!$E$12)</f>
        <v>765523.50716594048</v>
      </c>
      <c r="F136" s="139">
        <f>0*(Supuestos!$E$12)</f>
        <v>0</v>
      </c>
    </row>
    <row r="137" spans="1:6" x14ac:dyDescent="0.25">
      <c r="A137" s="6" t="s">
        <v>247</v>
      </c>
      <c r="B137" s="139">
        <f>0*(Supuestos!$E$12)</f>
        <v>0</v>
      </c>
      <c r="C137" s="139">
        <f>9189*(Supuestos!$E$12)</f>
        <v>143837.96150389177</v>
      </c>
      <c r="D137" s="139">
        <f>8964*(Supuestos!$E$12)</f>
        <v>140315.97419968285</v>
      </c>
      <c r="E137" s="139">
        <f>5340*(Supuestos!$E$12)</f>
        <v>83588.498686558058</v>
      </c>
      <c r="F137" s="139">
        <f>0*(Supuestos!$E$12)</f>
        <v>0</v>
      </c>
    </row>
    <row r="138" spans="1:6" x14ac:dyDescent="0.25">
      <c r="A138" s="4" t="s">
        <v>216</v>
      </c>
      <c r="B138" s="139">
        <f>0*(Supuestos!$E$12)</f>
        <v>0</v>
      </c>
      <c r="C138" s="139">
        <f>0*(Supuestos!$E$12)</f>
        <v>0</v>
      </c>
      <c r="D138" s="139">
        <f>0*(Supuestos!$E$12)</f>
        <v>0</v>
      </c>
      <c r="E138" s="139">
        <f>432359*(Supuestos!$E$12)</f>
        <v>6767835.1504909284</v>
      </c>
      <c r="F138" s="139">
        <f>81704*(Supuestos!$E$12)</f>
        <v>1278935.3364581536</v>
      </c>
    </row>
    <row r="139" spans="1:6" x14ac:dyDescent="0.25">
      <c r="A139" s="6" t="s">
        <v>217</v>
      </c>
      <c r="B139" s="139">
        <f>-313785*(Supuestos!$E$12)</f>
        <v>-4911763.4944497412</v>
      </c>
      <c r="C139" s="139">
        <f>-163746*(Supuestos!$E$12)</f>
        <v>-2563161.480511074</v>
      </c>
      <c r="D139" s="139">
        <f>-718573*(Supuestos!$E$12)</f>
        <v>-11248022.147321364</v>
      </c>
      <c r="E139" s="139" t="s">
        <v>61</v>
      </c>
      <c r="F139" s="139">
        <f>-405109*(Supuestos!$E$12)</f>
        <v>-6341283.3547589602</v>
      </c>
    </row>
    <row r="140" spans="1:6" x14ac:dyDescent="0.25">
      <c r="A140" s="4" t="s">
        <v>218</v>
      </c>
      <c r="B140" s="139">
        <f>0*(Supuestos!$E$12)</f>
        <v>0</v>
      </c>
      <c r="C140" s="139" t="s">
        <v>61</v>
      </c>
      <c r="D140" s="139" t="s">
        <v>61</v>
      </c>
      <c r="E140" s="139">
        <f>-1885*(Supuestos!$E$12)</f>
        <v>-29506.426970816843</v>
      </c>
      <c r="F140" s="139" t="s">
        <v>61</v>
      </c>
    </row>
    <row r="141" spans="1:6" x14ac:dyDescent="0.25">
      <c r="A141" s="6" t="s">
        <v>220</v>
      </c>
      <c r="B141" s="139">
        <f>10000*(Supuestos!$E$12)</f>
        <v>156532.76907595142</v>
      </c>
      <c r="C141" s="139">
        <f>56000*(Supuestos!$E$12)</f>
        <v>876583.50682532799</v>
      </c>
      <c r="D141" s="139">
        <f>10000*(Supuestos!$E$12)</f>
        <v>156532.76907595142</v>
      </c>
      <c r="E141" s="139">
        <f>0*(Supuestos!$E$12)</f>
        <v>0</v>
      </c>
      <c r="F141" s="139">
        <f>0*(Supuestos!$E$12)</f>
        <v>0</v>
      </c>
    </row>
    <row r="142" spans="1:6" x14ac:dyDescent="0.25">
      <c r="A142" s="4" t="s">
        <v>221</v>
      </c>
      <c r="B142" s="139">
        <f>298000*(Supuestos!$E$12)</f>
        <v>4664676.5184633527</v>
      </c>
      <c r="C142" s="139">
        <f>105387*(Supuestos!$E$12)</f>
        <v>1649651.8934607292</v>
      </c>
      <c r="D142" s="139">
        <f>707383*(Supuestos!$E$12)</f>
        <v>11072861.978725374</v>
      </c>
      <c r="E142" s="139">
        <f>0*(Supuestos!$E$12)</f>
        <v>0</v>
      </c>
      <c r="F142" s="139">
        <f>868222*(Supuestos!$E$12)</f>
        <v>13590519.383266069</v>
      </c>
    </row>
    <row r="143" spans="1:6" x14ac:dyDescent="0.25">
      <c r="A143" s="6" t="s">
        <v>222</v>
      </c>
      <c r="B143" s="139">
        <f>5785*(Supuestos!$E$12)</f>
        <v>90554.206910437904</v>
      </c>
      <c r="C143" s="139">
        <f>2359*(Supuestos!$E$12)</f>
        <v>36926.080225016944</v>
      </c>
      <c r="D143" s="139">
        <f>1190*(Supuestos!$E$12)</f>
        <v>18627.39952003822</v>
      </c>
      <c r="E143" s="139">
        <f>1885*(Supuestos!$E$12)</f>
        <v>29506.426970816843</v>
      </c>
      <c r="F143" s="139">
        <f>5142*(Supuestos!$E$12)</f>
        <v>80489.149858854216</v>
      </c>
    </row>
    <row r="144" spans="1:6" x14ac:dyDescent="0.25">
      <c r="A144" s="4" t="s">
        <v>224</v>
      </c>
      <c r="B144" s="139">
        <f>0*(Supuestos!$E$12)</f>
        <v>0</v>
      </c>
      <c r="C144" s="139">
        <f>0*(Supuestos!$E$12)</f>
        <v>0</v>
      </c>
      <c r="D144" s="139">
        <f>0*(Supuestos!$E$12)</f>
        <v>0</v>
      </c>
      <c r="E144" s="139">
        <f>0*(Supuestos!$E$12)</f>
        <v>0</v>
      </c>
      <c r="F144" s="139">
        <f>468255*(Supuestos!$E$12)</f>
        <v>7329725.1783659635</v>
      </c>
    </row>
    <row r="145" spans="1:6" x14ac:dyDescent="0.25">
      <c r="A145" s="6" t="s">
        <v>227</v>
      </c>
      <c r="B145" s="139">
        <f>479910*(Supuestos!$E$12)</f>
        <v>7512164.1207239842</v>
      </c>
      <c r="C145" s="139">
        <f>504168*(Supuestos!$E$12)</f>
        <v>7891881.3119484279</v>
      </c>
      <c r="D145" s="139">
        <f>-595096*(Supuestos!$E$12)</f>
        <v>-9315202.4746022392</v>
      </c>
      <c r="E145" s="139">
        <f>250000*(Supuestos!$E$12)</f>
        <v>3913319.2268987857</v>
      </c>
      <c r="F145" s="139">
        <f>-476415*(Supuestos!$E$12)</f>
        <v>-7457455.9179319395</v>
      </c>
    </row>
    <row r="146" spans="1:6" x14ac:dyDescent="0.25">
      <c r="A146" s="4" t="s">
        <v>228</v>
      </c>
      <c r="B146" s="139">
        <f>426667*(Supuestos!$E$12)</f>
        <v>6678736.6983328965</v>
      </c>
      <c r="C146" s="139">
        <f>516389*(Supuestos!$E$12)</f>
        <v>8083180.009036148</v>
      </c>
      <c r="D146" s="139">
        <f>0*(Supuestos!$E$12)</f>
        <v>0</v>
      </c>
      <c r="E146" s="139">
        <f>0*(Supuestos!$E$12)</f>
        <v>0</v>
      </c>
      <c r="F146" s="139">
        <f>0*(Supuestos!$E$12)</f>
        <v>0</v>
      </c>
    </row>
    <row r="147" spans="1:6" x14ac:dyDescent="0.25">
      <c r="A147" s="6" t="s">
        <v>229</v>
      </c>
      <c r="B147" s="139">
        <f>0*(Supuestos!$E$12)</f>
        <v>0</v>
      </c>
      <c r="C147" s="139">
        <f>230915*(Supuestos!$E$12)</f>
        <v>3614576.4371173321</v>
      </c>
      <c r="D147" s="139">
        <f>0*(Supuestos!$E$12)</f>
        <v>0</v>
      </c>
      <c r="E147" s="139">
        <f>0*(Supuestos!$E$12)</f>
        <v>0</v>
      </c>
      <c r="F147" s="139">
        <f>735049*(Supuestos!$E$12)</f>
        <v>11505925.537650902</v>
      </c>
    </row>
    <row r="148" spans="1:6" x14ac:dyDescent="0.25">
      <c r="A148" s="4" t="s">
        <v>230</v>
      </c>
      <c r="B148" s="139">
        <f>280000*(Supuestos!$E$12)</f>
        <v>4382917.5341266394</v>
      </c>
      <c r="C148" s="139">
        <f>680000*(Supuestos!$E$12)</f>
        <v>10644228.297164697</v>
      </c>
      <c r="D148" s="139">
        <f>0*(Supuestos!$E$12)</f>
        <v>0</v>
      </c>
      <c r="E148" s="139">
        <f>250000*(Supuestos!$E$12)</f>
        <v>3913319.2268987857</v>
      </c>
      <c r="F148" s="139">
        <f>0*(Supuestos!$E$12)</f>
        <v>0</v>
      </c>
    </row>
    <row r="149" spans="1:6" x14ac:dyDescent="0.25">
      <c r="A149" s="6" t="s">
        <v>231</v>
      </c>
      <c r="B149" s="139">
        <f>0*(Supuestos!$E$12)</f>
        <v>0</v>
      </c>
      <c r="C149" s="139">
        <f>0*(Supuestos!$E$12)</f>
        <v>0</v>
      </c>
      <c r="D149" s="139">
        <f>224291*(Supuestos!$E$12)</f>
        <v>3510889.1308814222</v>
      </c>
      <c r="E149" s="139">
        <f>0*(Supuestos!$E$12)</f>
        <v>0</v>
      </c>
      <c r="F149" s="139">
        <f>0*(Supuestos!$E$12)</f>
        <v>0</v>
      </c>
    </row>
    <row r="150" spans="1:6" x14ac:dyDescent="0.25">
      <c r="A150" s="4" t="s">
        <v>248</v>
      </c>
      <c r="B150" s="139">
        <f>0*(Supuestos!$E$12)</f>
        <v>0</v>
      </c>
      <c r="C150" s="139">
        <f>80753*(Supuestos!$E$12)</f>
        <v>1264049.0701190305</v>
      </c>
      <c r="D150" s="139">
        <f>0*(Supuestos!$E$12)</f>
        <v>0</v>
      </c>
      <c r="E150" s="139">
        <f>0*(Supuestos!$E$12)</f>
        <v>0</v>
      </c>
      <c r="F150" s="139">
        <f>1211464*(Supuestos!$E$12)</f>
        <v>18963381.455582842</v>
      </c>
    </row>
    <row r="151" spans="1:6" x14ac:dyDescent="0.25">
      <c r="A151" s="6" t="s">
        <v>232</v>
      </c>
      <c r="B151" s="139">
        <f>16360*(Supuestos!$E$12)</f>
        <v>256087.61020825652</v>
      </c>
      <c r="C151" s="139">
        <f>162383*(Supuestos!$E$12)</f>
        <v>2541826.0640860219</v>
      </c>
      <c r="D151" s="139">
        <f>0*(Supuestos!$E$12)</f>
        <v>0</v>
      </c>
      <c r="E151" s="139">
        <f>0*(Supuestos!$E$12)</f>
        <v>0</v>
      </c>
      <c r="F151" s="139">
        <f>0*(Supuestos!$E$12)</f>
        <v>0</v>
      </c>
    </row>
    <row r="152" spans="1:6" x14ac:dyDescent="0.25">
      <c r="A152" s="4" t="s">
        <v>233</v>
      </c>
      <c r="B152" s="139">
        <f>210397*(Supuestos!$E$12)</f>
        <v>3293402.501527295</v>
      </c>
      <c r="C152" s="139">
        <f>680000*(Supuestos!$E$12)</f>
        <v>10644228.297164697</v>
      </c>
      <c r="D152" s="139">
        <f>370805*(Supuestos!$E$12)</f>
        <v>5804313.343720817</v>
      </c>
      <c r="E152" s="139">
        <f>0*(Supuestos!$E$12)</f>
        <v>0</v>
      </c>
      <c r="F152" s="139">
        <f>0*(Supuestos!$E$12)</f>
        <v>0</v>
      </c>
    </row>
    <row r="153" spans="1:6" x14ac:dyDescent="0.25">
      <c r="A153" s="6" t="s">
        <v>234</v>
      </c>
      <c r="B153" s="139">
        <f>168259*(Supuestos!$E$12)</f>
        <v>2633804.7191950511</v>
      </c>
      <c r="C153" s="139">
        <f>98866*(Supuestos!$E$12)</f>
        <v>1547576.8747463012</v>
      </c>
      <c r="D153" s="139">
        <f>271646*(Supuestos!$E$12)</f>
        <v>4252150.0588405896</v>
      </c>
      <c r="E153" s="139">
        <f>87520*(Supuestos!$E$12)</f>
        <v>1369974.7949527269</v>
      </c>
      <c r="F153" s="139">
        <f>343023*(Supuestos!$E$12)</f>
        <v>5369434.0046740081</v>
      </c>
    </row>
    <row r="154" spans="1:6" x14ac:dyDescent="0.25">
      <c r="A154" s="4" t="s">
        <v>235</v>
      </c>
      <c r="B154" s="139">
        <f>98264*(Supuestos!$E$12)</f>
        <v>1538153.6020479291</v>
      </c>
      <c r="C154" s="139">
        <f>-69393*(Supuestos!$E$12)</f>
        <v>-1086227.8444487497</v>
      </c>
      <c r="D154" s="139">
        <f>172780*(Supuestos!$E$12)</f>
        <v>2704573.1840942889</v>
      </c>
      <c r="E154" s="139">
        <f>-184125*(Supuestos!$E$12)</f>
        <v>-2882159.6106109554</v>
      </c>
      <c r="F154" s="139">
        <f>255504*(Supuestos!$E$12)</f>
        <v>3999474.8629981894</v>
      </c>
    </row>
    <row r="155" spans="1:6" x14ac:dyDescent="0.25">
      <c r="A155" s="6" t="s">
        <v>236</v>
      </c>
      <c r="B155" s="139">
        <f>69995*(Supuestos!$E$12)</f>
        <v>1095651.117147122</v>
      </c>
      <c r="C155" s="139">
        <f>168259*(Supuestos!$E$12)</f>
        <v>2633804.7191950511</v>
      </c>
      <c r="D155" s="139">
        <f>98866*(Supuestos!$E$12)</f>
        <v>1547576.8747463012</v>
      </c>
      <c r="E155" s="139">
        <f>271645*(Supuestos!$E$12)</f>
        <v>4252134.4055636823</v>
      </c>
      <c r="F155" s="139">
        <f>87519*(Supuestos!$E$12)</f>
        <v>1369959.1416758192</v>
      </c>
    </row>
    <row r="158" spans="1:6" x14ac:dyDescent="0.25">
      <c r="A158" s="3" t="s">
        <v>98</v>
      </c>
    </row>
    <row r="159" spans="1:6" x14ac:dyDescent="0.25">
      <c r="A159" s="3" t="s">
        <v>6</v>
      </c>
      <c r="B159" s="3" t="s">
        <v>7</v>
      </c>
      <c r="C159" s="3" t="s">
        <v>8</v>
      </c>
      <c r="D159" s="3" t="s">
        <v>9</v>
      </c>
      <c r="E159" s="3" t="s">
        <v>10</v>
      </c>
      <c r="F159" s="3" t="s">
        <v>11</v>
      </c>
    </row>
    <row r="160" spans="1:6" x14ac:dyDescent="0.25">
      <c r="A160" s="4" t="s">
        <v>29</v>
      </c>
      <c r="B160" s="4" t="s">
        <v>29</v>
      </c>
      <c r="C160" s="5" t="s">
        <v>29</v>
      </c>
      <c r="D160" s="5" t="s">
        <v>29</v>
      </c>
      <c r="E160" s="5" t="s">
        <v>29</v>
      </c>
      <c r="F160" s="5" t="s">
        <v>29</v>
      </c>
    </row>
    <row r="161" spans="1:6" x14ac:dyDescent="0.25">
      <c r="A161" s="6" t="s">
        <v>99</v>
      </c>
      <c r="B161" s="6" t="s">
        <v>100</v>
      </c>
      <c r="C161" s="7" t="s">
        <v>100</v>
      </c>
      <c r="D161" s="7" t="s">
        <v>100</v>
      </c>
      <c r="E161" s="7" t="s">
        <v>100</v>
      </c>
      <c r="F161" s="7" t="s">
        <v>100</v>
      </c>
    </row>
    <row r="162" spans="1:6" x14ac:dyDescent="0.25">
      <c r="A162" s="4" t="s">
        <v>101</v>
      </c>
      <c r="B162" s="4" t="s">
        <v>102</v>
      </c>
      <c r="C162" s="5" t="s">
        <v>102</v>
      </c>
      <c r="D162" s="5" t="s">
        <v>102</v>
      </c>
      <c r="E162" s="5" t="s">
        <v>102</v>
      </c>
      <c r="F162" s="5" t="s">
        <v>102</v>
      </c>
    </row>
    <row r="165" spans="1:6" x14ac:dyDescent="0.25">
      <c r="A165" s="1" t="s">
        <v>103</v>
      </c>
    </row>
    <row r="166" spans="1:6" x14ac:dyDescent="0.25">
      <c r="A166" s="1" t="s">
        <v>104</v>
      </c>
    </row>
    <row r="167" spans="1:6" x14ac:dyDescent="0.25">
      <c r="A167" s="1" t="s">
        <v>105</v>
      </c>
    </row>
  </sheetData>
  <sheetProtection formatCells="0" formatColumns="0" formatRows="0" insertColumns="0" insertRows="0" insertHyperlinks="0" deleteColumns="0" deleteRows="0" sort="0" autoFilter="0" pivotTables="0"/>
  <mergeCells count="1">
    <mergeCell ref="A7:G7"/>
  </mergeCells>
  <hyperlinks>
    <hyperlink ref="B18" r:id="rId1"/>
    <hyperlink ref="C18" r:id="rId2"/>
    <hyperlink ref="D18" r:id="rId3"/>
    <hyperlink ref="E18" r:id="rId4"/>
    <hyperlink ref="F18" r:id="rId5"/>
  </hyperlinks>
  <pageMargins left="0.7" right="0.7" top="0.75" bottom="0.75" header="0.3" footer="0.3"/>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39"/>
  <sheetViews>
    <sheetView showGridLines="0" workbookViewId="0">
      <selection activeCell="A2" sqref="A2"/>
    </sheetView>
  </sheetViews>
  <sheetFormatPr baseColWidth="10" defaultColWidth="9.125" defaultRowHeight="15" x14ac:dyDescent="0.25"/>
  <cols>
    <col min="1" max="1" width="50" style="1" customWidth="1"/>
    <col min="2" max="6" width="20" style="1" customWidth="1"/>
    <col min="7" max="16384" width="9.125" style="1"/>
  </cols>
  <sheetData>
    <row r="1" spans="1:7" s="403" customFormat="1" x14ac:dyDescent="0.25">
      <c r="A1" s="416" t="s">
        <v>954</v>
      </c>
      <c r="B1" s="416"/>
      <c r="C1" s="416"/>
      <c r="D1" s="416"/>
    </row>
    <row r="2" spans="1:7" s="403" customFormat="1" x14ac:dyDescent="0.25"/>
    <row r="3" spans="1:7" s="403" customFormat="1" x14ac:dyDescent="0.25"/>
    <row r="5" spans="1:7" x14ac:dyDescent="0.25">
      <c r="G5" s="2" t="s">
        <v>0</v>
      </c>
    </row>
    <row r="6" spans="1:7" x14ac:dyDescent="0.25">
      <c r="G6" s="2" t="s">
        <v>1</v>
      </c>
    </row>
    <row r="7" spans="1:7" x14ac:dyDescent="0.25">
      <c r="G7" s="2" t="s">
        <v>2</v>
      </c>
    </row>
    <row r="8" spans="1:7" x14ac:dyDescent="0.25">
      <c r="G8" s="2" t="s">
        <v>3</v>
      </c>
    </row>
    <row r="10" spans="1:7" ht="20.100000000000001" customHeight="1" x14ac:dyDescent="0.25">
      <c r="A10" s="643" t="s">
        <v>107</v>
      </c>
      <c r="B10" s="644"/>
      <c r="C10" s="644"/>
      <c r="D10" s="644"/>
      <c r="E10" s="644"/>
      <c r="F10" s="644"/>
      <c r="G10" s="644"/>
    </row>
    <row r="11" spans="1:7" x14ac:dyDescent="0.25">
      <c r="A11" s="1" t="s">
        <v>4</v>
      </c>
    </row>
    <row r="13" spans="1:7" x14ac:dyDescent="0.25">
      <c r="A13" s="3" t="s">
        <v>5</v>
      </c>
    </row>
    <row r="14" spans="1:7" x14ac:dyDescent="0.25">
      <c r="A14" s="3" t="s">
        <v>6</v>
      </c>
      <c r="B14" s="3" t="s">
        <v>7</v>
      </c>
      <c r="C14" s="3" t="s">
        <v>8</v>
      </c>
      <c r="D14" s="3" t="s">
        <v>9</v>
      </c>
      <c r="E14" s="3" t="s">
        <v>10</v>
      </c>
      <c r="F14" s="3" t="s">
        <v>11</v>
      </c>
    </row>
    <row r="15" spans="1:7" x14ac:dyDescent="0.25">
      <c r="A15" s="4" t="s">
        <v>12</v>
      </c>
      <c r="B15" s="4" t="s">
        <v>13</v>
      </c>
      <c r="C15" s="5" t="s">
        <v>14</v>
      </c>
      <c r="D15" s="5" t="s">
        <v>15</v>
      </c>
      <c r="E15" s="5" t="s">
        <v>16</v>
      </c>
      <c r="F15" s="5" t="s">
        <v>17</v>
      </c>
    </row>
    <row r="16" spans="1:7" x14ac:dyDescent="0.25">
      <c r="A16" s="6" t="s">
        <v>18</v>
      </c>
      <c r="B16" s="6" t="s">
        <v>19</v>
      </c>
      <c r="C16" s="7" t="s">
        <v>20</v>
      </c>
      <c r="D16" s="7" t="s">
        <v>21</v>
      </c>
      <c r="E16" s="7" t="s">
        <v>22</v>
      </c>
      <c r="F16" s="7" t="s">
        <v>23</v>
      </c>
    </row>
    <row r="17" spans="1:6" x14ac:dyDescent="0.25">
      <c r="A17" s="4" t="s">
        <v>24</v>
      </c>
      <c r="B17" s="4" t="s">
        <v>25</v>
      </c>
      <c r="C17" s="5" t="s">
        <v>25</v>
      </c>
      <c r="D17" s="5" t="s">
        <v>25</v>
      </c>
      <c r="E17" s="5" t="s">
        <v>25</v>
      </c>
      <c r="F17" s="5" t="s">
        <v>25</v>
      </c>
    </row>
    <row r="18" spans="1:6" x14ac:dyDescent="0.25">
      <c r="A18" s="6" t="s">
        <v>26</v>
      </c>
      <c r="B18" s="6" t="s">
        <v>25</v>
      </c>
      <c r="C18" s="7" t="s">
        <v>25</v>
      </c>
      <c r="D18" s="7" t="s">
        <v>25</v>
      </c>
      <c r="E18" s="7" t="s">
        <v>25</v>
      </c>
      <c r="F18" s="7" t="s">
        <v>25</v>
      </c>
    </row>
    <row r="19" spans="1:6" x14ac:dyDescent="0.25">
      <c r="A19" s="4" t="s">
        <v>27</v>
      </c>
      <c r="B19" s="4" t="s">
        <v>28</v>
      </c>
      <c r="C19" s="5" t="s">
        <v>28</v>
      </c>
      <c r="D19" s="5" t="s">
        <v>28</v>
      </c>
      <c r="E19" s="5" t="s">
        <v>28</v>
      </c>
      <c r="F19" s="5" t="s">
        <v>28</v>
      </c>
    </row>
    <row r="20" spans="1:6" x14ac:dyDescent="0.25">
      <c r="A20" s="6" t="s">
        <v>29</v>
      </c>
      <c r="B20" s="6" t="s">
        <v>29</v>
      </c>
      <c r="C20" s="7" t="s">
        <v>29</v>
      </c>
      <c r="D20" s="7" t="s">
        <v>29</v>
      </c>
      <c r="E20" s="7" t="s">
        <v>29</v>
      </c>
      <c r="F20" s="7" t="s">
        <v>29</v>
      </c>
    </row>
    <row r="21" spans="1:6" x14ac:dyDescent="0.25">
      <c r="A21" s="4" t="s">
        <v>30</v>
      </c>
      <c r="B21" s="8" t="s">
        <v>31</v>
      </c>
      <c r="C21" s="9" t="s">
        <v>31</v>
      </c>
      <c r="D21" s="9" t="s">
        <v>31</v>
      </c>
      <c r="E21" s="9" t="s">
        <v>31</v>
      </c>
      <c r="F21" s="9" t="s">
        <v>31</v>
      </c>
    </row>
    <row r="24" spans="1:6" x14ac:dyDescent="0.25">
      <c r="A24" s="3" t="s">
        <v>32</v>
      </c>
    </row>
    <row r="25" spans="1:6" x14ac:dyDescent="0.25">
      <c r="A25" s="3" t="s">
        <v>6</v>
      </c>
      <c r="B25" s="3" t="s">
        <v>7</v>
      </c>
      <c r="C25" s="3" t="s">
        <v>8</v>
      </c>
      <c r="D25" s="3" t="s">
        <v>9</v>
      </c>
      <c r="E25" s="3" t="s">
        <v>10</v>
      </c>
      <c r="F25" s="3" t="s">
        <v>11</v>
      </c>
    </row>
    <row r="26" spans="1:6" x14ac:dyDescent="0.25">
      <c r="A26" s="6" t="s">
        <v>33</v>
      </c>
      <c r="B26" s="10">
        <v>1</v>
      </c>
      <c r="C26" s="11">
        <v>1</v>
      </c>
      <c r="D26" s="11">
        <v>1</v>
      </c>
      <c r="E26" s="11">
        <v>1</v>
      </c>
      <c r="F26" s="11">
        <v>1</v>
      </c>
    </row>
    <row r="29" spans="1:6" x14ac:dyDescent="0.25">
      <c r="A29" s="4" t="s">
        <v>34</v>
      </c>
      <c r="B29" s="12">
        <v>5.3699999999999998E-2</v>
      </c>
      <c r="C29" s="13">
        <v>7.3200000000000001E-2</v>
      </c>
      <c r="D29" s="13">
        <v>0.12870000000000001</v>
      </c>
      <c r="E29" s="13">
        <v>5.6399999999999999E-2</v>
      </c>
      <c r="F29" s="13">
        <v>8.9099999999999999E-2</v>
      </c>
    </row>
    <row r="30" spans="1:6" x14ac:dyDescent="0.25">
      <c r="A30" s="6" t="s">
        <v>35</v>
      </c>
      <c r="B30" s="14">
        <v>5.3699999999999998E-2</v>
      </c>
      <c r="C30" s="15">
        <v>7.3200000000000001E-2</v>
      </c>
      <c r="D30" s="15">
        <v>0.12870000000000001</v>
      </c>
      <c r="E30" s="15">
        <v>5.6399999999999999E-2</v>
      </c>
      <c r="F30" s="15">
        <v>8.9099999999999999E-2</v>
      </c>
    </row>
    <row r="31" spans="1:6" x14ac:dyDescent="0.25">
      <c r="A31" s="4" t="s">
        <v>36</v>
      </c>
      <c r="B31" s="12">
        <v>7.9600000000000004E-2</v>
      </c>
      <c r="C31" s="13">
        <v>9.8900000000000002E-2</v>
      </c>
      <c r="D31" s="13">
        <v>0.16850000000000001</v>
      </c>
      <c r="E31" s="13">
        <v>0.10879999999999999</v>
      </c>
      <c r="F31" s="13">
        <v>0.1542</v>
      </c>
    </row>
    <row r="32" spans="1:6" x14ac:dyDescent="0.25">
      <c r="A32" s="6" t="s">
        <v>37</v>
      </c>
      <c r="B32" s="14">
        <v>7.9600000000000004E-2</v>
      </c>
      <c r="C32" s="15">
        <v>9.8900000000000002E-2</v>
      </c>
      <c r="D32" s="15">
        <v>0.16850000000000001</v>
      </c>
      <c r="E32" s="15">
        <v>0.10879999999999999</v>
      </c>
      <c r="F32" s="15">
        <v>0.1542</v>
      </c>
    </row>
    <row r="33" spans="1:6" x14ac:dyDescent="0.25">
      <c r="A33" s="4" t="s">
        <v>38</v>
      </c>
      <c r="B33" s="12">
        <v>6.3299999999999995E-2</v>
      </c>
      <c r="C33" s="13">
        <v>8.8200000000000001E-2</v>
      </c>
      <c r="D33" s="13">
        <v>0.1469</v>
      </c>
      <c r="E33" s="13">
        <v>0.10879999999999999</v>
      </c>
      <c r="F33" s="13">
        <v>0.1542</v>
      </c>
    </row>
    <row r="34" spans="1:6" x14ac:dyDescent="0.25">
      <c r="A34" s="6" t="s">
        <v>39</v>
      </c>
      <c r="B34" s="14">
        <v>3.8899999999999997E-2</v>
      </c>
      <c r="C34" s="15">
        <v>4.4900000000000002E-2</v>
      </c>
      <c r="D34" s="15">
        <v>7.8299999999999995E-2</v>
      </c>
      <c r="E34" s="15">
        <v>4.3700000000000003E-2</v>
      </c>
      <c r="F34" s="15">
        <v>5.62E-2</v>
      </c>
    </row>
    <row r="35" spans="1:6" x14ac:dyDescent="0.25">
      <c r="A35" s="4" t="s">
        <v>40</v>
      </c>
      <c r="B35" s="12">
        <v>0.40479999999999999</v>
      </c>
      <c r="C35" s="13">
        <v>0.39400000000000002</v>
      </c>
      <c r="D35" s="13">
        <v>0.4012</v>
      </c>
      <c r="E35" s="13">
        <v>0.45</v>
      </c>
      <c r="F35" s="13">
        <v>0.45529999999999998</v>
      </c>
    </row>
    <row r="36" spans="1:6" x14ac:dyDescent="0.25">
      <c r="A36" s="6" t="s">
        <v>41</v>
      </c>
      <c r="B36" s="14">
        <v>0.1308</v>
      </c>
      <c r="C36" s="15">
        <v>0.12859999999999999</v>
      </c>
      <c r="D36" s="15">
        <v>0.14729999999999999</v>
      </c>
      <c r="E36" s="15">
        <v>0.13619999999999999</v>
      </c>
      <c r="F36" s="15">
        <v>0.15260000000000001</v>
      </c>
    </row>
    <row r="37" spans="1:6" x14ac:dyDescent="0.25">
      <c r="A37" s="4" t="s">
        <v>42</v>
      </c>
      <c r="B37" s="12">
        <v>0.16550000000000001</v>
      </c>
      <c r="C37" s="13">
        <v>0.16470000000000001</v>
      </c>
      <c r="D37" s="13">
        <v>0.1852</v>
      </c>
      <c r="E37" s="13">
        <v>0.1757</v>
      </c>
      <c r="F37" s="13">
        <v>0.1739</v>
      </c>
    </row>
    <row r="38" spans="1:6" x14ac:dyDescent="0.25">
      <c r="A38" s="6" t="s">
        <v>43</v>
      </c>
      <c r="B38" s="14">
        <v>0.18060000000000001</v>
      </c>
      <c r="C38" s="15">
        <v>0.20949999999999999</v>
      </c>
      <c r="D38" s="15">
        <v>0.24210000000000001</v>
      </c>
      <c r="E38" s="15">
        <v>0.1759</v>
      </c>
      <c r="F38" s="15">
        <v>0.2419</v>
      </c>
    </row>
    <row r="41" spans="1:6" x14ac:dyDescent="0.25">
      <c r="A41" s="4" t="s">
        <v>44</v>
      </c>
      <c r="B41" s="16">
        <v>2.66</v>
      </c>
      <c r="C41" s="17">
        <v>3.4</v>
      </c>
      <c r="D41" s="17">
        <v>5.19</v>
      </c>
      <c r="E41" s="17">
        <v>2.2000000000000002</v>
      </c>
      <c r="F41" s="17">
        <v>3.73</v>
      </c>
    </row>
    <row r="42" spans="1:6" x14ac:dyDescent="0.25">
      <c r="A42" s="6" t="s">
        <v>45</v>
      </c>
      <c r="B42" s="18">
        <v>4.38</v>
      </c>
      <c r="C42" s="19">
        <v>4.4800000000000004</v>
      </c>
      <c r="D42" s="19">
        <v>3.65</v>
      </c>
      <c r="E42" s="19">
        <v>4.79</v>
      </c>
      <c r="F42" s="19">
        <v>4.18</v>
      </c>
    </row>
    <row r="43" spans="1:6" x14ac:dyDescent="0.25">
      <c r="A43" s="4" t="s">
        <v>46</v>
      </c>
      <c r="B43" s="16">
        <v>1.58</v>
      </c>
      <c r="C43" s="17">
        <v>1.82</v>
      </c>
      <c r="D43" s="17">
        <v>1.81</v>
      </c>
      <c r="E43" s="17">
        <v>1.35</v>
      </c>
      <c r="F43" s="17">
        <v>1.72</v>
      </c>
    </row>
    <row r="44" spans="1:6" x14ac:dyDescent="0.25">
      <c r="A44" s="6" t="s">
        <v>47</v>
      </c>
      <c r="B44" s="18">
        <v>11</v>
      </c>
      <c r="C44" s="19">
        <v>15.79</v>
      </c>
      <c r="D44" s="19">
        <v>18.21</v>
      </c>
      <c r="E44" s="19">
        <v>30.11</v>
      </c>
      <c r="F44" s="19">
        <v>20.52</v>
      </c>
    </row>
    <row r="45" spans="1:6" x14ac:dyDescent="0.25">
      <c r="A45" s="4" t="s">
        <v>48</v>
      </c>
      <c r="B45" s="16">
        <v>1.38</v>
      </c>
      <c r="C45" s="17">
        <v>1.63</v>
      </c>
      <c r="D45" s="17">
        <v>1.64</v>
      </c>
      <c r="E45" s="17">
        <v>1.29</v>
      </c>
      <c r="F45" s="17">
        <v>1.58</v>
      </c>
    </row>
    <row r="46" spans="1:6" x14ac:dyDescent="0.25">
      <c r="A46" s="6" t="s">
        <v>45</v>
      </c>
      <c r="B46" s="18">
        <v>8.5299999999999994</v>
      </c>
      <c r="C46" s="19">
        <v>8.61</v>
      </c>
      <c r="D46" s="19">
        <v>12.9</v>
      </c>
      <c r="E46" s="19">
        <v>13.28</v>
      </c>
      <c r="F46" s="19">
        <v>4.09</v>
      </c>
    </row>
    <row r="47" spans="1:6" x14ac:dyDescent="0.25">
      <c r="A47" s="4" t="s">
        <v>49</v>
      </c>
      <c r="B47" s="16">
        <v>2.52</v>
      </c>
      <c r="C47" s="17">
        <v>2.56</v>
      </c>
      <c r="D47" s="17">
        <v>2.44</v>
      </c>
      <c r="E47" s="17">
        <v>2.72</v>
      </c>
      <c r="F47" s="17">
        <v>3.16</v>
      </c>
    </row>
    <row r="50" spans="1:6" x14ac:dyDescent="0.25">
      <c r="A50" s="3" t="s">
        <v>108</v>
      </c>
    </row>
    <row r="51" spans="1:6" x14ac:dyDescent="0.25">
      <c r="A51" s="3" t="s">
        <v>6</v>
      </c>
      <c r="B51" s="3" t="s">
        <v>7</v>
      </c>
      <c r="C51" s="3" t="s">
        <v>8</v>
      </c>
      <c r="D51" s="3" t="s">
        <v>9</v>
      </c>
      <c r="E51" s="3" t="s">
        <v>10</v>
      </c>
      <c r="F51" s="3" t="s">
        <v>11</v>
      </c>
    </row>
    <row r="52" spans="1:6" x14ac:dyDescent="0.25">
      <c r="A52" s="6" t="s">
        <v>33</v>
      </c>
      <c r="B52" s="10">
        <v>1</v>
      </c>
      <c r="C52" s="11">
        <v>1</v>
      </c>
      <c r="D52" s="11">
        <v>1</v>
      </c>
      <c r="E52" s="11">
        <v>1</v>
      </c>
      <c r="F52" s="11">
        <v>1</v>
      </c>
    </row>
    <row r="55" spans="1:6" x14ac:dyDescent="0.25">
      <c r="A55" s="4" t="s">
        <v>50</v>
      </c>
      <c r="B55" s="22">
        <v>966646</v>
      </c>
      <c r="C55" s="23">
        <v>987356</v>
      </c>
      <c r="D55" s="23">
        <v>1048670</v>
      </c>
      <c r="E55" s="23">
        <v>1080291</v>
      </c>
      <c r="F55" s="23">
        <v>1276200</v>
      </c>
    </row>
    <row r="56" spans="1:6" x14ac:dyDescent="0.25">
      <c r="A56" s="6" t="s">
        <v>51</v>
      </c>
      <c r="B56" s="20">
        <v>-447766</v>
      </c>
      <c r="C56" s="21">
        <v>-329745</v>
      </c>
      <c r="D56" s="21">
        <v>-188370</v>
      </c>
      <c r="E56" s="21">
        <v>-948042</v>
      </c>
      <c r="F56" s="21">
        <v>-870564</v>
      </c>
    </row>
    <row r="57" spans="1:6" x14ac:dyDescent="0.25">
      <c r="A57" s="4" t="s">
        <v>52</v>
      </c>
      <c r="B57" s="22">
        <v>229483</v>
      </c>
      <c r="C57" s="23">
        <v>102833</v>
      </c>
      <c r="D57" s="23">
        <v>14277</v>
      </c>
      <c r="E57" s="23">
        <v>-77572</v>
      </c>
      <c r="F57" s="23">
        <v>-81980</v>
      </c>
    </row>
    <row r="58" spans="1:6" x14ac:dyDescent="0.25">
      <c r="A58" s="6" t="s">
        <v>53</v>
      </c>
      <c r="B58" s="20">
        <v>786699</v>
      </c>
      <c r="C58" s="21">
        <v>849714</v>
      </c>
      <c r="D58" s="21">
        <v>943579</v>
      </c>
      <c r="E58" s="21">
        <v>1013265</v>
      </c>
      <c r="F58" s="21">
        <v>1131683</v>
      </c>
    </row>
    <row r="61" spans="1:6" x14ac:dyDescent="0.25">
      <c r="A61" s="3" t="s">
        <v>109</v>
      </c>
    </row>
    <row r="62" spans="1:6" x14ac:dyDescent="0.25">
      <c r="A62" s="3" t="s">
        <v>6</v>
      </c>
      <c r="B62" s="3" t="s">
        <v>7</v>
      </c>
      <c r="C62" s="3" t="s">
        <v>8</v>
      </c>
      <c r="D62" s="3" t="s">
        <v>9</v>
      </c>
      <c r="E62" s="3" t="s">
        <v>10</v>
      </c>
      <c r="F62" s="3" t="s">
        <v>11</v>
      </c>
    </row>
    <row r="63" spans="1:6" x14ac:dyDescent="0.25">
      <c r="A63" s="4" t="s">
        <v>33</v>
      </c>
      <c r="B63" s="24">
        <v>1</v>
      </c>
      <c r="C63" s="25">
        <v>1</v>
      </c>
      <c r="D63" s="25">
        <v>1</v>
      </c>
      <c r="E63" s="25">
        <v>1</v>
      </c>
      <c r="F63" s="25">
        <v>1</v>
      </c>
    </row>
    <row r="64" spans="1:6" x14ac:dyDescent="0.25">
      <c r="A64" s="6" t="s">
        <v>54</v>
      </c>
      <c r="B64" s="20">
        <v>258923</v>
      </c>
      <c r="C64" s="21">
        <v>279400</v>
      </c>
      <c r="D64" s="21">
        <v>339352</v>
      </c>
      <c r="E64" s="21">
        <v>374917</v>
      </c>
      <c r="F64" s="21">
        <v>546333</v>
      </c>
    </row>
    <row r="65" spans="1:6" x14ac:dyDescent="0.25">
      <c r="A65" s="4" t="s">
        <v>55</v>
      </c>
      <c r="B65" s="22">
        <v>327764</v>
      </c>
      <c r="C65" s="23">
        <v>357879</v>
      </c>
      <c r="D65" s="23">
        <v>426686</v>
      </c>
      <c r="E65" s="23">
        <v>483569</v>
      </c>
      <c r="F65" s="23">
        <v>622682</v>
      </c>
    </row>
    <row r="68" spans="1:6" x14ac:dyDescent="0.25">
      <c r="A68" s="3" t="s">
        <v>32</v>
      </c>
    </row>
    <row r="69" spans="1:6" x14ac:dyDescent="0.25">
      <c r="A69" s="3" t="s">
        <v>6</v>
      </c>
      <c r="B69" s="3" t="s">
        <v>7</v>
      </c>
      <c r="C69" s="3" t="s">
        <v>8</v>
      </c>
      <c r="D69" s="3" t="s">
        <v>9</v>
      </c>
      <c r="E69" s="3" t="s">
        <v>10</v>
      </c>
      <c r="F69" s="3" t="s">
        <v>11</v>
      </c>
    </row>
    <row r="70" spans="1:6" x14ac:dyDescent="0.25">
      <c r="A70" s="6" t="s">
        <v>33</v>
      </c>
      <c r="B70" s="10">
        <v>1</v>
      </c>
      <c r="C70" s="11">
        <v>1</v>
      </c>
      <c r="D70" s="11">
        <v>1</v>
      </c>
      <c r="E70" s="11">
        <v>1</v>
      </c>
      <c r="F70" s="11">
        <v>1</v>
      </c>
    </row>
    <row r="73" spans="1:6" x14ac:dyDescent="0.25">
      <c r="A73" s="4" t="s">
        <v>56</v>
      </c>
      <c r="B73" s="16">
        <v>2.69</v>
      </c>
      <c r="C73" s="17">
        <v>3.45</v>
      </c>
      <c r="D73" s="17">
        <v>3.85</v>
      </c>
      <c r="E73" s="17">
        <v>1.99</v>
      </c>
      <c r="F73" s="17">
        <v>2.19</v>
      </c>
    </row>
    <row r="74" spans="1:6" x14ac:dyDescent="0.25">
      <c r="A74" s="6" t="s">
        <v>57</v>
      </c>
      <c r="B74" s="18">
        <v>1.0900000000000001</v>
      </c>
      <c r="C74" s="19">
        <v>1.61</v>
      </c>
      <c r="D74" s="19">
        <v>2.5099999999999998</v>
      </c>
      <c r="E74" s="19">
        <v>0.77</v>
      </c>
      <c r="F74" s="19">
        <v>1.18</v>
      </c>
    </row>
    <row r="75" spans="1:6" x14ac:dyDescent="0.25">
      <c r="A75" s="4" t="s">
        <v>58</v>
      </c>
      <c r="B75" s="16">
        <v>0.04</v>
      </c>
      <c r="C75" s="17">
        <v>0.05</v>
      </c>
      <c r="D75" s="17">
        <v>0.43</v>
      </c>
      <c r="E75" s="17">
        <v>0.08</v>
      </c>
      <c r="F75" s="17">
        <v>0.09</v>
      </c>
    </row>
    <row r="76" spans="1:6" x14ac:dyDescent="0.25">
      <c r="A76" s="6" t="s">
        <v>59</v>
      </c>
      <c r="B76" s="18">
        <v>0.04</v>
      </c>
      <c r="C76" s="19">
        <v>0.05</v>
      </c>
      <c r="D76" s="19">
        <v>0.43</v>
      </c>
      <c r="E76" s="19">
        <v>0.15</v>
      </c>
      <c r="F76" s="19">
        <v>0.26</v>
      </c>
    </row>
    <row r="79" spans="1:6" x14ac:dyDescent="0.25">
      <c r="A79" s="4" t="s">
        <v>62</v>
      </c>
      <c r="B79" s="12">
        <v>0.17330000000000001</v>
      </c>
      <c r="C79" s="13">
        <v>8.9399999999999993E-2</v>
      </c>
      <c r="D79" s="13">
        <v>0.1123</v>
      </c>
      <c r="E79" s="13">
        <v>4.0000000000000002E-4</v>
      </c>
      <c r="F79" s="13" t="s">
        <v>65</v>
      </c>
    </row>
    <row r="80" spans="1:6" x14ac:dyDescent="0.25">
      <c r="A80" s="6" t="s">
        <v>63</v>
      </c>
      <c r="B80" s="14">
        <v>0.25700000000000001</v>
      </c>
      <c r="C80" s="15">
        <v>0.1208</v>
      </c>
      <c r="D80" s="15">
        <v>0.14710000000000001</v>
      </c>
      <c r="E80" s="15">
        <v>7.000000000000001E-4</v>
      </c>
      <c r="F80" s="15" t="s">
        <v>65</v>
      </c>
    </row>
    <row r="81" spans="1:6" x14ac:dyDescent="0.25">
      <c r="A81" s="4" t="s">
        <v>64</v>
      </c>
      <c r="B81" s="12" t="s">
        <v>65</v>
      </c>
      <c r="C81" s="13" t="s">
        <v>65</v>
      </c>
      <c r="D81" s="13" t="s">
        <v>65</v>
      </c>
      <c r="E81" s="13" t="s">
        <v>65</v>
      </c>
      <c r="F81" s="13" t="s">
        <v>65</v>
      </c>
    </row>
    <row r="82" spans="1:6" x14ac:dyDescent="0.25">
      <c r="A82" s="6" t="s">
        <v>66</v>
      </c>
      <c r="B82" s="14">
        <v>-0.04</v>
      </c>
      <c r="C82" s="15">
        <v>0.54899999999999993</v>
      </c>
      <c r="D82" s="15">
        <v>0.48430000000000001</v>
      </c>
      <c r="E82" s="15">
        <v>2.2000000000000001E-3</v>
      </c>
      <c r="F82" s="15" t="s">
        <v>65</v>
      </c>
    </row>
    <row r="83" spans="1:6" x14ac:dyDescent="0.25">
      <c r="A83" s="4" t="s">
        <v>67</v>
      </c>
      <c r="B83" s="16">
        <v>1.48</v>
      </c>
      <c r="C83" s="17">
        <v>1.35</v>
      </c>
      <c r="D83" s="17">
        <v>1.31</v>
      </c>
      <c r="E83" s="17">
        <v>1.93</v>
      </c>
      <c r="F83" s="17">
        <v>1.73</v>
      </c>
    </row>
    <row r="86" spans="1:6" x14ac:dyDescent="0.25">
      <c r="A86" s="6" t="s">
        <v>68</v>
      </c>
      <c r="B86" s="14">
        <v>8.3900000000000002E-2</v>
      </c>
      <c r="C86" s="15">
        <v>9.74E-2</v>
      </c>
      <c r="D86" s="15">
        <v>6.0100000000000001E-2</v>
      </c>
      <c r="E86" s="15">
        <v>0.1951</v>
      </c>
      <c r="F86" s="15">
        <v>0.30030000000000001</v>
      </c>
    </row>
    <row r="87" spans="1:6" x14ac:dyDescent="0.25">
      <c r="A87" s="4" t="s">
        <v>69</v>
      </c>
      <c r="B87" s="12">
        <v>8.3900000000000002E-2</v>
      </c>
      <c r="C87" s="13">
        <v>9.74E-2</v>
      </c>
      <c r="D87" s="13">
        <v>6.0100000000000001E-2</v>
      </c>
      <c r="E87" s="13">
        <v>0.1951</v>
      </c>
      <c r="F87" s="13">
        <v>0.30030000000000001</v>
      </c>
    </row>
    <row r="88" spans="1:6" x14ac:dyDescent="0.25">
      <c r="A88" s="6" t="s">
        <v>70</v>
      </c>
      <c r="B88" s="14">
        <v>0.193</v>
      </c>
      <c r="C88" s="15">
        <v>6.8099999999999994E-2</v>
      </c>
      <c r="D88" s="15">
        <v>7.9399999999999998E-2</v>
      </c>
      <c r="E88" s="15">
        <v>0.34050000000000002</v>
      </c>
      <c r="F88" s="15">
        <v>0.31569999999999998</v>
      </c>
    </row>
    <row r="89" spans="1:6" x14ac:dyDescent="0.25">
      <c r="A89" s="4" t="s">
        <v>71</v>
      </c>
      <c r="B89" s="12">
        <v>-0.23810000000000001</v>
      </c>
      <c r="C89" s="13">
        <v>9.1899999999999996E-2</v>
      </c>
      <c r="D89" s="13">
        <v>0.1923</v>
      </c>
      <c r="E89" s="13">
        <v>0.1333</v>
      </c>
      <c r="F89" s="13">
        <v>0.28770000000000001</v>
      </c>
    </row>
    <row r="90" spans="1:6" x14ac:dyDescent="0.25">
      <c r="A90" s="6" t="s">
        <v>72</v>
      </c>
      <c r="B90" s="14">
        <v>0.1104</v>
      </c>
      <c r="C90" s="15">
        <v>7.9100000000000004E-2</v>
      </c>
      <c r="D90" s="15">
        <v>0.21460000000000001</v>
      </c>
      <c r="E90" s="15">
        <v>0.1048</v>
      </c>
      <c r="F90" s="15">
        <v>0.4572</v>
      </c>
    </row>
    <row r="91" spans="1:6" x14ac:dyDescent="0.25">
      <c r="A91" s="4" t="s">
        <v>73</v>
      </c>
      <c r="B91" s="12">
        <v>0.24929999999999999</v>
      </c>
      <c r="C91" s="13">
        <v>0.26919999999999999</v>
      </c>
      <c r="D91" s="13">
        <v>0.84719999999999995</v>
      </c>
      <c r="E91" s="13">
        <v>-0.33329999999999999</v>
      </c>
      <c r="F91" s="13">
        <v>0.67459999999999998</v>
      </c>
    </row>
    <row r="92" spans="1:6" x14ac:dyDescent="0.25">
      <c r="A92" s="6" t="s">
        <v>74</v>
      </c>
      <c r="B92" s="14">
        <v>0.17780000000000001</v>
      </c>
      <c r="C92" s="15">
        <v>7.46E-2</v>
      </c>
      <c r="D92" s="15">
        <v>0.2994</v>
      </c>
      <c r="E92" s="15">
        <v>-8.9399999999999993E-2</v>
      </c>
      <c r="F92" s="15">
        <v>0.49249999999999999</v>
      </c>
    </row>
    <row r="93" spans="1:6" x14ac:dyDescent="0.25">
      <c r="A93" s="4" t="s">
        <v>75</v>
      </c>
      <c r="B93" s="12">
        <v>4.8899999999999999E-2</v>
      </c>
      <c r="C93" s="13">
        <v>-0.13980000000000001</v>
      </c>
      <c r="D93" s="13">
        <v>-0.30659999999999998</v>
      </c>
      <c r="E93" s="13">
        <v>1.8281000000000001</v>
      </c>
      <c r="F93" s="13">
        <v>-0.2354</v>
      </c>
    </row>
    <row r="94" spans="1:6" x14ac:dyDescent="0.25">
      <c r="A94" s="6" t="s">
        <v>76</v>
      </c>
      <c r="B94" s="14">
        <v>3.9600000000000003E-2</v>
      </c>
      <c r="C94" s="15">
        <v>-0.2351</v>
      </c>
      <c r="D94" s="15">
        <v>-0.23649999999999999</v>
      </c>
      <c r="E94" s="15">
        <v>-0.36220000000000002</v>
      </c>
      <c r="F94" s="15">
        <v>1.1560999999999999</v>
      </c>
    </row>
    <row r="95" spans="1:6" x14ac:dyDescent="0.25">
      <c r="A95" s="4" t="s">
        <v>77</v>
      </c>
      <c r="B95" s="12">
        <v>9.6500000000000002E-2</v>
      </c>
      <c r="C95" s="13">
        <v>-6.9699999999999998E-2</v>
      </c>
      <c r="D95" s="13">
        <v>5.0999999999999997E-2</v>
      </c>
      <c r="E95" s="13">
        <v>0.52049999999999996</v>
      </c>
      <c r="F95" s="13">
        <v>5.9800000000000013E-2</v>
      </c>
    </row>
    <row r="96" spans="1:6" x14ac:dyDescent="0.25">
      <c r="A96" s="6" t="s">
        <v>78</v>
      </c>
      <c r="B96" s="14">
        <v>1.9099999999999999E-2</v>
      </c>
      <c r="C96" s="15">
        <v>2.1399999999999999E-2</v>
      </c>
      <c r="D96" s="15">
        <v>6.2100000000000002E-2</v>
      </c>
      <c r="E96" s="15">
        <v>3.0200000000000001E-2</v>
      </c>
      <c r="F96" s="15">
        <v>0.18129999999999999</v>
      </c>
    </row>
    <row r="97" spans="1:6" x14ac:dyDescent="0.25">
      <c r="A97" s="4" t="s">
        <v>79</v>
      </c>
      <c r="B97" s="12">
        <v>1.9099999999999999E-2</v>
      </c>
      <c r="C97" s="13">
        <v>2.1399999999999999E-2</v>
      </c>
      <c r="D97" s="13">
        <v>8.3800000000000013E-2</v>
      </c>
      <c r="E97" s="13">
        <v>3.2400000000000012E-2</v>
      </c>
      <c r="F97" s="13">
        <v>0.18229999999999999</v>
      </c>
    </row>
    <row r="98" spans="1:6" x14ac:dyDescent="0.25">
      <c r="A98" s="6" t="s">
        <v>80</v>
      </c>
      <c r="B98" s="14">
        <v>-1.0609</v>
      </c>
      <c r="C98" s="15">
        <v>-0.03</v>
      </c>
      <c r="D98" s="15">
        <v>0.496</v>
      </c>
      <c r="E98" s="15">
        <v>9.4299999999999995E-2</v>
      </c>
      <c r="F98" s="15">
        <v>-0.4204</v>
      </c>
    </row>
    <row r="99" spans="1:6" x14ac:dyDescent="0.25">
      <c r="A99" s="4" t="s">
        <v>81</v>
      </c>
      <c r="B99" s="12">
        <v>4.3517999999999999</v>
      </c>
      <c r="C99" s="13">
        <v>-0.75659999999999994</v>
      </c>
      <c r="D99" s="13">
        <v>0.68659999999999999</v>
      </c>
      <c r="E99" s="13">
        <v>-0.1038</v>
      </c>
      <c r="F99" s="13">
        <v>4.1383999999999999</v>
      </c>
    </row>
    <row r="102" spans="1:6" x14ac:dyDescent="0.25">
      <c r="A102" s="6" t="s">
        <v>82</v>
      </c>
      <c r="B102" s="18">
        <v>-0.03</v>
      </c>
      <c r="C102" s="19">
        <v>1.82</v>
      </c>
      <c r="D102" s="19">
        <v>2.0699999999999998</v>
      </c>
      <c r="E102" s="19">
        <v>457.7</v>
      </c>
      <c r="F102" s="7" t="s">
        <v>61</v>
      </c>
    </row>
    <row r="105" spans="1:6" x14ac:dyDescent="0.25">
      <c r="A105" s="4" t="s">
        <v>83</v>
      </c>
      <c r="B105" s="12">
        <v>-3.0999999999999999E-3</v>
      </c>
      <c r="C105" s="13">
        <v>0.1</v>
      </c>
      <c r="D105" s="13">
        <v>0.1411</v>
      </c>
      <c r="E105" s="13">
        <v>0.12920000000000001</v>
      </c>
      <c r="F105" s="13">
        <v>5.7599999999999998E-2</v>
      </c>
    </row>
    <row r="106" spans="1:6" x14ac:dyDescent="0.25">
      <c r="A106" s="6" t="s">
        <v>84</v>
      </c>
      <c r="B106" s="14">
        <v>-4.3E-3</v>
      </c>
      <c r="C106" s="15">
        <v>0.16289999999999999</v>
      </c>
      <c r="D106" s="15">
        <v>0.2319</v>
      </c>
      <c r="E106" s="15">
        <v>0.16689999999999999</v>
      </c>
      <c r="F106" s="15">
        <v>9.1300000000000006E-2</v>
      </c>
    </row>
    <row r="107" spans="1:6" x14ac:dyDescent="0.25">
      <c r="A107" s="4" t="s">
        <v>85</v>
      </c>
      <c r="B107" s="12">
        <v>-6.4000000000000003E-3</v>
      </c>
      <c r="C107" s="13">
        <v>0.22</v>
      </c>
      <c r="D107" s="13">
        <v>0.30370000000000003</v>
      </c>
      <c r="E107" s="13">
        <v>0.32190000000000002</v>
      </c>
      <c r="F107" s="13">
        <v>0.1578</v>
      </c>
    </row>
    <row r="108" spans="1:6" x14ac:dyDescent="0.25">
      <c r="A108" s="6" t="s">
        <v>86</v>
      </c>
      <c r="B108" s="14">
        <v>-2.4E-2</v>
      </c>
      <c r="C108" s="15">
        <v>0.77760000000000007</v>
      </c>
      <c r="D108" s="15">
        <v>0.9577</v>
      </c>
      <c r="E108" s="15">
        <v>0.9486</v>
      </c>
      <c r="F108" s="15">
        <v>0.37730000000000002</v>
      </c>
    </row>
    <row r="111" spans="1:6" x14ac:dyDescent="0.25">
      <c r="A111" s="4" t="s">
        <v>87</v>
      </c>
      <c r="B111" s="12">
        <v>1.32E-2</v>
      </c>
      <c r="C111" s="13">
        <v>1.23E-2</v>
      </c>
      <c r="D111" s="13">
        <v>0.1021</v>
      </c>
      <c r="E111" s="13">
        <v>3.6799999999999999E-2</v>
      </c>
      <c r="F111" s="13">
        <v>3.6299999999999999E-2</v>
      </c>
    </row>
    <row r="112" spans="1:6" x14ac:dyDescent="0.25">
      <c r="A112" s="6" t="s">
        <v>88</v>
      </c>
      <c r="B112" s="14">
        <v>0.31509999999999999</v>
      </c>
      <c r="C112" s="15">
        <v>0.3639</v>
      </c>
      <c r="D112" s="15">
        <v>0.45</v>
      </c>
      <c r="E112" s="15">
        <v>0.26950000000000002</v>
      </c>
      <c r="F112" s="15">
        <v>0.37940000000000002</v>
      </c>
    </row>
    <row r="113" spans="1:6" x14ac:dyDescent="0.25">
      <c r="A113" s="4" t="s">
        <v>89</v>
      </c>
      <c r="B113" s="12">
        <v>0.51869999999999994</v>
      </c>
      <c r="C113" s="13">
        <v>0.47960000000000003</v>
      </c>
      <c r="D113" s="13">
        <v>0.31640000000000001</v>
      </c>
      <c r="E113" s="13">
        <v>0.58850000000000002</v>
      </c>
      <c r="F113" s="13">
        <v>0.42459999999999998</v>
      </c>
    </row>
    <row r="114" spans="1:6" x14ac:dyDescent="0.25">
      <c r="A114" s="6" t="s">
        <v>90</v>
      </c>
      <c r="B114" s="14">
        <v>0.1255</v>
      </c>
      <c r="C114" s="15">
        <v>0.1032</v>
      </c>
      <c r="D114" s="15">
        <v>9.0299999999999991E-2</v>
      </c>
      <c r="E114" s="15">
        <v>4.2900000000000001E-2</v>
      </c>
      <c r="F114" s="15">
        <v>7.7199999999999991E-2</v>
      </c>
    </row>
    <row r="115" spans="1:6" x14ac:dyDescent="0.25">
      <c r="A115" s="4" t="s">
        <v>91</v>
      </c>
      <c r="B115" s="12">
        <v>1</v>
      </c>
      <c r="C115" s="13">
        <v>1</v>
      </c>
      <c r="D115" s="13">
        <v>1</v>
      </c>
      <c r="E115" s="13">
        <v>1</v>
      </c>
      <c r="F115" s="13">
        <v>1</v>
      </c>
    </row>
    <row r="118" spans="1:6" x14ac:dyDescent="0.25">
      <c r="A118" s="6" t="s">
        <v>92</v>
      </c>
      <c r="B118" s="14">
        <v>8.1799999999999998E-2</v>
      </c>
      <c r="C118" s="15">
        <v>6.5299999999999997E-2</v>
      </c>
      <c r="D118" s="15">
        <v>7.8600000000000003E-2</v>
      </c>
      <c r="E118" s="15">
        <v>0.14299999999999999</v>
      </c>
      <c r="F118" s="15">
        <v>0.15670000000000001</v>
      </c>
    </row>
    <row r="119" spans="1:6" x14ac:dyDescent="0.25">
      <c r="A119" s="4" t="s">
        <v>93</v>
      </c>
      <c r="B119" s="12">
        <v>3.4799999999999998E-2</v>
      </c>
      <c r="C119" s="13">
        <v>3.61E-2</v>
      </c>
      <c r="D119" s="13">
        <v>3.7900000000000003E-2</v>
      </c>
      <c r="E119" s="13">
        <v>3.95E-2</v>
      </c>
      <c r="F119" s="13">
        <v>2.1299999999999999E-2</v>
      </c>
    </row>
    <row r="120" spans="1:6" x14ac:dyDescent="0.25">
      <c r="A120" s="6" t="s">
        <v>94</v>
      </c>
      <c r="B120" s="14">
        <v>2.23E-2</v>
      </c>
      <c r="C120" s="15">
        <v>2.2200000000000001E-2</v>
      </c>
      <c r="D120" s="15">
        <v>3.7000000000000002E-3</v>
      </c>
      <c r="E120" s="15">
        <v>1.9199999999999998E-2</v>
      </c>
      <c r="F120" s="15">
        <v>2.6200000000000001E-2</v>
      </c>
    </row>
    <row r="123" spans="1:6" x14ac:dyDescent="0.25">
      <c r="A123" s="4" t="s">
        <v>95</v>
      </c>
      <c r="B123" s="12">
        <v>-0.96579999999999999</v>
      </c>
      <c r="C123" s="13">
        <v>-0.08</v>
      </c>
      <c r="D123" s="13">
        <v>2.5659000000000001</v>
      </c>
      <c r="E123" s="13">
        <v>-5.4921000000000006</v>
      </c>
      <c r="F123" s="13">
        <v>0.05</v>
      </c>
    </row>
    <row r="124" spans="1:6" x14ac:dyDescent="0.25">
      <c r="A124" s="6" t="s">
        <v>96</v>
      </c>
      <c r="B124" s="14">
        <v>-8.7407000000000004</v>
      </c>
      <c r="C124" s="15">
        <v>5.3880999999999997</v>
      </c>
      <c r="D124" s="15">
        <v>-0.35099999999999998</v>
      </c>
      <c r="E124" s="15" t="s">
        <v>65</v>
      </c>
      <c r="F124" s="15">
        <v>-0.05</v>
      </c>
    </row>
    <row r="125" spans="1:6" x14ac:dyDescent="0.25">
      <c r="A125" s="4" t="s">
        <v>97</v>
      </c>
      <c r="B125" s="12">
        <v>0.01</v>
      </c>
      <c r="C125" s="13">
        <v>0.08</v>
      </c>
      <c r="D125" s="13">
        <v>-1.2148000000000001</v>
      </c>
      <c r="E125" s="13">
        <v>4.8908999999999994</v>
      </c>
      <c r="F125" s="13">
        <v>-0.22389999999999999</v>
      </c>
    </row>
    <row r="128" spans="1:6" x14ac:dyDescent="0.25">
      <c r="A128" s="3" t="s">
        <v>98</v>
      </c>
    </row>
    <row r="129" spans="1:6" x14ac:dyDescent="0.25">
      <c r="A129" s="3" t="s">
        <v>6</v>
      </c>
      <c r="B129" s="3" t="s">
        <v>7</v>
      </c>
      <c r="C129" s="3" t="s">
        <v>8</v>
      </c>
      <c r="D129" s="3" t="s">
        <v>9</v>
      </c>
      <c r="E129" s="3" t="s">
        <v>10</v>
      </c>
      <c r="F129" s="3" t="s">
        <v>11</v>
      </c>
    </row>
    <row r="132" spans="1:6" x14ac:dyDescent="0.25">
      <c r="A132" s="6" t="s">
        <v>29</v>
      </c>
      <c r="B132" s="6" t="s">
        <v>29</v>
      </c>
      <c r="C132" s="7" t="s">
        <v>29</v>
      </c>
      <c r="D132" s="7" t="s">
        <v>29</v>
      </c>
      <c r="E132" s="7" t="s">
        <v>29</v>
      </c>
      <c r="F132" s="7" t="s">
        <v>29</v>
      </c>
    </row>
    <row r="133" spans="1:6" x14ac:dyDescent="0.25">
      <c r="A133" s="4" t="s">
        <v>99</v>
      </c>
      <c r="B133" s="4" t="s">
        <v>100</v>
      </c>
      <c r="C133" s="5" t="s">
        <v>100</v>
      </c>
      <c r="D133" s="5" t="s">
        <v>100</v>
      </c>
      <c r="E133" s="5" t="s">
        <v>100</v>
      </c>
      <c r="F133" s="5" t="s">
        <v>100</v>
      </c>
    </row>
    <row r="134" spans="1:6" x14ac:dyDescent="0.25">
      <c r="A134" s="6" t="s">
        <v>101</v>
      </c>
      <c r="B134" s="6" t="s">
        <v>102</v>
      </c>
      <c r="C134" s="7" t="s">
        <v>102</v>
      </c>
      <c r="D134" s="7" t="s">
        <v>102</v>
      </c>
      <c r="E134" s="7" t="s">
        <v>102</v>
      </c>
      <c r="F134" s="7" t="s">
        <v>102</v>
      </c>
    </row>
    <row r="137" spans="1:6" x14ac:dyDescent="0.25">
      <c r="A137" s="1" t="s">
        <v>103</v>
      </c>
    </row>
    <row r="138" spans="1:6" x14ac:dyDescent="0.25">
      <c r="A138" s="1" t="s">
        <v>104</v>
      </c>
    </row>
    <row r="139" spans="1:6" x14ac:dyDescent="0.25">
      <c r="A139" s="1" t="s">
        <v>105</v>
      </c>
    </row>
  </sheetData>
  <sheetProtection formatCells="0" formatColumns="0" formatRows="0" insertColumns="0" insertRows="0" insertHyperlinks="0" deleteColumns="0" deleteRows="0" sort="0" autoFilter="0" pivotTables="0"/>
  <mergeCells count="1">
    <mergeCell ref="A10:G10"/>
  </mergeCells>
  <hyperlinks>
    <hyperlink ref="B21" r:id="rId1"/>
    <hyperlink ref="C21" r:id="rId2"/>
    <hyperlink ref="D21" r:id="rId3"/>
    <hyperlink ref="E21" r:id="rId4"/>
    <hyperlink ref="F21" r:id="rId5"/>
  </hyperlinks>
  <pageMargins left="0.7" right="0.7" top="0.75" bottom="0.75" header="0.3" footer="0.3"/>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G121"/>
  <sheetViews>
    <sheetView showGridLines="0" workbookViewId="0"/>
  </sheetViews>
  <sheetFormatPr baseColWidth="10" defaultColWidth="9.125" defaultRowHeight="15" x14ac:dyDescent="0.25"/>
  <cols>
    <col min="1" max="1" width="50" style="1" customWidth="1"/>
    <col min="2" max="6" width="20" style="1" customWidth="1"/>
    <col min="7" max="16384" width="9.125" style="1"/>
  </cols>
  <sheetData>
    <row r="2" spans="1:7" x14ac:dyDescent="0.25">
      <c r="G2" s="2" t="s">
        <v>0</v>
      </c>
    </row>
    <row r="3" spans="1:7" x14ac:dyDescent="0.25">
      <c r="G3" s="2" t="s">
        <v>1</v>
      </c>
    </row>
    <row r="4" spans="1:7" x14ac:dyDescent="0.25">
      <c r="G4" s="2" t="s">
        <v>2</v>
      </c>
    </row>
    <row r="5" spans="1:7" x14ac:dyDescent="0.25">
      <c r="G5" s="2" t="s">
        <v>3</v>
      </c>
    </row>
    <row r="7" spans="1:7" ht="20.100000000000001" customHeight="1" x14ac:dyDescent="0.25">
      <c r="A7" s="643" t="s">
        <v>106</v>
      </c>
      <c r="B7" s="644"/>
      <c r="C7" s="644"/>
      <c r="D7" s="644"/>
      <c r="E7" s="644"/>
      <c r="F7" s="644"/>
      <c r="G7" s="644"/>
    </row>
    <row r="8" spans="1:7" x14ac:dyDescent="0.25">
      <c r="A8" s="1" t="s">
        <v>4</v>
      </c>
    </row>
    <row r="10" spans="1:7" x14ac:dyDescent="0.25">
      <c r="A10" s="3" t="s">
        <v>5</v>
      </c>
    </row>
    <row r="11" spans="1:7" x14ac:dyDescent="0.25">
      <c r="A11" s="3" t="s">
        <v>6</v>
      </c>
      <c r="B11" s="3" t="s">
        <v>7</v>
      </c>
      <c r="C11" s="3" t="s">
        <v>8</v>
      </c>
      <c r="D11" s="3" t="s">
        <v>9</v>
      </c>
      <c r="E11" s="3" t="s">
        <v>10</v>
      </c>
      <c r="F11" s="3" t="s">
        <v>11</v>
      </c>
    </row>
    <row r="12" spans="1:7" x14ac:dyDescent="0.25">
      <c r="A12" s="4" t="s">
        <v>12</v>
      </c>
      <c r="B12" s="4" t="s">
        <v>13</v>
      </c>
      <c r="C12" s="5" t="s">
        <v>14</v>
      </c>
      <c r="D12" s="5" t="s">
        <v>15</v>
      </c>
      <c r="E12" s="5" t="s">
        <v>16</v>
      </c>
      <c r="F12" s="5" t="s">
        <v>17</v>
      </c>
    </row>
    <row r="13" spans="1:7" x14ac:dyDescent="0.25">
      <c r="A13" s="6" t="s">
        <v>18</v>
      </c>
      <c r="B13" s="6" t="s">
        <v>19</v>
      </c>
      <c r="C13" s="7" t="s">
        <v>20</v>
      </c>
      <c r="D13" s="7" t="s">
        <v>21</v>
      </c>
      <c r="E13" s="7" t="s">
        <v>22</v>
      </c>
      <c r="F13" s="7" t="s">
        <v>23</v>
      </c>
    </row>
    <row r="14" spans="1:7" x14ac:dyDescent="0.25">
      <c r="A14" s="4" t="s">
        <v>24</v>
      </c>
      <c r="B14" s="4" t="s">
        <v>25</v>
      </c>
      <c r="C14" s="5" t="s">
        <v>25</v>
      </c>
      <c r="D14" s="5" t="s">
        <v>25</v>
      </c>
      <c r="E14" s="5" t="s">
        <v>25</v>
      </c>
      <c r="F14" s="5" t="s">
        <v>25</v>
      </c>
    </row>
    <row r="15" spans="1:7" x14ac:dyDescent="0.25">
      <c r="A15" s="6" t="s">
        <v>26</v>
      </c>
      <c r="B15" s="6" t="s">
        <v>25</v>
      </c>
      <c r="C15" s="7" t="s">
        <v>25</v>
      </c>
      <c r="D15" s="7" t="s">
        <v>25</v>
      </c>
      <c r="E15" s="7" t="s">
        <v>25</v>
      </c>
      <c r="F15" s="7" t="s">
        <v>25</v>
      </c>
    </row>
    <row r="16" spans="1:7" x14ac:dyDescent="0.25">
      <c r="A16" s="4" t="s">
        <v>27</v>
      </c>
      <c r="B16" s="4" t="s">
        <v>28</v>
      </c>
      <c r="C16" s="5" t="s">
        <v>28</v>
      </c>
      <c r="D16" s="5" t="s">
        <v>28</v>
      </c>
      <c r="E16" s="5" t="s">
        <v>28</v>
      </c>
      <c r="F16" s="5" t="s">
        <v>28</v>
      </c>
    </row>
    <row r="17" spans="1:6" x14ac:dyDescent="0.25">
      <c r="A17" s="6" t="s">
        <v>29</v>
      </c>
      <c r="B17" s="6" t="s">
        <v>29</v>
      </c>
      <c r="C17" s="7" t="s">
        <v>29</v>
      </c>
      <c r="D17" s="7" t="s">
        <v>29</v>
      </c>
      <c r="E17" s="7" t="s">
        <v>29</v>
      </c>
      <c r="F17" s="7" t="s">
        <v>29</v>
      </c>
    </row>
    <row r="18" spans="1:6" x14ac:dyDescent="0.25">
      <c r="A18" s="4" t="s">
        <v>30</v>
      </c>
      <c r="B18" s="8" t="s">
        <v>31</v>
      </c>
      <c r="C18" s="9" t="s">
        <v>31</v>
      </c>
      <c r="D18" s="9" t="s">
        <v>31</v>
      </c>
      <c r="E18" s="9" t="s">
        <v>31</v>
      </c>
      <c r="F18" s="9" t="s">
        <v>31</v>
      </c>
    </row>
    <row r="21" spans="1:6" x14ac:dyDescent="0.25">
      <c r="A21" s="3" t="s">
        <v>32</v>
      </c>
    </row>
    <row r="22" spans="1:6" x14ac:dyDescent="0.25">
      <c r="A22" s="3" t="s">
        <v>6</v>
      </c>
      <c r="B22" s="3" t="s">
        <v>7</v>
      </c>
      <c r="C22" s="3" t="s">
        <v>8</v>
      </c>
      <c r="D22" s="3" t="s">
        <v>9</v>
      </c>
      <c r="E22" s="3" t="s">
        <v>10</v>
      </c>
      <c r="F22" s="3" t="s">
        <v>11</v>
      </c>
    </row>
    <row r="23" spans="1:6" x14ac:dyDescent="0.25">
      <c r="A23" s="6" t="s">
        <v>33</v>
      </c>
      <c r="B23" s="10">
        <v>1</v>
      </c>
      <c r="C23" s="11">
        <v>1</v>
      </c>
      <c r="D23" s="11">
        <v>1</v>
      </c>
      <c r="E23" s="11">
        <v>1</v>
      </c>
      <c r="F23" s="11">
        <v>1</v>
      </c>
    </row>
    <row r="26" spans="1:6" x14ac:dyDescent="0.25">
      <c r="A26" s="4" t="s">
        <v>34</v>
      </c>
      <c r="B26" s="12">
        <v>5.3699999999999998E-2</v>
      </c>
      <c r="C26" s="13">
        <v>7.3200000000000001E-2</v>
      </c>
      <c r="D26" s="13">
        <v>0.12870000000000001</v>
      </c>
      <c r="E26" s="13">
        <v>5.6399999999999999E-2</v>
      </c>
      <c r="F26" s="13">
        <v>8.9099999999999999E-2</v>
      </c>
    </row>
    <row r="27" spans="1:6" x14ac:dyDescent="0.25">
      <c r="A27" s="6" t="s">
        <v>35</v>
      </c>
      <c r="B27" s="14">
        <v>5.3699999999999998E-2</v>
      </c>
      <c r="C27" s="15">
        <v>7.3200000000000001E-2</v>
      </c>
      <c r="D27" s="15">
        <v>0.12870000000000001</v>
      </c>
      <c r="E27" s="15">
        <v>5.6399999999999999E-2</v>
      </c>
      <c r="F27" s="15">
        <v>8.9099999999999999E-2</v>
      </c>
    </row>
    <row r="28" spans="1:6" x14ac:dyDescent="0.25">
      <c r="A28" s="4" t="s">
        <v>36</v>
      </c>
      <c r="B28" s="12">
        <v>7.9600000000000004E-2</v>
      </c>
      <c r="C28" s="13">
        <v>9.8900000000000002E-2</v>
      </c>
      <c r="D28" s="13">
        <v>0.16850000000000001</v>
      </c>
      <c r="E28" s="13">
        <v>0.10879999999999999</v>
      </c>
      <c r="F28" s="13">
        <v>0.1542</v>
      </c>
    </row>
    <row r="29" spans="1:6" x14ac:dyDescent="0.25">
      <c r="A29" s="6" t="s">
        <v>37</v>
      </c>
      <c r="B29" s="14">
        <v>7.9600000000000004E-2</v>
      </c>
      <c r="C29" s="15">
        <v>9.8900000000000002E-2</v>
      </c>
      <c r="D29" s="15">
        <v>0.16850000000000001</v>
      </c>
      <c r="E29" s="15">
        <v>0.10879999999999999</v>
      </c>
      <c r="F29" s="15">
        <v>0.1542</v>
      </c>
    </row>
    <row r="30" spans="1:6" x14ac:dyDescent="0.25">
      <c r="A30" s="4" t="s">
        <v>38</v>
      </c>
      <c r="B30" s="12">
        <v>6.3299999999999995E-2</v>
      </c>
      <c r="C30" s="13">
        <v>8.8200000000000001E-2</v>
      </c>
      <c r="D30" s="13">
        <v>0.1469</v>
      </c>
      <c r="E30" s="13">
        <v>0.10879999999999999</v>
      </c>
      <c r="F30" s="13">
        <v>0.1542</v>
      </c>
    </row>
    <row r="31" spans="1:6" x14ac:dyDescent="0.25">
      <c r="A31" s="6" t="s">
        <v>39</v>
      </c>
      <c r="B31" s="14">
        <v>3.8899999999999997E-2</v>
      </c>
      <c r="C31" s="15">
        <v>4.4900000000000002E-2</v>
      </c>
      <c r="D31" s="15">
        <v>7.8299999999999995E-2</v>
      </c>
      <c r="E31" s="15">
        <v>4.3700000000000003E-2</v>
      </c>
      <c r="F31" s="15">
        <v>5.62E-2</v>
      </c>
    </row>
    <row r="32" spans="1:6" x14ac:dyDescent="0.25">
      <c r="A32" s="4" t="s">
        <v>40</v>
      </c>
      <c r="B32" s="12">
        <v>0.40479999999999999</v>
      </c>
      <c r="C32" s="13">
        <v>0.39400000000000002</v>
      </c>
      <c r="D32" s="13">
        <v>0.4012</v>
      </c>
      <c r="E32" s="13">
        <v>0.45</v>
      </c>
      <c r="F32" s="13">
        <v>0.45529999999999998</v>
      </c>
    </row>
    <row r="33" spans="1:6" x14ac:dyDescent="0.25">
      <c r="A33" s="6" t="s">
        <v>41</v>
      </c>
      <c r="B33" s="14">
        <v>0.1308</v>
      </c>
      <c r="C33" s="15">
        <v>0.12859999999999999</v>
      </c>
      <c r="D33" s="15">
        <v>0.14729999999999999</v>
      </c>
      <c r="E33" s="15">
        <v>0.13619999999999999</v>
      </c>
      <c r="F33" s="15">
        <v>0.15260000000000001</v>
      </c>
    </row>
    <row r="34" spans="1:6" x14ac:dyDescent="0.25">
      <c r="A34" s="4" t="s">
        <v>42</v>
      </c>
      <c r="B34" s="12">
        <v>0.16550000000000001</v>
      </c>
      <c r="C34" s="13">
        <v>0.16470000000000001</v>
      </c>
      <c r="D34" s="13">
        <v>0.1852</v>
      </c>
      <c r="E34" s="13">
        <v>0.1757</v>
      </c>
      <c r="F34" s="13">
        <v>0.1739</v>
      </c>
    </row>
    <row r="35" spans="1:6" x14ac:dyDescent="0.25">
      <c r="A35" s="6" t="s">
        <v>43</v>
      </c>
      <c r="B35" s="14">
        <v>0.18060000000000001</v>
      </c>
      <c r="C35" s="15">
        <v>0.20949999999999999</v>
      </c>
      <c r="D35" s="15">
        <v>0.24210000000000001</v>
      </c>
      <c r="E35" s="15">
        <v>0.1759</v>
      </c>
      <c r="F35" s="15">
        <v>0.2419</v>
      </c>
    </row>
    <row r="38" spans="1:6" x14ac:dyDescent="0.25">
      <c r="A38" s="4" t="s">
        <v>44</v>
      </c>
      <c r="B38" s="16">
        <v>2.66</v>
      </c>
      <c r="C38" s="17">
        <v>3.4</v>
      </c>
      <c r="D38" s="17">
        <v>5.19</v>
      </c>
      <c r="E38" s="17">
        <v>2.2000000000000002</v>
      </c>
      <c r="F38" s="17">
        <v>3.73</v>
      </c>
    </row>
    <row r="39" spans="1:6" x14ac:dyDescent="0.25">
      <c r="A39" s="6" t="s">
        <v>45</v>
      </c>
      <c r="B39" s="18">
        <v>4.38</v>
      </c>
      <c r="C39" s="19">
        <v>4.4800000000000004</v>
      </c>
      <c r="D39" s="19">
        <v>3.65</v>
      </c>
      <c r="E39" s="19">
        <v>4.79</v>
      </c>
      <c r="F39" s="19">
        <v>4.18</v>
      </c>
    </row>
    <row r="40" spans="1:6" x14ac:dyDescent="0.25">
      <c r="A40" s="4" t="s">
        <v>46</v>
      </c>
      <c r="B40" s="16">
        <v>1.58</v>
      </c>
      <c r="C40" s="17">
        <v>1.82</v>
      </c>
      <c r="D40" s="17">
        <v>1.81</v>
      </c>
      <c r="E40" s="17">
        <v>1.35</v>
      </c>
      <c r="F40" s="17">
        <v>1.72</v>
      </c>
    </row>
    <row r="41" spans="1:6" x14ac:dyDescent="0.25">
      <c r="A41" s="6" t="s">
        <v>47</v>
      </c>
      <c r="B41" s="18">
        <v>11</v>
      </c>
      <c r="C41" s="19">
        <v>15.79</v>
      </c>
      <c r="D41" s="19">
        <v>18.21</v>
      </c>
      <c r="E41" s="19">
        <v>30.11</v>
      </c>
      <c r="F41" s="19">
        <v>20.52</v>
      </c>
    </row>
    <row r="42" spans="1:6" x14ac:dyDescent="0.25">
      <c r="A42" s="4" t="s">
        <v>48</v>
      </c>
      <c r="B42" s="16">
        <v>1.38</v>
      </c>
      <c r="C42" s="17">
        <v>1.63</v>
      </c>
      <c r="D42" s="17">
        <v>1.64</v>
      </c>
      <c r="E42" s="17">
        <v>1.29</v>
      </c>
      <c r="F42" s="17">
        <v>1.58</v>
      </c>
    </row>
    <row r="43" spans="1:6" x14ac:dyDescent="0.25">
      <c r="A43" s="6" t="s">
        <v>45</v>
      </c>
      <c r="B43" s="18">
        <v>8.5299999999999994</v>
      </c>
      <c r="C43" s="19">
        <v>8.61</v>
      </c>
      <c r="D43" s="19">
        <v>12.9</v>
      </c>
      <c r="E43" s="19">
        <v>13.28</v>
      </c>
      <c r="F43" s="19">
        <v>4.09</v>
      </c>
    </row>
    <row r="44" spans="1:6" x14ac:dyDescent="0.25">
      <c r="A44" s="4" t="s">
        <v>49</v>
      </c>
      <c r="B44" s="16">
        <v>2.52</v>
      </c>
      <c r="C44" s="17">
        <v>2.56</v>
      </c>
      <c r="D44" s="17">
        <v>2.44</v>
      </c>
      <c r="E44" s="17">
        <v>2.72</v>
      </c>
      <c r="F44" s="17">
        <v>3.16</v>
      </c>
    </row>
    <row r="47" spans="1:6" x14ac:dyDescent="0.25">
      <c r="A47" s="6" t="s">
        <v>50</v>
      </c>
      <c r="B47" s="20">
        <v>966646</v>
      </c>
      <c r="C47" s="21">
        <v>987356</v>
      </c>
      <c r="D47" s="21">
        <v>1048670</v>
      </c>
      <c r="E47" s="21">
        <v>1080291</v>
      </c>
      <c r="F47" s="21">
        <v>1276200</v>
      </c>
    </row>
    <row r="48" spans="1:6" x14ac:dyDescent="0.25">
      <c r="A48" s="4" t="s">
        <v>51</v>
      </c>
      <c r="B48" s="22">
        <v>-447766</v>
      </c>
      <c r="C48" s="23">
        <v>-329745</v>
      </c>
      <c r="D48" s="23">
        <v>-188370</v>
      </c>
      <c r="E48" s="23">
        <v>-948042</v>
      </c>
      <c r="F48" s="23">
        <v>-870564</v>
      </c>
    </row>
    <row r="49" spans="1:6" x14ac:dyDescent="0.25">
      <c r="A49" s="6" t="s">
        <v>52</v>
      </c>
      <c r="B49" s="20">
        <v>229483</v>
      </c>
      <c r="C49" s="21">
        <v>102833</v>
      </c>
      <c r="D49" s="21">
        <v>14277</v>
      </c>
      <c r="E49" s="21">
        <v>-77572</v>
      </c>
      <c r="F49" s="21">
        <v>-81980</v>
      </c>
    </row>
    <row r="50" spans="1:6" x14ac:dyDescent="0.25">
      <c r="A50" s="4" t="s">
        <v>53</v>
      </c>
      <c r="B50" s="22">
        <v>786699</v>
      </c>
      <c r="C50" s="23">
        <v>849714</v>
      </c>
      <c r="D50" s="23">
        <v>943579</v>
      </c>
      <c r="E50" s="23">
        <v>1013265</v>
      </c>
      <c r="F50" s="23">
        <v>1131683</v>
      </c>
    </row>
    <row r="51" spans="1:6" x14ac:dyDescent="0.25">
      <c r="A51" s="6" t="s">
        <v>54</v>
      </c>
      <c r="B51" s="20">
        <v>258923</v>
      </c>
      <c r="C51" s="21">
        <v>279400</v>
      </c>
      <c r="D51" s="21">
        <v>339352</v>
      </c>
      <c r="E51" s="21">
        <v>374917</v>
      </c>
      <c r="F51" s="21">
        <v>546333</v>
      </c>
    </row>
    <row r="52" spans="1:6" x14ac:dyDescent="0.25">
      <c r="A52" s="4" t="s">
        <v>55</v>
      </c>
      <c r="B52" s="22">
        <v>327764</v>
      </c>
      <c r="C52" s="23">
        <v>357879</v>
      </c>
      <c r="D52" s="23">
        <v>426686</v>
      </c>
      <c r="E52" s="23">
        <v>483569</v>
      </c>
      <c r="F52" s="23">
        <v>622682</v>
      </c>
    </row>
    <row r="55" spans="1:6" x14ac:dyDescent="0.25">
      <c r="A55" s="6" t="s">
        <v>56</v>
      </c>
      <c r="B55" s="18">
        <v>2.69</v>
      </c>
      <c r="C55" s="19">
        <v>3.45</v>
      </c>
      <c r="D55" s="19">
        <v>3.85</v>
      </c>
      <c r="E55" s="19">
        <v>1.99</v>
      </c>
      <c r="F55" s="19">
        <v>2.19</v>
      </c>
    </row>
    <row r="56" spans="1:6" x14ac:dyDescent="0.25">
      <c r="A56" s="4" t="s">
        <v>57</v>
      </c>
      <c r="B56" s="16">
        <v>1.0900000000000001</v>
      </c>
      <c r="C56" s="17">
        <v>1.61</v>
      </c>
      <c r="D56" s="17">
        <v>2.5099999999999998</v>
      </c>
      <c r="E56" s="17">
        <v>0.77</v>
      </c>
      <c r="F56" s="17">
        <v>1.18</v>
      </c>
    </row>
    <row r="57" spans="1:6" x14ac:dyDescent="0.25">
      <c r="A57" s="6" t="s">
        <v>58</v>
      </c>
      <c r="B57" s="18">
        <v>0.04</v>
      </c>
      <c r="C57" s="19">
        <v>0.05</v>
      </c>
      <c r="D57" s="19">
        <v>0.43</v>
      </c>
      <c r="E57" s="19">
        <v>0.08</v>
      </c>
      <c r="F57" s="19">
        <v>0.09</v>
      </c>
    </row>
    <row r="58" spans="1:6" x14ac:dyDescent="0.25">
      <c r="A58" s="4" t="s">
        <v>59</v>
      </c>
      <c r="B58" s="16">
        <v>0.04</v>
      </c>
      <c r="C58" s="17">
        <v>0.05</v>
      </c>
      <c r="D58" s="17">
        <v>0.43</v>
      </c>
      <c r="E58" s="17">
        <v>0.15</v>
      </c>
      <c r="F58" s="17">
        <v>0.26</v>
      </c>
    </row>
    <row r="61" spans="1:6" x14ac:dyDescent="0.25">
      <c r="A61" s="6" t="s">
        <v>62</v>
      </c>
      <c r="B61" s="14">
        <v>0.17330000000000001</v>
      </c>
      <c r="C61" s="15">
        <v>8.9399999999999993E-2</v>
      </c>
      <c r="D61" s="15">
        <v>0.1123</v>
      </c>
      <c r="E61" s="15">
        <v>4.0000000000000002E-4</v>
      </c>
      <c r="F61" s="15" t="s">
        <v>65</v>
      </c>
    </row>
    <row r="62" spans="1:6" x14ac:dyDescent="0.25">
      <c r="A62" s="4" t="s">
        <v>63</v>
      </c>
      <c r="B62" s="12">
        <v>0.25700000000000001</v>
      </c>
      <c r="C62" s="13">
        <v>0.1208</v>
      </c>
      <c r="D62" s="13">
        <v>0.14710000000000001</v>
      </c>
      <c r="E62" s="13">
        <v>7.000000000000001E-4</v>
      </c>
      <c r="F62" s="13" t="s">
        <v>65</v>
      </c>
    </row>
    <row r="63" spans="1:6" x14ac:dyDescent="0.25">
      <c r="A63" s="6" t="s">
        <v>64</v>
      </c>
      <c r="B63" s="14" t="s">
        <v>65</v>
      </c>
      <c r="C63" s="15" t="s">
        <v>65</v>
      </c>
      <c r="D63" s="15" t="s">
        <v>65</v>
      </c>
      <c r="E63" s="15" t="s">
        <v>65</v>
      </c>
      <c r="F63" s="15" t="s">
        <v>65</v>
      </c>
    </row>
    <row r="64" spans="1:6" x14ac:dyDescent="0.25">
      <c r="A64" s="4" t="s">
        <v>66</v>
      </c>
      <c r="B64" s="12">
        <v>-0.04</v>
      </c>
      <c r="C64" s="13">
        <v>0.54899999999999993</v>
      </c>
      <c r="D64" s="13">
        <v>0.48430000000000001</v>
      </c>
      <c r="E64" s="13">
        <v>2.2000000000000001E-3</v>
      </c>
      <c r="F64" s="13" t="s">
        <v>65</v>
      </c>
    </row>
    <row r="65" spans="1:6" x14ac:dyDescent="0.25">
      <c r="A65" s="6" t="s">
        <v>67</v>
      </c>
      <c r="B65" s="18">
        <v>1.48</v>
      </c>
      <c r="C65" s="19">
        <v>1.35</v>
      </c>
      <c r="D65" s="19">
        <v>1.31</v>
      </c>
      <c r="E65" s="19">
        <v>1.93</v>
      </c>
      <c r="F65" s="19">
        <v>1.73</v>
      </c>
    </row>
    <row r="68" spans="1:6" x14ac:dyDescent="0.25">
      <c r="A68" s="4" t="s">
        <v>68</v>
      </c>
      <c r="B68" s="12">
        <v>8.3900000000000002E-2</v>
      </c>
      <c r="C68" s="13">
        <v>9.74E-2</v>
      </c>
      <c r="D68" s="13">
        <v>6.0100000000000001E-2</v>
      </c>
      <c r="E68" s="13">
        <v>0.1951</v>
      </c>
      <c r="F68" s="13">
        <v>0.30030000000000001</v>
      </c>
    </row>
    <row r="69" spans="1:6" x14ac:dyDescent="0.25">
      <c r="A69" s="6" t="s">
        <v>69</v>
      </c>
      <c r="B69" s="14">
        <v>8.3900000000000002E-2</v>
      </c>
      <c r="C69" s="15">
        <v>9.74E-2</v>
      </c>
      <c r="D69" s="15">
        <v>6.0100000000000001E-2</v>
      </c>
      <c r="E69" s="15">
        <v>0.1951</v>
      </c>
      <c r="F69" s="15">
        <v>0.30030000000000001</v>
      </c>
    </row>
    <row r="70" spans="1:6" x14ac:dyDescent="0.25">
      <c r="A70" s="4" t="s">
        <v>70</v>
      </c>
      <c r="B70" s="12">
        <v>0.193</v>
      </c>
      <c r="C70" s="13">
        <v>6.8099999999999994E-2</v>
      </c>
      <c r="D70" s="13">
        <v>7.9399999999999998E-2</v>
      </c>
      <c r="E70" s="13">
        <v>0.34050000000000002</v>
      </c>
      <c r="F70" s="13">
        <v>0.31569999999999998</v>
      </c>
    </row>
    <row r="71" spans="1:6" x14ac:dyDescent="0.25">
      <c r="A71" s="6" t="s">
        <v>71</v>
      </c>
      <c r="B71" s="14">
        <v>-0.23810000000000001</v>
      </c>
      <c r="C71" s="15">
        <v>9.1899999999999996E-2</v>
      </c>
      <c r="D71" s="15">
        <v>0.1923</v>
      </c>
      <c r="E71" s="15">
        <v>0.1333</v>
      </c>
      <c r="F71" s="15">
        <v>0.28770000000000001</v>
      </c>
    </row>
    <row r="72" spans="1:6" x14ac:dyDescent="0.25">
      <c r="A72" s="4" t="s">
        <v>72</v>
      </c>
      <c r="B72" s="12">
        <v>0.1104</v>
      </c>
      <c r="C72" s="13">
        <v>7.9100000000000004E-2</v>
      </c>
      <c r="D72" s="13">
        <v>0.21460000000000001</v>
      </c>
      <c r="E72" s="13">
        <v>0.1048</v>
      </c>
      <c r="F72" s="13">
        <v>0.4572</v>
      </c>
    </row>
    <row r="73" spans="1:6" x14ac:dyDescent="0.25">
      <c r="A73" s="6" t="s">
        <v>73</v>
      </c>
      <c r="B73" s="14">
        <v>0.24929999999999999</v>
      </c>
      <c r="C73" s="15">
        <v>0.26919999999999999</v>
      </c>
      <c r="D73" s="15">
        <v>0.84719999999999995</v>
      </c>
      <c r="E73" s="15">
        <v>-0.33329999999999999</v>
      </c>
      <c r="F73" s="15">
        <v>0.67459999999999998</v>
      </c>
    </row>
    <row r="74" spans="1:6" x14ac:dyDescent="0.25">
      <c r="A74" s="4" t="s">
        <v>74</v>
      </c>
      <c r="B74" s="12">
        <v>0.17780000000000001</v>
      </c>
      <c r="C74" s="13">
        <v>7.46E-2</v>
      </c>
      <c r="D74" s="13">
        <v>0.2994</v>
      </c>
      <c r="E74" s="13">
        <v>-8.9399999999999993E-2</v>
      </c>
      <c r="F74" s="13">
        <v>0.49249999999999999</v>
      </c>
    </row>
    <row r="75" spans="1:6" x14ac:dyDescent="0.25">
      <c r="A75" s="6" t="s">
        <v>75</v>
      </c>
      <c r="B75" s="14">
        <v>4.8899999999999999E-2</v>
      </c>
      <c r="C75" s="15">
        <v>-0.13980000000000001</v>
      </c>
      <c r="D75" s="15">
        <v>-0.30659999999999998</v>
      </c>
      <c r="E75" s="15">
        <v>1.8281000000000001</v>
      </c>
      <c r="F75" s="15">
        <v>-0.2354</v>
      </c>
    </row>
    <row r="76" spans="1:6" x14ac:dyDescent="0.25">
      <c r="A76" s="4" t="s">
        <v>76</v>
      </c>
      <c r="B76" s="12">
        <v>3.9600000000000003E-2</v>
      </c>
      <c r="C76" s="13">
        <v>-0.2351</v>
      </c>
      <c r="D76" s="13">
        <v>-0.23649999999999999</v>
      </c>
      <c r="E76" s="13">
        <v>-0.36220000000000002</v>
      </c>
      <c r="F76" s="13">
        <v>1.1560999999999999</v>
      </c>
    </row>
    <row r="77" spans="1:6" x14ac:dyDescent="0.25">
      <c r="A77" s="6" t="s">
        <v>77</v>
      </c>
      <c r="B77" s="14">
        <v>9.6500000000000002E-2</v>
      </c>
      <c r="C77" s="15">
        <v>-6.9699999999999998E-2</v>
      </c>
      <c r="D77" s="15">
        <v>5.0999999999999997E-2</v>
      </c>
      <c r="E77" s="15">
        <v>0.52049999999999996</v>
      </c>
      <c r="F77" s="15">
        <v>5.9800000000000013E-2</v>
      </c>
    </row>
    <row r="78" spans="1:6" x14ac:dyDescent="0.25">
      <c r="A78" s="4" t="s">
        <v>78</v>
      </c>
      <c r="B78" s="12">
        <v>1.9099999999999999E-2</v>
      </c>
      <c r="C78" s="13">
        <v>2.1399999999999999E-2</v>
      </c>
      <c r="D78" s="13">
        <v>6.2100000000000002E-2</v>
      </c>
      <c r="E78" s="13">
        <v>3.0200000000000001E-2</v>
      </c>
      <c r="F78" s="13">
        <v>0.18129999999999999</v>
      </c>
    </row>
    <row r="79" spans="1:6" x14ac:dyDescent="0.25">
      <c r="A79" s="6" t="s">
        <v>79</v>
      </c>
      <c r="B79" s="14">
        <v>1.9099999999999999E-2</v>
      </c>
      <c r="C79" s="15">
        <v>2.1399999999999999E-2</v>
      </c>
      <c r="D79" s="15">
        <v>8.3800000000000013E-2</v>
      </c>
      <c r="E79" s="15">
        <v>3.2400000000000012E-2</v>
      </c>
      <c r="F79" s="15">
        <v>0.18229999999999999</v>
      </c>
    </row>
    <row r="80" spans="1:6" x14ac:dyDescent="0.25">
      <c r="A80" s="4" t="s">
        <v>80</v>
      </c>
      <c r="B80" s="12">
        <v>-1.0609</v>
      </c>
      <c r="C80" s="13">
        <v>-0.03</v>
      </c>
      <c r="D80" s="13">
        <v>0.496</v>
      </c>
      <c r="E80" s="13">
        <v>9.4299999999999995E-2</v>
      </c>
      <c r="F80" s="13">
        <v>-0.4204</v>
      </c>
    </row>
    <row r="81" spans="1:6" x14ac:dyDescent="0.25">
      <c r="A81" s="6" t="s">
        <v>81</v>
      </c>
      <c r="B81" s="14">
        <v>4.3517999999999999</v>
      </c>
      <c r="C81" s="15">
        <v>-0.75659999999999994</v>
      </c>
      <c r="D81" s="15">
        <v>0.68659999999999999</v>
      </c>
      <c r="E81" s="15">
        <v>-0.1038</v>
      </c>
      <c r="F81" s="15">
        <v>4.1383999999999999</v>
      </c>
    </row>
    <row r="84" spans="1:6" x14ac:dyDescent="0.25">
      <c r="A84" s="4" t="s">
        <v>82</v>
      </c>
      <c r="B84" s="16">
        <v>-0.03</v>
      </c>
      <c r="C84" s="17">
        <v>1.82</v>
      </c>
      <c r="D84" s="17">
        <v>2.0699999999999998</v>
      </c>
      <c r="E84" s="17">
        <v>457.7</v>
      </c>
      <c r="F84" s="5" t="s">
        <v>61</v>
      </c>
    </row>
    <row r="87" spans="1:6" x14ac:dyDescent="0.25">
      <c r="A87" s="6" t="s">
        <v>83</v>
      </c>
      <c r="B87" s="14">
        <v>-3.0999999999999999E-3</v>
      </c>
      <c r="C87" s="15">
        <v>0.1</v>
      </c>
      <c r="D87" s="15">
        <v>0.1411</v>
      </c>
      <c r="E87" s="15">
        <v>0.12920000000000001</v>
      </c>
      <c r="F87" s="15">
        <v>5.7599999999999998E-2</v>
      </c>
    </row>
    <row r="88" spans="1:6" x14ac:dyDescent="0.25">
      <c r="A88" s="4" t="s">
        <v>84</v>
      </c>
      <c r="B88" s="12">
        <v>-4.3E-3</v>
      </c>
      <c r="C88" s="13">
        <v>0.16289999999999999</v>
      </c>
      <c r="D88" s="13">
        <v>0.2319</v>
      </c>
      <c r="E88" s="13">
        <v>0.16689999999999999</v>
      </c>
      <c r="F88" s="13">
        <v>9.1300000000000006E-2</v>
      </c>
    </row>
    <row r="89" spans="1:6" x14ac:dyDescent="0.25">
      <c r="A89" s="6" t="s">
        <v>85</v>
      </c>
      <c r="B89" s="14">
        <v>-6.4000000000000003E-3</v>
      </c>
      <c r="C89" s="15">
        <v>0.22</v>
      </c>
      <c r="D89" s="15">
        <v>0.30370000000000003</v>
      </c>
      <c r="E89" s="15">
        <v>0.32190000000000002</v>
      </c>
      <c r="F89" s="15">
        <v>0.1578</v>
      </c>
    </row>
    <row r="90" spans="1:6" x14ac:dyDescent="0.25">
      <c r="A90" s="4" t="s">
        <v>86</v>
      </c>
      <c r="B90" s="12">
        <v>-2.4E-2</v>
      </c>
      <c r="C90" s="13">
        <v>0.77760000000000007</v>
      </c>
      <c r="D90" s="13">
        <v>0.9577</v>
      </c>
      <c r="E90" s="13">
        <v>0.9486</v>
      </c>
      <c r="F90" s="13">
        <v>0.37730000000000002</v>
      </c>
    </row>
    <row r="93" spans="1:6" x14ac:dyDescent="0.25">
      <c r="A93" s="6" t="s">
        <v>87</v>
      </c>
      <c r="B93" s="14">
        <v>1.32E-2</v>
      </c>
      <c r="C93" s="15">
        <v>1.23E-2</v>
      </c>
      <c r="D93" s="15">
        <v>0.1021</v>
      </c>
      <c r="E93" s="15">
        <v>3.6799999999999999E-2</v>
      </c>
      <c r="F93" s="15">
        <v>3.6299999999999999E-2</v>
      </c>
    </row>
    <row r="94" spans="1:6" x14ac:dyDescent="0.25">
      <c r="A94" s="4" t="s">
        <v>88</v>
      </c>
      <c r="B94" s="12">
        <v>0.31509999999999999</v>
      </c>
      <c r="C94" s="13">
        <v>0.3639</v>
      </c>
      <c r="D94" s="13">
        <v>0.45</v>
      </c>
      <c r="E94" s="13">
        <v>0.26950000000000002</v>
      </c>
      <c r="F94" s="13">
        <v>0.37940000000000002</v>
      </c>
    </row>
    <row r="95" spans="1:6" x14ac:dyDescent="0.25">
      <c r="A95" s="6" t="s">
        <v>89</v>
      </c>
      <c r="B95" s="14">
        <v>0.51869999999999994</v>
      </c>
      <c r="C95" s="15">
        <v>0.47960000000000003</v>
      </c>
      <c r="D95" s="15">
        <v>0.31640000000000001</v>
      </c>
      <c r="E95" s="15">
        <v>0.58850000000000002</v>
      </c>
      <c r="F95" s="15">
        <v>0.42459999999999998</v>
      </c>
    </row>
    <row r="96" spans="1:6" x14ac:dyDescent="0.25">
      <c r="A96" s="4" t="s">
        <v>90</v>
      </c>
      <c r="B96" s="12">
        <v>0.1255</v>
      </c>
      <c r="C96" s="13">
        <v>0.1032</v>
      </c>
      <c r="D96" s="13">
        <v>9.0299999999999991E-2</v>
      </c>
      <c r="E96" s="13">
        <v>4.2900000000000001E-2</v>
      </c>
      <c r="F96" s="13">
        <v>7.7199999999999991E-2</v>
      </c>
    </row>
    <row r="97" spans="1:6" x14ac:dyDescent="0.25">
      <c r="A97" s="6" t="s">
        <v>91</v>
      </c>
      <c r="B97" s="14">
        <v>1</v>
      </c>
      <c r="C97" s="15">
        <v>1</v>
      </c>
      <c r="D97" s="15">
        <v>1</v>
      </c>
      <c r="E97" s="15">
        <v>1</v>
      </c>
      <c r="F97" s="15">
        <v>1</v>
      </c>
    </row>
    <row r="100" spans="1:6" x14ac:dyDescent="0.25">
      <c r="A100" s="4" t="s">
        <v>92</v>
      </c>
      <c r="B100" s="12">
        <v>8.1799999999999998E-2</v>
      </c>
      <c r="C100" s="13">
        <v>6.5299999999999997E-2</v>
      </c>
      <c r="D100" s="13">
        <v>7.8600000000000003E-2</v>
      </c>
      <c r="E100" s="13">
        <v>0.14299999999999999</v>
      </c>
      <c r="F100" s="13">
        <v>0.15670000000000001</v>
      </c>
    </row>
    <row r="101" spans="1:6" x14ac:dyDescent="0.25">
      <c r="A101" s="6" t="s">
        <v>93</v>
      </c>
      <c r="B101" s="14">
        <v>3.4799999999999998E-2</v>
      </c>
      <c r="C101" s="15">
        <v>3.61E-2</v>
      </c>
      <c r="D101" s="15">
        <v>3.7900000000000003E-2</v>
      </c>
      <c r="E101" s="15">
        <v>3.95E-2</v>
      </c>
      <c r="F101" s="15">
        <v>2.1299999999999999E-2</v>
      </c>
    </row>
    <row r="102" spans="1:6" x14ac:dyDescent="0.25">
      <c r="A102" s="4" t="s">
        <v>94</v>
      </c>
      <c r="B102" s="12">
        <v>2.23E-2</v>
      </c>
      <c r="C102" s="13">
        <v>2.2200000000000001E-2</v>
      </c>
      <c r="D102" s="13">
        <v>3.7000000000000002E-3</v>
      </c>
      <c r="E102" s="13">
        <v>1.9199999999999998E-2</v>
      </c>
      <c r="F102" s="13">
        <v>2.6200000000000001E-2</v>
      </c>
    </row>
    <row r="105" spans="1:6" x14ac:dyDescent="0.25">
      <c r="A105" s="6" t="s">
        <v>95</v>
      </c>
      <c r="B105" s="14">
        <v>-0.96579999999999999</v>
      </c>
      <c r="C105" s="15">
        <v>-0.08</v>
      </c>
      <c r="D105" s="15">
        <v>2.5659000000000001</v>
      </c>
      <c r="E105" s="15">
        <v>-5.4921000000000006</v>
      </c>
      <c r="F105" s="15">
        <v>0.05</v>
      </c>
    </row>
    <row r="106" spans="1:6" x14ac:dyDescent="0.25">
      <c r="A106" s="4" t="s">
        <v>96</v>
      </c>
      <c r="B106" s="12">
        <v>-8.7407000000000004</v>
      </c>
      <c r="C106" s="13">
        <v>5.3880999999999997</v>
      </c>
      <c r="D106" s="13">
        <v>-0.35099999999999998</v>
      </c>
      <c r="E106" s="13" t="s">
        <v>65</v>
      </c>
      <c r="F106" s="13">
        <v>-0.05</v>
      </c>
    </row>
    <row r="107" spans="1:6" x14ac:dyDescent="0.25">
      <c r="A107" s="6" t="s">
        <v>97</v>
      </c>
      <c r="B107" s="14">
        <v>0.01</v>
      </c>
      <c r="C107" s="15">
        <v>0.08</v>
      </c>
      <c r="D107" s="15">
        <v>-1.2148000000000001</v>
      </c>
      <c r="E107" s="15">
        <v>4.8908999999999994</v>
      </c>
      <c r="F107" s="15">
        <v>-0.22389999999999999</v>
      </c>
    </row>
    <row r="110" spans="1:6" x14ac:dyDescent="0.25">
      <c r="A110" s="3" t="s">
        <v>98</v>
      </c>
    </row>
    <row r="111" spans="1:6" x14ac:dyDescent="0.25">
      <c r="A111" s="3" t="s">
        <v>6</v>
      </c>
      <c r="B111" s="3" t="s">
        <v>7</v>
      </c>
      <c r="C111" s="3" t="s">
        <v>8</v>
      </c>
      <c r="D111" s="3" t="s">
        <v>9</v>
      </c>
      <c r="E111" s="3" t="s">
        <v>10</v>
      </c>
      <c r="F111" s="3" t="s">
        <v>11</v>
      </c>
    </row>
    <row r="114" spans="1:6" x14ac:dyDescent="0.25">
      <c r="A114" s="4" t="s">
        <v>29</v>
      </c>
      <c r="B114" s="4" t="s">
        <v>29</v>
      </c>
      <c r="C114" s="5" t="s">
        <v>29</v>
      </c>
      <c r="D114" s="5" t="s">
        <v>29</v>
      </c>
      <c r="E114" s="5" t="s">
        <v>29</v>
      </c>
      <c r="F114" s="5" t="s">
        <v>29</v>
      </c>
    </row>
    <row r="115" spans="1:6" x14ac:dyDescent="0.25">
      <c r="A115" s="6" t="s">
        <v>99</v>
      </c>
      <c r="B115" s="6" t="s">
        <v>100</v>
      </c>
      <c r="C115" s="7" t="s">
        <v>100</v>
      </c>
      <c r="D115" s="7" t="s">
        <v>100</v>
      </c>
      <c r="E115" s="7" t="s">
        <v>100</v>
      </c>
      <c r="F115" s="7" t="s">
        <v>100</v>
      </c>
    </row>
    <row r="116" spans="1:6" x14ac:dyDescent="0.25">
      <c r="A116" s="4" t="s">
        <v>101</v>
      </c>
      <c r="B116" s="4" t="s">
        <v>102</v>
      </c>
      <c r="C116" s="5" t="s">
        <v>102</v>
      </c>
      <c r="D116" s="5" t="s">
        <v>102</v>
      </c>
      <c r="E116" s="5" t="s">
        <v>102</v>
      </c>
      <c r="F116" s="5" t="s">
        <v>102</v>
      </c>
    </row>
    <row r="119" spans="1:6" x14ac:dyDescent="0.25">
      <c r="A119" s="1" t="s">
        <v>103</v>
      </c>
    </row>
    <row r="120" spans="1:6" x14ac:dyDescent="0.25">
      <c r="A120" s="1" t="s">
        <v>104</v>
      </c>
    </row>
    <row r="121" spans="1:6" x14ac:dyDescent="0.25">
      <c r="A121" s="1" t="s">
        <v>105</v>
      </c>
    </row>
  </sheetData>
  <sheetProtection formatCells="0" formatColumns="0" formatRows="0" insertColumns="0" insertRows="0" insertHyperlinks="0" deleteColumns="0" deleteRows="0" sort="0" autoFilter="0" pivotTables="0"/>
  <mergeCells count="1">
    <mergeCell ref="A7:G7"/>
  </mergeCells>
  <hyperlinks>
    <hyperlink ref="B18" r:id="rId1"/>
    <hyperlink ref="C18" r:id="rId2"/>
    <hyperlink ref="D18" r:id="rId3"/>
    <hyperlink ref="E18" r:id="rId4"/>
    <hyperlink ref="F18" r:id="rId5"/>
  </hyperlinks>
  <pageMargins left="0.7" right="0.7" top="0.75" bottom="0.75" header="0.3" footer="0.3"/>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87" transitionEvaluation="1"/>
  <dimension ref="A1:AM356"/>
  <sheetViews>
    <sheetView showGridLines="0" topLeftCell="A187" zoomScaleNormal="100" workbookViewId="0">
      <selection activeCell="E207" sqref="E207"/>
    </sheetView>
  </sheetViews>
  <sheetFormatPr baseColWidth="10" defaultColWidth="11" defaultRowHeight="15" customHeight="1" x14ac:dyDescent="0.2"/>
  <cols>
    <col min="1" max="1" width="20" style="180" customWidth="1"/>
    <col min="2" max="2" width="18.75" style="180" customWidth="1"/>
    <col min="3" max="4" width="15.375" style="180" customWidth="1"/>
    <col min="5" max="5" width="15.625" style="180" customWidth="1"/>
    <col min="6" max="6" width="14.875" style="180" customWidth="1"/>
    <col min="7" max="7" width="21.375" style="180" customWidth="1"/>
    <col min="8" max="8" width="13.375" style="180" customWidth="1"/>
    <col min="9" max="256" width="11" style="180"/>
    <col min="257" max="257" width="20" style="180" customWidth="1"/>
    <col min="258" max="258" width="18.75" style="180" customWidth="1"/>
    <col min="259" max="260" width="15.375" style="180" customWidth="1"/>
    <col min="261" max="261" width="15.625" style="180" customWidth="1"/>
    <col min="262" max="262" width="14.875" style="180" customWidth="1"/>
    <col min="263" max="263" width="21.375" style="180" customWidth="1"/>
    <col min="264" max="264" width="13.375" style="180" customWidth="1"/>
    <col min="265" max="512" width="11" style="180"/>
    <col min="513" max="513" width="20" style="180" customWidth="1"/>
    <col min="514" max="514" width="18.75" style="180" customWidth="1"/>
    <col min="515" max="516" width="15.375" style="180" customWidth="1"/>
    <col min="517" max="517" width="15.625" style="180" customWidth="1"/>
    <col min="518" max="518" width="14.875" style="180" customWidth="1"/>
    <col min="519" max="519" width="21.375" style="180" customWidth="1"/>
    <col min="520" max="520" width="13.375" style="180" customWidth="1"/>
    <col min="521" max="768" width="11" style="180"/>
    <col min="769" max="769" width="20" style="180" customWidth="1"/>
    <col min="770" max="770" width="18.75" style="180" customWidth="1"/>
    <col min="771" max="772" width="15.375" style="180" customWidth="1"/>
    <col min="773" max="773" width="15.625" style="180" customWidth="1"/>
    <col min="774" max="774" width="14.875" style="180" customWidth="1"/>
    <col min="775" max="775" width="21.375" style="180" customWidth="1"/>
    <col min="776" max="776" width="13.375" style="180" customWidth="1"/>
    <col min="777" max="1024" width="11" style="180"/>
    <col min="1025" max="1025" width="20" style="180" customWidth="1"/>
    <col min="1026" max="1026" width="18.75" style="180" customWidth="1"/>
    <col min="1027" max="1028" width="15.375" style="180" customWidth="1"/>
    <col min="1029" max="1029" width="15.625" style="180" customWidth="1"/>
    <col min="1030" max="1030" width="14.875" style="180" customWidth="1"/>
    <col min="1031" max="1031" width="21.375" style="180" customWidth="1"/>
    <col min="1032" max="1032" width="13.375" style="180" customWidth="1"/>
    <col min="1033" max="1280" width="11" style="180"/>
    <col min="1281" max="1281" width="20" style="180" customWidth="1"/>
    <col min="1282" max="1282" width="18.75" style="180" customWidth="1"/>
    <col min="1283" max="1284" width="15.375" style="180" customWidth="1"/>
    <col min="1285" max="1285" width="15.625" style="180" customWidth="1"/>
    <col min="1286" max="1286" width="14.875" style="180" customWidth="1"/>
    <col min="1287" max="1287" width="21.375" style="180" customWidth="1"/>
    <col min="1288" max="1288" width="13.375" style="180" customWidth="1"/>
    <col min="1289" max="1536" width="11" style="180"/>
    <col min="1537" max="1537" width="20" style="180" customWidth="1"/>
    <col min="1538" max="1538" width="18.75" style="180" customWidth="1"/>
    <col min="1539" max="1540" width="15.375" style="180" customWidth="1"/>
    <col min="1541" max="1541" width="15.625" style="180" customWidth="1"/>
    <col min="1542" max="1542" width="14.875" style="180" customWidth="1"/>
    <col min="1543" max="1543" width="21.375" style="180" customWidth="1"/>
    <col min="1544" max="1544" width="13.375" style="180" customWidth="1"/>
    <col min="1545" max="1792" width="11" style="180"/>
    <col min="1793" max="1793" width="20" style="180" customWidth="1"/>
    <col min="1794" max="1794" width="18.75" style="180" customWidth="1"/>
    <col min="1795" max="1796" width="15.375" style="180" customWidth="1"/>
    <col min="1797" max="1797" width="15.625" style="180" customWidth="1"/>
    <col min="1798" max="1798" width="14.875" style="180" customWidth="1"/>
    <col min="1799" max="1799" width="21.375" style="180" customWidth="1"/>
    <col min="1800" max="1800" width="13.375" style="180" customWidth="1"/>
    <col min="1801" max="2048" width="11" style="180"/>
    <col min="2049" max="2049" width="20" style="180" customWidth="1"/>
    <col min="2050" max="2050" width="18.75" style="180" customWidth="1"/>
    <col min="2051" max="2052" width="15.375" style="180" customWidth="1"/>
    <col min="2053" max="2053" width="15.625" style="180" customWidth="1"/>
    <col min="2054" max="2054" width="14.875" style="180" customWidth="1"/>
    <col min="2055" max="2055" width="21.375" style="180" customWidth="1"/>
    <col min="2056" max="2056" width="13.375" style="180" customWidth="1"/>
    <col min="2057" max="2304" width="11" style="180"/>
    <col min="2305" max="2305" width="20" style="180" customWidth="1"/>
    <col min="2306" max="2306" width="18.75" style="180" customWidth="1"/>
    <col min="2307" max="2308" width="15.375" style="180" customWidth="1"/>
    <col min="2309" max="2309" width="15.625" style="180" customWidth="1"/>
    <col min="2310" max="2310" width="14.875" style="180" customWidth="1"/>
    <col min="2311" max="2311" width="21.375" style="180" customWidth="1"/>
    <col min="2312" max="2312" width="13.375" style="180" customWidth="1"/>
    <col min="2313" max="2560" width="11" style="180"/>
    <col min="2561" max="2561" width="20" style="180" customWidth="1"/>
    <col min="2562" max="2562" width="18.75" style="180" customWidth="1"/>
    <col min="2563" max="2564" width="15.375" style="180" customWidth="1"/>
    <col min="2565" max="2565" width="15.625" style="180" customWidth="1"/>
    <col min="2566" max="2566" width="14.875" style="180" customWidth="1"/>
    <col min="2567" max="2567" width="21.375" style="180" customWidth="1"/>
    <col min="2568" max="2568" width="13.375" style="180" customWidth="1"/>
    <col min="2569" max="2816" width="11" style="180"/>
    <col min="2817" max="2817" width="20" style="180" customWidth="1"/>
    <col min="2818" max="2818" width="18.75" style="180" customWidth="1"/>
    <col min="2819" max="2820" width="15.375" style="180" customWidth="1"/>
    <col min="2821" max="2821" width="15.625" style="180" customWidth="1"/>
    <col min="2822" max="2822" width="14.875" style="180" customWidth="1"/>
    <col min="2823" max="2823" width="21.375" style="180" customWidth="1"/>
    <col min="2824" max="2824" width="13.375" style="180" customWidth="1"/>
    <col min="2825" max="3072" width="11" style="180"/>
    <col min="3073" max="3073" width="20" style="180" customWidth="1"/>
    <col min="3074" max="3074" width="18.75" style="180" customWidth="1"/>
    <col min="3075" max="3076" width="15.375" style="180" customWidth="1"/>
    <col min="3077" max="3077" width="15.625" style="180" customWidth="1"/>
    <col min="3078" max="3078" width="14.875" style="180" customWidth="1"/>
    <col min="3079" max="3079" width="21.375" style="180" customWidth="1"/>
    <col min="3080" max="3080" width="13.375" style="180" customWidth="1"/>
    <col min="3081" max="3328" width="11" style="180"/>
    <col min="3329" max="3329" width="20" style="180" customWidth="1"/>
    <col min="3330" max="3330" width="18.75" style="180" customWidth="1"/>
    <col min="3331" max="3332" width="15.375" style="180" customWidth="1"/>
    <col min="3333" max="3333" width="15.625" style="180" customWidth="1"/>
    <col min="3334" max="3334" width="14.875" style="180" customWidth="1"/>
    <col min="3335" max="3335" width="21.375" style="180" customWidth="1"/>
    <col min="3336" max="3336" width="13.375" style="180" customWidth="1"/>
    <col min="3337" max="3584" width="11" style="180"/>
    <col min="3585" max="3585" width="20" style="180" customWidth="1"/>
    <col min="3586" max="3586" width="18.75" style="180" customWidth="1"/>
    <col min="3587" max="3588" width="15.375" style="180" customWidth="1"/>
    <col min="3589" max="3589" width="15.625" style="180" customWidth="1"/>
    <col min="3590" max="3590" width="14.875" style="180" customWidth="1"/>
    <col min="3591" max="3591" width="21.375" style="180" customWidth="1"/>
    <col min="3592" max="3592" width="13.375" style="180" customWidth="1"/>
    <col min="3593" max="3840" width="11" style="180"/>
    <col min="3841" max="3841" width="20" style="180" customWidth="1"/>
    <col min="3842" max="3842" width="18.75" style="180" customWidth="1"/>
    <col min="3843" max="3844" width="15.375" style="180" customWidth="1"/>
    <col min="3845" max="3845" width="15.625" style="180" customWidth="1"/>
    <col min="3846" max="3846" width="14.875" style="180" customWidth="1"/>
    <col min="3847" max="3847" width="21.375" style="180" customWidth="1"/>
    <col min="3848" max="3848" width="13.375" style="180" customWidth="1"/>
    <col min="3849" max="4096" width="11" style="180"/>
    <col min="4097" max="4097" width="20" style="180" customWidth="1"/>
    <col min="4098" max="4098" width="18.75" style="180" customWidth="1"/>
    <col min="4099" max="4100" width="15.375" style="180" customWidth="1"/>
    <col min="4101" max="4101" width="15.625" style="180" customWidth="1"/>
    <col min="4102" max="4102" width="14.875" style="180" customWidth="1"/>
    <col min="4103" max="4103" width="21.375" style="180" customWidth="1"/>
    <col min="4104" max="4104" width="13.375" style="180" customWidth="1"/>
    <col min="4105" max="4352" width="11" style="180"/>
    <col min="4353" max="4353" width="20" style="180" customWidth="1"/>
    <col min="4354" max="4354" width="18.75" style="180" customWidth="1"/>
    <col min="4355" max="4356" width="15.375" style="180" customWidth="1"/>
    <col min="4357" max="4357" width="15.625" style="180" customWidth="1"/>
    <col min="4358" max="4358" width="14.875" style="180" customWidth="1"/>
    <col min="4359" max="4359" width="21.375" style="180" customWidth="1"/>
    <col min="4360" max="4360" width="13.375" style="180" customWidth="1"/>
    <col min="4361" max="4608" width="11" style="180"/>
    <col min="4609" max="4609" width="20" style="180" customWidth="1"/>
    <col min="4610" max="4610" width="18.75" style="180" customWidth="1"/>
    <col min="4611" max="4612" width="15.375" style="180" customWidth="1"/>
    <col min="4613" max="4613" width="15.625" style="180" customWidth="1"/>
    <col min="4614" max="4614" width="14.875" style="180" customWidth="1"/>
    <col min="4615" max="4615" width="21.375" style="180" customWidth="1"/>
    <col min="4616" max="4616" width="13.375" style="180" customWidth="1"/>
    <col min="4617" max="4864" width="11" style="180"/>
    <col min="4865" max="4865" width="20" style="180" customWidth="1"/>
    <col min="4866" max="4866" width="18.75" style="180" customWidth="1"/>
    <col min="4867" max="4868" width="15.375" style="180" customWidth="1"/>
    <col min="4869" max="4869" width="15.625" style="180" customWidth="1"/>
    <col min="4870" max="4870" width="14.875" style="180" customWidth="1"/>
    <col min="4871" max="4871" width="21.375" style="180" customWidth="1"/>
    <col min="4872" max="4872" width="13.375" style="180" customWidth="1"/>
    <col min="4873" max="5120" width="11" style="180"/>
    <col min="5121" max="5121" width="20" style="180" customWidth="1"/>
    <col min="5122" max="5122" width="18.75" style="180" customWidth="1"/>
    <col min="5123" max="5124" width="15.375" style="180" customWidth="1"/>
    <col min="5125" max="5125" width="15.625" style="180" customWidth="1"/>
    <col min="5126" max="5126" width="14.875" style="180" customWidth="1"/>
    <col min="5127" max="5127" width="21.375" style="180" customWidth="1"/>
    <col min="5128" max="5128" width="13.375" style="180" customWidth="1"/>
    <col min="5129" max="5376" width="11" style="180"/>
    <col min="5377" max="5377" width="20" style="180" customWidth="1"/>
    <col min="5378" max="5378" width="18.75" style="180" customWidth="1"/>
    <col min="5379" max="5380" width="15.375" style="180" customWidth="1"/>
    <col min="5381" max="5381" width="15.625" style="180" customWidth="1"/>
    <col min="5382" max="5382" width="14.875" style="180" customWidth="1"/>
    <col min="5383" max="5383" width="21.375" style="180" customWidth="1"/>
    <col min="5384" max="5384" width="13.375" style="180" customWidth="1"/>
    <col min="5385" max="5632" width="11" style="180"/>
    <col min="5633" max="5633" width="20" style="180" customWidth="1"/>
    <col min="5634" max="5634" width="18.75" style="180" customWidth="1"/>
    <col min="5635" max="5636" width="15.375" style="180" customWidth="1"/>
    <col min="5637" max="5637" width="15.625" style="180" customWidth="1"/>
    <col min="5638" max="5638" width="14.875" style="180" customWidth="1"/>
    <col min="5639" max="5639" width="21.375" style="180" customWidth="1"/>
    <col min="5640" max="5640" width="13.375" style="180" customWidth="1"/>
    <col min="5641" max="5888" width="11" style="180"/>
    <col min="5889" max="5889" width="20" style="180" customWidth="1"/>
    <col min="5890" max="5890" width="18.75" style="180" customWidth="1"/>
    <col min="5891" max="5892" width="15.375" style="180" customWidth="1"/>
    <col min="5893" max="5893" width="15.625" style="180" customWidth="1"/>
    <col min="5894" max="5894" width="14.875" style="180" customWidth="1"/>
    <col min="5895" max="5895" width="21.375" style="180" customWidth="1"/>
    <col min="5896" max="5896" width="13.375" style="180" customWidth="1"/>
    <col min="5897" max="6144" width="11" style="180"/>
    <col min="6145" max="6145" width="20" style="180" customWidth="1"/>
    <col min="6146" max="6146" width="18.75" style="180" customWidth="1"/>
    <col min="6147" max="6148" width="15.375" style="180" customWidth="1"/>
    <col min="6149" max="6149" width="15.625" style="180" customWidth="1"/>
    <col min="6150" max="6150" width="14.875" style="180" customWidth="1"/>
    <col min="6151" max="6151" width="21.375" style="180" customWidth="1"/>
    <col min="6152" max="6152" width="13.375" style="180" customWidth="1"/>
    <col min="6153" max="6400" width="11" style="180"/>
    <col min="6401" max="6401" width="20" style="180" customWidth="1"/>
    <col min="6402" max="6402" width="18.75" style="180" customWidth="1"/>
    <col min="6403" max="6404" width="15.375" style="180" customWidth="1"/>
    <col min="6405" max="6405" width="15.625" style="180" customWidth="1"/>
    <col min="6406" max="6406" width="14.875" style="180" customWidth="1"/>
    <col min="6407" max="6407" width="21.375" style="180" customWidth="1"/>
    <col min="6408" max="6408" width="13.375" style="180" customWidth="1"/>
    <col min="6409" max="6656" width="11" style="180"/>
    <col min="6657" max="6657" width="20" style="180" customWidth="1"/>
    <col min="6658" max="6658" width="18.75" style="180" customWidth="1"/>
    <col min="6659" max="6660" width="15.375" style="180" customWidth="1"/>
    <col min="6661" max="6661" width="15.625" style="180" customWidth="1"/>
    <col min="6662" max="6662" width="14.875" style="180" customWidth="1"/>
    <col min="6663" max="6663" width="21.375" style="180" customWidth="1"/>
    <col min="6664" max="6664" width="13.375" style="180" customWidth="1"/>
    <col min="6665" max="6912" width="11" style="180"/>
    <col min="6913" max="6913" width="20" style="180" customWidth="1"/>
    <col min="6914" max="6914" width="18.75" style="180" customWidth="1"/>
    <col min="6915" max="6916" width="15.375" style="180" customWidth="1"/>
    <col min="6917" max="6917" width="15.625" style="180" customWidth="1"/>
    <col min="6918" max="6918" width="14.875" style="180" customWidth="1"/>
    <col min="6919" max="6919" width="21.375" style="180" customWidth="1"/>
    <col min="6920" max="6920" width="13.375" style="180" customWidth="1"/>
    <col min="6921" max="7168" width="11" style="180"/>
    <col min="7169" max="7169" width="20" style="180" customWidth="1"/>
    <col min="7170" max="7170" width="18.75" style="180" customWidth="1"/>
    <col min="7171" max="7172" width="15.375" style="180" customWidth="1"/>
    <col min="7173" max="7173" width="15.625" style="180" customWidth="1"/>
    <col min="7174" max="7174" width="14.875" style="180" customWidth="1"/>
    <col min="7175" max="7175" width="21.375" style="180" customWidth="1"/>
    <col min="7176" max="7176" width="13.375" style="180" customWidth="1"/>
    <col min="7177" max="7424" width="11" style="180"/>
    <col min="7425" max="7425" width="20" style="180" customWidth="1"/>
    <col min="7426" max="7426" width="18.75" style="180" customWidth="1"/>
    <col min="7427" max="7428" width="15.375" style="180" customWidth="1"/>
    <col min="7429" max="7429" width="15.625" style="180" customWidth="1"/>
    <col min="7430" max="7430" width="14.875" style="180" customWidth="1"/>
    <col min="7431" max="7431" width="21.375" style="180" customWidth="1"/>
    <col min="7432" max="7432" width="13.375" style="180" customWidth="1"/>
    <col min="7433" max="7680" width="11" style="180"/>
    <col min="7681" max="7681" width="20" style="180" customWidth="1"/>
    <col min="7682" max="7682" width="18.75" style="180" customWidth="1"/>
    <col min="7683" max="7684" width="15.375" style="180" customWidth="1"/>
    <col min="7685" max="7685" width="15.625" style="180" customWidth="1"/>
    <col min="7686" max="7686" width="14.875" style="180" customWidth="1"/>
    <col min="7687" max="7687" width="21.375" style="180" customWidth="1"/>
    <col min="7688" max="7688" width="13.375" style="180" customWidth="1"/>
    <col min="7689" max="7936" width="11" style="180"/>
    <col min="7937" max="7937" width="20" style="180" customWidth="1"/>
    <col min="7938" max="7938" width="18.75" style="180" customWidth="1"/>
    <col min="7939" max="7940" width="15.375" style="180" customWidth="1"/>
    <col min="7941" max="7941" width="15.625" style="180" customWidth="1"/>
    <col min="7942" max="7942" width="14.875" style="180" customWidth="1"/>
    <col min="7943" max="7943" width="21.375" style="180" customWidth="1"/>
    <col min="7944" max="7944" width="13.375" style="180" customWidth="1"/>
    <col min="7945" max="8192" width="11" style="180"/>
    <col min="8193" max="8193" width="20" style="180" customWidth="1"/>
    <col min="8194" max="8194" width="18.75" style="180" customWidth="1"/>
    <col min="8195" max="8196" width="15.375" style="180" customWidth="1"/>
    <col min="8197" max="8197" width="15.625" style="180" customWidth="1"/>
    <col min="8198" max="8198" width="14.875" style="180" customWidth="1"/>
    <col min="8199" max="8199" width="21.375" style="180" customWidth="1"/>
    <col min="8200" max="8200" width="13.375" style="180" customWidth="1"/>
    <col min="8201" max="8448" width="11" style="180"/>
    <col min="8449" max="8449" width="20" style="180" customWidth="1"/>
    <col min="8450" max="8450" width="18.75" style="180" customWidth="1"/>
    <col min="8451" max="8452" width="15.375" style="180" customWidth="1"/>
    <col min="8453" max="8453" width="15.625" style="180" customWidth="1"/>
    <col min="8454" max="8454" width="14.875" style="180" customWidth="1"/>
    <col min="8455" max="8455" width="21.375" style="180" customWidth="1"/>
    <col min="8456" max="8456" width="13.375" style="180" customWidth="1"/>
    <col min="8457" max="8704" width="11" style="180"/>
    <col min="8705" max="8705" width="20" style="180" customWidth="1"/>
    <col min="8706" max="8706" width="18.75" style="180" customWidth="1"/>
    <col min="8707" max="8708" width="15.375" style="180" customWidth="1"/>
    <col min="8709" max="8709" width="15.625" style="180" customWidth="1"/>
    <col min="8710" max="8710" width="14.875" style="180" customWidth="1"/>
    <col min="8711" max="8711" width="21.375" style="180" customWidth="1"/>
    <col min="8712" max="8712" width="13.375" style="180" customWidth="1"/>
    <col min="8713" max="8960" width="11" style="180"/>
    <col min="8961" max="8961" width="20" style="180" customWidth="1"/>
    <col min="8962" max="8962" width="18.75" style="180" customWidth="1"/>
    <col min="8963" max="8964" width="15.375" style="180" customWidth="1"/>
    <col min="8965" max="8965" width="15.625" style="180" customWidth="1"/>
    <col min="8966" max="8966" width="14.875" style="180" customWidth="1"/>
    <col min="8967" max="8967" width="21.375" style="180" customWidth="1"/>
    <col min="8968" max="8968" width="13.375" style="180" customWidth="1"/>
    <col min="8969" max="9216" width="11" style="180"/>
    <col min="9217" max="9217" width="20" style="180" customWidth="1"/>
    <col min="9218" max="9218" width="18.75" style="180" customWidth="1"/>
    <col min="9219" max="9220" width="15.375" style="180" customWidth="1"/>
    <col min="9221" max="9221" width="15.625" style="180" customWidth="1"/>
    <col min="9222" max="9222" width="14.875" style="180" customWidth="1"/>
    <col min="9223" max="9223" width="21.375" style="180" customWidth="1"/>
    <col min="9224" max="9224" width="13.375" style="180" customWidth="1"/>
    <col min="9225" max="9472" width="11" style="180"/>
    <col min="9473" max="9473" width="20" style="180" customWidth="1"/>
    <col min="9474" max="9474" width="18.75" style="180" customWidth="1"/>
    <col min="9475" max="9476" width="15.375" style="180" customWidth="1"/>
    <col min="9477" max="9477" width="15.625" style="180" customWidth="1"/>
    <col min="9478" max="9478" width="14.875" style="180" customWidth="1"/>
    <col min="9479" max="9479" width="21.375" style="180" customWidth="1"/>
    <col min="9480" max="9480" width="13.375" style="180" customWidth="1"/>
    <col min="9481" max="9728" width="11" style="180"/>
    <col min="9729" max="9729" width="20" style="180" customWidth="1"/>
    <col min="9730" max="9730" width="18.75" style="180" customWidth="1"/>
    <col min="9731" max="9732" width="15.375" style="180" customWidth="1"/>
    <col min="9733" max="9733" width="15.625" style="180" customWidth="1"/>
    <col min="9734" max="9734" width="14.875" style="180" customWidth="1"/>
    <col min="9735" max="9735" width="21.375" style="180" customWidth="1"/>
    <col min="9736" max="9736" width="13.375" style="180" customWidth="1"/>
    <col min="9737" max="9984" width="11" style="180"/>
    <col min="9985" max="9985" width="20" style="180" customWidth="1"/>
    <col min="9986" max="9986" width="18.75" style="180" customWidth="1"/>
    <col min="9987" max="9988" width="15.375" style="180" customWidth="1"/>
    <col min="9989" max="9989" width="15.625" style="180" customWidth="1"/>
    <col min="9990" max="9990" width="14.875" style="180" customWidth="1"/>
    <col min="9991" max="9991" width="21.375" style="180" customWidth="1"/>
    <col min="9992" max="9992" width="13.375" style="180" customWidth="1"/>
    <col min="9993" max="10240" width="11" style="180"/>
    <col min="10241" max="10241" width="20" style="180" customWidth="1"/>
    <col min="10242" max="10242" width="18.75" style="180" customWidth="1"/>
    <col min="10243" max="10244" width="15.375" style="180" customWidth="1"/>
    <col min="10245" max="10245" width="15.625" style="180" customWidth="1"/>
    <col min="10246" max="10246" width="14.875" style="180" customWidth="1"/>
    <col min="10247" max="10247" width="21.375" style="180" customWidth="1"/>
    <col min="10248" max="10248" width="13.375" style="180" customWidth="1"/>
    <col min="10249" max="10496" width="11" style="180"/>
    <col min="10497" max="10497" width="20" style="180" customWidth="1"/>
    <col min="10498" max="10498" width="18.75" style="180" customWidth="1"/>
    <col min="10499" max="10500" width="15.375" style="180" customWidth="1"/>
    <col min="10501" max="10501" width="15.625" style="180" customWidth="1"/>
    <col min="10502" max="10502" width="14.875" style="180" customWidth="1"/>
    <col min="10503" max="10503" width="21.375" style="180" customWidth="1"/>
    <col min="10504" max="10504" width="13.375" style="180" customWidth="1"/>
    <col min="10505" max="10752" width="11" style="180"/>
    <col min="10753" max="10753" width="20" style="180" customWidth="1"/>
    <col min="10754" max="10754" width="18.75" style="180" customWidth="1"/>
    <col min="10755" max="10756" width="15.375" style="180" customWidth="1"/>
    <col min="10757" max="10757" width="15.625" style="180" customWidth="1"/>
    <col min="10758" max="10758" width="14.875" style="180" customWidth="1"/>
    <col min="10759" max="10759" width="21.375" style="180" customWidth="1"/>
    <col min="10760" max="10760" width="13.375" style="180" customWidth="1"/>
    <col min="10761" max="11008" width="11" style="180"/>
    <col min="11009" max="11009" width="20" style="180" customWidth="1"/>
    <col min="11010" max="11010" width="18.75" style="180" customWidth="1"/>
    <col min="11011" max="11012" width="15.375" style="180" customWidth="1"/>
    <col min="11013" max="11013" width="15.625" style="180" customWidth="1"/>
    <col min="11014" max="11014" width="14.875" style="180" customWidth="1"/>
    <col min="11015" max="11015" width="21.375" style="180" customWidth="1"/>
    <col min="11016" max="11016" width="13.375" style="180" customWidth="1"/>
    <col min="11017" max="11264" width="11" style="180"/>
    <col min="11265" max="11265" width="20" style="180" customWidth="1"/>
    <col min="11266" max="11266" width="18.75" style="180" customWidth="1"/>
    <col min="11267" max="11268" width="15.375" style="180" customWidth="1"/>
    <col min="11269" max="11269" width="15.625" style="180" customWidth="1"/>
    <col min="11270" max="11270" width="14.875" style="180" customWidth="1"/>
    <col min="11271" max="11271" width="21.375" style="180" customWidth="1"/>
    <col min="11272" max="11272" width="13.375" style="180" customWidth="1"/>
    <col min="11273" max="11520" width="11" style="180"/>
    <col min="11521" max="11521" width="20" style="180" customWidth="1"/>
    <col min="11522" max="11522" width="18.75" style="180" customWidth="1"/>
    <col min="11523" max="11524" width="15.375" style="180" customWidth="1"/>
    <col min="11525" max="11525" width="15.625" style="180" customWidth="1"/>
    <col min="11526" max="11526" width="14.875" style="180" customWidth="1"/>
    <col min="11527" max="11527" width="21.375" style="180" customWidth="1"/>
    <col min="11528" max="11528" width="13.375" style="180" customWidth="1"/>
    <col min="11529" max="11776" width="11" style="180"/>
    <col min="11777" max="11777" width="20" style="180" customWidth="1"/>
    <col min="11778" max="11778" width="18.75" style="180" customWidth="1"/>
    <col min="11779" max="11780" width="15.375" style="180" customWidth="1"/>
    <col min="11781" max="11781" width="15.625" style="180" customWidth="1"/>
    <col min="11782" max="11782" width="14.875" style="180" customWidth="1"/>
    <col min="11783" max="11783" width="21.375" style="180" customWidth="1"/>
    <col min="11784" max="11784" width="13.375" style="180" customWidth="1"/>
    <col min="11785" max="12032" width="11" style="180"/>
    <col min="12033" max="12033" width="20" style="180" customWidth="1"/>
    <col min="12034" max="12034" width="18.75" style="180" customWidth="1"/>
    <col min="12035" max="12036" width="15.375" style="180" customWidth="1"/>
    <col min="12037" max="12037" width="15.625" style="180" customWidth="1"/>
    <col min="12038" max="12038" width="14.875" style="180" customWidth="1"/>
    <col min="12039" max="12039" width="21.375" style="180" customWidth="1"/>
    <col min="12040" max="12040" width="13.375" style="180" customWidth="1"/>
    <col min="12041" max="12288" width="11" style="180"/>
    <col min="12289" max="12289" width="20" style="180" customWidth="1"/>
    <col min="12290" max="12290" width="18.75" style="180" customWidth="1"/>
    <col min="12291" max="12292" width="15.375" style="180" customWidth="1"/>
    <col min="12293" max="12293" width="15.625" style="180" customWidth="1"/>
    <col min="12294" max="12294" width="14.875" style="180" customWidth="1"/>
    <col min="12295" max="12295" width="21.375" style="180" customWidth="1"/>
    <col min="12296" max="12296" width="13.375" style="180" customWidth="1"/>
    <col min="12297" max="12544" width="11" style="180"/>
    <col min="12545" max="12545" width="20" style="180" customWidth="1"/>
    <col min="12546" max="12546" width="18.75" style="180" customWidth="1"/>
    <col min="12547" max="12548" width="15.375" style="180" customWidth="1"/>
    <col min="12549" max="12549" width="15.625" style="180" customWidth="1"/>
    <col min="12550" max="12550" width="14.875" style="180" customWidth="1"/>
    <col min="12551" max="12551" width="21.375" style="180" customWidth="1"/>
    <col min="12552" max="12552" width="13.375" style="180" customWidth="1"/>
    <col min="12553" max="12800" width="11" style="180"/>
    <col min="12801" max="12801" width="20" style="180" customWidth="1"/>
    <col min="12802" max="12802" width="18.75" style="180" customWidth="1"/>
    <col min="12803" max="12804" width="15.375" style="180" customWidth="1"/>
    <col min="12805" max="12805" width="15.625" style="180" customWidth="1"/>
    <col min="12806" max="12806" width="14.875" style="180" customWidth="1"/>
    <col min="12807" max="12807" width="21.375" style="180" customWidth="1"/>
    <col min="12808" max="12808" width="13.375" style="180" customWidth="1"/>
    <col min="12809" max="13056" width="11" style="180"/>
    <col min="13057" max="13057" width="20" style="180" customWidth="1"/>
    <col min="13058" max="13058" width="18.75" style="180" customWidth="1"/>
    <col min="13059" max="13060" width="15.375" style="180" customWidth="1"/>
    <col min="13061" max="13061" width="15.625" style="180" customWidth="1"/>
    <col min="13062" max="13062" width="14.875" style="180" customWidth="1"/>
    <col min="13063" max="13063" width="21.375" style="180" customWidth="1"/>
    <col min="13064" max="13064" width="13.375" style="180" customWidth="1"/>
    <col min="13065" max="13312" width="11" style="180"/>
    <col min="13313" max="13313" width="20" style="180" customWidth="1"/>
    <col min="13314" max="13314" width="18.75" style="180" customWidth="1"/>
    <col min="13315" max="13316" width="15.375" style="180" customWidth="1"/>
    <col min="13317" max="13317" width="15.625" style="180" customWidth="1"/>
    <col min="13318" max="13318" width="14.875" style="180" customWidth="1"/>
    <col min="13319" max="13319" width="21.375" style="180" customWidth="1"/>
    <col min="13320" max="13320" width="13.375" style="180" customWidth="1"/>
    <col min="13321" max="13568" width="11" style="180"/>
    <col min="13569" max="13569" width="20" style="180" customWidth="1"/>
    <col min="13570" max="13570" width="18.75" style="180" customWidth="1"/>
    <col min="13571" max="13572" width="15.375" style="180" customWidth="1"/>
    <col min="13573" max="13573" width="15.625" style="180" customWidth="1"/>
    <col min="13574" max="13574" width="14.875" style="180" customWidth="1"/>
    <col min="13575" max="13575" width="21.375" style="180" customWidth="1"/>
    <col min="13576" max="13576" width="13.375" style="180" customWidth="1"/>
    <col min="13577" max="13824" width="11" style="180"/>
    <col min="13825" max="13825" width="20" style="180" customWidth="1"/>
    <col min="13826" max="13826" width="18.75" style="180" customWidth="1"/>
    <col min="13827" max="13828" width="15.375" style="180" customWidth="1"/>
    <col min="13829" max="13829" width="15.625" style="180" customWidth="1"/>
    <col min="13830" max="13830" width="14.875" style="180" customWidth="1"/>
    <col min="13831" max="13831" width="21.375" style="180" customWidth="1"/>
    <col min="13832" max="13832" width="13.375" style="180" customWidth="1"/>
    <col min="13833" max="14080" width="11" style="180"/>
    <col min="14081" max="14081" width="20" style="180" customWidth="1"/>
    <col min="14082" max="14082" width="18.75" style="180" customWidth="1"/>
    <col min="14083" max="14084" width="15.375" style="180" customWidth="1"/>
    <col min="14085" max="14085" width="15.625" style="180" customWidth="1"/>
    <col min="14086" max="14086" width="14.875" style="180" customWidth="1"/>
    <col min="14087" max="14087" width="21.375" style="180" customWidth="1"/>
    <col min="14088" max="14088" width="13.375" style="180" customWidth="1"/>
    <col min="14089" max="14336" width="11" style="180"/>
    <col min="14337" max="14337" width="20" style="180" customWidth="1"/>
    <col min="14338" max="14338" width="18.75" style="180" customWidth="1"/>
    <col min="14339" max="14340" width="15.375" style="180" customWidth="1"/>
    <col min="14341" max="14341" width="15.625" style="180" customWidth="1"/>
    <col min="14342" max="14342" width="14.875" style="180" customWidth="1"/>
    <col min="14343" max="14343" width="21.375" style="180" customWidth="1"/>
    <col min="14344" max="14344" width="13.375" style="180" customWidth="1"/>
    <col min="14345" max="14592" width="11" style="180"/>
    <col min="14593" max="14593" width="20" style="180" customWidth="1"/>
    <col min="14594" max="14594" width="18.75" style="180" customWidth="1"/>
    <col min="14595" max="14596" width="15.375" style="180" customWidth="1"/>
    <col min="14597" max="14597" width="15.625" style="180" customWidth="1"/>
    <col min="14598" max="14598" width="14.875" style="180" customWidth="1"/>
    <col min="14599" max="14599" width="21.375" style="180" customWidth="1"/>
    <col min="14600" max="14600" width="13.375" style="180" customWidth="1"/>
    <col min="14601" max="14848" width="11" style="180"/>
    <col min="14849" max="14849" width="20" style="180" customWidth="1"/>
    <col min="14850" max="14850" width="18.75" style="180" customWidth="1"/>
    <col min="14851" max="14852" width="15.375" style="180" customWidth="1"/>
    <col min="14853" max="14853" width="15.625" style="180" customWidth="1"/>
    <col min="14854" max="14854" width="14.875" style="180" customWidth="1"/>
    <col min="14855" max="14855" width="21.375" style="180" customWidth="1"/>
    <col min="14856" max="14856" width="13.375" style="180" customWidth="1"/>
    <col min="14857" max="15104" width="11" style="180"/>
    <col min="15105" max="15105" width="20" style="180" customWidth="1"/>
    <col min="15106" max="15106" width="18.75" style="180" customWidth="1"/>
    <col min="15107" max="15108" width="15.375" style="180" customWidth="1"/>
    <col min="15109" max="15109" width="15.625" style="180" customWidth="1"/>
    <col min="15110" max="15110" width="14.875" style="180" customWidth="1"/>
    <col min="15111" max="15111" width="21.375" style="180" customWidth="1"/>
    <col min="15112" max="15112" width="13.375" style="180" customWidth="1"/>
    <col min="15113" max="15360" width="11" style="180"/>
    <col min="15361" max="15361" width="20" style="180" customWidth="1"/>
    <col min="15362" max="15362" width="18.75" style="180" customWidth="1"/>
    <col min="15363" max="15364" width="15.375" style="180" customWidth="1"/>
    <col min="15365" max="15365" width="15.625" style="180" customWidth="1"/>
    <col min="15366" max="15366" width="14.875" style="180" customWidth="1"/>
    <col min="15367" max="15367" width="21.375" style="180" customWidth="1"/>
    <col min="15368" max="15368" width="13.375" style="180" customWidth="1"/>
    <col min="15369" max="15616" width="11" style="180"/>
    <col min="15617" max="15617" width="20" style="180" customWidth="1"/>
    <col min="15618" max="15618" width="18.75" style="180" customWidth="1"/>
    <col min="15619" max="15620" width="15.375" style="180" customWidth="1"/>
    <col min="15621" max="15621" width="15.625" style="180" customWidth="1"/>
    <col min="15622" max="15622" width="14.875" style="180" customWidth="1"/>
    <col min="15623" max="15623" width="21.375" style="180" customWidth="1"/>
    <col min="15624" max="15624" width="13.375" style="180" customWidth="1"/>
    <col min="15625" max="15872" width="11" style="180"/>
    <col min="15873" max="15873" width="20" style="180" customWidth="1"/>
    <col min="15874" max="15874" width="18.75" style="180" customWidth="1"/>
    <col min="15875" max="15876" width="15.375" style="180" customWidth="1"/>
    <col min="15877" max="15877" width="15.625" style="180" customWidth="1"/>
    <col min="15878" max="15878" width="14.875" style="180" customWidth="1"/>
    <col min="15879" max="15879" width="21.375" style="180" customWidth="1"/>
    <col min="15880" max="15880" width="13.375" style="180" customWidth="1"/>
    <col min="15881" max="16128" width="11" style="180"/>
    <col min="16129" max="16129" width="20" style="180" customWidth="1"/>
    <col min="16130" max="16130" width="18.75" style="180" customWidth="1"/>
    <col min="16131" max="16132" width="15.375" style="180" customWidth="1"/>
    <col min="16133" max="16133" width="15.625" style="180" customWidth="1"/>
    <col min="16134" max="16134" width="14.875" style="180" customWidth="1"/>
    <col min="16135" max="16135" width="21.375" style="180" customWidth="1"/>
    <col min="16136" max="16136" width="13.375" style="180" customWidth="1"/>
    <col min="16137" max="16384" width="11" style="180"/>
  </cols>
  <sheetData>
    <row r="1" spans="1:8" ht="15" customHeight="1" x14ac:dyDescent="0.25">
      <c r="A1" s="176" t="s">
        <v>491</v>
      </c>
      <c r="B1" s="177" t="s">
        <v>489</v>
      </c>
    </row>
    <row r="3" spans="1:8" ht="35.25" customHeight="1" x14ac:dyDescent="0.2">
      <c r="A3" s="727" t="s">
        <v>495</v>
      </c>
      <c r="B3" s="727"/>
      <c r="C3" s="727"/>
      <c r="D3" s="727"/>
      <c r="E3" s="727"/>
      <c r="F3" s="727"/>
      <c r="G3" s="727"/>
      <c r="H3" s="727"/>
    </row>
    <row r="4" spans="1:8" ht="15" customHeight="1" x14ac:dyDescent="0.2">
      <c r="A4" s="728"/>
      <c r="B4" s="728"/>
      <c r="C4" s="728"/>
      <c r="D4" s="728"/>
      <c r="E4" s="728"/>
      <c r="F4" s="728"/>
      <c r="G4" s="728"/>
    </row>
    <row r="5" spans="1:8" ht="15" customHeight="1" x14ac:dyDescent="0.2">
      <c r="A5" s="729" t="s">
        <v>496</v>
      </c>
      <c r="B5" s="729"/>
      <c r="C5" s="729"/>
      <c r="D5" s="729"/>
      <c r="E5" s="729"/>
      <c r="F5" s="729"/>
      <c r="G5" s="729"/>
    </row>
    <row r="6" spans="1:8" ht="15" customHeight="1" x14ac:dyDescent="0.2">
      <c r="A6" s="181"/>
      <c r="B6" s="181"/>
      <c r="C6" s="181"/>
      <c r="D6" s="181"/>
      <c r="E6" s="181"/>
      <c r="F6" s="181"/>
      <c r="G6" s="181"/>
    </row>
    <row r="7" spans="1:8" ht="15" customHeight="1" thickBot="1" x14ac:dyDescent="0.25">
      <c r="A7" s="182"/>
      <c r="B7" s="182"/>
      <c r="C7" s="182"/>
      <c r="D7" s="182"/>
      <c r="E7" s="182"/>
      <c r="F7" s="182"/>
      <c r="G7" s="182"/>
    </row>
    <row r="8" spans="1:8" ht="15" customHeight="1" thickTop="1" x14ac:dyDescent="0.2">
      <c r="A8" s="712" t="s">
        <v>497</v>
      </c>
      <c r="B8" s="715" t="s">
        <v>498</v>
      </c>
      <c r="C8" s="183" t="s">
        <v>499</v>
      </c>
      <c r="D8" s="184"/>
      <c r="E8" s="185" t="s">
        <v>500</v>
      </c>
      <c r="F8" s="185"/>
      <c r="G8" s="186"/>
    </row>
    <row r="9" spans="1:8" ht="15" customHeight="1" x14ac:dyDescent="0.2">
      <c r="A9" s="713"/>
      <c r="B9" s="695"/>
      <c r="C9" s="725" t="s">
        <v>501</v>
      </c>
      <c r="D9" s="725" t="s">
        <v>502</v>
      </c>
      <c r="E9" s="725" t="s">
        <v>503</v>
      </c>
      <c r="F9" s="725" t="s">
        <v>504</v>
      </c>
      <c r="G9" s="710" t="s">
        <v>505</v>
      </c>
    </row>
    <row r="10" spans="1:8" ht="15" customHeight="1" x14ac:dyDescent="0.2">
      <c r="A10" s="713"/>
      <c r="B10" s="695"/>
      <c r="C10" s="671"/>
      <c r="D10" s="671"/>
      <c r="E10" s="671"/>
      <c r="F10" s="671"/>
      <c r="G10" s="731"/>
    </row>
    <row r="11" spans="1:8" ht="15" customHeight="1" x14ac:dyDescent="0.2">
      <c r="A11" s="714"/>
      <c r="B11" s="726"/>
      <c r="C11" s="730"/>
      <c r="D11" s="730"/>
      <c r="E11" s="730"/>
      <c r="F11" s="730" t="s">
        <v>503</v>
      </c>
      <c r="G11" s="732"/>
    </row>
    <row r="12" spans="1:8" ht="15" customHeight="1" x14ac:dyDescent="0.2">
      <c r="A12" s="187" t="s">
        <v>506</v>
      </c>
      <c r="B12" s="188" t="s">
        <v>507</v>
      </c>
      <c r="C12" s="188" t="s">
        <v>507</v>
      </c>
      <c r="D12" s="188" t="s">
        <v>508</v>
      </c>
      <c r="E12" s="189" t="s">
        <v>509</v>
      </c>
      <c r="F12" s="189" t="s">
        <v>510</v>
      </c>
      <c r="G12" s="190" t="s">
        <v>511</v>
      </c>
    </row>
    <row r="13" spans="1:8" ht="15" customHeight="1" x14ac:dyDescent="0.2">
      <c r="A13" s="187" t="s">
        <v>512</v>
      </c>
      <c r="B13" s="188" t="s">
        <v>513</v>
      </c>
      <c r="C13" s="188" t="s">
        <v>513</v>
      </c>
      <c r="D13" s="188" t="s">
        <v>514</v>
      </c>
      <c r="E13" s="189" t="s">
        <v>510</v>
      </c>
      <c r="F13" s="189" t="s">
        <v>510</v>
      </c>
      <c r="G13" s="190" t="s">
        <v>511</v>
      </c>
    </row>
    <row r="14" spans="1:8" ht="15" customHeight="1" x14ac:dyDescent="0.2">
      <c r="A14" s="187" t="s">
        <v>515</v>
      </c>
      <c r="B14" s="188" t="s">
        <v>516</v>
      </c>
      <c r="C14" s="188" t="s">
        <v>516</v>
      </c>
      <c r="D14" s="188" t="s">
        <v>517</v>
      </c>
      <c r="E14" s="189" t="s">
        <v>510</v>
      </c>
      <c r="F14" s="189" t="s">
        <v>510</v>
      </c>
      <c r="G14" s="190" t="s">
        <v>511</v>
      </c>
    </row>
    <row r="15" spans="1:8" ht="15" customHeight="1" x14ac:dyDescent="0.2">
      <c r="A15" s="187" t="s">
        <v>518</v>
      </c>
      <c r="B15" s="188" t="s">
        <v>519</v>
      </c>
      <c r="C15" s="188" t="s">
        <v>519</v>
      </c>
      <c r="D15" s="188" t="s">
        <v>520</v>
      </c>
      <c r="E15" s="189" t="s">
        <v>521</v>
      </c>
      <c r="F15" s="189" t="s">
        <v>521</v>
      </c>
      <c r="G15" s="190" t="s">
        <v>511</v>
      </c>
    </row>
    <row r="16" spans="1:8" ht="15" customHeight="1" x14ac:dyDescent="0.2">
      <c r="A16" s="187" t="s">
        <v>522</v>
      </c>
      <c r="B16" s="188" t="s">
        <v>523</v>
      </c>
      <c r="C16" s="188" t="s">
        <v>523</v>
      </c>
      <c r="D16" s="188" t="s">
        <v>524</v>
      </c>
      <c r="E16" s="189" t="s">
        <v>521</v>
      </c>
      <c r="F16" s="189" t="s">
        <v>521</v>
      </c>
      <c r="G16" s="190" t="s">
        <v>511</v>
      </c>
    </row>
    <row r="17" spans="1:7" ht="15" customHeight="1" x14ac:dyDescent="0.2">
      <c r="A17" s="187" t="s">
        <v>525</v>
      </c>
      <c r="B17" s="188" t="s">
        <v>526</v>
      </c>
      <c r="C17" s="188" t="s">
        <v>526</v>
      </c>
      <c r="D17" s="188" t="s">
        <v>527</v>
      </c>
      <c r="E17" s="189" t="s">
        <v>509</v>
      </c>
      <c r="F17" s="189" t="s">
        <v>509</v>
      </c>
      <c r="G17" s="190" t="s">
        <v>511</v>
      </c>
    </row>
    <row r="18" spans="1:7" ht="15" customHeight="1" x14ac:dyDescent="0.2">
      <c r="A18" s="187" t="s">
        <v>528</v>
      </c>
      <c r="B18" s="188" t="s">
        <v>529</v>
      </c>
      <c r="C18" s="188" t="s">
        <v>529</v>
      </c>
      <c r="D18" s="188" t="s">
        <v>530</v>
      </c>
      <c r="E18" s="189" t="s">
        <v>509</v>
      </c>
      <c r="F18" s="189" t="s">
        <v>509</v>
      </c>
      <c r="G18" s="190" t="s">
        <v>511</v>
      </c>
    </row>
    <row r="19" spans="1:7" ht="15" customHeight="1" x14ac:dyDescent="0.2">
      <c r="A19" s="187" t="s">
        <v>531</v>
      </c>
      <c r="B19" s="188" t="s">
        <v>532</v>
      </c>
      <c r="C19" s="188" t="s">
        <v>532</v>
      </c>
      <c r="D19" s="188" t="s">
        <v>533</v>
      </c>
      <c r="E19" s="189" t="s">
        <v>509</v>
      </c>
      <c r="F19" s="189" t="s">
        <v>509</v>
      </c>
      <c r="G19" s="190" t="s">
        <v>511</v>
      </c>
    </row>
    <row r="20" spans="1:7" ht="15" customHeight="1" x14ac:dyDescent="0.2">
      <c r="A20" s="187" t="s">
        <v>534</v>
      </c>
      <c r="B20" s="188" t="s">
        <v>535</v>
      </c>
      <c r="C20" s="188" t="s">
        <v>535</v>
      </c>
      <c r="D20" s="188" t="s">
        <v>536</v>
      </c>
      <c r="E20" s="189" t="s">
        <v>509</v>
      </c>
      <c r="F20" s="189" t="s">
        <v>509</v>
      </c>
      <c r="G20" s="190" t="s">
        <v>511</v>
      </c>
    </row>
    <row r="21" spans="1:7" ht="15" customHeight="1" x14ac:dyDescent="0.2">
      <c r="A21" s="187" t="s">
        <v>537</v>
      </c>
      <c r="B21" s="188" t="s">
        <v>538</v>
      </c>
      <c r="C21" s="188" t="s">
        <v>538</v>
      </c>
      <c r="D21" s="188" t="s">
        <v>539</v>
      </c>
      <c r="E21" s="189" t="s">
        <v>509</v>
      </c>
      <c r="F21" s="189" t="s">
        <v>509</v>
      </c>
      <c r="G21" s="190" t="s">
        <v>511</v>
      </c>
    </row>
    <row r="22" spans="1:7" ht="15" customHeight="1" x14ac:dyDescent="0.2">
      <c r="A22" s="187" t="s">
        <v>540</v>
      </c>
      <c r="B22" s="188" t="s">
        <v>541</v>
      </c>
      <c r="C22" s="188" t="s">
        <v>541</v>
      </c>
      <c r="D22" s="188" t="s">
        <v>542</v>
      </c>
      <c r="E22" s="189" t="s">
        <v>509</v>
      </c>
      <c r="F22" s="189" t="s">
        <v>509</v>
      </c>
      <c r="G22" s="190" t="s">
        <v>511</v>
      </c>
    </row>
    <row r="23" spans="1:7" ht="15" customHeight="1" x14ac:dyDescent="0.2">
      <c r="A23" s="187" t="s">
        <v>543</v>
      </c>
      <c r="B23" s="188" t="s">
        <v>544</v>
      </c>
      <c r="C23" s="188" t="s">
        <v>545</v>
      </c>
      <c r="D23" s="188" t="s">
        <v>542</v>
      </c>
      <c r="E23" s="191" t="s">
        <v>511</v>
      </c>
      <c r="F23" s="191" t="s">
        <v>511</v>
      </c>
      <c r="G23" s="190" t="s">
        <v>546</v>
      </c>
    </row>
    <row r="24" spans="1:7" ht="15" customHeight="1" x14ac:dyDescent="0.2">
      <c r="A24" s="187" t="s">
        <v>547</v>
      </c>
      <c r="B24" s="188" t="s">
        <v>548</v>
      </c>
      <c r="C24" s="188" t="s">
        <v>549</v>
      </c>
      <c r="D24" s="188" t="s">
        <v>550</v>
      </c>
      <c r="E24" s="191" t="s">
        <v>551</v>
      </c>
      <c r="F24" s="191" t="s">
        <v>551</v>
      </c>
      <c r="G24" s="192" t="s">
        <v>511</v>
      </c>
    </row>
    <row r="25" spans="1:7" ht="15" customHeight="1" x14ac:dyDescent="0.2">
      <c r="A25" s="187" t="s">
        <v>552</v>
      </c>
      <c r="B25" s="193" t="s">
        <v>548</v>
      </c>
      <c r="C25" s="188" t="s">
        <v>549</v>
      </c>
      <c r="D25" s="188" t="s">
        <v>550</v>
      </c>
      <c r="E25" s="191" t="s">
        <v>511</v>
      </c>
      <c r="F25" s="191" t="s">
        <v>511</v>
      </c>
      <c r="G25" s="190" t="s">
        <v>553</v>
      </c>
    </row>
    <row r="26" spans="1:7" ht="15" customHeight="1" x14ac:dyDescent="0.2">
      <c r="A26" s="187" t="s">
        <v>554</v>
      </c>
      <c r="B26" s="188" t="s">
        <v>555</v>
      </c>
      <c r="C26" s="188" t="s">
        <v>556</v>
      </c>
      <c r="D26" s="188" t="s">
        <v>557</v>
      </c>
      <c r="E26" s="191" t="s">
        <v>511</v>
      </c>
      <c r="F26" s="191" t="s">
        <v>558</v>
      </c>
      <c r="G26" s="192" t="s">
        <v>511</v>
      </c>
    </row>
    <row r="27" spans="1:7" ht="15" customHeight="1" x14ac:dyDescent="0.2">
      <c r="A27" s="187" t="s">
        <v>559</v>
      </c>
      <c r="B27" s="188" t="s">
        <v>555</v>
      </c>
      <c r="C27" s="188" t="s">
        <v>556</v>
      </c>
      <c r="D27" s="188" t="s">
        <v>557</v>
      </c>
      <c r="E27" s="191" t="s">
        <v>511</v>
      </c>
      <c r="F27" s="191" t="s">
        <v>511</v>
      </c>
      <c r="G27" s="190" t="s">
        <v>560</v>
      </c>
    </row>
    <row r="28" spans="1:7" ht="15" customHeight="1" x14ac:dyDescent="0.2">
      <c r="A28" s="187" t="s">
        <v>561</v>
      </c>
      <c r="B28" s="188" t="s">
        <v>562</v>
      </c>
      <c r="C28" s="188" t="s">
        <v>563</v>
      </c>
      <c r="D28" s="188" t="s">
        <v>564</v>
      </c>
      <c r="E28" s="191" t="s">
        <v>511</v>
      </c>
      <c r="F28" s="191" t="s">
        <v>565</v>
      </c>
      <c r="G28" s="192" t="s">
        <v>511</v>
      </c>
    </row>
    <row r="29" spans="1:7" ht="15" customHeight="1" x14ac:dyDescent="0.2">
      <c r="A29" s="187" t="s">
        <v>566</v>
      </c>
      <c r="B29" s="188" t="s">
        <v>562</v>
      </c>
      <c r="C29" s="188" t="s">
        <v>563</v>
      </c>
      <c r="D29" s="188" t="s">
        <v>564</v>
      </c>
      <c r="E29" s="191" t="s">
        <v>511</v>
      </c>
      <c r="F29" s="191" t="s">
        <v>511</v>
      </c>
      <c r="G29" s="190" t="s">
        <v>567</v>
      </c>
    </row>
    <row r="30" spans="1:7" ht="15" customHeight="1" x14ac:dyDescent="0.2">
      <c r="A30" s="187" t="s">
        <v>568</v>
      </c>
      <c r="B30" s="188" t="s">
        <v>569</v>
      </c>
      <c r="C30" s="188" t="s">
        <v>569</v>
      </c>
      <c r="D30" s="188" t="s">
        <v>570</v>
      </c>
      <c r="E30" s="191" t="s">
        <v>511</v>
      </c>
      <c r="F30" s="191" t="s">
        <v>571</v>
      </c>
      <c r="G30" s="192" t="s">
        <v>511</v>
      </c>
    </row>
    <row r="31" spans="1:7" ht="15" customHeight="1" x14ac:dyDescent="0.2">
      <c r="A31" s="187" t="s">
        <v>572</v>
      </c>
      <c r="B31" s="188" t="s">
        <v>569</v>
      </c>
      <c r="C31" s="188" t="s">
        <v>569</v>
      </c>
      <c r="D31" s="188" t="s">
        <v>570</v>
      </c>
      <c r="E31" s="191" t="s">
        <v>511</v>
      </c>
      <c r="F31" s="191" t="s">
        <v>511</v>
      </c>
      <c r="G31" s="190" t="s">
        <v>573</v>
      </c>
    </row>
    <row r="32" spans="1:7" ht="15" customHeight="1" x14ac:dyDescent="0.2">
      <c r="A32" s="187" t="s">
        <v>574</v>
      </c>
      <c r="B32" s="188" t="s">
        <v>575</v>
      </c>
      <c r="C32" s="188" t="s">
        <v>575</v>
      </c>
      <c r="D32" s="188" t="s">
        <v>576</v>
      </c>
      <c r="E32" s="191" t="s">
        <v>511</v>
      </c>
      <c r="F32" s="191" t="s">
        <v>511</v>
      </c>
      <c r="G32" s="190" t="s">
        <v>577</v>
      </c>
    </row>
    <row r="33" spans="1:7" ht="15" customHeight="1" x14ac:dyDescent="0.2">
      <c r="A33" s="187" t="s">
        <v>578</v>
      </c>
      <c r="B33" s="188" t="s">
        <v>575</v>
      </c>
      <c r="C33" s="188" t="s">
        <v>575</v>
      </c>
      <c r="D33" s="188" t="s">
        <v>576</v>
      </c>
      <c r="E33" s="191" t="s">
        <v>511</v>
      </c>
      <c r="F33" s="191" t="s">
        <v>579</v>
      </c>
      <c r="G33" s="192" t="s">
        <v>511</v>
      </c>
    </row>
    <row r="34" spans="1:7" ht="15" customHeight="1" x14ac:dyDescent="0.2">
      <c r="A34" s="187" t="s">
        <v>580</v>
      </c>
      <c r="B34" s="188" t="s">
        <v>581</v>
      </c>
      <c r="C34" s="188" t="s">
        <v>581</v>
      </c>
      <c r="D34" s="188" t="s">
        <v>582</v>
      </c>
      <c r="E34" s="191" t="s">
        <v>511</v>
      </c>
      <c r="F34" s="191" t="s">
        <v>511</v>
      </c>
      <c r="G34" s="190" t="s">
        <v>583</v>
      </c>
    </row>
    <row r="35" spans="1:7" ht="15" customHeight="1" x14ac:dyDescent="0.2">
      <c r="A35" s="187" t="s">
        <v>584</v>
      </c>
      <c r="B35" s="188" t="s">
        <v>581</v>
      </c>
      <c r="C35" s="188" t="s">
        <v>581</v>
      </c>
      <c r="D35" s="188" t="s">
        <v>582</v>
      </c>
      <c r="E35" s="191" t="s">
        <v>511</v>
      </c>
      <c r="F35" s="191" t="s">
        <v>585</v>
      </c>
      <c r="G35" s="192" t="s">
        <v>511</v>
      </c>
    </row>
    <row r="36" spans="1:7" ht="15" customHeight="1" x14ac:dyDescent="0.2">
      <c r="A36" s="187" t="s">
        <v>586</v>
      </c>
      <c r="B36" s="188" t="s">
        <v>582</v>
      </c>
      <c r="C36" s="188" t="s">
        <v>587</v>
      </c>
      <c r="D36" s="188" t="s">
        <v>588</v>
      </c>
      <c r="E36" s="191" t="s">
        <v>511</v>
      </c>
      <c r="F36" s="191" t="s">
        <v>511</v>
      </c>
      <c r="G36" s="192" t="s">
        <v>589</v>
      </c>
    </row>
    <row r="37" spans="1:7" ht="15" customHeight="1" x14ac:dyDescent="0.2">
      <c r="A37" s="187" t="s">
        <v>590</v>
      </c>
      <c r="B37" s="193" t="s">
        <v>582</v>
      </c>
      <c r="C37" s="188" t="s">
        <v>587</v>
      </c>
      <c r="D37" s="188" t="s">
        <v>588</v>
      </c>
      <c r="E37" s="191" t="s">
        <v>511</v>
      </c>
      <c r="F37" s="191" t="s">
        <v>591</v>
      </c>
      <c r="G37" s="192" t="s">
        <v>511</v>
      </c>
    </row>
    <row r="38" spans="1:7" ht="15" customHeight="1" x14ac:dyDescent="0.2">
      <c r="A38" s="187" t="s">
        <v>592</v>
      </c>
      <c r="B38" s="193" t="s">
        <v>588</v>
      </c>
      <c r="C38" s="188" t="s">
        <v>593</v>
      </c>
      <c r="D38" s="188" t="s">
        <v>594</v>
      </c>
      <c r="E38" s="191" t="s">
        <v>511</v>
      </c>
      <c r="F38" s="191" t="s">
        <v>595</v>
      </c>
      <c r="G38" s="192" t="s">
        <v>511</v>
      </c>
    </row>
    <row r="39" spans="1:7" ht="15" customHeight="1" x14ac:dyDescent="0.2">
      <c r="A39" s="187" t="s">
        <v>596</v>
      </c>
      <c r="B39" s="188" t="s">
        <v>588</v>
      </c>
      <c r="C39" s="188" t="s">
        <v>593</v>
      </c>
      <c r="D39" s="188" t="s">
        <v>594</v>
      </c>
      <c r="E39" s="191" t="s">
        <v>511</v>
      </c>
      <c r="F39" s="191" t="s">
        <v>511</v>
      </c>
      <c r="G39" s="190" t="s">
        <v>597</v>
      </c>
    </row>
    <row r="40" spans="1:7" ht="15" customHeight="1" x14ac:dyDescent="0.2">
      <c r="A40" s="187" t="s">
        <v>598</v>
      </c>
      <c r="B40" s="188" t="s">
        <v>599</v>
      </c>
      <c r="C40" s="188" t="s">
        <v>599</v>
      </c>
      <c r="D40" s="188" t="s">
        <v>600</v>
      </c>
      <c r="E40" s="191" t="s">
        <v>511</v>
      </c>
      <c r="F40" s="191" t="s">
        <v>601</v>
      </c>
      <c r="G40" s="192" t="s">
        <v>511</v>
      </c>
    </row>
    <row r="41" spans="1:7" ht="15" customHeight="1" x14ac:dyDescent="0.2">
      <c r="A41" s="187" t="s">
        <v>602</v>
      </c>
      <c r="B41" s="188" t="s">
        <v>599</v>
      </c>
      <c r="C41" s="188" t="s">
        <v>599</v>
      </c>
      <c r="D41" s="188" t="s">
        <v>600</v>
      </c>
      <c r="E41" s="191" t="s">
        <v>511</v>
      </c>
      <c r="F41" s="191" t="s">
        <v>511</v>
      </c>
      <c r="G41" s="192" t="s">
        <v>603</v>
      </c>
    </row>
    <row r="42" spans="1:7" ht="15" customHeight="1" x14ac:dyDescent="0.2">
      <c r="A42" s="187" t="s">
        <v>604</v>
      </c>
      <c r="B42" s="188" t="s">
        <v>600</v>
      </c>
      <c r="C42" s="188" t="s">
        <v>605</v>
      </c>
      <c r="D42" s="188" t="s">
        <v>606</v>
      </c>
      <c r="E42" s="191" t="s">
        <v>511</v>
      </c>
      <c r="F42" s="191" t="s">
        <v>607</v>
      </c>
      <c r="G42" s="192" t="s">
        <v>511</v>
      </c>
    </row>
    <row r="43" spans="1:7" ht="15" customHeight="1" x14ac:dyDescent="0.2">
      <c r="A43" s="187" t="s">
        <v>608</v>
      </c>
      <c r="B43" s="188" t="s">
        <v>600</v>
      </c>
      <c r="C43" s="188" t="s">
        <v>605</v>
      </c>
      <c r="D43" s="188" t="s">
        <v>606</v>
      </c>
      <c r="E43" s="191" t="s">
        <v>511</v>
      </c>
      <c r="F43" s="191" t="s">
        <v>511</v>
      </c>
      <c r="G43" s="192" t="s">
        <v>609</v>
      </c>
    </row>
    <row r="44" spans="1:7" ht="15" customHeight="1" x14ac:dyDescent="0.2">
      <c r="A44" s="187" t="s">
        <v>610</v>
      </c>
      <c r="B44" s="188" t="s">
        <v>611</v>
      </c>
      <c r="C44" s="188" t="s">
        <v>611</v>
      </c>
      <c r="D44" s="188" t="s">
        <v>612</v>
      </c>
      <c r="E44" s="191" t="s">
        <v>511</v>
      </c>
      <c r="F44" s="191" t="s">
        <v>511</v>
      </c>
      <c r="G44" s="194">
        <v>0.37609999999999999</v>
      </c>
    </row>
    <row r="45" spans="1:7" ht="15" customHeight="1" x14ac:dyDescent="0.2">
      <c r="A45" s="187" t="s">
        <v>613</v>
      </c>
      <c r="B45" s="188" t="s">
        <v>611</v>
      </c>
      <c r="C45" s="188" t="s">
        <v>611</v>
      </c>
      <c r="D45" s="188" t="s">
        <v>612</v>
      </c>
      <c r="E45" s="191" t="s">
        <v>511</v>
      </c>
      <c r="F45" s="191" t="s">
        <v>614</v>
      </c>
      <c r="G45" s="192" t="s">
        <v>511</v>
      </c>
    </row>
    <row r="46" spans="1:7" ht="15" customHeight="1" x14ac:dyDescent="0.2">
      <c r="A46" s="187" t="s">
        <v>615</v>
      </c>
      <c r="B46" s="188" t="s">
        <v>616</v>
      </c>
      <c r="C46" s="188" t="s">
        <v>617</v>
      </c>
      <c r="D46" s="188" t="s">
        <v>618</v>
      </c>
      <c r="E46" s="191" t="s">
        <v>511</v>
      </c>
      <c r="F46" s="191" t="s">
        <v>619</v>
      </c>
      <c r="G46" s="192" t="s">
        <v>511</v>
      </c>
    </row>
    <row r="47" spans="1:7" ht="15" customHeight="1" x14ac:dyDescent="0.2">
      <c r="A47" s="187" t="s">
        <v>620</v>
      </c>
      <c r="B47" s="188" t="s">
        <v>616</v>
      </c>
      <c r="C47" s="188" t="s">
        <v>617</v>
      </c>
      <c r="D47" s="188" t="s">
        <v>618</v>
      </c>
      <c r="E47" s="191" t="s">
        <v>511</v>
      </c>
      <c r="F47" s="191" t="s">
        <v>511</v>
      </c>
      <c r="G47" s="190" t="s">
        <v>621</v>
      </c>
    </row>
    <row r="48" spans="1:7" ht="15" customHeight="1" x14ac:dyDescent="0.2">
      <c r="A48" s="187" t="s">
        <v>622</v>
      </c>
      <c r="B48" s="188" t="s">
        <v>623</v>
      </c>
      <c r="C48" s="188" t="s">
        <v>624</v>
      </c>
      <c r="D48" s="188" t="s">
        <v>625</v>
      </c>
      <c r="E48" s="191" t="s">
        <v>511</v>
      </c>
      <c r="F48" s="191" t="s">
        <v>626</v>
      </c>
      <c r="G48" s="192" t="s">
        <v>511</v>
      </c>
    </row>
    <row r="49" spans="1:7" ht="15" customHeight="1" x14ac:dyDescent="0.2">
      <c r="A49" s="187" t="s">
        <v>627</v>
      </c>
      <c r="B49" s="188" t="s">
        <v>623</v>
      </c>
      <c r="C49" s="188" t="s">
        <v>624</v>
      </c>
      <c r="D49" s="188" t="s">
        <v>625</v>
      </c>
      <c r="E49" s="191" t="s">
        <v>511</v>
      </c>
      <c r="F49" s="191" t="s">
        <v>511</v>
      </c>
      <c r="G49" s="190" t="s">
        <v>628</v>
      </c>
    </row>
    <row r="50" spans="1:7" ht="15" customHeight="1" x14ac:dyDescent="0.2">
      <c r="A50" s="187" t="s">
        <v>629</v>
      </c>
      <c r="B50" s="188" t="s">
        <v>630</v>
      </c>
      <c r="C50" s="188" t="s">
        <v>631</v>
      </c>
      <c r="D50" s="188" t="s">
        <v>632</v>
      </c>
      <c r="E50" s="191" t="s">
        <v>511</v>
      </c>
      <c r="F50" s="191" t="s">
        <v>633</v>
      </c>
      <c r="G50" s="192" t="s">
        <v>511</v>
      </c>
    </row>
    <row r="51" spans="1:7" ht="15" customHeight="1" x14ac:dyDescent="0.2">
      <c r="A51" s="195" t="s">
        <v>634</v>
      </c>
      <c r="B51" s="188" t="s">
        <v>630</v>
      </c>
      <c r="C51" s="188" t="s">
        <v>631</v>
      </c>
      <c r="D51" s="188" t="s">
        <v>632</v>
      </c>
      <c r="E51" s="191" t="s">
        <v>511</v>
      </c>
      <c r="F51" s="191" t="s">
        <v>511</v>
      </c>
      <c r="G51" s="190" t="s">
        <v>635</v>
      </c>
    </row>
    <row r="52" spans="1:7" ht="15" customHeight="1" x14ac:dyDescent="0.2">
      <c r="A52" s="187" t="s">
        <v>636</v>
      </c>
      <c r="B52" s="188" t="s">
        <v>637</v>
      </c>
      <c r="C52" s="188" t="s">
        <v>638</v>
      </c>
      <c r="D52" s="188" t="s">
        <v>639</v>
      </c>
      <c r="E52" s="191" t="s">
        <v>511</v>
      </c>
      <c r="F52" s="191" t="s">
        <v>640</v>
      </c>
      <c r="G52" s="192" t="s">
        <v>511</v>
      </c>
    </row>
    <row r="53" spans="1:7" ht="15" customHeight="1" x14ac:dyDescent="0.2">
      <c r="A53" s="196" t="s">
        <v>641</v>
      </c>
      <c r="B53" s="188" t="s">
        <v>637</v>
      </c>
      <c r="C53" s="188" t="s">
        <v>638</v>
      </c>
      <c r="D53" s="188" t="s">
        <v>639</v>
      </c>
      <c r="E53" s="191" t="s">
        <v>511</v>
      </c>
      <c r="F53" s="191" t="s">
        <v>511</v>
      </c>
      <c r="G53" s="190" t="s">
        <v>642</v>
      </c>
    </row>
    <row r="54" spans="1:7" ht="15" customHeight="1" x14ac:dyDescent="0.2">
      <c r="A54" s="196" t="s">
        <v>643</v>
      </c>
      <c r="B54" s="188" t="s">
        <v>639</v>
      </c>
      <c r="C54" s="188" t="s">
        <v>644</v>
      </c>
      <c r="D54" s="188" t="s">
        <v>645</v>
      </c>
      <c r="E54" s="191" t="s">
        <v>511</v>
      </c>
      <c r="F54" s="191" t="s">
        <v>646</v>
      </c>
      <c r="G54" s="192" t="s">
        <v>511</v>
      </c>
    </row>
    <row r="55" spans="1:7" ht="15" customHeight="1" x14ac:dyDescent="0.2">
      <c r="A55" s="196" t="s">
        <v>647</v>
      </c>
      <c r="B55" s="188" t="s">
        <v>639</v>
      </c>
      <c r="C55" s="188" t="s">
        <v>644</v>
      </c>
      <c r="D55" s="188" t="s">
        <v>645</v>
      </c>
      <c r="E55" s="191" t="s">
        <v>511</v>
      </c>
      <c r="F55" s="191" t="s">
        <v>511</v>
      </c>
      <c r="G55" s="190" t="s">
        <v>648</v>
      </c>
    </row>
    <row r="56" spans="1:7" ht="15" customHeight="1" x14ac:dyDescent="0.2">
      <c r="A56" s="196" t="s">
        <v>649</v>
      </c>
      <c r="B56" s="188" t="s">
        <v>645</v>
      </c>
      <c r="C56" s="188" t="s">
        <v>650</v>
      </c>
      <c r="D56" s="188" t="s">
        <v>651</v>
      </c>
      <c r="E56" s="191" t="s">
        <v>511</v>
      </c>
      <c r="F56" s="191" t="s">
        <v>652</v>
      </c>
      <c r="G56" s="192" t="s">
        <v>511</v>
      </c>
    </row>
    <row r="57" spans="1:7" ht="15" customHeight="1" x14ac:dyDescent="0.2">
      <c r="A57" s="196" t="s">
        <v>653</v>
      </c>
      <c r="B57" s="188" t="s">
        <v>645</v>
      </c>
      <c r="C57" s="188" t="s">
        <v>650</v>
      </c>
      <c r="D57" s="188" t="s">
        <v>651</v>
      </c>
      <c r="E57" s="191" t="s">
        <v>511</v>
      </c>
      <c r="F57" s="191" t="s">
        <v>511</v>
      </c>
      <c r="G57" s="192" t="s">
        <v>654</v>
      </c>
    </row>
    <row r="58" spans="1:7" ht="15" customHeight="1" x14ac:dyDescent="0.2">
      <c r="A58" s="196" t="s">
        <v>655</v>
      </c>
      <c r="B58" s="188" t="s">
        <v>656</v>
      </c>
      <c r="C58" s="188" t="s">
        <v>657</v>
      </c>
      <c r="D58" s="188" t="s">
        <v>658</v>
      </c>
      <c r="E58" s="191" t="s">
        <v>511</v>
      </c>
      <c r="F58" s="191" t="s">
        <v>659</v>
      </c>
      <c r="G58" s="192" t="s">
        <v>511</v>
      </c>
    </row>
    <row r="59" spans="1:7" ht="15" customHeight="1" x14ac:dyDescent="0.2">
      <c r="A59" s="196" t="s">
        <v>660</v>
      </c>
      <c r="B59" s="188" t="s">
        <v>656</v>
      </c>
      <c r="C59" s="188" t="s">
        <v>657</v>
      </c>
      <c r="D59" s="188" t="s">
        <v>658</v>
      </c>
      <c r="E59" s="191" t="s">
        <v>511</v>
      </c>
      <c r="F59" s="191" t="s">
        <v>511</v>
      </c>
      <c r="G59" s="192" t="s">
        <v>661</v>
      </c>
    </row>
    <row r="60" spans="1:7" ht="15" customHeight="1" x14ac:dyDescent="0.2">
      <c r="A60" s="196" t="s">
        <v>662</v>
      </c>
      <c r="B60" s="188" t="s">
        <v>663</v>
      </c>
      <c r="C60" s="188" t="s">
        <v>664</v>
      </c>
      <c r="D60" s="188" t="s">
        <v>665</v>
      </c>
      <c r="E60" s="191" t="s">
        <v>511</v>
      </c>
      <c r="F60" s="191" t="s">
        <v>666</v>
      </c>
      <c r="G60" s="192" t="s">
        <v>511</v>
      </c>
    </row>
    <row r="61" spans="1:7" ht="15" customHeight="1" x14ac:dyDescent="0.2">
      <c r="A61" s="196" t="s">
        <v>667</v>
      </c>
      <c r="B61" s="188" t="s">
        <v>663</v>
      </c>
      <c r="C61" s="188" t="s">
        <v>664</v>
      </c>
      <c r="D61" s="188" t="s">
        <v>665</v>
      </c>
      <c r="E61" s="191" t="s">
        <v>511</v>
      </c>
      <c r="F61" s="191" t="s">
        <v>511</v>
      </c>
      <c r="G61" s="190" t="s">
        <v>668</v>
      </c>
    </row>
    <row r="62" spans="1:7" ht="15" customHeight="1" x14ac:dyDescent="0.2">
      <c r="A62" s="196" t="s">
        <v>669</v>
      </c>
      <c r="B62" s="188" t="s">
        <v>670</v>
      </c>
      <c r="C62" s="188" t="s">
        <v>671</v>
      </c>
      <c r="D62" s="188" t="s">
        <v>672</v>
      </c>
      <c r="E62" s="191" t="s">
        <v>511</v>
      </c>
      <c r="F62" s="191" t="s">
        <v>673</v>
      </c>
      <c r="G62" s="192" t="s">
        <v>511</v>
      </c>
    </row>
    <row r="63" spans="1:7" ht="15" customHeight="1" x14ac:dyDescent="0.2">
      <c r="A63" s="196" t="s">
        <v>674</v>
      </c>
      <c r="B63" s="188" t="s">
        <v>670</v>
      </c>
      <c r="C63" s="188" t="s">
        <v>671</v>
      </c>
      <c r="D63" s="188" t="s">
        <v>672</v>
      </c>
      <c r="E63" s="191" t="s">
        <v>511</v>
      </c>
      <c r="F63" s="191" t="s">
        <v>511</v>
      </c>
      <c r="G63" s="190" t="s">
        <v>675</v>
      </c>
    </row>
    <row r="64" spans="1:7" ht="15" customHeight="1" x14ac:dyDescent="0.2">
      <c r="A64" s="197" t="s">
        <v>676</v>
      </c>
      <c r="B64" s="188" t="s">
        <v>677</v>
      </c>
      <c r="C64" s="188" t="s">
        <v>678</v>
      </c>
      <c r="D64" s="188" t="s">
        <v>679</v>
      </c>
      <c r="E64" s="191" t="s">
        <v>511</v>
      </c>
      <c r="F64" s="191" t="s">
        <v>680</v>
      </c>
      <c r="G64" s="192" t="s">
        <v>511</v>
      </c>
    </row>
    <row r="65" spans="1:7" ht="15" customHeight="1" x14ac:dyDescent="0.2">
      <c r="A65" s="197" t="s">
        <v>681</v>
      </c>
      <c r="B65" s="188" t="s">
        <v>677</v>
      </c>
      <c r="C65" s="188" t="s">
        <v>678</v>
      </c>
      <c r="D65" s="188" t="s">
        <v>679</v>
      </c>
      <c r="E65" s="191" t="s">
        <v>511</v>
      </c>
      <c r="F65" s="191" t="s">
        <v>511</v>
      </c>
      <c r="G65" s="190" t="s">
        <v>682</v>
      </c>
    </row>
    <row r="66" spans="1:7" ht="15" customHeight="1" x14ac:dyDescent="0.2">
      <c r="A66" s="197" t="s">
        <v>683</v>
      </c>
      <c r="B66" s="188" t="s">
        <v>684</v>
      </c>
      <c r="C66" s="188" t="s">
        <v>685</v>
      </c>
      <c r="D66" s="188" t="s">
        <v>686</v>
      </c>
      <c r="E66" s="191" t="s">
        <v>511</v>
      </c>
      <c r="F66" s="191" t="s">
        <v>687</v>
      </c>
      <c r="G66" s="192" t="s">
        <v>511</v>
      </c>
    </row>
    <row r="67" spans="1:7" ht="15" customHeight="1" x14ac:dyDescent="0.2">
      <c r="A67" s="197" t="s">
        <v>636</v>
      </c>
      <c r="B67" s="188" t="s">
        <v>684</v>
      </c>
      <c r="C67" s="188" t="s">
        <v>685</v>
      </c>
      <c r="D67" s="188" t="s">
        <v>686</v>
      </c>
      <c r="E67" s="191" t="s">
        <v>511</v>
      </c>
      <c r="F67" s="191" t="s">
        <v>511</v>
      </c>
      <c r="G67" s="190" t="s">
        <v>688</v>
      </c>
    </row>
    <row r="68" spans="1:7" ht="15" customHeight="1" x14ac:dyDescent="0.2">
      <c r="A68" s="197" t="s">
        <v>689</v>
      </c>
      <c r="B68" s="188" t="s">
        <v>690</v>
      </c>
      <c r="C68" s="188" t="s">
        <v>691</v>
      </c>
      <c r="D68" s="188" t="s">
        <v>692</v>
      </c>
      <c r="E68" s="191" t="s">
        <v>511</v>
      </c>
      <c r="F68" s="191" t="s">
        <v>693</v>
      </c>
      <c r="G68" s="190" t="s">
        <v>511</v>
      </c>
    </row>
    <row r="69" spans="1:7" ht="15" customHeight="1" x14ac:dyDescent="0.2">
      <c r="A69" s="197" t="s">
        <v>694</v>
      </c>
      <c r="B69" s="188" t="s">
        <v>690</v>
      </c>
      <c r="C69" s="188" t="s">
        <v>691</v>
      </c>
      <c r="D69" s="188" t="s">
        <v>692</v>
      </c>
      <c r="E69" s="191" t="s">
        <v>511</v>
      </c>
      <c r="F69" s="191" t="s">
        <v>511</v>
      </c>
      <c r="G69" s="190" t="s">
        <v>567</v>
      </c>
    </row>
    <row r="70" spans="1:7" ht="15" customHeight="1" x14ac:dyDescent="0.2">
      <c r="A70" s="197" t="s">
        <v>695</v>
      </c>
      <c r="B70" s="188" t="s">
        <v>692</v>
      </c>
      <c r="C70" s="188" t="s">
        <v>696</v>
      </c>
      <c r="D70" s="188" t="s">
        <v>697</v>
      </c>
      <c r="E70" s="191" t="s">
        <v>511</v>
      </c>
      <c r="F70" s="191" t="s">
        <v>698</v>
      </c>
      <c r="G70" s="190" t="s">
        <v>511</v>
      </c>
    </row>
    <row r="71" spans="1:7" ht="15" customHeight="1" x14ac:dyDescent="0.2">
      <c r="A71" s="197" t="s">
        <v>699</v>
      </c>
      <c r="B71" s="188" t="s">
        <v>692</v>
      </c>
      <c r="C71" s="188" t="s">
        <v>696</v>
      </c>
      <c r="D71" s="188" t="s">
        <v>697</v>
      </c>
      <c r="E71" s="191" t="s">
        <v>511</v>
      </c>
      <c r="F71" s="191" t="s">
        <v>511</v>
      </c>
      <c r="G71" s="190" t="s">
        <v>577</v>
      </c>
    </row>
    <row r="72" spans="1:7" ht="15" customHeight="1" x14ac:dyDescent="0.2">
      <c r="A72" s="197" t="s">
        <v>700</v>
      </c>
      <c r="B72" s="188" t="s">
        <v>701</v>
      </c>
      <c r="C72" s="188" t="s">
        <v>702</v>
      </c>
      <c r="D72" s="188" t="s">
        <v>703</v>
      </c>
      <c r="E72" s="191" t="s">
        <v>511</v>
      </c>
      <c r="F72" s="191" t="s">
        <v>704</v>
      </c>
      <c r="G72" s="190" t="s">
        <v>511</v>
      </c>
    </row>
    <row r="73" spans="1:7" ht="15" customHeight="1" x14ac:dyDescent="0.2">
      <c r="A73" s="197" t="s">
        <v>705</v>
      </c>
      <c r="B73" s="188" t="s">
        <v>701</v>
      </c>
      <c r="C73" s="188" t="s">
        <v>702</v>
      </c>
      <c r="D73" s="188" t="s">
        <v>703</v>
      </c>
      <c r="E73" s="191" t="s">
        <v>511</v>
      </c>
      <c r="F73" s="191" t="s">
        <v>511</v>
      </c>
      <c r="G73" s="190" t="s">
        <v>706</v>
      </c>
    </row>
    <row r="74" spans="1:7" ht="15" customHeight="1" x14ac:dyDescent="0.2">
      <c r="A74" s="197" t="s">
        <v>707</v>
      </c>
      <c r="B74" s="188" t="s">
        <v>703</v>
      </c>
      <c r="C74" s="188" t="s">
        <v>708</v>
      </c>
      <c r="D74" s="188" t="s">
        <v>709</v>
      </c>
      <c r="E74" s="191" t="s">
        <v>511</v>
      </c>
      <c r="F74" s="191" t="s">
        <v>710</v>
      </c>
      <c r="G74" s="190" t="s">
        <v>511</v>
      </c>
    </row>
    <row r="75" spans="1:7" ht="15" customHeight="1" x14ac:dyDescent="0.2">
      <c r="A75" s="197" t="s">
        <v>711</v>
      </c>
      <c r="B75" s="188" t="s">
        <v>703</v>
      </c>
      <c r="C75" s="188" t="s">
        <v>708</v>
      </c>
      <c r="D75" s="188" t="s">
        <v>709</v>
      </c>
      <c r="E75" s="191" t="s">
        <v>511</v>
      </c>
      <c r="F75" s="191" t="s">
        <v>511</v>
      </c>
      <c r="G75" s="190" t="s">
        <v>712</v>
      </c>
    </row>
    <row r="76" spans="1:7" ht="15" customHeight="1" x14ac:dyDescent="0.2">
      <c r="A76" s="197" t="s">
        <v>713</v>
      </c>
      <c r="B76" s="188" t="s">
        <v>714</v>
      </c>
      <c r="C76" s="188" t="s">
        <v>715</v>
      </c>
      <c r="D76" s="188" t="s">
        <v>716</v>
      </c>
      <c r="E76" s="191" t="s">
        <v>511</v>
      </c>
      <c r="F76" s="191" t="s">
        <v>717</v>
      </c>
      <c r="G76" s="190" t="s">
        <v>511</v>
      </c>
    </row>
    <row r="77" spans="1:7" ht="15" customHeight="1" x14ac:dyDescent="0.2">
      <c r="A77" s="197" t="s">
        <v>718</v>
      </c>
      <c r="B77" s="188" t="s">
        <v>714</v>
      </c>
      <c r="C77" s="188" t="s">
        <v>715</v>
      </c>
      <c r="D77" s="188" t="s">
        <v>716</v>
      </c>
      <c r="E77" s="191" t="s">
        <v>511</v>
      </c>
      <c r="F77" s="191" t="s">
        <v>511</v>
      </c>
      <c r="G77" s="190" t="s">
        <v>719</v>
      </c>
    </row>
    <row r="78" spans="1:7" ht="15" customHeight="1" x14ac:dyDescent="0.2">
      <c r="A78" s="196" t="s">
        <v>720</v>
      </c>
      <c r="B78" s="198" t="s">
        <v>721</v>
      </c>
      <c r="C78" s="199" t="s">
        <v>722</v>
      </c>
      <c r="D78" s="199">
        <v>34942</v>
      </c>
      <c r="E78" s="200" t="s">
        <v>511</v>
      </c>
      <c r="F78" s="201">
        <v>0.43840000000000001</v>
      </c>
      <c r="G78" s="194" t="s">
        <v>511</v>
      </c>
    </row>
    <row r="79" spans="1:7" ht="15" customHeight="1" x14ac:dyDescent="0.2">
      <c r="A79" s="196" t="s">
        <v>723</v>
      </c>
      <c r="B79" s="202" t="s">
        <v>721</v>
      </c>
      <c r="C79" s="202" t="s">
        <v>722</v>
      </c>
      <c r="D79" s="199">
        <v>34942</v>
      </c>
      <c r="E79" s="200" t="s">
        <v>511</v>
      </c>
      <c r="F79" s="200" t="s">
        <v>511</v>
      </c>
      <c r="G79" s="203">
        <v>0.45329999999999998</v>
      </c>
    </row>
    <row r="80" spans="1:7" ht="15" customHeight="1" x14ac:dyDescent="0.2">
      <c r="A80" s="196" t="s">
        <v>724</v>
      </c>
      <c r="B80" s="204" t="s">
        <v>725</v>
      </c>
      <c r="C80" s="198" t="s">
        <v>726</v>
      </c>
      <c r="D80" s="205">
        <v>35003</v>
      </c>
      <c r="E80" s="191" t="s">
        <v>511</v>
      </c>
      <c r="F80" s="189">
        <v>0.44619999999999999</v>
      </c>
      <c r="G80" s="192" t="s">
        <v>511</v>
      </c>
    </row>
    <row r="81" spans="1:7" ht="15" customHeight="1" x14ac:dyDescent="0.2">
      <c r="A81" s="196" t="s">
        <v>727</v>
      </c>
      <c r="B81" s="204" t="s">
        <v>725</v>
      </c>
      <c r="C81" s="198" t="s">
        <v>726</v>
      </c>
      <c r="D81" s="205">
        <v>35003</v>
      </c>
      <c r="E81" s="206" t="s">
        <v>511</v>
      </c>
      <c r="F81" s="191" t="s">
        <v>511</v>
      </c>
      <c r="G81" s="194">
        <v>0.46350000000000002</v>
      </c>
    </row>
    <row r="82" spans="1:7" ht="15" customHeight="1" x14ac:dyDescent="0.2">
      <c r="A82" s="207" t="s">
        <v>728</v>
      </c>
      <c r="B82" s="208" t="s">
        <v>729</v>
      </c>
      <c r="C82" s="208" t="s">
        <v>730</v>
      </c>
      <c r="D82" s="209">
        <v>35064</v>
      </c>
      <c r="E82" s="210" t="s">
        <v>511</v>
      </c>
      <c r="F82" s="211">
        <v>0.42720000000000002</v>
      </c>
      <c r="G82" s="212"/>
    </row>
    <row r="83" spans="1:7" ht="15" customHeight="1" x14ac:dyDescent="0.2">
      <c r="A83" s="196" t="s">
        <v>731</v>
      </c>
      <c r="B83" s="198" t="s">
        <v>729</v>
      </c>
      <c r="C83" s="198" t="s">
        <v>730</v>
      </c>
      <c r="D83" s="205">
        <v>35064</v>
      </c>
      <c r="E83" s="206" t="s">
        <v>511</v>
      </c>
      <c r="F83" s="206" t="s">
        <v>511</v>
      </c>
      <c r="G83" s="194">
        <v>0.43480000000000002</v>
      </c>
    </row>
    <row r="84" spans="1:7" ht="15" customHeight="1" x14ac:dyDescent="0.2">
      <c r="A84" s="196" t="s">
        <v>732</v>
      </c>
      <c r="B84" s="198" t="s">
        <v>733</v>
      </c>
      <c r="C84" s="198" t="s">
        <v>734</v>
      </c>
      <c r="D84" s="205">
        <v>35124</v>
      </c>
      <c r="E84" s="206" t="s">
        <v>511</v>
      </c>
      <c r="F84" s="189">
        <v>0.4027</v>
      </c>
      <c r="G84" s="190" t="s">
        <v>511</v>
      </c>
    </row>
    <row r="85" spans="1:7" ht="15" customHeight="1" x14ac:dyDescent="0.2">
      <c r="A85" s="196" t="s">
        <v>735</v>
      </c>
      <c r="B85" s="198" t="s">
        <v>733</v>
      </c>
      <c r="C85" s="198" t="s">
        <v>734</v>
      </c>
      <c r="D85" s="205">
        <v>35124</v>
      </c>
      <c r="E85" s="206" t="s">
        <v>511</v>
      </c>
      <c r="F85" s="206" t="s">
        <v>511</v>
      </c>
      <c r="G85" s="194">
        <v>0.42320000000000002</v>
      </c>
    </row>
    <row r="86" spans="1:7" ht="15" customHeight="1" x14ac:dyDescent="0.2">
      <c r="A86" s="196" t="s">
        <v>736</v>
      </c>
      <c r="B86" s="204" t="s">
        <v>737</v>
      </c>
      <c r="C86" s="204" t="s">
        <v>738</v>
      </c>
      <c r="D86" s="205">
        <v>35185</v>
      </c>
      <c r="E86" s="206" t="s">
        <v>511</v>
      </c>
      <c r="F86" s="213">
        <v>0.41370000000000001</v>
      </c>
      <c r="G86" s="194"/>
    </row>
    <row r="87" spans="1:7" ht="15" customHeight="1" x14ac:dyDescent="0.2">
      <c r="A87" s="214" t="s">
        <v>739</v>
      </c>
      <c r="B87" s="204" t="s">
        <v>737</v>
      </c>
      <c r="C87" s="204" t="s">
        <v>738</v>
      </c>
      <c r="D87" s="205">
        <v>35185</v>
      </c>
      <c r="E87" s="206" t="s">
        <v>511</v>
      </c>
      <c r="F87" s="206" t="s">
        <v>511</v>
      </c>
      <c r="G87" s="194">
        <v>0.43319999999999997</v>
      </c>
    </row>
    <row r="88" spans="1:7" ht="15" customHeight="1" x14ac:dyDescent="0.2">
      <c r="A88" s="187" t="s">
        <v>740</v>
      </c>
      <c r="B88" s="204" t="s">
        <v>741</v>
      </c>
      <c r="C88" s="204" t="s">
        <v>742</v>
      </c>
      <c r="D88" s="205">
        <v>35246</v>
      </c>
      <c r="E88" s="206" t="s">
        <v>511</v>
      </c>
      <c r="F88" s="213">
        <v>0.4219</v>
      </c>
      <c r="G88" s="194" t="s">
        <v>511</v>
      </c>
    </row>
    <row r="89" spans="1:7" ht="15" customHeight="1" x14ac:dyDescent="0.2">
      <c r="A89" s="187" t="s">
        <v>743</v>
      </c>
      <c r="B89" s="204" t="s">
        <v>741</v>
      </c>
      <c r="C89" s="198" t="s">
        <v>742</v>
      </c>
      <c r="D89" s="205">
        <v>35246</v>
      </c>
      <c r="E89" s="206" t="s">
        <v>511</v>
      </c>
      <c r="F89" s="206" t="s">
        <v>511</v>
      </c>
      <c r="G89" s="203">
        <v>0.43780000000000002</v>
      </c>
    </row>
    <row r="90" spans="1:7" ht="15" customHeight="1" x14ac:dyDescent="0.2">
      <c r="A90" s="187" t="s">
        <v>744</v>
      </c>
      <c r="B90" s="204" t="s">
        <v>745</v>
      </c>
      <c r="C90" s="204" t="s">
        <v>746</v>
      </c>
      <c r="D90" s="205">
        <v>35308</v>
      </c>
      <c r="E90" s="206" t="s">
        <v>511</v>
      </c>
      <c r="F90" s="213">
        <v>0.4294</v>
      </c>
      <c r="G90" s="194" t="s">
        <v>511</v>
      </c>
    </row>
    <row r="91" spans="1:7" ht="15" customHeight="1" x14ac:dyDescent="0.2">
      <c r="A91" s="196" t="s">
        <v>747</v>
      </c>
      <c r="B91" s="204" t="s">
        <v>745</v>
      </c>
      <c r="C91" s="204" t="s">
        <v>746</v>
      </c>
      <c r="D91" s="205">
        <v>35308</v>
      </c>
      <c r="E91" s="206" t="s">
        <v>511</v>
      </c>
      <c r="F91" s="206" t="s">
        <v>511</v>
      </c>
      <c r="G91" s="194">
        <v>0.44529999999999997</v>
      </c>
    </row>
    <row r="92" spans="1:7" ht="15" customHeight="1" x14ac:dyDescent="0.2">
      <c r="A92" s="196" t="s">
        <v>748</v>
      </c>
      <c r="B92" s="204" t="s">
        <v>749</v>
      </c>
      <c r="C92" s="204" t="s">
        <v>750</v>
      </c>
      <c r="D92" s="205">
        <v>35369</v>
      </c>
      <c r="E92" s="206" t="s">
        <v>511</v>
      </c>
      <c r="F92" s="189">
        <v>0.4229</v>
      </c>
      <c r="G92" s="190" t="s">
        <v>511</v>
      </c>
    </row>
    <row r="93" spans="1:7" ht="15" customHeight="1" x14ac:dyDescent="0.2">
      <c r="A93" s="196" t="s">
        <v>751</v>
      </c>
      <c r="B93" s="204" t="s">
        <v>749</v>
      </c>
      <c r="C93" s="204" t="s">
        <v>750</v>
      </c>
      <c r="D93" s="205">
        <v>35369</v>
      </c>
      <c r="E93" s="206" t="s">
        <v>511</v>
      </c>
      <c r="F93" s="206" t="s">
        <v>511</v>
      </c>
      <c r="G93" s="203">
        <v>0.44040000000000001</v>
      </c>
    </row>
    <row r="94" spans="1:7" ht="15" customHeight="1" x14ac:dyDescent="0.2">
      <c r="A94" s="196" t="s">
        <v>752</v>
      </c>
      <c r="B94" s="198" t="s">
        <v>753</v>
      </c>
      <c r="C94" s="198" t="s">
        <v>754</v>
      </c>
      <c r="D94" s="205">
        <v>35430</v>
      </c>
      <c r="E94" s="206" t="s">
        <v>511</v>
      </c>
      <c r="F94" s="189">
        <v>0.41370000000000001</v>
      </c>
      <c r="G94" s="190" t="s">
        <v>511</v>
      </c>
    </row>
    <row r="95" spans="1:7" ht="15" customHeight="1" x14ac:dyDescent="0.2">
      <c r="A95" s="196" t="s">
        <v>755</v>
      </c>
      <c r="B95" s="198" t="s">
        <v>753</v>
      </c>
      <c r="C95" s="198" t="s">
        <v>754</v>
      </c>
      <c r="D95" s="205">
        <v>35430</v>
      </c>
      <c r="E95" s="206" t="s">
        <v>511</v>
      </c>
      <c r="F95" s="189"/>
      <c r="G95" s="203">
        <v>0.42949999999999999</v>
      </c>
    </row>
    <row r="96" spans="1:7" ht="15" customHeight="1" x14ac:dyDescent="0.2">
      <c r="A96" s="196" t="s">
        <v>756</v>
      </c>
      <c r="B96" s="198" t="s">
        <v>757</v>
      </c>
      <c r="C96" s="198" t="s">
        <v>758</v>
      </c>
      <c r="D96" s="205">
        <v>35489</v>
      </c>
      <c r="E96" s="206" t="s">
        <v>511</v>
      </c>
      <c r="F96" s="189">
        <v>0.3977</v>
      </c>
      <c r="G96" s="190" t="s">
        <v>511</v>
      </c>
    </row>
    <row r="97" spans="1:7" ht="15" customHeight="1" x14ac:dyDescent="0.2">
      <c r="A97" s="196" t="s">
        <v>759</v>
      </c>
      <c r="B97" s="198" t="s">
        <v>757</v>
      </c>
      <c r="C97" s="198" t="s">
        <v>758</v>
      </c>
      <c r="D97" s="205">
        <v>35489</v>
      </c>
      <c r="E97" s="206" t="s">
        <v>511</v>
      </c>
      <c r="F97" s="206" t="s">
        <v>511</v>
      </c>
      <c r="G97" s="203">
        <v>0.4168</v>
      </c>
    </row>
    <row r="98" spans="1:7" ht="15" customHeight="1" x14ac:dyDescent="0.2">
      <c r="A98" s="196" t="s">
        <v>760</v>
      </c>
      <c r="B98" s="198" t="s">
        <v>761</v>
      </c>
      <c r="C98" s="198" t="s">
        <v>762</v>
      </c>
      <c r="D98" s="205">
        <v>35550</v>
      </c>
      <c r="E98" s="206" t="s">
        <v>511</v>
      </c>
      <c r="F98" s="189">
        <v>0.38950000000000001</v>
      </c>
      <c r="G98" s="190" t="s">
        <v>511</v>
      </c>
    </row>
    <row r="99" spans="1:7" ht="15" customHeight="1" x14ac:dyDescent="0.2">
      <c r="A99" s="196" t="s">
        <v>763</v>
      </c>
      <c r="B99" s="198" t="s">
        <v>761</v>
      </c>
      <c r="C99" s="198" t="s">
        <v>762</v>
      </c>
      <c r="D99" s="205">
        <v>35550</v>
      </c>
      <c r="E99" s="200" t="s">
        <v>511</v>
      </c>
      <c r="F99" s="200" t="s">
        <v>511</v>
      </c>
      <c r="G99" s="203">
        <v>0.40629999999999999</v>
      </c>
    </row>
    <row r="100" spans="1:7" ht="15" customHeight="1" x14ac:dyDescent="0.2">
      <c r="A100" s="196" t="s">
        <v>764</v>
      </c>
      <c r="B100" s="204" t="s">
        <v>765</v>
      </c>
      <c r="C100" s="198" t="s">
        <v>766</v>
      </c>
      <c r="D100" s="205">
        <v>35611</v>
      </c>
      <c r="E100" s="200" t="s">
        <v>511</v>
      </c>
      <c r="F100" s="189">
        <v>0.36990000000000001</v>
      </c>
      <c r="G100" s="190" t="s">
        <v>511</v>
      </c>
    </row>
    <row r="101" spans="1:7" ht="15" customHeight="1" x14ac:dyDescent="0.2">
      <c r="A101" s="196" t="s">
        <v>767</v>
      </c>
      <c r="B101" s="204" t="s">
        <v>765</v>
      </c>
      <c r="C101" s="198" t="s">
        <v>766</v>
      </c>
      <c r="D101" s="205">
        <v>35611</v>
      </c>
      <c r="E101" s="200" t="s">
        <v>511</v>
      </c>
      <c r="F101" s="189" t="s">
        <v>511</v>
      </c>
      <c r="G101" s="194">
        <v>0.38679999999999998</v>
      </c>
    </row>
    <row r="102" spans="1:7" ht="15" customHeight="1" x14ac:dyDescent="0.2">
      <c r="A102" s="196" t="s">
        <v>768</v>
      </c>
      <c r="B102" s="204" t="s">
        <v>769</v>
      </c>
      <c r="C102" s="198" t="s">
        <v>770</v>
      </c>
      <c r="D102" s="205">
        <v>35673</v>
      </c>
      <c r="E102" s="200" t="s">
        <v>511</v>
      </c>
      <c r="F102" s="189">
        <v>0.36499999999999999</v>
      </c>
      <c r="G102" s="190" t="s">
        <v>511</v>
      </c>
    </row>
    <row r="103" spans="1:7" ht="15" customHeight="1" x14ac:dyDescent="0.2">
      <c r="A103" s="196" t="s">
        <v>771</v>
      </c>
      <c r="B103" s="204" t="s">
        <v>769</v>
      </c>
      <c r="C103" s="205" t="s">
        <v>770</v>
      </c>
      <c r="D103" s="205">
        <v>35673</v>
      </c>
      <c r="E103" s="200" t="s">
        <v>511</v>
      </c>
      <c r="F103" s="200"/>
      <c r="G103" s="203">
        <v>0.38290000000000002</v>
      </c>
    </row>
    <row r="104" spans="1:7" ht="15" customHeight="1" x14ac:dyDescent="0.2">
      <c r="A104" s="196" t="s">
        <v>772</v>
      </c>
      <c r="B104" s="198" t="s">
        <v>773</v>
      </c>
      <c r="C104" s="199" t="s">
        <v>774</v>
      </c>
      <c r="D104" s="199">
        <v>35703</v>
      </c>
      <c r="E104" s="200" t="s">
        <v>511</v>
      </c>
      <c r="F104" s="189">
        <v>0.31840000000000002</v>
      </c>
      <c r="G104" s="190" t="s">
        <v>511</v>
      </c>
    </row>
    <row r="105" spans="1:7" ht="15" customHeight="1" x14ac:dyDescent="0.2">
      <c r="A105" s="196" t="s">
        <v>775</v>
      </c>
      <c r="B105" s="198" t="s">
        <v>773</v>
      </c>
      <c r="C105" s="199" t="s">
        <v>774</v>
      </c>
      <c r="D105" s="199">
        <v>35703</v>
      </c>
      <c r="E105" s="200" t="s">
        <v>511</v>
      </c>
      <c r="F105" s="201" t="s">
        <v>511</v>
      </c>
      <c r="G105" s="194">
        <v>0.36820000000000003</v>
      </c>
    </row>
    <row r="106" spans="1:7" ht="15" customHeight="1" x14ac:dyDescent="0.2">
      <c r="A106" s="196" t="s">
        <v>776</v>
      </c>
      <c r="B106" s="198" t="s">
        <v>777</v>
      </c>
      <c r="C106" s="199" t="s">
        <v>778</v>
      </c>
      <c r="D106" s="199">
        <v>35734</v>
      </c>
      <c r="E106" s="200" t="s">
        <v>511</v>
      </c>
      <c r="F106" s="201">
        <v>0.31330000000000002</v>
      </c>
      <c r="G106" s="194" t="s">
        <v>511</v>
      </c>
    </row>
    <row r="107" spans="1:7" ht="15" customHeight="1" x14ac:dyDescent="0.2">
      <c r="A107" s="196" t="s">
        <v>779</v>
      </c>
      <c r="B107" s="198" t="s">
        <v>777</v>
      </c>
      <c r="C107" s="199" t="s">
        <v>778</v>
      </c>
      <c r="D107" s="199">
        <v>35734</v>
      </c>
      <c r="E107" s="200" t="s">
        <v>511</v>
      </c>
      <c r="F107" s="189" t="s">
        <v>511</v>
      </c>
      <c r="G107" s="215">
        <v>0.35439999999999999</v>
      </c>
    </row>
    <row r="108" spans="1:7" ht="15" customHeight="1" x14ac:dyDescent="0.2">
      <c r="A108" s="196" t="s">
        <v>780</v>
      </c>
      <c r="B108" s="198" t="s">
        <v>781</v>
      </c>
      <c r="C108" s="199" t="s">
        <v>782</v>
      </c>
      <c r="D108" s="199">
        <v>35764</v>
      </c>
      <c r="E108" s="200" t="s">
        <v>511</v>
      </c>
      <c r="F108" s="201">
        <v>0.31469999999999998</v>
      </c>
      <c r="G108" s="194" t="s">
        <v>511</v>
      </c>
    </row>
    <row r="109" spans="1:7" ht="15" customHeight="1" x14ac:dyDescent="0.2">
      <c r="A109" s="196" t="s">
        <v>783</v>
      </c>
      <c r="B109" s="198" t="s">
        <v>781</v>
      </c>
      <c r="C109" s="199" t="s">
        <v>782</v>
      </c>
      <c r="D109" s="199">
        <v>35764</v>
      </c>
      <c r="E109" s="200" t="s">
        <v>511</v>
      </c>
      <c r="F109" s="189" t="s">
        <v>511</v>
      </c>
      <c r="G109" s="215">
        <v>0.3599</v>
      </c>
    </row>
    <row r="110" spans="1:7" ht="15" customHeight="1" x14ac:dyDescent="0.2">
      <c r="A110" s="196" t="s">
        <v>784</v>
      </c>
      <c r="B110" s="198" t="s">
        <v>785</v>
      </c>
      <c r="C110" s="199" t="s">
        <v>786</v>
      </c>
      <c r="D110" s="199">
        <v>35795</v>
      </c>
      <c r="E110" s="200" t="s">
        <v>511</v>
      </c>
      <c r="F110" s="189">
        <v>0.31740000000000002</v>
      </c>
      <c r="G110" s="194" t="s">
        <v>511</v>
      </c>
    </row>
    <row r="111" spans="1:7" ht="15" customHeight="1" x14ac:dyDescent="0.2">
      <c r="A111" s="196" t="s">
        <v>787</v>
      </c>
      <c r="B111" s="198" t="s">
        <v>785</v>
      </c>
      <c r="C111" s="199" t="s">
        <v>786</v>
      </c>
      <c r="D111" s="199">
        <v>35795</v>
      </c>
      <c r="E111" s="200" t="s">
        <v>511</v>
      </c>
      <c r="F111" s="189" t="s">
        <v>511</v>
      </c>
      <c r="G111" s="194">
        <v>0.36009999999999998</v>
      </c>
    </row>
    <row r="112" spans="1:7" ht="15" customHeight="1" x14ac:dyDescent="0.2">
      <c r="A112" s="196" t="s">
        <v>788</v>
      </c>
      <c r="B112" s="198" t="s">
        <v>789</v>
      </c>
      <c r="C112" s="199" t="s">
        <v>790</v>
      </c>
      <c r="D112" s="199">
        <v>35826</v>
      </c>
      <c r="E112" s="200" t="s">
        <v>511</v>
      </c>
      <c r="F112" s="189">
        <v>0.31690000000000002</v>
      </c>
      <c r="G112" s="194" t="s">
        <v>511</v>
      </c>
    </row>
    <row r="113" spans="1:7" ht="15" customHeight="1" x14ac:dyDescent="0.2">
      <c r="A113" s="196" t="s">
        <v>791</v>
      </c>
      <c r="B113" s="198" t="s">
        <v>789</v>
      </c>
      <c r="C113" s="199" t="s">
        <v>790</v>
      </c>
      <c r="D113" s="199">
        <v>35826</v>
      </c>
      <c r="E113" s="200" t="s">
        <v>511</v>
      </c>
      <c r="F113" s="189" t="s">
        <v>511</v>
      </c>
      <c r="G113" s="194">
        <v>0.35289999999999999</v>
      </c>
    </row>
    <row r="114" spans="1:7" ht="15" customHeight="1" x14ac:dyDescent="0.2">
      <c r="A114" s="196" t="s">
        <v>792</v>
      </c>
      <c r="B114" s="198" t="s">
        <v>793</v>
      </c>
      <c r="C114" s="199" t="s">
        <v>794</v>
      </c>
      <c r="D114" s="199">
        <v>35854</v>
      </c>
      <c r="E114" s="200" t="s">
        <v>511</v>
      </c>
      <c r="F114" s="201">
        <v>0.3256</v>
      </c>
      <c r="G114" s="194" t="s">
        <v>511</v>
      </c>
    </row>
    <row r="115" spans="1:7" ht="15" customHeight="1" x14ac:dyDescent="0.2">
      <c r="A115" s="196" t="s">
        <v>795</v>
      </c>
      <c r="B115" s="198" t="s">
        <v>793</v>
      </c>
      <c r="C115" s="199" t="s">
        <v>794</v>
      </c>
      <c r="D115" s="199">
        <v>35854</v>
      </c>
      <c r="E115" s="200" t="s">
        <v>511</v>
      </c>
      <c r="F115" s="189" t="s">
        <v>511</v>
      </c>
      <c r="G115" s="215">
        <v>0.37069999999999997</v>
      </c>
    </row>
    <row r="116" spans="1:7" ht="15" customHeight="1" x14ac:dyDescent="0.2">
      <c r="A116" s="196" t="s">
        <v>796</v>
      </c>
      <c r="B116" s="198" t="s">
        <v>797</v>
      </c>
      <c r="C116" s="199" t="s">
        <v>798</v>
      </c>
      <c r="D116" s="199">
        <v>35885</v>
      </c>
      <c r="E116" s="200" t="s">
        <v>511</v>
      </c>
      <c r="F116" s="201">
        <v>0.32150000000000001</v>
      </c>
      <c r="G116" s="194" t="s">
        <v>511</v>
      </c>
    </row>
    <row r="117" spans="1:7" ht="15" customHeight="1" x14ac:dyDescent="0.2">
      <c r="A117" s="196" t="s">
        <v>799</v>
      </c>
      <c r="B117" s="198" t="s">
        <v>797</v>
      </c>
      <c r="C117" s="199" t="s">
        <v>798</v>
      </c>
      <c r="D117" s="199">
        <v>35885</v>
      </c>
      <c r="E117" s="200" t="s">
        <v>511</v>
      </c>
      <c r="F117" s="189" t="s">
        <v>511</v>
      </c>
      <c r="G117" s="215">
        <v>0.35599999999999998</v>
      </c>
    </row>
    <row r="118" spans="1:7" ht="15" customHeight="1" x14ac:dyDescent="0.2">
      <c r="A118" s="196" t="s">
        <v>800</v>
      </c>
      <c r="B118" s="198" t="s">
        <v>801</v>
      </c>
      <c r="C118" s="199" t="s">
        <v>802</v>
      </c>
      <c r="D118" s="199">
        <v>35915</v>
      </c>
      <c r="E118" s="200" t="s">
        <v>511</v>
      </c>
      <c r="F118" s="189">
        <v>0.36280000000000001</v>
      </c>
      <c r="G118" s="215" t="s">
        <v>511</v>
      </c>
    </row>
    <row r="119" spans="1:7" ht="15" customHeight="1" x14ac:dyDescent="0.2">
      <c r="A119" s="196" t="s">
        <v>803</v>
      </c>
      <c r="B119" s="198" t="s">
        <v>801</v>
      </c>
      <c r="C119" s="199" t="s">
        <v>802</v>
      </c>
      <c r="D119" s="199">
        <v>35915</v>
      </c>
      <c r="E119" s="200" t="s">
        <v>511</v>
      </c>
      <c r="F119" s="189" t="s">
        <v>511</v>
      </c>
      <c r="G119" s="215">
        <v>0.3901</v>
      </c>
    </row>
    <row r="120" spans="1:7" ht="15" customHeight="1" x14ac:dyDescent="0.2">
      <c r="A120" s="196" t="s">
        <v>804</v>
      </c>
      <c r="B120" s="198" t="s">
        <v>805</v>
      </c>
      <c r="C120" s="199" t="s">
        <v>806</v>
      </c>
      <c r="D120" s="199">
        <v>35946</v>
      </c>
      <c r="E120" s="200" t="s">
        <v>511</v>
      </c>
      <c r="F120" s="189">
        <v>0.38390000000000002</v>
      </c>
      <c r="G120" s="215" t="s">
        <v>511</v>
      </c>
    </row>
    <row r="121" spans="1:7" ht="15" customHeight="1" x14ac:dyDescent="0.2">
      <c r="A121" s="196" t="s">
        <v>807</v>
      </c>
      <c r="B121" s="198" t="s">
        <v>805</v>
      </c>
      <c r="C121" s="199" t="s">
        <v>806</v>
      </c>
      <c r="D121" s="199">
        <v>35946</v>
      </c>
      <c r="E121" s="200" t="s">
        <v>511</v>
      </c>
      <c r="F121" s="189" t="s">
        <v>511</v>
      </c>
      <c r="G121" s="215">
        <v>0.40579999999999999</v>
      </c>
    </row>
    <row r="122" spans="1:7" ht="15" customHeight="1" x14ac:dyDescent="0.2">
      <c r="A122" s="196" t="s">
        <v>808</v>
      </c>
      <c r="B122" s="198" t="s">
        <v>809</v>
      </c>
      <c r="C122" s="199" t="s">
        <v>810</v>
      </c>
      <c r="D122" s="199">
        <v>35976</v>
      </c>
      <c r="E122" s="200" t="s">
        <v>511</v>
      </c>
      <c r="F122" s="189">
        <v>0.39510000000000001</v>
      </c>
      <c r="G122" s="215" t="s">
        <v>511</v>
      </c>
    </row>
    <row r="123" spans="1:7" ht="15" customHeight="1" x14ac:dyDescent="0.2">
      <c r="A123" s="196" t="s">
        <v>811</v>
      </c>
      <c r="B123" s="198" t="s">
        <v>809</v>
      </c>
      <c r="C123" s="199" t="s">
        <v>810</v>
      </c>
      <c r="D123" s="199">
        <v>35976</v>
      </c>
      <c r="E123" s="200" t="s">
        <v>511</v>
      </c>
      <c r="F123" s="189" t="s">
        <v>511</v>
      </c>
      <c r="G123" s="215">
        <v>0.41649999999999998</v>
      </c>
    </row>
    <row r="124" spans="1:7" ht="15" customHeight="1" x14ac:dyDescent="0.2">
      <c r="A124" s="196" t="s">
        <v>812</v>
      </c>
      <c r="B124" s="198" t="s">
        <v>813</v>
      </c>
      <c r="C124" s="199" t="s">
        <v>814</v>
      </c>
      <c r="D124" s="199">
        <v>36007</v>
      </c>
      <c r="E124" s="200" t="s">
        <v>511</v>
      </c>
      <c r="F124" s="189">
        <v>0.4783</v>
      </c>
      <c r="G124" s="215" t="s">
        <v>511</v>
      </c>
    </row>
    <row r="125" spans="1:7" ht="15" customHeight="1" x14ac:dyDescent="0.2">
      <c r="A125" s="196" t="s">
        <v>815</v>
      </c>
      <c r="B125" s="198" t="s">
        <v>813</v>
      </c>
      <c r="C125" s="199" t="s">
        <v>814</v>
      </c>
      <c r="D125" s="199">
        <v>36007</v>
      </c>
      <c r="E125" s="200" t="s">
        <v>511</v>
      </c>
      <c r="F125" s="189" t="s">
        <v>511</v>
      </c>
      <c r="G125" s="215">
        <v>0.4798</v>
      </c>
    </row>
    <row r="126" spans="1:7" ht="15" customHeight="1" x14ac:dyDescent="0.2">
      <c r="A126" s="196" t="s">
        <v>816</v>
      </c>
      <c r="B126" s="198" t="s">
        <v>817</v>
      </c>
      <c r="C126" s="199" t="s">
        <v>818</v>
      </c>
      <c r="D126" s="199">
        <v>36038</v>
      </c>
      <c r="E126" s="200" t="s">
        <v>511</v>
      </c>
      <c r="F126" s="189">
        <v>0.48409999999999997</v>
      </c>
      <c r="G126" s="215" t="s">
        <v>511</v>
      </c>
    </row>
    <row r="127" spans="1:7" ht="15" customHeight="1" x14ac:dyDescent="0.2">
      <c r="A127" s="196" t="s">
        <v>819</v>
      </c>
      <c r="B127" s="198" t="s">
        <v>817</v>
      </c>
      <c r="C127" s="199" t="s">
        <v>818</v>
      </c>
      <c r="D127" s="199">
        <v>36038</v>
      </c>
      <c r="E127" s="200" t="s">
        <v>511</v>
      </c>
      <c r="F127" s="189" t="s">
        <v>511</v>
      </c>
      <c r="G127" s="215">
        <v>0.49690000000000001</v>
      </c>
    </row>
    <row r="128" spans="1:7" ht="15" customHeight="1" x14ac:dyDescent="0.2">
      <c r="A128" s="196" t="s">
        <v>820</v>
      </c>
      <c r="B128" s="198" t="s">
        <v>821</v>
      </c>
      <c r="C128" s="199" t="s">
        <v>822</v>
      </c>
      <c r="D128" s="199">
        <v>36068</v>
      </c>
      <c r="E128" s="200" t="s">
        <v>511</v>
      </c>
      <c r="F128" s="189">
        <v>0.432</v>
      </c>
      <c r="G128" s="215" t="s">
        <v>511</v>
      </c>
    </row>
    <row r="129" spans="1:7" ht="15" customHeight="1" x14ac:dyDescent="0.2">
      <c r="A129" s="196" t="s">
        <v>823</v>
      </c>
      <c r="B129" s="198" t="s">
        <v>821</v>
      </c>
      <c r="C129" s="199" t="s">
        <v>822</v>
      </c>
      <c r="D129" s="199">
        <v>36068</v>
      </c>
      <c r="E129" s="200" t="s">
        <v>511</v>
      </c>
      <c r="F129" s="189" t="s">
        <v>511</v>
      </c>
      <c r="G129" s="215">
        <v>0.4531</v>
      </c>
    </row>
    <row r="130" spans="1:7" ht="15" customHeight="1" x14ac:dyDescent="0.2">
      <c r="A130" s="196" t="s">
        <v>824</v>
      </c>
      <c r="B130" s="198" t="s">
        <v>825</v>
      </c>
      <c r="C130" s="199">
        <v>36069</v>
      </c>
      <c r="D130" s="199">
        <v>36099</v>
      </c>
      <c r="E130" s="200" t="s">
        <v>511</v>
      </c>
      <c r="F130" s="189">
        <v>0.46</v>
      </c>
      <c r="G130" s="215" t="s">
        <v>511</v>
      </c>
    </row>
    <row r="131" spans="1:7" ht="15" customHeight="1" x14ac:dyDescent="0.2">
      <c r="A131" s="196" t="s">
        <v>826</v>
      </c>
      <c r="B131" s="198" t="s">
        <v>825</v>
      </c>
      <c r="C131" s="199">
        <v>36069</v>
      </c>
      <c r="D131" s="205">
        <v>36099</v>
      </c>
      <c r="E131" s="200" t="s">
        <v>511</v>
      </c>
      <c r="F131" s="189" t="s">
        <v>511</v>
      </c>
      <c r="G131" s="215">
        <v>0.4728</v>
      </c>
    </row>
    <row r="132" spans="1:7" ht="15" customHeight="1" x14ac:dyDescent="0.2">
      <c r="A132" s="196" t="s">
        <v>827</v>
      </c>
      <c r="B132" s="198" t="s">
        <v>828</v>
      </c>
      <c r="C132" s="199">
        <v>36100</v>
      </c>
      <c r="D132" s="199">
        <v>36129</v>
      </c>
      <c r="E132" s="200" t="s">
        <v>511</v>
      </c>
      <c r="F132" s="189">
        <v>0.49990000000000001</v>
      </c>
      <c r="G132" s="215" t="s">
        <v>511</v>
      </c>
    </row>
    <row r="133" spans="1:7" ht="15" customHeight="1" x14ac:dyDescent="0.2">
      <c r="A133" s="196" t="s">
        <v>829</v>
      </c>
      <c r="B133" s="198" t="s">
        <v>828</v>
      </c>
      <c r="C133" s="199">
        <v>36100</v>
      </c>
      <c r="D133" s="205">
        <v>36129</v>
      </c>
      <c r="E133" s="200" t="s">
        <v>511</v>
      </c>
      <c r="F133" s="189" t="s">
        <v>511</v>
      </c>
      <c r="G133" s="215">
        <v>0.50409999999999999</v>
      </c>
    </row>
    <row r="134" spans="1:7" ht="15" customHeight="1" x14ac:dyDescent="0.2">
      <c r="A134" s="196" t="s">
        <v>830</v>
      </c>
      <c r="B134" s="198" t="s">
        <v>831</v>
      </c>
      <c r="C134" s="199">
        <v>36130</v>
      </c>
      <c r="D134" s="199">
        <v>36160</v>
      </c>
      <c r="E134" s="200" t="s">
        <v>511</v>
      </c>
      <c r="F134" s="189">
        <v>0.47710000000000002</v>
      </c>
      <c r="G134" s="215" t="s">
        <v>511</v>
      </c>
    </row>
    <row r="135" spans="1:7" ht="15" customHeight="1" x14ac:dyDescent="0.2">
      <c r="A135" s="196" t="s">
        <v>832</v>
      </c>
      <c r="B135" s="198" t="s">
        <v>831</v>
      </c>
      <c r="C135" s="199">
        <v>36130</v>
      </c>
      <c r="D135" s="205">
        <v>36160</v>
      </c>
      <c r="E135" s="200" t="s">
        <v>511</v>
      </c>
      <c r="F135" s="189" t="s">
        <v>511</v>
      </c>
      <c r="G135" s="215">
        <v>0.48899999999999999</v>
      </c>
    </row>
    <row r="136" spans="1:7" s="216" customFormat="1" ht="15" customHeight="1" x14ac:dyDescent="0.2">
      <c r="A136" s="196" t="s">
        <v>833</v>
      </c>
      <c r="B136" s="198" t="s">
        <v>834</v>
      </c>
      <c r="C136" s="199">
        <v>36161</v>
      </c>
      <c r="D136" s="199">
        <v>36191</v>
      </c>
      <c r="E136" s="200" t="s">
        <v>511</v>
      </c>
      <c r="F136" s="189">
        <v>0.45490000000000003</v>
      </c>
      <c r="G136" s="215" t="s">
        <v>511</v>
      </c>
    </row>
    <row r="137" spans="1:7" s="216" customFormat="1" ht="15" customHeight="1" x14ac:dyDescent="0.2">
      <c r="A137" s="196" t="s">
        <v>835</v>
      </c>
      <c r="B137" s="198" t="s">
        <v>834</v>
      </c>
      <c r="C137" s="199">
        <v>36161</v>
      </c>
      <c r="D137" s="205">
        <v>36191</v>
      </c>
      <c r="E137" s="200" t="s">
        <v>511</v>
      </c>
      <c r="F137" s="189" t="s">
        <v>511</v>
      </c>
      <c r="G137" s="215">
        <v>0.46739999999999998</v>
      </c>
    </row>
    <row r="138" spans="1:7" s="216" customFormat="1" ht="15" customHeight="1" x14ac:dyDescent="0.2">
      <c r="A138" s="196" t="s">
        <v>836</v>
      </c>
      <c r="B138" s="199">
        <v>36189</v>
      </c>
      <c r="C138" s="199">
        <v>36192</v>
      </c>
      <c r="D138" s="199">
        <v>36219</v>
      </c>
      <c r="E138" s="200" t="s">
        <v>511</v>
      </c>
      <c r="F138" s="189">
        <v>0.4239</v>
      </c>
      <c r="G138" s="215" t="s">
        <v>511</v>
      </c>
    </row>
    <row r="139" spans="1:7" s="216" customFormat="1" ht="15" customHeight="1" x14ac:dyDescent="0.2">
      <c r="A139" s="196" t="s">
        <v>837</v>
      </c>
      <c r="B139" s="199">
        <v>36189</v>
      </c>
      <c r="C139" s="199">
        <v>36192</v>
      </c>
      <c r="D139" s="205">
        <v>36219</v>
      </c>
      <c r="E139" s="200" t="s">
        <v>511</v>
      </c>
      <c r="F139" s="189" t="s">
        <v>511</v>
      </c>
      <c r="G139" s="215">
        <v>0.4446</v>
      </c>
    </row>
    <row r="140" spans="1:7" s="216" customFormat="1" ht="15" customHeight="1" x14ac:dyDescent="0.2">
      <c r="A140" s="196" t="s">
        <v>838</v>
      </c>
      <c r="B140" s="199">
        <v>36217</v>
      </c>
      <c r="C140" s="199">
        <v>36220</v>
      </c>
      <c r="D140" s="199">
        <v>36233</v>
      </c>
      <c r="E140" s="200" t="s">
        <v>511</v>
      </c>
      <c r="F140" s="189">
        <v>0.40989999999999999</v>
      </c>
      <c r="G140" s="215" t="s">
        <v>511</v>
      </c>
    </row>
    <row r="141" spans="1:7" s="216" customFormat="1" ht="15" customHeight="1" x14ac:dyDescent="0.2">
      <c r="A141" s="196" t="s">
        <v>839</v>
      </c>
      <c r="B141" s="199">
        <v>36217</v>
      </c>
      <c r="C141" s="199">
        <v>36220</v>
      </c>
      <c r="D141" s="205">
        <v>36233</v>
      </c>
      <c r="E141" s="200" t="s">
        <v>511</v>
      </c>
      <c r="F141" s="189" t="s">
        <v>511</v>
      </c>
      <c r="G141" s="215">
        <v>0.44319999999999998</v>
      </c>
    </row>
    <row r="142" spans="1:7" s="216" customFormat="1" ht="15" customHeight="1" x14ac:dyDescent="0.2">
      <c r="A142" s="196" t="s">
        <v>840</v>
      </c>
      <c r="B142" s="199">
        <v>36224</v>
      </c>
      <c r="C142" s="199">
        <v>36234</v>
      </c>
      <c r="D142" s="199">
        <v>36250</v>
      </c>
      <c r="E142" s="200" t="s">
        <v>511</v>
      </c>
      <c r="F142" s="189">
        <v>0.39760000000000001</v>
      </c>
      <c r="G142" s="215" t="s">
        <v>511</v>
      </c>
    </row>
    <row r="143" spans="1:7" s="216" customFormat="1" ht="15" customHeight="1" x14ac:dyDescent="0.2">
      <c r="A143" s="196" t="s">
        <v>841</v>
      </c>
      <c r="B143" s="199">
        <v>36224</v>
      </c>
      <c r="C143" s="199">
        <v>36234</v>
      </c>
      <c r="D143" s="205">
        <v>36250</v>
      </c>
      <c r="E143" s="200" t="s">
        <v>511</v>
      </c>
      <c r="F143" s="189" t="s">
        <v>511</v>
      </c>
      <c r="G143" s="215">
        <v>0.36809999999999998</v>
      </c>
    </row>
    <row r="144" spans="1:7" s="216" customFormat="1" ht="15" customHeight="1" x14ac:dyDescent="0.2">
      <c r="A144" s="196" t="s">
        <v>842</v>
      </c>
      <c r="B144" s="199">
        <v>36250</v>
      </c>
      <c r="C144" s="199">
        <v>36251</v>
      </c>
      <c r="D144" s="199">
        <v>36280</v>
      </c>
      <c r="E144" s="200" t="s">
        <v>511</v>
      </c>
      <c r="F144" s="189">
        <v>0.3357</v>
      </c>
      <c r="G144" s="215" t="s">
        <v>511</v>
      </c>
    </row>
    <row r="145" spans="1:11" s="216" customFormat="1" ht="15" customHeight="1" x14ac:dyDescent="0.2">
      <c r="A145" s="196" t="s">
        <v>843</v>
      </c>
      <c r="B145" s="199">
        <v>36250</v>
      </c>
      <c r="C145" s="199">
        <v>36251</v>
      </c>
      <c r="D145" s="205">
        <v>36280</v>
      </c>
      <c r="E145" s="200" t="s">
        <v>511</v>
      </c>
      <c r="F145" s="189" t="s">
        <v>511</v>
      </c>
      <c r="G145" s="215">
        <v>0.34420000000000001</v>
      </c>
    </row>
    <row r="146" spans="1:11" s="216" customFormat="1" ht="15" customHeight="1" x14ac:dyDescent="0.2">
      <c r="A146" s="217" t="s">
        <v>844</v>
      </c>
      <c r="B146" s="205">
        <v>36280</v>
      </c>
      <c r="C146" s="205">
        <v>36281</v>
      </c>
      <c r="D146" s="205">
        <v>36311</v>
      </c>
      <c r="E146" s="200" t="s">
        <v>511</v>
      </c>
      <c r="F146" s="201">
        <v>0.31140000000000001</v>
      </c>
      <c r="G146" s="194" t="s">
        <v>511</v>
      </c>
    </row>
    <row r="147" spans="1:11" s="216" customFormat="1" ht="15" customHeight="1" x14ac:dyDescent="0.2">
      <c r="A147" s="196" t="s">
        <v>845</v>
      </c>
      <c r="B147" s="199">
        <v>36280</v>
      </c>
      <c r="C147" s="199">
        <v>36281</v>
      </c>
      <c r="D147" s="205">
        <v>36311</v>
      </c>
      <c r="E147" s="200" t="s">
        <v>511</v>
      </c>
      <c r="F147" s="189" t="s">
        <v>511</v>
      </c>
      <c r="G147" s="215">
        <v>0.32129999999999997</v>
      </c>
    </row>
    <row r="148" spans="1:11" s="216" customFormat="1" ht="15" customHeight="1" x14ac:dyDescent="0.2">
      <c r="A148" s="196" t="s">
        <v>846</v>
      </c>
      <c r="B148" s="199">
        <v>36311</v>
      </c>
      <c r="C148" s="199">
        <v>36312</v>
      </c>
      <c r="D148" s="205">
        <v>36341</v>
      </c>
      <c r="E148" s="200" t="s">
        <v>511</v>
      </c>
      <c r="F148" s="189">
        <v>0.27460000000000001</v>
      </c>
      <c r="G148" s="215" t="s">
        <v>511</v>
      </c>
    </row>
    <row r="149" spans="1:11" s="216" customFormat="1" ht="15" customHeight="1" x14ac:dyDescent="0.2">
      <c r="A149" s="196" t="s">
        <v>812</v>
      </c>
      <c r="B149" s="199">
        <v>36311</v>
      </c>
      <c r="C149" s="199">
        <v>36312</v>
      </c>
      <c r="D149" s="205">
        <v>36341</v>
      </c>
      <c r="E149" s="200" t="s">
        <v>511</v>
      </c>
      <c r="F149" s="189" t="s">
        <v>511</v>
      </c>
      <c r="G149" s="215">
        <v>0.28360000000000002</v>
      </c>
    </row>
    <row r="150" spans="1:11" s="219" customFormat="1" ht="15" customHeight="1" x14ac:dyDescent="0.25">
      <c r="A150" s="196" t="s">
        <v>847</v>
      </c>
      <c r="B150" s="205">
        <v>36341</v>
      </c>
      <c r="C150" s="199">
        <v>36342</v>
      </c>
      <c r="D150" s="205">
        <v>36372</v>
      </c>
      <c r="E150" s="200" t="s">
        <v>511</v>
      </c>
      <c r="F150" s="201">
        <v>0.2422</v>
      </c>
      <c r="G150" s="203" t="s">
        <v>511</v>
      </c>
      <c r="H150" s="218"/>
      <c r="I150" s="218"/>
      <c r="J150" s="218"/>
      <c r="K150" s="218"/>
    </row>
    <row r="151" spans="1:11" s="216" customFormat="1" ht="15" customHeight="1" x14ac:dyDescent="0.2">
      <c r="A151" s="196" t="s">
        <v>848</v>
      </c>
      <c r="B151" s="205">
        <v>36341</v>
      </c>
      <c r="C151" s="199">
        <v>36342</v>
      </c>
      <c r="D151" s="205">
        <v>36372</v>
      </c>
      <c r="E151" s="200" t="s">
        <v>511</v>
      </c>
      <c r="F151" s="201" t="s">
        <v>511</v>
      </c>
      <c r="G151" s="203">
        <v>0.2571</v>
      </c>
    </row>
    <row r="152" spans="1:11" s="216" customFormat="1" ht="15" customHeight="1" x14ac:dyDescent="0.2">
      <c r="A152" s="196">
        <v>1183</v>
      </c>
      <c r="B152" s="205">
        <v>36371</v>
      </c>
      <c r="C152" s="199">
        <v>36373</v>
      </c>
      <c r="D152" s="205">
        <v>36403</v>
      </c>
      <c r="E152" s="200" t="s">
        <v>511</v>
      </c>
      <c r="F152" s="201">
        <v>0.26250000000000001</v>
      </c>
      <c r="G152" s="220" t="s">
        <v>511</v>
      </c>
    </row>
    <row r="153" spans="1:11" s="216" customFormat="1" ht="15" customHeight="1" x14ac:dyDescent="0.2">
      <c r="A153" s="196">
        <v>1184</v>
      </c>
      <c r="B153" s="205">
        <v>36371</v>
      </c>
      <c r="C153" s="199">
        <v>36373</v>
      </c>
      <c r="D153" s="205">
        <v>36403</v>
      </c>
      <c r="E153" s="200" t="s">
        <v>511</v>
      </c>
      <c r="F153" s="200" t="s">
        <v>511</v>
      </c>
      <c r="G153" s="203">
        <v>0.27579999999999999</v>
      </c>
    </row>
    <row r="154" spans="1:11" s="216" customFormat="1" ht="15" customHeight="1" x14ac:dyDescent="0.2">
      <c r="A154" s="207">
        <v>1350</v>
      </c>
      <c r="B154" s="209">
        <v>36403</v>
      </c>
      <c r="C154" s="221">
        <v>36404</v>
      </c>
      <c r="D154" s="221">
        <v>36433</v>
      </c>
      <c r="E154" s="222" t="s">
        <v>511</v>
      </c>
      <c r="F154" s="223">
        <v>0.2601</v>
      </c>
      <c r="G154" s="224" t="s">
        <v>511</v>
      </c>
    </row>
    <row r="155" spans="1:11" s="216" customFormat="1" ht="15" customHeight="1" x14ac:dyDescent="0.2">
      <c r="A155" s="196">
        <v>1351</v>
      </c>
      <c r="B155" s="205">
        <v>36403</v>
      </c>
      <c r="C155" s="199">
        <v>36404</v>
      </c>
      <c r="D155" s="199">
        <v>36433</v>
      </c>
      <c r="E155" s="200" t="s">
        <v>511</v>
      </c>
      <c r="F155" s="200" t="s">
        <v>511</v>
      </c>
      <c r="G155" s="215">
        <v>0.2646</v>
      </c>
    </row>
    <row r="156" spans="1:11" s="216" customFormat="1" ht="15" customHeight="1" x14ac:dyDescent="0.2">
      <c r="A156" s="196">
        <v>1490</v>
      </c>
      <c r="B156" s="199">
        <v>36433</v>
      </c>
      <c r="C156" s="199">
        <v>36434</v>
      </c>
      <c r="D156" s="199">
        <v>36464</v>
      </c>
      <c r="E156" s="200" t="s">
        <v>511</v>
      </c>
      <c r="F156" s="201">
        <v>0.26960000000000001</v>
      </c>
      <c r="G156" s="220" t="s">
        <v>511</v>
      </c>
    </row>
    <row r="157" spans="1:11" s="216" customFormat="1" ht="15" customHeight="1" x14ac:dyDescent="0.2">
      <c r="A157" s="187">
        <v>1491</v>
      </c>
      <c r="B157" s="199">
        <v>36433</v>
      </c>
      <c r="C157" s="199">
        <v>36434</v>
      </c>
      <c r="D157" s="199">
        <v>36464</v>
      </c>
      <c r="E157" s="200" t="s">
        <v>511</v>
      </c>
      <c r="F157" s="200" t="s">
        <v>511</v>
      </c>
      <c r="G157" s="203">
        <v>0.2581</v>
      </c>
    </row>
    <row r="158" spans="1:11" s="216" customFormat="1" ht="15" customHeight="1" x14ac:dyDescent="0.2">
      <c r="A158" s="187">
        <v>1630</v>
      </c>
      <c r="B158" s="199">
        <v>36462</v>
      </c>
      <c r="C158" s="199">
        <v>36465</v>
      </c>
      <c r="D158" s="205">
        <v>36494</v>
      </c>
      <c r="E158" s="200" t="s">
        <v>511</v>
      </c>
      <c r="F158" s="201">
        <v>0.25700000000000001</v>
      </c>
      <c r="G158" s="203" t="s">
        <v>511</v>
      </c>
    </row>
    <row r="159" spans="1:11" s="216" customFormat="1" ht="15" customHeight="1" x14ac:dyDescent="0.2">
      <c r="A159" s="187">
        <v>1631</v>
      </c>
      <c r="B159" s="199">
        <v>36462</v>
      </c>
      <c r="C159" s="199">
        <v>36465</v>
      </c>
      <c r="D159" s="205">
        <v>36494</v>
      </c>
      <c r="E159" s="200" t="s">
        <v>511</v>
      </c>
      <c r="F159" s="200" t="s">
        <v>511</v>
      </c>
      <c r="G159" s="203">
        <v>0.24129999999999999</v>
      </c>
    </row>
    <row r="160" spans="1:11" s="216" customFormat="1" ht="15" customHeight="1" x14ac:dyDescent="0.2">
      <c r="A160" s="187">
        <v>1755</v>
      </c>
      <c r="B160" s="199">
        <v>36494</v>
      </c>
      <c r="C160" s="205">
        <v>36495</v>
      </c>
      <c r="D160" s="205">
        <v>36525</v>
      </c>
      <c r="E160" s="200" t="s">
        <v>511</v>
      </c>
      <c r="F160" s="201">
        <v>0.2422</v>
      </c>
      <c r="G160" s="220" t="s">
        <v>511</v>
      </c>
    </row>
    <row r="161" spans="1:7" s="216" customFormat="1" ht="15" customHeight="1" x14ac:dyDescent="0.2">
      <c r="A161" s="187">
        <v>1756</v>
      </c>
      <c r="B161" s="199">
        <v>36494</v>
      </c>
      <c r="C161" s="205">
        <v>36495</v>
      </c>
      <c r="D161" s="205">
        <v>36525</v>
      </c>
      <c r="E161" s="200" t="s">
        <v>511</v>
      </c>
      <c r="F161" s="201" t="s">
        <v>511</v>
      </c>
      <c r="G161" s="225">
        <v>0.22800000000000001</v>
      </c>
    </row>
    <row r="162" spans="1:7" s="216" customFormat="1" ht="15" customHeight="1" x14ac:dyDescent="0.2">
      <c r="A162" s="187">
        <v>1910</v>
      </c>
      <c r="B162" s="199">
        <v>36524</v>
      </c>
      <c r="C162" s="205">
        <v>36526</v>
      </c>
      <c r="D162" s="205">
        <v>36556</v>
      </c>
      <c r="E162" s="200" t="s">
        <v>511</v>
      </c>
      <c r="F162" s="201">
        <v>0.224</v>
      </c>
      <c r="G162" s="220" t="s">
        <v>511</v>
      </c>
    </row>
    <row r="163" spans="1:7" s="216" customFormat="1" ht="15" customHeight="1" x14ac:dyDescent="0.2">
      <c r="A163" s="187">
        <v>1911</v>
      </c>
      <c r="B163" s="199">
        <v>36524</v>
      </c>
      <c r="C163" s="205">
        <v>36526</v>
      </c>
      <c r="D163" s="205">
        <v>36556</v>
      </c>
      <c r="E163" s="200" t="s">
        <v>511</v>
      </c>
      <c r="F163" s="200" t="s">
        <v>511</v>
      </c>
      <c r="G163" s="225">
        <v>0.21260000000000001</v>
      </c>
    </row>
    <row r="164" spans="1:7" s="216" customFormat="1" ht="15" customHeight="1" x14ac:dyDescent="0.2">
      <c r="A164" s="187" t="s">
        <v>849</v>
      </c>
      <c r="B164" s="199">
        <v>36556</v>
      </c>
      <c r="C164" s="205">
        <v>36557</v>
      </c>
      <c r="D164" s="205">
        <v>36585</v>
      </c>
      <c r="E164" s="200" t="s">
        <v>511</v>
      </c>
      <c r="F164" s="201">
        <v>0.1946</v>
      </c>
      <c r="G164" s="225" t="s">
        <v>511</v>
      </c>
    </row>
    <row r="165" spans="1:7" ht="15" customHeight="1" x14ac:dyDescent="0.2">
      <c r="A165" s="187" t="s">
        <v>850</v>
      </c>
      <c r="B165" s="199">
        <v>36556</v>
      </c>
      <c r="C165" s="205">
        <v>36557</v>
      </c>
      <c r="D165" s="205">
        <v>36585</v>
      </c>
      <c r="E165" s="200" t="s">
        <v>511</v>
      </c>
      <c r="F165" s="201" t="s">
        <v>511</v>
      </c>
      <c r="G165" s="225">
        <v>0.1739</v>
      </c>
    </row>
    <row r="166" spans="1:7" ht="15" customHeight="1" x14ac:dyDescent="0.2">
      <c r="A166" s="187" t="s">
        <v>851</v>
      </c>
      <c r="B166" s="199">
        <v>36585</v>
      </c>
      <c r="C166" s="205">
        <v>36586</v>
      </c>
      <c r="D166" s="205">
        <v>36616</v>
      </c>
      <c r="E166" s="200" t="s">
        <v>511</v>
      </c>
      <c r="F166" s="201">
        <v>0.17449999999999999</v>
      </c>
      <c r="G166" s="225" t="s">
        <v>511</v>
      </c>
    </row>
    <row r="167" spans="1:7" ht="15" customHeight="1" x14ac:dyDescent="0.2">
      <c r="A167" s="187" t="s">
        <v>852</v>
      </c>
      <c r="B167" s="199">
        <v>36585</v>
      </c>
      <c r="C167" s="205">
        <v>36586</v>
      </c>
      <c r="D167" s="205">
        <v>36616</v>
      </c>
      <c r="E167" s="200" t="s">
        <v>511</v>
      </c>
      <c r="F167" s="201" t="s">
        <v>511</v>
      </c>
      <c r="G167" s="225">
        <v>0.1767</v>
      </c>
    </row>
    <row r="168" spans="1:7" ht="15" customHeight="1" x14ac:dyDescent="0.2">
      <c r="A168" s="187" t="s">
        <v>853</v>
      </c>
      <c r="B168" s="205">
        <v>36616</v>
      </c>
      <c r="C168" s="205">
        <v>36617</v>
      </c>
      <c r="D168" s="205">
        <v>36646</v>
      </c>
      <c r="E168" s="200" t="s">
        <v>511</v>
      </c>
      <c r="F168" s="201">
        <v>0.1787</v>
      </c>
      <c r="G168" s="225" t="s">
        <v>511</v>
      </c>
    </row>
    <row r="169" spans="1:7" ht="15" customHeight="1" x14ac:dyDescent="0.2">
      <c r="A169" s="187" t="s">
        <v>854</v>
      </c>
      <c r="B169" s="205">
        <v>36616</v>
      </c>
      <c r="C169" s="205">
        <v>36617</v>
      </c>
      <c r="D169" s="205">
        <v>36646</v>
      </c>
      <c r="E169" s="200" t="s">
        <v>511</v>
      </c>
      <c r="F169" s="200" t="s">
        <v>511</v>
      </c>
      <c r="G169" s="215">
        <v>0.17610000000000001</v>
      </c>
    </row>
    <row r="170" spans="1:7" ht="15" customHeight="1" x14ac:dyDescent="0.2">
      <c r="A170" s="187" t="s">
        <v>855</v>
      </c>
      <c r="B170" s="205">
        <v>36644</v>
      </c>
      <c r="C170" s="205">
        <v>36647</v>
      </c>
      <c r="D170" s="205">
        <v>36677</v>
      </c>
      <c r="E170" s="200" t="s">
        <v>511</v>
      </c>
      <c r="F170" s="201">
        <v>0.17899999999999999</v>
      </c>
      <c r="G170" s="225" t="s">
        <v>511</v>
      </c>
    </row>
    <row r="171" spans="1:7" ht="15" customHeight="1" x14ac:dyDescent="0.2">
      <c r="A171" s="187" t="s">
        <v>856</v>
      </c>
      <c r="B171" s="205">
        <v>36644</v>
      </c>
      <c r="C171" s="205">
        <v>36647</v>
      </c>
      <c r="D171" s="205">
        <v>36677</v>
      </c>
      <c r="E171" s="200" t="s">
        <v>511</v>
      </c>
      <c r="F171" s="200" t="s">
        <v>857</v>
      </c>
      <c r="G171" s="215">
        <v>0.18079999999999999</v>
      </c>
    </row>
    <row r="172" spans="1:7" ht="15" customHeight="1" x14ac:dyDescent="0.2">
      <c r="A172" s="187" t="s">
        <v>858</v>
      </c>
      <c r="B172" s="205">
        <v>36677</v>
      </c>
      <c r="C172" s="205">
        <v>36678</v>
      </c>
      <c r="D172" s="205">
        <v>36707</v>
      </c>
      <c r="E172" s="200" t="s">
        <v>511</v>
      </c>
      <c r="F172" s="201">
        <v>0.19769999999999999</v>
      </c>
      <c r="G172" s="220" t="s">
        <v>857</v>
      </c>
    </row>
    <row r="173" spans="1:7" ht="15" customHeight="1" x14ac:dyDescent="0.2">
      <c r="A173" s="187" t="s">
        <v>859</v>
      </c>
      <c r="B173" s="205">
        <v>36677</v>
      </c>
      <c r="C173" s="205">
        <v>36678</v>
      </c>
      <c r="D173" s="205">
        <v>36707</v>
      </c>
      <c r="E173" s="200" t="s">
        <v>511</v>
      </c>
      <c r="F173" s="200" t="s">
        <v>857</v>
      </c>
      <c r="G173" s="215">
        <v>0.191</v>
      </c>
    </row>
    <row r="174" spans="1:7" ht="15" customHeight="1" x14ac:dyDescent="0.2">
      <c r="A174" s="187">
        <v>1019</v>
      </c>
      <c r="B174" s="226">
        <v>36707</v>
      </c>
      <c r="C174" s="226">
        <v>36708</v>
      </c>
      <c r="D174" s="205">
        <v>36738</v>
      </c>
      <c r="E174" s="200" t="s">
        <v>511</v>
      </c>
      <c r="F174" s="227">
        <v>0.19439999999999999</v>
      </c>
      <c r="G174" s="220" t="s">
        <v>857</v>
      </c>
    </row>
    <row r="175" spans="1:7" ht="15" customHeight="1" x14ac:dyDescent="0.2">
      <c r="A175" s="187">
        <v>1020</v>
      </c>
      <c r="B175" s="226">
        <v>36707</v>
      </c>
      <c r="C175" s="226">
        <v>36708</v>
      </c>
      <c r="D175" s="205">
        <v>36738</v>
      </c>
      <c r="E175" s="200" t="s">
        <v>511</v>
      </c>
      <c r="F175" s="227" t="s">
        <v>857</v>
      </c>
      <c r="G175" s="225">
        <v>0.19839999999999999</v>
      </c>
    </row>
    <row r="176" spans="1:7" ht="15" customHeight="1" x14ac:dyDescent="0.2">
      <c r="A176" s="187">
        <v>1201</v>
      </c>
      <c r="B176" s="226">
        <v>36738</v>
      </c>
      <c r="C176" s="226">
        <v>36739</v>
      </c>
      <c r="D176" s="205">
        <v>36769</v>
      </c>
      <c r="E176" s="200" t="s">
        <v>511</v>
      </c>
      <c r="F176" s="227">
        <v>0.19919999999999999</v>
      </c>
      <c r="G176" s="220" t="s">
        <v>857</v>
      </c>
    </row>
    <row r="177" spans="1:7" ht="15" customHeight="1" x14ac:dyDescent="0.2">
      <c r="A177" s="187">
        <v>1202</v>
      </c>
      <c r="B177" s="226">
        <v>36738</v>
      </c>
      <c r="C177" s="205">
        <v>36739</v>
      </c>
      <c r="D177" s="205">
        <v>36769</v>
      </c>
      <c r="E177" s="200" t="s">
        <v>511</v>
      </c>
      <c r="F177" s="200" t="s">
        <v>857</v>
      </c>
      <c r="G177" s="215">
        <v>0.2064</v>
      </c>
    </row>
    <row r="178" spans="1:7" ht="15" customHeight="1" x14ac:dyDescent="0.2">
      <c r="A178" s="187">
        <v>1345</v>
      </c>
      <c r="B178" s="226">
        <v>36769</v>
      </c>
      <c r="C178" s="226">
        <v>36770</v>
      </c>
      <c r="D178" s="205">
        <v>36799</v>
      </c>
      <c r="E178" s="200" t="s">
        <v>511</v>
      </c>
      <c r="F178" s="227">
        <v>0.2293</v>
      </c>
      <c r="G178" s="220" t="s">
        <v>857</v>
      </c>
    </row>
    <row r="179" spans="1:7" ht="15" customHeight="1" x14ac:dyDescent="0.2">
      <c r="A179" s="187">
        <v>1346</v>
      </c>
      <c r="B179" s="226">
        <v>36769</v>
      </c>
      <c r="C179" s="205">
        <v>36770</v>
      </c>
      <c r="D179" s="205">
        <v>36799</v>
      </c>
      <c r="E179" s="200" t="s">
        <v>511</v>
      </c>
      <c r="F179" s="200" t="s">
        <v>857</v>
      </c>
      <c r="G179" s="215">
        <v>0.22620000000000001</v>
      </c>
    </row>
    <row r="180" spans="1:7" ht="15" customHeight="1" x14ac:dyDescent="0.2">
      <c r="A180" s="187">
        <v>1492</v>
      </c>
      <c r="B180" s="226">
        <v>36798</v>
      </c>
      <c r="C180" s="205">
        <v>36800</v>
      </c>
      <c r="D180" s="205">
        <v>36830</v>
      </c>
      <c r="E180" s="200" t="s">
        <v>511</v>
      </c>
      <c r="F180" s="227">
        <v>0.23080000000000001</v>
      </c>
      <c r="G180" s="220" t="s">
        <v>857</v>
      </c>
    </row>
    <row r="181" spans="1:7" ht="15" customHeight="1" x14ac:dyDescent="0.2">
      <c r="A181" s="187">
        <v>1493</v>
      </c>
      <c r="B181" s="226">
        <v>36798</v>
      </c>
      <c r="C181" s="205">
        <v>36800</v>
      </c>
      <c r="D181" s="205">
        <v>36830</v>
      </c>
      <c r="E181" s="200" t="s">
        <v>511</v>
      </c>
      <c r="F181" s="200" t="s">
        <v>857</v>
      </c>
      <c r="G181" s="215">
        <v>0.23760000000000001</v>
      </c>
    </row>
    <row r="182" spans="1:7" ht="15" customHeight="1" x14ac:dyDescent="0.2">
      <c r="A182" s="187">
        <v>1666</v>
      </c>
      <c r="B182" s="226">
        <v>36830</v>
      </c>
      <c r="C182" s="205">
        <v>36831</v>
      </c>
      <c r="D182" s="205">
        <v>36860</v>
      </c>
      <c r="E182" s="200" t="s">
        <v>511</v>
      </c>
      <c r="F182" s="227">
        <v>0.23799999999999999</v>
      </c>
      <c r="G182" s="220" t="s">
        <v>857</v>
      </c>
    </row>
    <row r="183" spans="1:7" ht="15" customHeight="1" x14ac:dyDescent="0.2">
      <c r="A183" s="187">
        <v>1667</v>
      </c>
      <c r="B183" s="226">
        <v>36830</v>
      </c>
      <c r="C183" s="205">
        <v>36831</v>
      </c>
      <c r="D183" s="205">
        <v>36860</v>
      </c>
      <c r="E183" s="200" t="s">
        <v>511</v>
      </c>
      <c r="F183" s="200" t="s">
        <v>857</v>
      </c>
      <c r="G183" s="215">
        <v>0.245</v>
      </c>
    </row>
    <row r="184" spans="1:7" ht="15" customHeight="1" x14ac:dyDescent="0.2">
      <c r="A184" s="187">
        <v>1847</v>
      </c>
      <c r="B184" s="226">
        <v>36860</v>
      </c>
      <c r="C184" s="205">
        <v>36861</v>
      </c>
      <c r="D184" s="205">
        <v>36891</v>
      </c>
      <c r="E184" s="200" t="s">
        <v>511</v>
      </c>
      <c r="F184" s="227">
        <v>0.2369</v>
      </c>
      <c r="G184" s="220" t="s">
        <v>857</v>
      </c>
    </row>
    <row r="185" spans="1:7" ht="15" customHeight="1" x14ac:dyDescent="0.2">
      <c r="A185" s="187">
        <v>1848</v>
      </c>
      <c r="B185" s="226">
        <v>36860</v>
      </c>
      <c r="C185" s="205">
        <v>36861</v>
      </c>
      <c r="D185" s="205">
        <v>36891</v>
      </c>
      <c r="E185" s="200" t="s">
        <v>511</v>
      </c>
      <c r="F185" s="200" t="s">
        <v>857</v>
      </c>
      <c r="G185" s="215">
        <v>0.24579999999999999</v>
      </c>
    </row>
    <row r="186" spans="1:7" s="218" customFormat="1" ht="15" customHeight="1" x14ac:dyDescent="0.25">
      <c r="A186" s="187">
        <v>2030</v>
      </c>
      <c r="B186" s="226">
        <v>36889</v>
      </c>
      <c r="C186" s="205">
        <v>36892</v>
      </c>
      <c r="D186" s="205">
        <v>36922</v>
      </c>
      <c r="E186" s="200" t="s">
        <v>511</v>
      </c>
      <c r="F186" s="228">
        <v>0.24160000000000001</v>
      </c>
      <c r="G186" s="215" t="s">
        <v>857</v>
      </c>
    </row>
    <row r="187" spans="1:7" s="218" customFormat="1" ht="15" customHeight="1" x14ac:dyDescent="0.25">
      <c r="A187" s="187">
        <v>2031</v>
      </c>
      <c r="B187" s="226">
        <v>36889</v>
      </c>
      <c r="C187" s="205">
        <v>36892</v>
      </c>
      <c r="D187" s="205">
        <v>36922</v>
      </c>
      <c r="E187" s="200" t="s">
        <v>511</v>
      </c>
      <c r="F187" s="200" t="s">
        <v>857</v>
      </c>
      <c r="G187" s="215">
        <v>0.25059999999999999</v>
      </c>
    </row>
    <row r="188" spans="1:7" s="218" customFormat="1" ht="15" customHeight="1" x14ac:dyDescent="0.25">
      <c r="A188" s="187" t="s">
        <v>860</v>
      </c>
      <c r="B188" s="226">
        <v>36922</v>
      </c>
      <c r="C188" s="205">
        <v>36923</v>
      </c>
      <c r="D188" s="205">
        <v>36950</v>
      </c>
      <c r="E188" s="200" t="s">
        <v>511</v>
      </c>
      <c r="F188" s="227">
        <v>0.26029999999999998</v>
      </c>
      <c r="G188" s="220" t="s">
        <v>857</v>
      </c>
    </row>
    <row r="189" spans="1:7" s="218" customFormat="1" ht="15" customHeight="1" x14ac:dyDescent="0.25">
      <c r="A189" s="187" t="s">
        <v>861</v>
      </c>
      <c r="B189" s="226">
        <v>36922</v>
      </c>
      <c r="C189" s="205">
        <v>36923</v>
      </c>
      <c r="D189" s="205">
        <v>36950</v>
      </c>
      <c r="E189" s="200" t="s">
        <v>511</v>
      </c>
      <c r="F189" s="200" t="s">
        <v>857</v>
      </c>
      <c r="G189" s="215">
        <v>0.25519999999999998</v>
      </c>
    </row>
    <row r="190" spans="1:7" s="218" customFormat="1" ht="15" customHeight="1" x14ac:dyDescent="0.25">
      <c r="A190" s="187" t="s">
        <v>862</v>
      </c>
      <c r="B190" s="226">
        <v>36950</v>
      </c>
      <c r="C190" s="205">
        <v>36951</v>
      </c>
      <c r="D190" s="205">
        <v>36981</v>
      </c>
      <c r="E190" s="200" t="s">
        <v>511</v>
      </c>
      <c r="F190" s="227">
        <v>0.25109999999999999</v>
      </c>
      <c r="G190" s="220" t="s">
        <v>857</v>
      </c>
    </row>
    <row r="191" spans="1:7" s="218" customFormat="1" ht="15" customHeight="1" x14ac:dyDescent="0.25">
      <c r="A191" s="187" t="s">
        <v>863</v>
      </c>
      <c r="B191" s="226">
        <v>36950</v>
      </c>
      <c r="C191" s="205">
        <v>36951</v>
      </c>
      <c r="D191" s="205">
        <v>36981</v>
      </c>
      <c r="E191" s="200" t="s">
        <v>511</v>
      </c>
      <c r="F191" s="200"/>
      <c r="G191" s="215">
        <v>0.255</v>
      </c>
    </row>
    <row r="192" spans="1:7" s="218" customFormat="1" ht="15" customHeight="1" x14ac:dyDescent="0.25">
      <c r="A192" s="187" t="s">
        <v>864</v>
      </c>
      <c r="B192" s="226">
        <v>36980</v>
      </c>
      <c r="C192" s="205">
        <v>36982</v>
      </c>
      <c r="D192" s="205">
        <v>37011</v>
      </c>
      <c r="E192" s="200" t="s">
        <v>511</v>
      </c>
      <c r="F192" s="227">
        <v>0.24829999999999999</v>
      </c>
      <c r="G192" s="220"/>
    </row>
    <row r="193" spans="1:7" s="218" customFormat="1" ht="15" customHeight="1" x14ac:dyDescent="0.25">
      <c r="A193" s="187" t="s">
        <v>865</v>
      </c>
      <c r="B193" s="226">
        <v>36980</v>
      </c>
      <c r="C193" s="205">
        <v>36982</v>
      </c>
      <c r="D193" s="205">
        <v>37011</v>
      </c>
      <c r="E193" s="200" t="s">
        <v>511</v>
      </c>
      <c r="F193" s="200"/>
      <c r="G193" s="215">
        <v>0.25569999999999998</v>
      </c>
    </row>
    <row r="194" spans="1:7" s="218" customFormat="1" ht="15" customHeight="1" x14ac:dyDescent="0.25">
      <c r="A194" s="187" t="s">
        <v>866</v>
      </c>
      <c r="B194" s="226">
        <v>37011</v>
      </c>
      <c r="C194" s="205">
        <v>37012</v>
      </c>
      <c r="D194" s="205">
        <v>37042</v>
      </c>
      <c r="E194" s="200" t="s">
        <v>511</v>
      </c>
      <c r="F194" s="227">
        <v>0.2424</v>
      </c>
      <c r="G194" s="220" t="s">
        <v>857</v>
      </c>
    </row>
    <row r="195" spans="1:7" s="218" customFormat="1" ht="15" customHeight="1" x14ac:dyDescent="0.25">
      <c r="A195" s="187" t="s">
        <v>867</v>
      </c>
      <c r="B195" s="229">
        <v>37011</v>
      </c>
      <c r="C195" s="229">
        <v>37012</v>
      </c>
      <c r="D195" s="230">
        <v>37042</v>
      </c>
      <c r="E195" s="200" t="s">
        <v>511</v>
      </c>
      <c r="F195" s="231" t="s">
        <v>857</v>
      </c>
      <c r="G195" s="232">
        <v>0.25490000000000002</v>
      </c>
    </row>
    <row r="196" spans="1:7" s="218" customFormat="1" ht="15" customHeight="1" x14ac:dyDescent="0.25">
      <c r="A196" s="187" t="s">
        <v>868</v>
      </c>
      <c r="B196" s="233">
        <v>37042</v>
      </c>
      <c r="C196" s="230">
        <v>37043</v>
      </c>
      <c r="D196" s="234">
        <v>37072</v>
      </c>
      <c r="E196" s="200" t="s">
        <v>511</v>
      </c>
      <c r="F196" s="227">
        <v>0.25169999999999998</v>
      </c>
      <c r="G196" s="235"/>
    </row>
    <row r="197" spans="1:7" s="218" customFormat="1" ht="15" customHeight="1" x14ac:dyDescent="0.25">
      <c r="A197" s="187" t="s">
        <v>869</v>
      </c>
      <c r="B197" s="229">
        <v>37042</v>
      </c>
      <c r="C197" s="229">
        <v>37043</v>
      </c>
      <c r="D197" s="230">
        <v>37072</v>
      </c>
      <c r="E197" s="200" t="s">
        <v>511</v>
      </c>
      <c r="F197" s="231" t="s">
        <v>857</v>
      </c>
      <c r="G197" s="232">
        <v>0.25380000000000003</v>
      </c>
    </row>
    <row r="198" spans="1:7" s="237" customFormat="1" ht="15" customHeight="1" x14ac:dyDescent="0.25">
      <c r="A198" s="187" t="s">
        <v>870</v>
      </c>
      <c r="B198" s="229">
        <v>37071</v>
      </c>
      <c r="C198" s="229">
        <v>37073</v>
      </c>
      <c r="D198" s="230">
        <v>37103</v>
      </c>
      <c r="E198" s="200" t="s">
        <v>511</v>
      </c>
      <c r="F198" s="236">
        <v>0.26079999999999998</v>
      </c>
      <c r="G198" s="220" t="s">
        <v>857</v>
      </c>
    </row>
    <row r="199" spans="1:7" s="237" customFormat="1" ht="15" customHeight="1" x14ac:dyDescent="0.25">
      <c r="A199" s="238" t="s">
        <v>871</v>
      </c>
      <c r="B199" s="229">
        <v>37071</v>
      </c>
      <c r="C199" s="229">
        <v>37073</v>
      </c>
      <c r="D199" s="230">
        <v>37103</v>
      </c>
      <c r="E199" s="200" t="s">
        <v>511</v>
      </c>
      <c r="F199" s="231" t="s">
        <v>872</v>
      </c>
      <c r="G199" s="232">
        <v>0.25269999999999998</v>
      </c>
    </row>
    <row r="200" spans="1:7" s="239" customFormat="1" ht="15" customHeight="1" x14ac:dyDescent="0.25">
      <c r="A200" s="187" t="s">
        <v>873</v>
      </c>
      <c r="B200" s="226">
        <v>37103</v>
      </c>
      <c r="C200" s="226">
        <v>37104</v>
      </c>
      <c r="D200" s="205">
        <v>37134</v>
      </c>
      <c r="E200" s="200" t="s">
        <v>511</v>
      </c>
      <c r="F200" s="228">
        <v>0.24249999999999999</v>
      </c>
      <c r="G200" s="215" t="s">
        <v>874</v>
      </c>
    </row>
    <row r="201" spans="1:7" s="239" customFormat="1" ht="15" customHeight="1" x14ac:dyDescent="0.25">
      <c r="A201" s="187" t="s">
        <v>875</v>
      </c>
      <c r="B201" s="226">
        <v>37134</v>
      </c>
      <c r="C201" s="226">
        <v>37135</v>
      </c>
      <c r="D201" s="205">
        <v>37164</v>
      </c>
      <c r="E201" s="200" t="s">
        <v>511</v>
      </c>
      <c r="F201" s="228">
        <v>0.2306</v>
      </c>
      <c r="G201" s="215" t="s">
        <v>874</v>
      </c>
    </row>
    <row r="202" spans="1:7" s="239" customFormat="1" ht="15" customHeight="1" x14ac:dyDescent="0.25">
      <c r="A202" s="187">
        <v>1090</v>
      </c>
      <c r="B202" s="226">
        <v>37162</v>
      </c>
      <c r="C202" s="226">
        <v>37165</v>
      </c>
      <c r="D202" s="205">
        <v>37195</v>
      </c>
      <c r="E202" s="200" t="s">
        <v>511</v>
      </c>
      <c r="F202" s="228">
        <v>0.23219999999999999</v>
      </c>
      <c r="G202" s="215" t="s">
        <v>874</v>
      </c>
    </row>
    <row r="203" spans="1:7" s="239" customFormat="1" ht="15" customHeight="1" x14ac:dyDescent="0.25">
      <c r="A203" s="240">
        <v>1224</v>
      </c>
      <c r="B203" s="226">
        <v>37195</v>
      </c>
      <c r="C203" s="226">
        <v>37196</v>
      </c>
      <c r="D203" s="205">
        <v>37225</v>
      </c>
      <c r="E203" s="200" t="s">
        <v>511</v>
      </c>
      <c r="F203" s="228">
        <v>0.2298</v>
      </c>
      <c r="G203" s="215" t="s">
        <v>874</v>
      </c>
    </row>
    <row r="204" spans="1:7" s="239" customFormat="1" ht="15" customHeight="1" x14ac:dyDescent="0.25">
      <c r="A204" s="240">
        <v>1380</v>
      </c>
      <c r="B204" s="226">
        <v>37225</v>
      </c>
      <c r="C204" s="226">
        <v>37226</v>
      </c>
      <c r="D204" s="205">
        <v>37256</v>
      </c>
      <c r="E204" s="200" t="s">
        <v>511</v>
      </c>
      <c r="F204" s="228">
        <v>0.2248</v>
      </c>
      <c r="G204" s="215" t="s">
        <v>874</v>
      </c>
    </row>
    <row r="205" spans="1:7" s="239" customFormat="1" ht="15" customHeight="1" x14ac:dyDescent="0.25">
      <c r="A205" s="240">
        <v>1544</v>
      </c>
      <c r="B205" s="226">
        <v>37253</v>
      </c>
      <c r="C205" s="226">
        <v>37257</v>
      </c>
      <c r="D205" s="205">
        <v>37287</v>
      </c>
      <c r="E205" s="200" t="s">
        <v>511</v>
      </c>
      <c r="F205" s="228">
        <v>0.2281</v>
      </c>
      <c r="G205" s="215" t="s">
        <v>874</v>
      </c>
    </row>
    <row r="206" spans="1:7" s="239" customFormat="1" ht="15" customHeight="1" x14ac:dyDescent="0.25">
      <c r="A206" s="241" t="s">
        <v>836</v>
      </c>
      <c r="B206" s="226">
        <v>37287</v>
      </c>
      <c r="C206" s="226">
        <v>37288</v>
      </c>
      <c r="D206" s="205">
        <v>37315</v>
      </c>
      <c r="E206" s="200" t="s">
        <v>511</v>
      </c>
      <c r="F206" s="228">
        <v>0.2235</v>
      </c>
      <c r="G206" s="215" t="s">
        <v>874</v>
      </c>
    </row>
    <row r="207" spans="1:7" s="237" customFormat="1" ht="15" customHeight="1" x14ac:dyDescent="0.25">
      <c r="A207" s="241" t="s">
        <v>876</v>
      </c>
      <c r="B207" s="226">
        <v>37315</v>
      </c>
      <c r="C207" s="226">
        <v>37316</v>
      </c>
      <c r="D207" s="205">
        <v>37346</v>
      </c>
      <c r="E207" s="200" t="s">
        <v>511</v>
      </c>
      <c r="F207" s="242">
        <v>0.2097</v>
      </c>
      <c r="G207" s="243" t="s">
        <v>511</v>
      </c>
    </row>
    <row r="208" spans="1:7" s="237" customFormat="1" ht="15" customHeight="1" x14ac:dyDescent="0.25">
      <c r="A208" s="241" t="s">
        <v>877</v>
      </c>
      <c r="B208" s="226">
        <v>37342</v>
      </c>
      <c r="C208" s="226">
        <v>37347</v>
      </c>
      <c r="D208" s="205">
        <v>37376</v>
      </c>
      <c r="E208" s="200"/>
      <c r="F208" s="244">
        <v>0.21029999999999999</v>
      </c>
      <c r="G208" s="243" t="s">
        <v>511</v>
      </c>
    </row>
    <row r="209" spans="1:7" s="237" customFormat="1" ht="15" customHeight="1" x14ac:dyDescent="0.25">
      <c r="A209" s="241" t="s">
        <v>878</v>
      </c>
      <c r="B209" s="226">
        <v>37376</v>
      </c>
      <c r="C209" s="226">
        <v>37377</v>
      </c>
      <c r="D209" s="205">
        <v>37407</v>
      </c>
      <c r="E209" s="200" t="s">
        <v>511</v>
      </c>
      <c r="F209" s="228">
        <v>0.2</v>
      </c>
      <c r="G209" s="243" t="s">
        <v>511</v>
      </c>
    </row>
    <row r="210" spans="1:7" s="237" customFormat="1" ht="15" customHeight="1" x14ac:dyDescent="0.25">
      <c r="A210" s="241" t="s">
        <v>879</v>
      </c>
      <c r="B210" s="226">
        <v>37407</v>
      </c>
      <c r="C210" s="226">
        <v>37408</v>
      </c>
      <c r="D210" s="199">
        <v>37437</v>
      </c>
      <c r="E210" s="200" t="s">
        <v>511</v>
      </c>
      <c r="F210" s="228">
        <v>0.1996</v>
      </c>
      <c r="G210" s="245" t="s">
        <v>511</v>
      </c>
    </row>
    <row r="211" spans="1:7" s="239" customFormat="1" ht="15" customHeight="1" x14ac:dyDescent="0.25">
      <c r="A211" s="241" t="s">
        <v>880</v>
      </c>
      <c r="B211" s="226">
        <v>37435</v>
      </c>
      <c r="C211" s="226">
        <v>37438</v>
      </c>
      <c r="D211" s="205">
        <v>37468</v>
      </c>
      <c r="E211" s="200" t="s">
        <v>511</v>
      </c>
      <c r="F211" s="228">
        <v>0.19769999999999999</v>
      </c>
      <c r="G211" s="245" t="s">
        <v>511</v>
      </c>
    </row>
    <row r="212" spans="1:7" s="239" customFormat="1" ht="15" customHeight="1" x14ac:dyDescent="0.25">
      <c r="A212" s="241" t="s">
        <v>881</v>
      </c>
      <c r="B212" s="226">
        <v>37468</v>
      </c>
      <c r="C212" s="226">
        <v>37469</v>
      </c>
      <c r="D212" s="205">
        <v>37499</v>
      </c>
      <c r="E212" s="200" t="s">
        <v>511</v>
      </c>
      <c r="F212" s="228">
        <v>0.2001</v>
      </c>
      <c r="G212" s="220" t="s">
        <v>511</v>
      </c>
    </row>
    <row r="213" spans="1:7" s="239" customFormat="1" ht="15" customHeight="1" x14ac:dyDescent="0.25">
      <c r="A213" s="246" t="s">
        <v>882</v>
      </c>
      <c r="B213" s="229">
        <v>37498</v>
      </c>
      <c r="C213" s="229">
        <v>37500</v>
      </c>
      <c r="D213" s="230">
        <v>37529</v>
      </c>
      <c r="E213" s="247" t="s">
        <v>511</v>
      </c>
      <c r="F213" s="236">
        <v>0.20180000000000001</v>
      </c>
      <c r="G213" s="220" t="s">
        <v>511</v>
      </c>
    </row>
    <row r="214" spans="1:7" s="239" customFormat="1" ht="15" customHeight="1" x14ac:dyDescent="0.25">
      <c r="A214" s="246">
        <v>1106</v>
      </c>
      <c r="B214" s="229">
        <v>37529</v>
      </c>
      <c r="C214" s="229">
        <v>37530</v>
      </c>
      <c r="D214" s="230">
        <v>37560</v>
      </c>
      <c r="E214" s="231" t="s">
        <v>511</v>
      </c>
      <c r="F214" s="236">
        <v>0.20300000000000001</v>
      </c>
      <c r="G214" s="248" t="s">
        <v>511</v>
      </c>
    </row>
    <row r="215" spans="1:7" s="239" customFormat="1" ht="15" customHeight="1" x14ac:dyDescent="0.25">
      <c r="A215" s="246">
        <v>1247</v>
      </c>
      <c r="B215" s="229">
        <v>37560</v>
      </c>
      <c r="C215" s="229">
        <v>37561</v>
      </c>
      <c r="D215" s="230">
        <v>37590</v>
      </c>
      <c r="E215" s="231" t="s">
        <v>511</v>
      </c>
      <c r="F215" s="249">
        <v>0.1976</v>
      </c>
      <c r="G215" s="248" t="s">
        <v>511</v>
      </c>
    </row>
    <row r="216" spans="1:7" s="239" customFormat="1" ht="15" customHeight="1" x14ac:dyDescent="0.25">
      <c r="A216" s="246">
        <v>1368</v>
      </c>
      <c r="B216" s="229">
        <v>37589</v>
      </c>
      <c r="C216" s="229">
        <v>37591</v>
      </c>
      <c r="D216" s="230">
        <v>37621</v>
      </c>
      <c r="E216" s="231" t="s">
        <v>511</v>
      </c>
      <c r="F216" s="249">
        <v>0.19689999999999999</v>
      </c>
      <c r="G216" s="248" t="s">
        <v>511</v>
      </c>
    </row>
    <row r="217" spans="1:7" s="239" customFormat="1" ht="15" customHeight="1" x14ac:dyDescent="0.25">
      <c r="A217" s="246">
        <v>1557</v>
      </c>
      <c r="B217" s="229">
        <v>37621</v>
      </c>
      <c r="C217" s="229">
        <v>37622</v>
      </c>
      <c r="D217" s="230">
        <v>37652</v>
      </c>
      <c r="E217" s="231" t="s">
        <v>511</v>
      </c>
      <c r="F217" s="236">
        <v>0.19639999999999999</v>
      </c>
      <c r="G217" s="248" t="s">
        <v>511</v>
      </c>
    </row>
    <row r="218" spans="1:7" s="239" customFormat="1" ht="15" customHeight="1" x14ac:dyDescent="0.25">
      <c r="A218" s="246" t="s">
        <v>883</v>
      </c>
      <c r="B218" s="229">
        <v>37652</v>
      </c>
      <c r="C218" s="229">
        <v>37653</v>
      </c>
      <c r="D218" s="230">
        <v>37680</v>
      </c>
      <c r="E218" s="231" t="s">
        <v>511</v>
      </c>
      <c r="F218" s="236">
        <v>0.1978</v>
      </c>
      <c r="G218" s="248" t="s">
        <v>511</v>
      </c>
    </row>
    <row r="219" spans="1:7" s="239" customFormat="1" ht="15" customHeight="1" x14ac:dyDescent="0.25">
      <c r="A219" s="246" t="s">
        <v>884</v>
      </c>
      <c r="B219" s="229">
        <v>37680</v>
      </c>
      <c r="C219" s="229">
        <v>37681</v>
      </c>
      <c r="D219" s="230">
        <v>37711</v>
      </c>
      <c r="E219" s="231" t="s">
        <v>511</v>
      </c>
      <c r="F219" s="236">
        <v>0.19489999999999999</v>
      </c>
      <c r="G219" s="248" t="s">
        <v>511</v>
      </c>
    </row>
    <row r="220" spans="1:7" s="239" customFormat="1" ht="15" customHeight="1" x14ac:dyDescent="0.25">
      <c r="A220" s="250" t="s">
        <v>885</v>
      </c>
      <c r="B220" s="229">
        <v>37711</v>
      </c>
      <c r="C220" s="229">
        <v>37712</v>
      </c>
      <c r="D220" s="230">
        <v>37741</v>
      </c>
      <c r="E220" s="231" t="s">
        <v>511</v>
      </c>
      <c r="F220" s="236">
        <v>0.1981</v>
      </c>
      <c r="G220" s="248" t="s">
        <v>511</v>
      </c>
    </row>
    <row r="221" spans="1:7" s="239" customFormat="1" ht="15" customHeight="1" x14ac:dyDescent="0.25">
      <c r="A221" s="246" t="s">
        <v>886</v>
      </c>
      <c r="B221" s="229">
        <v>37741</v>
      </c>
      <c r="C221" s="229">
        <v>37742</v>
      </c>
      <c r="D221" s="230">
        <v>37772</v>
      </c>
      <c r="E221" s="231" t="s">
        <v>511</v>
      </c>
      <c r="F221" s="236">
        <v>0.19889999999999999</v>
      </c>
      <c r="G221" s="248" t="s">
        <v>511</v>
      </c>
    </row>
    <row r="222" spans="1:7" s="239" customFormat="1" ht="15" customHeight="1" x14ac:dyDescent="0.25">
      <c r="A222" s="246" t="s">
        <v>887</v>
      </c>
      <c r="B222" s="229">
        <v>37771</v>
      </c>
      <c r="C222" s="229">
        <v>37773</v>
      </c>
      <c r="D222" s="230">
        <v>37802</v>
      </c>
      <c r="E222" s="231" t="s">
        <v>511</v>
      </c>
      <c r="F222" s="236">
        <v>0.192</v>
      </c>
      <c r="G222" s="248" t="s">
        <v>511</v>
      </c>
    </row>
    <row r="223" spans="1:7" s="239" customFormat="1" ht="15" customHeight="1" x14ac:dyDescent="0.25">
      <c r="A223" s="246" t="s">
        <v>888</v>
      </c>
      <c r="B223" s="229">
        <v>37799</v>
      </c>
      <c r="C223" s="229">
        <v>37803</v>
      </c>
      <c r="D223" s="230">
        <v>37833</v>
      </c>
      <c r="E223" s="231" t="s">
        <v>511</v>
      </c>
      <c r="F223" s="236">
        <v>0.19439999999999999</v>
      </c>
      <c r="G223" s="248" t="s">
        <v>511</v>
      </c>
    </row>
    <row r="224" spans="1:7" s="239" customFormat="1" ht="15" customHeight="1" x14ac:dyDescent="0.25">
      <c r="A224" s="246" t="s">
        <v>889</v>
      </c>
      <c r="B224" s="229">
        <v>37833</v>
      </c>
      <c r="C224" s="229">
        <v>37834</v>
      </c>
      <c r="D224" s="230">
        <v>37864</v>
      </c>
      <c r="E224" s="231" t="s">
        <v>511</v>
      </c>
      <c r="F224" s="236">
        <v>0.1988</v>
      </c>
      <c r="G224" s="248" t="s">
        <v>511</v>
      </c>
    </row>
    <row r="225" spans="1:7" s="239" customFormat="1" ht="15" customHeight="1" x14ac:dyDescent="0.25">
      <c r="A225" s="251" t="s">
        <v>890</v>
      </c>
      <c r="B225" s="229">
        <v>37862</v>
      </c>
      <c r="C225" s="229">
        <v>37865</v>
      </c>
      <c r="D225" s="230">
        <v>37894</v>
      </c>
      <c r="E225" s="231" t="s">
        <v>511</v>
      </c>
      <c r="F225" s="236">
        <v>0.20119999999999999</v>
      </c>
      <c r="G225" s="248" t="s">
        <v>511</v>
      </c>
    </row>
    <row r="226" spans="1:7" s="239" customFormat="1" ht="15" customHeight="1" x14ac:dyDescent="0.25">
      <c r="A226" s="251">
        <v>1038</v>
      </c>
      <c r="B226" s="229">
        <v>37894</v>
      </c>
      <c r="C226" s="229">
        <v>37895</v>
      </c>
      <c r="D226" s="230">
        <v>37925</v>
      </c>
      <c r="E226" s="231" t="s">
        <v>511</v>
      </c>
      <c r="F226" s="236">
        <v>0.20039999999999999</v>
      </c>
      <c r="G226" s="248" t="s">
        <v>511</v>
      </c>
    </row>
    <row r="227" spans="1:7" s="239" customFormat="1" ht="15" customHeight="1" x14ac:dyDescent="0.25">
      <c r="A227" s="251">
        <v>1152</v>
      </c>
      <c r="B227" s="229">
        <v>37925</v>
      </c>
      <c r="C227" s="229">
        <v>37926</v>
      </c>
      <c r="D227" s="230">
        <v>37955</v>
      </c>
      <c r="E227" s="231" t="s">
        <v>511</v>
      </c>
      <c r="F227" s="236">
        <v>0.19869999999999999</v>
      </c>
      <c r="G227" s="248" t="s">
        <v>511</v>
      </c>
    </row>
    <row r="228" spans="1:7" s="239" customFormat="1" ht="15" customHeight="1" x14ac:dyDescent="0.25">
      <c r="A228" s="251">
        <v>1315</v>
      </c>
      <c r="B228" s="229">
        <v>37953</v>
      </c>
      <c r="C228" s="229">
        <v>37956</v>
      </c>
      <c r="D228" s="230">
        <v>37986</v>
      </c>
      <c r="E228" s="231" t="s">
        <v>511</v>
      </c>
      <c r="F228" s="236">
        <v>0.1981</v>
      </c>
      <c r="G228" s="248" t="s">
        <v>511</v>
      </c>
    </row>
    <row r="229" spans="1:7" s="239" customFormat="1" ht="15" customHeight="1" x14ac:dyDescent="0.25">
      <c r="A229" s="251">
        <v>1531</v>
      </c>
      <c r="B229" s="229">
        <v>37986</v>
      </c>
      <c r="C229" s="229">
        <v>37987</v>
      </c>
      <c r="D229" s="230">
        <v>38017</v>
      </c>
      <c r="E229" s="231" t="s">
        <v>511</v>
      </c>
      <c r="F229" s="236">
        <v>0.19670000000000001</v>
      </c>
      <c r="G229" s="248" t="s">
        <v>511</v>
      </c>
    </row>
    <row r="230" spans="1:7" s="239" customFormat="1" ht="15" customHeight="1" x14ac:dyDescent="0.25">
      <c r="A230" s="252" t="s">
        <v>891</v>
      </c>
      <c r="B230" s="253">
        <v>38016</v>
      </c>
      <c r="C230" s="253">
        <v>38018</v>
      </c>
      <c r="D230" s="254">
        <v>38046</v>
      </c>
      <c r="E230" s="255" t="s">
        <v>511</v>
      </c>
      <c r="F230" s="256">
        <v>0.19739999999999999</v>
      </c>
      <c r="G230" s="257" t="s">
        <v>511</v>
      </c>
    </row>
    <row r="231" spans="1:7" s="239" customFormat="1" ht="15" customHeight="1" x14ac:dyDescent="0.25">
      <c r="A231" s="251" t="s">
        <v>892</v>
      </c>
      <c r="B231" s="229">
        <v>38044</v>
      </c>
      <c r="C231" s="229">
        <v>38047</v>
      </c>
      <c r="D231" s="230">
        <v>38077</v>
      </c>
      <c r="E231" s="231" t="s">
        <v>511</v>
      </c>
      <c r="F231" s="258">
        <v>0.19800000000000001</v>
      </c>
      <c r="G231" s="248" t="s">
        <v>511</v>
      </c>
    </row>
    <row r="232" spans="1:7" s="239" customFormat="1" ht="15" customHeight="1" x14ac:dyDescent="0.25">
      <c r="A232" s="251" t="s">
        <v>893</v>
      </c>
      <c r="B232" s="229">
        <v>38077</v>
      </c>
      <c r="C232" s="229">
        <v>38078</v>
      </c>
      <c r="D232" s="230">
        <v>38107</v>
      </c>
      <c r="E232" s="231" t="s">
        <v>511</v>
      </c>
      <c r="F232" s="258">
        <v>0.1978</v>
      </c>
      <c r="G232" s="248" t="s">
        <v>511</v>
      </c>
    </row>
    <row r="233" spans="1:7" s="239" customFormat="1" ht="15" customHeight="1" x14ac:dyDescent="0.25">
      <c r="A233" s="259">
        <v>1128</v>
      </c>
      <c r="B233" s="229">
        <v>38107</v>
      </c>
      <c r="C233" s="229">
        <v>38108</v>
      </c>
      <c r="D233" s="230">
        <v>38138</v>
      </c>
      <c r="E233" s="231" t="s">
        <v>857</v>
      </c>
      <c r="F233" s="236">
        <v>0.1971</v>
      </c>
      <c r="G233" s="243" t="s">
        <v>857</v>
      </c>
    </row>
    <row r="234" spans="1:7" s="239" customFormat="1" ht="15" customHeight="1" x14ac:dyDescent="0.25">
      <c r="A234" s="259">
        <v>1228</v>
      </c>
      <c r="B234" s="229">
        <v>38138</v>
      </c>
      <c r="C234" s="229">
        <v>38139</v>
      </c>
      <c r="D234" s="230">
        <v>38168</v>
      </c>
      <c r="E234" s="231" t="s">
        <v>857</v>
      </c>
      <c r="F234" s="236">
        <v>0.19670000000000001</v>
      </c>
      <c r="G234" s="243" t="s">
        <v>511</v>
      </c>
    </row>
    <row r="235" spans="1:7" s="239" customFormat="1" ht="15" customHeight="1" x14ac:dyDescent="0.25">
      <c r="A235" s="259">
        <v>1337</v>
      </c>
      <c r="B235" s="229">
        <v>38168</v>
      </c>
      <c r="C235" s="229">
        <v>38169</v>
      </c>
      <c r="D235" s="230">
        <v>38199</v>
      </c>
      <c r="E235" s="231" t="s">
        <v>857</v>
      </c>
      <c r="F235" s="260">
        <v>0.19439999999999999</v>
      </c>
      <c r="G235" s="243" t="s">
        <v>511</v>
      </c>
    </row>
    <row r="236" spans="1:7" s="239" customFormat="1" ht="15" customHeight="1" x14ac:dyDescent="0.25">
      <c r="A236" s="259">
        <v>1438</v>
      </c>
      <c r="B236" s="229">
        <v>38198</v>
      </c>
      <c r="C236" s="229">
        <v>38200</v>
      </c>
      <c r="D236" s="230">
        <v>38230</v>
      </c>
      <c r="E236" s="231" t="s">
        <v>857</v>
      </c>
      <c r="F236" s="260">
        <v>0.1928</v>
      </c>
      <c r="G236" s="261" t="s">
        <v>511</v>
      </c>
    </row>
    <row r="237" spans="1:7" s="239" customFormat="1" ht="15" customHeight="1" x14ac:dyDescent="0.25">
      <c r="A237" s="259">
        <v>1527</v>
      </c>
      <c r="B237" s="229">
        <v>38230</v>
      </c>
      <c r="C237" s="229">
        <v>38231</v>
      </c>
      <c r="D237" s="230">
        <v>38260</v>
      </c>
      <c r="E237" s="231" t="s">
        <v>857</v>
      </c>
      <c r="F237" s="260">
        <v>0.19500000000000001</v>
      </c>
      <c r="G237" s="261" t="s">
        <v>511</v>
      </c>
    </row>
    <row r="238" spans="1:7" s="239" customFormat="1" ht="15" customHeight="1" x14ac:dyDescent="0.25">
      <c r="A238" s="259">
        <v>1648</v>
      </c>
      <c r="B238" s="229">
        <v>38260</v>
      </c>
      <c r="C238" s="229">
        <v>38261</v>
      </c>
      <c r="D238" s="230">
        <v>38291</v>
      </c>
      <c r="E238" s="231" t="s">
        <v>857</v>
      </c>
      <c r="F238" s="260">
        <v>0.19089999999999999</v>
      </c>
      <c r="G238" s="261" t="s">
        <v>511</v>
      </c>
    </row>
    <row r="239" spans="1:7" s="239" customFormat="1" ht="15" customHeight="1" x14ac:dyDescent="0.25">
      <c r="A239" s="259">
        <v>1753</v>
      </c>
      <c r="B239" s="229">
        <v>38289</v>
      </c>
      <c r="C239" s="229">
        <v>38292</v>
      </c>
      <c r="D239" s="230">
        <v>38321</v>
      </c>
      <c r="E239" s="231"/>
      <c r="F239" s="260">
        <v>0.19589999999999999</v>
      </c>
      <c r="G239" s="261" t="s">
        <v>511</v>
      </c>
    </row>
    <row r="240" spans="1:7" s="239" customFormat="1" ht="15" customHeight="1" x14ac:dyDescent="0.25">
      <c r="A240" s="259">
        <v>1890</v>
      </c>
      <c r="B240" s="229">
        <v>38321</v>
      </c>
      <c r="C240" s="229">
        <v>38322</v>
      </c>
      <c r="D240" s="230">
        <v>38352</v>
      </c>
      <c r="E240" s="231" t="s">
        <v>857</v>
      </c>
      <c r="F240" s="260">
        <v>0.19489999999999999</v>
      </c>
      <c r="G240" s="261" t="s">
        <v>511</v>
      </c>
    </row>
    <row r="241" spans="1:7" s="239" customFormat="1" ht="15" customHeight="1" x14ac:dyDescent="0.25">
      <c r="A241" s="259">
        <v>2037</v>
      </c>
      <c r="B241" s="229">
        <v>38352</v>
      </c>
      <c r="C241" s="233">
        <v>38353</v>
      </c>
      <c r="D241" s="230">
        <v>38383</v>
      </c>
      <c r="E241" s="262" t="s">
        <v>857</v>
      </c>
      <c r="F241" s="260">
        <v>0.19450000000000001</v>
      </c>
      <c r="G241" s="261" t="s">
        <v>511</v>
      </c>
    </row>
    <row r="242" spans="1:7" s="239" customFormat="1" ht="15" customHeight="1" x14ac:dyDescent="0.25">
      <c r="A242" s="263" t="s">
        <v>894</v>
      </c>
      <c r="B242" s="229">
        <v>38384</v>
      </c>
      <c r="C242" s="229">
        <v>38384</v>
      </c>
      <c r="D242" s="230">
        <v>38411</v>
      </c>
      <c r="E242" s="231" t="s">
        <v>857</v>
      </c>
      <c r="F242" s="260">
        <v>0.19400000000000001</v>
      </c>
      <c r="G242" s="261" t="s">
        <v>511</v>
      </c>
    </row>
    <row r="243" spans="1:7" s="239" customFormat="1" ht="15" customHeight="1" x14ac:dyDescent="0.25">
      <c r="A243" s="259" t="s">
        <v>886</v>
      </c>
      <c r="B243" s="229">
        <v>38411</v>
      </c>
      <c r="C243" s="229">
        <v>38412</v>
      </c>
      <c r="D243" s="230">
        <v>38442</v>
      </c>
      <c r="E243" s="231" t="s">
        <v>857</v>
      </c>
      <c r="F243" s="260">
        <v>0.1915</v>
      </c>
      <c r="G243" s="264" t="s">
        <v>895</v>
      </c>
    </row>
    <row r="244" spans="1:7" s="239" customFormat="1" ht="15" customHeight="1" x14ac:dyDescent="0.25">
      <c r="A244" s="259" t="s">
        <v>896</v>
      </c>
      <c r="B244" s="229">
        <v>38442</v>
      </c>
      <c r="C244" s="229">
        <v>38443</v>
      </c>
      <c r="D244" s="230">
        <v>38472</v>
      </c>
      <c r="E244" s="231" t="s">
        <v>857</v>
      </c>
      <c r="F244" s="260">
        <v>0.19189999999999999</v>
      </c>
      <c r="G244" s="264" t="s">
        <v>895</v>
      </c>
    </row>
    <row r="245" spans="1:7" s="239" customFormat="1" ht="15" customHeight="1" x14ac:dyDescent="0.25">
      <c r="A245" s="259" t="s">
        <v>897</v>
      </c>
      <c r="B245" s="229">
        <v>38471</v>
      </c>
      <c r="C245" s="229">
        <v>38473</v>
      </c>
      <c r="D245" s="230">
        <v>38503</v>
      </c>
      <c r="E245" s="231" t="s">
        <v>857</v>
      </c>
      <c r="F245" s="260">
        <v>0.19020000000000001</v>
      </c>
      <c r="G245" s="265" t="s">
        <v>895</v>
      </c>
    </row>
    <row r="246" spans="1:7" s="239" customFormat="1" ht="15" customHeight="1" x14ac:dyDescent="0.25">
      <c r="A246" s="259" t="s">
        <v>898</v>
      </c>
      <c r="B246" s="229">
        <v>38503</v>
      </c>
      <c r="C246" s="233">
        <v>38504</v>
      </c>
      <c r="D246" s="230">
        <v>38533</v>
      </c>
      <c r="E246" s="262" t="s">
        <v>857</v>
      </c>
      <c r="F246" s="260">
        <v>0.1885</v>
      </c>
      <c r="G246" s="265" t="s">
        <v>895</v>
      </c>
    </row>
    <row r="247" spans="1:7" s="239" customFormat="1" ht="15" customHeight="1" x14ac:dyDescent="0.25">
      <c r="A247" s="259" t="s">
        <v>899</v>
      </c>
      <c r="B247" s="229">
        <v>38533</v>
      </c>
      <c r="C247" s="233">
        <v>38534</v>
      </c>
      <c r="D247" s="230">
        <v>38564</v>
      </c>
      <c r="E247" s="262" t="s">
        <v>857</v>
      </c>
      <c r="F247" s="260">
        <v>0.185</v>
      </c>
      <c r="G247" s="265" t="s">
        <v>895</v>
      </c>
    </row>
    <row r="248" spans="1:7" s="239" customFormat="1" ht="15" customHeight="1" x14ac:dyDescent="0.25">
      <c r="A248" s="259">
        <v>1101</v>
      </c>
      <c r="B248" s="229" t="s">
        <v>900</v>
      </c>
      <c r="C248" s="233">
        <v>38565</v>
      </c>
      <c r="D248" s="230">
        <v>38595</v>
      </c>
      <c r="E248" s="262" t="s">
        <v>857</v>
      </c>
      <c r="F248" s="260">
        <v>0.18240000000000001</v>
      </c>
      <c r="G248" s="265" t="s">
        <v>895</v>
      </c>
    </row>
    <row r="249" spans="1:7" s="239" customFormat="1" ht="15" customHeight="1" x14ac:dyDescent="0.25">
      <c r="A249" s="259">
        <v>1257</v>
      </c>
      <c r="B249" s="229" t="s">
        <v>901</v>
      </c>
      <c r="C249" s="233">
        <v>38596</v>
      </c>
      <c r="D249" s="230">
        <v>38625</v>
      </c>
      <c r="E249" s="262" t="s">
        <v>857</v>
      </c>
      <c r="F249" s="260">
        <v>0.1822</v>
      </c>
      <c r="G249" s="265" t="s">
        <v>895</v>
      </c>
    </row>
    <row r="250" spans="1:7" s="239" customFormat="1" ht="15" customHeight="1" x14ac:dyDescent="0.25">
      <c r="A250" s="259">
        <v>1487</v>
      </c>
      <c r="B250" s="229" t="s">
        <v>902</v>
      </c>
      <c r="C250" s="233">
        <v>38626</v>
      </c>
      <c r="D250" s="230">
        <v>38656</v>
      </c>
      <c r="E250" s="262" t="s">
        <v>857</v>
      </c>
      <c r="F250" s="260">
        <v>0.17929999999999999</v>
      </c>
      <c r="G250" s="265" t="s">
        <v>895</v>
      </c>
    </row>
    <row r="251" spans="1:7" s="239" customFormat="1" ht="15" customHeight="1" x14ac:dyDescent="0.25">
      <c r="A251" s="259">
        <v>1690</v>
      </c>
      <c r="B251" s="229" t="s">
        <v>903</v>
      </c>
      <c r="C251" s="233">
        <v>38657</v>
      </c>
      <c r="D251" s="230">
        <v>38686</v>
      </c>
      <c r="E251" s="262" t="s">
        <v>857</v>
      </c>
      <c r="F251" s="260">
        <v>0.17810000000000001</v>
      </c>
      <c r="G251" s="265" t="s">
        <v>895</v>
      </c>
    </row>
    <row r="252" spans="1:7" s="239" customFormat="1" ht="15" customHeight="1" x14ac:dyDescent="0.25">
      <c r="A252" s="259" t="s">
        <v>904</v>
      </c>
      <c r="B252" s="229" t="s">
        <v>905</v>
      </c>
      <c r="C252" s="233">
        <v>38687</v>
      </c>
      <c r="D252" s="229">
        <v>38717</v>
      </c>
      <c r="E252" s="262" t="s">
        <v>857</v>
      </c>
      <c r="F252" s="260">
        <v>0.1749</v>
      </c>
      <c r="G252" s="264" t="s">
        <v>895</v>
      </c>
    </row>
    <row r="253" spans="1:7" s="239" customFormat="1" ht="15" customHeight="1" x14ac:dyDescent="0.25">
      <c r="A253" s="259" t="s">
        <v>885</v>
      </c>
      <c r="B253" s="229" t="s">
        <v>906</v>
      </c>
      <c r="C253" s="233">
        <v>38718</v>
      </c>
      <c r="D253" s="229">
        <v>38748</v>
      </c>
      <c r="E253" s="262" t="s">
        <v>857</v>
      </c>
      <c r="F253" s="260">
        <v>0.17349999999999999</v>
      </c>
      <c r="G253" s="264" t="s">
        <v>895</v>
      </c>
    </row>
    <row r="254" spans="1:7" s="239" customFormat="1" ht="15" customHeight="1" x14ac:dyDescent="0.25">
      <c r="A254" s="259" t="s">
        <v>907</v>
      </c>
      <c r="B254" s="229" t="s">
        <v>908</v>
      </c>
      <c r="C254" s="233">
        <v>38749</v>
      </c>
      <c r="D254" s="229">
        <v>38776</v>
      </c>
      <c r="E254" s="262" t="s">
        <v>857</v>
      </c>
      <c r="F254" s="260">
        <v>0.17510000000000001</v>
      </c>
      <c r="G254" s="264" t="s">
        <v>895</v>
      </c>
    </row>
    <row r="255" spans="1:7" s="239" customFormat="1" ht="15" customHeight="1" x14ac:dyDescent="0.25">
      <c r="A255" s="259" t="s">
        <v>909</v>
      </c>
      <c r="B255" s="229" t="s">
        <v>910</v>
      </c>
      <c r="C255" s="233">
        <v>38777</v>
      </c>
      <c r="D255" s="229">
        <v>38807</v>
      </c>
      <c r="E255" s="262" t="s">
        <v>857</v>
      </c>
      <c r="F255" s="260">
        <v>0.17249999999999999</v>
      </c>
      <c r="G255" s="264" t="s">
        <v>895</v>
      </c>
    </row>
    <row r="256" spans="1:7" s="239" customFormat="1" ht="15" customHeight="1" x14ac:dyDescent="0.25">
      <c r="A256" s="259" t="s">
        <v>768</v>
      </c>
      <c r="B256" s="229" t="s">
        <v>911</v>
      </c>
      <c r="C256" s="233">
        <v>38808</v>
      </c>
      <c r="D256" s="229">
        <v>38837</v>
      </c>
      <c r="E256" s="262" t="s">
        <v>857</v>
      </c>
      <c r="F256" s="260">
        <v>0.16750000000000001</v>
      </c>
      <c r="G256" s="264" t="s">
        <v>895</v>
      </c>
    </row>
    <row r="257" spans="1:7" s="239" customFormat="1" ht="15" customHeight="1" x14ac:dyDescent="0.25">
      <c r="A257" s="259" t="s">
        <v>912</v>
      </c>
      <c r="B257" s="229">
        <v>38837</v>
      </c>
      <c r="C257" s="233">
        <v>38838</v>
      </c>
      <c r="D257" s="229">
        <v>38868</v>
      </c>
      <c r="E257" s="262" t="s">
        <v>857</v>
      </c>
      <c r="F257" s="260">
        <v>0.16070000000000001</v>
      </c>
      <c r="G257" s="264" t="s">
        <v>895</v>
      </c>
    </row>
    <row r="258" spans="1:7" s="239" customFormat="1" ht="15" customHeight="1" x14ac:dyDescent="0.25">
      <c r="A258" s="259" t="s">
        <v>913</v>
      </c>
      <c r="B258" s="229">
        <v>38868</v>
      </c>
      <c r="C258" s="233">
        <v>38869</v>
      </c>
      <c r="D258" s="229">
        <v>38898</v>
      </c>
      <c r="E258" s="262" t="s">
        <v>857</v>
      </c>
      <c r="F258" s="260">
        <v>0.15609999999999999</v>
      </c>
      <c r="G258" s="264" t="s">
        <v>895</v>
      </c>
    </row>
    <row r="259" spans="1:7" s="239" customFormat="1" ht="15" customHeight="1" x14ac:dyDescent="0.25">
      <c r="A259" s="259">
        <v>1103</v>
      </c>
      <c r="B259" s="229">
        <v>38898</v>
      </c>
      <c r="C259" s="233">
        <v>38899</v>
      </c>
      <c r="D259" s="229">
        <v>38929</v>
      </c>
      <c r="E259" s="262" t="s">
        <v>857</v>
      </c>
      <c r="F259" s="260">
        <v>0.15079999999999999</v>
      </c>
      <c r="G259" s="265" t="s">
        <v>895</v>
      </c>
    </row>
    <row r="260" spans="1:7" s="239" customFormat="1" ht="15" customHeight="1" x14ac:dyDescent="0.25">
      <c r="A260" s="259" t="s">
        <v>914</v>
      </c>
      <c r="B260" s="229">
        <v>38929</v>
      </c>
      <c r="C260" s="233">
        <v>38930</v>
      </c>
      <c r="D260" s="229">
        <v>38960</v>
      </c>
      <c r="E260" s="262" t="s">
        <v>857</v>
      </c>
      <c r="F260" s="260">
        <v>0.1502</v>
      </c>
      <c r="G260" s="265" t="s">
        <v>895</v>
      </c>
    </row>
    <row r="261" spans="1:7" s="239" customFormat="1" ht="15" customHeight="1" x14ac:dyDescent="0.25">
      <c r="A261" s="259">
        <v>1468</v>
      </c>
      <c r="B261" s="229">
        <v>38960</v>
      </c>
      <c r="C261" s="233">
        <v>38961</v>
      </c>
      <c r="D261" s="229">
        <v>38990</v>
      </c>
      <c r="E261" s="262" t="s">
        <v>857</v>
      </c>
      <c r="F261" s="260">
        <v>0.15049999999999999</v>
      </c>
      <c r="G261" s="265" t="s">
        <v>895</v>
      </c>
    </row>
    <row r="262" spans="1:7" s="237" customFormat="1" ht="15" customHeight="1" thickBot="1" x14ac:dyDescent="0.3">
      <c r="A262" s="266">
        <v>1715</v>
      </c>
      <c r="B262" s="267">
        <v>38989</v>
      </c>
      <c r="C262" s="268">
        <v>38991</v>
      </c>
      <c r="D262" s="267">
        <v>39082</v>
      </c>
      <c r="E262" s="269" t="s">
        <v>857</v>
      </c>
      <c r="F262" s="270">
        <v>0.1507</v>
      </c>
      <c r="G262" s="271" t="s">
        <v>895</v>
      </c>
    </row>
    <row r="263" spans="1:7" s="237" customFormat="1" ht="15" customHeight="1" thickTop="1" x14ac:dyDescent="0.25">
      <c r="A263" s="272"/>
      <c r="B263" s="273"/>
      <c r="C263" s="273"/>
      <c r="D263" s="273"/>
      <c r="E263" s="274"/>
      <c r="F263" s="275"/>
      <c r="G263" s="276"/>
    </row>
    <row r="264" spans="1:7" s="237" customFormat="1" ht="15" customHeight="1" thickBot="1" x14ac:dyDescent="0.3">
      <c r="A264" s="277"/>
      <c r="B264" s="277"/>
      <c r="C264" s="277"/>
      <c r="D264" s="277"/>
      <c r="E264" s="277"/>
      <c r="F264" s="277"/>
      <c r="G264" s="277"/>
    </row>
    <row r="265" spans="1:7" s="237" customFormat="1" ht="15" customHeight="1" thickTop="1" x14ac:dyDescent="0.25">
      <c r="A265" s="712" t="s">
        <v>497</v>
      </c>
      <c r="B265" s="715" t="s">
        <v>498</v>
      </c>
      <c r="C265" s="183" t="s">
        <v>499</v>
      </c>
      <c r="D265" s="184"/>
      <c r="E265" s="185" t="s">
        <v>500</v>
      </c>
      <c r="F265" s="185"/>
      <c r="G265" s="186"/>
    </row>
    <row r="266" spans="1:7" s="237" customFormat="1" ht="15" customHeight="1" x14ac:dyDescent="0.25">
      <c r="A266" s="713"/>
      <c r="B266" s="695"/>
      <c r="C266" s="721" t="s">
        <v>501</v>
      </c>
      <c r="D266" s="723" t="s">
        <v>502</v>
      </c>
      <c r="E266" s="725" t="s">
        <v>915</v>
      </c>
      <c r="F266" s="725" t="s">
        <v>916</v>
      </c>
      <c r="G266" s="710" t="s">
        <v>917</v>
      </c>
    </row>
    <row r="267" spans="1:7" s="237" customFormat="1" ht="15" customHeight="1" x14ac:dyDescent="0.25">
      <c r="A267" s="714"/>
      <c r="B267" s="696"/>
      <c r="C267" s="722"/>
      <c r="D267" s="724"/>
      <c r="E267" s="726"/>
      <c r="F267" s="726"/>
      <c r="G267" s="711"/>
    </row>
    <row r="268" spans="1:7" s="237" customFormat="1" ht="15" customHeight="1" thickBot="1" x14ac:dyDescent="0.3">
      <c r="A268" s="278">
        <v>2441</v>
      </c>
      <c r="B268" s="279">
        <v>39080</v>
      </c>
      <c r="C268" s="280">
        <v>39083</v>
      </c>
      <c r="D268" s="281">
        <v>39086</v>
      </c>
      <c r="E268" s="282">
        <v>0.11070000000000001</v>
      </c>
      <c r="F268" s="283">
        <v>0.20680000000000001</v>
      </c>
      <c r="G268" s="284">
        <v>0.21390000000000001</v>
      </c>
    </row>
    <row r="269" spans="1:7" s="237" customFormat="1" ht="15" customHeight="1" thickTop="1" thickBot="1" x14ac:dyDescent="0.3">
      <c r="A269" s="285"/>
      <c r="B269" s="286"/>
      <c r="C269" s="286"/>
      <c r="D269" s="286"/>
      <c r="E269" s="286"/>
      <c r="F269" s="287"/>
      <c r="G269" s="182"/>
    </row>
    <row r="270" spans="1:7" s="237" customFormat="1" ht="15" customHeight="1" thickTop="1" x14ac:dyDescent="0.25">
      <c r="A270" s="712" t="s">
        <v>497</v>
      </c>
      <c r="B270" s="715" t="s">
        <v>498</v>
      </c>
      <c r="C270" s="183" t="s">
        <v>499</v>
      </c>
      <c r="D270" s="184"/>
      <c r="E270" s="288" t="s">
        <v>500</v>
      </c>
      <c r="F270" s="289"/>
      <c r="G270" s="290"/>
    </row>
    <row r="271" spans="1:7" s="237" customFormat="1" ht="15" customHeight="1" x14ac:dyDescent="0.25">
      <c r="A271" s="713"/>
      <c r="B271" s="695"/>
      <c r="C271" s="700" t="s">
        <v>501</v>
      </c>
      <c r="D271" s="702" t="s">
        <v>502</v>
      </c>
      <c r="E271" s="716" t="s">
        <v>918</v>
      </c>
      <c r="F271" s="717"/>
      <c r="G271" s="720" t="s">
        <v>917</v>
      </c>
    </row>
    <row r="272" spans="1:7" s="237" customFormat="1" ht="15" customHeight="1" x14ac:dyDescent="0.25">
      <c r="A272" s="714"/>
      <c r="B272" s="696"/>
      <c r="C272" s="701"/>
      <c r="D272" s="703"/>
      <c r="E272" s="718"/>
      <c r="F272" s="719"/>
      <c r="G272" s="711"/>
    </row>
    <row r="273" spans="1:7" s="237" customFormat="1" ht="15" customHeight="1" thickBot="1" x14ac:dyDescent="0.3">
      <c r="A273" s="278" t="s">
        <v>904</v>
      </c>
      <c r="B273" s="279">
        <v>39086</v>
      </c>
      <c r="C273" s="280">
        <v>39087</v>
      </c>
      <c r="D273" s="281">
        <v>39172</v>
      </c>
      <c r="E273" s="689">
        <v>0.13830000000000001</v>
      </c>
      <c r="F273" s="690"/>
      <c r="G273" s="284">
        <v>0.21390000000000001</v>
      </c>
    </row>
    <row r="274" spans="1:7" s="237" customFormat="1" ht="15" customHeight="1" thickTop="1" x14ac:dyDescent="0.25">
      <c r="A274" s="287"/>
      <c r="B274" s="273"/>
      <c r="C274" s="273"/>
      <c r="D274" s="273"/>
      <c r="E274" s="291"/>
      <c r="F274" s="291"/>
      <c r="G274" s="292"/>
    </row>
    <row r="275" spans="1:7" s="237" customFormat="1" ht="14.25" customHeight="1" x14ac:dyDescent="0.25">
      <c r="A275" s="287"/>
      <c r="B275" s="273"/>
      <c r="C275" s="273"/>
      <c r="D275" s="273"/>
      <c r="E275" s="291"/>
      <c r="F275" s="291"/>
      <c r="G275" s="292"/>
    </row>
    <row r="276" spans="1:7" s="237" customFormat="1" ht="14.25" customHeight="1" x14ac:dyDescent="0.25">
      <c r="A276" s="287"/>
      <c r="B276" s="273"/>
      <c r="C276" s="273"/>
      <c r="D276" s="273"/>
      <c r="E276" s="291"/>
      <c r="F276" s="291"/>
      <c r="G276" s="292"/>
    </row>
    <row r="277" spans="1:7" s="237" customFormat="1" ht="14.25" customHeight="1" x14ac:dyDescent="0.25">
      <c r="A277" s="287"/>
      <c r="B277" s="273"/>
      <c r="C277" s="273"/>
      <c r="D277" s="273"/>
      <c r="E277" s="291"/>
      <c r="F277" s="291"/>
      <c r="G277" s="292"/>
    </row>
    <row r="278" spans="1:7" s="237" customFormat="1" ht="14.25" customHeight="1" x14ac:dyDescent="0.25">
      <c r="A278" s="287"/>
      <c r="B278" s="273"/>
      <c r="C278" s="273"/>
      <c r="D278" s="273"/>
      <c r="E278" s="291"/>
      <c r="F278" s="291"/>
      <c r="G278" s="292"/>
    </row>
    <row r="279" spans="1:7" s="237" customFormat="1" ht="14.25" customHeight="1" x14ac:dyDescent="0.25">
      <c r="A279" s="287"/>
      <c r="B279" s="273"/>
      <c r="C279" s="273"/>
      <c r="D279" s="273"/>
      <c r="E279" s="291"/>
      <c r="F279" s="291"/>
      <c r="G279" s="292"/>
    </row>
    <row r="280" spans="1:7" s="237" customFormat="1" ht="14.25" customHeight="1" x14ac:dyDescent="0.25">
      <c r="A280" s="287"/>
      <c r="B280" s="273"/>
      <c r="C280" s="273"/>
      <c r="D280" s="273"/>
      <c r="E280" s="291"/>
      <c r="F280" s="291"/>
      <c r="G280" s="292"/>
    </row>
    <row r="281" spans="1:7" s="237" customFormat="1" ht="14.25" customHeight="1" x14ac:dyDescent="0.25">
      <c r="A281" s="287"/>
      <c r="B281" s="273"/>
      <c r="C281" s="273"/>
      <c r="D281" s="273"/>
      <c r="E281" s="291"/>
      <c r="F281" s="291"/>
      <c r="G281" s="292"/>
    </row>
    <row r="282" spans="1:7" s="237" customFormat="1" ht="14.25" customHeight="1" x14ac:dyDescent="0.25">
      <c r="A282" s="287"/>
      <c r="B282" s="273"/>
      <c r="C282" s="273"/>
      <c r="D282" s="273"/>
      <c r="E282" s="291"/>
      <c r="F282" s="291"/>
      <c r="G282" s="292"/>
    </row>
    <row r="283" spans="1:7" s="237" customFormat="1" ht="14.25" customHeight="1" x14ac:dyDescent="0.25">
      <c r="A283" s="287"/>
      <c r="B283" s="273"/>
      <c r="C283" s="273"/>
      <c r="D283" s="273"/>
      <c r="E283" s="291"/>
      <c r="F283" s="291"/>
      <c r="G283" s="292"/>
    </row>
    <row r="284" spans="1:7" s="237" customFormat="1" ht="14.25" customHeight="1" x14ac:dyDescent="0.25">
      <c r="A284" s="287"/>
      <c r="B284" s="273"/>
      <c r="C284" s="273"/>
      <c r="D284" s="273"/>
      <c r="E284" s="291"/>
      <c r="F284" s="291"/>
      <c r="G284" s="292"/>
    </row>
    <row r="285" spans="1:7" s="237" customFormat="1" ht="15" customHeight="1" x14ac:dyDescent="0.25">
      <c r="A285" s="287"/>
      <c r="B285" s="273"/>
      <c r="C285" s="273"/>
      <c r="D285" s="273"/>
      <c r="E285" s="291"/>
      <c r="F285" s="291"/>
      <c r="G285" s="292"/>
    </row>
    <row r="286" spans="1:7" s="237" customFormat="1" ht="15" customHeight="1" x14ac:dyDescent="0.25">
      <c r="A286" s="287"/>
      <c r="B286" s="273"/>
      <c r="C286" s="273"/>
      <c r="D286" s="273"/>
      <c r="E286" s="291"/>
      <c r="F286" s="291"/>
      <c r="G286" s="292"/>
    </row>
    <row r="287" spans="1:7" s="237" customFormat="1" ht="15" customHeight="1" x14ac:dyDescent="0.25">
      <c r="A287" s="287"/>
      <c r="B287" s="273"/>
      <c r="C287" s="273"/>
      <c r="D287" s="273"/>
      <c r="E287" s="291"/>
      <c r="F287" s="291"/>
      <c r="G287" s="292"/>
    </row>
    <row r="288" spans="1:7" s="237" customFormat="1" ht="15" customHeight="1" x14ac:dyDescent="0.25">
      <c r="A288" s="287"/>
      <c r="B288" s="273"/>
      <c r="C288" s="273"/>
      <c r="D288" s="273"/>
      <c r="E288" s="291"/>
      <c r="F288" s="291"/>
      <c r="G288" s="292"/>
    </row>
    <row r="289" spans="1:9" s="237" customFormat="1" ht="15" customHeight="1" thickBot="1" x14ac:dyDescent="0.3">
      <c r="A289" s="287"/>
      <c r="B289" s="273"/>
      <c r="C289" s="273"/>
      <c r="D289" s="273"/>
      <c r="E289" s="291"/>
      <c r="F289" s="291"/>
      <c r="G289" s="292"/>
      <c r="H289" s="293"/>
    </row>
    <row r="290" spans="1:9" s="237" customFormat="1" ht="15" customHeight="1" thickTop="1" x14ac:dyDescent="0.25">
      <c r="A290" s="691" t="s">
        <v>497</v>
      </c>
      <c r="B290" s="694" t="s">
        <v>498</v>
      </c>
      <c r="C290" s="294" t="s">
        <v>499</v>
      </c>
      <c r="D290" s="295"/>
      <c r="E290" s="697" t="s">
        <v>500</v>
      </c>
      <c r="F290" s="698"/>
      <c r="G290" s="698"/>
      <c r="H290" s="699"/>
    </row>
    <row r="291" spans="1:9" s="237" customFormat="1" ht="15" customHeight="1" x14ac:dyDescent="0.25">
      <c r="A291" s="692"/>
      <c r="B291" s="695"/>
      <c r="C291" s="700" t="s">
        <v>501</v>
      </c>
      <c r="D291" s="702" t="s">
        <v>502</v>
      </c>
      <c r="E291" s="704" t="s">
        <v>919</v>
      </c>
      <c r="F291" s="705"/>
      <c r="G291" s="708" t="s">
        <v>920</v>
      </c>
      <c r="H291" s="710" t="s">
        <v>921</v>
      </c>
      <c r="I291" s="218"/>
    </row>
    <row r="292" spans="1:9" s="237" customFormat="1" ht="15.75" customHeight="1" x14ac:dyDescent="0.25">
      <c r="A292" s="693"/>
      <c r="B292" s="696"/>
      <c r="C292" s="701"/>
      <c r="D292" s="703"/>
      <c r="E292" s="706"/>
      <c r="F292" s="707"/>
      <c r="G292" s="709"/>
      <c r="H292" s="711"/>
      <c r="I292" s="218"/>
    </row>
    <row r="293" spans="1:9" s="237" customFormat="1" ht="15" customHeight="1" x14ac:dyDescent="0.25">
      <c r="A293" s="296" t="s">
        <v>922</v>
      </c>
      <c r="B293" s="297">
        <v>39171</v>
      </c>
      <c r="C293" s="298">
        <v>39173</v>
      </c>
      <c r="D293" s="299">
        <v>39263</v>
      </c>
      <c r="E293" s="678">
        <v>0.16750000000000001</v>
      </c>
      <c r="F293" s="679"/>
      <c r="G293" s="300"/>
      <c r="H293" s="301"/>
      <c r="I293" s="218"/>
    </row>
    <row r="294" spans="1:9" s="237" customFormat="1" ht="15" customHeight="1" x14ac:dyDescent="0.25">
      <c r="A294" s="302" t="s">
        <v>922</v>
      </c>
      <c r="B294" s="297">
        <v>39171</v>
      </c>
      <c r="C294" s="298">
        <v>39173</v>
      </c>
      <c r="D294" s="303">
        <v>39538</v>
      </c>
      <c r="E294" s="680"/>
      <c r="F294" s="681"/>
      <c r="G294" s="304">
        <v>0.22620000000000001</v>
      </c>
      <c r="H294" s="301"/>
      <c r="I294" s="218"/>
    </row>
    <row r="295" spans="1:9" s="237" customFormat="1" ht="15" customHeight="1" x14ac:dyDescent="0.25">
      <c r="A295" s="305" t="s">
        <v>923</v>
      </c>
      <c r="B295" s="306">
        <v>39262</v>
      </c>
      <c r="C295" s="307">
        <v>39264</v>
      </c>
      <c r="D295" s="306">
        <v>39355</v>
      </c>
      <c r="E295" s="664">
        <v>0.19009999999999999</v>
      </c>
      <c r="F295" s="682"/>
      <c r="G295" s="308"/>
      <c r="H295" s="301"/>
      <c r="I295" s="218"/>
    </row>
    <row r="296" spans="1:9" s="237" customFormat="1" ht="15" customHeight="1" x14ac:dyDescent="0.25">
      <c r="A296" s="309" t="s">
        <v>924</v>
      </c>
      <c r="B296" s="310">
        <v>39353</v>
      </c>
      <c r="C296" s="311">
        <v>39356</v>
      </c>
      <c r="D296" s="310">
        <v>39447</v>
      </c>
      <c r="E296" s="683">
        <v>0.21260000000000001</v>
      </c>
      <c r="F296" s="684"/>
      <c r="G296" s="312"/>
      <c r="H296" s="301"/>
      <c r="I296" s="218"/>
    </row>
    <row r="297" spans="1:9" s="237" customFormat="1" ht="15" customHeight="1" x14ac:dyDescent="0.25">
      <c r="A297" s="313" t="s">
        <v>925</v>
      </c>
      <c r="B297" s="314">
        <v>39444</v>
      </c>
      <c r="C297" s="315">
        <v>39448</v>
      </c>
      <c r="D297" s="314">
        <v>39538</v>
      </c>
      <c r="E297" s="685">
        <v>0.21829999999999999</v>
      </c>
      <c r="F297" s="686"/>
      <c r="G297" s="316"/>
      <c r="H297" s="301"/>
      <c r="I297" s="218"/>
    </row>
    <row r="298" spans="1:9" s="237" customFormat="1" ht="15" customHeight="1" x14ac:dyDescent="0.25">
      <c r="A298" s="296" t="s">
        <v>926</v>
      </c>
      <c r="B298" s="317">
        <v>39538</v>
      </c>
      <c r="C298" s="317">
        <v>39539</v>
      </c>
      <c r="D298" s="317">
        <v>39629</v>
      </c>
      <c r="E298" s="672">
        <v>0.21920000000000001</v>
      </c>
      <c r="F298" s="673"/>
      <c r="G298" s="318"/>
      <c r="H298" s="301"/>
      <c r="I298" s="218"/>
    </row>
    <row r="299" spans="1:9" s="237" customFormat="1" ht="15" customHeight="1" x14ac:dyDescent="0.25">
      <c r="A299" s="319" t="s">
        <v>927</v>
      </c>
      <c r="B299" s="320">
        <v>39626</v>
      </c>
      <c r="C299" s="320">
        <v>39630</v>
      </c>
      <c r="D299" s="320">
        <v>39721</v>
      </c>
      <c r="E299" s="687">
        <v>0.21510000000000001</v>
      </c>
      <c r="F299" s="688"/>
      <c r="G299" s="321"/>
      <c r="H299" s="301"/>
      <c r="I299" s="218"/>
    </row>
    <row r="300" spans="1:9" s="237" customFormat="1" ht="15" customHeight="1" x14ac:dyDescent="0.25">
      <c r="A300" s="319" t="s">
        <v>928</v>
      </c>
      <c r="B300" s="320">
        <v>39721</v>
      </c>
      <c r="C300" s="320">
        <v>39722</v>
      </c>
      <c r="D300" s="320">
        <v>39813</v>
      </c>
      <c r="E300" s="668">
        <v>0.2102</v>
      </c>
      <c r="F300" s="669"/>
      <c r="G300" s="322"/>
      <c r="H300" s="301"/>
      <c r="I300" s="218"/>
    </row>
    <row r="301" spans="1:9" s="237" customFormat="1" ht="15" customHeight="1" x14ac:dyDescent="0.25">
      <c r="A301" s="319" t="s">
        <v>929</v>
      </c>
      <c r="B301" s="320">
        <v>39812</v>
      </c>
      <c r="C301" s="320">
        <v>39814</v>
      </c>
      <c r="D301" s="320">
        <v>39903</v>
      </c>
      <c r="E301" s="668">
        <v>0.20469999999999999</v>
      </c>
      <c r="F301" s="669"/>
      <c r="G301" s="323"/>
      <c r="H301" s="301"/>
      <c r="I301" s="218"/>
    </row>
    <row r="302" spans="1:9" s="237" customFormat="1" ht="15" customHeight="1" x14ac:dyDescent="0.25">
      <c r="A302" s="324" t="s">
        <v>843</v>
      </c>
      <c r="B302" s="320">
        <v>39903</v>
      </c>
      <c r="C302" s="320">
        <v>39904</v>
      </c>
      <c r="D302" s="320">
        <v>39994</v>
      </c>
      <c r="E302" s="668">
        <v>0.20280000000000001</v>
      </c>
      <c r="F302" s="669"/>
      <c r="G302" s="322"/>
      <c r="H302" s="301"/>
      <c r="I302" s="218"/>
    </row>
    <row r="303" spans="1:9" s="237" customFormat="1" ht="15" customHeight="1" x14ac:dyDescent="0.25">
      <c r="A303" s="296" t="s">
        <v>930</v>
      </c>
      <c r="B303" s="325">
        <v>39994</v>
      </c>
      <c r="C303" s="325">
        <v>39995</v>
      </c>
      <c r="D303" s="325">
        <v>40086</v>
      </c>
      <c r="E303" s="670">
        <v>0.1865</v>
      </c>
      <c r="F303" s="671"/>
      <c r="G303" s="326"/>
      <c r="H303" s="301"/>
      <c r="I303" s="218"/>
    </row>
    <row r="304" spans="1:9" s="237" customFormat="1" ht="15" customHeight="1" x14ac:dyDescent="0.25">
      <c r="A304" s="296">
        <v>1486</v>
      </c>
      <c r="B304" s="320">
        <v>40086</v>
      </c>
      <c r="C304" s="320">
        <v>40087</v>
      </c>
      <c r="D304" s="320">
        <v>40178</v>
      </c>
      <c r="E304" s="668">
        <v>0.17280000000000001</v>
      </c>
      <c r="F304" s="669"/>
      <c r="G304" s="326"/>
      <c r="H304" s="301"/>
      <c r="I304" s="218"/>
    </row>
    <row r="305" spans="1:9" s="237" customFormat="1" ht="15" customHeight="1" x14ac:dyDescent="0.25">
      <c r="A305" s="319">
        <v>2039</v>
      </c>
      <c r="B305" s="320">
        <v>40177</v>
      </c>
      <c r="C305" s="320">
        <v>40179</v>
      </c>
      <c r="D305" s="320">
        <v>40268</v>
      </c>
      <c r="E305" s="668">
        <v>0.16139999999999999</v>
      </c>
      <c r="F305" s="669"/>
      <c r="G305" s="326"/>
      <c r="H305" s="301"/>
      <c r="I305" s="218"/>
    </row>
    <row r="306" spans="1:9" s="237" customFormat="1" ht="15" customHeight="1" x14ac:dyDescent="0.25">
      <c r="A306" s="324" t="s">
        <v>931</v>
      </c>
      <c r="B306" s="325">
        <v>40267</v>
      </c>
      <c r="C306" s="325">
        <v>40269</v>
      </c>
      <c r="D306" s="325">
        <v>40359</v>
      </c>
      <c r="E306" s="670">
        <v>0.15310000000000001</v>
      </c>
      <c r="F306" s="671"/>
      <c r="G306" s="326"/>
      <c r="H306" s="301"/>
      <c r="I306" s="218"/>
    </row>
    <row r="307" spans="1:9" s="237" customFormat="1" ht="15" customHeight="1" x14ac:dyDescent="0.25">
      <c r="A307" s="296">
        <v>1311</v>
      </c>
      <c r="B307" s="317">
        <v>40359</v>
      </c>
      <c r="C307" s="317">
        <v>40360</v>
      </c>
      <c r="D307" s="317">
        <v>40451</v>
      </c>
      <c r="E307" s="672">
        <v>0.14940000000000001</v>
      </c>
      <c r="F307" s="673"/>
      <c r="G307" s="326"/>
      <c r="H307" s="301"/>
      <c r="I307" s="218"/>
    </row>
    <row r="308" spans="1:9" s="237" customFormat="1" ht="15" customHeight="1" x14ac:dyDescent="0.25">
      <c r="A308" s="296">
        <v>1920</v>
      </c>
      <c r="B308" s="327">
        <v>40451</v>
      </c>
      <c r="C308" s="327">
        <v>40452</v>
      </c>
      <c r="D308" s="327">
        <v>40543</v>
      </c>
      <c r="E308" s="674">
        <v>0.1421</v>
      </c>
      <c r="F308" s="675"/>
      <c r="G308" s="328">
        <v>0.24590000000000001</v>
      </c>
      <c r="H308" s="301"/>
      <c r="I308" s="218"/>
    </row>
    <row r="309" spans="1:9" s="237" customFormat="1" ht="15" customHeight="1" x14ac:dyDescent="0.25">
      <c r="A309" s="296">
        <v>2476</v>
      </c>
      <c r="B309" s="327">
        <v>40542</v>
      </c>
      <c r="C309" s="327">
        <v>40544</v>
      </c>
      <c r="D309" s="327">
        <v>40633</v>
      </c>
      <c r="E309" s="674">
        <v>0.15609999999999999</v>
      </c>
      <c r="F309" s="675"/>
      <c r="G309" s="328">
        <v>0.26590000000000003</v>
      </c>
      <c r="H309" s="301"/>
      <c r="I309" s="218"/>
    </row>
    <row r="310" spans="1:9" s="237" customFormat="1" ht="15" customHeight="1" x14ac:dyDescent="0.25">
      <c r="A310" s="296" t="s">
        <v>932</v>
      </c>
      <c r="B310" s="320">
        <v>40633</v>
      </c>
      <c r="C310" s="320">
        <v>40634</v>
      </c>
      <c r="D310" s="320">
        <v>40724</v>
      </c>
      <c r="E310" s="674">
        <v>0.1769</v>
      </c>
      <c r="F310" s="675"/>
      <c r="G310" s="329">
        <v>0.29330000000000001</v>
      </c>
      <c r="H310" s="301"/>
      <c r="I310" s="218"/>
    </row>
    <row r="311" spans="1:9" s="237" customFormat="1" ht="15" customHeight="1" x14ac:dyDescent="0.25">
      <c r="A311" s="296">
        <v>1047</v>
      </c>
      <c r="B311" s="317">
        <v>40724</v>
      </c>
      <c r="C311" s="317">
        <v>40725</v>
      </c>
      <c r="D311" s="317">
        <v>40816</v>
      </c>
      <c r="E311" s="674">
        <v>0.18629999999999999</v>
      </c>
      <c r="F311" s="675"/>
      <c r="G311" s="330">
        <v>0.32329999999999998</v>
      </c>
      <c r="H311" s="301"/>
      <c r="I311" s="218"/>
    </row>
    <row r="312" spans="1:9" s="237" customFormat="1" ht="15" customHeight="1" x14ac:dyDescent="0.25">
      <c r="A312" s="296">
        <v>1684</v>
      </c>
      <c r="B312" s="317">
        <v>40816</v>
      </c>
      <c r="C312" s="317">
        <v>40817</v>
      </c>
      <c r="D312" s="317">
        <v>40908</v>
      </c>
      <c r="E312" s="674">
        <v>0.19389999999999999</v>
      </c>
      <c r="F312" s="675"/>
      <c r="G312" s="331"/>
      <c r="H312" s="301"/>
      <c r="I312" s="218"/>
    </row>
    <row r="313" spans="1:9" s="237" customFormat="1" ht="15" customHeight="1" x14ac:dyDescent="0.25">
      <c r="A313" s="332">
        <v>1684</v>
      </c>
      <c r="B313" s="333">
        <v>40816</v>
      </c>
      <c r="C313" s="333">
        <v>40817</v>
      </c>
      <c r="D313" s="333">
        <v>41182</v>
      </c>
      <c r="E313" s="676"/>
      <c r="F313" s="677"/>
      <c r="G313" s="334">
        <v>0.33450000000000002</v>
      </c>
      <c r="H313" s="301"/>
      <c r="I313" s="218"/>
    </row>
    <row r="314" spans="1:9" s="237" customFormat="1" ht="15" customHeight="1" x14ac:dyDescent="0.25">
      <c r="A314" s="335" t="s">
        <v>933</v>
      </c>
      <c r="B314" s="336">
        <v>40905</v>
      </c>
      <c r="C314" s="325">
        <v>40909</v>
      </c>
      <c r="D314" s="337">
        <v>40999</v>
      </c>
      <c r="E314" s="649">
        <v>0.19919999999999999</v>
      </c>
      <c r="F314" s="650"/>
      <c r="G314" s="338"/>
      <c r="H314" s="301"/>
      <c r="I314" s="218"/>
    </row>
    <row r="315" spans="1:9" s="237" customFormat="1" ht="15" customHeight="1" x14ac:dyDescent="0.25">
      <c r="A315" s="339" t="s">
        <v>934</v>
      </c>
      <c r="B315" s="340">
        <v>40998</v>
      </c>
      <c r="C315" s="317">
        <v>41000</v>
      </c>
      <c r="D315" s="341">
        <v>41090</v>
      </c>
      <c r="E315" s="651">
        <v>0.20519999999999999</v>
      </c>
      <c r="F315" s="652"/>
      <c r="G315" s="342"/>
      <c r="H315" s="301"/>
      <c r="I315" s="218"/>
    </row>
    <row r="316" spans="1:9" s="237" customFormat="1" ht="15" customHeight="1" x14ac:dyDescent="0.25">
      <c r="A316" s="305" t="s">
        <v>935</v>
      </c>
      <c r="B316" s="299">
        <v>41089</v>
      </c>
      <c r="C316" s="333">
        <v>41091</v>
      </c>
      <c r="D316" s="343">
        <v>41182</v>
      </c>
      <c r="E316" s="649">
        <v>0.20860000000000001</v>
      </c>
      <c r="F316" s="650"/>
      <c r="G316" s="344"/>
      <c r="H316" s="301"/>
      <c r="I316" s="218"/>
    </row>
    <row r="317" spans="1:9" s="237" customFormat="1" ht="15" customHeight="1" x14ac:dyDescent="0.25">
      <c r="A317" s="339">
        <v>1528</v>
      </c>
      <c r="B317" s="345">
        <v>41180</v>
      </c>
      <c r="C317" s="327">
        <v>41183</v>
      </c>
      <c r="D317" s="346">
        <v>41274</v>
      </c>
      <c r="E317" s="649">
        <v>0.2089</v>
      </c>
      <c r="F317" s="650"/>
      <c r="G317" s="344"/>
      <c r="H317" s="301"/>
      <c r="I317" s="218"/>
    </row>
    <row r="318" spans="1:9" s="237" customFormat="1" ht="15" customHeight="1" x14ac:dyDescent="0.25">
      <c r="A318" s="339">
        <v>1528</v>
      </c>
      <c r="B318" s="345">
        <v>41180</v>
      </c>
      <c r="C318" s="327">
        <v>41183</v>
      </c>
      <c r="D318" s="346">
        <v>41547</v>
      </c>
      <c r="E318" s="660"/>
      <c r="F318" s="661"/>
      <c r="G318" s="347">
        <v>0.35630000000000001</v>
      </c>
      <c r="H318" s="301"/>
      <c r="I318" s="218"/>
    </row>
    <row r="319" spans="1:9" s="237" customFormat="1" ht="15" customHeight="1" x14ac:dyDescent="0.25">
      <c r="A319" s="339" t="s">
        <v>936</v>
      </c>
      <c r="B319" s="345">
        <v>41271</v>
      </c>
      <c r="C319" s="327">
        <v>41275</v>
      </c>
      <c r="D319" s="346">
        <v>41364</v>
      </c>
      <c r="E319" s="662">
        <v>0.20749999999999999</v>
      </c>
      <c r="F319" s="663"/>
      <c r="G319" s="348"/>
      <c r="H319" s="301"/>
      <c r="I319" s="218"/>
    </row>
    <row r="320" spans="1:9" s="237" customFormat="1" ht="15" customHeight="1" x14ac:dyDescent="0.25">
      <c r="A320" s="339" t="s">
        <v>937</v>
      </c>
      <c r="B320" s="345">
        <v>41360</v>
      </c>
      <c r="C320" s="327">
        <v>41365</v>
      </c>
      <c r="D320" s="346">
        <v>41455</v>
      </c>
      <c r="E320" s="664">
        <v>0.20830000000000001</v>
      </c>
      <c r="F320" s="665"/>
      <c r="G320" s="348"/>
      <c r="H320" s="301"/>
      <c r="I320" s="218"/>
    </row>
    <row r="321" spans="1:9" s="237" customFormat="1" ht="15" customHeight="1" x14ac:dyDescent="0.25">
      <c r="A321" s="305" t="s">
        <v>938</v>
      </c>
      <c r="B321" s="349">
        <v>41453</v>
      </c>
      <c r="C321" s="333">
        <v>41456</v>
      </c>
      <c r="D321" s="343">
        <v>41547</v>
      </c>
      <c r="E321" s="649">
        <v>0.2034</v>
      </c>
      <c r="F321" s="650"/>
      <c r="G321" s="344"/>
      <c r="H321" s="301"/>
      <c r="I321" s="218"/>
    </row>
    <row r="322" spans="1:9" s="237" customFormat="1" ht="15" customHeight="1" x14ac:dyDescent="0.25">
      <c r="A322" s="339" t="s">
        <v>939</v>
      </c>
      <c r="B322" s="349">
        <v>41547</v>
      </c>
      <c r="C322" s="333">
        <v>41548</v>
      </c>
      <c r="D322" s="346">
        <v>41639</v>
      </c>
      <c r="E322" s="649">
        <v>0.19850000000000001</v>
      </c>
      <c r="F322" s="650"/>
      <c r="G322" s="344"/>
      <c r="H322" s="301"/>
      <c r="I322" s="218"/>
    </row>
    <row r="323" spans="1:9" s="237" customFormat="1" ht="15" customHeight="1" x14ac:dyDescent="0.25">
      <c r="A323" s="305" t="s">
        <v>939</v>
      </c>
      <c r="B323" s="349">
        <v>41547</v>
      </c>
      <c r="C323" s="333">
        <v>41548</v>
      </c>
      <c r="D323" s="343">
        <v>41912</v>
      </c>
      <c r="E323" s="658"/>
      <c r="F323" s="659"/>
      <c r="G323" s="350">
        <v>0.3412</v>
      </c>
      <c r="H323" s="301"/>
      <c r="I323" s="218"/>
    </row>
    <row r="324" spans="1:9" s="237" customFormat="1" ht="15" customHeight="1" x14ac:dyDescent="0.25">
      <c r="A324" s="305" t="s">
        <v>940</v>
      </c>
      <c r="B324" s="349">
        <v>41638</v>
      </c>
      <c r="C324" s="333">
        <v>41640</v>
      </c>
      <c r="D324" s="346">
        <v>41729</v>
      </c>
      <c r="E324" s="649">
        <v>0.19650000000000001</v>
      </c>
      <c r="F324" s="650"/>
      <c r="G324" s="348"/>
      <c r="H324" s="301"/>
      <c r="I324" s="218"/>
    </row>
    <row r="325" spans="1:9" s="237" customFormat="1" ht="15" customHeight="1" x14ac:dyDescent="0.25">
      <c r="A325" s="305" t="s">
        <v>941</v>
      </c>
      <c r="B325" s="349">
        <v>41729</v>
      </c>
      <c r="C325" s="333">
        <v>41730</v>
      </c>
      <c r="D325" s="343">
        <v>41820</v>
      </c>
      <c r="E325" s="649">
        <v>0.1963</v>
      </c>
      <c r="F325" s="650"/>
      <c r="G325" s="344"/>
      <c r="H325" s="301"/>
      <c r="I325" s="218"/>
    </row>
    <row r="326" spans="1:9" s="237" customFormat="1" ht="15" customHeight="1" x14ac:dyDescent="0.25">
      <c r="A326" s="351">
        <v>1041</v>
      </c>
      <c r="B326" s="352">
        <v>41817</v>
      </c>
      <c r="C326" s="353">
        <v>41821</v>
      </c>
      <c r="D326" s="354">
        <v>41912</v>
      </c>
      <c r="E326" s="666">
        <v>0.1933</v>
      </c>
      <c r="F326" s="667"/>
      <c r="G326" s="355"/>
      <c r="H326" s="301"/>
      <c r="I326" s="218"/>
    </row>
    <row r="327" spans="1:9" s="237" customFormat="1" ht="15" customHeight="1" x14ac:dyDescent="0.25">
      <c r="A327" s="305" t="s">
        <v>942</v>
      </c>
      <c r="B327" s="352">
        <v>41912</v>
      </c>
      <c r="C327" s="353">
        <v>41913</v>
      </c>
      <c r="D327" s="354">
        <v>42004</v>
      </c>
      <c r="E327" s="666">
        <v>0.19170000000000001</v>
      </c>
      <c r="F327" s="667"/>
      <c r="G327" s="344"/>
      <c r="H327" s="301"/>
      <c r="I327" s="218"/>
    </row>
    <row r="328" spans="1:9" s="237" customFormat="1" ht="15" customHeight="1" x14ac:dyDescent="0.25">
      <c r="A328" s="305" t="s">
        <v>942</v>
      </c>
      <c r="B328" s="349">
        <v>41912</v>
      </c>
      <c r="C328" s="333">
        <v>41913</v>
      </c>
      <c r="D328" s="343">
        <v>42277</v>
      </c>
      <c r="E328" s="658"/>
      <c r="F328" s="659"/>
      <c r="G328" s="350">
        <v>0.34810000000000002</v>
      </c>
      <c r="H328" s="301"/>
      <c r="I328" s="356"/>
    </row>
    <row r="329" spans="1:9" s="237" customFormat="1" ht="15" customHeight="1" x14ac:dyDescent="0.25">
      <c r="A329" s="309">
        <v>2259</v>
      </c>
      <c r="B329" s="357">
        <v>41995</v>
      </c>
      <c r="C329" s="325">
        <v>41995</v>
      </c>
      <c r="D329" s="358">
        <v>42277</v>
      </c>
      <c r="E329" s="656"/>
      <c r="F329" s="657"/>
      <c r="G329" s="348"/>
      <c r="H329" s="359">
        <v>0.3196</v>
      </c>
      <c r="I329" s="356"/>
    </row>
    <row r="330" spans="1:9" s="237" customFormat="1" ht="15" customHeight="1" x14ac:dyDescent="0.25">
      <c r="A330" s="305">
        <v>2359</v>
      </c>
      <c r="B330" s="349">
        <v>42003</v>
      </c>
      <c r="C330" s="333">
        <v>42005</v>
      </c>
      <c r="D330" s="343">
        <v>42094</v>
      </c>
      <c r="E330" s="649">
        <v>0.19209999999999999</v>
      </c>
      <c r="F330" s="650"/>
      <c r="G330" s="344"/>
      <c r="H330" s="360"/>
      <c r="I330" s="356"/>
    </row>
    <row r="331" spans="1:9" s="237" customFormat="1" ht="15" customHeight="1" x14ac:dyDescent="0.25">
      <c r="A331" s="339" t="s">
        <v>943</v>
      </c>
      <c r="B331" s="361">
        <v>42093</v>
      </c>
      <c r="C331" s="327">
        <v>42095</v>
      </c>
      <c r="D331" s="346">
        <v>42185</v>
      </c>
      <c r="E331" s="649">
        <v>0.19370000000000001</v>
      </c>
      <c r="F331" s="650"/>
      <c r="G331" s="348"/>
      <c r="H331" s="360"/>
      <c r="I331" s="356"/>
    </row>
    <row r="332" spans="1:9" s="237" customFormat="1" ht="15" customHeight="1" x14ac:dyDescent="0.25">
      <c r="A332" s="305" t="s">
        <v>944</v>
      </c>
      <c r="B332" s="349">
        <v>42185</v>
      </c>
      <c r="C332" s="333">
        <v>42186</v>
      </c>
      <c r="D332" s="343">
        <v>42277</v>
      </c>
      <c r="E332" s="649">
        <v>0.19259999999999999</v>
      </c>
      <c r="F332" s="650"/>
      <c r="G332" s="344"/>
      <c r="H332" s="301"/>
      <c r="I332" s="356"/>
    </row>
    <row r="333" spans="1:9" s="237" customFormat="1" ht="15" customHeight="1" x14ac:dyDescent="0.25">
      <c r="A333" s="309">
        <v>1341</v>
      </c>
      <c r="B333" s="349">
        <v>42276</v>
      </c>
      <c r="C333" s="333">
        <v>42278</v>
      </c>
      <c r="D333" s="354">
        <v>42369</v>
      </c>
      <c r="E333" s="649">
        <v>0.1933</v>
      </c>
      <c r="F333" s="650"/>
      <c r="G333" s="362"/>
      <c r="H333" s="363"/>
      <c r="I333" s="356"/>
    </row>
    <row r="334" spans="1:9" s="237" customFormat="1" ht="15" customHeight="1" x14ac:dyDescent="0.25">
      <c r="A334" s="339">
        <v>1341</v>
      </c>
      <c r="B334" s="349">
        <v>42276</v>
      </c>
      <c r="C334" s="333">
        <v>42278</v>
      </c>
      <c r="D334" s="343">
        <v>42643</v>
      </c>
      <c r="E334" s="658"/>
      <c r="F334" s="659"/>
      <c r="G334" s="350">
        <v>0.35420000000000001</v>
      </c>
      <c r="H334" s="360"/>
      <c r="I334" s="356"/>
    </row>
    <row r="335" spans="1:9" s="237" customFormat="1" ht="15" customHeight="1" x14ac:dyDescent="0.25">
      <c r="A335" s="339">
        <v>1341</v>
      </c>
      <c r="B335" s="361">
        <v>42276</v>
      </c>
      <c r="C335" s="327">
        <v>42278</v>
      </c>
      <c r="D335" s="346">
        <v>42643</v>
      </c>
      <c r="E335" s="364"/>
      <c r="F335" s="365"/>
      <c r="G335" s="344"/>
      <c r="H335" s="366">
        <v>0.34770000000000001</v>
      </c>
      <c r="I335" s="356"/>
    </row>
    <row r="336" spans="1:9" s="237" customFormat="1" ht="15" customHeight="1" x14ac:dyDescent="0.25">
      <c r="A336" s="305">
        <v>1788</v>
      </c>
      <c r="B336" s="349">
        <v>42366</v>
      </c>
      <c r="C336" s="333">
        <v>42370</v>
      </c>
      <c r="D336" s="343">
        <v>42460</v>
      </c>
      <c r="E336" s="649">
        <v>0.1968</v>
      </c>
      <c r="F336" s="650"/>
      <c r="G336" s="344"/>
      <c r="H336" s="360"/>
      <c r="I336" s="356"/>
    </row>
    <row r="337" spans="1:39" s="237" customFormat="1" ht="15" customHeight="1" x14ac:dyDescent="0.25">
      <c r="A337" s="339" t="s">
        <v>945</v>
      </c>
      <c r="B337" s="361">
        <v>42458</v>
      </c>
      <c r="C337" s="327">
        <v>42461</v>
      </c>
      <c r="D337" s="346">
        <v>42551</v>
      </c>
      <c r="E337" s="651">
        <v>0.2054</v>
      </c>
      <c r="F337" s="652"/>
      <c r="G337" s="362"/>
      <c r="H337" s="367"/>
      <c r="I337" s="356"/>
    </row>
    <row r="338" spans="1:39" s="237" customFormat="1" ht="15" customHeight="1" thickBot="1" x14ac:dyDescent="0.3">
      <c r="A338" s="368" t="s">
        <v>946</v>
      </c>
      <c r="B338" s="369">
        <v>42549</v>
      </c>
      <c r="C338" s="370">
        <v>42552</v>
      </c>
      <c r="D338" s="371">
        <v>42643</v>
      </c>
      <c r="E338" s="653">
        <v>0.21340000000000001</v>
      </c>
      <c r="F338" s="654"/>
      <c r="G338" s="372"/>
      <c r="H338" s="373"/>
      <c r="I338" s="356"/>
    </row>
    <row r="339" spans="1:39" s="237" customFormat="1" ht="15.75" customHeight="1" thickTop="1" x14ac:dyDescent="0.25">
      <c r="A339" s="182"/>
      <c r="B339" s="182"/>
      <c r="C339" s="182"/>
      <c r="D339" s="182"/>
      <c r="E339" s="182"/>
      <c r="F339" s="182"/>
      <c r="G339" s="182"/>
    </row>
    <row r="340" spans="1:39" s="237" customFormat="1" ht="21" customHeight="1" x14ac:dyDescent="0.25">
      <c r="A340" s="655" t="s">
        <v>947</v>
      </c>
      <c r="B340" s="655"/>
      <c r="C340" s="655"/>
      <c r="D340" s="655"/>
      <c r="E340" s="655"/>
      <c r="F340" s="655"/>
      <c r="G340" s="655"/>
      <c r="H340" s="655"/>
    </row>
    <row r="341" spans="1:39" ht="15" customHeight="1" x14ac:dyDescent="0.2">
      <c r="A341" s="655"/>
      <c r="B341" s="655"/>
      <c r="C341" s="655"/>
      <c r="D341" s="655"/>
      <c r="E341" s="655"/>
      <c r="F341" s="655"/>
      <c r="G341" s="655"/>
      <c r="H341" s="655"/>
    </row>
    <row r="342" spans="1:39" ht="46.5" customHeight="1" x14ac:dyDescent="0.2">
      <c r="A342" s="655"/>
      <c r="B342" s="655"/>
      <c r="C342" s="655"/>
      <c r="D342" s="655"/>
      <c r="E342" s="655"/>
      <c r="F342" s="655"/>
      <c r="G342" s="655"/>
      <c r="H342" s="655"/>
    </row>
    <row r="343" spans="1:39" ht="15" customHeight="1" x14ac:dyDescent="0.2">
      <c r="A343" s="374"/>
      <c r="B343" s="182"/>
      <c r="C343" s="375"/>
      <c r="D343" s="182"/>
      <c r="E343" s="182"/>
      <c r="F343" s="182"/>
      <c r="G343" s="182"/>
    </row>
    <row r="344" spans="1:39" ht="15" customHeight="1" x14ac:dyDescent="0.2">
      <c r="A344" s="182"/>
      <c r="B344" s="182"/>
      <c r="C344" s="375"/>
      <c r="D344" s="182"/>
      <c r="E344" s="182" t="s">
        <v>948</v>
      </c>
      <c r="F344" s="182"/>
      <c r="G344" s="182"/>
    </row>
    <row r="345" spans="1:39" ht="15" customHeight="1" x14ac:dyDescent="0.2">
      <c r="A345" s="182"/>
      <c r="B345" s="182"/>
      <c r="C345" s="375"/>
      <c r="D345" s="182"/>
      <c r="E345" s="182"/>
      <c r="F345" s="182"/>
      <c r="G345" s="182"/>
    </row>
    <row r="346" spans="1:39" ht="15" customHeight="1" x14ac:dyDescent="0.2">
      <c r="A346" s="182"/>
      <c r="B346" s="182"/>
      <c r="C346" s="375"/>
      <c r="D346" s="182"/>
      <c r="E346" s="182"/>
      <c r="F346" s="182"/>
      <c r="G346" s="182"/>
    </row>
    <row r="347" spans="1:39" ht="15" customHeight="1" x14ac:dyDescent="0.2">
      <c r="A347" s="182"/>
      <c r="B347" s="182"/>
      <c r="C347" s="375"/>
      <c r="D347" s="182"/>
      <c r="E347" s="182"/>
      <c r="F347" s="182"/>
      <c r="G347" s="182"/>
    </row>
    <row r="348" spans="1:39" ht="15" customHeight="1" x14ac:dyDescent="0.2">
      <c r="A348" s="376"/>
      <c r="B348" s="182"/>
      <c r="C348" s="182"/>
      <c r="D348" s="182"/>
      <c r="E348" s="182"/>
      <c r="F348" s="182"/>
      <c r="G348" s="182"/>
    </row>
    <row r="349" spans="1:39" ht="15" customHeight="1" x14ac:dyDescent="0.2">
      <c r="A349" s="377" t="s">
        <v>949</v>
      </c>
      <c r="B349" s="182"/>
      <c r="C349" s="182"/>
      <c r="D349" s="182"/>
      <c r="E349" s="182"/>
      <c r="F349" s="182"/>
      <c r="G349" s="182"/>
    </row>
    <row r="350" spans="1:39" ht="15" customHeight="1" x14ac:dyDescent="0.25">
      <c r="A350" s="378" t="s">
        <v>950</v>
      </c>
      <c r="B350" s="277"/>
      <c r="C350" s="182"/>
      <c r="D350" s="182"/>
      <c r="E350" s="182"/>
      <c r="F350" s="182"/>
      <c r="G350" s="182"/>
    </row>
    <row r="351" spans="1:39" ht="15" customHeight="1" x14ac:dyDescent="0.25">
      <c r="A351" s="379"/>
      <c r="B351" s="182"/>
      <c r="C351" s="182"/>
      <c r="D351" s="182"/>
      <c r="E351" s="182"/>
      <c r="F351" s="182"/>
      <c r="G351" s="182"/>
      <c r="I351" s="218"/>
      <c r="J351" s="218"/>
      <c r="K351" s="218"/>
      <c r="L351" s="218"/>
      <c r="M351" s="218"/>
      <c r="N351" s="218"/>
      <c r="O351" s="218"/>
      <c r="P351" s="218"/>
      <c r="Q351" s="218"/>
      <c r="R351" s="218"/>
      <c r="S351" s="218"/>
      <c r="T351" s="218"/>
      <c r="U351" s="218"/>
      <c r="V351" s="218"/>
      <c r="W351" s="218"/>
      <c r="X351" s="218"/>
      <c r="Y351" s="218"/>
      <c r="Z351" s="218"/>
      <c r="AA351" s="218"/>
      <c r="AB351" s="218"/>
      <c r="AC351" s="218"/>
      <c r="AD351" s="218"/>
      <c r="AE351" s="218"/>
      <c r="AF351" s="218"/>
      <c r="AG351" s="218"/>
      <c r="AH351" s="218"/>
      <c r="AI351" s="218"/>
      <c r="AJ351" s="218"/>
      <c r="AK351" s="218"/>
      <c r="AL351" s="218"/>
      <c r="AM351" s="218"/>
    </row>
    <row r="352" spans="1:39" s="381" customFormat="1" ht="15" customHeight="1" x14ac:dyDescent="0.25">
      <c r="A352" s="380"/>
      <c r="B352" s="380"/>
      <c r="C352" s="380"/>
      <c r="D352" s="380"/>
      <c r="E352" s="380"/>
      <c r="F352" s="380"/>
      <c r="G352" s="380"/>
      <c r="H352" s="380"/>
      <c r="I352" s="218"/>
      <c r="J352" s="218"/>
      <c r="K352" s="218"/>
      <c r="L352" s="218"/>
      <c r="M352" s="218"/>
      <c r="N352" s="218"/>
      <c r="O352" s="218"/>
      <c r="P352" s="218"/>
      <c r="Q352" s="218"/>
      <c r="R352" s="218"/>
      <c r="S352" s="218"/>
      <c r="T352" s="218"/>
      <c r="U352" s="218"/>
      <c r="V352" s="218"/>
      <c r="W352" s="218"/>
      <c r="X352" s="218"/>
      <c r="Y352" s="218"/>
      <c r="Z352" s="218"/>
      <c r="AA352" s="218"/>
      <c r="AB352" s="218"/>
      <c r="AC352" s="218"/>
      <c r="AD352" s="218"/>
      <c r="AE352" s="218"/>
      <c r="AF352" s="218"/>
      <c r="AG352" s="218"/>
      <c r="AH352" s="218"/>
      <c r="AI352" s="218"/>
      <c r="AJ352" s="218"/>
      <c r="AK352" s="218"/>
      <c r="AL352" s="218"/>
      <c r="AM352" s="218"/>
    </row>
    <row r="353" spans="1:39" ht="15" customHeight="1" x14ac:dyDescent="0.25">
      <c r="I353" s="218"/>
      <c r="J353" s="218"/>
      <c r="K353" s="218"/>
      <c r="L353" s="218"/>
      <c r="M353" s="218"/>
      <c r="N353" s="218"/>
      <c r="O353" s="218"/>
      <c r="P353" s="218"/>
      <c r="Q353" s="218"/>
      <c r="R353" s="218"/>
      <c r="S353" s="218"/>
      <c r="T353" s="218"/>
      <c r="U353" s="218"/>
      <c r="V353" s="218"/>
      <c r="W353" s="218"/>
      <c r="X353" s="218"/>
      <c r="Y353" s="218"/>
      <c r="Z353" s="218"/>
      <c r="AA353" s="218"/>
      <c r="AB353" s="218"/>
      <c r="AC353" s="218"/>
      <c r="AD353" s="218"/>
      <c r="AE353" s="218"/>
      <c r="AF353" s="218"/>
      <c r="AG353" s="218"/>
      <c r="AH353" s="218"/>
      <c r="AI353" s="218"/>
      <c r="AJ353" s="218"/>
      <c r="AK353" s="218"/>
      <c r="AL353" s="218"/>
      <c r="AM353" s="218"/>
    </row>
    <row r="355" spans="1:39" ht="15" customHeight="1" x14ac:dyDescent="0.25">
      <c r="A355" s="218"/>
      <c r="B355" s="218"/>
      <c r="C355" s="218"/>
      <c r="D355" s="218"/>
      <c r="E355" s="218"/>
      <c r="F355" s="218"/>
    </row>
    <row r="356" spans="1:39" ht="15" customHeight="1" x14ac:dyDescent="0.25">
      <c r="A356" s="218"/>
      <c r="B356" s="218"/>
      <c r="C356" s="218"/>
      <c r="D356" s="218"/>
      <c r="E356" s="218"/>
      <c r="F356" s="218"/>
    </row>
  </sheetData>
  <mergeCells count="78">
    <mergeCell ref="A3:H3"/>
    <mergeCell ref="A4:G4"/>
    <mergeCell ref="A5:G5"/>
    <mergeCell ref="A8:A11"/>
    <mergeCell ref="B8:B11"/>
    <mergeCell ref="C9:C11"/>
    <mergeCell ref="D9:D11"/>
    <mergeCell ref="E9:E11"/>
    <mergeCell ref="F9:F11"/>
    <mergeCell ref="G9:G11"/>
    <mergeCell ref="G266:G267"/>
    <mergeCell ref="A270:A272"/>
    <mergeCell ref="B270:B272"/>
    <mergeCell ref="C271:C272"/>
    <mergeCell ref="D271:D272"/>
    <mergeCell ref="E271:F272"/>
    <mergeCell ref="G271:G272"/>
    <mergeCell ref="A265:A267"/>
    <mergeCell ref="B265:B267"/>
    <mergeCell ref="C266:C267"/>
    <mergeCell ref="D266:D267"/>
    <mergeCell ref="E266:E267"/>
    <mergeCell ref="F266:F267"/>
    <mergeCell ref="E273:F273"/>
    <mergeCell ref="A290:A292"/>
    <mergeCell ref="B290:B292"/>
    <mergeCell ref="E290:H290"/>
    <mergeCell ref="C291:C292"/>
    <mergeCell ref="D291:D292"/>
    <mergeCell ref="E291:F292"/>
    <mergeCell ref="G291:G292"/>
    <mergeCell ref="H291:H292"/>
    <mergeCell ref="E304:F304"/>
    <mergeCell ref="E293:F293"/>
    <mergeCell ref="E294:F294"/>
    <mergeCell ref="E295:F295"/>
    <mergeCell ref="E296:F296"/>
    <mergeCell ref="E297:F297"/>
    <mergeCell ref="E298:F298"/>
    <mergeCell ref="E299:F299"/>
    <mergeCell ref="E300:F300"/>
    <mergeCell ref="E301:F301"/>
    <mergeCell ref="E302:F302"/>
    <mergeCell ref="E303:F303"/>
    <mergeCell ref="E316:F316"/>
    <mergeCell ref="E305:F305"/>
    <mergeCell ref="E306:F306"/>
    <mergeCell ref="E307:F307"/>
    <mergeCell ref="E308:F308"/>
    <mergeCell ref="E309:F309"/>
    <mergeCell ref="E310:F310"/>
    <mergeCell ref="E311:F311"/>
    <mergeCell ref="E312:F312"/>
    <mergeCell ref="E313:F313"/>
    <mergeCell ref="E314:F314"/>
    <mergeCell ref="E315:F315"/>
    <mergeCell ref="E328:F328"/>
    <mergeCell ref="E317:F317"/>
    <mergeCell ref="E318:F318"/>
    <mergeCell ref="E319:F319"/>
    <mergeCell ref="E320:F320"/>
    <mergeCell ref="E321:F321"/>
    <mergeCell ref="E322:F322"/>
    <mergeCell ref="E323:F323"/>
    <mergeCell ref="E324:F324"/>
    <mergeCell ref="E325:F325"/>
    <mergeCell ref="E326:F326"/>
    <mergeCell ref="E327:F327"/>
    <mergeCell ref="E336:F336"/>
    <mergeCell ref="E337:F337"/>
    <mergeCell ref="E338:F338"/>
    <mergeCell ref="A340:H342"/>
    <mergeCell ref="E329:F329"/>
    <mergeCell ref="E330:F330"/>
    <mergeCell ref="E331:F331"/>
    <mergeCell ref="E332:F332"/>
    <mergeCell ref="E333:F333"/>
    <mergeCell ref="E334:F334"/>
  </mergeCells>
  <hyperlinks>
    <hyperlink ref="B1" r:id="rId1"/>
  </hyperlinks>
  <printOptions horizontalCentered="1"/>
  <pageMargins left="0.39370078740157483" right="0.39370078740157483" top="0.78740157480314965" bottom="0.59055118110236227" header="0" footer="0"/>
  <pageSetup paperSize="14" scale="60" orientation="portrait" horizontalDpi="1200" verticalDpi="1200" r:id="rId2"/>
  <headerFooter alignWithMargins="0">
    <oddHeader>&amp;C&amp;"Arial,Negrita"&amp;16
SUPERINTENDENCIA FINANCIERA DE COLOMBIA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58"/>
  <sheetViews>
    <sheetView showGridLines="0" workbookViewId="0">
      <selection activeCell="B20" sqref="B20"/>
    </sheetView>
  </sheetViews>
  <sheetFormatPr baseColWidth="10" defaultColWidth="9.125" defaultRowHeight="15" x14ac:dyDescent="0.25"/>
  <cols>
    <col min="1" max="1" width="16.125" style="421" customWidth="1"/>
    <col min="2" max="2" width="17.25" style="420" customWidth="1"/>
    <col min="3" max="3" width="22.875" style="421" bestFit="1" customWidth="1"/>
    <col min="4" max="4" width="16.625" style="421" bestFit="1" customWidth="1"/>
    <col min="5" max="5" width="17.875" style="421" bestFit="1" customWidth="1"/>
    <col min="6" max="16384" width="9.125" style="421"/>
  </cols>
  <sheetData>
    <row r="2" spans="1:2" x14ac:dyDescent="0.25">
      <c r="A2" s="419" t="s">
        <v>955</v>
      </c>
    </row>
    <row r="3" spans="1:2" x14ac:dyDescent="0.25">
      <c r="A3" s="419" t="s">
        <v>956</v>
      </c>
    </row>
    <row r="5" spans="1:2" x14ac:dyDescent="0.25">
      <c r="A5" s="425" t="s">
        <v>957</v>
      </c>
      <c r="B5" s="149" t="s">
        <v>958</v>
      </c>
    </row>
    <row r="6" spans="1:2" x14ac:dyDescent="0.25">
      <c r="A6" s="426" t="s">
        <v>959</v>
      </c>
      <c r="B6" s="149">
        <v>8116491568.9899998</v>
      </c>
    </row>
    <row r="7" spans="1:2" x14ac:dyDescent="0.25">
      <c r="A7" s="426" t="s">
        <v>960</v>
      </c>
      <c r="B7" s="149">
        <v>4083183345.0100002</v>
      </c>
    </row>
    <row r="8" spans="1:2" x14ac:dyDescent="0.25">
      <c r="A8" s="426" t="s">
        <v>961</v>
      </c>
      <c r="B8" s="149">
        <v>3626677410.4299998</v>
      </c>
    </row>
    <row r="9" spans="1:2" x14ac:dyDescent="0.25">
      <c r="A9" s="426" t="s">
        <v>962</v>
      </c>
      <c r="B9" s="149">
        <v>3536758514.3599997</v>
      </c>
    </row>
    <row r="10" spans="1:2" x14ac:dyDescent="0.25">
      <c r="A10" s="426" t="s">
        <v>963</v>
      </c>
      <c r="B10" s="149">
        <v>3219008172.6900001</v>
      </c>
    </row>
    <row r="11" spans="1:2" x14ac:dyDescent="0.25">
      <c r="A11" s="426" t="s">
        <v>964</v>
      </c>
      <c r="B11" s="149">
        <v>2144526548.0000005</v>
      </c>
    </row>
    <row r="12" spans="1:2" x14ac:dyDescent="0.25">
      <c r="A12" s="426" t="s">
        <v>965</v>
      </c>
      <c r="B12" s="149">
        <v>1863007584.2499998</v>
      </c>
    </row>
    <row r="13" spans="1:2" x14ac:dyDescent="0.25">
      <c r="A13" s="426" t="s">
        <v>966</v>
      </c>
      <c r="B13" s="149">
        <v>1788252840.9899995</v>
      </c>
    </row>
    <row r="14" spans="1:2" x14ac:dyDescent="0.25">
      <c r="A14" s="426" t="s">
        <v>967</v>
      </c>
      <c r="B14" s="149">
        <v>1684853112.5600002</v>
      </c>
    </row>
    <row r="15" spans="1:2" x14ac:dyDescent="0.25">
      <c r="A15" s="426" t="s">
        <v>4051</v>
      </c>
      <c r="B15" s="149">
        <v>15977310933.659988</v>
      </c>
    </row>
    <row r="16" spans="1:2" x14ac:dyDescent="0.25">
      <c r="A16" s="426" t="s">
        <v>968</v>
      </c>
      <c r="B16" s="149">
        <v>46040070030.939987</v>
      </c>
    </row>
    <row r="17" spans="1:2" x14ac:dyDescent="0.25">
      <c r="A17"/>
      <c r="B17"/>
    </row>
    <row r="18" spans="1:2" x14ac:dyDescent="0.25">
      <c r="A18"/>
      <c r="B18"/>
    </row>
    <row r="19" spans="1:2" x14ac:dyDescent="0.25">
      <c r="A19"/>
      <c r="B19"/>
    </row>
    <row r="20" spans="1:2" x14ac:dyDescent="0.25">
      <c r="A20"/>
      <c r="B20"/>
    </row>
    <row r="21" spans="1:2" x14ac:dyDescent="0.25">
      <c r="A21"/>
      <c r="B21"/>
    </row>
    <row r="22" spans="1:2" x14ac:dyDescent="0.25">
      <c r="A22"/>
      <c r="B22"/>
    </row>
    <row r="23" spans="1:2" x14ac:dyDescent="0.25">
      <c r="A23"/>
      <c r="B23"/>
    </row>
    <row r="24" spans="1:2" x14ac:dyDescent="0.25">
      <c r="A24"/>
      <c r="B24"/>
    </row>
    <row r="25" spans="1:2" x14ac:dyDescent="0.25">
      <c r="A25"/>
      <c r="B25"/>
    </row>
    <row r="26" spans="1:2" x14ac:dyDescent="0.25">
      <c r="A26"/>
      <c r="B26"/>
    </row>
    <row r="27" spans="1:2" x14ac:dyDescent="0.25">
      <c r="A27"/>
      <c r="B27"/>
    </row>
    <row r="28" spans="1:2" x14ac:dyDescent="0.25">
      <c r="A28"/>
      <c r="B28"/>
    </row>
    <row r="29" spans="1:2" x14ac:dyDescent="0.25">
      <c r="A29"/>
      <c r="B29"/>
    </row>
    <row r="30" spans="1:2" x14ac:dyDescent="0.25">
      <c r="A30"/>
      <c r="B30"/>
    </row>
    <row r="31" spans="1:2" x14ac:dyDescent="0.25">
      <c r="A31"/>
      <c r="B31"/>
    </row>
    <row r="32" spans="1:2" x14ac:dyDescent="0.25">
      <c r="A32"/>
      <c r="B32"/>
    </row>
    <row r="33" spans="1:2" x14ac:dyDescent="0.25">
      <c r="A33"/>
      <c r="B33"/>
    </row>
    <row r="34" spans="1:2" x14ac:dyDescent="0.25">
      <c r="A34"/>
      <c r="B34"/>
    </row>
    <row r="35" spans="1:2" x14ac:dyDescent="0.25">
      <c r="A35"/>
      <c r="B35"/>
    </row>
    <row r="36" spans="1:2" x14ac:dyDescent="0.25">
      <c r="A36"/>
      <c r="B36"/>
    </row>
    <row r="37" spans="1:2" x14ac:dyDescent="0.25">
      <c r="A37"/>
      <c r="B37"/>
    </row>
    <row r="38" spans="1:2" x14ac:dyDescent="0.25">
      <c r="A38"/>
      <c r="B38"/>
    </row>
    <row r="39" spans="1:2" x14ac:dyDescent="0.25">
      <c r="A39"/>
      <c r="B39"/>
    </row>
    <row r="40" spans="1:2" x14ac:dyDescent="0.25">
      <c r="A40"/>
      <c r="B40"/>
    </row>
    <row r="41" spans="1:2" x14ac:dyDescent="0.25">
      <c r="A41"/>
      <c r="B41"/>
    </row>
    <row r="42" spans="1:2" x14ac:dyDescent="0.25">
      <c r="A42"/>
      <c r="B42"/>
    </row>
    <row r="43" spans="1:2" x14ac:dyDescent="0.25">
      <c r="A43"/>
      <c r="B43"/>
    </row>
    <row r="44" spans="1:2" x14ac:dyDescent="0.25">
      <c r="A44"/>
      <c r="B44"/>
    </row>
    <row r="45" spans="1:2" x14ac:dyDescent="0.25">
      <c r="A45"/>
      <c r="B45"/>
    </row>
    <row r="46" spans="1:2" x14ac:dyDescent="0.25">
      <c r="A46"/>
      <c r="B46"/>
    </row>
    <row r="47" spans="1:2" x14ac:dyDescent="0.25">
      <c r="A47"/>
      <c r="B47"/>
    </row>
    <row r="48" spans="1:2" x14ac:dyDescent="0.25">
      <c r="A48"/>
      <c r="B48"/>
    </row>
    <row r="49" spans="1:2" x14ac:dyDescent="0.25">
      <c r="A49"/>
      <c r="B49"/>
    </row>
    <row r="50" spans="1:2" x14ac:dyDescent="0.25">
      <c r="A50"/>
      <c r="B50"/>
    </row>
    <row r="51" spans="1:2" x14ac:dyDescent="0.25">
      <c r="A51"/>
      <c r="B51"/>
    </row>
    <row r="52" spans="1:2" x14ac:dyDescent="0.25">
      <c r="A52"/>
      <c r="B52"/>
    </row>
    <row r="53" spans="1:2" x14ac:dyDescent="0.25">
      <c r="A53"/>
      <c r="B53"/>
    </row>
    <row r="54" spans="1:2" x14ac:dyDescent="0.25">
      <c r="A54"/>
      <c r="B54"/>
    </row>
    <row r="55" spans="1:2" x14ac:dyDescent="0.25">
      <c r="A55"/>
      <c r="B55"/>
    </row>
    <row r="56" spans="1:2" x14ac:dyDescent="0.25">
      <c r="A56"/>
      <c r="B56"/>
    </row>
    <row r="57" spans="1:2" x14ac:dyDescent="0.25">
      <c r="A57"/>
      <c r="B57"/>
    </row>
    <row r="58" spans="1:2" x14ac:dyDescent="0.25">
      <c r="A58"/>
      <c r="B58"/>
    </row>
    <row r="59" spans="1:2" x14ac:dyDescent="0.25">
      <c r="A59"/>
      <c r="B59"/>
    </row>
    <row r="60" spans="1:2" x14ac:dyDescent="0.25">
      <c r="A60"/>
      <c r="B60"/>
    </row>
    <row r="61" spans="1:2" x14ac:dyDescent="0.25">
      <c r="A61"/>
      <c r="B61"/>
    </row>
    <row r="62" spans="1:2" x14ac:dyDescent="0.25">
      <c r="A62"/>
      <c r="B62"/>
    </row>
    <row r="63" spans="1:2" x14ac:dyDescent="0.25">
      <c r="B63" s="421"/>
    </row>
    <row r="64" spans="1:2" x14ac:dyDescent="0.25">
      <c r="B64" s="421"/>
    </row>
    <row r="65" spans="2:2" x14ac:dyDescent="0.25">
      <c r="B65" s="421"/>
    </row>
    <row r="66" spans="2:2" x14ac:dyDescent="0.25">
      <c r="B66" s="421"/>
    </row>
    <row r="67" spans="2:2" x14ac:dyDescent="0.25">
      <c r="B67" s="421"/>
    </row>
    <row r="68" spans="2:2" x14ac:dyDescent="0.25">
      <c r="B68" s="421"/>
    </row>
    <row r="69" spans="2:2" x14ac:dyDescent="0.25">
      <c r="B69" s="421"/>
    </row>
    <row r="70" spans="2:2" x14ac:dyDescent="0.25">
      <c r="B70" s="421"/>
    </row>
    <row r="71" spans="2:2" x14ac:dyDescent="0.25">
      <c r="B71" s="421"/>
    </row>
    <row r="72" spans="2:2" x14ac:dyDescent="0.25">
      <c r="B72" s="421"/>
    </row>
    <row r="73" spans="2:2" x14ac:dyDescent="0.25">
      <c r="B73" s="421"/>
    </row>
    <row r="74" spans="2:2" x14ac:dyDescent="0.25">
      <c r="B74" s="421"/>
    </row>
    <row r="75" spans="2:2" x14ac:dyDescent="0.25">
      <c r="B75" s="421"/>
    </row>
    <row r="76" spans="2:2" x14ac:dyDescent="0.25">
      <c r="B76" s="421"/>
    </row>
    <row r="77" spans="2:2" x14ac:dyDescent="0.25">
      <c r="B77" s="421"/>
    </row>
    <row r="78" spans="2:2" x14ac:dyDescent="0.25">
      <c r="B78" s="421"/>
    </row>
    <row r="79" spans="2:2" x14ac:dyDescent="0.25">
      <c r="B79" s="421"/>
    </row>
    <row r="80" spans="2:2" x14ac:dyDescent="0.25">
      <c r="B80" s="421"/>
    </row>
    <row r="81" spans="2:2" x14ac:dyDescent="0.25">
      <c r="B81" s="421"/>
    </row>
    <row r="82" spans="2:2" x14ac:dyDescent="0.25">
      <c r="B82" s="421"/>
    </row>
    <row r="83" spans="2:2" x14ac:dyDescent="0.25">
      <c r="B83" s="421"/>
    </row>
    <row r="84" spans="2:2" x14ac:dyDescent="0.25">
      <c r="B84" s="421"/>
    </row>
    <row r="85" spans="2:2" x14ac:dyDescent="0.25">
      <c r="B85" s="421"/>
    </row>
    <row r="86" spans="2:2" x14ac:dyDescent="0.25">
      <c r="B86" s="421"/>
    </row>
    <row r="87" spans="2:2" x14ac:dyDescent="0.25">
      <c r="B87" s="421"/>
    </row>
    <row r="88" spans="2:2" x14ac:dyDescent="0.25">
      <c r="B88" s="421"/>
    </row>
    <row r="89" spans="2:2" x14ac:dyDescent="0.25">
      <c r="B89" s="421"/>
    </row>
    <row r="90" spans="2:2" x14ac:dyDescent="0.25">
      <c r="B90" s="421"/>
    </row>
    <row r="91" spans="2:2" x14ac:dyDescent="0.25">
      <c r="B91" s="421"/>
    </row>
    <row r="92" spans="2:2" x14ac:dyDescent="0.25">
      <c r="B92" s="421"/>
    </row>
    <row r="93" spans="2:2" x14ac:dyDescent="0.25">
      <c r="B93" s="421"/>
    </row>
    <row r="94" spans="2:2" x14ac:dyDescent="0.25">
      <c r="B94" s="421"/>
    </row>
    <row r="95" spans="2:2" x14ac:dyDescent="0.25">
      <c r="B95" s="421"/>
    </row>
    <row r="96" spans="2:2" x14ac:dyDescent="0.25">
      <c r="B96" s="421"/>
    </row>
    <row r="97" spans="2:2" x14ac:dyDescent="0.25">
      <c r="B97" s="421"/>
    </row>
    <row r="98" spans="2:2" x14ac:dyDescent="0.25">
      <c r="B98" s="421"/>
    </row>
    <row r="99" spans="2:2" x14ac:dyDescent="0.25">
      <c r="B99" s="421"/>
    </row>
    <row r="100" spans="2:2" x14ac:dyDescent="0.25">
      <c r="B100" s="421"/>
    </row>
    <row r="101" spans="2:2" x14ac:dyDescent="0.25">
      <c r="B101" s="421"/>
    </row>
    <row r="102" spans="2:2" x14ac:dyDescent="0.25">
      <c r="B102" s="421"/>
    </row>
    <row r="103" spans="2:2" x14ac:dyDescent="0.25">
      <c r="B103" s="421"/>
    </row>
    <row r="104" spans="2:2" x14ac:dyDescent="0.25">
      <c r="B104" s="421"/>
    </row>
    <row r="105" spans="2:2" x14ac:dyDescent="0.25">
      <c r="B105" s="421"/>
    </row>
    <row r="106" spans="2:2" x14ac:dyDescent="0.25">
      <c r="B106" s="421"/>
    </row>
    <row r="107" spans="2:2" x14ac:dyDescent="0.25">
      <c r="B107" s="421"/>
    </row>
    <row r="108" spans="2:2" x14ac:dyDescent="0.25">
      <c r="B108" s="421"/>
    </row>
    <row r="109" spans="2:2" x14ac:dyDescent="0.25">
      <c r="B109" s="421"/>
    </row>
    <row r="110" spans="2:2" x14ac:dyDescent="0.25">
      <c r="B110" s="421"/>
    </row>
    <row r="111" spans="2:2" x14ac:dyDescent="0.25">
      <c r="B111" s="421"/>
    </row>
    <row r="112" spans="2:2" x14ac:dyDescent="0.25">
      <c r="B112" s="421"/>
    </row>
    <row r="113" spans="2:2" x14ac:dyDescent="0.25">
      <c r="B113" s="421"/>
    </row>
    <row r="114" spans="2:2" x14ac:dyDescent="0.25">
      <c r="B114" s="421"/>
    </row>
    <row r="115" spans="2:2" x14ac:dyDescent="0.25">
      <c r="B115" s="421"/>
    </row>
    <row r="116" spans="2:2" x14ac:dyDescent="0.25">
      <c r="B116" s="421"/>
    </row>
    <row r="117" spans="2:2" x14ac:dyDescent="0.25">
      <c r="B117" s="421"/>
    </row>
    <row r="118" spans="2:2" x14ac:dyDescent="0.25">
      <c r="B118" s="421"/>
    </row>
    <row r="119" spans="2:2" x14ac:dyDescent="0.25">
      <c r="B119" s="421"/>
    </row>
    <row r="120" spans="2:2" x14ac:dyDescent="0.25">
      <c r="B120" s="421"/>
    </row>
    <row r="121" spans="2:2" x14ac:dyDescent="0.25">
      <c r="B121" s="421"/>
    </row>
    <row r="122" spans="2:2" x14ac:dyDescent="0.25">
      <c r="B122" s="421"/>
    </row>
    <row r="123" spans="2:2" x14ac:dyDescent="0.25">
      <c r="B123" s="421"/>
    </row>
    <row r="124" spans="2:2" x14ac:dyDescent="0.25">
      <c r="B124" s="421"/>
    </row>
    <row r="125" spans="2:2" x14ac:dyDescent="0.25">
      <c r="B125" s="421"/>
    </row>
    <row r="126" spans="2:2" x14ac:dyDescent="0.25">
      <c r="B126" s="421"/>
    </row>
    <row r="127" spans="2:2" x14ac:dyDescent="0.25">
      <c r="B127" s="421"/>
    </row>
    <row r="128" spans="2:2" x14ac:dyDescent="0.25">
      <c r="B128" s="421"/>
    </row>
    <row r="129" spans="2:2" x14ac:dyDescent="0.25">
      <c r="B129" s="421"/>
    </row>
    <row r="130" spans="2:2" x14ac:dyDescent="0.25">
      <c r="B130" s="421"/>
    </row>
    <row r="131" spans="2:2" x14ac:dyDescent="0.25">
      <c r="B131" s="421"/>
    </row>
    <row r="132" spans="2:2" x14ac:dyDescent="0.25">
      <c r="B132" s="421"/>
    </row>
    <row r="133" spans="2:2" x14ac:dyDescent="0.25">
      <c r="B133" s="421"/>
    </row>
    <row r="134" spans="2:2" x14ac:dyDescent="0.25">
      <c r="B134" s="421"/>
    </row>
    <row r="135" spans="2:2" x14ac:dyDescent="0.25">
      <c r="B135" s="421"/>
    </row>
    <row r="136" spans="2:2" x14ac:dyDescent="0.25">
      <c r="B136" s="421"/>
    </row>
    <row r="137" spans="2:2" x14ac:dyDescent="0.25">
      <c r="B137" s="421"/>
    </row>
    <row r="138" spans="2:2" x14ac:dyDescent="0.25">
      <c r="B138" s="421"/>
    </row>
    <row r="139" spans="2:2" x14ac:dyDescent="0.25">
      <c r="B139" s="421"/>
    </row>
    <row r="140" spans="2:2" x14ac:dyDescent="0.25">
      <c r="B140" s="421"/>
    </row>
    <row r="141" spans="2:2" x14ac:dyDescent="0.25">
      <c r="B141" s="421"/>
    </row>
    <row r="142" spans="2:2" x14ac:dyDescent="0.25">
      <c r="B142" s="421"/>
    </row>
    <row r="143" spans="2:2" x14ac:dyDescent="0.25">
      <c r="B143" s="421"/>
    </row>
    <row r="144" spans="2:2" x14ac:dyDescent="0.25">
      <c r="B144" s="421"/>
    </row>
    <row r="145" spans="2:2" x14ac:dyDescent="0.25">
      <c r="B145" s="421"/>
    </row>
    <row r="146" spans="2:2" x14ac:dyDescent="0.25">
      <c r="B146" s="421"/>
    </row>
    <row r="147" spans="2:2" x14ac:dyDescent="0.25">
      <c r="B147" s="421"/>
    </row>
    <row r="148" spans="2:2" x14ac:dyDescent="0.25">
      <c r="B148" s="421"/>
    </row>
    <row r="149" spans="2:2" x14ac:dyDescent="0.25">
      <c r="B149" s="421"/>
    </row>
    <row r="150" spans="2:2" x14ac:dyDescent="0.25">
      <c r="B150" s="421"/>
    </row>
    <row r="151" spans="2:2" x14ac:dyDescent="0.25">
      <c r="B151" s="421"/>
    </row>
    <row r="152" spans="2:2" x14ac:dyDescent="0.25">
      <c r="B152" s="421"/>
    </row>
    <row r="153" spans="2:2" x14ac:dyDescent="0.25">
      <c r="B153" s="421"/>
    </row>
    <row r="154" spans="2:2" x14ac:dyDescent="0.25">
      <c r="B154" s="421"/>
    </row>
    <row r="155" spans="2:2" x14ac:dyDescent="0.25">
      <c r="B155" s="421"/>
    </row>
    <row r="156" spans="2:2" x14ac:dyDescent="0.25">
      <c r="B156" s="421"/>
    </row>
    <row r="157" spans="2:2" x14ac:dyDescent="0.25">
      <c r="B157" s="421"/>
    </row>
    <row r="158" spans="2:2" x14ac:dyDescent="0.25">
      <c r="B158" s="421"/>
    </row>
  </sheetData>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I702"/>
  <sheetViews>
    <sheetView topLeftCell="A3" workbookViewId="0"/>
  </sheetViews>
  <sheetFormatPr baseColWidth="10" defaultColWidth="21" defaultRowHeight="15" x14ac:dyDescent="0.25"/>
  <cols>
    <col min="1" max="16384" width="21" style="421"/>
  </cols>
  <sheetData>
    <row r="2" spans="1:61" x14ac:dyDescent="0.25">
      <c r="C2" s="422" t="s">
        <v>969</v>
      </c>
      <c r="D2" s="422"/>
    </row>
    <row r="3" spans="1:61" x14ac:dyDescent="0.25">
      <c r="A3" s="423" t="s">
        <v>970</v>
      </c>
      <c r="B3" s="423" t="s">
        <v>971</v>
      </c>
      <c r="C3" s="423" t="s">
        <v>972</v>
      </c>
      <c r="D3" s="423" t="s">
        <v>973</v>
      </c>
      <c r="E3" s="423" t="s">
        <v>3052</v>
      </c>
      <c r="F3" s="423" t="s">
        <v>3053</v>
      </c>
      <c r="G3" s="423" t="s">
        <v>3054</v>
      </c>
      <c r="H3" s="423" t="s">
        <v>978</v>
      </c>
      <c r="I3" s="423" t="s">
        <v>3055</v>
      </c>
      <c r="J3" s="423" t="s">
        <v>3056</v>
      </c>
      <c r="K3" s="423" t="s">
        <v>986</v>
      </c>
      <c r="L3" s="423" t="s">
        <v>3057</v>
      </c>
      <c r="M3" s="423" t="s">
        <v>3058</v>
      </c>
      <c r="N3" s="423" t="s">
        <v>3059</v>
      </c>
      <c r="O3" s="423" t="s">
        <v>3060</v>
      </c>
      <c r="P3" s="423" t="s">
        <v>3061</v>
      </c>
      <c r="Q3" s="423" t="s">
        <v>3062</v>
      </c>
      <c r="R3" s="423" t="s">
        <v>979</v>
      </c>
      <c r="S3" s="423" t="s">
        <v>3063</v>
      </c>
      <c r="T3" s="423" t="s">
        <v>1013</v>
      </c>
      <c r="U3" s="423" t="s">
        <v>988</v>
      </c>
      <c r="V3" s="423" t="s">
        <v>989</v>
      </c>
      <c r="W3" s="423" t="s">
        <v>992</v>
      </c>
      <c r="X3" s="423" t="s">
        <v>3064</v>
      </c>
      <c r="Y3" s="423" t="s">
        <v>3065</v>
      </c>
      <c r="Z3" s="423" t="s">
        <v>3066</v>
      </c>
      <c r="AA3" s="423" t="s">
        <v>3067</v>
      </c>
      <c r="AB3" s="423" t="s">
        <v>1024</v>
      </c>
      <c r="AC3" s="423" t="s">
        <v>3068</v>
      </c>
      <c r="AD3" s="423" t="s">
        <v>994</v>
      </c>
      <c r="AE3" s="423" t="s">
        <v>3069</v>
      </c>
      <c r="AF3" s="423" t="s">
        <v>1000</v>
      </c>
      <c r="AG3" s="423" t="s">
        <v>1001</v>
      </c>
      <c r="AH3" s="423" t="s">
        <v>1004</v>
      </c>
      <c r="AI3" s="423" t="s">
        <v>1003</v>
      </c>
      <c r="AJ3" s="423" t="s">
        <v>1008</v>
      </c>
      <c r="AK3" s="423" t="s">
        <v>1009</v>
      </c>
      <c r="AL3" s="423" t="s">
        <v>3070</v>
      </c>
      <c r="AM3" s="423" t="s">
        <v>3071</v>
      </c>
      <c r="AN3" s="423" t="s">
        <v>3072</v>
      </c>
      <c r="AO3" s="423" t="s">
        <v>3073</v>
      </c>
      <c r="AP3" s="423" t="s">
        <v>3074</v>
      </c>
      <c r="AQ3" s="423" t="s">
        <v>3075</v>
      </c>
      <c r="AR3" s="423" t="s">
        <v>3076</v>
      </c>
      <c r="AS3" s="423" t="s">
        <v>3077</v>
      </c>
      <c r="AT3" s="423" t="s">
        <v>3078</v>
      </c>
      <c r="AU3" s="423" t="s">
        <v>1029</v>
      </c>
      <c r="AV3" s="423" t="s">
        <v>3079</v>
      </c>
      <c r="AW3" s="423" t="s">
        <v>3080</v>
      </c>
      <c r="AX3" s="423" t="s">
        <v>3081</v>
      </c>
      <c r="AY3" s="423" t="s">
        <v>3082</v>
      </c>
      <c r="AZ3" s="423" t="s">
        <v>3083</v>
      </c>
      <c r="BA3" s="423" t="s">
        <v>3084</v>
      </c>
      <c r="BB3" s="423" t="s">
        <v>1045</v>
      </c>
      <c r="BC3" s="423" t="s">
        <v>1046</v>
      </c>
      <c r="BD3" s="423" t="s">
        <v>1047</v>
      </c>
      <c r="BE3" s="423" t="s">
        <v>3085</v>
      </c>
      <c r="BF3" s="423" t="s">
        <v>3086</v>
      </c>
      <c r="BG3" s="423" t="s">
        <v>1048</v>
      </c>
      <c r="BH3" s="423" t="s">
        <v>3087</v>
      </c>
      <c r="BI3" s="423" t="s">
        <v>3088</v>
      </c>
    </row>
    <row r="4" spans="1:61" x14ac:dyDescent="0.25">
      <c r="A4" s="421">
        <v>1</v>
      </c>
      <c r="B4" s="421">
        <v>2015</v>
      </c>
      <c r="C4" s="421">
        <v>1</v>
      </c>
      <c r="D4" s="421">
        <v>5</v>
      </c>
      <c r="E4" s="421" t="s">
        <v>1475</v>
      </c>
      <c r="F4" s="421" t="s">
        <v>3089</v>
      </c>
      <c r="G4" s="421" t="s">
        <v>3090</v>
      </c>
      <c r="H4" s="421" t="s">
        <v>1107</v>
      </c>
      <c r="I4" s="421" t="s">
        <v>3091</v>
      </c>
      <c r="J4" s="421" t="s">
        <v>3092</v>
      </c>
      <c r="K4" s="421" t="s">
        <v>3093</v>
      </c>
      <c r="L4" s="421" t="s">
        <v>3094</v>
      </c>
      <c r="M4" s="421" t="s">
        <v>2667</v>
      </c>
      <c r="N4" s="421" t="s">
        <v>3093</v>
      </c>
      <c r="O4" s="421" t="s">
        <v>3094</v>
      </c>
      <c r="P4" s="421" t="s">
        <v>3095</v>
      </c>
      <c r="Q4" s="421" t="s">
        <v>3096</v>
      </c>
      <c r="R4" s="421" t="s">
        <v>1108</v>
      </c>
      <c r="S4" s="421" t="s">
        <v>1542</v>
      </c>
      <c r="T4" s="421" t="s">
        <v>1130</v>
      </c>
      <c r="U4" s="421" t="s">
        <v>1112</v>
      </c>
      <c r="V4" s="421" t="s">
        <v>3097</v>
      </c>
      <c r="W4" s="421" t="s">
        <v>3098</v>
      </c>
      <c r="X4" s="421" t="s">
        <v>3099</v>
      </c>
      <c r="Y4" s="421" t="s">
        <v>1117</v>
      </c>
      <c r="Z4" s="421" t="s">
        <v>1118</v>
      </c>
      <c r="AA4" s="421" t="s">
        <v>3100</v>
      </c>
      <c r="AB4" s="421" t="s">
        <v>3101</v>
      </c>
      <c r="AC4" s="421" t="s">
        <v>3102</v>
      </c>
      <c r="AD4" s="421" t="s">
        <v>3103</v>
      </c>
      <c r="AE4" s="421" t="s">
        <v>3104</v>
      </c>
      <c r="AF4" s="421" t="s">
        <v>2236</v>
      </c>
      <c r="AG4" s="421" t="s">
        <v>2237</v>
      </c>
      <c r="AH4" s="421" t="s">
        <v>3105</v>
      </c>
      <c r="AI4" s="421">
        <v>5451500</v>
      </c>
      <c r="AJ4" s="421">
        <v>11133.19</v>
      </c>
      <c r="AK4" s="421">
        <v>12085.84</v>
      </c>
      <c r="AL4" s="421">
        <v>1</v>
      </c>
      <c r="AM4" s="421" t="s">
        <v>959</v>
      </c>
      <c r="AN4" s="421" t="s">
        <v>3106</v>
      </c>
      <c r="AO4" s="421" t="s">
        <v>1121</v>
      </c>
      <c r="AP4" s="421" t="s">
        <v>1121</v>
      </c>
      <c r="AQ4" s="421" t="s">
        <v>1542</v>
      </c>
      <c r="AR4" s="421" t="s">
        <v>3107</v>
      </c>
      <c r="AS4" s="421" t="s">
        <v>3108</v>
      </c>
      <c r="AT4" s="421" t="s">
        <v>3109</v>
      </c>
      <c r="AU4" s="421" t="s">
        <v>1142</v>
      </c>
      <c r="AV4" s="421" t="s">
        <v>2520</v>
      </c>
      <c r="AW4" s="421" t="s">
        <v>3110</v>
      </c>
      <c r="AX4" s="421" t="s">
        <v>3111</v>
      </c>
      <c r="AY4" s="421" t="s">
        <v>3112</v>
      </c>
      <c r="AZ4" s="421" t="s">
        <v>3113</v>
      </c>
      <c r="BA4" s="421" t="s">
        <v>3114</v>
      </c>
      <c r="BB4" s="421" t="s">
        <v>3115</v>
      </c>
      <c r="BC4" s="421">
        <v>160946.5</v>
      </c>
      <c r="BD4" s="421">
        <v>383595059.70999998</v>
      </c>
      <c r="BE4" s="421">
        <v>0</v>
      </c>
      <c r="BF4" s="421">
        <v>0</v>
      </c>
      <c r="BG4" s="421">
        <v>0</v>
      </c>
      <c r="BH4" s="421">
        <v>0</v>
      </c>
      <c r="BI4" s="421" t="s">
        <v>1167</v>
      </c>
    </row>
    <row r="5" spans="1:61" x14ac:dyDescent="0.25">
      <c r="A5" s="421">
        <v>2</v>
      </c>
      <c r="B5" s="421">
        <v>2015</v>
      </c>
      <c r="C5" s="421">
        <v>1</v>
      </c>
      <c r="D5" s="421">
        <v>5</v>
      </c>
      <c r="E5" s="421" t="s">
        <v>1475</v>
      </c>
      <c r="F5" s="421" t="s">
        <v>3089</v>
      </c>
      <c r="G5" s="421" t="s">
        <v>3090</v>
      </c>
      <c r="H5" s="421" t="s">
        <v>1107</v>
      </c>
      <c r="I5" s="421" t="s">
        <v>3091</v>
      </c>
      <c r="J5" s="421" t="s">
        <v>3092</v>
      </c>
      <c r="K5" s="421" t="s">
        <v>3093</v>
      </c>
      <c r="L5" s="421" t="s">
        <v>3094</v>
      </c>
      <c r="M5" s="421" t="s">
        <v>2667</v>
      </c>
      <c r="N5" s="421" t="s">
        <v>3093</v>
      </c>
      <c r="O5" s="421" t="s">
        <v>3094</v>
      </c>
      <c r="P5" s="421" t="s">
        <v>3095</v>
      </c>
      <c r="Q5" s="421" t="s">
        <v>3096</v>
      </c>
      <c r="R5" s="421" t="s">
        <v>1108</v>
      </c>
      <c r="S5" s="421" t="s">
        <v>1542</v>
      </c>
      <c r="T5" s="421" t="s">
        <v>1130</v>
      </c>
      <c r="U5" s="421" t="s">
        <v>1112</v>
      </c>
      <c r="V5" s="421" t="s">
        <v>3097</v>
      </c>
      <c r="W5" s="421" t="s">
        <v>3098</v>
      </c>
      <c r="X5" s="421" t="s">
        <v>3099</v>
      </c>
      <c r="Y5" s="421" t="s">
        <v>1117</v>
      </c>
      <c r="Z5" s="421" t="s">
        <v>1118</v>
      </c>
      <c r="AA5" s="421" t="s">
        <v>3100</v>
      </c>
      <c r="AB5" s="421" t="s">
        <v>3101</v>
      </c>
      <c r="AC5" s="421" t="s">
        <v>3102</v>
      </c>
      <c r="AD5" s="421" t="s">
        <v>3103</v>
      </c>
      <c r="AE5" s="421" t="s">
        <v>3104</v>
      </c>
      <c r="AF5" s="421" t="s">
        <v>2236</v>
      </c>
      <c r="AG5" s="421" t="s">
        <v>2237</v>
      </c>
      <c r="AH5" s="421" t="s">
        <v>3105</v>
      </c>
      <c r="AI5" s="421">
        <v>343000</v>
      </c>
      <c r="AJ5" s="421">
        <v>873.08</v>
      </c>
      <c r="AK5" s="421">
        <v>947.79</v>
      </c>
      <c r="AL5" s="421">
        <v>2</v>
      </c>
      <c r="AM5" s="421" t="s">
        <v>959</v>
      </c>
      <c r="AN5" s="421" t="s">
        <v>3106</v>
      </c>
      <c r="AO5" s="421" t="s">
        <v>1121</v>
      </c>
      <c r="AP5" s="421" t="s">
        <v>1121</v>
      </c>
      <c r="AQ5" s="421" t="s">
        <v>1542</v>
      </c>
      <c r="AR5" s="421" t="s">
        <v>3107</v>
      </c>
      <c r="AS5" s="421" t="s">
        <v>3108</v>
      </c>
      <c r="AT5" s="421" t="s">
        <v>3109</v>
      </c>
      <c r="AU5" s="421" t="s">
        <v>1142</v>
      </c>
      <c r="AV5" s="421" t="s">
        <v>2520</v>
      </c>
      <c r="AW5" s="421" t="s">
        <v>3110</v>
      </c>
      <c r="AX5" s="421" t="s">
        <v>3111</v>
      </c>
      <c r="AY5" s="421" t="s">
        <v>3112</v>
      </c>
      <c r="AZ5" s="421" t="s">
        <v>3113</v>
      </c>
      <c r="BA5" s="421" t="s">
        <v>3114</v>
      </c>
      <c r="BB5" s="421" t="s">
        <v>3115</v>
      </c>
      <c r="BC5" s="421">
        <v>12590.3</v>
      </c>
      <c r="BD5" s="421">
        <v>30007343.309999999</v>
      </c>
      <c r="BE5" s="421">
        <v>0</v>
      </c>
      <c r="BF5" s="421">
        <v>0</v>
      </c>
      <c r="BG5" s="421">
        <v>0</v>
      </c>
      <c r="BH5" s="421">
        <v>0</v>
      </c>
      <c r="BI5" s="421" t="s">
        <v>1167</v>
      </c>
    </row>
    <row r="6" spans="1:61" x14ac:dyDescent="0.25">
      <c r="A6" s="421">
        <v>3</v>
      </c>
      <c r="B6" s="421">
        <v>2015</v>
      </c>
      <c r="C6" s="421">
        <v>1</v>
      </c>
      <c r="D6" s="421">
        <v>5</v>
      </c>
      <c r="E6" s="421" t="s">
        <v>1475</v>
      </c>
      <c r="F6" s="421" t="s">
        <v>3089</v>
      </c>
      <c r="G6" s="421" t="s">
        <v>3090</v>
      </c>
      <c r="H6" s="421" t="s">
        <v>1107</v>
      </c>
      <c r="I6" s="421" t="s">
        <v>3091</v>
      </c>
      <c r="J6" s="421" t="s">
        <v>3092</v>
      </c>
      <c r="K6" s="421" t="s">
        <v>3093</v>
      </c>
      <c r="L6" s="421" t="s">
        <v>3094</v>
      </c>
      <c r="M6" s="421" t="s">
        <v>2667</v>
      </c>
      <c r="N6" s="421" t="s">
        <v>3093</v>
      </c>
      <c r="O6" s="421" t="s">
        <v>3094</v>
      </c>
      <c r="P6" s="421" t="s">
        <v>3095</v>
      </c>
      <c r="Q6" s="421" t="s">
        <v>3096</v>
      </c>
      <c r="R6" s="421" t="s">
        <v>1108</v>
      </c>
      <c r="S6" s="421" t="s">
        <v>1542</v>
      </c>
      <c r="T6" s="421" t="s">
        <v>1130</v>
      </c>
      <c r="U6" s="421" t="s">
        <v>1112</v>
      </c>
      <c r="V6" s="421" t="s">
        <v>3097</v>
      </c>
      <c r="W6" s="421" t="s">
        <v>3098</v>
      </c>
      <c r="X6" s="421" t="s">
        <v>3099</v>
      </c>
      <c r="Y6" s="421" t="s">
        <v>1117</v>
      </c>
      <c r="Z6" s="421" t="s">
        <v>1118</v>
      </c>
      <c r="AA6" s="421" t="s">
        <v>3100</v>
      </c>
      <c r="AB6" s="421" t="s">
        <v>3101</v>
      </c>
      <c r="AC6" s="421" t="s">
        <v>3102</v>
      </c>
      <c r="AD6" s="421" t="s">
        <v>3103</v>
      </c>
      <c r="AE6" s="421" t="s">
        <v>3104</v>
      </c>
      <c r="AF6" s="421" t="s">
        <v>2236</v>
      </c>
      <c r="AG6" s="421" t="s">
        <v>2237</v>
      </c>
      <c r="AH6" s="421" t="s">
        <v>3105</v>
      </c>
      <c r="AI6" s="421">
        <v>600000</v>
      </c>
      <c r="AJ6" s="421">
        <v>2115.23</v>
      </c>
      <c r="AK6" s="421">
        <v>2296.23</v>
      </c>
      <c r="AL6" s="421">
        <v>3</v>
      </c>
      <c r="AM6" s="421" t="s">
        <v>959</v>
      </c>
      <c r="AN6" s="421" t="s">
        <v>3106</v>
      </c>
      <c r="AO6" s="421" t="s">
        <v>1121</v>
      </c>
      <c r="AP6" s="421" t="s">
        <v>1121</v>
      </c>
      <c r="AQ6" s="421" t="s">
        <v>1542</v>
      </c>
      <c r="AR6" s="421" t="s">
        <v>3107</v>
      </c>
      <c r="AS6" s="421" t="s">
        <v>3108</v>
      </c>
      <c r="AT6" s="421" t="s">
        <v>3109</v>
      </c>
      <c r="AU6" s="421" t="s">
        <v>1142</v>
      </c>
      <c r="AV6" s="421" t="s">
        <v>2520</v>
      </c>
      <c r="AW6" s="421" t="s">
        <v>3110</v>
      </c>
      <c r="AX6" s="421" t="s">
        <v>3111</v>
      </c>
      <c r="AY6" s="421" t="s">
        <v>3112</v>
      </c>
      <c r="AZ6" s="421" t="s">
        <v>3113</v>
      </c>
      <c r="BA6" s="421" t="s">
        <v>3114</v>
      </c>
      <c r="BB6" s="421" t="s">
        <v>3115</v>
      </c>
      <c r="BC6" s="421">
        <v>53446.5</v>
      </c>
      <c r="BD6" s="421">
        <v>127382784.70999999</v>
      </c>
      <c r="BE6" s="421">
        <v>0</v>
      </c>
      <c r="BF6" s="421">
        <v>0</v>
      </c>
      <c r="BG6" s="421">
        <v>0</v>
      </c>
      <c r="BH6" s="421">
        <v>0</v>
      </c>
      <c r="BI6" s="421" t="s">
        <v>1167</v>
      </c>
    </row>
    <row r="7" spans="1:61" x14ac:dyDescent="0.25">
      <c r="A7" s="421">
        <v>4</v>
      </c>
      <c r="B7" s="421">
        <v>2015</v>
      </c>
      <c r="C7" s="421">
        <v>1</v>
      </c>
      <c r="D7" s="421">
        <v>5</v>
      </c>
      <c r="E7" s="421" t="s">
        <v>1475</v>
      </c>
      <c r="F7" s="421" t="s">
        <v>3089</v>
      </c>
      <c r="G7" s="421" t="s">
        <v>3090</v>
      </c>
      <c r="H7" s="421" t="s">
        <v>1107</v>
      </c>
      <c r="I7" s="421" t="s">
        <v>3091</v>
      </c>
      <c r="J7" s="421" t="s">
        <v>3092</v>
      </c>
      <c r="K7" s="421" t="s">
        <v>3093</v>
      </c>
      <c r="L7" s="421" t="s">
        <v>3094</v>
      </c>
      <c r="M7" s="421" t="s">
        <v>2667</v>
      </c>
      <c r="N7" s="421" t="s">
        <v>3093</v>
      </c>
      <c r="O7" s="421" t="s">
        <v>3094</v>
      </c>
      <c r="P7" s="421" t="s">
        <v>3095</v>
      </c>
      <c r="Q7" s="421" t="s">
        <v>3096</v>
      </c>
      <c r="R7" s="421" t="s">
        <v>1108</v>
      </c>
      <c r="S7" s="421" t="s">
        <v>1542</v>
      </c>
      <c r="T7" s="421" t="s">
        <v>1130</v>
      </c>
      <c r="U7" s="421" t="s">
        <v>1112</v>
      </c>
      <c r="V7" s="421" t="s">
        <v>3097</v>
      </c>
      <c r="W7" s="421" t="s">
        <v>3098</v>
      </c>
      <c r="X7" s="421" t="s">
        <v>3099</v>
      </c>
      <c r="Y7" s="421" t="s">
        <v>1117</v>
      </c>
      <c r="Z7" s="421" t="s">
        <v>1118</v>
      </c>
      <c r="AA7" s="421" t="s">
        <v>3100</v>
      </c>
      <c r="AB7" s="421" t="s">
        <v>3101</v>
      </c>
      <c r="AC7" s="421" t="s">
        <v>3102</v>
      </c>
      <c r="AD7" s="421" t="s">
        <v>3103</v>
      </c>
      <c r="AE7" s="421" t="s">
        <v>3104</v>
      </c>
      <c r="AF7" s="421" t="s">
        <v>2236</v>
      </c>
      <c r="AG7" s="421" t="s">
        <v>2237</v>
      </c>
      <c r="AH7" s="421" t="s">
        <v>3105</v>
      </c>
      <c r="AI7" s="421">
        <v>132000</v>
      </c>
      <c r="AJ7" s="421">
        <v>485.76</v>
      </c>
      <c r="AK7" s="421">
        <v>527.33000000000004</v>
      </c>
      <c r="AL7" s="421">
        <v>4</v>
      </c>
      <c r="AM7" s="421" t="s">
        <v>959</v>
      </c>
      <c r="AN7" s="421" t="s">
        <v>3106</v>
      </c>
      <c r="AO7" s="421" t="s">
        <v>1121</v>
      </c>
      <c r="AP7" s="421" t="s">
        <v>1121</v>
      </c>
      <c r="AQ7" s="421" t="s">
        <v>1542</v>
      </c>
      <c r="AR7" s="421" t="s">
        <v>3107</v>
      </c>
      <c r="AS7" s="421" t="s">
        <v>3108</v>
      </c>
      <c r="AT7" s="421" t="s">
        <v>3109</v>
      </c>
      <c r="AU7" s="421" t="s">
        <v>1142</v>
      </c>
      <c r="AV7" s="421" t="s">
        <v>2520</v>
      </c>
      <c r="AW7" s="421" t="s">
        <v>3110</v>
      </c>
      <c r="AX7" s="421" t="s">
        <v>3111</v>
      </c>
      <c r="AY7" s="421" t="s">
        <v>3112</v>
      </c>
      <c r="AZ7" s="421" t="s">
        <v>3113</v>
      </c>
      <c r="BA7" s="421" t="s">
        <v>3114</v>
      </c>
      <c r="BB7" s="421" t="s">
        <v>3115</v>
      </c>
      <c r="BC7" s="421">
        <v>12091.2</v>
      </c>
      <c r="BD7" s="421">
        <v>28817803.34</v>
      </c>
      <c r="BE7" s="421">
        <v>0</v>
      </c>
      <c r="BF7" s="421">
        <v>0</v>
      </c>
      <c r="BG7" s="421">
        <v>0</v>
      </c>
      <c r="BH7" s="421">
        <v>0</v>
      </c>
      <c r="BI7" s="421" t="s">
        <v>1167</v>
      </c>
    </row>
    <row r="8" spans="1:61" x14ac:dyDescent="0.25">
      <c r="A8" s="421">
        <v>5</v>
      </c>
      <c r="B8" s="421">
        <v>2015</v>
      </c>
      <c r="C8" s="421">
        <v>1</v>
      </c>
      <c r="D8" s="421">
        <v>5</v>
      </c>
      <c r="E8" s="421" t="s">
        <v>1475</v>
      </c>
      <c r="F8" s="421" t="s">
        <v>3089</v>
      </c>
      <c r="G8" s="421" t="s">
        <v>3090</v>
      </c>
      <c r="H8" s="421" t="s">
        <v>1107</v>
      </c>
      <c r="I8" s="421" t="s">
        <v>3091</v>
      </c>
      <c r="J8" s="421" t="s">
        <v>3116</v>
      </c>
      <c r="K8" s="421" t="s">
        <v>3093</v>
      </c>
      <c r="L8" s="421" t="s">
        <v>3094</v>
      </c>
      <c r="M8" s="421" t="s">
        <v>2667</v>
      </c>
      <c r="N8" s="421" t="s">
        <v>3093</v>
      </c>
      <c r="O8" s="421" t="s">
        <v>3094</v>
      </c>
      <c r="P8" s="421" t="s">
        <v>3095</v>
      </c>
      <c r="Q8" s="421" t="s">
        <v>3096</v>
      </c>
      <c r="R8" s="421" t="s">
        <v>1108</v>
      </c>
      <c r="S8" s="421" t="s">
        <v>1542</v>
      </c>
      <c r="T8" s="421" t="s">
        <v>1130</v>
      </c>
      <c r="U8" s="421" t="s">
        <v>1112</v>
      </c>
      <c r="V8" s="421" t="s">
        <v>3097</v>
      </c>
      <c r="W8" s="421" t="s">
        <v>3098</v>
      </c>
      <c r="X8" s="421" t="s">
        <v>3099</v>
      </c>
      <c r="Y8" s="421" t="s">
        <v>1117</v>
      </c>
      <c r="Z8" s="421" t="s">
        <v>1118</v>
      </c>
      <c r="AA8" s="421" t="s">
        <v>3100</v>
      </c>
      <c r="AB8" s="421" t="s">
        <v>3101</v>
      </c>
      <c r="AC8" s="421" t="s">
        <v>3102</v>
      </c>
      <c r="AD8" s="421" t="s">
        <v>3117</v>
      </c>
      <c r="AE8" s="421" t="s">
        <v>3118</v>
      </c>
      <c r="AF8" s="421" t="s">
        <v>2236</v>
      </c>
      <c r="AG8" s="421" t="s">
        <v>2237</v>
      </c>
      <c r="AH8" s="421" t="s">
        <v>3105</v>
      </c>
      <c r="AI8" s="421">
        <v>643500</v>
      </c>
      <c r="AJ8" s="421">
        <v>1682.1</v>
      </c>
      <c r="AK8" s="421">
        <v>1821.97</v>
      </c>
      <c r="AL8" s="421">
        <v>1</v>
      </c>
      <c r="AM8" s="421" t="s">
        <v>3119</v>
      </c>
      <c r="AN8" s="421" t="s">
        <v>3120</v>
      </c>
      <c r="AO8" s="421" t="s">
        <v>1121</v>
      </c>
      <c r="AP8" s="421" t="s">
        <v>1121</v>
      </c>
      <c r="AQ8" s="421" t="s">
        <v>1542</v>
      </c>
      <c r="AR8" s="421" t="s">
        <v>3107</v>
      </c>
      <c r="AS8" s="421" t="s">
        <v>3121</v>
      </c>
      <c r="AT8" s="421" t="s">
        <v>3109</v>
      </c>
      <c r="AU8" s="421" t="s">
        <v>1142</v>
      </c>
      <c r="AV8" s="421" t="s">
        <v>1547</v>
      </c>
      <c r="AW8" s="421" t="s">
        <v>3110</v>
      </c>
      <c r="AX8" s="421" t="s">
        <v>3111</v>
      </c>
      <c r="AY8" s="421" t="s">
        <v>3112</v>
      </c>
      <c r="AZ8" s="421" t="s">
        <v>3113</v>
      </c>
      <c r="BA8" s="421" t="s">
        <v>3114</v>
      </c>
      <c r="BB8" s="421" t="s">
        <v>3115</v>
      </c>
      <c r="BC8" s="421">
        <v>25396</v>
      </c>
      <c r="BD8" s="421">
        <v>60528064.520000003</v>
      </c>
      <c r="BE8" s="421">
        <v>0</v>
      </c>
      <c r="BF8" s="421">
        <v>165.2</v>
      </c>
      <c r="BG8" s="421">
        <v>63.9</v>
      </c>
      <c r="BH8" s="421">
        <v>0</v>
      </c>
      <c r="BI8" s="421" t="s">
        <v>1331</v>
      </c>
    </row>
    <row r="9" spans="1:61" x14ac:dyDescent="0.25">
      <c r="A9" s="421">
        <v>6</v>
      </c>
      <c r="B9" s="421">
        <v>2015</v>
      </c>
      <c r="C9" s="421">
        <v>1</v>
      </c>
      <c r="D9" s="421">
        <v>5</v>
      </c>
      <c r="E9" s="421" t="s">
        <v>1475</v>
      </c>
      <c r="F9" s="421" t="s">
        <v>3089</v>
      </c>
      <c r="G9" s="421" t="s">
        <v>3090</v>
      </c>
      <c r="H9" s="421" t="s">
        <v>1107</v>
      </c>
      <c r="I9" s="421" t="s">
        <v>3091</v>
      </c>
      <c r="J9" s="421" t="s">
        <v>3116</v>
      </c>
      <c r="K9" s="421" t="s">
        <v>3093</v>
      </c>
      <c r="L9" s="421" t="s">
        <v>3094</v>
      </c>
      <c r="M9" s="421" t="s">
        <v>2667</v>
      </c>
      <c r="N9" s="421" t="s">
        <v>3093</v>
      </c>
      <c r="O9" s="421" t="s">
        <v>3094</v>
      </c>
      <c r="P9" s="421" t="s">
        <v>3095</v>
      </c>
      <c r="Q9" s="421" t="s">
        <v>3096</v>
      </c>
      <c r="R9" s="421" t="s">
        <v>1108</v>
      </c>
      <c r="S9" s="421" t="s">
        <v>1542</v>
      </c>
      <c r="T9" s="421" t="s">
        <v>1130</v>
      </c>
      <c r="U9" s="421" t="s">
        <v>1112</v>
      </c>
      <c r="V9" s="421" t="s">
        <v>3097</v>
      </c>
      <c r="W9" s="421" t="s">
        <v>3098</v>
      </c>
      <c r="X9" s="421" t="s">
        <v>3099</v>
      </c>
      <c r="Y9" s="421" t="s">
        <v>1117</v>
      </c>
      <c r="Z9" s="421" t="s">
        <v>1118</v>
      </c>
      <c r="AA9" s="421" t="s">
        <v>3100</v>
      </c>
      <c r="AB9" s="421" t="s">
        <v>3101</v>
      </c>
      <c r="AC9" s="421" t="s">
        <v>3102</v>
      </c>
      <c r="AD9" s="421" t="s">
        <v>3117</v>
      </c>
      <c r="AE9" s="421" t="s">
        <v>3118</v>
      </c>
      <c r="AF9" s="421" t="s">
        <v>2236</v>
      </c>
      <c r="AG9" s="421" t="s">
        <v>2237</v>
      </c>
      <c r="AH9" s="421" t="s">
        <v>3105</v>
      </c>
      <c r="AI9" s="421">
        <v>56000</v>
      </c>
      <c r="AJ9" s="421">
        <v>99.78</v>
      </c>
      <c r="AK9" s="421">
        <v>108.08</v>
      </c>
      <c r="AL9" s="421">
        <v>2</v>
      </c>
      <c r="AM9" s="421" t="s">
        <v>3119</v>
      </c>
      <c r="AN9" s="421" t="s">
        <v>3120</v>
      </c>
      <c r="AO9" s="421" t="s">
        <v>1121</v>
      </c>
      <c r="AP9" s="421" t="s">
        <v>1121</v>
      </c>
      <c r="AQ9" s="421" t="s">
        <v>1542</v>
      </c>
      <c r="AR9" s="421" t="s">
        <v>3107</v>
      </c>
      <c r="AS9" s="421" t="s">
        <v>3121</v>
      </c>
      <c r="AT9" s="421" t="s">
        <v>3109</v>
      </c>
      <c r="AU9" s="421" t="s">
        <v>1142</v>
      </c>
      <c r="AV9" s="421" t="s">
        <v>1547</v>
      </c>
      <c r="AW9" s="421" t="s">
        <v>3110</v>
      </c>
      <c r="AX9" s="421" t="s">
        <v>3111</v>
      </c>
      <c r="AY9" s="421" t="s">
        <v>3112</v>
      </c>
      <c r="AZ9" s="421" t="s">
        <v>3113</v>
      </c>
      <c r="BA9" s="421" t="s">
        <v>3114</v>
      </c>
      <c r="BB9" s="421" t="s">
        <v>3115</v>
      </c>
      <c r="BC9" s="421">
        <v>1508</v>
      </c>
      <c r="BD9" s="421">
        <v>3594121.96</v>
      </c>
      <c r="BE9" s="421">
        <v>0</v>
      </c>
      <c r="BF9" s="421">
        <v>9.81</v>
      </c>
      <c r="BG9" s="421">
        <v>3.79</v>
      </c>
      <c r="BH9" s="421">
        <v>0</v>
      </c>
      <c r="BI9" s="421" t="s">
        <v>1331</v>
      </c>
    </row>
    <row r="10" spans="1:61" x14ac:dyDescent="0.25">
      <c r="A10" s="421">
        <v>7</v>
      </c>
      <c r="B10" s="421">
        <v>2015</v>
      </c>
      <c r="C10" s="421">
        <v>1</v>
      </c>
      <c r="D10" s="421">
        <v>5</v>
      </c>
      <c r="E10" s="421" t="s">
        <v>1475</v>
      </c>
      <c r="F10" s="421" t="s">
        <v>3089</v>
      </c>
      <c r="G10" s="421" t="s">
        <v>3090</v>
      </c>
      <c r="H10" s="421" t="s">
        <v>1107</v>
      </c>
      <c r="I10" s="421" t="s">
        <v>3091</v>
      </c>
      <c r="J10" s="421" t="s">
        <v>3116</v>
      </c>
      <c r="K10" s="421" t="s">
        <v>3093</v>
      </c>
      <c r="L10" s="421" t="s">
        <v>3094</v>
      </c>
      <c r="M10" s="421" t="s">
        <v>2667</v>
      </c>
      <c r="N10" s="421" t="s">
        <v>3093</v>
      </c>
      <c r="O10" s="421" t="s">
        <v>3094</v>
      </c>
      <c r="P10" s="421" t="s">
        <v>3095</v>
      </c>
      <c r="Q10" s="421" t="s">
        <v>3096</v>
      </c>
      <c r="R10" s="421" t="s">
        <v>1108</v>
      </c>
      <c r="S10" s="421" t="s">
        <v>1542</v>
      </c>
      <c r="T10" s="421" t="s">
        <v>1130</v>
      </c>
      <c r="U10" s="421" t="s">
        <v>1112</v>
      </c>
      <c r="V10" s="421" t="s">
        <v>3097</v>
      </c>
      <c r="W10" s="421" t="s">
        <v>3098</v>
      </c>
      <c r="X10" s="421" t="s">
        <v>3099</v>
      </c>
      <c r="Y10" s="421" t="s">
        <v>1117</v>
      </c>
      <c r="Z10" s="421" t="s">
        <v>1118</v>
      </c>
      <c r="AA10" s="421" t="s">
        <v>3100</v>
      </c>
      <c r="AB10" s="421" t="s">
        <v>3101</v>
      </c>
      <c r="AC10" s="421" t="s">
        <v>3102</v>
      </c>
      <c r="AD10" s="421" t="s">
        <v>3117</v>
      </c>
      <c r="AE10" s="421" t="s">
        <v>3118</v>
      </c>
      <c r="AF10" s="421" t="s">
        <v>2236</v>
      </c>
      <c r="AG10" s="421" t="s">
        <v>2237</v>
      </c>
      <c r="AH10" s="421" t="s">
        <v>3105</v>
      </c>
      <c r="AI10" s="421">
        <v>176400</v>
      </c>
      <c r="AJ10" s="421">
        <v>783.32</v>
      </c>
      <c r="AK10" s="421">
        <v>848.46</v>
      </c>
      <c r="AL10" s="421">
        <v>3</v>
      </c>
      <c r="AM10" s="421" t="s">
        <v>3119</v>
      </c>
      <c r="AN10" s="421" t="s">
        <v>3120</v>
      </c>
      <c r="AO10" s="421" t="s">
        <v>1121</v>
      </c>
      <c r="AP10" s="421" t="s">
        <v>1121</v>
      </c>
      <c r="AQ10" s="421" t="s">
        <v>1542</v>
      </c>
      <c r="AR10" s="421" t="s">
        <v>3107</v>
      </c>
      <c r="AS10" s="421" t="s">
        <v>3121</v>
      </c>
      <c r="AT10" s="421" t="s">
        <v>3109</v>
      </c>
      <c r="AU10" s="421" t="s">
        <v>1142</v>
      </c>
      <c r="AV10" s="421" t="s">
        <v>1547</v>
      </c>
      <c r="AW10" s="421" t="s">
        <v>3110</v>
      </c>
      <c r="AX10" s="421" t="s">
        <v>3111</v>
      </c>
      <c r="AY10" s="421" t="s">
        <v>3112</v>
      </c>
      <c r="AZ10" s="421" t="s">
        <v>3113</v>
      </c>
      <c r="BA10" s="421" t="s">
        <v>3114</v>
      </c>
      <c r="BB10" s="421" t="s">
        <v>3115</v>
      </c>
      <c r="BC10" s="421">
        <v>25070</v>
      </c>
      <c r="BD10" s="421">
        <v>59751085.899999999</v>
      </c>
      <c r="BE10" s="421">
        <v>0</v>
      </c>
      <c r="BF10" s="421">
        <v>163.07</v>
      </c>
      <c r="BG10" s="421">
        <v>63.08</v>
      </c>
      <c r="BH10" s="421">
        <v>0</v>
      </c>
      <c r="BI10" s="421" t="s">
        <v>1331</v>
      </c>
    </row>
    <row r="11" spans="1:61" x14ac:dyDescent="0.25">
      <c r="A11" s="421">
        <v>8</v>
      </c>
      <c r="B11" s="421">
        <v>2015</v>
      </c>
      <c r="C11" s="421">
        <v>1</v>
      </c>
      <c r="D11" s="421">
        <v>5</v>
      </c>
      <c r="E11" s="421" t="s">
        <v>1475</v>
      </c>
      <c r="F11" s="421" t="s">
        <v>3089</v>
      </c>
      <c r="G11" s="421" t="s">
        <v>3090</v>
      </c>
      <c r="H11" s="421" t="s">
        <v>1107</v>
      </c>
      <c r="I11" s="421" t="s">
        <v>3091</v>
      </c>
      <c r="J11" s="421" t="s">
        <v>3116</v>
      </c>
      <c r="K11" s="421" t="s">
        <v>3093</v>
      </c>
      <c r="L11" s="421" t="s">
        <v>3094</v>
      </c>
      <c r="M11" s="421" t="s">
        <v>2667</v>
      </c>
      <c r="N11" s="421" t="s">
        <v>3093</v>
      </c>
      <c r="O11" s="421" t="s">
        <v>3094</v>
      </c>
      <c r="P11" s="421" t="s">
        <v>3095</v>
      </c>
      <c r="Q11" s="421" t="s">
        <v>3096</v>
      </c>
      <c r="R11" s="421" t="s">
        <v>1108</v>
      </c>
      <c r="S11" s="421" t="s">
        <v>1542</v>
      </c>
      <c r="T11" s="421" t="s">
        <v>1130</v>
      </c>
      <c r="U11" s="421" t="s">
        <v>1112</v>
      </c>
      <c r="V11" s="421" t="s">
        <v>3097</v>
      </c>
      <c r="W11" s="421" t="s">
        <v>3098</v>
      </c>
      <c r="X11" s="421" t="s">
        <v>3099</v>
      </c>
      <c r="Y11" s="421" t="s">
        <v>1117</v>
      </c>
      <c r="Z11" s="421" t="s">
        <v>1118</v>
      </c>
      <c r="AA11" s="421" t="s">
        <v>3100</v>
      </c>
      <c r="AB11" s="421" t="s">
        <v>3101</v>
      </c>
      <c r="AC11" s="421" t="s">
        <v>3102</v>
      </c>
      <c r="AD11" s="421" t="s">
        <v>3117</v>
      </c>
      <c r="AE11" s="421" t="s">
        <v>3118</v>
      </c>
      <c r="AF11" s="421" t="s">
        <v>2236</v>
      </c>
      <c r="AG11" s="421" t="s">
        <v>2237</v>
      </c>
      <c r="AH11" s="421" t="s">
        <v>3105</v>
      </c>
      <c r="AI11" s="421">
        <v>20800</v>
      </c>
      <c r="AJ11" s="421">
        <v>85.43</v>
      </c>
      <c r="AK11" s="421">
        <v>92.53</v>
      </c>
      <c r="AL11" s="421">
        <v>4</v>
      </c>
      <c r="AM11" s="421" t="s">
        <v>3119</v>
      </c>
      <c r="AN11" s="421" t="s">
        <v>3120</v>
      </c>
      <c r="AO11" s="421" t="s">
        <v>1121</v>
      </c>
      <c r="AP11" s="421" t="s">
        <v>1121</v>
      </c>
      <c r="AQ11" s="421" t="s">
        <v>1542</v>
      </c>
      <c r="AR11" s="421" t="s">
        <v>3107</v>
      </c>
      <c r="AS11" s="421" t="s">
        <v>3121</v>
      </c>
      <c r="AT11" s="421" t="s">
        <v>3109</v>
      </c>
      <c r="AU11" s="421" t="s">
        <v>1142</v>
      </c>
      <c r="AV11" s="421" t="s">
        <v>1547</v>
      </c>
      <c r="AW11" s="421" t="s">
        <v>3110</v>
      </c>
      <c r="AX11" s="421" t="s">
        <v>3111</v>
      </c>
      <c r="AY11" s="421" t="s">
        <v>3112</v>
      </c>
      <c r="AZ11" s="421" t="s">
        <v>3113</v>
      </c>
      <c r="BA11" s="421" t="s">
        <v>3114</v>
      </c>
      <c r="BB11" s="421" t="s">
        <v>3115</v>
      </c>
      <c r="BC11" s="421">
        <v>3370</v>
      </c>
      <c r="BD11" s="421">
        <v>8031956.9000000004</v>
      </c>
      <c r="BE11" s="421">
        <v>0</v>
      </c>
      <c r="BF11" s="421">
        <v>21.92</v>
      </c>
      <c r="BG11" s="421">
        <v>8.48</v>
      </c>
      <c r="BH11" s="421">
        <v>0</v>
      </c>
      <c r="BI11" s="421" t="s">
        <v>1331</v>
      </c>
    </row>
    <row r="12" spans="1:61" x14ac:dyDescent="0.25">
      <c r="A12" s="421">
        <v>9</v>
      </c>
      <c r="B12" s="421">
        <v>2015</v>
      </c>
      <c r="C12" s="421">
        <v>1</v>
      </c>
      <c r="D12" s="421">
        <v>5</v>
      </c>
      <c r="E12" s="421" t="s">
        <v>1475</v>
      </c>
      <c r="F12" s="421" t="s">
        <v>3089</v>
      </c>
      <c r="G12" s="421" t="s">
        <v>3090</v>
      </c>
      <c r="H12" s="421" t="s">
        <v>1107</v>
      </c>
      <c r="I12" s="421" t="s">
        <v>3091</v>
      </c>
      <c r="J12" s="421" t="s">
        <v>3122</v>
      </c>
      <c r="K12" s="421" t="s">
        <v>3093</v>
      </c>
      <c r="L12" s="421" t="s">
        <v>3094</v>
      </c>
      <c r="M12" s="421" t="s">
        <v>2667</v>
      </c>
      <c r="N12" s="421" t="s">
        <v>3093</v>
      </c>
      <c r="O12" s="421" t="s">
        <v>3094</v>
      </c>
      <c r="P12" s="421" t="s">
        <v>3095</v>
      </c>
      <c r="Q12" s="421" t="s">
        <v>3096</v>
      </c>
      <c r="R12" s="421" t="s">
        <v>1108</v>
      </c>
      <c r="S12" s="421" t="s">
        <v>1542</v>
      </c>
      <c r="T12" s="421" t="s">
        <v>1130</v>
      </c>
      <c r="U12" s="421" t="s">
        <v>1112</v>
      </c>
      <c r="V12" s="421" t="s">
        <v>3097</v>
      </c>
      <c r="W12" s="421" t="s">
        <v>3098</v>
      </c>
      <c r="X12" s="421" t="s">
        <v>3099</v>
      </c>
      <c r="Y12" s="421" t="s">
        <v>1117</v>
      </c>
      <c r="Z12" s="421" t="s">
        <v>1118</v>
      </c>
      <c r="AA12" s="421" t="s">
        <v>3100</v>
      </c>
      <c r="AB12" s="421" t="s">
        <v>3101</v>
      </c>
      <c r="AC12" s="421" t="s">
        <v>3102</v>
      </c>
      <c r="AD12" s="421" t="s">
        <v>3117</v>
      </c>
      <c r="AE12" s="421" t="s">
        <v>3118</v>
      </c>
      <c r="AF12" s="421" t="s">
        <v>2236</v>
      </c>
      <c r="AG12" s="421" t="s">
        <v>2237</v>
      </c>
      <c r="AH12" s="421" t="s">
        <v>3105</v>
      </c>
      <c r="AI12" s="421">
        <v>1344000</v>
      </c>
      <c r="AJ12" s="421">
        <v>2890</v>
      </c>
      <c r="AK12" s="421">
        <v>3205.84</v>
      </c>
      <c r="AL12" s="421">
        <v>1</v>
      </c>
      <c r="AM12" s="421" t="s">
        <v>3119</v>
      </c>
      <c r="AN12" s="421" t="s">
        <v>3120</v>
      </c>
      <c r="AO12" s="421" t="s">
        <v>1121</v>
      </c>
      <c r="AP12" s="421" t="s">
        <v>1121</v>
      </c>
      <c r="AQ12" s="421" t="s">
        <v>1542</v>
      </c>
      <c r="AR12" s="421" t="s">
        <v>3107</v>
      </c>
      <c r="AS12" s="421" t="s">
        <v>3123</v>
      </c>
      <c r="AT12" s="421" t="s">
        <v>3109</v>
      </c>
      <c r="AU12" s="421" t="s">
        <v>1142</v>
      </c>
      <c r="AV12" s="421" t="s">
        <v>1547</v>
      </c>
      <c r="AW12" s="421" t="s">
        <v>3110</v>
      </c>
      <c r="AX12" s="421" t="s">
        <v>3111</v>
      </c>
      <c r="AY12" s="421" t="s">
        <v>3112</v>
      </c>
      <c r="AZ12" s="421" t="s">
        <v>3113</v>
      </c>
      <c r="BA12" s="421" t="s">
        <v>3114</v>
      </c>
      <c r="BB12" s="421" t="s">
        <v>3115</v>
      </c>
      <c r="BC12" s="421">
        <v>36492.5</v>
      </c>
      <c r="BD12" s="421">
        <v>86975129.730000004</v>
      </c>
      <c r="BE12" s="421">
        <v>0</v>
      </c>
      <c r="BF12" s="421">
        <v>514.89</v>
      </c>
      <c r="BG12" s="421">
        <v>92.52</v>
      </c>
      <c r="BH12" s="421">
        <v>0</v>
      </c>
      <c r="BI12" s="421" t="s">
        <v>1331</v>
      </c>
    </row>
    <row r="13" spans="1:61" x14ac:dyDescent="0.25">
      <c r="A13" s="421">
        <v>10</v>
      </c>
      <c r="B13" s="421">
        <v>2015</v>
      </c>
      <c r="C13" s="421">
        <v>1</v>
      </c>
      <c r="D13" s="421">
        <v>5</v>
      </c>
      <c r="E13" s="421" t="s">
        <v>1475</v>
      </c>
      <c r="F13" s="421" t="s">
        <v>3089</v>
      </c>
      <c r="G13" s="421" t="s">
        <v>3090</v>
      </c>
      <c r="H13" s="421" t="s">
        <v>1107</v>
      </c>
      <c r="I13" s="421" t="s">
        <v>3091</v>
      </c>
      <c r="J13" s="421" t="s">
        <v>3122</v>
      </c>
      <c r="K13" s="421" t="s">
        <v>3093</v>
      </c>
      <c r="L13" s="421" t="s">
        <v>3094</v>
      </c>
      <c r="M13" s="421" t="s">
        <v>2667</v>
      </c>
      <c r="N13" s="421" t="s">
        <v>3093</v>
      </c>
      <c r="O13" s="421" t="s">
        <v>3094</v>
      </c>
      <c r="P13" s="421" t="s">
        <v>3095</v>
      </c>
      <c r="Q13" s="421" t="s">
        <v>3096</v>
      </c>
      <c r="R13" s="421" t="s">
        <v>1108</v>
      </c>
      <c r="S13" s="421" t="s">
        <v>1542</v>
      </c>
      <c r="T13" s="421" t="s">
        <v>1130</v>
      </c>
      <c r="U13" s="421" t="s">
        <v>1112</v>
      </c>
      <c r="V13" s="421" t="s">
        <v>3097</v>
      </c>
      <c r="W13" s="421" t="s">
        <v>3098</v>
      </c>
      <c r="X13" s="421" t="s">
        <v>3099</v>
      </c>
      <c r="Y13" s="421" t="s">
        <v>1117</v>
      </c>
      <c r="Z13" s="421" t="s">
        <v>1118</v>
      </c>
      <c r="AA13" s="421" t="s">
        <v>3100</v>
      </c>
      <c r="AB13" s="421" t="s">
        <v>3101</v>
      </c>
      <c r="AC13" s="421" t="s">
        <v>3102</v>
      </c>
      <c r="AD13" s="421" t="s">
        <v>3117</v>
      </c>
      <c r="AE13" s="421" t="s">
        <v>3118</v>
      </c>
      <c r="AF13" s="421" t="s">
        <v>2236</v>
      </c>
      <c r="AG13" s="421" t="s">
        <v>2237</v>
      </c>
      <c r="AH13" s="421" t="s">
        <v>3105</v>
      </c>
      <c r="AI13" s="421">
        <v>40000</v>
      </c>
      <c r="AJ13" s="421">
        <v>88.42</v>
      </c>
      <c r="AK13" s="421">
        <v>98.08</v>
      </c>
      <c r="AL13" s="421">
        <v>2</v>
      </c>
      <c r="AM13" s="421" t="s">
        <v>3119</v>
      </c>
      <c r="AN13" s="421" t="s">
        <v>3120</v>
      </c>
      <c r="AO13" s="421" t="s">
        <v>1121</v>
      </c>
      <c r="AP13" s="421" t="s">
        <v>1121</v>
      </c>
      <c r="AQ13" s="421" t="s">
        <v>1542</v>
      </c>
      <c r="AR13" s="421" t="s">
        <v>3107</v>
      </c>
      <c r="AS13" s="421" t="s">
        <v>3123</v>
      </c>
      <c r="AT13" s="421" t="s">
        <v>3109</v>
      </c>
      <c r="AU13" s="421" t="s">
        <v>1142</v>
      </c>
      <c r="AV13" s="421" t="s">
        <v>1547</v>
      </c>
      <c r="AW13" s="421" t="s">
        <v>3110</v>
      </c>
      <c r="AX13" s="421" t="s">
        <v>3111</v>
      </c>
      <c r="AY13" s="421" t="s">
        <v>3112</v>
      </c>
      <c r="AZ13" s="421" t="s">
        <v>3113</v>
      </c>
      <c r="BA13" s="421" t="s">
        <v>3114</v>
      </c>
      <c r="BB13" s="421" t="s">
        <v>3115</v>
      </c>
      <c r="BC13" s="421">
        <v>1780</v>
      </c>
      <c r="BD13" s="421">
        <v>4242398.5999999996</v>
      </c>
      <c r="BE13" s="421">
        <v>0</v>
      </c>
      <c r="BF13" s="421">
        <v>25.11</v>
      </c>
      <c r="BG13" s="421">
        <v>4.51</v>
      </c>
      <c r="BH13" s="421">
        <v>0</v>
      </c>
      <c r="BI13" s="421" t="s">
        <v>1331</v>
      </c>
    </row>
    <row r="14" spans="1:61" x14ac:dyDescent="0.25">
      <c r="A14" s="421">
        <v>11</v>
      </c>
      <c r="B14" s="421">
        <v>2015</v>
      </c>
      <c r="C14" s="421">
        <v>1</v>
      </c>
      <c r="D14" s="421">
        <v>5</v>
      </c>
      <c r="E14" s="421" t="s">
        <v>1475</v>
      </c>
      <c r="F14" s="421" t="s">
        <v>3089</v>
      </c>
      <c r="G14" s="421" t="s">
        <v>3090</v>
      </c>
      <c r="H14" s="421" t="s">
        <v>1107</v>
      </c>
      <c r="I14" s="421" t="s">
        <v>3091</v>
      </c>
      <c r="J14" s="421" t="s">
        <v>3124</v>
      </c>
      <c r="K14" s="421" t="s">
        <v>3093</v>
      </c>
      <c r="L14" s="421" t="s">
        <v>3094</v>
      </c>
      <c r="M14" s="421" t="s">
        <v>2667</v>
      </c>
      <c r="N14" s="421" t="s">
        <v>3093</v>
      </c>
      <c r="O14" s="421" t="s">
        <v>3094</v>
      </c>
      <c r="P14" s="421" t="s">
        <v>3095</v>
      </c>
      <c r="Q14" s="421" t="s">
        <v>3113</v>
      </c>
      <c r="R14" s="421" t="s">
        <v>1108</v>
      </c>
      <c r="S14" s="421" t="s">
        <v>1108</v>
      </c>
      <c r="T14" s="421" t="s">
        <v>1130</v>
      </c>
      <c r="U14" s="421" t="s">
        <v>1112</v>
      </c>
      <c r="V14" s="421" t="s">
        <v>3097</v>
      </c>
      <c r="W14" s="421" t="s">
        <v>3098</v>
      </c>
      <c r="X14" s="421" t="s">
        <v>3099</v>
      </c>
      <c r="Y14" s="421" t="s">
        <v>1117</v>
      </c>
      <c r="Z14" s="421" t="s">
        <v>1118</v>
      </c>
      <c r="AA14" s="421" t="s">
        <v>3100</v>
      </c>
      <c r="AB14" s="421" t="s">
        <v>3101</v>
      </c>
      <c r="AC14" s="421" t="s">
        <v>3102</v>
      </c>
      <c r="AD14" s="421" t="s">
        <v>3125</v>
      </c>
      <c r="AE14" s="421" t="s">
        <v>3126</v>
      </c>
      <c r="AF14" s="421" t="s">
        <v>2236</v>
      </c>
      <c r="AG14" s="421" t="s">
        <v>2237</v>
      </c>
      <c r="AH14" s="421" t="s">
        <v>3105</v>
      </c>
      <c r="AI14" s="421">
        <v>126400</v>
      </c>
      <c r="AJ14" s="421">
        <v>382.39</v>
      </c>
      <c r="AK14" s="421">
        <v>443.73</v>
      </c>
      <c r="AL14" s="421">
        <v>2</v>
      </c>
      <c r="AM14" s="421" t="s">
        <v>962</v>
      </c>
      <c r="AN14" s="421" t="s">
        <v>3127</v>
      </c>
      <c r="AO14" s="421" t="s">
        <v>1121</v>
      </c>
      <c r="AP14" s="421" t="s">
        <v>1121</v>
      </c>
      <c r="AQ14" s="421" t="s">
        <v>1108</v>
      </c>
      <c r="AR14" s="421" t="s">
        <v>3128</v>
      </c>
      <c r="AS14" s="421" t="s">
        <v>3129</v>
      </c>
      <c r="AT14" s="421" t="s">
        <v>3109</v>
      </c>
      <c r="AU14" s="421" t="s">
        <v>1142</v>
      </c>
      <c r="AV14" s="421" t="s">
        <v>3130</v>
      </c>
      <c r="AW14" s="421" t="s">
        <v>3110</v>
      </c>
      <c r="AX14" s="421" t="s">
        <v>3131</v>
      </c>
      <c r="AY14" s="421" t="s">
        <v>3112</v>
      </c>
      <c r="AZ14" s="421" t="s">
        <v>3113</v>
      </c>
      <c r="BA14" s="421" t="s">
        <v>3114</v>
      </c>
      <c r="BB14" s="421" t="s">
        <v>3115</v>
      </c>
      <c r="BC14" s="421">
        <v>5295.6</v>
      </c>
      <c r="BD14" s="421">
        <v>12621374.17</v>
      </c>
      <c r="BE14" s="421">
        <v>0</v>
      </c>
      <c r="BF14" s="421">
        <v>27.14</v>
      </c>
      <c r="BG14" s="421">
        <v>0</v>
      </c>
      <c r="BH14" s="421">
        <v>0</v>
      </c>
      <c r="BI14" s="421" t="s">
        <v>1149</v>
      </c>
    </row>
    <row r="15" spans="1:61" x14ac:dyDescent="0.25">
      <c r="A15" s="421">
        <v>12</v>
      </c>
      <c r="B15" s="421">
        <v>2015</v>
      </c>
      <c r="C15" s="421">
        <v>1</v>
      </c>
      <c r="D15" s="421">
        <v>5</v>
      </c>
      <c r="E15" s="421" t="s">
        <v>1475</v>
      </c>
      <c r="F15" s="421" t="s">
        <v>3089</v>
      </c>
      <c r="G15" s="421" t="s">
        <v>3090</v>
      </c>
      <c r="H15" s="421" t="s">
        <v>1107</v>
      </c>
      <c r="I15" s="421" t="s">
        <v>3091</v>
      </c>
      <c r="J15" s="421" t="s">
        <v>3124</v>
      </c>
      <c r="K15" s="421" t="s">
        <v>3093</v>
      </c>
      <c r="L15" s="421" t="s">
        <v>3094</v>
      </c>
      <c r="M15" s="421" t="s">
        <v>2667</v>
      </c>
      <c r="N15" s="421" t="s">
        <v>3093</v>
      </c>
      <c r="O15" s="421" t="s">
        <v>3094</v>
      </c>
      <c r="P15" s="421" t="s">
        <v>3095</v>
      </c>
      <c r="Q15" s="421" t="s">
        <v>3113</v>
      </c>
      <c r="R15" s="421" t="s">
        <v>1108</v>
      </c>
      <c r="S15" s="421" t="s">
        <v>1108</v>
      </c>
      <c r="T15" s="421" t="s">
        <v>1130</v>
      </c>
      <c r="U15" s="421" t="s">
        <v>1112</v>
      </c>
      <c r="V15" s="421" t="s">
        <v>3097</v>
      </c>
      <c r="W15" s="421" t="s">
        <v>3098</v>
      </c>
      <c r="X15" s="421" t="s">
        <v>3099</v>
      </c>
      <c r="Y15" s="421" t="s">
        <v>1117</v>
      </c>
      <c r="Z15" s="421" t="s">
        <v>1118</v>
      </c>
      <c r="AA15" s="421" t="s">
        <v>3100</v>
      </c>
      <c r="AB15" s="421" t="s">
        <v>3101</v>
      </c>
      <c r="AC15" s="421" t="s">
        <v>3102</v>
      </c>
      <c r="AD15" s="421" t="s">
        <v>3125</v>
      </c>
      <c r="AE15" s="421" t="s">
        <v>3126</v>
      </c>
      <c r="AF15" s="421" t="s">
        <v>2236</v>
      </c>
      <c r="AG15" s="421" t="s">
        <v>2237</v>
      </c>
      <c r="AH15" s="421" t="s">
        <v>3105</v>
      </c>
      <c r="AI15" s="421">
        <v>72000</v>
      </c>
      <c r="AJ15" s="421">
        <v>274.22000000000003</v>
      </c>
      <c r="AK15" s="421">
        <v>318.2</v>
      </c>
      <c r="AL15" s="421">
        <v>3</v>
      </c>
      <c r="AM15" s="421" t="s">
        <v>962</v>
      </c>
      <c r="AN15" s="421" t="s">
        <v>3127</v>
      </c>
      <c r="AO15" s="421" t="s">
        <v>1121</v>
      </c>
      <c r="AP15" s="421" t="s">
        <v>1121</v>
      </c>
      <c r="AQ15" s="421" t="s">
        <v>1108</v>
      </c>
      <c r="AR15" s="421" t="s">
        <v>3128</v>
      </c>
      <c r="AS15" s="421" t="s">
        <v>3129</v>
      </c>
      <c r="AT15" s="421" t="s">
        <v>3109</v>
      </c>
      <c r="AU15" s="421" t="s">
        <v>1142</v>
      </c>
      <c r="AV15" s="421" t="s">
        <v>3130</v>
      </c>
      <c r="AW15" s="421" t="s">
        <v>3110</v>
      </c>
      <c r="AX15" s="421" t="s">
        <v>3131</v>
      </c>
      <c r="AY15" s="421" t="s">
        <v>3112</v>
      </c>
      <c r="AZ15" s="421" t="s">
        <v>3113</v>
      </c>
      <c r="BA15" s="421" t="s">
        <v>3114</v>
      </c>
      <c r="BB15" s="421" t="s">
        <v>3115</v>
      </c>
      <c r="BC15" s="421">
        <v>7533.6</v>
      </c>
      <c r="BD15" s="421">
        <v>17955356.23</v>
      </c>
      <c r="BE15" s="421">
        <v>0</v>
      </c>
      <c r="BF15" s="421">
        <v>38.61</v>
      </c>
      <c r="BG15" s="421">
        <v>0</v>
      </c>
      <c r="BH15" s="421">
        <v>0</v>
      </c>
      <c r="BI15" s="421" t="s">
        <v>1149</v>
      </c>
    </row>
    <row r="16" spans="1:61" x14ac:dyDescent="0.25">
      <c r="A16" s="421">
        <v>13</v>
      </c>
      <c r="B16" s="421">
        <v>2015</v>
      </c>
      <c r="C16" s="421">
        <v>1</v>
      </c>
      <c r="D16" s="421">
        <v>5</v>
      </c>
      <c r="E16" s="421" t="s">
        <v>1475</v>
      </c>
      <c r="F16" s="421" t="s">
        <v>3089</v>
      </c>
      <c r="G16" s="421" t="s">
        <v>3090</v>
      </c>
      <c r="H16" s="421" t="s">
        <v>1107</v>
      </c>
      <c r="I16" s="421" t="s">
        <v>3091</v>
      </c>
      <c r="J16" s="421" t="s">
        <v>3124</v>
      </c>
      <c r="K16" s="421" t="s">
        <v>3093</v>
      </c>
      <c r="L16" s="421" t="s">
        <v>3094</v>
      </c>
      <c r="M16" s="421" t="s">
        <v>2667</v>
      </c>
      <c r="N16" s="421" t="s">
        <v>3093</v>
      </c>
      <c r="O16" s="421" t="s">
        <v>3094</v>
      </c>
      <c r="P16" s="421" t="s">
        <v>3095</v>
      </c>
      <c r="Q16" s="421" t="s">
        <v>3113</v>
      </c>
      <c r="R16" s="421" t="s">
        <v>1108</v>
      </c>
      <c r="S16" s="421" t="s">
        <v>1108</v>
      </c>
      <c r="T16" s="421" t="s">
        <v>1130</v>
      </c>
      <c r="U16" s="421" t="s">
        <v>1112</v>
      </c>
      <c r="V16" s="421" t="s">
        <v>3097</v>
      </c>
      <c r="W16" s="421" t="s">
        <v>3098</v>
      </c>
      <c r="X16" s="421" t="s">
        <v>3099</v>
      </c>
      <c r="Y16" s="421" t="s">
        <v>1117</v>
      </c>
      <c r="Z16" s="421" t="s">
        <v>1118</v>
      </c>
      <c r="AA16" s="421" t="s">
        <v>3100</v>
      </c>
      <c r="AB16" s="421" t="s">
        <v>3101</v>
      </c>
      <c r="AC16" s="421" t="s">
        <v>3102</v>
      </c>
      <c r="AD16" s="421" t="s">
        <v>3125</v>
      </c>
      <c r="AE16" s="421" t="s">
        <v>3126</v>
      </c>
      <c r="AF16" s="421" t="s">
        <v>2236</v>
      </c>
      <c r="AG16" s="421" t="s">
        <v>2237</v>
      </c>
      <c r="AH16" s="421" t="s">
        <v>3105</v>
      </c>
      <c r="AI16" s="421">
        <v>12000</v>
      </c>
      <c r="AJ16" s="421">
        <v>48.45</v>
      </c>
      <c r="AK16" s="421">
        <v>56.22</v>
      </c>
      <c r="AL16" s="421">
        <v>4</v>
      </c>
      <c r="AM16" s="421" t="s">
        <v>962</v>
      </c>
      <c r="AN16" s="421" t="s">
        <v>3127</v>
      </c>
      <c r="AO16" s="421" t="s">
        <v>1121</v>
      </c>
      <c r="AP16" s="421" t="s">
        <v>1121</v>
      </c>
      <c r="AQ16" s="421" t="s">
        <v>1108</v>
      </c>
      <c r="AR16" s="421" t="s">
        <v>3128</v>
      </c>
      <c r="AS16" s="421" t="s">
        <v>3129</v>
      </c>
      <c r="AT16" s="421" t="s">
        <v>3109</v>
      </c>
      <c r="AU16" s="421" t="s">
        <v>1142</v>
      </c>
      <c r="AV16" s="421" t="s">
        <v>3130</v>
      </c>
      <c r="AW16" s="421" t="s">
        <v>3110</v>
      </c>
      <c r="AX16" s="421" t="s">
        <v>3131</v>
      </c>
      <c r="AY16" s="421" t="s">
        <v>3112</v>
      </c>
      <c r="AZ16" s="421" t="s">
        <v>3113</v>
      </c>
      <c r="BA16" s="421" t="s">
        <v>3114</v>
      </c>
      <c r="BB16" s="421" t="s">
        <v>3115</v>
      </c>
      <c r="BC16" s="421">
        <v>1334.4</v>
      </c>
      <c r="BD16" s="421">
        <v>3180368.93</v>
      </c>
      <c r="BE16" s="421">
        <v>0</v>
      </c>
      <c r="BF16" s="421">
        <v>6.84</v>
      </c>
      <c r="BG16" s="421">
        <v>0</v>
      </c>
      <c r="BH16" s="421">
        <v>0</v>
      </c>
      <c r="BI16" s="421" t="s">
        <v>1149</v>
      </c>
    </row>
    <row r="17" spans="1:61" x14ac:dyDescent="0.25">
      <c r="A17" s="421">
        <v>14</v>
      </c>
      <c r="B17" s="421">
        <v>2015</v>
      </c>
      <c r="C17" s="421">
        <v>1</v>
      </c>
      <c r="D17" s="421">
        <v>5</v>
      </c>
      <c r="E17" s="421" t="s">
        <v>1475</v>
      </c>
      <c r="F17" s="421" t="s">
        <v>3089</v>
      </c>
      <c r="G17" s="421" t="s">
        <v>3090</v>
      </c>
      <c r="H17" s="421" t="s">
        <v>1107</v>
      </c>
      <c r="I17" s="421" t="s">
        <v>3091</v>
      </c>
      <c r="J17" s="421" t="s">
        <v>3124</v>
      </c>
      <c r="K17" s="421" t="s">
        <v>3093</v>
      </c>
      <c r="L17" s="421" t="s">
        <v>3094</v>
      </c>
      <c r="M17" s="421" t="s">
        <v>2667</v>
      </c>
      <c r="N17" s="421" t="s">
        <v>3093</v>
      </c>
      <c r="O17" s="421" t="s">
        <v>3094</v>
      </c>
      <c r="P17" s="421" t="s">
        <v>3095</v>
      </c>
      <c r="Q17" s="421" t="s">
        <v>3113</v>
      </c>
      <c r="R17" s="421" t="s">
        <v>1108</v>
      </c>
      <c r="S17" s="421" t="s">
        <v>1108</v>
      </c>
      <c r="T17" s="421" t="s">
        <v>1130</v>
      </c>
      <c r="U17" s="421" t="s">
        <v>1112</v>
      </c>
      <c r="V17" s="421" t="s">
        <v>3097</v>
      </c>
      <c r="W17" s="421" t="s">
        <v>3098</v>
      </c>
      <c r="X17" s="421" t="s">
        <v>3099</v>
      </c>
      <c r="Y17" s="421" t="s">
        <v>1117</v>
      </c>
      <c r="Z17" s="421" t="s">
        <v>1118</v>
      </c>
      <c r="AA17" s="421" t="s">
        <v>3100</v>
      </c>
      <c r="AB17" s="421" t="s">
        <v>3101</v>
      </c>
      <c r="AC17" s="421" t="s">
        <v>3102</v>
      </c>
      <c r="AD17" s="421" t="s">
        <v>3125</v>
      </c>
      <c r="AE17" s="421" t="s">
        <v>3126</v>
      </c>
      <c r="AF17" s="421" t="s">
        <v>2236</v>
      </c>
      <c r="AG17" s="421" t="s">
        <v>2237</v>
      </c>
      <c r="AH17" s="421" t="s">
        <v>3105</v>
      </c>
      <c r="AI17" s="421">
        <v>514040</v>
      </c>
      <c r="AJ17" s="421">
        <v>1495.75</v>
      </c>
      <c r="AK17" s="421">
        <v>1735.67</v>
      </c>
      <c r="AL17" s="421">
        <v>1</v>
      </c>
      <c r="AM17" s="421" t="s">
        <v>962</v>
      </c>
      <c r="AN17" s="421" t="s">
        <v>3127</v>
      </c>
      <c r="AO17" s="421" t="s">
        <v>1121</v>
      </c>
      <c r="AP17" s="421" t="s">
        <v>1121</v>
      </c>
      <c r="AQ17" s="421" t="s">
        <v>1108</v>
      </c>
      <c r="AR17" s="421" t="s">
        <v>3128</v>
      </c>
      <c r="AS17" s="421" t="s">
        <v>3129</v>
      </c>
      <c r="AT17" s="421" t="s">
        <v>3109</v>
      </c>
      <c r="AU17" s="421" t="s">
        <v>1142</v>
      </c>
      <c r="AV17" s="421" t="s">
        <v>3130</v>
      </c>
      <c r="AW17" s="421" t="s">
        <v>3110</v>
      </c>
      <c r="AX17" s="421" t="s">
        <v>3131</v>
      </c>
      <c r="AY17" s="421" t="s">
        <v>3112</v>
      </c>
      <c r="AZ17" s="421" t="s">
        <v>3113</v>
      </c>
      <c r="BA17" s="421" t="s">
        <v>3114</v>
      </c>
      <c r="BB17" s="421" t="s">
        <v>3115</v>
      </c>
      <c r="BC17" s="421">
        <v>19005.599999999999</v>
      </c>
      <c r="BD17" s="421">
        <v>45297376.869999997</v>
      </c>
      <c r="BE17" s="421">
        <v>0</v>
      </c>
      <c r="BF17" s="421">
        <v>97.41</v>
      </c>
      <c r="BG17" s="421">
        <v>0</v>
      </c>
      <c r="BH17" s="421">
        <v>0</v>
      </c>
      <c r="BI17" s="421" t="s">
        <v>1149</v>
      </c>
    </row>
    <row r="18" spans="1:61" x14ac:dyDescent="0.25">
      <c r="A18" s="421">
        <v>15</v>
      </c>
      <c r="B18" s="421">
        <v>2015</v>
      </c>
      <c r="C18" s="421">
        <v>1</v>
      </c>
      <c r="D18" s="421">
        <v>9</v>
      </c>
      <c r="E18" s="421" t="s">
        <v>1475</v>
      </c>
      <c r="F18" s="421" t="s">
        <v>3089</v>
      </c>
      <c r="G18" s="421" t="s">
        <v>3132</v>
      </c>
      <c r="H18" s="421" t="s">
        <v>1107</v>
      </c>
      <c r="I18" s="421" t="s">
        <v>1228</v>
      </c>
      <c r="J18" s="421" t="s">
        <v>3133</v>
      </c>
      <c r="K18" s="421" t="s">
        <v>3093</v>
      </c>
      <c r="L18" s="421" t="s">
        <v>3094</v>
      </c>
      <c r="M18" s="421" t="s">
        <v>2667</v>
      </c>
      <c r="N18" s="421" t="s">
        <v>3093</v>
      </c>
      <c r="O18" s="421" t="s">
        <v>3094</v>
      </c>
      <c r="P18" s="421" t="s">
        <v>3095</v>
      </c>
      <c r="Q18" s="421" t="s">
        <v>3113</v>
      </c>
      <c r="R18" s="421" t="s">
        <v>1542</v>
      </c>
      <c r="S18" s="421" t="s">
        <v>1542</v>
      </c>
      <c r="T18" s="421" t="s">
        <v>1130</v>
      </c>
      <c r="U18" s="421" t="s">
        <v>1112</v>
      </c>
      <c r="V18" s="421" t="s">
        <v>3097</v>
      </c>
      <c r="W18" s="421" t="s">
        <v>3098</v>
      </c>
      <c r="X18" s="421" t="s">
        <v>3099</v>
      </c>
      <c r="Y18" s="421" t="s">
        <v>1117</v>
      </c>
      <c r="Z18" s="421" t="s">
        <v>1118</v>
      </c>
      <c r="AA18" s="421" t="s">
        <v>3100</v>
      </c>
      <c r="AB18" s="421" t="s">
        <v>3101</v>
      </c>
      <c r="AC18" s="421" t="s">
        <v>3102</v>
      </c>
      <c r="AD18" s="421" t="s">
        <v>3134</v>
      </c>
      <c r="AE18" s="421" t="s">
        <v>3135</v>
      </c>
      <c r="AF18" s="421" t="s">
        <v>2236</v>
      </c>
      <c r="AG18" s="421" t="s">
        <v>2237</v>
      </c>
      <c r="AH18" s="421" t="s">
        <v>3105</v>
      </c>
      <c r="AI18" s="421">
        <v>827460</v>
      </c>
      <c r="AJ18" s="421">
        <v>1572.27</v>
      </c>
      <c r="AK18" s="421">
        <v>1710.72</v>
      </c>
      <c r="AL18" s="421">
        <v>1</v>
      </c>
      <c r="AM18" s="421" t="s">
        <v>3136</v>
      </c>
      <c r="AN18" s="421" t="s">
        <v>3137</v>
      </c>
      <c r="AO18" s="421" t="s">
        <v>1121</v>
      </c>
      <c r="AP18" s="421" t="s">
        <v>1121</v>
      </c>
      <c r="AQ18" s="421" t="s">
        <v>1542</v>
      </c>
      <c r="AR18" s="421" t="s">
        <v>3128</v>
      </c>
      <c r="AS18" s="421" t="s">
        <v>3138</v>
      </c>
      <c r="AT18" s="421" t="s">
        <v>3109</v>
      </c>
      <c r="AU18" s="421" t="s">
        <v>1142</v>
      </c>
      <c r="AV18" s="421" t="s">
        <v>3139</v>
      </c>
      <c r="AW18" s="421" t="s">
        <v>3110</v>
      </c>
      <c r="AX18" s="421" t="s">
        <v>3111</v>
      </c>
      <c r="AY18" s="421" t="s">
        <v>3112</v>
      </c>
      <c r="AZ18" s="421" t="s">
        <v>3113</v>
      </c>
      <c r="BA18" s="421" t="s">
        <v>3114</v>
      </c>
      <c r="BB18" s="421" t="s">
        <v>3115</v>
      </c>
      <c r="BC18" s="421">
        <v>25783.7</v>
      </c>
      <c r="BD18" s="421">
        <v>62010572.009999998</v>
      </c>
      <c r="BE18" s="421">
        <v>0</v>
      </c>
      <c r="BF18" s="421">
        <v>0</v>
      </c>
      <c r="BG18" s="421">
        <v>0</v>
      </c>
      <c r="BH18" s="421">
        <v>0</v>
      </c>
      <c r="BI18" s="421" t="s">
        <v>1149</v>
      </c>
    </row>
    <row r="19" spans="1:61" x14ac:dyDescent="0.25">
      <c r="A19" s="421">
        <v>16</v>
      </c>
      <c r="B19" s="421">
        <v>2015</v>
      </c>
      <c r="C19" s="421">
        <v>1</v>
      </c>
      <c r="D19" s="421">
        <v>9</v>
      </c>
      <c r="E19" s="421" t="s">
        <v>1475</v>
      </c>
      <c r="F19" s="421" t="s">
        <v>3089</v>
      </c>
      <c r="G19" s="421" t="s">
        <v>3132</v>
      </c>
      <c r="H19" s="421" t="s">
        <v>1107</v>
      </c>
      <c r="I19" s="421" t="s">
        <v>1228</v>
      </c>
      <c r="J19" s="421" t="s">
        <v>3133</v>
      </c>
      <c r="K19" s="421" t="s">
        <v>3093</v>
      </c>
      <c r="L19" s="421" t="s">
        <v>3094</v>
      </c>
      <c r="M19" s="421" t="s">
        <v>2667</v>
      </c>
      <c r="N19" s="421" t="s">
        <v>3093</v>
      </c>
      <c r="O19" s="421" t="s">
        <v>3094</v>
      </c>
      <c r="P19" s="421" t="s">
        <v>3095</v>
      </c>
      <c r="Q19" s="421" t="s">
        <v>3113</v>
      </c>
      <c r="R19" s="421" t="s">
        <v>1542</v>
      </c>
      <c r="S19" s="421" t="s">
        <v>1542</v>
      </c>
      <c r="T19" s="421" t="s">
        <v>1130</v>
      </c>
      <c r="U19" s="421" t="s">
        <v>1112</v>
      </c>
      <c r="V19" s="421" t="s">
        <v>3097</v>
      </c>
      <c r="W19" s="421" t="s">
        <v>3098</v>
      </c>
      <c r="X19" s="421" t="s">
        <v>3099</v>
      </c>
      <c r="Y19" s="421" t="s">
        <v>1117</v>
      </c>
      <c r="Z19" s="421" t="s">
        <v>1118</v>
      </c>
      <c r="AA19" s="421" t="s">
        <v>3100</v>
      </c>
      <c r="AB19" s="421" t="s">
        <v>3101</v>
      </c>
      <c r="AC19" s="421" t="s">
        <v>3102</v>
      </c>
      <c r="AD19" s="421" t="s">
        <v>3134</v>
      </c>
      <c r="AE19" s="421" t="s">
        <v>3135</v>
      </c>
      <c r="AF19" s="421" t="s">
        <v>2236</v>
      </c>
      <c r="AG19" s="421" t="s">
        <v>2237</v>
      </c>
      <c r="AH19" s="421" t="s">
        <v>3105</v>
      </c>
      <c r="AI19" s="421">
        <v>53400</v>
      </c>
      <c r="AJ19" s="421">
        <v>101.6</v>
      </c>
      <c r="AK19" s="421">
        <v>110.55</v>
      </c>
      <c r="AL19" s="421">
        <v>2</v>
      </c>
      <c r="AM19" s="421" t="s">
        <v>3136</v>
      </c>
      <c r="AN19" s="421" t="s">
        <v>3137</v>
      </c>
      <c r="AO19" s="421" t="s">
        <v>1121</v>
      </c>
      <c r="AP19" s="421" t="s">
        <v>1121</v>
      </c>
      <c r="AQ19" s="421" t="s">
        <v>1542</v>
      </c>
      <c r="AR19" s="421" t="s">
        <v>3128</v>
      </c>
      <c r="AS19" s="421" t="s">
        <v>3138</v>
      </c>
      <c r="AT19" s="421" t="s">
        <v>3109</v>
      </c>
      <c r="AU19" s="421" t="s">
        <v>1142</v>
      </c>
      <c r="AV19" s="421" t="s">
        <v>3139</v>
      </c>
      <c r="AW19" s="421" t="s">
        <v>3110</v>
      </c>
      <c r="AX19" s="421" t="s">
        <v>3111</v>
      </c>
      <c r="AY19" s="421" t="s">
        <v>3112</v>
      </c>
      <c r="AZ19" s="421" t="s">
        <v>3113</v>
      </c>
      <c r="BA19" s="421" t="s">
        <v>3114</v>
      </c>
      <c r="BB19" s="421" t="s">
        <v>3115</v>
      </c>
      <c r="BC19" s="421">
        <v>1990.5</v>
      </c>
      <c r="BD19" s="421">
        <v>4787212.22</v>
      </c>
      <c r="BE19" s="421">
        <v>0</v>
      </c>
      <c r="BF19" s="421">
        <v>0</v>
      </c>
      <c r="BG19" s="421">
        <v>0</v>
      </c>
      <c r="BH19" s="421">
        <v>0</v>
      </c>
      <c r="BI19" s="421" t="s">
        <v>1149</v>
      </c>
    </row>
    <row r="20" spans="1:61" x14ac:dyDescent="0.25">
      <c r="A20" s="421">
        <v>17</v>
      </c>
      <c r="B20" s="421">
        <v>2015</v>
      </c>
      <c r="C20" s="421">
        <v>1</v>
      </c>
      <c r="D20" s="421">
        <v>9</v>
      </c>
      <c r="E20" s="421" t="s">
        <v>1475</v>
      </c>
      <c r="F20" s="421" t="s">
        <v>3089</v>
      </c>
      <c r="G20" s="421" t="s">
        <v>3132</v>
      </c>
      <c r="H20" s="421" t="s">
        <v>1107</v>
      </c>
      <c r="I20" s="421" t="s">
        <v>1228</v>
      </c>
      <c r="J20" s="421" t="s">
        <v>3133</v>
      </c>
      <c r="K20" s="421" t="s">
        <v>3093</v>
      </c>
      <c r="L20" s="421" t="s">
        <v>3094</v>
      </c>
      <c r="M20" s="421" t="s">
        <v>2667</v>
      </c>
      <c r="N20" s="421" t="s">
        <v>3093</v>
      </c>
      <c r="O20" s="421" t="s">
        <v>3094</v>
      </c>
      <c r="P20" s="421" t="s">
        <v>3095</v>
      </c>
      <c r="Q20" s="421" t="s">
        <v>3113</v>
      </c>
      <c r="R20" s="421" t="s">
        <v>1542</v>
      </c>
      <c r="S20" s="421" t="s">
        <v>1542</v>
      </c>
      <c r="T20" s="421" t="s">
        <v>1130</v>
      </c>
      <c r="U20" s="421" t="s">
        <v>1112</v>
      </c>
      <c r="V20" s="421" t="s">
        <v>3097</v>
      </c>
      <c r="W20" s="421" t="s">
        <v>3098</v>
      </c>
      <c r="X20" s="421" t="s">
        <v>3099</v>
      </c>
      <c r="Y20" s="421" t="s">
        <v>1117</v>
      </c>
      <c r="Z20" s="421" t="s">
        <v>1118</v>
      </c>
      <c r="AA20" s="421" t="s">
        <v>3100</v>
      </c>
      <c r="AB20" s="421" t="s">
        <v>3101</v>
      </c>
      <c r="AC20" s="421" t="s">
        <v>3102</v>
      </c>
      <c r="AD20" s="421" t="s">
        <v>3134</v>
      </c>
      <c r="AE20" s="421" t="s">
        <v>3135</v>
      </c>
      <c r="AF20" s="421" t="s">
        <v>2236</v>
      </c>
      <c r="AG20" s="421" t="s">
        <v>2237</v>
      </c>
      <c r="AH20" s="421" t="s">
        <v>3105</v>
      </c>
      <c r="AI20" s="421">
        <v>94010</v>
      </c>
      <c r="AJ20" s="421">
        <v>394.67</v>
      </c>
      <c r="AK20" s="421">
        <v>429.42</v>
      </c>
      <c r="AL20" s="421">
        <v>3</v>
      </c>
      <c r="AM20" s="421" t="s">
        <v>3136</v>
      </c>
      <c r="AN20" s="421" t="s">
        <v>3137</v>
      </c>
      <c r="AO20" s="421" t="s">
        <v>1121</v>
      </c>
      <c r="AP20" s="421" t="s">
        <v>1121</v>
      </c>
      <c r="AQ20" s="421" t="s">
        <v>1542</v>
      </c>
      <c r="AR20" s="421" t="s">
        <v>3128</v>
      </c>
      <c r="AS20" s="421" t="s">
        <v>3138</v>
      </c>
      <c r="AT20" s="421" t="s">
        <v>3109</v>
      </c>
      <c r="AU20" s="421" t="s">
        <v>1142</v>
      </c>
      <c r="AV20" s="421" t="s">
        <v>3139</v>
      </c>
      <c r="AW20" s="421" t="s">
        <v>3110</v>
      </c>
      <c r="AX20" s="421" t="s">
        <v>3111</v>
      </c>
      <c r="AY20" s="421" t="s">
        <v>3112</v>
      </c>
      <c r="AZ20" s="421" t="s">
        <v>3113</v>
      </c>
      <c r="BA20" s="421" t="s">
        <v>3114</v>
      </c>
      <c r="BB20" s="421" t="s">
        <v>3115</v>
      </c>
      <c r="BC20" s="421">
        <v>10096</v>
      </c>
      <c r="BD20" s="421">
        <v>24281182.879999999</v>
      </c>
      <c r="BE20" s="421">
        <v>0</v>
      </c>
      <c r="BF20" s="421">
        <v>0</v>
      </c>
      <c r="BG20" s="421">
        <v>0</v>
      </c>
      <c r="BH20" s="421">
        <v>0</v>
      </c>
      <c r="BI20" s="421" t="s">
        <v>1149</v>
      </c>
    </row>
    <row r="21" spans="1:61" x14ac:dyDescent="0.25">
      <c r="A21" s="421">
        <v>18</v>
      </c>
      <c r="B21" s="421">
        <v>2015</v>
      </c>
      <c r="C21" s="421">
        <v>1</v>
      </c>
      <c r="D21" s="421">
        <v>9</v>
      </c>
      <c r="E21" s="421" t="s">
        <v>1475</v>
      </c>
      <c r="F21" s="421" t="s">
        <v>3089</v>
      </c>
      <c r="G21" s="421" t="s">
        <v>3132</v>
      </c>
      <c r="H21" s="421" t="s">
        <v>1107</v>
      </c>
      <c r="I21" s="421" t="s">
        <v>1228</v>
      </c>
      <c r="J21" s="421" t="s">
        <v>3133</v>
      </c>
      <c r="K21" s="421" t="s">
        <v>3093</v>
      </c>
      <c r="L21" s="421" t="s">
        <v>3094</v>
      </c>
      <c r="M21" s="421" t="s">
        <v>2667</v>
      </c>
      <c r="N21" s="421" t="s">
        <v>3093</v>
      </c>
      <c r="O21" s="421" t="s">
        <v>3094</v>
      </c>
      <c r="P21" s="421" t="s">
        <v>3095</v>
      </c>
      <c r="Q21" s="421" t="s">
        <v>3113</v>
      </c>
      <c r="R21" s="421" t="s">
        <v>1542</v>
      </c>
      <c r="S21" s="421" t="s">
        <v>1542</v>
      </c>
      <c r="T21" s="421" t="s">
        <v>1130</v>
      </c>
      <c r="U21" s="421" t="s">
        <v>1112</v>
      </c>
      <c r="V21" s="421" t="s">
        <v>3097</v>
      </c>
      <c r="W21" s="421" t="s">
        <v>3098</v>
      </c>
      <c r="X21" s="421" t="s">
        <v>3099</v>
      </c>
      <c r="Y21" s="421" t="s">
        <v>1117</v>
      </c>
      <c r="Z21" s="421" t="s">
        <v>1118</v>
      </c>
      <c r="AA21" s="421" t="s">
        <v>3100</v>
      </c>
      <c r="AB21" s="421" t="s">
        <v>3101</v>
      </c>
      <c r="AC21" s="421" t="s">
        <v>3102</v>
      </c>
      <c r="AD21" s="421" t="s">
        <v>3134</v>
      </c>
      <c r="AE21" s="421" t="s">
        <v>3135</v>
      </c>
      <c r="AF21" s="421" t="s">
        <v>2236</v>
      </c>
      <c r="AG21" s="421" t="s">
        <v>2237</v>
      </c>
      <c r="AH21" s="421" t="s">
        <v>3105</v>
      </c>
      <c r="AI21" s="421">
        <v>6480</v>
      </c>
      <c r="AJ21" s="421">
        <v>11.97</v>
      </c>
      <c r="AK21" s="421">
        <v>13.02</v>
      </c>
      <c r="AL21" s="421">
        <v>4</v>
      </c>
      <c r="AM21" s="421" t="s">
        <v>3136</v>
      </c>
      <c r="AN21" s="421" t="s">
        <v>3137</v>
      </c>
      <c r="AO21" s="421" t="s">
        <v>1121</v>
      </c>
      <c r="AP21" s="421" t="s">
        <v>1121</v>
      </c>
      <c r="AQ21" s="421" t="s">
        <v>1542</v>
      </c>
      <c r="AR21" s="421" t="s">
        <v>3128</v>
      </c>
      <c r="AS21" s="421" t="s">
        <v>3138</v>
      </c>
      <c r="AT21" s="421" t="s">
        <v>3109</v>
      </c>
      <c r="AU21" s="421" t="s">
        <v>1142</v>
      </c>
      <c r="AV21" s="421" t="s">
        <v>3139</v>
      </c>
      <c r="AW21" s="421" t="s">
        <v>3110</v>
      </c>
      <c r="AX21" s="421" t="s">
        <v>3111</v>
      </c>
      <c r="AY21" s="421" t="s">
        <v>3112</v>
      </c>
      <c r="AZ21" s="421" t="s">
        <v>3113</v>
      </c>
      <c r="BA21" s="421" t="s">
        <v>3114</v>
      </c>
      <c r="BB21" s="421" t="s">
        <v>3115</v>
      </c>
      <c r="BC21" s="421">
        <v>804</v>
      </c>
      <c r="BD21" s="421">
        <v>1933644.12</v>
      </c>
      <c r="BE21" s="421">
        <v>0</v>
      </c>
      <c r="BF21" s="421">
        <v>0</v>
      </c>
      <c r="BG21" s="421">
        <v>0</v>
      </c>
      <c r="BH21" s="421">
        <v>0</v>
      </c>
      <c r="BI21" s="421" t="s">
        <v>1149</v>
      </c>
    </row>
    <row r="22" spans="1:61" x14ac:dyDescent="0.25">
      <c r="A22" s="421">
        <v>19</v>
      </c>
      <c r="B22" s="421">
        <v>2015</v>
      </c>
      <c r="C22" s="421">
        <v>1</v>
      </c>
      <c r="D22" s="421">
        <v>9</v>
      </c>
      <c r="E22" s="421" t="s">
        <v>1475</v>
      </c>
      <c r="F22" s="421" t="s">
        <v>3089</v>
      </c>
      <c r="G22" s="421" t="s">
        <v>3132</v>
      </c>
      <c r="H22" s="421" t="s">
        <v>1107</v>
      </c>
      <c r="I22" s="421" t="s">
        <v>1228</v>
      </c>
      <c r="J22" s="421" t="s">
        <v>3140</v>
      </c>
      <c r="K22" s="421" t="s">
        <v>3093</v>
      </c>
      <c r="L22" s="421" t="s">
        <v>3094</v>
      </c>
      <c r="M22" s="421" t="s">
        <v>2667</v>
      </c>
      <c r="N22" s="421" t="s">
        <v>3093</v>
      </c>
      <c r="O22" s="421" t="s">
        <v>3094</v>
      </c>
      <c r="P22" s="421" t="s">
        <v>3095</v>
      </c>
      <c r="Q22" s="421" t="s">
        <v>3113</v>
      </c>
      <c r="R22" s="421" t="s">
        <v>1542</v>
      </c>
      <c r="S22" s="421" t="s">
        <v>1542</v>
      </c>
      <c r="T22" s="421" t="s">
        <v>1130</v>
      </c>
      <c r="U22" s="421" t="s">
        <v>1112</v>
      </c>
      <c r="V22" s="421" t="s">
        <v>3097</v>
      </c>
      <c r="W22" s="421" t="s">
        <v>3098</v>
      </c>
      <c r="X22" s="421" t="s">
        <v>3099</v>
      </c>
      <c r="Y22" s="421" t="s">
        <v>1117</v>
      </c>
      <c r="Z22" s="421" t="s">
        <v>1118</v>
      </c>
      <c r="AA22" s="421" t="s">
        <v>3100</v>
      </c>
      <c r="AB22" s="421" t="s">
        <v>3101</v>
      </c>
      <c r="AC22" s="421" t="s">
        <v>3102</v>
      </c>
      <c r="AD22" s="421" t="s">
        <v>3134</v>
      </c>
      <c r="AE22" s="421" t="s">
        <v>3135</v>
      </c>
      <c r="AF22" s="421" t="s">
        <v>1387</v>
      </c>
      <c r="AG22" s="421" t="s">
        <v>1388</v>
      </c>
      <c r="AH22" s="421" t="s">
        <v>3105</v>
      </c>
      <c r="AI22" s="421">
        <v>2502</v>
      </c>
      <c r="AJ22" s="421">
        <v>273.77999999999997</v>
      </c>
      <c r="AK22" s="421">
        <v>320.27999999999997</v>
      </c>
      <c r="AL22" s="421">
        <v>1</v>
      </c>
      <c r="AM22" s="421" t="s">
        <v>3136</v>
      </c>
      <c r="AN22" s="421" t="s">
        <v>3137</v>
      </c>
      <c r="AO22" s="421" t="s">
        <v>1121</v>
      </c>
      <c r="AP22" s="421" t="s">
        <v>1121</v>
      </c>
      <c r="AQ22" s="421" t="s">
        <v>1542</v>
      </c>
      <c r="AR22" s="421" t="s">
        <v>3128</v>
      </c>
      <c r="AS22" s="421" t="s">
        <v>3141</v>
      </c>
      <c r="AT22" s="421" t="s">
        <v>3109</v>
      </c>
      <c r="AU22" s="421" t="s">
        <v>1142</v>
      </c>
      <c r="AV22" s="421" t="s">
        <v>3139</v>
      </c>
      <c r="AW22" s="421" t="s">
        <v>3110</v>
      </c>
      <c r="AX22" s="421" t="s">
        <v>3111</v>
      </c>
      <c r="AY22" s="421" t="s">
        <v>3112</v>
      </c>
      <c r="AZ22" s="421" t="s">
        <v>3113</v>
      </c>
      <c r="BA22" s="421" t="s">
        <v>3114</v>
      </c>
      <c r="BB22" s="421" t="s">
        <v>3115</v>
      </c>
      <c r="BC22" s="421">
        <v>2947.3</v>
      </c>
      <c r="BD22" s="421">
        <v>7088344.9199999999</v>
      </c>
      <c r="BE22" s="421">
        <v>0</v>
      </c>
      <c r="BF22" s="421">
        <v>0</v>
      </c>
      <c r="BG22" s="421">
        <v>0</v>
      </c>
      <c r="BH22" s="421">
        <v>0</v>
      </c>
      <c r="BI22" s="421" t="s">
        <v>1149</v>
      </c>
    </row>
    <row r="23" spans="1:61" x14ac:dyDescent="0.25">
      <c r="A23" s="421">
        <v>20</v>
      </c>
      <c r="B23" s="421">
        <v>2015</v>
      </c>
      <c r="C23" s="421">
        <v>1</v>
      </c>
      <c r="D23" s="421">
        <v>13</v>
      </c>
      <c r="E23" s="421" t="s">
        <v>1475</v>
      </c>
      <c r="F23" s="421" t="s">
        <v>3089</v>
      </c>
      <c r="G23" s="421" t="s">
        <v>3142</v>
      </c>
      <c r="H23" s="421" t="s">
        <v>1107</v>
      </c>
      <c r="I23" s="421" t="s">
        <v>1297</v>
      </c>
      <c r="J23" s="421" t="s">
        <v>3143</v>
      </c>
      <c r="K23" s="421" t="s">
        <v>3093</v>
      </c>
      <c r="L23" s="421" t="s">
        <v>3094</v>
      </c>
      <c r="M23" s="421" t="s">
        <v>2667</v>
      </c>
      <c r="N23" s="421" t="s">
        <v>3093</v>
      </c>
      <c r="O23" s="421" t="s">
        <v>3094</v>
      </c>
      <c r="P23" s="421" t="s">
        <v>3095</v>
      </c>
      <c r="Q23" s="421" t="s">
        <v>3096</v>
      </c>
      <c r="R23" s="421" t="s">
        <v>1108</v>
      </c>
      <c r="S23" s="421" t="s">
        <v>1476</v>
      </c>
      <c r="T23" s="421" t="s">
        <v>1130</v>
      </c>
      <c r="U23" s="421" t="s">
        <v>3144</v>
      </c>
      <c r="V23" s="421" t="s">
        <v>3145</v>
      </c>
      <c r="W23" s="421" t="s">
        <v>3098</v>
      </c>
      <c r="X23" s="421" t="s">
        <v>3099</v>
      </c>
      <c r="Y23" s="421" t="s">
        <v>1117</v>
      </c>
      <c r="Z23" s="421" t="s">
        <v>1118</v>
      </c>
      <c r="AA23" s="421" t="s">
        <v>3100</v>
      </c>
      <c r="AB23" s="421" t="s">
        <v>3146</v>
      </c>
      <c r="AC23" s="421" t="s">
        <v>3102</v>
      </c>
      <c r="AD23" s="421" t="s">
        <v>3125</v>
      </c>
      <c r="AE23" s="421" t="s">
        <v>3147</v>
      </c>
      <c r="AF23" s="421" t="s">
        <v>2236</v>
      </c>
      <c r="AG23" s="421" t="s">
        <v>2237</v>
      </c>
      <c r="AH23" s="421" t="s">
        <v>3105</v>
      </c>
      <c r="AI23" s="421">
        <v>95280</v>
      </c>
      <c r="AJ23" s="421">
        <v>323.43</v>
      </c>
      <c r="AK23" s="421">
        <v>369</v>
      </c>
      <c r="AL23" s="421">
        <v>1</v>
      </c>
      <c r="AM23" s="421" t="s">
        <v>962</v>
      </c>
      <c r="AN23" s="421" t="s">
        <v>3127</v>
      </c>
      <c r="AO23" s="421" t="s">
        <v>1121</v>
      </c>
      <c r="AP23" s="421" t="s">
        <v>1121</v>
      </c>
      <c r="AQ23" s="421" t="s">
        <v>1476</v>
      </c>
      <c r="AR23" s="421" t="s">
        <v>3107</v>
      </c>
      <c r="AS23" s="421" t="s">
        <v>3148</v>
      </c>
      <c r="AT23" s="421" t="s">
        <v>3109</v>
      </c>
      <c r="AU23" s="421" t="s">
        <v>1341</v>
      </c>
      <c r="AV23" s="421" t="s">
        <v>962</v>
      </c>
      <c r="AW23" s="421" t="s">
        <v>3110</v>
      </c>
      <c r="AX23" s="421" t="s">
        <v>3111</v>
      </c>
      <c r="AY23" s="421" t="s">
        <v>3112</v>
      </c>
      <c r="AZ23" s="421" t="s">
        <v>3113</v>
      </c>
      <c r="BA23" s="421" t="s">
        <v>3114</v>
      </c>
      <c r="BB23" s="421" t="s">
        <v>3115</v>
      </c>
      <c r="BC23" s="421">
        <v>5970.8</v>
      </c>
      <c r="BD23" s="421">
        <v>14369984.07</v>
      </c>
      <c r="BE23" s="421">
        <v>0</v>
      </c>
      <c r="BF23" s="421">
        <v>972.56</v>
      </c>
      <c r="BG23" s="421">
        <v>0</v>
      </c>
      <c r="BH23" s="421">
        <v>0</v>
      </c>
      <c r="BI23" s="421" t="s">
        <v>1149</v>
      </c>
    </row>
    <row r="24" spans="1:61" x14ac:dyDescent="0.25">
      <c r="A24" s="421">
        <v>21</v>
      </c>
      <c r="B24" s="421">
        <v>2015</v>
      </c>
      <c r="C24" s="421">
        <v>1</v>
      </c>
      <c r="D24" s="421">
        <v>13</v>
      </c>
      <c r="E24" s="421" t="s">
        <v>1475</v>
      </c>
      <c r="F24" s="421" t="s">
        <v>3089</v>
      </c>
      <c r="G24" s="421" t="s">
        <v>3142</v>
      </c>
      <c r="H24" s="421" t="s">
        <v>1107</v>
      </c>
      <c r="I24" s="421" t="s">
        <v>1297</v>
      </c>
      <c r="J24" s="421" t="s">
        <v>3149</v>
      </c>
      <c r="K24" s="421" t="s">
        <v>3093</v>
      </c>
      <c r="L24" s="421" t="s">
        <v>3094</v>
      </c>
      <c r="M24" s="421" t="s">
        <v>2667</v>
      </c>
      <c r="N24" s="421" t="s">
        <v>3093</v>
      </c>
      <c r="O24" s="421" t="s">
        <v>3094</v>
      </c>
      <c r="P24" s="421" t="s">
        <v>3095</v>
      </c>
      <c r="Q24" s="421" t="s">
        <v>3096</v>
      </c>
      <c r="R24" s="421" t="s">
        <v>1108</v>
      </c>
      <c r="S24" s="421" t="s">
        <v>1476</v>
      </c>
      <c r="T24" s="421" t="s">
        <v>1130</v>
      </c>
      <c r="U24" s="421" t="s">
        <v>3144</v>
      </c>
      <c r="V24" s="421" t="s">
        <v>3145</v>
      </c>
      <c r="W24" s="421" t="s">
        <v>3098</v>
      </c>
      <c r="X24" s="421" t="s">
        <v>3099</v>
      </c>
      <c r="Y24" s="421" t="s">
        <v>1117</v>
      </c>
      <c r="Z24" s="421" t="s">
        <v>1118</v>
      </c>
      <c r="AA24" s="421" t="s">
        <v>3100</v>
      </c>
      <c r="AB24" s="421" t="s">
        <v>3146</v>
      </c>
      <c r="AC24" s="421" t="s">
        <v>3102</v>
      </c>
      <c r="AD24" s="421" t="s">
        <v>3125</v>
      </c>
      <c r="AE24" s="421" t="s">
        <v>3147</v>
      </c>
      <c r="AF24" s="421" t="s">
        <v>2236</v>
      </c>
      <c r="AG24" s="421" t="s">
        <v>2237</v>
      </c>
      <c r="AH24" s="421" t="s">
        <v>3105</v>
      </c>
      <c r="AI24" s="421">
        <v>36000</v>
      </c>
      <c r="AJ24" s="421">
        <v>114.29</v>
      </c>
      <c r="AK24" s="421">
        <v>134</v>
      </c>
      <c r="AL24" s="421">
        <v>1</v>
      </c>
      <c r="AM24" s="421" t="s">
        <v>962</v>
      </c>
      <c r="AN24" s="421" t="s">
        <v>3127</v>
      </c>
      <c r="AO24" s="421" t="s">
        <v>1121</v>
      </c>
      <c r="AP24" s="421" t="s">
        <v>1121</v>
      </c>
      <c r="AQ24" s="421" t="s">
        <v>1476</v>
      </c>
      <c r="AR24" s="421" t="s">
        <v>3128</v>
      </c>
      <c r="AS24" s="421" t="s">
        <v>3150</v>
      </c>
      <c r="AT24" s="421" t="s">
        <v>3109</v>
      </c>
      <c r="AU24" s="421" t="s">
        <v>1341</v>
      </c>
      <c r="AV24" s="421" t="s">
        <v>962</v>
      </c>
      <c r="AW24" s="421" t="s">
        <v>3110</v>
      </c>
      <c r="AX24" s="421" t="s">
        <v>3111</v>
      </c>
      <c r="AY24" s="421" t="s">
        <v>3112</v>
      </c>
      <c r="AZ24" s="421" t="s">
        <v>3113</v>
      </c>
      <c r="BA24" s="421" t="s">
        <v>3114</v>
      </c>
      <c r="BB24" s="421" t="s">
        <v>3115</v>
      </c>
      <c r="BC24" s="421">
        <v>2475.6</v>
      </c>
      <c r="BD24" s="421">
        <v>5958051.2800000003</v>
      </c>
      <c r="BE24" s="421">
        <v>0</v>
      </c>
      <c r="BF24" s="421">
        <v>972.56</v>
      </c>
      <c r="BG24" s="421">
        <v>0</v>
      </c>
      <c r="BH24" s="421">
        <v>0</v>
      </c>
      <c r="BI24" s="421" t="s">
        <v>1149</v>
      </c>
    </row>
    <row r="25" spans="1:61" x14ac:dyDescent="0.25">
      <c r="A25" s="421">
        <v>22</v>
      </c>
      <c r="B25" s="421">
        <v>2015</v>
      </c>
      <c r="C25" s="421">
        <v>1</v>
      </c>
      <c r="D25" s="421">
        <v>13</v>
      </c>
      <c r="E25" s="421" t="s">
        <v>1475</v>
      </c>
      <c r="F25" s="421" t="s">
        <v>3089</v>
      </c>
      <c r="G25" s="421" t="s">
        <v>3142</v>
      </c>
      <c r="H25" s="421" t="s">
        <v>1107</v>
      </c>
      <c r="I25" s="421" t="s">
        <v>1297</v>
      </c>
      <c r="J25" s="421" t="s">
        <v>3151</v>
      </c>
      <c r="K25" s="421" t="s">
        <v>3093</v>
      </c>
      <c r="L25" s="421" t="s">
        <v>3094</v>
      </c>
      <c r="M25" s="421" t="s">
        <v>2667</v>
      </c>
      <c r="N25" s="421" t="s">
        <v>3093</v>
      </c>
      <c r="O25" s="421" t="s">
        <v>3094</v>
      </c>
      <c r="P25" s="421" t="s">
        <v>3095</v>
      </c>
      <c r="Q25" s="421" t="s">
        <v>3113</v>
      </c>
      <c r="R25" s="421" t="s">
        <v>1108</v>
      </c>
      <c r="S25" s="421" t="s">
        <v>1108</v>
      </c>
      <c r="T25" s="421" t="s">
        <v>1130</v>
      </c>
      <c r="U25" s="421" t="s">
        <v>3144</v>
      </c>
      <c r="V25" s="421" t="s">
        <v>3145</v>
      </c>
      <c r="W25" s="421" t="s">
        <v>3098</v>
      </c>
      <c r="X25" s="421" t="s">
        <v>3099</v>
      </c>
      <c r="Y25" s="421" t="s">
        <v>1117</v>
      </c>
      <c r="Z25" s="421" t="s">
        <v>1118</v>
      </c>
      <c r="AA25" s="421" t="s">
        <v>3100</v>
      </c>
      <c r="AB25" s="421" t="s">
        <v>3146</v>
      </c>
      <c r="AC25" s="421" t="s">
        <v>3102</v>
      </c>
      <c r="AD25" s="421" t="s">
        <v>3152</v>
      </c>
      <c r="AE25" s="421" t="s">
        <v>3153</v>
      </c>
      <c r="AF25" s="421" t="s">
        <v>2236</v>
      </c>
      <c r="AG25" s="421" t="s">
        <v>2237</v>
      </c>
      <c r="AH25" s="421" t="s">
        <v>3105</v>
      </c>
      <c r="AI25" s="421">
        <v>23575</v>
      </c>
      <c r="AJ25" s="421">
        <v>513.32000000000005</v>
      </c>
      <c r="AK25" s="421">
        <v>531</v>
      </c>
      <c r="AL25" s="421">
        <v>1</v>
      </c>
      <c r="AM25" s="421" t="s">
        <v>3154</v>
      </c>
      <c r="AN25" s="421" t="s">
        <v>3155</v>
      </c>
      <c r="AO25" s="421" t="s">
        <v>1121</v>
      </c>
      <c r="AP25" s="421" t="s">
        <v>1121</v>
      </c>
      <c r="AQ25" s="421" t="s">
        <v>1108</v>
      </c>
      <c r="AR25" s="421" t="s">
        <v>3107</v>
      </c>
      <c r="AS25" s="421" t="s">
        <v>3156</v>
      </c>
      <c r="AT25" s="421" t="s">
        <v>3109</v>
      </c>
      <c r="AU25" s="421" t="s">
        <v>1341</v>
      </c>
      <c r="AV25" s="421" t="s">
        <v>3157</v>
      </c>
      <c r="AW25" s="421" t="s">
        <v>3110</v>
      </c>
      <c r="AX25" s="421" t="s">
        <v>3111</v>
      </c>
      <c r="AY25" s="421" t="s">
        <v>3112</v>
      </c>
      <c r="AZ25" s="421" t="s">
        <v>3113</v>
      </c>
      <c r="BA25" s="421" t="s">
        <v>3114</v>
      </c>
      <c r="BB25" s="421" t="s">
        <v>3115</v>
      </c>
      <c r="BC25" s="421">
        <v>9987.5</v>
      </c>
      <c r="BD25" s="421">
        <v>24037016.129999999</v>
      </c>
      <c r="BE25" s="421">
        <v>0</v>
      </c>
      <c r="BF25" s="421">
        <v>1742.5</v>
      </c>
      <c r="BG25" s="421">
        <v>0</v>
      </c>
      <c r="BH25" s="421">
        <v>0</v>
      </c>
      <c r="BI25" s="421" t="s">
        <v>1167</v>
      </c>
    </row>
    <row r="26" spans="1:61" x14ac:dyDescent="0.25">
      <c r="A26" s="421">
        <v>23</v>
      </c>
      <c r="B26" s="421">
        <v>2015</v>
      </c>
      <c r="C26" s="421">
        <v>1</v>
      </c>
      <c r="D26" s="421">
        <v>14</v>
      </c>
      <c r="E26" s="421" t="s">
        <v>1475</v>
      </c>
      <c r="F26" s="421" t="s">
        <v>3089</v>
      </c>
      <c r="G26" s="421" t="s">
        <v>3158</v>
      </c>
      <c r="H26" s="421" t="s">
        <v>1107</v>
      </c>
      <c r="I26" s="421" t="s">
        <v>1244</v>
      </c>
      <c r="J26" s="421" t="s">
        <v>3159</v>
      </c>
      <c r="K26" s="421" t="s">
        <v>3093</v>
      </c>
      <c r="L26" s="421" t="s">
        <v>3094</v>
      </c>
      <c r="M26" s="421" t="s">
        <v>2667</v>
      </c>
      <c r="N26" s="421" t="s">
        <v>3093</v>
      </c>
      <c r="O26" s="421" t="s">
        <v>3094</v>
      </c>
      <c r="P26" s="421" t="s">
        <v>3095</v>
      </c>
      <c r="Q26" s="421" t="s">
        <v>3113</v>
      </c>
      <c r="R26" s="421" t="s">
        <v>1108</v>
      </c>
      <c r="S26" s="421" t="s">
        <v>1108</v>
      </c>
      <c r="T26" s="421" t="s">
        <v>1130</v>
      </c>
      <c r="U26" s="421" t="s">
        <v>1112</v>
      </c>
      <c r="V26" s="421" t="s">
        <v>3097</v>
      </c>
      <c r="W26" s="421" t="s">
        <v>3098</v>
      </c>
      <c r="X26" s="421" t="s">
        <v>3099</v>
      </c>
      <c r="Y26" s="421" t="s">
        <v>1117</v>
      </c>
      <c r="Z26" s="421" t="s">
        <v>1118</v>
      </c>
      <c r="AA26" s="421" t="s">
        <v>3100</v>
      </c>
      <c r="AB26" s="421" t="s">
        <v>3101</v>
      </c>
      <c r="AC26" s="421" t="s">
        <v>3102</v>
      </c>
      <c r="AD26" s="421" t="s">
        <v>3125</v>
      </c>
      <c r="AE26" s="421" t="s">
        <v>3126</v>
      </c>
      <c r="AF26" s="421" t="s">
        <v>2236</v>
      </c>
      <c r="AG26" s="421" t="s">
        <v>2237</v>
      </c>
      <c r="AH26" s="421" t="s">
        <v>3105</v>
      </c>
      <c r="AI26" s="421">
        <v>6075000</v>
      </c>
      <c r="AJ26" s="421">
        <v>12300.3</v>
      </c>
      <c r="AK26" s="421">
        <v>13053.6</v>
      </c>
      <c r="AL26" s="421">
        <v>1</v>
      </c>
      <c r="AM26" s="421" t="s">
        <v>962</v>
      </c>
      <c r="AN26" s="421" t="s">
        <v>3127</v>
      </c>
      <c r="AO26" s="421" t="s">
        <v>1121</v>
      </c>
      <c r="AP26" s="421" t="s">
        <v>1121</v>
      </c>
      <c r="AQ26" s="421" t="s">
        <v>1108</v>
      </c>
      <c r="AR26" s="421" t="s">
        <v>3128</v>
      </c>
      <c r="AS26" s="421" t="s">
        <v>3160</v>
      </c>
      <c r="AT26" s="421" t="s">
        <v>3109</v>
      </c>
      <c r="AU26" s="421" t="s">
        <v>1142</v>
      </c>
      <c r="AV26" s="421" t="s">
        <v>3130</v>
      </c>
      <c r="AW26" s="421" t="s">
        <v>3110</v>
      </c>
      <c r="AX26" s="421" t="s">
        <v>3111</v>
      </c>
      <c r="AY26" s="421" t="s">
        <v>3112</v>
      </c>
      <c r="AZ26" s="421" t="s">
        <v>3113</v>
      </c>
      <c r="BA26" s="421" t="s">
        <v>3114</v>
      </c>
      <c r="BB26" s="421" t="s">
        <v>3115</v>
      </c>
      <c r="BC26" s="421">
        <v>137178.07999999999</v>
      </c>
      <c r="BD26" s="421">
        <v>334992986.69999999</v>
      </c>
      <c r="BE26" s="421">
        <v>0</v>
      </c>
      <c r="BF26" s="421">
        <v>2382</v>
      </c>
      <c r="BG26" s="421">
        <v>0</v>
      </c>
      <c r="BH26" s="421">
        <v>0</v>
      </c>
      <c r="BI26" s="421" t="s">
        <v>1149</v>
      </c>
    </row>
    <row r="27" spans="1:61" x14ac:dyDescent="0.25">
      <c r="A27" s="421">
        <v>24</v>
      </c>
      <c r="B27" s="421">
        <v>2015</v>
      </c>
      <c r="C27" s="421">
        <v>1</v>
      </c>
      <c r="D27" s="421">
        <v>17</v>
      </c>
      <c r="E27" s="421" t="s">
        <v>1475</v>
      </c>
      <c r="F27" s="421" t="s">
        <v>3089</v>
      </c>
      <c r="G27" s="421" t="s">
        <v>3161</v>
      </c>
      <c r="H27" s="421" t="s">
        <v>1107</v>
      </c>
      <c r="I27" s="421" t="s">
        <v>1273</v>
      </c>
      <c r="J27" s="421" t="s">
        <v>3162</v>
      </c>
      <c r="K27" s="421" t="s">
        <v>3093</v>
      </c>
      <c r="L27" s="421" t="s">
        <v>3094</v>
      </c>
      <c r="M27" s="421" t="s">
        <v>2667</v>
      </c>
      <c r="N27" s="421" t="s">
        <v>3093</v>
      </c>
      <c r="O27" s="421" t="s">
        <v>3094</v>
      </c>
      <c r="P27" s="421" t="s">
        <v>3095</v>
      </c>
      <c r="Q27" s="421" t="s">
        <v>3096</v>
      </c>
      <c r="R27" s="421" t="s">
        <v>1108</v>
      </c>
      <c r="S27" s="421" t="s">
        <v>1542</v>
      </c>
      <c r="T27" s="421" t="s">
        <v>1130</v>
      </c>
      <c r="U27" s="421" t="s">
        <v>1112</v>
      </c>
      <c r="V27" s="421" t="s">
        <v>3097</v>
      </c>
      <c r="W27" s="421" t="s">
        <v>3098</v>
      </c>
      <c r="X27" s="421" t="s">
        <v>3099</v>
      </c>
      <c r="Y27" s="421" t="s">
        <v>1117</v>
      </c>
      <c r="Z27" s="421" t="s">
        <v>1118</v>
      </c>
      <c r="AA27" s="421" t="s">
        <v>3100</v>
      </c>
      <c r="AB27" s="421" t="s">
        <v>3101</v>
      </c>
      <c r="AC27" s="421" t="s">
        <v>3102</v>
      </c>
      <c r="AD27" s="421" t="s">
        <v>3163</v>
      </c>
      <c r="AE27" s="421" t="s">
        <v>3164</v>
      </c>
      <c r="AF27" s="421" t="s">
        <v>2236</v>
      </c>
      <c r="AG27" s="421" t="s">
        <v>2237</v>
      </c>
      <c r="AH27" s="421" t="s">
        <v>3105</v>
      </c>
      <c r="AI27" s="421">
        <v>18000</v>
      </c>
      <c r="AJ27" s="421">
        <v>65.319999999999993</v>
      </c>
      <c r="AK27" s="421">
        <v>71.92</v>
      </c>
      <c r="AL27" s="421">
        <v>3</v>
      </c>
      <c r="AM27" s="421" t="s">
        <v>964</v>
      </c>
      <c r="AN27" s="421" t="s">
        <v>3165</v>
      </c>
      <c r="AO27" s="421" t="s">
        <v>1121</v>
      </c>
      <c r="AP27" s="421" t="s">
        <v>1121</v>
      </c>
      <c r="AQ27" s="421" t="s">
        <v>1542</v>
      </c>
      <c r="AR27" s="421" t="s">
        <v>3128</v>
      </c>
      <c r="AS27" s="421" t="s">
        <v>3166</v>
      </c>
      <c r="AT27" s="421" t="s">
        <v>3109</v>
      </c>
      <c r="AU27" s="421" t="s">
        <v>1142</v>
      </c>
      <c r="AV27" s="421" t="s">
        <v>2520</v>
      </c>
      <c r="AW27" s="421" t="s">
        <v>3110</v>
      </c>
      <c r="AX27" s="421" t="s">
        <v>3111</v>
      </c>
      <c r="AY27" s="421" t="s">
        <v>3112</v>
      </c>
      <c r="AZ27" s="421" t="s">
        <v>3113</v>
      </c>
      <c r="BA27" s="421" t="s">
        <v>3114</v>
      </c>
      <c r="BB27" s="421" t="s">
        <v>3115</v>
      </c>
      <c r="BC27" s="421">
        <v>1848</v>
      </c>
      <c r="BD27" s="421">
        <v>4405465.68</v>
      </c>
      <c r="BE27" s="421">
        <v>0</v>
      </c>
      <c r="BF27" s="421">
        <v>70.13</v>
      </c>
      <c r="BG27" s="421">
        <v>0</v>
      </c>
      <c r="BH27" s="421">
        <v>0</v>
      </c>
      <c r="BI27" s="421" t="s">
        <v>1278</v>
      </c>
    </row>
    <row r="28" spans="1:61" x14ac:dyDescent="0.25">
      <c r="A28" s="421">
        <v>25</v>
      </c>
      <c r="B28" s="421">
        <v>2015</v>
      </c>
      <c r="C28" s="421">
        <v>1</v>
      </c>
      <c r="D28" s="421">
        <v>17</v>
      </c>
      <c r="E28" s="421" t="s">
        <v>1475</v>
      </c>
      <c r="F28" s="421" t="s">
        <v>3089</v>
      </c>
      <c r="G28" s="421" t="s">
        <v>3161</v>
      </c>
      <c r="H28" s="421" t="s">
        <v>1107</v>
      </c>
      <c r="I28" s="421" t="s">
        <v>1273</v>
      </c>
      <c r="J28" s="421" t="s">
        <v>3167</v>
      </c>
      <c r="K28" s="421" t="s">
        <v>3093</v>
      </c>
      <c r="L28" s="421" t="s">
        <v>3094</v>
      </c>
      <c r="M28" s="421" t="s">
        <v>2667</v>
      </c>
      <c r="N28" s="421" t="s">
        <v>3093</v>
      </c>
      <c r="O28" s="421" t="s">
        <v>3094</v>
      </c>
      <c r="P28" s="421" t="s">
        <v>3095</v>
      </c>
      <c r="Q28" s="421" t="s">
        <v>3096</v>
      </c>
      <c r="R28" s="421" t="s">
        <v>1108</v>
      </c>
      <c r="S28" s="421" t="s">
        <v>1542</v>
      </c>
      <c r="T28" s="421" t="s">
        <v>1130</v>
      </c>
      <c r="U28" s="421" t="s">
        <v>1112</v>
      </c>
      <c r="V28" s="421" t="s">
        <v>3097</v>
      </c>
      <c r="W28" s="421" t="s">
        <v>3098</v>
      </c>
      <c r="X28" s="421" t="s">
        <v>3099</v>
      </c>
      <c r="Y28" s="421" t="s">
        <v>1117</v>
      </c>
      <c r="Z28" s="421" t="s">
        <v>1118</v>
      </c>
      <c r="AA28" s="421" t="s">
        <v>3100</v>
      </c>
      <c r="AB28" s="421" t="s">
        <v>3101</v>
      </c>
      <c r="AC28" s="421" t="s">
        <v>3102</v>
      </c>
      <c r="AD28" s="421" t="s">
        <v>3163</v>
      </c>
      <c r="AE28" s="421" t="s">
        <v>3164</v>
      </c>
      <c r="AF28" s="421" t="s">
        <v>2236</v>
      </c>
      <c r="AG28" s="421" t="s">
        <v>2237</v>
      </c>
      <c r="AH28" s="421" t="s">
        <v>3105</v>
      </c>
      <c r="AI28" s="421">
        <v>6000</v>
      </c>
      <c r="AJ28" s="421">
        <v>20.48</v>
      </c>
      <c r="AK28" s="421">
        <v>22.64</v>
      </c>
      <c r="AL28" s="421">
        <v>1</v>
      </c>
      <c r="AM28" s="421" t="s">
        <v>964</v>
      </c>
      <c r="AN28" s="421" t="s">
        <v>3165</v>
      </c>
      <c r="AO28" s="421" t="s">
        <v>1121</v>
      </c>
      <c r="AP28" s="421" t="s">
        <v>1121</v>
      </c>
      <c r="AQ28" s="421" t="s">
        <v>1542</v>
      </c>
      <c r="AR28" s="421" t="s">
        <v>3128</v>
      </c>
      <c r="AS28" s="421" t="s">
        <v>3168</v>
      </c>
      <c r="AT28" s="421" t="s">
        <v>3109</v>
      </c>
      <c r="AU28" s="421" t="s">
        <v>1142</v>
      </c>
      <c r="AV28" s="421" t="s">
        <v>2520</v>
      </c>
      <c r="AW28" s="421" t="s">
        <v>3110</v>
      </c>
      <c r="AX28" s="421" t="s">
        <v>3111</v>
      </c>
      <c r="AY28" s="421" t="s">
        <v>3112</v>
      </c>
      <c r="AZ28" s="421" t="s">
        <v>3113</v>
      </c>
      <c r="BA28" s="421" t="s">
        <v>3114</v>
      </c>
      <c r="BB28" s="421" t="s">
        <v>3115</v>
      </c>
      <c r="BC28" s="421">
        <v>480</v>
      </c>
      <c r="BD28" s="421">
        <v>1144276.8</v>
      </c>
      <c r="BE28" s="421">
        <v>0</v>
      </c>
      <c r="BF28" s="421">
        <v>100</v>
      </c>
      <c r="BG28" s="421">
        <v>0</v>
      </c>
      <c r="BH28" s="421">
        <v>0</v>
      </c>
      <c r="BI28" s="421" t="s">
        <v>1278</v>
      </c>
    </row>
    <row r="29" spans="1:61" x14ac:dyDescent="0.25">
      <c r="A29" s="421">
        <v>26</v>
      </c>
      <c r="B29" s="421">
        <v>2015</v>
      </c>
      <c r="C29" s="421">
        <v>1</v>
      </c>
      <c r="D29" s="421">
        <v>17</v>
      </c>
      <c r="E29" s="421" t="s">
        <v>1475</v>
      </c>
      <c r="F29" s="421" t="s">
        <v>3089</v>
      </c>
      <c r="G29" s="421" t="s">
        <v>3161</v>
      </c>
      <c r="H29" s="421" t="s">
        <v>1107</v>
      </c>
      <c r="I29" s="421" t="s">
        <v>1273</v>
      </c>
      <c r="J29" s="421" t="s">
        <v>3162</v>
      </c>
      <c r="K29" s="421" t="s">
        <v>3093</v>
      </c>
      <c r="L29" s="421" t="s">
        <v>3094</v>
      </c>
      <c r="M29" s="421" t="s">
        <v>2667</v>
      </c>
      <c r="N29" s="421" t="s">
        <v>3093</v>
      </c>
      <c r="O29" s="421" t="s">
        <v>3094</v>
      </c>
      <c r="P29" s="421" t="s">
        <v>3095</v>
      </c>
      <c r="Q29" s="421" t="s">
        <v>3096</v>
      </c>
      <c r="R29" s="421" t="s">
        <v>1108</v>
      </c>
      <c r="S29" s="421" t="s">
        <v>1542</v>
      </c>
      <c r="T29" s="421" t="s">
        <v>1130</v>
      </c>
      <c r="U29" s="421" t="s">
        <v>1112</v>
      </c>
      <c r="V29" s="421" t="s">
        <v>3097</v>
      </c>
      <c r="W29" s="421" t="s">
        <v>3098</v>
      </c>
      <c r="X29" s="421" t="s">
        <v>3099</v>
      </c>
      <c r="Y29" s="421" t="s">
        <v>1117</v>
      </c>
      <c r="Z29" s="421" t="s">
        <v>1118</v>
      </c>
      <c r="AA29" s="421" t="s">
        <v>3100</v>
      </c>
      <c r="AB29" s="421" t="s">
        <v>3101</v>
      </c>
      <c r="AC29" s="421" t="s">
        <v>3102</v>
      </c>
      <c r="AD29" s="421" t="s">
        <v>3163</v>
      </c>
      <c r="AE29" s="421" t="s">
        <v>3164</v>
      </c>
      <c r="AF29" s="421" t="s">
        <v>2236</v>
      </c>
      <c r="AG29" s="421" t="s">
        <v>2237</v>
      </c>
      <c r="AH29" s="421" t="s">
        <v>3105</v>
      </c>
      <c r="AI29" s="421">
        <v>511940</v>
      </c>
      <c r="AJ29" s="421">
        <v>1638.42</v>
      </c>
      <c r="AK29" s="421">
        <v>1804.09</v>
      </c>
      <c r="AL29" s="421">
        <v>1</v>
      </c>
      <c r="AM29" s="421" t="s">
        <v>964</v>
      </c>
      <c r="AN29" s="421" t="s">
        <v>3165</v>
      </c>
      <c r="AO29" s="421" t="s">
        <v>1121</v>
      </c>
      <c r="AP29" s="421" t="s">
        <v>1121</v>
      </c>
      <c r="AQ29" s="421" t="s">
        <v>1542</v>
      </c>
      <c r="AR29" s="421" t="s">
        <v>3128</v>
      </c>
      <c r="AS29" s="421" t="s">
        <v>3166</v>
      </c>
      <c r="AT29" s="421" t="s">
        <v>3109</v>
      </c>
      <c r="AU29" s="421" t="s">
        <v>1142</v>
      </c>
      <c r="AV29" s="421" t="s">
        <v>2520</v>
      </c>
      <c r="AW29" s="421" t="s">
        <v>3110</v>
      </c>
      <c r="AX29" s="421" t="s">
        <v>3111</v>
      </c>
      <c r="AY29" s="421" t="s">
        <v>3112</v>
      </c>
      <c r="AZ29" s="421" t="s">
        <v>3113</v>
      </c>
      <c r="BA29" s="421" t="s">
        <v>3114</v>
      </c>
      <c r="BB29" s="421" t="s">
        <v>3115</v>
      </c>
      <c r="BC29" s="421">
        <v>23722</v>
      </c>
      <c r="BD29" s="421">
        <v>56551113.020000003</v>
      </c>
      <c r="BE29" s="421">
        <v>0</v>
      </c>
      <c r="BF29" s="421">
        <v>900.25</v>
      </c>
      <c r="BG29" s="421">
        <v>0</v>
      </c>
      <c r="BH29" s="421">
        <v>0</v>
      </c>
      <c r="BI29" s="421" t="s">
        <v>1278</v>
      </c>
    </row>
    <row r="30" spans="1:61" x14ac:dyDescent="0.25">
      <c r="A30" s="421">
        <v>27</v>
      </c>
      <c r="B30" s="421">
        <v>2015</v>
      </c>
      <c r="C30" s="421">
        <v>1</v>
      </c>
      <c r="D30" s="421">
        <v>17</v>
      </c>
      <c r="E30" s="421" t="s">
        <v>1475</v>
      </c>
      <c r="F30" s="421" t="s">
        <v>3089</v>
      </c>
      <c r="G30" s="421" t="s">
        <v>3161</v>
      </c>
      <c r="H30" s="421" t="s">
        <v>1107</v>
      </c>
      <c r="I30" s="421" t="s">
        <v>1273</v>
      </c>
      <c r="J30" s="421" t="s">
        <v>3162</v>
      </c>
      <c r="K30" s="421" t="s">
        <v>3093</v>
      </c>
      <c r="L30" s="421" t="s">
        <v>3094</v>
      </c>
      <c r="M30" s="421" t="s">
        <v>2667</v>
      </c>
      <c r="N30" s="421" t="s">
        <v>3093</v>
      </c>
      <c r="O30" s="421" t="s">
        <v>3094</v>
      </c>
      <c r="P30" s="421" t="s">
        <v>3095</v>
      </c>
      <c r="Q30" s="421" t="s">
        <v>3096</v>
      </c>
      <c r="R30" s="421" t="s">
        <v>1108</v>
      </c>
      <c r="S30" s="421" t="s">
        <v>1542</v>
      </c>
      <c r="T30" s="421" t="s">
        <v>1130</v>
      </c>
      <c r="U30" s="421" t="s">
        <v>1112</v>
      </c>
      <c r="V30" s="421" t="s">
        <v>3097</v>
      </c>
      <c r="W30" s="421" t="s">
        <v>3098</v>
      </c>
      <c r="X30" s="421" t="s">
        <v>3099</v>
      </c>
      <c r="Y30" s="421" t="s">
        <v>1117</v>
      </c>
      <c r="Z30" s="421" t="s">
        <v>1118</v>
      </c>
      <c r="AA30" s="421" t="s">
        <v>3100</v>
      </c>
      <c r="AB30" s="421" t="s">
        <v>3101</v>
      </c>
      <c r="AC30" s="421" t="s">
        <v>3102</v>
      </c>
      <c r="AD30" s="421" t="s">
        <v>3163</v>
      </c>
      <c r="AE30" s="421" t="s">
        <v>3164</v>
      </c>
      <c r="AF30" s="421" t="s">
        <v>2236</v>
      </c>
      <c r="AG30" s="421" t="s">
        <v>2237</v>
      </c>
      <c r="AH30" s="421" t="s">
        <v>3105</v>
      </c>
      <c r="AI30" s="421">
        <v>837240</v>
      </c>
      <c r="AJ30" s="421">
        <v>2825.02</v>
      </c>
      <c r="AK30" s="421">
        <v>3110.67</v>
      </c>
      <c r="AL30" s="421">
        <v>2</v>
      </c>
      <c r="AM30" s="421" t="s">
        <v>964</v>
      </c>
      <c r="AN30" s="421" t="s">
        <v>3165</v>
      </c>
      <c r="AO30" s="421" t="s">
        <v>1121</v>
      </c>
      <c r="AP30" s="421" t="s">
        <v>1121</v>
      </c>
      <c r="AQ30" s="421" t="s">
        <v>1542</v>
      </c>
      <c r="AR30" s="421" t="s">
        <v>3128</v>
      </c>
      <c r="AS30" s="421" t="s">
        <v>3166</v>
      </c>
      <c r="AT30" s="421" t="s">
        <v>3109</v>
      </c>
      <c r="AU30" s="421" t="s">
        <v>1142</v>
      </c>
      <c r="AV30" s="421" t="s">
        <v>2520</v>
      </c>
      <c r="AW30" s="421" t="s">
        <v>3110</v>
      </c>
      <c r="AX30" s="421" t="s">
        <v>3111</v>
      </c>
      <c r="AY30" s="421" t="s">
        <v>3112</v>
      </c>
      <c r="AZ30" s="421" t="s">
        <v>3113</v>
      </c>
      <c r="BA30" s="421" t="s">
        <v>3114</v>
      </c>
      <c r="BB30" s="421" t="s">
        <v>3115</v>
      </c>
      <c r="BC30" s="421">
        <v>40991.599999999999</v>
      </c>
      <c r="BD30" s="421">
        <v>97720285.159999996</v>
      </c>
      <c r="BE30" s="421">
        <v>0</v>
      </c>
      <c r="BF30" s="421">
        <v>1555.62</v>
      </c>
      <c r="BG30" s="421">
        <v>0</v>
      </c>
      <c r="BH30" s="421">
        <v>0</v>
      </c>
      <c r="BI30" s="421" t="s">
        <v>1278</v>
      </c>
    </row>
    <row r="31" spans="1:61" x14ac:dyDescent="0.25">
      <c r="A31" s="421">
        <v>28</v>
      </c>
      <c r="B31" s="421">
        <v>2015</v>
      </c>
      <c r="C31" s="421">
        <v>1</v>
      </c>
      <c r="D31" s="421">
        <v>17</v>
      </c>
      <c r="E31" s="421" t="s">
        <v>1475</v>
      </c>
      <c r="F31" s="421" t="s">
        <v>3089</v>
      </c>
      <c r="G31" s="421" t="s">
        <v>3161</v>
      </c>
      <c r="H31" s="421" t="s">
        <v>1107</v>
      </c>
      <c r="I31" s="421" t="s">
        <v>1273</v>
      </c>
      <c r="J31" s="421" t="s">
        <v>3169</v>
      </c>
      <c r="K31" s="421" t="s">
        <v>3093</v>
      </c>
      <c r="L31" s="421" t="s">
        <v>3094</v>
      </c>
      <c r="M31" s="421" t="s">
        <v>2667</v>
      </c>
      <c r="N31" s="421" t="s">
        <v>3093</v>
      </c>
      <c r="O31" s="421" t="s">
        <v>3094</v>
      </c>
      <c r="P31" s="421" t="s">
        <v>3095</v>
      </c>
      <c r="Q31" s="421" t="s">
        <v>3096</v>
      </c>
      <c r="R31" s="421" t="s">
        <v>1108</v>
      </c>
      <c r="S31" s="421" t="s">
        <v>1542</v>
      </c>
      <c r="T31" s="421" t="s">
        <v>1130</v>
      </c>
      <c r="U31" s="421" t="s">
        <v>1112</v>
      </c>
      <c r="V31" s="421" t="s">
        <v>3097</v>
      </c>
      <c r="W31" s="421" t="s">
        <v>3098</v>
      </c>
      <c r="X31" s="421" t="s">
        <v>3099</v>
      </c>
      <c r="Y31" s="421" t="s">
        <v>1117</v>
      </c>
      <c r="Z31" s="421" t="s">
        <v>1118</v>
      </c>
      <c r="AA31" s="421" t="s">
        <v>3100</v>
      </c>
      <c r="AB31" s="421" t="s">
        <v>3101</v>
      </c>
      <c r="AC31" s="421" t="s">
        <v>3102</v>
      </c>
      <c r="AD31" s="421" t="s">
        <v>3170</v>
      </c>
      <c r="AE31" s="421" t="s">
        <v>3171</v>
      </c>
      <c r="AF31" s="421" t="s">
        <v>2236</v>
      </c>
      <c r="AG31" s="421" t="s">
        <v>2237</v>
      </c>
      <c r="AH31" s="421" t="s">
        <v>3105</v>
      </c>
      <c r="AI31" s="421">
        <v>77800</v>
      </c>
      <c r="AJ31" s="421">
        <v>278.51</v>
      </c>
      <c r="AK31" s="421">
        <v>301.32</v>
      </c>
      <c r="AL31" s="421">
        <v>3</v>
      </c>
      <c r="AM31" s="421" t="s">
        <v>2429</v>
      </c>
      <c r="AN31" s="421" t="s">
        <v>3172</v>
      </c>
      <c r="AO31" s="421" t="s">
        <v>1121</v>
      </c>
      <c r="AP31" s="421" t="s">
        <v>1121</v>
      </c>
      <c r="AQ31" s="421" t="s">
        <v>1542</v>
      </c>
      <c r="AR31" s="421" t="s">
        <v>3128</v>
      </c>
      <c r="AS31" s="421" t="s">
        <v>3173</v>
      </c>
      <c r="AT31" s="421" t="s">
        <v>3109</v>
      </c>
      <c r="AU31" s="421" t="s">
        <v>1142</v>
      </c>
      <c r="AV31" s="421" t="s">
        <v>3174</v>
      </c>
      <c r="AW31" s="421" t="s">
        <v>3110</v>
      </c>
      <c r="AX31" s="421" t="s">
        <v>3111</v>
      </c>
      <c r="AY31" s="421" t="s">
        <v>3112</v>
      </c>
      <c r="AZ31" s="421" t="s">
        <v>3113</v>
      </c>
      <c r="BA31" s="421" t="s">
        <v>3114</v>
      </c>
      <c r="BB31" s="421" t="s">
        <v>3115</v>
      </c>
      <c r="BC31" s="421">
        <v>9468</v>
      </c>
      <c r="BD31" s="421">
        <v>22570859.879999999</v>
      </c>
      <c r="BE31" s="421">
        <v>0</v>
      </c>
      <c r="BF31" s="421">
        <v>199.7</v>
      </c>
      <c r="BG31" s="421">
        <v>24.17</v>
      </c>
      <c r="BH31" s="421">
        <v>0</v>
      </c>
      <c r="BI31" s="421" t="s">
        <v>1331</v>
      </c>
    </row>
    <row r="32" spans="1:61" x14ac:dyDescent="0.25">
      <c r="A32" s="421">
        <v>29</v>
      </c>
      <c r="B32" s="421">
        <v>2015</v>
      </c>
      <c r="C32" s="421">
        <v>1</v>
      </c>
      <c r="D32" s="421">
        <v>17</v>
      </c>
      <c r="E32" s="421" t="s">
        <v>1475</v>
      </c>
      <c r="F32" s="421" t="s">
        <v>3089</v>
      </c>
      <c r="G32" s="421" t="s">
        <v>3161</v>
      </c>
      <c r="H32" s="421" t="s">
        <v>1107</v>
      </c>
      <c r="I32" s="421" t="s">
        <v>1273</v>
      </c>
      <c r="J32" s="421" t="s">
        <v>3169</v>
      </c>
      <c r="K32" s="421" t="s">
        <v>3093</v>
      </c>
      <c r="L32" s="421" t="s">
        <v>3094</v>
      </c>
      <c r="M32" s="421" t="s">
        <v>2667</v>
      </c>
      <c r="N32" s="421" t="s">
        <v>3093</v>
      </c>
      <c r="O32" s="421" t="s">
        <v>3094</v>
      </c>
      <c r="P32" s="421" t="s">
        <v>3095</v>
      </c>
      <c r="Q32" s="421" t="s">
        <v>3096</v>
      </c>
      <c r="R32" s="421" t="s">
        <v>1108</v>
      </c>
      <c r="S32" s="421" t="s">
        <v>1542</v>
      </c>
      <c r="T32" s="421" t="s">
        <v>1130</v>
      </c>
      <c r="U32" s="421" t="s">
        <v>1112</v>
      </c>
      <c r="V32" s="421" t="s">
        <v>3097</v>
      </c>
      <c r="W32" s="421" t="s">
        <v>3098</v>
      </c>
      <c r="X32" s="421" t="s">
        <v>3099</v>
      </c>
      <c r="Y32" s="421" t="s">
        <v>1117</v>
      </c>
      <c r="Z32" s="421" t="s">
        <v>1118</v>
      </c>
      <c r="AA32" s="421" t="s">
        <v>3100</v>
      </c>
      <c r="AB32" s="421" t="s">
        <v>3101</v>
      </c>
      <c r="AC32" s="421" t="s">
        <v>3102</v>
      </c>
      <c r="AD32" s="421" t="s">
        <v>3170</v>
      </c>
      <c r="AE32" s="421" t="s">
        <v>3171</v>
      </c>
      <c r="AF32" s="421" t="s">
        <v>2236</v>
      </c>
      <c r="AG32" s="421" t="s">
        <v>2237</v>
      </c>
      <c r="AH32" s="421" t="s">
        <v>3105</v>
      </c>
      <c r="AI32" s="421">
        <v>9000</v>
      </c>
      <c r="AJ32" s="421">
        <v>34.81</v>
      </c>
      <c r="AK32" s="421">
        <v>37.659999999999997</v>
      </c>
      <c r="AL32" s="421">
        <v>4</v>
      </c>
      <c r="AM32" s="421" t="s">
        <v>2429</v>
      </c>
      <c r="AN32" s="421" t="s">
        <v>3172</v>
      </c>
      <c r="AO32" s="421" t="s">
        <v>1121</v>
      </c>
      <c r="AP32" s="421" t="s">
        <v>1121</v>
      </c>
      <c r="AQ32" s="421" t="s">
        <v>1542</v>
      </c>
      <c r="AR32" s="421" t="s">
        <v>3128</v>
      </c>
      <c r="AS32" s="421" t="s">
        <v>3173</v>
      </c>
      <c r="AT32" s="421" t="s">
        <v>3109</v>
      </c>
      <c r="AU32" s="421" t="s">
        <v>1142</v>
      </c>
      <c r="AV32" s="421" t="s">
        <v>3174</v>
      </c>
      <c r="AW32" s="421" t="s">
        <v>3110</v>
      </c>
      <c r="AX32" s="421" t="s">
        <v>3111</v>
      </c>
      <c r="AY32" s="421" t="s">
        <v>3112</v>
      </c>
      <c r="AZ32" s="421" t="s">
        <v>3113</v>
      </c>
      <c r="BA32" s="421" t="s">
        <v>3114</v>
      </c>
      <c r="BB32" s="421" t="s">
        <v>3115</v>
      </c>
      <c r="BC32" s="421">
        <v>900</v>
      </c>
      <c r="BD32" s="421">
        <v>2145519</v>
      </c>
      <c r="BE32" s="421">
        <v>0</v>
      </c>
      <c r="BF32" s="421">
        <v>18.98</v>
      </c>
      <c r="BG32" s="421">
        <v>2.2999999999999998</v>
      </c>
      <c r="BH32" s="421">
        <v>0</v>
      </c>
      <c r="BI32" s="421" t="s">
        <v>1331</v>
      </c>
    </row>
    <row r="33" spans="1:61" x14ac:dyDescent="0.25">
      <c r="A33" s="421">
        <v>30</v>
      </c>
      <c r="B33" s="421">
        <v>2015</v>
      </c>
      <c r="C33" s="421">
        <v>1</v>
      </c>
      <c r="D33" s="421">
        <v>17</v>
      </c>
      <c r="E33" s="421" t="s">
        <v>1475</v>
      </c>
      <c r="F33" s="421" t="s">
        <v>3089</v>
      </c>
      <c r="G33" s="421" t="s">
        <v>3161</v>
      </c>
      <c r="H33" s="421" t="s">
        <v>1107</v>
      </c>
      <c r="I33" s="421" t="s">
        <v>1273</v>
      </c>
      <c r="J33" s="421" t="s">
        <v>3169</v>
      </c>
      <c r="K33" s="421" t="s">
        <v>3093</v>
      </c>
      <c r="L33" s="421" t="s">
        <v>3094</v>
      </c>
      <c r="M33" s="421" t="s">
        <v>2667</v>
      </c>
      <c r="N33" s="421" t="s">
        <v>3093</v>
      </c>
      <c r="O33" s="421" t="s">
        <v>3094</v>
      </c>
      <c r="P33" s="421" t="s">
        <v>3095</v>
      </c>
      <c r="Q33" s="421" t="s">
        <v>3096</v>
      </c>
      <c r="R33" s="421" t="s">
        <v>1108</v>
      </c>
      <c r="S33" s="421" t="s">
        <v>1542</v>
      </c>
      <c r="T33" s="421" t="s">
        <v>1130</v>
      </c>
      <c r="U33" s="421" t="s">
        <v>1112</v>
      </c>
      <c r="V33" s="421" t="s">
        <v>3097</v>
      </c>
      <c r="W33" s="421" t="s">
        <v>3098</v>
      </c>
      <c r="X33" s="421" t="s">
        <v>3099</v>
      </c>
      <c r="Y33" s="421" t="s">
        <v>1117</v>
      </c>
      <c r="Z33" s="421" t="s">
        <v>1118</v>
      </c>
      <c r="AA33" s="421" t="s">
        <v>3100</v>
      </c>
      <c r="AB33" s="421" t="s">
        <v>3101</v>
      </c>
      <c r="AC33" s="421" t="s">
        <v>3102</v>
      </c>
      <c r="AD33" s="421" t="s">
        <v>3170</v>
      </c>
      <c r="AE33" s="421" t="s">
        <v>3171</v>
      </c>
      <c r="AF33" s="421" t="s">
        <v>2236</v>
      </c>
      <c r="AG33" s="421" t="s">
        <v>2237</v>
      </c>
      <c r="AH33" s="421" t="s">
        <v>3105</v>
      </c>
      <c r="AI33" s="421">
        <v>922000</v>
      </c>
      <c r="AJ33" s="421">
        <v>2532.52</v>
      </c>
      <c r="AK33" s="421">
        <v>2739.93</v>
      </c>
      <c r="AL33" s="421">
        <v>1</v>
      </c>
      <c r="AM33" s="421" t="s">
        <v>2429</v>
      </c>
      <c r="AN33" s="421" t="s">
        <v>3172</v>
      </c>
      <c r="AO33" s="421" t="s">
        <v>1121</v>
      </c>
      <c r="AP33" s="421" t="s">
        <v>1121</v>
      </c>
      <c r="AQ33" s="421" t="s">
        <v>1542</v>
      </c>
      <c r="AR33" s="421" t="s">
        <v>3128</v>
      </c>
      <c r="AS33" s="421" t="s">
        <v>3173</v>
      </c>
      <c r="AT33" s="421" t="s">
        <v>3109</v>
      </c>
      <c r="AU33" s="421" t="s">
        <v>1142</v>
      </c>
      <c r="AV33" s="421" t="s">
        <v>3174</v>
      </c>
      <c r="AW33" s="421" t="s">
        <v>3110</v>
      </c>
      <c r="AX33" s="421" t="s">
        <v>3111</v>
      </c>
      <c r="AY33" s="421" t="s">
        <v>3112</v>
      </c>
      <c r="AZ33" s="421" t="s">
        <v>3113</v>
      </c>
      <c r="BA33" s="421" t="s">
        <v>3114</v>
      </c>
      <c r="BB33" s="421" t="s">
        <v>3115</v>
      </c>
      <c r="BC33" s="421">
        <v>41508.400000000001</v>
      </c>
      <c r="BD33" s="421">
        <v>98952289.840000004</v>
      </c>
      <c r="BE33" s="421">
        <v>0</v>
      </c>
      <c r="BF33" s="421">
        <v>875.52</v>
      </c>
      <c r="BG33" s="421">
        <v>105.96</v>
      </c>
      <c r="BH33" s="421">
        <v>0</v>
      </c>
      <c r="BI33" s="421" t="s">
        <v>1331</v>
      </c>
    </row>
    <row r="34" spans="1:61" x14ac:dyDescent="0.25">
      <c r="A34" s="421">
        <v>31</v>
      </c>
      <c r="B34" s="421">
        <v>2015</v>
      </c>
      <c r="C34" s="421">
        <v>1</v>
      </c>
      <c r="D34" s="421">
        <v>17</v>
      </c>
      <c r="E34" s="421" t="s">
        <v>1475</v>
      </c>
      <c r="F34" s="421" t="s">
        <v>3089</v>
      </c>
      <c r="G34" s="421" t="s">
        <v>3161</v>
      </c>
      <c r="H34" s="421" t="s">
        <v>1107</v>
      </c>
      <c r="I34" s="421" t="s">
        <v>1273</v>
      </c>
      <c r="J34" s="421" t="s">
        <v>3169</v>
      </c>
      <c r="K34" s="421" t="s">
        <v>3093</v>
      </c>
      <c r="L34" s="421" t="s">
        <v>3094</v>
      </c>
      <c r="M34" s="421" t="s">
        <v>2667</v>
      </c>
      <c r="N34" s="421" t="s">
        <v>3093</v>
      </c>
      <c r="O34" s="421" t="s">
        <v>3094</v>
      </c>
      <c r="P34" s="421" t="s">
        <v>3095</v>
      </c>
      <c r="Q34" s="421" t="s">
        <v>3096</v>
      </c>
      <c r="R34" s="421" t="s">
        <v>1108</v>
      </c>
      <c r="S34" s="421" t="s">
        <v>1542</v>
      </c>
      <c r="T34" s="421" t="s">
        <v>1130</v>
      </c>
      <c r="U34" s="421" t="s">
        <v>1112</v>
      </c>
      <c r="V34" s="421" t="s">
        <v>3097</v>
      </c>
      <c r="W34" s="421" t="s">
        <v>3098</v>
      </c>
      <c r="X34" s="421" t="s">
        <v>3099</v>
      </c>
      <c r="Y34" s="421" t="s">
        <v>1117</v>
      </c>
      <c r="Z34" s="421" t="s">
        <v>1118</v>
      </c>
      <c r="AA34" s="421" t="s">
        <v>3100</v>
      </c>
      <c r="AB34" s="421" t="s">
        <v>3101</v>
      </c>
      <c r="AC34" s="421" t="s">
        <v>3102</v>
      </c>
      <c r="AD34" s="421" t="s">
        <v>3170</v>
      </c>
      <c r="AE34" s="421" t="s">
        <v>3171</v>
      </c>
      <c r="AF34" s="421" t="s">
        <v>2236</v>
      </c>
      <c r="AG34" s="421" t="s">
        <v>2237</v>
      </c>
      <c r="AH34" s="421" t="s">
        <v>3105</v>
      </c>
      <c r="AI34" s="421">
        <v>327000</v>
      </c>
      <c r="AJ34" s="421">
        <v>742.48</v>
      </c>
      <c r="AK34" s="421">
        <v>803.29</v>
      </c>
      <c r="AL34" s="421">
        <v>2</v>
      </c>
      <c r="AM34" s="421" t="s">
        <v>2429</v>
      </c>
      <c r="AN34" s="421" t="s">
        <v>3172</v>
      </c>
      <c r="AO34" s="421" t="s">
        <v>1121</v>
      </c>
      <c r="AP34" s="421" t="s">
        <v>1121</v>
      </c>
      <c r="AQ34" s="421" t="s">
        <v>1542</v>
      </c>
      <c r="AR34" s="421" t="s">
        <v>3128</v>
      </c>
      <c r="AS34" s="421" t="s">
        <v>3173</v>
      </c>
      <c r="AT34" s="421" t="s">
        <v>3109</v>
      </c>
      <c r="AU34" s="421" t="s">
        <v>1142</v>
      </c>
      <c r="AV34" s="421" t="s">
        <v>3174</v>
      </c>
      <c r="AW34" s="421" t="s">
        <v>3110</v>
      </c>
      <c r="AX34" s="421" t="s">
        <v>3111</v>
      </c>
      <c r="AY34" s="421" t="s">
        <v>3112</v>
      </c>
      <c r="AZ34" s="421" t="s">
        <v>3113</v>
      </c>
      <c r="BA34" s="421" t="s">
        <v>3114</v>
      </c>
      <c r="BB34" s="421" t="s">
        <v>3115</v>
      </c>
      <c r="BC34" s="421">
        <v>11416.2</v>
      </c>
      <c r="BD34" s="421">
        <v>27215193.34</v>
      </c>
      <c r="BE34" s="421">
        <v>0</v>
      </c>
      <c r="BF34" s="421">
        <v>240.8</v>
      </c>
      <c r="BG34" s="421">
        <v>29.14</v>
      </c>
      <c r="BH34" s="421">
        <v>0</v>
      </c>
      <c r="BI34" s="421" t="s">
        <v>1331</v>
      </c>
    </row>
    <row r="35" spans="1:61" x14ac:dyDescent="0.25">
      <c r="A35" s="421">
        <v>32</v>
      </c>
      <c r="B35" s="421">
        <v>2015</v>
      </c>
      <c r="C35" s="421">
        <v>1</v>
      </c>
      <c r="D35" s="421">
        <v>17</v>
      </c>
      <c r="E35" s="421" t="s">
        <v>1475</v>
      </c>
      <c r="F35" s="421" t="s">
        <v>3089</v>
      </c>
      <c r="G35" s="421" t="s">
        <v>3161</v>
      </c>
      <c r="H35" s="421" t="s">
        <v>1107</v>
      </c>
      <c r="I35" s="421" t="s">
        <v>1273</v>
      </c>
      <c r="J35" s="421" t="s">
        <v>3175</v>
      </c>
      <c r="K35" s="421" t="s">
        <v>3093</v>
      </c>
      <c r="L35" s="421" t="s">
        <v>3094</v>
      </c>
      <c r="M35" s="421" t="s">
        <v>2667</v>
      </c>
      <c r="N35" s="421" t="s">
        <v>3093</v>
      </c>
      <c r="O35" s="421" t="s">
        <v>3094</v>
      </c>
      <c r="P35" s="421" t="s">
        <v>3095</v>
      </c>
      <c r="Q35" s="421" t="s">
        <v>3096</v>
      </c>
      <c r="R35" s="421" t="s">
        <v>1108</v>
      </c>
      <c r="S35" s="421" t="s">
        <v>1542</v>
      </c>
      <c r="T35" s="421" t="s">
        <v>1130</v>
      </c>
      <c r="U35" s="421" t="s">
        <v>1112</v>
      </c>
      <c r="V35" s="421" t="s">
        <v>3097</v>
      </c>
      <c r="W35" s="421" t="s">
        <v>3098</v>
      </c>
      <c r="X35" s="421" t="s">
        <v>3099</v>
      </c>
      <c r="Y35" s="421" t="s">
        <v>1117</v>
      </c>
      <c r="Z35" s="421" t="s">
        <v>1118</v>
      </c>
      <c r="AA35" s="421" t="s">
        <v>3100</v>
      </c>
      <c r="AB35" s="421" t="s">
        <v>3101</v>
      </c>
      <c r="AC35" s="421" t="s">
        <v>3102</v>
      </c>
      <c r="AD35" s="421" t="s">
        <v>3176</v>
      </c>
      <c r="AE35" s="421" t="s">
        <v>3177</v>
      </c>
      <c r="AF35" s="421" t="s">
        <v>2236</v>
      </c>
      <c r="AG35" s="421" t="s">
        <v>2237</v>
      </c>
      <c r="AH35" s="421" t="s">
        <v>3105</v>
      </c>
      <c r="AI35" s="421">
        <v>15000</v>
      </c>
      <c r="AJ35" s="421">
        <v>53.46</v>
      </c>
      <c r="AK35" s="421">
        <v>58.49</v>
      </c>
      <c r="AL35" s="421">
        <v>2</v>
      </c>
      <c r="AM35" s="421" t="s">
        <v>1547</v>
      </c>
      <c r="AN35" s="421" t="s">
        <v>3178</v>
      </c>
      <c r="AO35" s="421" t="s">
        <v>1121</v>
      </c>
      <c r="AP35" s="421" t="s">
        <v>1121</v>
      </c>
      <c r="AQ35" s="421" t="s">
        <v>1542</v>
      </c>
      <c r="AR35" s="421" t="s">
        <v>3128</v>
      </c>
      <c r="AS35" s="421" t="s">
        <v>3179</v>
      </c>
      <c r="AT35" s="421" t="s">
        <v>3109</v>
      </c>
      <c r="AU35" s="421" t="s">
        <v>1142</v>
      </c>
      <c r="AV35" s="421" t="s">
        <v>3139</v>
      </c>
      <c r="AW35" s="421" t="s">
        <v>3110</v>
      </c>
      <c r="AX35" s="421" t="s">
        <v>3111</v>
      </c>
      <c r="AY35" s="421" t="s">
        <v>3112</v>
      </c>
      <c r="AZ35" s="421" t="s">
        <v>3113</v>
      </c>
      <c r="BA35" s="421" t="s">
        <v>3114</v>
      </c>
      <c r="BB35" s="421" t="s">
        <v>3115</v>
      </c>
      <c r="BC35" s="421">
        <v>1485</v>
      </c>
      <c r="BD35" s="421">
        <v>3540106.35</v>
      </c>
      <c r="BE35" s="421">
        <v>0</v>
      </c>
      <c r="BF35" s="421">
        <v>97.06</v>
      </c>
      <c r="BG35" s="421">
        <v>3.96</v>
      </c>
      <c r="BH35" s="421">
        <v>0</v>
      </c>
      <c r="BI35" s="421" t="s">
        <v>1331</v>
      </c>
    </row>
    <row r="36" spans="1:61" x14ac:dyDescent="0.25">
      <c r="A36" s="421">
        <v>33</v>
      </c>
      <c r="B36" s="421">
        <v>2015</v>
      </c>
      <c r="C36" s="421">
        <v>1</v>
      </c>
      <c r="D36" s="421">
        <v>17</v>
      </c>
      <c r="E36" s="421" t="s">
        <v>1475</v>
      </c>
      <c r="F36" s="421" t="s">
        <v>3089</v>
      </c>
      <c r="G36" s="421" t="s">
        <v>3161</v>
      </c>
      <c r="H36" s="421" t="s">
        <v>1107</v>
      </c>
      <c r="I36" s="421" t="s">
        <v>1273</v>
      </c>
      <c r="J36" s="421" t="s">
        <v>3180</v>
      </c>
      <c r="K36" s="421" t="s">
        <v>3093</v>
      </c>
      <c r="L36" s="421" t="s">
        <v>3094</v>
      </c>
      <c r="M36" s="421" t="s">
        <v>2667</v>
      </c>
      <c r="N36" s="421" t="s">
        <v>3093</v>
      </c>
      <c r="O36" s="421" t="s">
        <v>3094</v>
      </c>
      <c r="P36" s="421" t="s">
        <v>3095</v>
      </c>
      <c r="Q36" s="421" t="s">
        <v>3096</v>
      </c>
      <c r="R36" s="421" t="s">
        <v>1108</v>
      </c>
      <c r="S36" s="421" t="s">
        <v>1542</v>
      </c>
      <c r="T36" s="421" t="s">
        <v>1130</v>
      </c>
      <c r="U36" s="421" t="s">
        <v>1112</v>
      </c>
      <c r="V36" s="421" t="s">
        <v>3097</v>
      </c>
      <c r="W36" s="421" t="s">
        <v>3098</v>
      </c>
      <c r="X36" s="421" t="s">
        <v>3099</v>
      </c>
      <c r="Y36" s="421" t="s">
        <v>1117</v>
      </c>
      <c r="Z36" s="421" t="s">
        <v>1118</v>
      </c>
      <c r="AA36" s="421" t="s">
        <v>3100</v>
      </c>
      <c r="AB36" s="421" t="s">
        <v>3101</v>
      </c>
      <c r="AC36" s="421" t="s">
        <v>3102</v>
      </c>
      <c r="AD36" s="421" t="s">
        <v>3176</v>
      </c>
      <c r="AE36" s="421" t="s">
        <v>3177</v>
      </c>
      <c r="AF36" s="421" t="s">
        <v>2236</v>
      </c>
      <c r="AG36" s="421" t="s">
        <v>2237</v>
      </c>
      <c r="AH36" s="421" t="s">
        <v>3105</v>
      </c>
      <c r="AI36" s="421">
        <v>25000</v>
      </c>
      <c r="AJ36" s="421">
        <v>83</v>
      </c>
      <c r="AK36" s="421">
        <v>89.1</v>
      </c>
      <c r="AL36" s="421">
        <v>1</v>
      </c>
      <c r="AM36" s="421" t="s">
        <v>1547</v>
      </c>
      <c r="AN36" s="421" t="s">
        <v>3178</v>
      </c>
      <c r="AO36" s="421" t="s">
        <v>1121</v>
      </c>
      <c r="AP36" s="421" t="s">
        <v>1121</v>
      </c>
      <c r="AQ36" s="421" t="s">
        <v>1542</v>
      </c>
      <c r="AR36" s="421" t="s">
        <v>3128</v>
      </c>
      <c r="AS36" s="421" t="s">
        <v>3181</v>
      </c>
      <c r="AT36" s="421" t="s">
        <v>3109</v>
      </c>
      <c r="AU36" s="421" t="s">
        <v>1142</v>
      </c>
      <c r="AV36" s="421" t="s">
        <v>3139</v>
      </c>
      <c r="AW36" s="421" t="s">
        <v>3110</v>
      </c>
      <c r="AX36" s="421" t="s">
        <v>3111</v>
      </c>
      <c r="AY36" s="421" t="s">
        <v>3112</v>
      </c>
      <c r="AZ36" s="421" t="s">
        <v>3113</v>
      </c>
      <c r="BA36" s="421" t="s">
        <v>3114</v>
      </c>
      <c r="BB36" s="421" t="s">
        <v>3115</v>
      </c>
      <c r="BC36" s="421">
        <v>2475</v>
      </c>
      <c r="BD36" s="421">
        <v>5900177.25</v>
      </c>
      <c r="BE36" s="421">
        <v>0</v>
      </c>
      <c r="BF36" s="421">
        <v>200</v>
      </c>
      <c r="BG36" s="421">
        <v>12</v>
      </c>
      <c r="BH36" s="421">
        <v>0</v>
      </c>
      <c r="BI36" s="421" t="s">
        <v>1331</v>
      </c>
    </row>
    <row r="37" spans="1:61" x14ac:dyDescent="0.25">
      <c r="A37" s="421">
        <v>34</v>
      </c>
      <c r="B37" s="421">
        <v>2015</v>
      </c>
      <c r="C37" s="421">
        <v>1</v>
      </c>
      <c r="D37" s="421">
        <v>17</v>
      </c>
      <c r="E37" s="421" t="s">
        <v>1475</v>
      </c>
      <c r="F37" s="421" t="s">
        <v>3089</v>
      </c>
      <c r="G37" s="421" t="s">
        <v>3161</v>
      </c>
      <c r="H37" s="421" t="s">
        <v>1107</v>
      </c>
      <c r="I37" s="421" t="s">
        <v>1273</v>
      </c>
      <c r="J37" s="421" t="s">
        <v>3175</v>
      </c>
      <c r="K37" s="421" t="s">
        <v>3093</v>
      </c>
      <c r="L37" s="421" t="s">
        <v>3094</v>
      </c>
      <c r="M37" s="421" t="s">
        <v>2667</v>
      </c>
      <c r="N37" s="421" t="s">
        <v>3093</v>
      </c>
      <c r="O37" s="421" t="s">
        <v>3094</v>
      </c>
      <c r="P37" s="421" t="s">
        <v>3095</v>
      </c>
      <c r="Q37" s="421" t="s">
        <v>3096</v>
      </c>
      <c r="R37" s="421" t="s">
        <v>1108</v>
      </c>
      <c r="S37" s="421" t="s">
        <v>1542</v>
      </c>
      <c r="T37" s="421" t="s">
        <v>1130</v>
      </c>
      <c r="U37" s="421" t="s">
        <v>1112</v>
      </c>
      <c r="V37" s="421" t="s">
        <v>3097</v>
      </c>
      <c r="W37" s="421" t="s">
        <v>3098</v>
      </c>
      <c r="X37" s="421" t="s">
        <v>3099</v>
      </c>
      <c r="Y37" s="421" t="s">
        <v>1117</v>
      </c>
      <c r="Z37" s="421" t="s">
        <v>1118</v>
      </c>
      <c r="AA37" s="421" t="s">
        <v>3100</v>
      </c>
      <c r="AB37" s="421" t="s">
        <v>3101</v>
      </c>
      <c r="AC37" s="421" t="s">
        <v>3102</v>
      </c>
      <c r="AD37" s="421" t="s">
        <v>3176</v>
      </c>
      <c r="AE37" s="421" t="s">
        <v>3177</v>
      </c>
      <c r="AF37" s="421" t="s">
        <v>2236</v>
      </c>
      <c r="AG37" s="421" t="s">
        <v>2237</v>
      </c>
      <c r="AH37" s="421" t="s">
        <v>3105</v>
      </c>
      <c r="AI37" s="421">
        <v>584000</v>
      </c>
      <c r="AJ37" s="421">
        <v>703.87</v>
      </c>
      <c r="AK37" s="421">
        <v>770.07</v>
      </c>
      <c r="AL37" s="421">
        <v>1</v>
      </c>
      <c r="AM37" s="421" t="s">
        <v>1547</v>
      </c>
      <c r="AN37" s="421" t="s">
        <v>3178</v>
      </c>
      <c r="AO37" s="421" t="s">
        <v>1121</v>
      </c>
      <c r="AP37" s="421" t="s">
        <v>1121</v>
      </c>
      <c r="AQ37" s="421" t="s">
        <v>1542</v>
      </c>
      <c r="AR37" s="421" t="s">
        <v>3128</v>
      </c>
      <c r="AS37" s="421" t="s">
        <v>3179</v>
      </c>
      <c r="AT37" s="421" t="s">
        <v>3109</v>
      </c>
      <c r="AU37" s="421" t="s">
        <v>1142</v>
      </c>
      <c r="AV37" s="421" t="s">
        <v>3139</v>
      </c>
      <c r="AW37" s="421" t="s">
        <v>3110</v>
      </c>
      <c r="AX37" s="421" t="s">
        <v>3111</v>
      </c>
      <c r="AY37" s="421" t="s">
        <v>3112</v>
      </c>
      <c r="AZ37" s="421" t="s">
        <v>3113</v>
      </c>
      <c r="BA37" s="421" t="s">
        <v>3114</v>
      </c>
      <c r="BB37" s="421" t="s">
        <v>3115</v>
      </c>
      <c r="BC37" s="421">
        <v>11213.2</v>
      </c>
      <c r="BD37" s="421">
        <v>26731259.609999999</v>
      </c>
      <c r="BE37" s="421">
        <v>0</v>
      </c>
      <c r="BF37" s="421">
        <v>732.94</v>
      </c>
      <c r="BG37" s="421">
        <v>29.86</v>
      </c>
      <c r="BH37" s="421">
        <v>0</v>
      </c>
      <c r="BI37" s="421" t="s">
        <v>1331</v>
      </c>
    </row>
    <row r="38" spans="1:61" x14ac:dyDescent="0.25">
      <c r="A38" s="421">
        <v>35</v>
      </c>
      <c r="B38" s="421">
        <v>2015</v>
      </c>
      <c r="C38" s="421">
        <v>1</v>
      </c>
      <c r="D38" s="421">
        <v>17</v>
      </c>
      <c r="E38" s="421" t="s">
        <v>1475</v>
      </c>
      <c r="F38" s="421" t="s">
        <v>3089</v>
      </c>
      <c r="G38" s="421" t="s">
        <v>3161</v>
      </c>
      <c r="H38" s="421" t="s">
        <v>1107</v>
      </c>
      <c r="I38" s="421" t="s">
        <v>1273</v>
      </c>
      <c r="J38" s="421" t="s">
        <v>3182</v>
      </c>
      <c r="K38" s="421" t="s">
        <v>3093</v>
      </c>
      <c r="L38" s="421" t="s">
        <v>3094</v>
      </c>
      <c r="M38" s="421" t="s">
        <v>2667</v>
      </c>
      <c r="N38" s="421" t="s">
        <v>3093</v>
      </c>
      <c r="O38" s="421" t="s">
        <v>3094</v>
      </c>
      <c r="P38" s="421" t="s">
        <v>3095</v>
      </c>
      <c r="Q38" s="421" t="s">
        <v>3113</v>
      </c>
      <c r="R38" s="421" t="s">
        <v>1108</v>
      </c>
      <c r="S38" s="421" t="s">
        <v>1108</v>
      </c>
      <c r="T38" s="421" t="s">
        <v>1130</v>
      </c>
      <c r="U38" s="421" t="s">
        <v>1112</v>
      </c>
      <c r="V38" s="421" t="s">
        <v>3097</v>
      </c>
      <c r="W38" s="421" t="s">
        <v>3098</v>
      </c>
      <c r="X38" s="421" t="s">
        <v>3099</v>
      </c>
      <c r="Y38" s="421" t="s">
        <v>1117</v>
      </c>
      <c r="Z38" s="421" t="s">
        <v>1118</v>
      </c>
      <c r="AA38" s="421" t="s">
        <v>3100</v>
      </c>
      <c r="AB38" s="421" t="s">
        <v>3101</v>
      </c>
      <c r="AC38" s="421" t="s">
        <v>3102</v>
      </c>
      <c r="AD38" s="421" t="s">
        <v>3183</v>
      </c>
      <c r="AE38" s="421" t="s">
        <v>3184</v>
      </c>
      <c r="AF38" s="421" t="s">
        <v>2236</v>
      </c>
      <c r="AG38" s="421" t="s">
        <v>2237</v>
      </c>
      <c r="AH38" s="421" t="s">
        <v>3105</v>
      </c>
      <c r="AI38" s="421">
        <v>2880000</v>
      </c>
      <c r="AJ38" s="421">
        <v>6174.8</v>
      </c>
      <c r="AK38" s="421">
        <v>6721.64</v>
      </c>
      <c r="AL38" s="421">
        <v>1</v>
      </c>
      <c r="AM38" s="421" t="s">
        <v>963</v>
      </c>
      <c r="AN38" s="421" t="s">
        <v>3185</v>
      </c>
      <c r="AO38" s="421" t="s">
        <v>1121</v>
      </c>
      <c r="AP38" s="421" t="s">
        <v>1121</v>
      </c>
      <c r="AQ38" s="421" t="s">
        <v>1108</v>
      </c>
      <c r="AR38" s="421" t="s">
        <v>3128</v>
      </c>
      <c r="AS38" s="421" t="s">
        <v>3186</v>
      </c>
      <c r="AT38" s="421" t="s">
        <v>3109</v>
      </c>
      <c r="AU38" s="421" t="s">
        <v>1142</v>
      </c>
      <c r="AV38" s="421" t="s">
        <v>3187</v>
      </c>
      <c r="AW38" s="421" t="s">
        <v>3110</v>
      </c>
      <c r="AX38" s="421" t="s">
        <v>3111</v>
      </c>
      <c r="AY38" s="421" t="s">
        <v>3112</v>
      </c>
      <c r="AZ38" s="421" t="s">
        <v>3113</v>
      </c>
      <c r="BA38" s="421" t="s">
        <v>3114</v>
      </c>
      <c r="BB38" s="421" t="s">
        <v>3115</v>
      </c>
      <c r="BC38" s="421">
        <v>95199.43</v>
      </c>
      <c r="BD38" s="421">
        <v>226946873.16999999</v>
      </c>
      <c r="BE38" s="421">
        <v>0</v>
      </c>
      <c r="BF38" s="421">
        <v>1005</v>
      </c>
      <c r="BG38" s="421">
        <v>240.51</v>
      </c>
      <c r="BH38" s="421">
        <v>0</v>
      </c>
      <c r="BI38" s="421" t="s">
        <v>1167</v>
      </c>
    </row>
    <row r="39" spans="1:61" x14ac:dyDescent="0.25">
      <c r="A39" s="421">
        <v>36</v>
      </c>
      <c r="B39" s="421">
        <v>2015</v>
      </c>
      <c r="C39" s="421">
        <v>1</v>
      </c>
      <c r="D39" s="421">
        <v>17</v>
      </c>
      <c r="E39" s="421" t="s">
        <v>1475</v>
      </c>
      <c r="F39" s="421" t="s">
        <v>3089</v>
      </c>
      <c r="G39" s="421" t="s">
        <v>3161</v>
      </c>
      <c r="H39" s="421" t="s">
        <v>1107</v>
      </c>
      <c r="I39" s="421" t="s">
        <v>1273</v>
      </c>
      <c r="J39" s="421" t="s">
        <v>3188</v>
      </c>
      <c r="K39" s="421" t="s">
        <v>3093</v>
      </c>
      <c r="L39" s="421" t="s">
        <v>3094</v>
      </c>
      <c r="M39" s="421" t="s">
        <v>2667</v>
      </c>
      <c r="N39" s="421" t="s">
        <v>3093</v>
      </c>
      <c r="O39" s="421" t="s">
        <v>3094</v>
      </c>
      <c r="P39" s="421" t="s">
        <v>3095</v>
      </c>
      <c r="Q39" s="421" t="s">
        <v>3113</v>
      </c>
      <c r="R39" s="421" t="s">
        <v>1108</v>
      </c>
      <c r="S39" s="421" t="s">
        <v>1108</v>
      </c>
      <c r="T39" s="421" t="s">
        <v>1130</v>
      </c>
      <c r="U39" s="421" t="s">
        <v>1112</v>
      </c>
      <c r="V39" s="421" t="s">
        <v>3097</v>
      </c>
      <c r="W39" s="421" t="s">
        <v>3098</v>
      </c>
      <c r="X39" s="421" t="s">
        <v>3099</v>
      </c>
      <c r="Y39" s="421" t="s">
        <v>1117</v>
      </c>
      <c r="Z39" s="421" t="s">
        <v>1118</v>
      </c>
      <c r="AA39" s="421" t="s">
        <v>3100</v>
      </c>
      <c r="AB39" s="421" t="s">
        <v>3101</v>
      </c>
      <c r="AC39" s="421" t="s">
        <v>3102</v>
      </c>
      <c r="AD39" s="421" t="s">
        <v>3189</v>
      </c>
      <c r="AE39" s="421" t="s">
        <v>3190</v>
      </c>
      <c r="AF39" s="421" t="s">
        <v>2236</v>
      </c>
      <c r="AG39" s="421" t="s">
        <v>2237</v>
      </c>
      <c r="AH39" s="421" t="s">
        <v>3105</v>
      </c>
      <c r="AI39" s="421">
        <v>11520</v>
      </c>
      <c r="AJ39" s="421">
        <v>48.26</v>
      </c>
      <c r="AK39" s="421">
        <v>52.31</v>
      </c>
      <c r="AL39" s="421">
        <v>4</v>
      </c>
      <c r="AM39" s="421" t="s">
        <v>961</v>
      </c>
      <c r="AN39" s="421" t="s">
        <v>3191</v>
      </c>
      <c r="AO39" s="421" t="s">
        <v>1121</v>
      </c>
      <c r="AP39" s="421" t="s">
        <v>1121</v>
      </c>
      <c r="AQ39" s="421" t="s">
        <v>1108</v>
      </c>
      <c r="AR39" s="421" t="s">
        <v>3128</v>
      </c>
      <c r="AS39" s="421" t="s">
        <v>3192</v>
      </c>
      <c r="AT39" s="421" t="s">
        <v>3109</v>
      </c>
      <c r="AU39" s="421" t="s">
        <v>1142</v>
      </c>
      <c r="AV39" s="421" t="s">
        <v>2520</v>
      </c>
      <c r="AW39" s="421" t="s">
        <v>3110</v>
      </c>
      <c r="AX39" s="421" t="s">
        <v>3111</v>
      </c>
      <c r="AY39" s="421" t="s">
        <v>3193</v>
      </c>
      <c r="AZ39" s="421" t="s">
        <v>3113</v>
      </c>
      <c r="BA39" s="421" t="s">
        <v>3114</v>
      </c>
      <c r="BB39" s="421" t="s">
        <v>3115</v>
      </c>
      <c r="BC39" s="421">
        <v>1248</v>
      </c>
      <c r="BD39" s="421">
        <v>2975119.68</v>
      </c>
      <c r="BE39" s="421">
        <v>0</v>
      </c>
      <c r="BF39" s="421">
        <v>14.9</v>
      </c>
      <c r="BG39" s="421">
        <v>3.16</v>
      </c>
      <c r="BH39" s="421">
        <v>0</v>
      </c>
      <c r="BI39" s="421" t="s">
        <v>1149</v>
      </c>
    </row>
    <row r="40" spans="1:61" x14ac:dyDescent="0.25">
      <c r="A40" s="421">
        <v>37</v>
      </c>
      <c r="B40" s="421">
        <v>2015</v>
      </c>
      <c r="C40" s="421">
        <v>1</v>
      </c>
      <c r="D40" s="421">
        <v>17</v>
      </c>
      <c r="E40" s="421" t="s">
        <v>1475</v>
      </c>
      <c r="F40" s="421" t="s">
        <v>3089</v>
      </c>
      <c r="G40" s="421" t="s">
        <v>3161</v>
      </c>
      <c r="H40" s="421" t="s">
        <v>1107</v>
      </c>
      <c r="I40" s="421" t="s">
        <v>1273</v>
      </c>
      <c r="J40" s="421" t="s">
        <v>3188</v>
      </c>
      <c r="K40" s="421" t="s">
        <v>3093</v>
      </c>
      <c r="L40" s="421" t="s">
        <v>3094</v>
      </c>
      <c r="M40" s="421" t="s">
        <v>2667</v>
      </c>
      <c r="N40" s="421" t="s">
        <v>3093</v>
      </c>
      <c r="O40" s="421" t="s">
        <v>3094</v>
      </c>
      <c r="P40" s="421" t="s">
        <v>3095</v>
      </c>
      <c r="Q40" s="421" t="s">
        <v>3113</v>
      </c>
      <c r="R40" s="421" t="s">
        <v>1108</v>
      </c>
      <c r="S40" s="421" t="s">
        <v>1108</v>
      </c>
      <c r="T40" s="421" t="s">
        <v>1130</v>
      </c>
      <c r="U40" s="421" t="s">
        <v>1112</v>
      </c>
      <c r="V40" s="421" t="s">
        <v>3097</v>
      </c>
      <c r="W40" s="421" t="s">
        <v>3098</v>
      </c>
      <c r="X40" s="421" t="s">
        <v>3099</v>
      </c>
      <c r="Y40" s="421" t="s">
        <v>1117</v>
      </c>
      <c r="Z40" s="421" t="s">
        <v>1118</v>
      </c>
      <c r="AA40" s="421" t="s">
        <v>3100</v>
      </c>
      <c r="AB40" s="421" t="s">
        <v>3101</v>
      </c>
      <c r="AC40" s="421" t="s">
        <v>3102</v>
      </c>
      <c r="AD40" s="421" t="s">
        <v>3189</v>
      </c>
      <c r="AE40" s="421" t="s">
        <v>3190</v>
      </c>
      <c r="AF40" s="421" t="s">
        <v>2236</v>
      </c>
      <c r="AG40" s="421" t="s">
        <v>2237</v>
      </c>
      <c r="AH40" s="421" t="s">
        <v>3105</v>
      </c>
      <c r="AI40" s="421">
        <v>2577024</v>
      </c>
      <c r="AJ40" s="421">
        <v>5320.88</v>
      </c>
      <c r="AK40" s="421">
        <v>5767.55</v>
      </c>
      <c r="AL40" s="421">
        <v>1</v>
      </c>
      <c r="AM40" s="421" t="s">
        <v>961</v>
      </c>
      <c r="AN40" s="421" t="s">
        <v>3191</v>
      </c>
      <c r="AO40" s="421" t="s">
        <v>1121</v>
      </c>
      <c r="AP40" s="421" t="s">
        <v>1121</v>
      </c>
      <c r="AQ40" s="421" t="s">
        <v>1108</v>
      </c>
      <c r="AR40" s="421" t="s">
        <v>3128</v>
      </c>
      <c r="AS40" s="421" t="s">
        <v>3192</v>
      </c>
      <c r="AT40" s="421" t="s">
        <v>3109</v>
      </c>
      <c r="AU40" s="421" t="s">
        <v>1142</v>
      </c>
      <c r="AV40" s="421" t="s">
        <v>2520</v>
      </c>
      <c r="AW40" s="421" t="s">
        <v>3110</v>
      </c>
      <c r="AX40" s="421" t="s">
        <v>3111</v>
      </c>
      <c r="AY40" s="421" t="s">
        <v>3193</v>
      </c>
      <c r="AZ40" s="421" t="s">
        <v>3113</v>
      </c>
      <c r="BA40" s="421" t="s">
        <v>3114</v>
      </c>
      <c r="BB40" s="421" t="s">
        <v>3115</v>
      </c>
      <c r="BC40" s="421">
        <v>74139.12</v>
      </c>
      <c r="BD40" s="421">
        <v>176740989.56</v>
      </c>
      <c r="BE40" s="421">
        <v>0</v>
      </c>
      <c r="BF40" s="421">
        <v>884.99</v>
      </c>
      <c r="BG40" s="421">
        <v>187.56</v>
      </c>
      <c r="BH40" s="421">
        <v>0</v>
      </c>
      <c r="BI40" s="421" t="s">
        <v>1149</v>
      </c>
    </row>
    <row r="41" spans="1:61" x14ac:dyDescent="0.25">
      <c r="A41" s="421">
        <v>38</v>
      </c>
      <c r="B41" s="421">
        <v>2015</v>
      </c>
      <c r="C41" s="421">
        <v>1</v>
      </c>
      <c r="D41" s="421">
        <v>17</v>
      </c>
      <c r="E41" s="421" t="s">
        <v>1475</v>
      </c>
      <c r="F41" s="421" t="s">
        <v>3089</v>
      </c>
      <c r="G41" s="421" t="s">
        <v>3161</v>
      </c>
      <c r="H41" s="421" t="s">
        <v>1107</v>
      </c>
      <c r="I41" s="421" t="s">
        <v>1273</v>
      </c>
      <c r="J41" s="421" t="s">
        <v>3188</v>
      </c>
      <c r="K41" s="421" t="s">
        <v>3093</v>
      </c>
      <c r="L41" s="421" t="s">
        <v>3094</v>
      </c>
      <c r="M41" s="421" t="s">
        <v>2667</v>
      </c>
      <c r="N41" s="421" t="s">
        <v>3093</v>
      </c>
      <c r="O41" s="421" t="s">
        <v>3094</v>
      </c>
      <c r="P41" s="421" t="s">
        <v>3095</v>
      </c>
      <c r="Q41" s="421" t="s">
        <v>3113</v>
      </c>
      <c r="R41" s="421" t="s">
        <v>1108</v>
      </c>
      <c r="S41" s="421" t="s">
        <v>1108</v>
      </c>
      <c r="T41" s="421" t="s">
        <v>1130</v>
      </c>
      <c r="U41" s="421" t="s">
        <v>1112</v>
      </c>
      <c r="V41" s="421" t="s">
        <v>3097</v>
      </c>
      <c r="W41" s="421" t="s">
        <v>3098</v>
      </c>
      <c r="X41" s="421" t="s">
        <v>3099</v>
      </c>
      <c r="Y41" s="421" t="s">
        <v>1117</v>
      </c>
      <c r="Z41" s="421" t="s">
        <v>1118</v>
      </c>
      <c r="AA41" s="421" t="s">
        <v>3100</v>
      </c>
      <c r="AB41" s="421" t="s">
        <v>3101</v>
      </c>
      <c r="AC41" s="421" t="s">
        <v>3102</v>
      </c>
      <c r="AD41" s="421" t="s">
        <v>3189</v>
      </c>
      <c r="AE41" s="421" t="s">
        <v>3190</v>
      </c>
      <c r="AF41" s="421" t="s">
        <v>2236</v>
      </c>
      <c r="AG41" s="421" t="s">
        <v>2237</v>
      </c>
      <c r="AH41" s="421" t="s">
        <v>3105</v>
      </c>
      <c r="AI41" s="421">
        <v>280416</v>
      </c>
      <c r="AJ41" s="421">
        <v>662.55</v>
      </c>
      <c r="AK41" s="421">
        <v>718.17</v>
      </c>
      <c r="AL41" s="421">
        <v>2</v>
      </c>
      <c r="AM41" s="421" t="s">
        <v>961</v>
      </c>
      <c r="AN41" s="421" t="s">
        <v>3191</v>
      </c>
      <c r="AO41" s="421" t="s">
        <v>1121</v>
      </c>
      <c r="AP41" s="421" t="s">
        <v>1121</v>
      </c>
      <c r="AQ41" s="421" t="s">
        <v>1108</v>
      </c>
      <c r="AR41" s="421" t="s">
        <v>3128</v>
      </c>
      <c r="AS41" s="421" t="s">
        <v>3192</v>
      </c>
      <c r="AT41" s="421" t="s">
        <v>3109</v>
      </c>
      <c r="AU41" s="421" t="s">
        <v>1142</v>
      </c>
      <c r="AV41" s="421" t="s">
        <v>2520</v>
      </c>
      <c r="AW41" s="421" t="s">
        <v>3110</v>
      </c>
      <c r="AX41" s="421" t="s">
        <v>3111</v>
      </c>
      <c r="AY41" s="421" t="s">
        <v>3193</v>
      </c>
      <c r="AZ41" s="421" t="s">
        <v>3113</v>
      </c>
      <c r="BA41" s="421" t="s">
        <v>3114</v>
      </c>
      <c r="BB41" s="421" t="s">
        <v>3115</v>
      </c>
      <c r="BC41" s="421">
        <v>9771.84</v>
      </c>
      <c r="BD41" s="421">
        <v>23295187.09</v>
      </c>
      <c r="BE41" s="421">
        <v>0</v>
      </c>
      <c r="BF41" s="421">
        <v>116.65</v>
      </c>
      <c r="BG41" s="421">
        <v>24.72</v>
      </c>
      <c r="BH41" s="421">
        <v>0</v>
      </c>
      <c r="BI41" s="421" t="s">
        <v>1149</v>
      </c>
    </row>
    <row r="42" spans="1:61" x14ac:dyDescent="0.25">
      <c r="A42" s="421">
        <v>39</v>
      </c>
      <c r="B42" s="421">
        <v>2015</v>
      </c>
      <c r="C42" s="421">
        <v>1</v>
      </c>
      <c r="D42" s="421">
        <v>17</v>
      </c>
      <c r="E42" s="421" t="s">
        <v>1475</v>
      </c>
      <c r="F42" s="421" t="s">
        <v>3089</v>
      </c>
      <c r="G42" s="421" t="s">
        <v>3161</v>
      </c>
      <c r="H42" s="421" t="s">
        <v>1107</v>
      </c>
      <c r="I42" s="421" t="s">
        <v>1273</v>
      </c>
      <c r="J42" s="421" t="s">
        <v>3188</v>
      </c>
      <c r="K42" s="421" t="s">
        <v>3093</v>
      </c>
      <c r="L42" s="421" t="s">
        <v>3094</v>
      </c>
      <c r="M42" s="421" t="s">
        <v>2667</v>
      </c>
      <c r="N42" s="421" t="s">
        <v>3093</v>
      </c>
      <c r="O42" s="421" t="s">
        <v>3094</v>
      </c>
      <c r="P42" s="421" t="s">
        <v>3095</v>
      </c>
      <c r="Q42" s="421" t="s">
        <v>3113</v>
      </c>
      <c r="R42" s="421" t="s">
        <v>1108</v>
      </c>
      <c r="S42" s="421" t="s">
        <v>1108</v>
      </c>
      <c r="T42" s="421" t="s">
        <v>1130</v>
      </c>
      <c r="U42" s="421" t="s">
        <v>1112</v>
      </c>
      <c r="V42" s="421" t="s">
        <v>3097</v>
      </c>
      <c r="W42" s="421" t="s">
        <v>3098</v>
      </c>
      <c r="X42" s="421" t="s">
        <v>3099</v>
      </c>
      <c r="Y42" s="421" t="s">
        <v>1117</v>
      </c>
      <c r="Z42" s="421" t="s">
        <v>1118</v>
      </c>
      <c r="AA42" s="421" t="s">
        <v>3100</v>
      </c>
      <c r="AB42" s="421" t="s">
        <v>3101</v>
      </c>
      <c r="AC42" s="421" t="s">
        <v>3102</v>
      </c>
      <c r="AD42" s="421" t="s">
        <v>3189</v>
      </c>
      <c r="AE42" s="421" t="s">
        <v>3190</v>
      </c>
      <c r="AF42" s="421" t="s">
        <v>2236</v>
      </c>
      <c r="AG42" s="421" t="s">
        <v>2237</v>
      </c>
      <c r="AH42" s="421" t="s">
        <v>3105</v>
      </c>
      <c r="AI42" s="421">
        <v>142560</v>
      </c>
      <c r="AJ42" s="421">
        <v>482.45</v>
      </c>
      <c r="AK42" s="421">
        <v>522.95000000000005</v>
      </c>
      <c r="AL42" s="421">
        <v>3</v>
      </c>
      <c r="AM42" s="421" t="s">
        <v>961</v>
      </c>
      <c r="AN42" s="421" t="s">
        <v>3191</v>
      </c>
      <c r="AO42" s="421" t="s">
        <v>1121</v>
      </c>
      <c r="AP42" s="421" t="s">
        <v>1121</v>
      </c>
      <c r="AQ42" s="421" t="s">
        <v>1108</v>
      </c>
      <c r="AR42" s="421" t="s">
        <v>3128</v>
      </c>
      <c r="AS42" s="421" t="s">
        <v>3192</v>
      </c>
      <c r="AT42" s="421" t="s">
        <v>3109</v>
      </c>
      <c r="AU42" s="421" t="s">
        <v>1142</v>
      </c>
      <c r="AV42" s="421" t="s">
        <v>2520</v>
      </c>
      <c r="AW42" s="421" t="s">
        <v>3110</v>
      </c>
      <c r="AX42" s="421" t="s">
        <v>3111</v>
      </c>
      <c r="AY42" s="421" t="s">
        <v>3193</v>
      </c>
      <c r="AZ42" s="421" t="s">
        <v>3113</v>
      </c>
      <c r="BA42" s="421" t="s">
        <v>3114</v>
      </c>
      <c r="BB42" s="421" t="s">
        <v>3115</v>
      </c>
      <c r="BC42" s="421">
        <v>12856.8</v>
      </c>
      <c r="BD42" s="421">
        <v>30649454.09</v>
      </c>
      <c r="BE42" s="421">
        <v>0</v>
      </c>
      <c r="BF42" s="421">
        <v>153.47</v>
      </c>
      <c r="BG42" s="421">
        <v>32.53</v>
      </c>
      <c r="BH42" s="421">
        <v>0</v>
      </c>
      <c r="BI42" s="421" t="s">
        <v>1149</v>
      </c>
    </row>
    <row r="43" spans="1:61" x14ac:dyDescent="0.25">
      <c r="A43" s="421">
        <v>40</v>
      </c>
      <c r="B43" s="421">
        <v>2015</v>
      </c>
      <c r="C43" s="421">
        <v>1</v>
      </c>
      <c r="D43" s="421">
        <v>20</v>
      </c>
      <c r="E43" s="421" t="s">
        <v>1475</v>
      </c>
      <c r="F43" s="421" t="s">
        <v>3089</v>
      </c>
      <c r="G43" s="421" t="s">
        <v>3194</v>
      </c>
      <c r="H43" s="421" t="s">
        <v>1107</v>
      </c>
      <c r="I43" s="421" t="s">
        <v>1345</v>
      </c>
      <c r="J43" s="421" t="s">
        <v>3195</v>
      </c>
      <c r="K43" s="421" t="s">
        <v>3093</v>
      </c>
      <c r="L43" s="421" t="s">
        <v>3094</v>
      </c>
      <c r="M43" s="421" t="s">
        <v>2667</v>
      </c>
      <c r="N43" s="421" t="s">
        <v>3093</v>
      </c>
      <c r="O43" s="421" t="s">
        <v>3094</v>
      </c>
      <c r="P43" s="421" t="s">
        <v>3095</v>
      </c>
      <c r="Q43" s="421" t="s">
        <v>3113</v>
      </c>
      <c r="R43" s="421" t="s">
        <v>1108</v>
      </c>
      <c r="S43" s="421" t="s">
        <v>1108</v>
      </c>
      <c r="T43" s="421" t="s">
        <v>1130</v>
      </c>
      <c r="U43" s="421" t="s">
        <v>1112</v>
      </c>
      <c r="V43" s="421" t="s">
        <v>3097</v>
      </c>
      <c r="W43" s="421" t="s">
        <v>3098</v>
      </c>
      <c r="X43" s="421" t="s">
        <v>3099</v>
      </c>
      <c r="Y43" s="421" t="s">
        <v>1117</v>
      </c>
      <c r="Z43" s="421" t="s">
        <v>1118</v>
      </c>
      <c r="AA43" s="421" t="s">
        <v>3100</v>
      </c>
      <c r="AB43" s="421" t="s">
        <v>3101</v>
      </c>
      <c r="AC43" s="421" t="s">
        <v>3102</v>
      </c>
      <c r="AD43" s="421" t="s">
        <v>3196</v>
      </c>
      <c r="AE43" s="421" t="s">
        <v>3197</v>
      </c>
      <c r="AF43" s="421" t="s">
        <v>2236</v>
      </c>
      <c r="AG43" s="421" t="s">
        <v>2237</v>
      </c>
      <c r="AH43" s="421" t="s">
        <v>3105</v>
      </c>
      <c r="AI43" s="421">
        <v>549800</v>
      </c>
      <c r="AJ43" s="421">
        <v>2022</v>
      </c>
      <c r="AK43" s="421">
        <v>2197.79</v>
      </c>
      <c r="AL43" s="421">
        <v>3</v>
      </c>
      <c r="AM43" s="421" t="s">
        <v>967</v>
      </c>
      <c r="AN43" s="421" t="s">
        <v>3198</v>
      </c>
      <c r="AO43" s="421" t="s">
        <v>1121</v>
      </c>
      <c r="AP43" s="421" t="s">
        <v>1121</v>
      </c>
      <c r="AQ43" s="421" t="s">
        <v>1108</v>
      </c>
      <c r="AR43" s="421" t="s">
        <v>3128</v>
      </c>
      <c r="AS43" s="421" t="s">
        <v>3199</v>
      </c>
      <c r="AT43" s="421" t="s">
        <v>3109</v>
      </c>
      <c r="AU43" s="421" t="s">
        <v>1142</v>
      </c>
      <c r="AV43" s="421" t="s">
        <v>3139</v>
      </c>
      <c r="AW43" s="421" t="s">
        <v>3110</v>
      </c>
      <c r="AX43" s="421" t="s">
        <v>3111</v>
      </c>
      <c r="AY43" s="421" t="s">
        <v>3200</v>
      </c>
      <c r="AZ43" s="421" t="s">
        <v>3113</v>
      </c>
      <c r="BA43" s="421" t="s">
        <v>3114</v>
      </c>
      <c r="BB43" s="421" t="s">
        <v>3115</v>
      </c>
      <c r="BC43" s="421">
        <v>53304</v>
      </c>
      <c r="BD43" s="421">
        <v>127071938.64</v>
      </c>
      <c r="BE43" s="421">
        <v>0</v>
      </c>
      <c r="BF43" s="421">
        <v>0</v>
      </c>
      <c r="BG43" s="421">
        <v>0</v>
      </c>
      <c r="BH43" s="421">
        <v>0</v>
      </c>
      <c r="BI43" s="421" t="s">
        <v>1149</v>
      </c>
    </row>
    <row r="44" spans="1:61" x14ac:dyDescent="0.25">
      <c r="A44" s="421">
        <v>41</v>
      </c>
      <c r="B44" s="421">
        <v>2015</v>
      </c>
      <c r="C44" s="421">
        <v>1</v>
      </c>
      <c r="D44" s="421">
        <v>20</v>
      </c>
      <c r="E44" s="421" t="s">
        <v>1475</v>
      </c>
      <c r="F44" s="421" t="s">
        <v>3089</v>
      </c>
      <c r="G44" s="421" t="s">
        <v>3194</v>
      </c>
      <c r="H44" s="421" t="s">
        <v>1107</v>
      </c>
      <c r="I44" s="421" t="s">
        <v>1345</v>
      </c>
      <c r="J44" s="421" t="s">
        <v>3195</v>
      </c>
      <c r="K44" s="421" t="s">
        <v>3093</v>
      </c>
      <c r="L44" s="421" t="s">
        <v>3094</v>
      </c>
      <c r="M44" s="421" t="s">
        <v>2667</v>
      </c>
      <c r="N44" s="421" t="s">
        <v>3093</v>
      </c>
      <c r="O44" s="421" t="s">
        <v>3094</v>
      </c>
      <c r="P44" s="421" t="s">
        <v>3095</v>
      </c>
      <c r="Q44" s="421" t="s">
        <v>3113</v>
      </c>
      <c r="R44" s="421" t="s">
        <v>1108</v>
      </c>
      <c r="S44" s="421" t="s">
        <v>1108</v>
      </c>
      <c r="T44" s="421" t="s">
        <v>1130</v>
      </c>
      <c r="U44" s="421" t="s">
        <v>1112</v>
      </c>
      <c r="V44" s="421" t="s">
        <v>3097</v>
      </c>
      <c r="W44" s="421" t="s">
        <v>3098</v>
      </c>
      <c r="X44" s="421" t="s">
        <v>3099</v>
      </c>
      <c r="Y44" s="421" t="s">
        <v>1117</v>
      </c>
      <c r="Z44" s="421" t="s">
        <v>1118</v>
      </c>
      <c r="AA44" s="421" t="s">
        <v>3100</v>
      </c>
      <c r="AB44" s="421" t="s">
        <v>3101</v>
      </c>
      <c r="AC44" s="421" t="s">
        <v>3102</v>
      </c>
      <c r="AD44" s="421" t="s">
        <v>3196</v>
      </c>
      <c r="AE44" s="421" t="s">
        <v>3197</v>
      </c>
      <c r="AF44" s="421" t="s">
        <v>2236</v>
      </c>
      <c r="AG44" s="421" t="s">
        <v>2237</v>
      </c>
      <c r="AH44" s="421" t="s">
        <v>3105</v>
      </c>
      <c r="AI44" s="421">
        <v>1617800</v>
      </c>
      <c r="AJ44" s="421">
        <v>3083.34</v>
      </c>
      <c r="AK44" s="421">
        <v>3351.41</v>
      </c>
      <c r="AL44" s="421">
        <v>2</v>
      </c>
      <c r="AM44" s="421" t="s">
        <v>967</v>
      </c>
      <c r="AN44" s="421" t="s">
        <v>3198</v>
      </c>
      <c r="AO44" s="421" t="s">
        <v>1121</v>
      </c>
      <c r="AP44" s="421" t="s">
        <v>1121</v>
      </c>
      <c r="AQ44" s="421" t="s">
        <v>1108</v>
      </c>
      <c r="AR44" s="421" t="s">
        <v>3128</v>
      </c>
      <c r="AS44" s="421" t="s">
        <v>3199</v>
      </c>
      <c r="AT44" s="421" t="s">
        <v>3109</v>
      </c>
      <c r="AU44" s="421" t="s">
        <v>1142</v>
      </c>
      <c r="AV44" s="421" t="s">
        <v>3139</v>
      </c>
      <c r="AW44" s="421" t="s">
        <v>3110</v>
      </c>
      <c r="AX44" s="421" t="s">
        <v>3111</v>
      </c>
      <c r="AY44" s="421" t="s">
        <v>3200</v>
      </c>
      <c r="AZ44" s="421" t="s">
        <v>3113</v>
      </c>
      <c r="BA44" s="421" t="s">
        <v>3114</v>
      </c>
      <c r="BB44" s="421" t="s">
        <v>3115</v>
      </c>
      <c r="BC44" s="421">
        <v>43635.199999999997</v>
      </c>
      <c r="BD44" s="421">
        <v>104022389.63</v>
      </c>
      <c r="BE44" s="421">
        <v>0</v>
      </c>
      <c r="BF44" s="421">
        <v>0</v>
      </c>
      <c r="BG44" s="421">
        <v>0</v>
      </c>
      <c r="BH44" s="421">
        <v>0</v>
      </c>
      <c r="BI44" s="421" t="s">
        <v>1149</v>
      </c>
    </row>
    <row r="45" spans="1:61" x14ac:dyDescent="0.25">
      <c r="A45" s="421">
        <v>42</v>
      </c>
      <c r="B45" s="421">
        <v>2015</v>
      </c>
      <c r="C45" s="421">
        <v>1</v>
      </c>
      <c r="D45" s="421">
        <v>20</v>
      </c>
      <c r="E45" s="421" t="s">
        <v>1475</v>
      </c>
      <c r="F45" s="421" t="s">
        <v>3089</v>
      </c>
      <c r="G45" s="421" t="s">
        <v>3194</v>
      </c>
      <c r="H45" s="421" t="s">
        <v>1107</v>
      </c>
      <c r="I45" s="421" t="s">
        <v>1345</v>
      </c>
      <c r="J45" s="421" t="s">
        <v>3195</v>
      </c>
      <c r="K45" s="421" t="s">
        <v>3093</v>
      </c>
      <c r="L45" s="421" t="s">
        <v>3094</v>
      </c>
      <c r="M45" s="421" t="s">
        <v>2667</v>
      </c>
      <c r="N45" s="421" t="s">
        <v>3093</v>
      </c>
      <c r="O45" s="421" t="s">
        <v>3094</v>
      </c>
      <c r="P45" s="421" t="s">
        <v>3095</v>
      </c>
      <c r="Q45" s="421" t="s">
        <v>3113</v>
      </c>
      <c r="R45" s="421" t="s">
        <v>1108</v>
      </c>
      <c r="S45" s="421" t="s">
        <v>1108</v>
      </c>
      <c r="T45" s="421" t="s">
        <v>1130</v>
      </c>
      <c r="U45" s="421" t="s">
        <v>1112</v>
      </c>
      <c r="V45" s="421" t="s">
        <v>3097</v>
      </c>
      <c r="W45" s="421" t="s">
        <v>3098</v>
      </c>
      <c r="X45" s="421" t="s">
        <v>3099</v>
      </c>
      <c r="Y45" s="421" t="s">
        <v>1117</v>
      </c>
      <c r="Z45" s="421" t="s">
        <v>1118</v>
      </c>
      <c r="AA45" s="421" t="s">
        <v>3100</v>
      </c>
      <c r="AB45" s="421" t="s">
        <v>3101</v>
      </c>
      <c r="AC45" s="421" t="s">
        <v>3102</v>
      </c>
      <c r="AD45" s="421" t="s">
        <v>3196</v>
      </c>
      <c r="AE45" s="421" t="s">
        <v>3197</v>
      </c>
      <c r="AF45" s="421" t="s">
        <v>2236</v>
      </c>
      <c r="AG45" s="421" t="s">
        <v>2237</v>
      </c>
      <c r="AH45" s="421" t="s">
        <v>3105</v>
      </c>
      <c r="AI45" s="421">
        <v>4546600</v>
      </c>
      <c r="AJ45" s="421">
        <v>9239.24</v>
      </c>
      <c r="AK45" s="421">
        <v>10042.51</v>
      </c>
      <c r="AL45" s="421">
        <v>1</v>
      </c>
      <c r="AM45" s="421" t="s">
        <v>967</v>
      </c>
      <c r="AN45" s="421" t="s">
        <v>3198</v>
      </c>
      <c r="AO45" s="421" t="s">
        <v>1121</v>
      </c>
      <c r="AP45" s="421" t="s">
        <v>1121</v>
      </c>
      <c r="AQ45" s="421" t="s">
        <v>1108</v>
      </c>
      <c r="AR45" s="421" t="s">
        <v>3128</v>
      </c>
      <c r="AS45" s="421" t="s">
        <v>3199</v>
      </c>
      <c r="AT45" s="421" t="s">
        <v>3109</v>
      </c>
      <c r="AU45" s="421" t="s">
        <v>1142</v>
      </c>
      <c r="AV45" s="421" t="s">
        <v>3139</v>
      </c>
      <c r="AW45" s="421" t="s">
        <v>3110</v>
      </c>
      <c r="AX45" s="421" t="s">
        <v>3111</v>
      </c>
      <c r="AY45" s="421" t="s">
        <v>3200</v>
      </c>
      <c r="AZ45" s="421" t="s">
        <v>3113</v>
      </c>
      <c r="BA45" s="421" t="s">
        <v>3114</v>
      </c>
      <c r="BB45" s="421" t="s">
        <v>3115</v>
      </c>
      <c r="BC45" s="421">
        <v>125183.7</v>
      </c>
      <c r="BD45" s="421">
        <v>298426674.26999998</v>
      </c>
      <c r="BE45" s="421">
        <v>0</v>
      </c>
      <c r="BF45" s="421">
        <v>0</v>
      </c>
      <c r="BG45" s="421">
        <v>0</v>
      </c>
      <c r="BH45" s="421">
        <v>0</v>
      </c>
      <c r="BI45" s="421" t="s">
        <v>1149</v>
      </c>
    </row>
    <row r="46" spans="1:61" x14ac:dyDescent="0.25">
      <c r="A46" s="421">
        <v>43</v>
      </c>
      <c r="B46" s="421">
        <v>2015</v>
      </c>
      <c r="C46" s="421">
        <v>1</v>
      </c>
      <c r="D46" s="421">
        <v>21</v>
      </c>
      <c r="E46" s="421" t="s">
        <v>1475</v>
      </c>
      <c r="F46" s="421" t="s">
        <v>3089</v>
      </c>
      <c r="G46" s="421" t="s">
        <v>3201</v>
      </c>
      <c r="H46" s="421" t="s">
        <v>1107</v>
      </c>
      <c r="I46" s="421" t="s">
        <v>1276</v>
      </c>
      <c r="J46" s="421" t="s">
        <v>3202</v>
      </c>
      <c r="K46" s="421" t="s">
        <v>3093</v>
      </c>
      <c r="L46" s="421" t="s">
        <v>3094</v>
      </c>
      <c r="M46" s="421" t="s">
        <v>2667</v>
      </c>
      <c r="N46" s="421" t="s">
        <v>3093</v>
      </c>
      <c r="O46" s="421" t="s">
        <v>3094</v>
      </c>
      <c r="P46" s="421" t="s">
        <v>3095</v>
      </c>
      <c r="Q46" s="421" t="s">
        <v>3113</v>
      </c>
      <c r="R46" s="421" t="s">
        <v>1108</v>
      </c>
      <c r="S46" s="421" t="s">
        <v>1108</v>
      </c>
      <c r="T46" s="421" t="s">
        <v>1130</v>
      </c>
      <c r="U46" s="421" t="s">
        <v>3144</v>
      </c>
      <c r="V46" s="421" t="s">
        <v>3145</v>
      </c>
      <c r="W46" s="421" t="s">
        <v>3098</v>
      </c>
      <c r="X46" s="421" t="s">
        <v>3099</v>
      </c>
      <c r="Y46" s="421" t="s">
        <v>1117</v>
      </c>
      <c r="Z46" s="421" t="s">
        <v>1118</v>
      </c>
      <c r="AA46" s="421" t="s">
        <v>3100</v>
      </c>
      <c r="AB46" s="421" t="s">
        <v>3146</v>
      </c>
      <c r="AC46" s="421" t="s">
        <v>3102</v>
      </c>
      <c r="AD46" s="421" t="s">
        <v>3203</v>
      </c>
      <c r="AE46" s="421" t="s">
        <v>3204</v>
      </c>
      <c r="AF46" s="421" t="s">
        <v>2236</v>
      </c>
      <c r="AG46" s="421" t="s">
        <v>2237</v>
      </c>
      <c r="AH46" s="421" t="s">
        <v>3105</v>
      </c>
      <c r="AI46" s="421">
        <v>84000</v>
      </c>
      <c r="AJ46" s="421">
        <v>409.31</v>
      </c>
      <c r="AK46" s="421">
        <v>439</v>
      </c>
      <c r="AL46" s="421">
        <v>1</v>
      </c>
      <c r="AM46" s="421" t="s">
        <v>959</v>
      </c>
      <c r="AN46" s="421" t="s">
        <v>3106</v>
      </c>
      <c r="AO46" s="421" t="s">
        <v>1121</v>
      </c>
      <c r="AP46" s="421" t="s">
        <v>1121</v>
      </c>
      <c r="AQ46" s="421" t="s">
        <v>1476</v>
      </c>
      <c r="AR46" s="421" t="s">
        <v>3128</v>
      </c>
      <c r="AS46" s="421" t="s">
        <v>3205</v>
      </c>
      <c r="AT46" s="421" t="s">
        <v>3109</v>
      </c>
      <c r="AU46" s="421" t="s">
        <v>1341</v>
      </c>
      <c r="AV46" s="421" t="s">
        <v>3157</v>
      </c>
      <c r="AW46" s="421" t="s">
        <v>3110</v>
      </c>
      <c r="AX46" s="421" t="s">
        <v>3131</v>
      </c>
      <c r="AY46" s="421" t="s">
        <v>3112</v>
      </c>
      <c r="AZ46" s="421" t="s">
        <v>3113</v>
      </c>
      <c r="BA46" s="421" t="s">
        <v>3114</v>
      </c>
      <c r="BB46" s="421" t="s">
        <v>3115</v>
      </c>
      <c r="BC46" s="421">
        <v>7089</v>
      </c>
      <c r="BD46" s="421">
        <v>16825316.16</v>
      </c>
      <c r="BE46" s="421">
        <v>0</v>
      </c>
      <c r="BF46" s="421">
        <v>2508</v>
      </c>
      <c r="BG46" s="421">
        <v>24</v>
      </c>
      <c r="BH46" s="421">
        <v>0</v>
      </c>
      <c r="BI46" s="421" t="s">
        <v>1167</v>
      </c>
    </row>
    <row r="47" spans="1:61" x14ac:dyDescent="0.25">
      <c r="A47" s="421">
        <v>44</v>
      </c>
      <c r="B47" s="421">
        <v>2015</v>
      </c>
      <c r="C47" s="421">
        <v>1</v>
      </c>
      <c r="D47" s="421">
        <v>28</v>
      </c>
      <c r="E47" s="421" t="s">
        <v>1475</v>
      </c>
      <c r="F47" s="421" t="s">
        <v>3089</v>
      </c>
      <c r="G47" s="421" t="s">
        <v>3206</v>
      </c>
      <c r="H47" s="421" t="s">
        <v>1107</v>
      </c>
      <c r="I47" s="421" t="s">
        <v>1295</v>
      </c>
      <c r="J47" s="421" t="s">
        <v>3207</v>
      </c>
      <c r="K47" s="421" t="s">
        <v>3093</v>
      </c>
      <c r="L47" s="421" t="s">
        <v>3094</v>
      </c>
      <c r="M47" s="421" t="s">
        <v>2667</v>
      </c>
      <c r="N47" s="421" t="s">
        <v>3093</v>
      </c>
      <c r="O47" s="421" t="s">
        <v>3094</v>
      </c>
      <c r="P47" s="421" t="s">
        <v>3095</v>
      </c>
      <c r="Q47" s="421" t="s">
        <v>3096</v>
      </c>
      <c r="R47" s="421" t="s">
        <v>1108</v>
      </c>
      <c r="S47" s="421" t="s">
        <v>1476</v>
      </c>
      <c r="T47" s="421" t="s">
        <v>1130</v>
      </c>
      <c r="U47" s="421" t="s">
        <v>3144</v>
      </c>
      <c r="V47" s="421" t="s">
        <v>3145</v>
      </c>
      <c r="W47" s="421" t="s">
        <v>3098</v>
      </c>
      <c r="X47" s="421" t="s">
        <v>3099</v>
      </c>
      <c r="Y47" s="421" t="s">
        <v>1117</v>
      </c>
      <c r="Z47" s="421" t="s">
        <v>1118</v>
      </c>
      <c r="AA47" s="421" t="s">
        <v>3100</v>
      </c>
      <c r="AB47" s="421" t="s">
        <v>3146</v>
      </c>
      <c r="AC47" s="421" t="s">
        <v>3102</v>
      </c>
      <c r="AD47" s="421" t="s">
        <v>3208</v>
      </c>
      <c r="AE47" s="421" t="s">
        <v>3209</v>
      </c>
      <c r="AF47" s="421" t="s">
        <v>2236</v>
      </c>
      <c r="AG47" s="421" t="s">
        <v>2237</v>
      </c>
      <c r="AH47" s="421" t="s">
        <v>3105</v>
      </c>
      <c r="AI47" s="421">
        <v>243500</v>
      </c>
      <c r="AJ47" s="421">
        <v>532.92999999999995</v>
      </c>
      <c r="AK47" s="421">
        <v>568</v>
      </c>
      <c r="AL47" s="421">
        <v>1</v>
      </c>
      <c r="AM47" s="421" t="s">
        <v>963</v>
      </c>
      <c r="AN47" s="421" t="s">
        <v>3210</v>
      </c>
      <c r="AO47" s="421" t="s">
        <v>1121</v>
      </c>
      <c r="AP47" s="421" t="s">
        <v>1121</v>
      </c>
      <c r="AQ47" s="421" t="s">
        <v>1476</v>
      </c>
      <c r="AR47" s="421" t="s">
        <v>3128</v>
      </c>
      <c r="AS47" s="421" t="s">
        <v>3211</v>
      </c>
      <c r="AT47" s="421" t="s">
        <v>3109</v>
      </c>
      <c r="AU47" s="421" t="s">
        <v>1341</v>
      </c>
      <c r="AV47" s="421" t="s">
        <v>962</v>
      </c>
      <c r="AW47" s="421" t="s">
        <v>3110</v>
      </c>
      <c r="AX47" s="421" t="s">
        <v>3111</v>
      </c>
      <c r="AY47" s="421" t="s">
        <v>3112</v>
      </c>
      <c r="AZ47" s="421" t="s">
        <v>3113</v>
      </c>
      <c r="BA47" s="421" t="s">
        <v>3114</v>
      </c>
      <c r="BB47" s="421" t="s">
        <v>3115</v>
      </c>
      <c r="BC47" s="421">
        <v>8044.14</v>
      </c>
      <c r="BD47" s="421">
        <v>19153982.199999999</v>
      </c>
      <c r="BE47" s="421">
        <v>0</v>
      </c>
      <c r="BF47" s="421">
        <v>1684.92</v>
      </c>
      <c r="BG47" s="421">
        <v>24.32</v>
      </c>
      <c r="BH47" s="421">
        <v>0</v>
      </c>
      <c r="BI47" s="421" t="s">
        <v>1167</v>
      </c>
    </row>
    <row r="48" spans="1:61" x14ac:dyDescent="0.25">
      <c r="A48" s="421">
        <v>45</v>
      </c>
      <c r="B48" s="421">
        <v>2015</v>
      </c>
      <c r="C48" s="421">
        <v>1</v>
      </c>
      <c r="D48" s="421">
        <v>28</v>
      </c>
      <c r="E48" s="421" t="s">
        <v>1475</v>
      </c>
      <c r="F48" s="421" t="s">
        <v>3089</v>
      </c>
      <c r="G48" s="421" t="s">
        <v>3206</v>
      </c>
      <c r="H48" s="421" t="s">
        <v>1107</v>
      </c>
      <c r="I48" s="421" t="s">
        <v>1295</v>
      </c>
      <c r="J48" s="421" t="s">
        <v>3212</v>
      </c>
      <c r="K48" s="421" t="s">
        <v>3093</v>
      </c>
      <c r="L48" s="421" t="s">
        <v>3094</v>
      </c>
      <c r="M48" s="421" t="s">
        <v>2667</v>
      </c>
      <c r="N48" s="421" t="s">
        <v>3093</v>
      </c>
      <c r="O48" s="421" t="s">
        <v>3094</v>
      </c>
      <c r="P48" s="421" t="s">
        <v>3095</v>
      </c>
      <c r="Q48" s="421" t="s">
        <v>3113</v>
      </c>
      <c r="R48" s="421" t="s">
        <v>1108</v>
      </c>
      <c r="S48" s="421" t="s">
        <v>1108</v>
      </c>
      <c r="T48" s="421" t="s">
        <v>1130</v>
      </c>
      <c r="U48" s="421" t="s">
        <v>3144</v>
      </c>
      <c r="V48" s="421" t="s">
        <v>3145</v>
      </c>
      <c r="W48" s="421" t="s">
        <v>3098</v>
      </c>
      <c r="X48" s="421" t="s">
        <v>3099</v>
      </c>
      <c r="Y48" s="421" t="s">
        <v>1117</v>
      </c>
      <c r="Z48" s="421" t="s">
        <v>1118</v>
      </c>
      <c r="AA48" s="421" t="s">
        <v>3100</v>
      </c>
      <c r="AB48" s="421" t="s">
        <v>3146</v>
      </c>
      <c r="AC48" s="421" t="s">
        <v>3102</v>
      </c>
      <c r="AD48" s="421" t="s">
        <v>3213</v>
      </c>
      <c r="AE48" s="421" t="s">
        <v>3214</v>
      </c>
      <c r="AF48" s="421" t="s">
        <v>2236</v>
      </c>
      <c r="AG48" s="421" t="s">
        <v>2237</v>
      </c>
      <c r="AH48" s="421" t="s">
        <v>3105</v>
      </c>
      <c r="AI48" s="421">
        <v>55600</v>
      </c>
      <c r="AJ48" s="421">
        <v>136.01</v>
      </c>
      <c r="AK48" s="421">
        <v>149</v>
      </c>
      <c r="AL48" s="421">
        <v>1</v>
      </c>
      <c r="AM48" s="421" t="s">
        <v>2037</v>
      </c>
      <c r="AN48" s="421" t="s">
        <v>2039</v>
      </c>
      <c r="AO48" s="421" t="s">
        <v>1121</v>
      </c>
      <c r="AP48" s="421" t="s">
        <v>1121</v>
      </c>
      <c r="AQ48" s="421" t="s">
        <v>1108</v>
      </c>
      <c r="AR48" s="421" t="s">
        <v>3128</v>
      </c>
      <c r="AS48" s="421" t="s">
        <v>3215</v>
      </c>
      <c r="AT48" s="421" t="s">
        <v>3109</v>
      </c>
      <c r="AU48" s="421" t="s">
        <v>1341</v>
      </c>
      <c r="AV48" s="421" t="s">
        <v>2037</v>
      </c>
      <c r="AW48" s="421" t="s">
        <v>3110</v>
      </c>
      <c r="AX48" s="421" t="s">
        <v>3111</v>
      </c>
      <c r="AY48" s="421" t="s">
        <v>3112</v>
      </c>
      <c r="AZ48" s="421" t="s">
        <v>3113</v>
      </c>
      <c r="BA48" s="421" t="s">
        <v>3114</v>
      </c>
      <c r="BB48" s="421" t="s">
        <v>3115</v>
      </c>
      <c r="BC48" s="421">
        <v>2605.6</v>
      </c>
      <c r="BD48" s="421">
        <v>6204220.2199999997</v>
      </c>
      <c r="BE48" s="421">
        <v>0</v>
      </c>
      <c r="BF48" s="421">
        <v>248.1</v>
      </c>
      <c r="BG48" s="421">
        <v>12</v>
      </c>
      <c r="BH48" s="421">
        <v>0</v>
      </c>
      <c r="BI48" s="421" t="s">
        <v>1149</v>
      </c>
    </row>
    <row r="49" spans="1:61" x14ac:dyDescent="0.25">
      <c r="A49" s="421">
        <v>46</v>
      </c>
      <c r="B49" s="421">
        <v>2015</v>
      </c>
      <c r="C49" s="421">
        <v>1</v>
      </c>
      <c r="D49" s="421">
        <v>31</v>
      </c>
      <c r="E49" s="421" t="s">
        <v>1475</v>
      </c>
      <c r="F49" s="421" t="s">
        <v>3089</v>
      </c>
      <c r="G49" s="421" t="s">
        <v>3216</v>
      </c>
      <c r="H49" s="421" t="s">
        <v>1107</v>
      </c>
      <c r="I49" s="421" t="s">
        <v>1489</v>
      </c>
      <c r="J49" s="421" t="s">
        <v>3217</v>
      </c>
      <c r="K49" s="421" t="s">
        <v>3093</v>
      </c>
      <c r="L49" s="421" t="s">
        <v>3094</v>
      </c>
      <c r="M49" s="421" t="s">
        <v>2667</v>
      </c>
      <c r="N49" s="421" t="s">
        <v>3093</v>
      </c>
      <c r="O49" s="421" t="s">
        <v>3094</v>
      </c>
      <c r="P49" s="421" t="s">
        <v>3095</v>
      </c>
      <c r="Q49" s="421" t="s">
        <v>3113</v>
      </c>
      <c r="R49" s="421" t="s">
        <v>1476</v>
      </c>
      <c r="S49" s="421" t="s">
        <v>1476</v>
      </c>
      <c r="T49" s="421" t="s">
        <v>1130</v>
      </c>
      <c r="U49" s="421" t="s">
        <v>1921</v>
      </c>
      <c r="V49" s="421" t="s">
        <v>3218</v>
      </c>
      <c r="W49" s="421" t="s">
        <v>3098</v>
      </c>
      <c r="X49" s="421" t="s">
        <v>3099</v>
      </c>
      <c r="Y49" s="421" t="s">
        <v>1117</v>
      </c>
      <c r="Z49" s="421" t="s">
        <v>1118</v>
      </c>
      <c r="AA49" s="421" t="s">
        <v>3100</v>
      </c>
      <c r="AB49" s="421" t="s">
        <v>3219</v>
      </c>
      <c r="AC49" s="421" t="s">
        <v>3102</v>
      </c>
      <c r="AD49" s="421" t="s">
        <v>3220</v>
      </c>
      <c r="AE49" s="421" t="s">
        <v>3221</v>
      </c>
      <c r="AF49" s="421" t="s">
        <v>2236</v>
      </c>
      <c r="AG49" s="421" t="s">
        <v>2237</v>
      </c>
      <c r="AH49" s="421" t="s">
        <v>3105</v>
      </c>
      <c r="AI49" s="421">
        <v>9500</v>
      </c>
      <c r="AJ49" s="421">
        <v>32.31</v>
      </c>
      <c r="AK49" s="421">
        <v>33.24</v>
      </c>
      <c r="AL49" s="421">
        <v>1</v>
      </c>
      <c r="AM49" s="421" t="s">
        <v>2037</v>
      </c>
      <c r="AN49" s="421" t="s">
        <v>2039</v>
      </c>
      <c r="AO49" s="421" t="s">
        <v>1121</v>
      </c>
      <c r="AP49" s="421" t="s">
        <v>1121</v>
      </c>
      <c r="AQ49" s="421" t="s">
        <v>1476</v>
      </c>
      <c r="AR49" s="421" t="s">
        <v>3128</v>
      </c>
      <c r="AS49" s="421" t="s">
        <v>3222</v>
      </c>
      <c r="AT49" s="421" t="s">
        <v>3109</v>
      </c>
      <c r="AU49" s="421" t="s">
        <v>1341</v>
      </c>
      <c r="AV49" s="421" t="s">
        <v>962</v>
      </c>
      <c r="AW49" s="421" t="s">
        <v>3110</v>
      </c>
      <c r="AX49" s="421" t="s">
        <v>3111</v>
      </c>
      <c r="AY49" s="421" t="s">
        <v>3112</v>
      </c>
      <c r="AZ49" s="421" t="s">
        <v>3113</v>
      </c>
      <c r="BA49" s="421" t="s">
        <v>3114</v>
      </c>
      <c r="BB49" s="421" t="s">
        <v>3115</v>
      </c>
      <c r="BC49" s="421">
        <v>656</v>
      </c>
      <c r="BD49" s="421">
        <v>1601361.6</v>
      </c>
      <c r="BE49" s="421">
        <v>0</v>
      </c>
      <c r="BF49" s="421">
        <v>235.5</v>
      </c>
      <c r="BG49" s="421">
        <v>0</v>
      </c>
      <c r="BH49" s="421">
        <v>0</v>
      </c>
      <c r="BI49" s="421" t="s">
        <v>1149</v>
      </c>
    </row>
    <row r="50" spans="1:61" x14ac:dyDescent="0.25">
      <c r="A50" s="421">
        <v>47</v>
      </c>
      <c r="B50" s="421">
        <v>2015</v>
      </c>
      <c r="C50" s="421">
        <v>2</v>
      </c>
      <c r="D50" s="421">
        <v>1</v>
      </c>
      <c r="E50" s="421" t="s">
        <v>1475</v>
      </c>
      <c r="F50" s="421" t="s">
        <v>3223</v>
      </c>
      <c r="G50" s="421" t="s">
        <v>3089</v>
      </c>
      <c r="H50" s="421" t="s">
        <v>1107</v>
      </c>
      <c r="I50" s="421" t="s">
        <v>3224</v>
      </c>
      <c r="J50" s="421" t="s">
        <v>3225</v>
      </c>
      <c r="K50" s="421" t="s">
        <v>3093</v>
      </c>
      <c r="L50" s="421" t="s">
        <v>3094</v>
      </c>
      <c r="M50" s="421" t="s">
        <v>2667</v>
      </c>
      <c r="N50" s="421" t="s">
        <v>3093</v>
      </c>
      <c r="O50" s="421" t="s">
        <v>3094</v>
      </c>
      <c r="P50" s="421" t="s">
        <v>3095</v>
      </c>
      <c r="Q50" s="421" t="s">
        <v>3096</v>
      </c>
      <c r="R50" s="421" t="s">
        <v>1108</v>
      </c>
      <c r="S50" s="421" t="s">
        <v>1542</v>
      </c>
      <c r="T50" s="421" t="s">
        <v>1130</v>
      </c>
      <c r="U50" s="421" t="s">
        <v>1112</v>
      </c>
      <c r="V50" s="421" t="s">
        <v>3097</v>
      </c>
      <c r="W50" s="421" t="s">
        <v>3098</v>
      </c>
      <c r="X50" s="421" t="s">
        <v>3099</v>
      </c>
      <c r="Y50" s="421" t="s">
        <v>1117</v>
      </c>
      <c r="Z50" s="421" t="s">
        <v>1118</v>
      </c>
      <c r="AA50" s="421" t="s">
        <v>3100</v>
      </c>
      <c r="AB50" s="421" t="s">
        <v>3101</v>
      </c>
      <c r="AC50" s="421" t="s">
        <v>3102</v>
      </c>
      <c r="AD50" s="421" t="s">
        <v>3103</v>
      </c>
      <c r="AE50" s="421" t="s">
        <v>3104</v>
      </c>
      <c r="AF50" s="421" t="s">
        <v>2236</v>
      </c>
      <c r="AG50" s="421" t="s">
        <v>2237</v>
      </c>
      <c r="AH50" s="421" t="s">
        <v>3105</v>
      </c>
      <c r="AI50" s="421">
        <v>1082000</v>
      </c>
      <c r="AJ50" s="421">
        <v>3845.76</v>
      </c>
      <c r="AK50" s="421">
        <v>4176.68</v>
      </c>
      <c r="AL50" s="421">
        <v>3</v>
      </c>
      <c r="AM50" s="421" t="s">
        <v>959</v>
      </c>
      <c r="AN50" s="421" t="s">
        <v>3106</v>
      </c>
      <c r="AO50" s="421" t="s">
        <v>1121</v>
      </c>
      <c r="AP50" s="421" t="s">
        <v>1121</v>
      </c>
      <c r="AQ50" s="421" t="s">
        <v>1542</v>
      </c>
      <c r="AR50" s="421" t="s">
        <v>3128</v>
      </c>
      <c r="AS50" s="421" t="s">
        <v>3226</v>
      </c>
      <c r="AT50" s="421" t="s">
        <v>3109</v>
      </c>
      <c r="AU50" s="421" t="s">
        <v>1142</v>
      </c>
      <c r="AV50" s="421" t="s">
        <v>1547</v>
      </c>
      <c r="AW50" s="421" t="s">
        <v>3110</v>
      </c>
      <c r="AX50" s="421" t="s">
        <v>3111</v>
      </c>
      <c r="AY50" s="421" t="s">
        <v>3112</v>
      </c>
      <c r="AZ50" s="421" t="s">
        <v>3113</v>
      </c>
      <c r="BA50" s="421" t="s">
        <v>3114</v>
      </c>
      <c r="BB50" s="421" t="s">
        <v>3115</v>
      </c>
      <c r="BC50" s="421">
        <v>100219.8</v>
      </c>
      <c r="BD50" s="421">
        <v>244646553.78</v>
      </c>
      <c r="BE50" s="421">
        <v>0</v>
      </c>
      <c r="BF50" s="421">
        <v>0</v>
      </c>
      <c r="BG50" s="421">
        <v>0</v>
      </c>
      <c r="BH50" s="421">
        <v>0</v>
      </c>
      <c r="BI50" s="421" t="s">
        <v>1167</v>
      </c>
    </row>
    <row r="51" spans="1:61" x14ac:dyDescent="0.25">
      <c r="A51" s="421">
        <v>48</v>
      </c>
      <c r="B51" s="421">
        <v>2015</v>
      </c>
      <c r="C51" s="421">
        <v>2</v>
      </c>
      <c r="D51" s="421">
        <v>1</v>
      </c>
      <c r="E51" s="421" t="s">
        <v>1475</v>
      </c>
      <c r="F51" s="421" t="s">
        <v>3223</v>
      </c>
      <c r="G51" s="421" t="s">
        <v>3089</v>
      </c>
      <c r="H51" s="421" t="s">
        <v>1107</v>
      </c>
      <c r="I51" s="421" t="s">
        <v>3224</v>
      </c>
      <c r="J51" s="421" t="s">
        <v>3225</v>
      </c>
      <c r="K51" s="421" t="s">
        <v>3093</v>
      </c>
      <c r="L51" s="421" t="s">
        <v>3094</v>
      </c>
      <c r="M51" s="421" t="s">
        <v>2667</v>
      </c>
      <c r="N51" s="421" t="s">
        <v>3093</v>
      </c>
      <c r="O51" s="421" t="s">
        <v>3094</v>
      </c>
      <c r="P51" s="421" t="s">
        <v>3095</v>
      </c>
      <c r="Q51" s="421" t="s">
        <v>3096</v>
      </c>
      <c r="R51" s="421" t="s">
        <v>1108</v>
      </c>
      <c r="S51" s="421" t="s">
        <v>1542</v>
      </c>
      <c r="T51" s="421" t="s">
        <v>1130</v>
      </c>
      <c r="U51" s="421" t="s">
        <v>1112</v>
      </c>
      <c r="V51" s="421" t="s">
        <v>3097</v>
      </c>
      <c r="W51" s="421" t="s">
        <v>3098</v>
      </c>
      <c r="X51" s="421" t="s">
        <v>3099</v>
      </c>
      <c r="Y51" s="421" t="s">
        <v>1117</v>
      </c>
      <c r="Z51" s="421" t="s">
        <v>1118</v>
      </c>
      <c r="AA51" s="421" t="s">
        <v>3100</v>
      </c>
      <c r="AB51" s="421" t="s">
        <v>3101</v>
      </c>
      <c r="AC51" s="421" t="s">
        <v>3102</v>
      </c>
      <c r="AD51" s="421" t="s">
        <v>3103</v>
      </c>
      <c r="AE51" s="421" t="s">
        <v>3104</v>
      </c>
      <c r="AF51" s="421" t="s">
        <v>2236</v>
      </c>
      <c r="AG51" s="421" t="s">
        <v>2237</v>
      </c>
      <c r="AH51" s="421" t="s">
        <v>3105</v>
      </c>
      <c r="AI51" s="421">
        <v>264000</v>
      </c>
      <c r="AJ51" s="421">
        <v>969.32</v>
      </c>
      <c r="AK51" s="421">
        <v>1052.73</v>
      </c>
      <c r="AL51" s="421">
        <v>4</v>
      </c>
      <c r="AM51" s="421" t="s">
        <v>959</v>
      </c>
      <c r="AN51" s="421" t="s">
        <v>3106</v>
      </c>
      <c r="AO51" s="421" t="s">
        <v>1121</v>
      </c>
      <c r="AP51" s="421" t="s">
        <v>1121</v>
      </c>
      <c r="AQ51" s="421" t="s">
        <v>1542</v>
      </c>
      <c r="AR51" s="421" t="s">
        <v>3128</v>
      </c>
      <c r="AS51" s="421" t="s">
        <v>3226</v>
      </c>
      <c r="AT51" s="421" t="s">
        <v>3109</v>
      </c>
      <c r="AU51" s="421" t="s">
        <v>1142</v>
      </c>
      <c r="AV51" s="421" t="s">
        <v>1547</v>
      </c>
      <c r="AW51" s="421" t="s">
        <v>3110</v>
      </c>
      <c r="AX51" s="421" t="s">
        <v>3111</v>
      </c>
      <c r="AY51" s="421" t="s">
        <v>3112</v>
      </c>
      <c r="AZ51" s="421" t="s">
        <v>3113</v>
      </c>
      <c r="BA51" s="421" t="s">
        <v>3114</v>
      </c>
      <c r="BB51" s="421" t="s">
        <v>3115</v>
      </c>
      <c r="BC51" s="421">
        <v>23727</v>
      </c>
      <c r="BD51" s="421">
        <v>57919979.700000003</v>
      </c>
      <c r="BE51" s="421">
        <v>0</v>
      </c>
      <c r="BF51" s="421">
        <v>0</v>
      </c>
      <c r="BG51" s="421">
        <v>0</v>
      </c>
      <c r="BH51" s="421">
        <v>0</v>
      </c>
      <c r="BI51" s="421" t="s">
        <v>1167</v>
      </c>
    </row>
    <row r="52" spans="1:61" x14ac:dyDescent="0.25">
      <c r="A52" s="421">
        <v>49</v>
      </c>
      <c r="B52" s="421">
        <v>2015</v>
      </c>
      <c r="C52" s="421">
        <v>2</v>
      </c>
      <c r="D52" s="421">
        <v>1</v>
      </c>
      <c r="E52" s="421" t="s">
        <v>1475</v>
      </c>
      <c r="F52" s="421" t="s">
        <v>3223</v>
      </c>
      <c r="G52" s="421" t="s">
        <v>3089</v>
      </c>
      <c r="H52" s="421" t="s">
        <v>1107</v>
      </c>
      <c r="I52" s="421" t="s">
        <v>3224</v>
      </c>
      <c r="J52" s="421" t="s">
        <v>3227</v>
      </c>
      <c r="K52" s="421" t="s">
        <v>3093</v>
      </c>
      <c r="L52" s="421" t="s">
        <v>3094</v>
      </c>
      <c r="M52" s="421" t="s">
        <v>2667</v>
      </c>
      <c r="N52" s="421" t="s">
        <v>3093</v>
      </c>
      <c r="O52" s="421" t="s">
        <v>3094</v>
      </c>
      <c r="P52" s="421" t="s">
        <v>3095</v>
      </c>
      <c r="Q52" s="421" t="s">
        <v>3096</v>
      </c>
      <c r="R52" s="421" t="s">
        <v>1108</v>
      </c>
      <c r="S52" s="421" t="s">
        <v>1542</v>
      </c>
      <c r="T52" s="421" t="s">
        <v>1130</v>
      </c>
      <c r="U52" s="421" t="s">
        <v>1112</v>
      </c>
      <c r="V52" s="421" t="s">
        <v>3097</v>
      </c>
      <c r="W52" s="421" t="s">
        <v>3098</v>
      </c>
      <c r="X52" s="421" t="s">
        <v>3099</v>
      </c>
      <c r="Y52" s="421" t="s">
        <v>1117</v>
      </c>
      <c r="Z52" s="421" t="s">
        <v>1118</v>
      </c>
      <c r="AA52" s="421" t="s">
        <v>3100</v>
      </c>
      <c r="AB52" s="421" t="s">
        <v>3101</v>
      </c>
      <c r="AC52" s="421" t="s">
        <v>3102</v>
      </c>
      <c r="AD52" s="421" t="s">
        <v>3103</v>
      </c>
      <c r="AE52" s="421" t="s">
        <v>3104</v>
      </c>
      <c r="AF52" s="421" t="s">
        <v>1300</v>
      </c>
      <c r="AG52" s="421" t="s">
        <v>1301</v>
      </c>
      <c r="AH52" s="421" t="s">
        <v>1127</v>
      </c>
      <c r="AI52" s="421">
        <v>6.37</v>
      </c>
      <c r="AJ52" s="421">
        <v>6.37</v>
      </c>
      <c r="AK52" s="421">
        <v>7.3</v>
      </c>
      <c r="AL52" s="421">
        <v>1</v>
      </c>
      <c r="AM52" s="421" t="s">
        <v>959</v>
      </c>
      <c r="AN52" s="421" t="s">
        <v>3106</v>
      </c>
      <c r="AO52" s="421" t="s">
        <v>1121</v>
      </c>
      <c r="AP52" s="421" t="s">
        <v>1121</v>
      </c>
      <c r="AQ52" s="421" t="s">
        <v>1542</v>
      </c>
      <c r="AR52" s="421" t="s">
        <v>3128</v>
      </c>
      <c r="AS52" s="421" t="s">
        <v>3228</v>
      </c>
      <c r="AT52" s="421" t="s">
        <v>3109</v>
      </c>
      <c r="AU52" s="421" t="s">
        <v>1142</v>
      </c>
      <c r="AV52" s="421" t="s">
        <v>1547</v>
      </c>
      <c r="AW52" s="421" t="s">
        <v>3110</v>
      </c>
      <c r="AX52" s="421" t="s">
        <v>3229</v>
      </c>
      <c r="AY52" s="421" t="s">
        <v>3112</v>
      </c>
      <c r="AZ52" s="421" t="s">
        <v>3113</v>
      </c>
      <c r="BA52" s="421" t="s">
        <v>3114</v>
      </c>
      <c r="BB52" s="421" t="s">
        <v>3230</v>
      </c>
      <c r="BC52" s="421">
        <v>1.25</v>
      </c>
      <c r="BD52" s="421">
        <v>3051.38</v>
      </c>
      <c r="BE52" s="421">
        <v>0</v>
      </c>
      <c r="BF52" s="421">
        <v>0</v>
      </c>
      <c r="BG52" s="421">
        <v>0</v>
      </c>
      <c r="BH52" s="421">
        <v>0</v>
      </c>
      <c r="BI52" s="421" t="s">
        <v>1167</v>
      </c>
    </row>
    <row r="53" spans="1:61" x14ac:dyDescent="0.25">
      <c r="A53" s="421">
        <v>50</v>
      </c>
      <c r="B53" s="421">
        <v>2015</v>
      </c>
      <c r="C53" s="421">
        <v>2</v>
      </c>
      <c r="D53" s="421">
        <v>1</v>
      </c>
      <c r="E53" s="421" t="s">
        <v>1475</v>
      </c>
      <c r="F53" s="421" t="s">
        <v>3223</v>
      </c>
      <c r="G53" s="421" t="s">
        <v>3089</v>
      </c>
      <c r="H53" s="421" t="s">
        <v>1107</v>
      </c>
      <c r="I53" s="421" t="s">
        <v>3224</v>
      </c>
      <c r="J53" s="421" t="s">
        <v>3231</v>
      </c>
      <c r="K53" s="421" t="s">
        <v>3093</v>
      </c>
      <c r="L53" s="421" t="s">
        <v>3094</v>
      </c>
      <c r="M53" s="421" t="s">
        <v>2667</v>
      </c>
      <c r="N53" s="421" t="s">
        <v>3093</v>
      </c>
      <c r="O53" s="421" t="s">
        <v>3094</v>
      </c>
      <c r="P53" s="421" t="s">
        <v>3095</v>
      </c>
      <c r="Q53" s="421" t="s">
        <v>3113</v>
      </c>
      <c r="R53" s="421" t="s">
        <v>1108</v>
      </c>
      <c r="S53" s="421" t="s">
        <v>1108</v>
      </c>
      <c r="T53" s="421" t="s">
        <v>1130</v>
      </c>
      <c r="U53" s="421" t="s">
        <v>1112</v>
      </c>
      <c r="V53" s="421" t="s">
        <v>3097</v>
      </c>
      <c r="W53" s="421" t="s">
        <v>3098</v>
      </c>
      <c r="X53" s="421" t="s">
        <v>3099</v>
      </c>
      <c r="Y53" s="421" t="s">
        <v>1117</v>
      </c>
      <c r="Z53" s="421" t="s">
        <v>1118</v>
      </c>
      <c r="AA53" s="421" t="s">
        <v>3100</v>
      </c>
      <c r="AB53" s="421" t="s">
        <v>3101</v>
      </c>
      <c r="AC53" s="421" t="s">
        <v>3102</v>
      </c>
      <c r="AD53" s="421" t="s">
        <v>3232</v>
      </c>
      <c r="AE53" s="421" t="s">
        <v>3233</v>
      </c>
      <c r="AF53" s="421" t="s">
        <v>2236</v>
      </c>
      <c r="AG53" s="421" t="s">
        <v>2237</v>
      </c>
      <c r="AH53" s="421" t="s">
        <v>3105</v>
      </c>
      <c r="AI53" s="421">
        <v>2517000</v>
      </c>
      <c r="AJ53" s="421">
        <v>6001.69</v>
      </c>
      <c r="AK53" s="421">
        <v>6522.55</v>
      </c>
      <c r="AL53" s="421">
        <v>1</v>
      </c>
      <c r="AM53" s="421" t="s">
        <v>3234</v>
      </c>
      <c r="AN53" s="421" t="s">
        <v>3235</v>
      </c>
      <c r="AO53" s="421" t="s">
        <v>1121</v>
      </c>
      <c r="AP53" s="421" t="s">
        <v>1121</v>
      </c>
      <c r="AQ53" s="421" t="s">
        <v>1108</v>
      </c>
      <c r="AR53" s="421" t="s">
        <v>3128</v>
      </c>
      <c r="AS53" s="421" t="s">
        <v>3236</v>
      </c>
      <c r="AT53" s="421" t="s">
        <v>3109</v>
      </c>
      <c r="AU53" s="421" t="s">
        <v>1142</v>
      </c>
      <c r="AV53" s="421" t="s">
        <v>2135</v>
      </c>
      <c r="AW53" s="421" t="s">
        <v>3110</v>
      </c>
      <c r="AX53" s="421" t="s">
        <v>3111</v>
      </c>
      <c r="AY53" s="421" t="s">
        <v>3112</v>
      </c>
      <c r="AZ53" s="421" t="s">
        <v>3113</v>
      </c>
      <c r="BA53" s="421" t="s">
        <v>3114</v>
      </c>
      <c r="BB53" s="421" t="s">
        <v>3115</v>
      </c>
      <c r="BC53" s="421">
        <v>85020.44</v>
      </c>
      <c r="BD53" s="421">
        <v>207543396.08000001</v>
      </c>
      <c r="BE53" s="421">
        <v>0</v>
      </c>
      <c r="BF53" s="421">
        <v>956.79</v>
      </c>
      <c r="BG53" s="421">
        <v>214.94</v>
      </c>
      <c r="BH53" s="421">
        <v>0</v>
      </c>
      <c r="BI53" s="421" t="s">
        <v>1167</v>
      </c>
    </row>
    <row r="54" spans="1:61" x14ac:dyDescent="0.25">
      <c r="A54" s="421">
        <v>51</v>
      </c>
      <c r="B54" s="421">
        <v>2015</v>
      </c>
      <c r="C54" s="421">
        <v>2</v>
      </c>
      <c r="D54" s="421">
        <v>1</v>
      </c>
      <c r="E54" s="421" t="s">
        <v>1475</v>
      </c>
      <c r="F54" s="421" t="s">
        <v>3223</v>
      </c>
      <c r="G54" s="421" t="s">
        <v>3089</v>
      </c>
      <c r="H54" s="421" t="s">
        <v>1107</v>
      </c>
      <c r="I54" s="421" t="s">
        <v>3224</v>
      </c>
      <c r="J54" s="421" t="s">
        <v>3231</v>
      </c>
      <c r="K54" s="421" t="s">
        <v>3093</v>
      </c>
      <c r="L54" s="421" t="s">
        <v>3094</v>
      </c>
      <c r="M54" s="421" t="s">
        <v>2667</v>
      </c>
      <c r="N54" s="421" t="s">
        <v>3093</v>
      </c>
      <c r="O54" s="421" t="s">
        <v>3094</v>
      </c>
      <c r="P54" s="421" t="s">
        <v>3095</v>
      </c>
      <c r="Q54" s="421" t="s">
        <v>3113</v>
      </c>
      <c r="R54" s="421" t="s">
        <v>1108</v>
      </c>
      <c r="S54" s="421" t="s">
        <v>1108</v>
      </c>
      <c r="T54" s="421" t="s">
        <v>1130</v>
      </c>
      <c r="U54" s="421" t="s">
        <v>1112</v>
      </c>
      <c r="V54" s="421" t="s">
        <v>3097</v>
      </c>
      <c r="W54" s="421" t="s">
        <v>3098</v>
      </c>
      <c r="X54" s="421" t="s">
        <v>3099</v>
      </c>
      <c r="Y54" s="421" t="s">
        <v>1117</v>
      </c>
      <c r="Z54" s="421" t="s">
        <v>1118</v>
      </c>
      <c r="AA54" s="421" t="s">
        <v>3100</v>
      </c>
      <c r="AB54" s="421" t="s">
        <v>3101</v>
      </c>
      <c r="AC54" s="421" t="s">
        <v>3102</v>
      </c>
      <c r="AD54" s="421" t="s">
        <v>3232</v>
      </c>
      <c r="AE54" s="421" t="s">
        <v>3233</v>
      </c>
      <c r="AF54" s="421" t="s">
        <v>2236</v>
      </c>
      <c r="AG54" s="421" t="s">
        <v>2237</v>
      </c>
      <c r="AH54" s="421" t="s">
        <v>3105</v>
      </c>
      <c r="AI54" s="421">
        <v>76500</v>
      </c>
      <c r="AJ54" s="421">
        <v>256.47000000000003</v>
      </c>
      <c r="AK54" s="421">
        <v>278.73</v>
      </c>
      <c r="AL54" s="421">
        <v>2</v>
      </c>
      <c r="AM54" s="421" t="s">
        <v>3234</v>
      </c>
      <c r="AN54" s="421" t="s">
        <v>3235</v>
      </c>
      <c r="AO54" s="421" t="s">
        <v>1121</v>
      </c>
      <c r="AP54" s="421" t="s">
        <v>1121</v>
      </c>
      <c r="AQ54" s="421" t="s">
        <v>1108</v>
      </c>
      <c r="AR54" s="421" t="s">
        <v>3128</v>
      </c>
      <c r="AS54" s="421" t="s">
        <v>3236</v>
      </c>
      <c r="AT54" s="421" t="s">
        <v>3109</v>
      </c>
      <c r="AU54" s="421" t="s">
        <v>1142</v>
      </c>
      <c r="AV54" s="421" t="s">
        <v>2135</v>
      </c>
      <c r="AW54" s="421" t="s">
        <v>3110</v>
      </c>
      <c r="AX54" s="421" t="s">
        <v>3111</v>
      </c>
      <c r="AY54" s="421" t="s">
        <v>3112</v>
      </c>
      <c r="AZ54" s="421" t="s">
        <v>3113</v>
      </c>
      <c r="BA54" s="421" t="s">
        <v>3114</v>
      </c>
      <c r="BB54" s="421" t="s">
        <v>3115</v>
      </c>
      <c r="BC54" s="421">
        <v>3839.92</v>
      </c>
      <c r="BD54" s="421">
        <v>9373628.7100000009</v>
      </c>
      <c r="BE54" s="421">
        <v>0</v>
      </c>
      <c r="BF54" s="421">
        <v>43.21</v>
      </c>
      <c r="BG54" s="421">
        <v>9.7100000000000009</v>
      </c>
      <c r="BH54" s="421">
        <v>0</v>
      </c>
      <c r="BI54" s="421" t="s">
        <v>1167</v>
      </c>
    </row>
    <row r="55" spans="1:61" x14ac:dyDescent="0.25">
      <c r="A55" s="421">
        <v>52</v>
      </c>
      <c r="B55" s="421">
        <v>2015</v>
      </c>
      <c r="C55" s="421">
        <v>2</v>
      </c>
      <c r="D55" s="421">
        <v>1</v>
      </c>
      <c r="E55" s="421" t="s">
        <v>1475</v>
      </c>
      <c r="F55" s="421" t="s">
        <v>3223</v>
      </c>
      <c r="G55" s="421" t="s">
        <v>3089</v>
      </c>
      <c r="H55" s="421" t="s">
        <v>1107</v>
      </c>
      <c r="I55" s="421" t="s">
        <v>3224</v>
      </c>
      <c r="J55" s="421" t="s">
        <v>3225</v>
      </c>
      <c r="K55" s="421" t="s">
        <v>3093</v>
      </c>
      <c r="L55" s="421" t="s">
        <v>3094</v>
      </c>
      <c r="M55" s="421" t="s">
        <v>2667</v>
      </c>
      <c r="N55" s="421" t="s">
        <v>3093</v>
      </c>
      <c r="O55" s="421" t="s">
        <v>3094</v>
      </c>
      <c r="P55" s="421" t="s">
        <v>3095</v>
      </c>
      <c r="Q55" s="421" t="s">
        <v>3096</v>
      </c>
      <c r="R55" s="421" t="s">
        <v>1108</v>
      </c>
      <c r="S55" s="421" t="s">
        <v>1542</v>
      </c>
      <c r="T55" s="421" t="s">
        <v>1130</v>
      </c>
      <c r="U55" s="421" t="s">
        <v>1112</v>
      </c>
      <c r="V55" s="421" t="s">
        <v>3097</v>
      </c>
      <c r="W55" s="421" t="s">
        <v>3098</v>
      </c>
      <c r="X55" s="421" t="s">
        <v>3099</v>
      </c>
      <c r="Y55" s="421" t="s">
        <v>1117</v>
      </c>
      <c r="Z55" s="421" t="s">
        <v>1118</v>
      </c>
      <c r="AA55" s="421" t="s">
        <v>3100</v>
      </c>
      <c r="AB55" s="421" t="s">
        <v>3101</v>
      </c>
      <c r="AC55" s="421" t="s">
        <v>3102</v>
      </c>
      <c r="AD55" s="421" t="s">
        <v>3103</v>
      </c>
      <c r="AE55" s="421" t="s">
        <v>3104</v>
      </c>
      <c r="AF55" s="421" t="s">
        <v>2236</v>
      </c>
      <c r="AG55" s="421" t="s">
        <v>2237</v>
      </c>
      <c r="AH55" s="421" t="s">
        <v>3105</v>
      </c>
      <c r="AI55" s="421">
        <v>3824000</v>
      </c>
      <c r="AJ55" s="421">
        <v>8071.62</v>
      </c>
      <c r="AK55" s="421">
        <v>8766.17</v>
      </c>
      <c r="AL55" s="421">
        <v>1</v>
      </c>
      <c r="AM55" s="421" t="s">
        <v>959</v>
      </c>
      <c r="AN55" s="421" t="s">
        <v>3106</v>
      </c>
      <c r="AO55" s="421" t="s">
        <v>1121</v>
      </c>
      <c r="AP55" s="421" t="s">
        <v>1121</v>
      </c>
      <c r="AQ55" s="421" t="s">
        <v>1542</v>
      </c>
      <c r="AR55" s="421" t="s">
        <v>3128</v>
      </c>
      <c r="AS55" s="421" t="s">
        <v>3226</v>
      </c>
      <c r="AT55" s="421" t="s">
        <v>3109</v>
      </c>
      <c r="AU55" s="421" t="s">
        <v>1142</v>
      </c>
      <c r="AV55" s="421" t="s">
        <v>1547</v>
      </c>
      <c r="AW55" s="421" t="s">
        <v>3110</v>
      </c>
      <c r="AX55" s="421" t="s">
        <v>3111</v>
      </c>
      <c r="AY55" s="421" t="s">
        <v>3112</v>
      </c>
      <c r="AZ55" s="421" t="s">
        <v>3113</v>
      </c>
      <c r="BA55" s="421" t="s">
        <v>3114</v>
      </c>
      <c r="BB55" s="421" t="s">
        <v>3115</v>
      </c>
      <c r="BC55" s="421">
        <v>121274.9</v>
      </c>
      <c r="BD55" s="421">
        <v>296044158.38999999</v>
      </c>
      <c r="BE55" s="421">
        <v>0</v>
      </c>
      <c r="BF55" s="421">
        <v>0</v>
      </c>
      <c r="BG55" s="421">
        <v>0</v>
      </c>
      <c r="BH55" s="421">
        <v>0</v>
      </c>
      <c r="BI55" s="421" t="s">
        <v>1167</v>
      </c>
    </row>
    <row r="56" spans="1:61" x14ac:dyDescent="0.25">
      <c r="A56" s="421">
        <v>53</v>
      </c>
      <c r="B56" s="421">
        <v>2015</v>
      </c>
      <c r="C56" s="421">
        <v>2</v>
      </c>
      <c r="D56" s="421">
        <v>1</v>
      </c>
      <c r="E56" s="421" t="s">
        <v>1475</v>
      </c>
      <c r="F56" s="421" t="s">
        <v>3223</v>
      </c>
      <c r="G56" s="421" t="s">
        <v>3089</v>
      </c>
      <c r="H56" s="421" t="s">
        <v>1107</v>
      </c>
      <c r="I56" s="421" t="s">
        <v>3224</v>
      </c>
      <c r="J56" s="421" t="s">
        <v>3225</v>
      </c>
      <c r="K56" s="421" t="s">
        <v>3093</v>
      </c>
      <c r="L56" s="421" t="s">
        <v>3094</v>
      </c>
      <c r="M56" s="421" t="s">
        <v>2667</v>
      </c>
      <c r="N56" s="421" t="s">
        <v>3093</v>
      </c>
      <c r="O56" s="421" t="s">
        <v>3094</v>
      </c>
      <c r="P56" s="421" t="s">
        <v>3095</v>
      </c>
      <c r="Q56" s="421" t="s">
        <v>3096</v>
      </c>
      <c r="R56" s="421" t="s">
        <v>1108</v>
      </c>
      <c r="S56" s="421" t="s">
        <v>1542</v>
      </c>
      <c r="T56" s="421" t="s">
        <v>1130</v>
      </c>
      <c r="U56" s="421" t="s">
        <v>1112</v>
      </c>
      <c r="V56" s="421" t="s">
        <v>3097</v>
      </c>
      <c r="W56" s="421" t="s">
        <v>3098</v>
      </c>
      <c r="X56" s="421" t="s">
        <v>3099</v>
      </c>
      <c r="Y56" s="421" t="s">
        <v>1117</v>
      </c>
      <c r="Z56" s="421" t="s">
        <v>1118</v>
      </c>
      <c r="AA56" s="421" t="s">
        <v>3100</v>
      </c>
      <c r="AB56" s="421" t="s">
        <v>3101</v>
      </c>
      <c r="AC56" s="421" t="s">
        <v>3102</v>
      </c>
      <c r="AD56" s="421" t="s">
        <v>3103</v>
      </c>
      <c r="AE56" s="421" t="s">
        <v>3104</v>
      </c>
      <c r="AF56" s="421" t="s">
        <v>2236</v>
      </c>
      <c r="AG56" s="421" t="s">
        <v>2237</v>
      </c>
      <c r="AH56" s="421" t="s">
        <v>3105</v>
      </c>
      <c r="AI56" s="421">
        <v>658500</v>
      </c>
      <c r="AJ56" s="421">
        <v>1628.25</v>
      </c>
      <c r="AK56" s="421">
        <v>1768.36</v>
      </c>
      <c r="AL56" s="421">
        <v>2</v>
      </c>
      <c r="AM56" s="421" t="s">
        <v>959</v>
      </c>
      <c r="AN56" s="421" t="s">
        <v>3106</v>
      </c>
      <c r="AO56" s="421" t="s">
        <v>1121</v>
      </c>
      <c r="AP56" s="421" t="s">
        <v>1121</v>
      </c>
      <c r="AQ56" s="421" t="s">
        <v>1542</v>
      </c>
      <c r="AR56" s="421" t="s">
        <v>3128</v>
      </c>
      <c r="AS56" s="421" t="s">
        <v>3226</v>
      </c>
      <c r="AT56" s="421" t="s">
        <v>3109</v>
      </c>
      <c r="AU56" s="421" t="s">
        <v>1142</v>
      </c>
      <c r="AV56" s="421" t="s">
        <v>1547</v>
      </c>
      <c r="AW56" s="421" t="s">
        <v>3110</v>
      </c>
      <c r="AX56" s="421" t="s">
        <v>3111</v>
      </c>
      <c r="AY56" s="421" t="s">
        <v>3112</v>
      </c>
      <c r="AZ56" s="421" t="s">
        <v>3113</v>
      </c>
      <c r="BA56" s="421" t="s">
        <v>3114</v>
      </c>
      <c r="BB56" s="421" t="s">
        <v>3115</v>
      </c>
      <c r="BC56" s="421">
        <v>24134.2</v>
      </c>
      <c r="BD56" s="421">
        <v>58913995.619999997</v>
      </c>
      <c r="BE56" s="421">
        <v>0</v>
      </c>
      <c r="BF56" s="421">
        <v>0</v>
      </c>
      <c r="BG56" s="421">
        <v>0</v>
      </c>
      <c r="BH56" s="421">
        <v>0</v>
      </c>
      <c r="BI56" s="421" t="s">
        <v>1167</v>
      </c>
    </row>
    <row r="57" spans="1:61" x14ac:dyDescent="0.25">
      <c r="A57" s="421">
        <v>54</v>
      </c>
      <c r="B57" s="421">
        <v>2015</v>
      </c>
      <c r="C57" s="421">
        <v>2</v>
      </c>
      <c r="D57" s="421">
        <v>5</v>
      </c>
      <c r="E57" s="421" t="s">
        <v>1475</v>
      </c>
      <c r="F57" s="421" t="s">
        <v>3223</v>
      </c>
      <c r="G57" s="421" t="s">
        <v>3090</v>
      </c>
      <c r="H57" s="421" t="s">
        <v>1107</v>
      </c>
      <c r="I57" s="421" t="s">
        <v>1415</v>
      </c>
      <c r="J57" s="421" t="s">
        <v>3237</v>
      </c>
      <c r="K57" s="421" t="s">
        <v>3093</v>
      </c>
      <c r="L57" s="421" t="s">
        <v>3094</v>
      </c>
      <c r="M57" s="421" t="s">
        <v>2667</v>
      </c>
      <c r="N57" s="421" t="s">
        <v>3093</v>
      </c>
      <c r="O57" s="421" t="s">
        <v>3094</v>
      </c>
      <c r="P57" s="421" t="s">
        <v>3095</v>
      </c>
      <c r="Q57" s="421" t="s">
        <v>3113</v>
      </c>
      <c r="R57" s="421" t="s">
        <v>1108</v>
      </c>
      <c r="S57" s="421" t="s">
        <v>1108</v>
      </c>
      <c r="T57" s="421" t="s">
        <v>1130</v>
      </c>
      <c r="U57" s="421" t="s">
        <v>1112</v>
      </c>
      <c r="V57" s="421" t="s">
        <v>3097</v>
      </c>
      <c r="W57" s="421" t="s">
        <v>3098</v>
      </c>
      <c r="X57" s="421" t="s">
        <v>3099</v>
      </c>
      <c r="Y57" s="421" t="s">
        <v>1117</v>
      </c>
      <c r="Z57" s="421" t="s">
        <v>1118</v>
      </c>
      <c r="AA57" s="421" t="s">
        <v>3100</v>
      </c>
      <c r="AB57" s="421" t="s">
        <v>3101</v>
      </c>
      <c r="AC57" s="421" t="s">
        <v>3102</v>
      </c>
      <c r="AD57" s="421" t="s">
        <v>3238</v>
      </c>
      <c r="AE57" s="421" t="s">
        <v>3239</v>
      </c>
      <c r="AF57" s="421" t="s">
        <v>2236</v>
      </c>
      <c r="AG57" s="421" t="s">
        <v>2237</v>
      </c>
      <c r="AH57" s="421" t="s">
        <v>3105</v>
      </c>
      <c r="AI57" s="421">
        <v>6125000</v>
      </c>
      <c r="AJ57" s="421">
        <v>13242.35</v>
      </c>
      <c r="AK57" s="421">
        <v>14414.12</v>
      </c>
      <c r="AL57" s="421">
        <v>1</v>
      </c>
      <c r="AM57" s="421" t="s">
        <v>960</v>
      </c>
      <c r="AN57" s="421" t="s">
        <v>3240</v>
      </c>
      <c r="AO57" s="421" t="s">
        <v>1121</v>
      </c>
      <c r="AP57" s="421" t="s">
        <v>1121</v>
      </c>
      <c r="AQ57" s="421" t="s">
        <v>1108</v>
      </c>
      <c r="AR57" s="421" t="s">
        <v>3241</v>
      </c>
      <c r="AS57" s="421" t="s">
        <v>3242</v>
      </c>
      <c r="AT57" s="421" t="s">
        <v>3109</v>
      </c>
      <c r="AU57" s="421" t="s">
        <v>1142</v>
      </c>
      <c r="AV57" s="421" t="s">
        <v>3243</v>
      </c>
      <c r="AW57" s="421" t="s">
        <v>3110</v>
      </c>
      <c r="AX57" s="421" t="s">
        <v>3111</v>
      </c>
      <c r="AY57" s="421" t="s">
        <v>3112</v>
      </c>
      <c r="AZ57" s="421" t="s">
        <v>3113</v>
      </c>
      <c r="BA57" s="421" t="s">
        <v>3114</v>
      </c>
      <c r="BB57" s="421" t="s">
        <v>3115</v>
      </c>
      <c r="BC57" s="421">
        <v>179491</v>
      </c>
      <c r="BD57" s="421">
        <v>427531407.81</v>
      </c>
      <c r="BE57" s="421">
        <v>0</v>
      </c>
      <c r="BF57" s="421">
        <v>901.19</v>
      </c>
      <c r="BG57" s="421">
        <v>450.98</v>
      </c>
      <c r="BH57" s="421">
        <v>0</v>
      </c>
      <c r="BI57" s="421" t="s">
        <v>1167</v>
      </c>
    </row>
    <row r="58" spans="1:61" x14ac:dyDescent="0.25">
      <c r="A58" s="421">
        <v>55</v>
      </c>
      <c r="B58" s="421">
        <v>2015</v>
      </c>
      <c r="C58" s="421">
        <v>2</v>
      </c>
      <c r="D58" s="421">
        <v>5</v>
      </c>
      <c r="E58" s="421" t="s">
        <v>1475</v>
      </c>
      <c r="F58" s="421" t="s">
        <v>3223</v>
      </c>
      <c r="G58" s="421" t="s">
        <v>3090</v>
      </c>
      <c r="H58" s="421" t="s">
        <v>1107</v>
      </c>
      <c r="I58" s="421" t="s">
        <v>1415</v>
      </c>
      <c r="J58" s="421" t="s">
        <v>3237</v>
      </c>
      <c r="K58" s="421" t="s">
        <v>3093</v>
      </c>
      <c r="L58" s="421" t="s">
        <v>3094</v>
      </c>
      <c r="M58" s="421" t="s">
        <v>2667</v>
      </c>
      <c r="N58" s="421" t="s">
        <v>3093</v>
      </c>
      <c r="O58" s="421" t="s">
        <v>3094</v>
      </c>
      <c r="P58" s="421" t="s">
        <v>3095</v>
      </c>
      <c r="Q58" s="421" t="s">
        <v>3113</v>
      </c>
      <c r="R58" s="421" t="s">
        <v>1108</v>
      </c>
      <c r="S58" s="421" t="s">
        <v>1108</v>
      </c>
      <c r="T58" s="421" t="s">
        <v>1130</v>
      </c>
      <c r="U58" s="421" t="s">
        <v>1112</v>
      </c>
      <c r="V58" s="421" t="s">
        <v>3097</v>
      </c>
      <c r="W58" s="421" t="s">
        <v>3098</v>
      </c>
      <c r="X58" s="421" t="s">
        <v>3099</v>
      </c>
      <c r="Y58" s="421" t="s">
        <v>1117</v>
      </c>
      <c r="Z58" s="421" t="s">
        <v>1118</v>
      </c>
      <c r="AA58" s="421" t="s">
        <v>3100</v>
      </c>
      <c r="AB58" s="421" t="s">
        <v>3101</v>
      </c>
      <c r="AC58" s="421" t="s">
        <v>3102</v>
      </c>
      <c r="AD58" s="421" t="s">
        <v>3238</v>
      </c>
      <c r="AE58" s="421" t="s">
        <v>3239</v>
      </c>
      <c r="AF58" s="421" t="s">
        <v>2236</v>
      </c>
      <c r="AG58" s="421" t="s">
        <v>2237</v>
      </c>
      <c r="AH58" s="421" t="s">
        <v>3105</v>
      </c>
      <c r="AI58" s="421">
        <v>468500</v>
      </c>
      <c r="AJ58" s="421">
        <v>883.24</v>
      </c>
      <c r="AK58" s="421">
        <v>961.39</v>
      </c>
      <c r="AL58" s="421">
        <v>2</v>
      </c>
      <c r="AM58" s="421" t="s">
        <v>960</v>
      </c>
      <c r="AN58" s="421" t="s">
        <v>3240</v>
      </c>
      <c r="AO58" s="421" t="s">
        <v>1121</v>
      </c>
      <c r="AP58" s="421" t="s">
        <v>1121</v>
      </c>
      <c r="AQ58" s="421" t="s">
        <v>1108</v>
      </c>
      <c r="AR58" s="421" t="s">
        <v>3241</v>
      </c>
      <c r="AS58" s="421" t="s">
        <v>3242</v>
      </c>
      <c r="AT58" s="421" t="s">
        <v>3109</v>
      </c>
      <c r="AU58" s="421" t="s">
        <v>1142</v>
      </c>
      <c r="AV58" s="421" t="s">
        <v>3243</v>
      </c>
      <c r="AW58" s="421" t="s">
        <v>3110</v>
      </c>
      <c r="AX58" s="421" t="s">
        <v>3111</v>
      </c>
      <c r="AY58" s="421" t="s">
        <v>3112</v>
      </c>
      <c r="AZ58" s="421" t="s">
        <v>3113</v>
      </c>
      <c r="BA58" s="421" t="s">
        <v>3114</v>
      </c>
      <c r="BB58" s="421" t="s">
        <v>3115</v>
      </c>
      <c r="BC58" s="421">
        <v>11714</v>
      </c>
      <c r="BD58" s="421">
        <v>27901693.739999998</v>
      </c>
      <c r="BE58" s="421">
        <v>0</v>
      </c>
      <c r="BF58" s="421">
        <v>58.81</v>
      </c>
      <c r="BG58" s="421">
        <v>29.43</v>
      </c>
      <c r="BH58" s="421">
        <v>0</v>
      </c>
      <c r="BI58" s="421" t="s">
        <v>1167</v>
      </c>
    </row>
    <row r="59" spans="1:61" x14ac:dyDescent="0.25">
      <c r="A59" s="421">
        <v>56</v>
      </c>
      <c r="B59" s="421">
        <v>2015</v>
      </c>
      <c r="C59" s="421">
        <v>2</v>
      </c>
      <c r="D59" s="421">
        <v>5</v>
      </c>
      <c r="E59" s="421" t="s">
        <v>1475</v>
      </c>
      <c r="F59" s="421" t="s">
        <v>3223</v>
      </c>
      <c r="G59" s="421" t="s">
        <v>3090</v>
      </c>
      <c r="H59" s="421" t="s">
        <v>1107</v>
      </c>
      <c r="I59" s="421" t="s">
        <v>1415</v>
      </c>
      <c r="J59" s="421" t="s">
        <v>3244</v>
      </c>
      <c r="K59" s="421" t="s">
        <v>3093</v>
      </c>
      <c r="L59" s="421" t="s">
        <v>3094</v>
      </c>
      <c r="M59" s="421" t="s">
        <v>2667</v>
      </c>
      <c r="N59" s="421" t="s">
        <v>3093</v>
      </c>
      <c r="O59" s="421" t="s">
        <v>3094</v>
      </c>
      <c r="P59" s="421" t="s">
        <v>3095</v>
      </c>
      <c r="Q59" s="421" t="s">
        <v>3113</v>
      </c>
      <c r="R59" s="421" t="s">
        <v>1476</v>
      </c>
      <c r="S59" s="421" t="s">
        <v>1476</v>
      </c>
      <c r="T59" s="421" t="s">
        <v>1130</v>
      </c>
      <c r="U59" s="421" t="s">
        <v>1921</v>
      </c>
      <c r="V59" s="421" t="s">
        <v>3218</v>
      </c>
      <c r="W59" s="421" t="s">
        <v>3098</v>
      </c>
      <c r="X59" s="421" t="s">
        <v>3099</v>
      </c>
      <c r="Y59" s="421" t="s">
        <v>1117</v>
      </c>
      <c r="Z59" s="421" t="s">
        <v>1118</v>
      </c>
      <c r="AA59" s="421" t="s">
        <v>3100</v>
      </c>
      <c r="AB59" s="421" t="s">
        <v>3219</v>
      </c>
      <c r="AC59" s="421" t="s">
        <v>3102</v>
      </c>
      <c r="AD59" s="421" t="s">
        <v>3245</v>
      </c>
      <c r="AE59" s="421" t="s">
        <v>3246</v>
      </c>
      <c r="AF59" s="421" t="s">
        <v>2236</v>
      </c>
      <c r="AG59" s="421" t="s">
        <v>2237</v>
      </c>
      <c r="AH59" s="421" t="s">
        <v>3105</v>
      </c>
      <c r="AI59" s="421">
        <v>150</v>
      </c>
      <c r="AJ59" s="421">
        <v>50.8</v>
      </c>
      <c r="AK59" s="421">
        <v>54.46</v>
      </c>
      <c r="AL59" s="421">
        <v>1</v>
      </c>
      <c r="AM59" s="421" t="s">
        <v>3247</v>
      </c>
      <c r="AN59" s="421" t="s">
        <v>3248</v>
      </c>
      <c r="AO59" s="421" t="s">
        <v>1121</v>
      </c>
      <c r="AP59" s="421" t="s">
        <v>1121</v>
      </c>
      <c r="AQ59" s="421" t="s">
        <v>1476</v>
      </c>
      <c r="AR59" s="421" t="s">
        <v>3241</v>
      </c>
      <c r="AS59" s="421" t="s">
        <v>3249</v>
      </c>
      <c r="AT59" s="421" t="s">
        <v>3109</v>
      </c>
      <c r="AU59" s="421" t="s">
        <v>1341</v>
      </c>
      <c r="AV59" s="421" t="s">
        <v>2037</v>
      </c>
      <c r="AW59" s="421" t="s">
        <v>3110</v>
      </c>
      <c r="AX59" s="421" t="s">
        <v>3111</v>
      </c>
      <c r="AY59" s="421" t="s">
        <v>3112</v>
      </c>
      <c r="AZ59" s="421" t="s">
        <v>3113</v>
      </c>
      <c r="BA59" s="421" t="s">
        <v>3114</v>
      </c>
      <c r="BB59" s="421" t="s">
        <v>3115</v>
      </c>
      <c r="BC59" s="421">
        <v>1050</v>
      </c>
      <c r="BD59" s="421">
        <v>2501005.5</v>
      </c>
      <c r="BE59" s="421">
        <v>0</v>
      </c>
      <c r="BF59" s="421">
        <v>288.61</v>
      </c>
      <c r="BG59" s="421">
        <v>12</v>
      </c>
      <c r="BH59" s="421">
        <v>0</v>
      </c>
      <c r="BI59" s="421" t="s">
        <v>1149</v>
      </c>
    </row>
    <row r="60" spans="1:61" x14ac:dyDescent="0.25">
      <c r="A60" s="421">
        <v>57</v>
      </c>
      <c r="B60" s="421">
        <v>2015</v>
      </c>
      <c r="C60" s="421">
        <v>2</v>
      </c>
      <c r="D60" s="421">
        <v>5</v>
      </c>
      <c r="E60" s="421" t="s">
        <v>1475</v>
      </c>
      <c r="F60" s="421" t="s">
        <v>3223</v>
      </c>
      <c r="G60" s="421" t="s">
        <v>3090</v>
      </c>
      <c r="H60" s="421" t="s">
        <v>1107</v>
      </c>
      <c r="I60" s="421" t="s">
        <v>1415</v>
      </c>
      <c r="J60" s="421" t="s">
        <v>3250</v>
      </c>
      <c r="K60" s="421" t="s">
        <v>3093</v>
      </c>
      <c r="L60" s="421" t="s">
        <v>3094</v>
      </c>
      <c r="M60" s="421" t="s">
        <v>2667</v>
      </c>
      <c r="N60" s="421" t="s">
        <v>3093</v>
      </c>
      <c r="O60" s="421" t="s">
        <v>3094</v>
      </c>
      <c r="P60" s="421" t="s">
        <v>3095</v>
      </c>
      <c r="Q60" s="421" t="s">
        <v>3096</v>
      </c>
      <c r="R60" s="421" t="s">
        <v>1108</v>
      </c>
      <c r="S60" s="421" t="s">
        <v>1542</v>
      </c>
      <c r="T60" s="421" t="s">
        <v>1130</v>
      </c>
      <c r="U60" s="421" t="s">
        <v>1112</v>
      </c>
      <c r="V60" s="421" t="s">
        <v>3097</v>
      </c>
      <c r="W60" s="421" t="s">
        <v>3098</v>
      </c>
      <c r="X60" s="421" t="s">
        <v>3099</v>
      </c>
      <c r="Y60" s="421" t="s">
        <v>1117</v>
      </c>
      <c r="Z60" s="421" t="s">
        <v>1118</v>
      </c>
      <c r="AA60" s="421" t="s">
        <v>3100</v>
      </c>
      <c r="AB60" s="421" t="s">
        <v>3101</v>
      </c>
      <c r="AC60" s="421" t="s">
        <v>3102</v>
      </c>
      <c r="AD60" s="421" t="s">
        <v>3251</v>
      </c>
      <c r="AE60" s="421" t="s">
        <v>3252</v>
      </c>
      <c r="AF60" s="421" t="s">
        <v>2236</v>
      </c>
      <c r="AG60" s="421" t="s">
        <v>2237</v>
      </c>
      <c r="AH60" s="421" t="s">
        <v>3105</v>
      </c>
      <c r="AI60" s="421">
        <v>749700</v>
      </c>
      <c r="AJ60" s="421">
        <v>2176.29</v>
      </c>
      <c r="AK60" s="421">
        <v>2347.52</v>
      </c>
      <c r="AL60" s="421">
        <v>1</v>
      </c>
      <c r="AM60" s="421" t="s">
        <v>3253</v>
      </c>
      <c r="AN60" s="421" t="s">
        <v>3254</v>
      </c>
      <c r="AO60" s="421" t="s">
        <v>1121</v>
      </c>
      <c r="AP60" s="421" t="s">
        <v>1121</v>
      </c>
      <c r="AQ60" s="421" t="s">
        <v>1542</v>
      </c>
      <c r="AR60" s="421" t="s">
        <v>3241</v>
      </c>
      <c r="AS60" s="421" t="s">
        <v>3255</v>
      </c>
      <c r="AT60" s="421" t="s">
        <v>3109</v>
      </c>
      <c r="AU60" s="421" t="s">
        <v>1142</v>
      </c>
      <c r="AV60" s="421" t="s">
        <v>2135</v>
      </c>
      <c r="AW60" s="421" t="s">
        <v>3110</v>
      </c>
      <c r="AX60" s="421" t="s">
        <v>3131</v>
      </c>
      <c r="AY60" s="421" t="s">
        <v>3112</v>
      </c>
      <c r="AZ60" s="421" t="s">
        <v>3113</v>
      </c>
      <c r="BA60" s="421" t="s">
        <v>3114</v>
      </c>
      <c r="BB60" s="421" t="s">
        <v>3115</v>
      </c>
      <c r="BC60" s="421">
        <v>35482.5</v>
      </c>
      <c r="BD60" s="421">
        <v>84516121.579999998</v>
      </c>
      <c r="BE60" s="421">
        <v>0</v>
      </c>
      <c r="BF60" s="421">
        <v>0</v>
      </c>
      <c r="BG60" s="421">
        <v>0</v>
      </c>
      <c r="BH60" s="421">
        <v>0</v>
      </c>
      <c r="BI60" s="421" t="s">
        <v>3256</v>
      </c>
    </row>
    <row r="61" spans="1:61" x14ac:dyDescent="0.25">
      <c r="A61" s="421">
        <v>58</v>
      </c>
      <c r="B61" s="421">
        <v>2015</v>
      </c>
      <c r="C61" s="421">
        <v>2</v>
      </c>
      <c r="D61" s="421">
        <v>5</v>
      </c>
      <c r="E61" s="421" t="s">
        <v>1475</v>
      </c>
      <c r="F61" s="421" t="s">
        <v>3223</v>
      </c>
      <c r="G61" s="421" t="s">
        <v>3090</v>
      </c>
      <c r="H61" s="421" t="s">
        <v>1107</v>
      </c>
      <c r="I61" s="421" t="s">
        <v>1415</v>
      </c>
      <c r="J61" s="421" t="s">
        <v>3250</v>
      </c>
      <c r="K61" s="421" t="s">
        <v>3093</v>
      </c>
      <c r="L61" s="421" t="s">
        <v>3094</v>
      </c>
      <c r="M61" s="421" t="s">
        <v>2667</v>
      </c>
      <c r="N61" s="421" t="s">
        <v>3093</v>
      </c>
      <c r="O61" s="421" t="s">
        <v>3094</v>
      </c>
      <c r="P61" s="421" t="s">
        <v>3095</v>
      </c>
      <c r="Q61" s="421" t="s">
        <v>3096</v>
      </c>
      <c r="R61" s="421" t="s">
        <v>1108</v>
      </c>
      <c r="S61" s="421" t="s">
        <v>1542</v>
      </c>
      <c r="T61" s="421" t="s">
        <v>1130</v>
      </c>
      <c r="U61" s="421" t="s">
        <v>1112</v>
      </c>
      <c r="V61" s="421" t="s">
        <v>3097</v>
      </c>
      <c r="W61" s="421" t="s">
        <v>3098</v>
      </c>
      <c r="X61" s="421" t="s">
        <v>3099</v>
      </c>
      <c r="Y61" s="421" t="s">
        <v>1117</v>
      </c>
      <c r="Z61" s="421" t="s">
        <v>1118</v>
      </c>
      <c r="AA61" s="421" t="s">
        <v>3100</v>
      </c>
      <c r="AB61" s="421" t="s">
        <v>3101</v>
      </c>
      <c r="AC61" s="421" t="s">
        <v>3102</v>
      </c>
      <c r="AD61" s="421" t="s">
        <v>3251</v>
      </c>
      <c r="AE61" s="421" t="s">
        <v>3252</v>
      </c>
      <c r="AF61" s="421" t="s">
        <v>2236</v>
      </c>
      <c r="AG61" s="421" t="s">
        <v>2237</v>
      </c>
      <c r="AH61" s="421" t="s">
        <v>3105</v>
      </c>
      <c r="AI61" s="421">
        <v>122600</v>
      </c>
      <c r="AJ61" s="421">
        <v>417.36</v>
      </c>
      <c r="AK61" s="421">
        <v>450.2</v>
      </c>
      <c r="AL61" s="421">
        <v>2</v>
      </c>
      <c r="AM61" s="421" t="s">
        <v>3253</v>
      </c>
      <c r="AN61" s="421" t="s">
        <v>3254</v>
      </c>
      <c r="AO61" s="421" t="s">
        <v>1121</v>
      </c>
      <c r="AP61" s="421" t="s">
        <v>1121</v>
      </c>
      <c r="AQ61" s="421" t="s">
        <v>1542</v>
      </c>
      <c r="AR61" s="421" t="s">
        <v>3241</v>
      </c>
      <c r="AS61" s="421" t="s">
        <v>3255</v>
      </c>
      <c r="AT61" s="421" t="s">
        <v>3109</v>
      </c>
      <c r="AU61" s="421" t="s">
        <v>1142</v>
      </c>
      <c r="AV61" s="421" t="s">
        <v>2135</v>
      </c>
      <c r="AW61" s="421" t="s">
        <v>3110</v>
      </c>
      <c r="AX61" s="421" t="s">
        <v>3131</v>
      </c>
      <c r="AY61" s="421" t="s">
        <v>3112</v>
      </c>
      <c r="AZ61" s="421" t="s">
        <v>3113</v>
      </c>
      <c r="BA61" s="421" t="s">
        <v>3114</v>
      </c>
      <c r="BB61" s="421" t="s">
        <v>3115</v>
      </c>
      <c r="BC61" s="421">
        <v>7391.7</v>
      </c>
      <c r="BD61" s="421">
        <v>17606364.149999999</v>
      </c>
      <c r="BE61" s="421">
        <v>0</v>
      </c>
      <c r="BF61" s="421">
        <v>0</v>
      </c>
      <c r="BG61" s="421">
        <v>0</v>
      </c>
      <c r="BH61" s="421">
        <v>0</v>
      </c>
      <c r="BI61" s="421" t="s">
        <v>3256</v>
      </c>
    </row>
    <row r="62" spans="1:61" x14ac:dyDescent="0.25">
      <c r="A62" s="421">
        <v>59</v>
      </c>
      <c r="B62" s="421">
        <v>2015</v>
      </c>
      <c r="C62" s="421">
        <v>2</v>
      </c>
      <c r="D62" s="421">
        <v>5</v>
      </c>
      <c r="E62" s="421" t="s">
        <v>1475</v>
      </c>
      <c r="F62" s="421" t="s">
        <v>3223</v>
      </c>
      <c r="G62" s="421" t="s">
        <v>3090</v>
      </c>
      <c r="H62" s="421" t="s">
        <v>1107</v>
      </c>
      <c r="I62" s="421" t="s">
        <v>1415</v>
      </c>
      <c r="J62" s="421" t="s">
        <v>3250</v>
      </c>
      <c r="K62" s="421" t="s">
        <v>3093</v>
      </c>
      <c r="L62" s="421" t="s">
        <v>3094</v>
      </c>
      <c r="M62" s="421" t="s">
        <v>2667</v>
      </c>
      <c r="N62" s="421" t="s">
        <v>3093</v>
      </c>
      <c r="O62" s="421" t="s">
        <v>3094</v>
      </c>
      <c r="P62" s="421" t="s">
        <v>3095</v>
      </c>
      <c r="Q62" s="421" t="s">
        <v>3096</v>
      </c>
      <c r="R62" s="421" t="s">
        <v>1108</v>
      </c>
      <c r="S62" s="421" t="s">
        <v>1542</v>
      </c>
      <c r="T62" s="421" t="s">
        <v>1130</v>
      </c>
      <c r="U62" s="421" t="s">
        <v>1112</v>
      </c>
      <c r="V62" s="421" t="s">
        <v>3097</v>
      </c>
      <c r="W62" s="421" t="s">
        <v>3098</v>
      </c>
      <c r="X62" s="421" t="s">
        <v>3099</v>
      </c>
      <c r="Y62" s="421" t="s">
        <v>1117</v>
      </c>
      <c r="Z62" s="421" t="s">
        <v>1118</v>
      </c>
      <c r="AA62" s="421" t="s">
        <v>3100</v>
      </c>
      <c r="AB62" s="421" t="s">
        <v>3101</v>
      </c>
      <c r="AC62" s="421" t="s">
        <v>3102</v>
      </c>
      <c r="AD62" s="421" t="s">
        <v>3251</v>
      </c>
      <c r="AE62" s="421" t="s">
        <v>3252</v>
      </c>
      <c r="AF62" s="421" t="s">
        <v>2236</v>
      </c>
      <c r="AG62" s="421" t="s">
        <v>2237</v>
      </c>
      <c r="AH62" s="421" t="s">
        <v>3105</v>
      </c>
      <c r="AI62" s="421">
        <v>66000</v>
      </c>
      <c r="AJ62" s="421">
        <v>231.3</v>
      </c>
      <c r="AK62" s="421">
        <v>249.5</v>
      </c>
      <c r="AL62" s="421">
        <v>3</v>
      </c>
      <c r="AM62" s="421" t="s">
        <v>3253</v>
      </c>
      <c r="AN62" s="421" t="s">
        <v>3254</v>
      </c>
      <c r="AO62" s="421" t="s">
        <v>1121</v>
      </c>
      <c r="AP62" s="421" t="s">
        <v>1121</v>
      </c>
      <c r="AQ62" s="421" t="s">
        <v>1542</v>
      </c>
      <c r="AR62" s="421" t="s">
        <v>3241</v>
      </c>
      <c r="AS62" s="421" t="s">
        <v>3255</v>
      </c>
      <c r="AT62" s="421" t="s">
        <v>3109</v>
      </c>
      <c r="AU62" s="421" t="s">
        <v>1142</v>
      </c>
      <c r="AV62" s="421" t="s">
        <v>2135</v>
      </c>
      <c r="AW62" s="421" t="s">
        <v>3110</v>
      </c>
      <c r="AX62" s="421" t="s">
        <v>3131</v>
      </c>
      <c r="AY62" s="421" t="s">
        <v>3112</v>
      </c>
      <c r="AZ62" s="421" t="s">
        <v>3113</v>
      </c>
      <c r="BA62" s="421" t="s">
        <v>3114</v>
      </c>
      <c r="BB62" s="421" t="s">
        <v>3115</v>
      </c>
      <c r="BC62" s="421">
        <v>5966.4</v>
      </c>
      <c r="BD62" s="421">
        <v>14211427.82</v>
      </c>
      <c r="BE62" s="421">
        <v>0</v>
      </c>
      <c r="BF62" s="421">
        <v>0</v>
      </c>
      <c r="BG62" s="421">
        <v>0</v>
      </c>
      <c r="BH62" s="421">
        <v>0</v>
      </c>
      <c r="BI62" s="421" t="s">
        <v>3256</v>
      </c>
    </row>
    <row r="63" spans="1:61" x14ac:dyDescent="0.25">
      <c r="A63" s="421">
        <v>60</v>
      </c>
      <c r="B63" s="421">
        <v>2015</v>
      </c>
      <c r="C63" s="421">
        <v>2</v>
      </c>
      <c r="D63" s="421">
        <v>9</v>
      </c>
      <c r="E63" s="421" t="s">
        <v>1475</v>
      </c>
      <c r="F63" s="421" t="s">
        <v>3223</v>
      </c>
      <c r="G63" s="421" t="s">
        <v>3132</v>
      </c>
      <c r="H63" s="421" t="s">
        <v>1107</v>
      </c>
      <c r="I63" s="421" t="s">
        <v>1369</v>
      </c>
      <c r="J63" s="421" t="s">
        <v>3257</v>
      </c>
      <c r="K63" s="421" t="s">
        <v>3093</v>
      </c>
      <c r="L63" s="421" t="s">
        <v>3094</v>
      </c>
      <c r="M63" s="421" t="s">
        <v>2667</v>
      </c>
      <c r="N63" s="421" t="s">
        <v>3093</v>
      </c>
      <c r="O63" s="421" t="s">
        <v>3094</v>
      </c>
      <c r="P63" s="421" t="s">
        <v>3095</v>
      </c>
      <c r="Q63" s="421" t="s">
        <v>3096</v>
      </c>
      <c r="R63" s="421" t="s">
        <v>1108</v>
      </c>
      <c r="S63" s="421" t="s">
        <v>1476</v>
      </c>
      <c r="T63" s="421" t="s">
        <v>1130</v>
      </c>
      <c r="U63" s="421" t="s">
        <v>3144</v>
      </c>
      <c r="V63" s="421" t="s">
        <v>3145</v>
      </c>
      <c r="W63" s="421" t="s">
        <v>3098</v>
      </c>
      <c r="X63" s="421" t="s">
        <v>3099</v>
      </c>
      <c r="Y63" s="421" t="s">
        <v>1117</v>
      </c>
      <c r="Z63" s="421" t="s">
        <v>1118</v>
      </c>
      <c r="AA63" s="421" t="s">
        <v>3100</v>
      </c>
      <c r="AB63" s="421" t="s">
        <v>3146</v>
      </c>
      <c r="AC63" s="421" t="s">
        <v>3102</v>
      </c>
      <c r="AD63" s="421" t="s">
        <v>3125</v>
      </c>
      <c r="AE63" s="421" t="s">
        <v>3147</v>
      </c>
      <c r="AF63" s="421" t="s">
        <v>2236</v>
      </c>
      <c r="AG63" s="421" t="s">
        <v>2237</v>
      </c>
      <c r="AH63" s="421" t="s">
        <v>3105</v>
      </c>
      <c r="AI63" s="421">
        <v>50000</v>
      </c>
      <c r="AJ63" s="421">
        <v>190.32</v>
      </c>
      <c r="AK63" s="421">
        <v>207</v>
      </c>
      <c r="AL63" s="421">
        <v>1</v>
      </c>
      <c r="AM63" s="421" t="s">
        <v>962</v>
      </c>
      <c r="AN63" s="421" t="s">
        <v>3127</v>
      </c>
      <c r="AO63" s="421" t="s">
        <v>1121</v>
      </c>
      <c r="AP63" s="421" t="s">
        <v>1121</v>
      </c>
      <c r="AQ63" s="421" t="s">
        <v>1476</v>
      </c>
      <c r="AR63" s="421" t="s">
        <v>3241</v>
      </c>
      <c r="AS63" s="421" t="s">
        <v>3258</v>
      </c>
      <c r="AT63" s="421" t="s">
        <v>3109</v>
      </c>
      <c r="AU63" s="421" t="s">
        <v>1341</v>
      </c>
      <c r="AV63" s="421" t="s">
        <v>962</v>
      </c>
      <c r="AW63" s="421" t="s">
        <v>3110</v>
      </c>
      <c r="AX63" s="421" t="s">
        <v>3111</v>
      </c>
      <c r="AY63" s="421" t="s">
        <v>3112</v>
      </c>
      <c r="AZ63" s="421" t="s">
        <v>3113</v>
      </c>
      <c r="BA63" s="421" t="s">
        <v>3114</v>
      </c>
      <c r="BB63" s="421" t="s">
        <v>3115</v>
      </c>
      <c r="BC63" s="421">
        <v>2466</v>
      </c>
      <c r="BD63" s="421">
        <v>5880818.1600000001</v>
      </c>
      <c r="BE63" s="421">
        <v>0</v>
      </c>
      <c r="BF63" s="421">
        <v>590.96</v>
      </c>
      <c r="BG63" s="421">
        <v>0</v>
      </c>
      <c r="BH63" s="421">
        <v>0</v>
      </c>
      <c r="BI63" s="421" t="s">
        <v>1149</v>
      </c>
    </row>
    <row r="64" spans="1:61" x14ac:dyDescent="0.25">
      <c r="A64" s="421">
        <v>61</v>
      </c>
      <c r="B64" s="421">
        <v>2015</v>
      </c>
      <c r="C64" s="421">
        <v>2</v>
      </c>
      <c r="D64" s="421">
        <v>9</v>
      </c>
      <c r="E64" s="421" t="s">
        <v>1475</v>
      </c>
      <c r="F64" s="421" t="s">
        <v>3223</v>
      </c>
      <c r="G64" s="421" t="s">
        <v>3132</v>
      </c>
      <c r="H64" s="421" t="s">
        <v>1107</v>
      </c>
      <c r="I64" s="421" t="s">
        <v>1369</v>
      </c>
      <c r="J64" s="421" t="s">
        <v>3259</v>
      </c>
      <c r="K64" s="421" t="s">
        <v>3093</v>
      </c>
      <c r="L64" s="421" t="s">
        <v>3094</v>
      </c>
      <c r="M64" s="421" t="s">
        <v>2667</v>
      </c>
      <c r="N64" s="421" t="s">
        <v>3093</v>
      </c>
      <c r="O64" s="421" t="s">
        <v>3094</v>
      </c>
      <c r="P64" s="421" t="s">
        <v>3095</v>
      </c>
      <c r="Q64" s="421" t="s">
        <v>3113</v>
      </c>
      <c r="R64" s="421" t="s">
        <v>1108</v>
      </c>
      <c r="S64" s="421" t="s">
        <v>1108</v>
      </c>
      <c r="T64" s="421" t="s">
        <v>1130</v>
      </c>
      <c r="U64" s="421" t="s">
        <v>3144</v>
      </c>
      <c r="V64" s="421" t="s">
        <v>3145</v>
      </c>
      <c r="W64" s="421" t="s">
        <v>3098</v>
      </c>
      <c r="X64" s="421" t="s">
        <v>3099</v>
      </c>
      <c r="Y64" s="421" t="s">
        <v>1117</v>
      </c>
      <c r="Z64" s="421" t="s">
        <v>1118</v>
      </c>
      <c r="AA64" s="421" t="s">
        <v>3100</v>
      </c>
      <c r="AB64" s="421" t="s">
        <v>3146</v>
      </c>
      <c r="AC64" s="421" t="s">
        <v>3102</v>
      </c>
      <c r="AD64" s="421" t="s">
        <v>3260</v>
      </c>
      <c r="AE64" s="421" t="s">
        <v>3261</v>
      </c>
      <c r="AF64" s="421" t="s">
        <v>2236</v>
      </c>
      <c r="AG64" s="421" t="s">
        <v>2237</v>
      </c>
      <c r="AH64" s="421" t="s">
        <v>3105</v>
      </c>
      <c r="AI64" s="421">
        <v>10000</v>
      </c>
      <c r="AJ64" s="421">
        <v>360.2</v>
      </c>
      <c r="AK64" s="421">
        <v>379</v>
      </c>
      <c r="AL64" s="421">
        <v>1</v>
      </c>
      <c r="AM64" s="421" t="s">
        <v>963</v>
      </c>
      <c r="AN64" s="421" t="s">
        <v>3262</v>
      </c>
      <c r="AO64" s="421" t="s">
        <v>1121</v>
      </c>
      <c r="AP64" s="421" t="s">
        <v>1121</v>
      </c>
      <c r="AQ64" s="421" t="s">
        <v>1108</v>
      </c>
      <c r="AR64" s="421" t="s">
        <v>3241</v>
      </c>
      <c r="AS64" s="421" t="s">
        <v>3263</v>
      </c>
      <c r="AT64" s="421" t="s">
        <v>3109</v>
      </c>
      <c r="AU64" s="421" t="s">
        <v>1341</v>
      </c>
      <c r="AV64" s="421" t="s">
        <v>962</v>
      </c>
      <c r="AW64" s="421" t="s">
        <v>3110</v>
      </c>
      <c r="AX64" s="421" t="s">
        <v>3111</v>
      </c>
      <c r="AY64" s="421" t="s">
        <v>3112</v>
      </c>
      <c r="AZ64" s="421" t="s">
        <v>3113</v>
      </c>
      <c r="BA64" s="421" t="s">
        <v>3114</v>
      </c>
      <c r="BB64" s="421" t="s">
        <v>3115</v>
      </c>
      <c r="BC64" s="421">
        <v>11000</v>
      </c>
      <c r="BD64" s="421">
        <v>26232360</v>
      </c>
      <c r="BE64" s="421">
        <v>0</v>
      </c>
      <c r="BF64" s="421">
        <v>1336.1</v>
      </c>
      <c r="BG64" s="421">
        <v>30.84</v>
      </c>
      <c r="BH64" s="421">
        <v>0</v>
      </c>
      <c r="BI64" s="421" t="s">
        <v>1167</v>
      </c>
    </row>
    <row r="65" spans="1:61" x14ac:dyDescent="0.25">
      <c r="A65" s="421">
        <v>62</v>
      </c>
      <c r="B65" s="421">
        <v>2015</v>
      </c>
      <c r="C65" s="421">
        <v>2</v>
      </c>
      <c r="D65" s="421">
        <v>9</v>
      </c>
      <c r="E65" s="421" t="s">
        <v>1475</v>
      </c>
      <c r="F65" s="421" t="s">
        <v>3223</v>
      </c>
      <c r="G65" s="421" t="s">
        <v>3132</v>
      </c>
      <c r="H65" s="421" t="s">
        <v>1107</v>
      </c>
      <c r="I65" s="421" t="s">
        <v>1369</v>
      </c>
      <c r="J65" s="421" t="s">
        <v>3264</v>
      </c>
      <c r="K65" s="421" t="s">
        <v>3093</v>
      </c>
      <c r="L65" s="421" t="s">
        <v>3094</v>
      </c>
      <c r="M65" s="421" t="s">
        <v>2667</v>
      </c>
      <c r="N65" s="421" t="s">
        <v>3093</v>
      </c>
      <c r="O65" s="421" t="s">
        <v>3094</v>
      </c>
      <c r="P65" s="421" t="s">
        <v>3095</v>
      </c>
      <c r="Q65" s="421" t="s">
        <v>3096</v>
      </c>
      <c r="R65" s="421" t="s">
        <v>1108</v>
      </c>
      <c r="S65" s="421" t="s">
        <v>1476</v>
      </c>
      <c r="T65" s="421" t="s">
        <v>1130</v>
      </c>
      <c r="U65" s="421" t="s">
        <v>3144</v>
      </c>
      <c r="V65" s="421" t="s">
        <v>3145</v>
      </c>
      <c r="W65" s="421" t="s">
        <v>3098</v>
      </c>
      <c r="X65" s="421" t="s">
        <v>3099</v>
      </c>
      <c r="Y65" s="421" t="s">
        <v>1117</v>
      </c>
      <c r="Z65" s="421" t="s">
        <v>1118</v>
      </c>
      <c r="AA65" s="421" t="s">
        <v>3100</v>
      </c>
      <c r="AB65" s="421" t="s">
        <v>3146</v>
      </c>
      <c r="AC65" s="421" t="s">
        <v>3102</v>
      </c>
      <c r="AD65" s="421" t="s">
        <v>3265</v>
      </c>
      <c r="AE65" s="421" t="s">
        <v>3266</v>
      </c>
      <c r="AF65" s="421" t="s">
        <v>2236</v>
      </c>
      <c r="AG65" s="421" t="s">
        <v>2237</v>
      </c>
      <c r="AH65" s="421" t="s">
        <v>3105</v>
      </c>
      <c r="AI65" s="421">
        <v>30000</v>
      </c>
      <c r="AJ65" s="421">
        <v>64.38</v>
      </c>
      <c r="AK65" s="421">
        <v>69</v>
      </c>
      <c r="AL65" s="421">
        <v>1</v>
      </c>
      <c r="AM65" s="421" t="s">
        <v>3130</v>
      </c>
      <c r="AN65" s="421" t="s">
        <v>3130</v>
      </c>
      <c r="AO65" s="421" t="s">
        <v>1121</v>
      </c>
      <c r="AP65" s="421" t="s">
        <v>1121</v>
      </c>
      <c r="AQ65" s="421" t="s">
        <v>1476</v>
      </c>
      <c r="AR65" s="421" t="s">
        <v>3241</v>
      </c>
      <c r="AS65" s="421" t="s">
        <v>3267</v>
      </c>
      <c r="AT65" s="421" t="s">
        <v>3109</v>
      </c>
      <c r="AU65" s="421" t="s">
        <v>1341</v>
      </c>
      <c r="AV65" s="421" t="s">
        <v>962</v>
      </c>
      <c r="AW65" s="421" t="s">
        <v>3110</v>
      </c>
      <c r="AX65" s="421" t="s">
        <v>3111</v>
      </c>
      <c r="AY65" s="421" t="s">
        <v>3112</v>
      </c>
      <c r="AZ65" s="421" t="s">
        <v>3113</v>
      </c>
      <c r="BA65" s="421" t="s">
        <v>3114</v>
      </c>
      <c r="BB65" s="421" t="s">
        <v>3115</v>
      </c>
      <c r="BC65" s="421">
        <v>840</v>
      </c>
      <c r="BD65" s="421">
        <v>2003198.4</v>
      </c>
      <c r="BE65" s="421">
        <v>0</v>
      </c>
      <c r="BF65" s="421">
        <v>450</v>
      </c>
      <c r="BG65" s="421">
        <v>12</v>
      </c>
      <c r="BH65" s="421">
        <v>0</v>
      </c>
      <c r="BI65" s="421" t="s">
        <v>1167</v>
      </c>
    </row>
    <row r="66" spans="1:61" x14ac:dyDescent="0.25">
      <c r="A66" s="421">
        <v>63</v>
      </c>
      <c r="B66" s="421">
        <v>2015</v>
      </c>
      <c r="C66" s="421">
        <v>2</v>
      </c>
      <c r="D66" s="421">
        <v>9</v>
      </c>
      <c r="E66" s="421" t="s">
        <v>1475</v>
      </c>
      <c r="F66" s="421" t="s">
        <v>3223</v>
      </c>
      <c r="G66" s="421" t="s">
        <v>3132</v>
      </c>
      <c r="H66" s="421" t="s">
        <v>1107</v>
      </c>
      <c r="I66" s="421" t="s">
        <v>1369</v>
      </c>
      <c r="J66" s="421" t="s">
        <v>3268</v>
      </c>
      <c r="K66" s="421" t="s">
        <v>3093</v>
      </c>
      <c r="L66" s="421" t="s">
        <v>3094</v>
      </c>
      <c r="M66" s="421" t="s">
        <v>2667</v>
      </c>
      <c r="N66" s="421" t="s">
        <v>3093</v>
      </c>
      <c r="O66" s="421" t="s">
        <v>3094</v>
      </c>
      <c r="P66" s="421" t="s">
        <v>3095</v>
      </c>
      <c r="Q66" s="421" t="s">
        <v>3096</v>
      </c>
      <c r="R66" s="421" t="s">
        <v>1108</v>
      </c>
      <c r="S66" s="421" t="s">
        <v>1476</v>
      </c>
      <c r="T66" s="421" t="s">
        <v>1130</v>
      </c>
      <c r="U66" s="421" t="s">
        <v>3144</v>
      </c>
      <c r="V66" s="421" t="s">
        <v>3145</v>
      </c>
      <c r="W66" s="421" t="s">
        <v>3098</v>
      </c>
      <c r="X66" s="421" t="s">
        <v>3099</v>
      </c>
      <c r="Y66" s="421" t="s">
        <v>1117</v>
      </c>
      <c r="Z66" s="421" t="s">
        <v>1118</v>
      </c>
      <c r="AA66" s="421" t="s">
        <v>3100</v>
      </c>
      <c r="AB66" s="421" t="s">
        <v>3146</v>
      </c>
      <c r="AC66" s="421" t="s">
        <v>3102</v>
      </c>
      <c r="AD66" s="421" t="s">
        <v>3269</v>
      </c>
      <c r="AE66" s="421" t="s">
        <v>3270</v>
      </c>
      <c r="AF66" s="421" t="s">
        <v>2236</v>
      </c>
      <c r="AG66" s="421" t="s">
        <v>2237</v>
      </c>
      <c r="AH66" s="421" t="s">
        <v>3105</v>
      </c>
      <c r="AI66" s="421">
        <v>405960</v>
      </c>
      <c r="AJ66" s="421">
        <v>1056.29</v>
      </c>
      <c r="AK66" s="421">
        <v>1126</v>
      </c>
      <c r="AL66" s="421">
        <v>1</v>
      </c>
      <c r="AM66" s="421" t="s">
        <v>966</v>
      </c>
      <c r="AN66" s="421" t="s">
        <v>3271</v>
      </c>
      <c r="AO66" s="421" t="s">
        <v>1121</v>
      </c>
      <c r="AP66" s="421" t="s">
        <v>1121</v>
      </c>
      <c r="AQ66" s="421" t="s">
        <v>1476</v>
      </c>
      <c r="AR66" s="421" t="s">
        <v>3241</v>
      </c>
      <c r="AS66" s="421" t="s">
        <v>3272</v>
      </c>
      <c r="AT66" s="421" t="s">
        <v>3109</v>
      </c>
      <c r="AU66" s="421" t="s">
        <v>1341</v>
      </c>
      <c r="AV66" s="421" t="s">
        <v>962</v>
      </c>
      <c r="AW66" s="421" t="s">
        <v>3110</v>
      </c>
      <c r="AX66" s="421" t="s">
        <v>3111</v>
      </c>
      <c r="AY66" s="421" t="s">
        <v>3112</v>
      </c>
      <c r="AZ66" s="421" t="s">
        <v>3113</v>
      </c>
      <c r="BA66" s="421" t="s">
        <v>3114</v>
      </c>
      <c r="BB66" s="421" t="s">
        <v>3115</v>
      </c>
      <c r="BC66" s="421">
        <v>16877</v>
      </c>
      <c r="BD66" s="421">
        <v>40247594.520000003</v>
      </c>
      <c r="BE66" s="421">
        <v>0</v>
      </c>
      <c r="BF66" s="421">
        <v>3023.58</v>
      </c>
      <c r="BG66" s="421">
        <v>49.75</v>
      </c>
      <c r="BH66" s="421">
        <v>0</v>
      </c>
      <c r="BI66" s="421" t="s">
        <v>1167</v>
      </c>
    </row>
    <row r="67" spans="1:61" x14ac:dyDescent="0.25">
      <c r="A67" s="421">
        <v>64</v>
      </c>
      <c r="B67" s="421">
        <v>2015</v>
      </c>
      <c r="C67" s="421">
        <v>2</v>
      </c>
      <c r="D67" s="421">
        <v>11</v>
      </c>
      <c r="E67" s="421" t="s">
        <v>1475</v>
      </c>
      <c r="F67" s="421" t="s">
        <v>3223</v>
      </c>
      <c r="G67" s="421" t="s">
        <v>3273</v>
      </c>
      <c r="H67" s="421" t="s">
        <v>1107</v>
      </c>
      <c r="I67" s="421" t="s">
        <v>1437</v>
      </c>
      <c r="J67" s="421" t="s">
        <v>3274</v>
      </c>
      <c r="K67" s="421" t="s">
        <v>3093</v>
      </c>
      <c r="L67" s="421" t="s">
        <v>3094</v>
      </c>
      <c r="M67" s="421" t="s">
        <v>2667</v>
      </c>
      <c r="N67" s="421" t="s">
        <v>3093</v>
      </c>
      <c r="O67" s="421" t="s">
        <v>3094</v>
      </c>
      <c r="P67" s="421" t="s">
        <v>3095</v>
      </c>
      <c r="Q67" s="421" t="s">
        <v>3113</v>
      </c>
      <c r="R67" s="421" t="s">
        <v>1108</v>
      </c>
      <c r="S67" s="421" t="s">
        <v>1108</v>
      </c>
      <c r="T67" s="421" t="s">
        <v>1130</v>
      </c>
      <c r="U67" s="421" t="s">
        <v>1112</v>
      </c>
      <c r="V67" s="421" t="s">
        <v>3097</v>
      </c>
      <c r="W67" s="421" t="s">
        <v>3098</v>
      </c>
      <c r="X67" s="421" t="s">
        <v>3099</v>
      </c>
      <c r="Y67" s="421" t="s">
        <v>1117</v>
      </c>
      <c r="Z67" s="421" t="s">
        <v>1118</v>
      </c>
      <c r="AA67" s="421" t="s">
        <v>3100</v>
      </c>
      <c r="AB67" s="421" t="s">
        <v>3101</v>
      </c>
      <c r="AC67" s="421" t="s">
        <v>3102</v>
      </c>
      <c r="AD67" s="421" t="s">
        <v>3275</v>
      </c>
      <c r="AE67" s="421" t="s">
        <v>3276</v>
      </c>
      <c r="AF67" s="421" t="s">
        <v>2236</v>
      </c>
      <c r="AG67" s="421" t="s">
        <v>2237</v>
      </c>
      <c r="AH67" s="421" t="s">
        <v>3105</v>
      </c>
      <c r="AI67" s="421">
        <v>12000</v>
      </c>
      <c r="AJ67" s="421">
        <v>39.4</v>
      </c>
      <c r="AK67" s="421">
        <v>43.12</v>
      </c>
      <c r="AL67" s="421">
        <v>1</v>
      </c>
      <c r="AM67" s="421" t="s">
        <v>3277</v>
      </c>
      <c r="AN67" s="421" t="s">
        <v>3278</v>
      </c>
      <c r="AO67" s="421" t="s">
        <v>1121</v>
      </c>
      <c r="AP67" s="421" t="s">
        <v>1121</v>
      </c>
      <c r="AQ67" s="421" t="s">
        <v>1108</v>
      </c>
      <c r="AR67" s="421" t="s">
        <v>3241</v>
      </c>
      <c r="AS67" s="421" t="s">
        <v>3279</v>
      </c>
      <c r="AT67" s="421" t="s">
        <v>3109</v>
      </c>
      <c r="AU67" s="421" t="s">
        <v>1142</v>
      </c>
      <c r="AV67" s="421" t="s">
        <v>2520</v>
      </c>
      <c r="AW67" s="421" t="s">
        <v>3110</v>
      </c>
      <c r="AX67" s="421" t="s">
        <v>3111</v>
      </c>
      <c r="AY67" s="421" t="s">
        <v>3112</v>
      </c>
      <c r="AZ67" s="421" t="s">
        <v>3113</v>
      </c>
      <c r="BA67" s="421" t="s">
        <v>3114</v>
      </c>
      <c r="BB67" s="421" t="s">
        <v>3115</v>
      </c>
      <c r="BC67" s="421">
        <v>844.8</v>
      </c>
      <c r="BD67" s="421">
        <v>2011291.39</v>
      </c>
      <c r="BE67" s="421">
        <v>0</v>
      </c>
      <c r="BF67" s="421">
        <v>100</v>
      </c>
      <c r="BG67" s="421">
        <v>12</v>
      </c>
      <c r="BH67" s="421">
        <v>0</v>
      </c>
      <c r="BI67" s="421" t="s">
        <v>1331</v>
      </c>
    </row>
    <row r="68" spans="1:61" x14ac:dyDescent="0.25">
      <c r="A68" s="421">
        <v>65</v>
      </c>
      <c r="B68" s="421">
        <v>2015</v>
      </c>
      <c r="C68" s="421">
        <v>2</v>
      </c>
      <c r="D68" s="421">
        <v>11</v>
      </c>
      <c r="E68" s="421" t="s">
        <v>1475</v>
      </c>
      <c r="F68" s="421" t="s">
        <v>3223</v>
      </c>
      <c r="G68" s="421" t="s">
        <v>3273</v>
      </c>
      <c r="H68" s="421" t="s">
        <v>1107</v>
      </c>
      <c r="I68" s="421" t="s">
        <v>1437</v>
      </c>
      <c r="J68" s="421" t="s">
        <v>3280</v>
      </c>
      <c r="K68" s="421" t="s">
        <v>3093</v>
      </c>
      <c r="L68" s="421" t="s">
        <v>3094</v>
      </c>
      <c r="M68" s="421" t="s">
        <v>2667</v>
      </c>
      <c r="N68" s="421" t="s">
        <v>3093</v>
      </c>
      <c r="O68" s="421" t="s">
        <v>3094</v>
      </c>
      <c r="P68" s="421" t="s">
        <v>3095</v>
      </c>
      <c r="Q68" s="421" t="s">
        <v>3113</v>
      </c>
      <c r="R68" s="421" t="s">
        <v>1108</v>
      </c>
      <c r="S68" s="421" t="s">
        <v>1108</v>
      </c>
      <c r="T68" s="421" t="s">
        <v>1130</v>
      </c>
      <c r="U68" s="421" t="s">
        <v>1112</v>
      </c>
      <c r="V68" s="421" t="s">
        <v>3097</v>
      </c>
      <c r="W68" s="421" t="s">
        <v>3098</v>
      </c>
      <c r="X68" s="421" t="s">
        <v>3099</v>
      </c>
      <c r="Y68" s="421" t="s">
        <v>1117</v>
      </c>
      <c r="Z68" s="421" t="s">
        <v>1118</v>
      </c>
      <c r="AA68" s="421" t="s">
        <v>3100</v>
      </c>
      <c r="AB68" s="421" t="s">
        <v>3101</v>
      </c>
      <c r="AC68" s="421" t="s">
        <v>3102</v>
      </c>
      <c r="AD68" s="421" t="s">
        <v>3275</v>
      </c>
      <c r="AE68" s="421" t="s">
        <v>3276</v>
      </c>
      <c r="AF68" s="421" t="s">
        <v>2236</v>
      </c>
      <c r="AG68" s="421" t="s">
        <v>2237</v>
      </c>
      <c r="AH68" s="421" t="s">
        <v>3105</v>
      </c>
      <c r="AI68" s="421">
        <v>4508500</v>
      </c>
      <c r="AJ68" s="421">
        <v>9781.08</v>
      </c>
      <c r="AK68" s="421">
        <v>10608.39</v>
      </c>
      <c r="AL68" s="421">
        <v>1</v>
      </c>
      <c r="AM68" s="421" t="s">
        <v>3277</v>
      </c>
      <c r="AN68" s="421" t="s">
        <v>3278</v>
      </c>
      <c r="AO68" s="421" t="s">
        <v>1121</v>
      </c>
      <c r="AP68" s="421" t="s">
        <v>1121</v>
      </c>
      <c r="AQ68" s="421" t="s">
        <v>1108</v>
      </c>
      <c r="AR68" s="421" t="s">
        <v>3241</v>
      </c>
      <c r="AS68" s="421" t="s">
        <v>3281</v>
      </c>
      <c r="AT68" s="421" t="s">
        <v>3109</v>
      </c>
      <c r="AU68" s="421" t="s">
        <v>1142</v>
      </c>
      <c r="AV68" s="421" t="s">
        <v>2520</v>
      </c>
      <c r="AW68" s="421" t="s">
        <v>3110</v>
      </c>
      <c r="AX68" s="421" t="s">
        <v>3111</v>
      </c>
      <c r="AY68" s="421" t="s">
        <v>3112</v>
      </c>
      <c r="AZ68" s="421" t="s">
        <v>3113</v>
      </c>
      <c r="BA68" s="421" t="s">
        <v>3114</v>
      </c>
      <c r="BB68" s="421" t="s">
        <v>3115</v>
      </c>
      <c r="BC68" s="421">
        <v>149457.4</v>
      </c>
      <c r="BD68" s="421">
        <v>355826683.35000002</v>
      </c>
      <c r="BE68" s="421">
        <v>0</v>
      </c>
      <c r="BF68" s="421">
        <v>1780.09</v>
      </c>
      <c r="BG68" s="421">
        <v>378.09</v>
      </c>
      <c r="BH68" s="421">
        <v>0</v>
      </c>
      <c r="BI68" s="421" t="s">
        <v>1331</v>
      </c>
    </row>
    <row r="69" spans="1:61" x14ac:dyDescent="0.25">
      <c r="A69" s="421">
        <v>66</v>
      </c>
      <c r="B69" s="421">
        <v>2015</v>
      </c>
      <c r="C69" s="421">
        <v>2</v>
      </c>
      <c r="D69" s="421">
        <v>11</v>
      </c>
      <c r="E69" s="421" t="s">
        <v>1475</v>
      </c>
      <c r="F69" s="421" t="s">
        <v>3223</v>
      </c>
      <c r="G69" s="421" t="s">
        <v>3273</v>
      </c>
      <c r="H69" s="421" t="s">
        <v>1107</v>
      </c>
      <c r="I69" s="421" t="s">
        <v>1437</v>
      </c>
      <c r="J69" s="421" t="s">
        <v>3280</v>
      </c>
      <c r="K69" s="421" t="s">
        <v>3093</v>
      </c>
      <c r="L69" s="421" t="s">
        <v>3094</v>
      </c>
      <c r="M69" s="421" t="s">
        <v>2667</v>
      </c>
      <c r="N69" s="421" t="s">
        <v>3093</v>
      </c>
      <c r="O69" s="421" t="s">
        <v>3094</v>
      </c>
      <c r="P69" s="421" t="s">
        <v>3095</v>
      </c>
      <c r="Q69" s="421" t="s">
        <v>3113</v>
      </c>
      <c r="R69" s="421" t="s">
        <v>1108</v>
      </c>
      <c r="S69" s="421" t="s">
        <v>1108</v>
      </c>
      <c r="T69" s="421" t="s">
        <v>1130</v>
      </c>
      <c r="U69" s="421" t="s">
        <v>1112</v>
      </c>
      <c r="V69" s="421" t="s">
        <v>3097</v>
      </c>
      <c r="W69" s="421" t="s">
        <v>3098</v>
      </c>
      <c r="X69" s="421" t="s">
        <v>3099</v>
      </c>
      <c r="Y69" s="421" t="s">
        <v>1117</v>
      </c>
      <c r="Z69" s="421" t="s">
        <v>1118</v>
      </c>
      <c r="AA69" s="421" t="s">
        <v>3100</v>
      </c>
      <c r="AB69" s="421" t="s">
        <v>3101</v>
      </c>
      <c r="AC69" s="421" t="s">
        <v>3102</v>
      </c>
      <c r="AD69" s="421" t="s">
        <v>3275</v>
      </c>
      <c r="AE69" s="421" t="s">
        <v>3276</v>
      </c>
      <c r="AF69" s="421" t="s">
        <v>2236</v>
      </c>
      <c r="AG69" s="421" t="s">
        <v>2237</v>
      </c>
      <c r="AH69" s="421" t="s">
        <v>3105</v>
      </c>
      <c r="AI69" s="421">
        <v>459000</v>
      </c>
      <c r="AJ69" s="421">
        <v>1188.8499999999999</v>
      </c>
      <c r="AK69" s="421">
        <v>1289.4100000000001</v>
      </c>
      <c r="AL69" s="421">
        <v>2</v>
      </c>
      <c r="AM69" s="421" t="s">
        <v>3277</v>
      </c>
      <c r="AN69" s="421" t="s">
        <v>3278</v>
      </c>
      <c r="AO69" s="421" t="s">
        <v>1121</v>
      </c>
      <c r="AP69" s="421" t="s">
        <v>1121</v>
      </c>
      <c r="AQ69" s="421" t="s">
        <v>1108</v>
      </c>
      <c r="AR69" s="421" t="s">
        <v>3241</v>
      </c>
      <c r="AS69" s="421" t="s">
        <v>3281</v>
      </c>
      <c r="AT69" s="421" t="s">
        <v>3109</v>
      </c>
      <c r="AU69" s="421" t="s">
        <v>1142</v>
      </c>
      <c r="AV69" s="421" t="s">
        <v>2520</v>
      </c>
      <c r="AW69" s="421" t="s">
        <v>3110</v>
      </c>
      <c r="AX69" s="421" t="s">
        <v>3111</v>
      </c>
      <c r="AY69" s="421" t="s">
        <v>3112</v>
      </c>
      <c r="AZ69" s="421" t="s">
        <v>3113</v>
      </c>
      <c r="BA69" s="421" t="s">
        <v>3114</v>
      </c>
      <c r="BB69" s="421" t="s">
        <v>3115</v>
      </c>
      <c r="BC69" s="421">
        <v>18762</v>
      </c>
      <c r="BD69" s="421">
        <v>44668381.979999997</v>
      </c>
      <c r="BE69" s="421">
        <v>0</v>
      </c>
      <c r="BF69" s="421">
        <v>223.46</v>
      </c>
      <c r="BG69" s="421">
        <v>47.46</v>
      </c>
      <c r="BH69" s="421">
        <v>0</v>
      </c>
      <c r="BI69" s="421" t="s">
        <v>1331</v>
      </c>
    </row>
    <row r="70" spans="1:61" x14ac:dyDescent="0.25">
      <c r="A70" s="421">
        <v>67</v>
      </c>
      <c r="B70" s="421">
        <v>2015</v>
      </c>
      <c r="C70" s="421">
        <v>2</v>
      </c>
      <c r="D70" s="421">
        <v>11</v>
      </c>
      <c r="E70" s="421" t="s">
        <v>1475</v>
      </c>
      <c r="F70" s="421" t="s">
        <v>3223</v>
      </c>
      <c r="G70" s="421" t="s">
        <v>3273</v>
      </c>
      <c r="H70" s="421" t="s">
        <v>1107</v>
      </c>
      <c r="I70" s="421" t="s">
        <v>1437</v>
      </c>
      <c r="J70" s="421" t="s">
        <v>3280</v>
      </c>
      <c r="K70" s="421" t="s">
        <v>3093</v>
      </c>
      <c r="L70" s="421" t="s">
        <v>3094</v>
      </c>
      <c r="M70" s="421" t="s">
        <v>2667</v>
      </c>
      <c r="N70" s="421" t="s">
        <v>3093</v>
      </c>
      <c r="O70" s="421" t="s">
        <v>3094</v>
      </c>
      <c r="P70" s="421" t="s">
        <v>3095</v>
      </c>
      <c r="Q70" s="421" t="s">
        <v>3113</v>
      </c>
      <c r="R70" s="421" t="s">
        <v>1108</v>
      </c>
      <c r="S70" s="421" t="s">
        <v>1108</v>
      </c>
      <c r="T70" s="421" t="s">
        <v>1130</v>
      </c>
      <c r="U70" s="421" t="s">
        <v>1112</v>
      </c>
      <c r="V70" s="421" t="s">
        <v>3097</v>
      </c>
      <c r="W70" s="421" t="s">
        <v>3098</v>
      </c>
      <c r="X70" s="421" t="s">
        <v>3099</v>
      </c>
      <c r="Y70" s="421" t="s">
        <v>1117</v>
      </c>
      <c r="Z70" s="421" t="s">
        <v>1118</v>
      </c>
      <c r="AA70" s="421" t="s">
        <v>3100</v>
      </c>
      <c r="AB70" s="421" t="s">
        <v>3101</v>
      </c>
      <c r="AC70" s="421" t="s">
        <v>3102</v>
      </c>
      <c r="AD70" s="421" t="s">
        <v>3275</v>
      </c>
      <c r="AE70" s="421" t="s">
        <v>3276</v>
      </c>
      <c r="AF70" s="421" t="s">
        <v>2236</v>
      </c>
      <c r="AG70" s="421" t="s">
        <v>2237</v>
      </c>
      <c r="AH70" s="421" t="s">
        <v>3105</v>
      </c>
      <c r="AI70" s="421">
        <v>498200</v>
      </c>
      <c r="AJ70" s="421">
        <v>1894.37</v>
      </c>
      <c r="AK70" s="421">
        <v>2054.6</v>
      </c>
      <c r="AL70" s="421">
        <v>3</v>
      </c>
      <c r="AM70" s="421" t="s">
        <v>3277</v>
      </c>
      <c r="AN70" s="421" t="s">
        <v>3278</v>
      </c>
      <c r="AO70" s="421" t="s">
        <v>1121</v>
      </c>
      <c r="AP70" s="421" t="s">
        <v>1121</v>
      </c>
      <c r="AQ70" s="421" t="s">
        <v>1108</v>
      </c>
      <c r="AR70" s="421" t="s">
        <v>3241</v>
      </c>
      <c r="AS70" s="421" t="s">
        <v>3281</v>
      </c>
      <c r="AT70" s="421" t="s">
        <v>3109</v>
      </c>
      <c r="AU70" s="421" t="s">
        <v>1142</v>
      </c>
      <c r="AV70" s="421" t="s">
        <v>2520</v>
      </c>
      <c r="AW70" s="421" t="s">
        <v>3110</v>
      </c>
      <c r="AX70" s="421" t="s">
        <v>3111</v>
      </c>
      <c r="AY70" s="421" t="s">
        <v>3112</v>
      </c>
      <c r="AZ70" s="421" t="s">
        <v>3113</v>
      </c>
      <c r="BA70" s="421" t="s">
        <v>3114</v>
      </c>
      <c r="BB70" s="421" t="s">
        <v>3115</v>
      </c>
      <c r="BC70" s="421">
        <v>51757.599999999999</v>
      </c>
      <c r="BD70" s="421">
        <v>123223976.5</v>
      </c>
      <c r="BE70" s="421">
        <v>0</v>
      </c>
      <c r="BF70" s="421">
        <v>616.45000000000005</v>
      </c>
      <c r="BG70" s="421">
        <v>130.93</v>
      </c>
      <c r="BH70" s="421">
        <v>0</v>
      </c>
      <c r="BI70" s="421" t="s">
        <v>1331</v>
      </c>
    </row>
    <row r="71" spans="1:61" x14ac:dyDescent="0.25">
      <c r="A71" s="421">
        <v>68</v>
      </c>
      <c r="B71" s="421">
        <v>2015</v>
      </c>
      <c r="C71" s="421">
        <v>2</v>
      </c>
      <c r="D71" s="421">
        <v>11</v>
      </c>
      <c r="E71" s="421" t="s">
        <v>1475</v>
      </c>
      <c r="F71" s="421" t="s">
        <v>3223</v>
      </c>
      <c r="G71" s="421" t="s">
        <v>3273</v>
      </c>
      <c r="H71" s="421" t="s">
        <v>1107</v>
      </c>
      <c r="I71" s="421" t="s">
        <v>1437</v>
      </c>
      <c r="J71" s="421" t="s">
        <v>3282</v>
      </c>
      <c r="K71" s="421" t="s">
        <v>3093</v>
      </c>
      <c r="L71" s="421" t="s">
        <v>3094</v>
      </c>
      <c r="M71" s="421" t="s">
        <v>2667</v>
      </c>
      <c r="N71" s="421" t="s">
        <v>3093</v>
      </c>
      <c r="O71" s="421" t="s">
        <v>3094</v>
      </c>
      <c r="P71" s="421" t="s">
        <v>3095</v>
      </c>
      <c r="Q71" s="421" t="s">
        <v>3113</v>
      </c>
      <c r="R71" s="421" t="s">
        <v>1108</v>
      </c>
      <c r="S71" s="421" t="s">
        <v>1108</v>
      </c>
      <c r="T71" s="421" t="s">
        <v>1130</v>
      </c>
      <c r="U71" s="421" t="s">
        <v>1112</v>
      </c>
      <c r="V71" s="421" t="s">
        <v>3097</v>
      </c>
      <c r="W71" s="421" t="s">
        <v>3098</v>
      </c>
      <c r="X71" s="421" t="s">
        <v>3099</v>
      </c>
      <c r="Y71" s="421" t="s">
        <v>1117</v>
      </c>
      <c r="Z71" s="421" t="s">
        <v>1118</v>
      </c>
      <c r="AA71" s="421" t="s">
        <v>3100</v>
      </c>
      <c r="AB71" s="421" t="s">
        <v>3101</v>
      </c>
      <c r="AC71" s="421" t="s">
        <v>3102</v>
      </c>
      <c r="AD71" s="421" t="s">
        <v>3275</v>
      </c>
      <c r="AE71" s="421" t="s">
        <v>3276</v>
      </c>
      <c r="AF71" s="421" t="s">
        <v>1300</v>
      </c>
      <c r="AG71" s="421" t="s">
        <v>1301</v>
      </c>
      <c r="AH71" s="421" t="s">
        <v>1127</v>
      </c>
      <c r="AI71" s="421">
        <v>39.14</v>
      </c>
      <c r="AJ71" s="421">
        <v>39.14</v>
      </c>
      <c r="AK71" s="421">
        <v>41</v>
      </c>
      <c r="AL71" s="421">
        <v>1</v>
      </c>
      <c r="AM71" s="421" t="s">
        <v>3277</v>
      </c>
      <c r="AN71" s="421" t="s">
        <v>3278</v>
      </c>
      <c r="AO71" s="421" t="s">
        <v>1121</v>
      </c>
      <c r="AP71" s="421" t="s">
        <v>1121</v>
      </c>
      <c r="AQ71" s="421" t="s">
        <v>1108</v>
      </c>
      <c r="AR71" s="421" t="s">
        <v>3241</v>
      </c>
      <c r="AS71" s="421" t="s">
        <v>3283</v>
      </c>
      <c r="AT71" s="421" t="s">
        <v>3109</v>
      </c>
      <c r="AU71" s="421" t="s">
        <v>1142</v>
      </c>
      <c r="AV71" s="421" t="s">
        <v>2520</v>
      </c>
      <c r="AW71" s="421" t="s">
        <v>3110</v>
      </c>
      <c r="AX71" s="421" t="s">
        <v>3229</v>
      </c>
      <c r="AY71" s="421" t="s">
        <v>3112</v>
      </c>
      <c r="AZ71" s="421" t="s">
        <v>3113</v>
      </c>
      <c r="BA71" s="421" t="s">
        <v>3114</v>
      </c>
      <c r="BB71" s="421" t="s">
        <v>3230</v>
      </c>
      <c r="BC71" s="421">
        <v>4.8499999999999996</v>
      </c>
      <c r="BD71" s="421">
        <v>11546.83</v>
      </c>
      <c r="BE71" s="421">
        <v>0</v>
      </c>
      <c r="BF71" s="421">
        <v>0</v>
      </c>
      <c r="BG71" s="421">
        <v>0</v>
      </c>
      <c r="BH71" s="421">
        <v>0</v>
      </c>
      <c r="BI71" s="421" t="s">
        <v>1331</v>
      </c>
    </row>
    <row r="72" spans="1:61" x14ac:dyDescent="0.25">
      <c r="A72" s="421">
        <v>69</v>
      </c>
      <c r="B72" s="421">
        <v>2015</v>
      </c>
      <c r="C72" s="421">
        <v>2</v>
      </c>
      <c r="D72" s="421">
        <v>12</v>
      </c>
      <c r="E72" s="421" t="s">
        <v>1475</v>
      </c>
      <c r="F72" s="421" t="s">
        <v>3223</v>
      </c>
      <c r="G72" s="421" t="s">
        <v>3284</v>
      </c>
      <c r="H72" s="421" t="s">
        <v>1107</v>
      </c>
      <c r="I72" s="421" t="s">
        <v>1448</v>
      </c>
      <c r="J72" s="421" t="s">
        <v>3285</v>
      </c>
      <c r="K72" s="421" t="s">
        <v>3093</v>
      </c>
      <c r="L72" s="421" t="s">
        <v>3094</v>
      </c>
      <c r="M72" s="421" t="s">
        <v>2667</v>
      </c>
      <c r="N72" s="421" t="s">
        <v>3093</v>
      </c>
      <c r="O72" s="421" t="s">
        <v>3094</v>
      </c>
      <c r="P72" s="421" t="s">
        <v>3095</v>
      </c>
      <c r="Q72" s="421" t="s">
        <v>3113</v>
      </c>
      <c r="R72" s="421" t="s">
        <v>1108</v>
      </c>
      <c r="S72" s="421" t="s">
        <v>1108</v>
      </c>
      <c r="T72" s="421" t="s">
        <v>1130</v>
      </c>
      <c r="U72" s="421" t="s">
        <v>1112</v>
      </c>
      <c r="V72" s="421" t="s">
        <v>3097</v>
      </c>
      <c r="W72" s="421" t="s">
        <v>3098</v>
      </c>
      <c r="X72" s="421" t="s">
        <v>3099</v>
      </c>
      <c r="Y72" s="421" t="s">
        <v>1117</v>
      </c>
      <c r="Z72" s="421" t="s">
        <v>1118</v>
      </c>
      <c r="AA72" s="421" t="s">
        <v>3100</v>
      </c>
      <c r="AB72" s="421" t="s">
        <v>3101</v>
      </c>
      <c r="AC72" s="421" t="s">
        <v>3102</v>
      </c>
      <c r="AD72" s="421" t="s">
        <v>3125</v>
      </c>
      <c r="AE72" s="421" t="s">
        <v>3126</v>
      </c>
      <c r="AF72" s="421" t="s">
        <v>2236</v>
      </c>
      <c r="AG72" s="421" t="s">
        <v>2237</v>
      </c>
      <c r="AH72" s="421" t="s">
        <v>3105</v>
      </c>
      <c r="AI72" s="421">
        <v>6000000</v>
      </c>
      <c r="AJ72" s="421">
        <v>12476</v>
      </c>
      <c r="AK72" s="421">
        <v>13220</v>
      </c>
      <c r="AL72" s="421">
        <v>1</v>
      </c>
      <c r="AM72" s="421" t="s">
        <v>962</v>
      </c>
      <c r="AN72" s="421" t="s">
        <v>3127</v>
      </c>
      <c r="AO72" s="421" t="s">
        <v>1121</v>
      </c>
      <c r="AP72" s="421" t="s">
        <v>1121</v>
      </c>
      <c r="AQ72" s="421" t="s">
        <v>1108</v>
      </c>
      <c r="AR72" s="421" t="s">
        <v>3241</v>
      </c>
      <c r="AS72" s="421" t="s">
        <v>3286</v>
      </c>
      <c r="AT72" s="421" t="s">
        <v>3109</v>
      </c>
      <c r="AU72" s="421" t="s">
        <v>1142</v>
      </c>
      <c r="AV72" s="421" t="s">
        <v>3174</v>
      </c>
      <c r="AW72" s="421" t="s">
        <v>3110</v>
      </c>
      <c r="AX72" s="421" t="s">
        <v>3111</v>
      </c>
      <c r="AY72" s="421" t="s">
        <v>3112</v>
      </c>
      <c r="AZ72" s="421" t="s">
        <v>3113</v>
      </c>
      <c r="BA72" s="421" t="s">
        <v>3114</v>
      </c>
      <c r="BB72" s="421" t="s">
        <v>3115</v>
      </c>
      <c r="BC72" s="421">
        <v>136599.15</v>
      </c>
      <c r="BD72" s="421">
        <v>330106871.88</v>
      </c>
      <c r="BE72" s="421">
        <v>0</v>
      </c>
      <c r="BF72" s="421">
        <v>2391</v>
      </c>
      <c r="BG72" s="421">
        <v>0</v>
      </c>
      <c r="BH72" s="421">
        <v>1600</v>
      </c>
      <c r="BI72" s="421" t="s">
        <v>1149</v>
      </c>
    </row>
    <row r="73" spans="1:61" x14ac:dyDescent="0.25">
      <c r="A73" s="421">
        <v>70</v>
      </c>
      <c r="B73" s="421">
        <v>2015</v>
      </c>
      <c r="C73" s="421">
        <v>2</v>
      </c>
      <c r="D73" s="421">
        <v>12</v>
      </c>
      <c r="E73" s="421" t="s">
        <v>1475</v>
      </c>
      <c r="F73" s="421" t="s">
        <v>3223</v>
      </c>
      <c r="G73" s="421" t="s">
        <v>3284</v>
      </c>
      <c r="H73" s="421" t="s">
        <v>1107</v>
      </c>
      <c r="I73" s="421" t="s">
        <v>1448</v>
      </c>
      <c r="J73" s="421" t="s">
        <v>3287</v>
      </c>
      <c r="K73" s="421" t="s">
        <v>3093</v>
      </c>
      <c r="L73" s="421" t="s">
        <v>3094</v>
      </c>
      <c r="M73" s="421" t="s">
        <v>2667</v>
      </c>
      <c r="N73" s="421" t="s">
        <v>3093</v>
      </c>
      <c r="O73" s="421" t="s">
        <v>3094</v>
      </c>
      <c r="P73" s="421" t="s">
        <v>3095</v>
      </c>
      <c r="Q73" s="421" t="s">
        <v>3113</v>
      </c>
      <c r="R73" s="421" t="s">
        <v>1108</v>
      </c>
      <c r="S73" s="421" t="s">
        <v>1108</v>
      </c>
      <c r="T73" s="421" t="s">
        <v>1130</v>
      </c>
      <c r="U73" s="421" t="s">
        <v>1112</v>
      </c>
      <c r="V73" s="421" t="s">
        <v>3097</v>
      </c>
      <c r="W73" s="421" t="s">
        <v>3098</v>
      </c>
      <c r="X73" s="421" t="s">
        <v>3099</v>
      </c>
      <c r="Y73" s="421" t="s">
        <v>1117</v>
      </c>
      <c r="Z73" s="421" t="s">
        <v>1118</v>
      </c>
      <c r="AA73" s="421" t="s">
        <v>3100</v>
      </c>
      <c r="AB73" s="421" t="s">
        <v>3101</v>
      </c>
      <c r="AC73" s="421" t="s">
        <v>3102</v>
      </c>
      <c r="AD73" s="421" t="s">
        <v>3125</v>
      </c>
      <c r="AE73" s="421" t="s">
        <v>3126</v>
      </c>
      <c r="AF73" s="421" t="s">
        <v>2236</v>
      </c>
      <c r="AG73" s="421" t="s">
        <v>2237</v>
      </c>
      <c r="AH73" s="421" t="s">
        <v>3105</v>
      </c>
      <c r="AI73" s="421">
        <v>232080</v>
      </c>
      <c r="AJ73" s="421">
        <v>830.79</v>
      </c>
      <c r="AK73" s="421">
        <v>945.16</v>
      </c>
      <c r="AL73" s="421">
        <v>1</v>
      </c>
      <c r="AM73" s="421" t="s">
        <v>962</v>
      </c>
      <c r="AN73" s="421" t="s">
        <v>3127</v>
      </c>
      <c r="AO73" s="421" t="s">
        <v>1121</v>
      </c>
      <c r="AP73" s="421" t="s">
        <v>1121</v>
      </c>
      <c r="AQ73" s="421" t="s">
        <v>1108</v>
      </c>
      <c r="AR73" s="421" t="s">
        <v>3241</v>
      </c>
      <c r="AS73" s="421" t="s">
        <v>3288</v>
      </c>
      <c r="AT73" s="421" t="s">
        <v>3109</v>
      </c>
      <c r="AU73" s="421" t="s">
        <v>1142</v>
      </c>
      <c r="AV73" s="421" t="s">
        <v>3174</v>
      </c>
      <c r="AW73" s="421" t="s">
        <v>3110</v>
      </c>
      <c r="AX73" s="421" t="s">
        <v>3111</v>
      </c>
      <c r="AY73" s="421" t="s">
        <v>3112</v>
      </c>
      <c r="AZ73" s="421" t="s">
        <v>3113</v>
      </c>
      <c r="BA73" s="421" t="s">
        <v>3114</v>
      </c>
      <c r="BB73" s="421" t="s">
        <v>3115</v>
      </c>
      <c r="BC73" s="421">
        <v>12758.4</v>
      </c>
      <c r="BD73" s="421">
        <v>30832077.02</v>
      </c>
      <c r="BE73" s="421">
        <v>0</v>
      </c>
      <c r="BF73" s="421">
        <v>211.18</v>
      </c>
      <c r="BG73" s="421">
        <v>0</v>
      </c>
      <c r="BH73" s="421">
        <v>0</v>
      </c>
      <c r="BI73" s="421" t="s">
        <v>1149</v>
      </c>
    </row>
    <row r="74" spans="1:61" x14ac:dyDescent="0.25">
      <c r="A74" s="421">
        <v>71</v>
      </c>
      <c r="B74" s="421">
        <v>2015</v>
      </c>
      <c r="C74" s="421">
        <v>2</v>
      </c>
      <c r="D74" s="421">
        <v>12</v>
      </c>
      <c r="E74" s="421" t="s">
        <v>1475</v>
      </c>
      <c r="F74" s="421" t="s">
        <v>3223</v>
      </c>
      <c r="G74" s="421" t="s">
        <v>3284</v>
      </c>
      <c r="H74" s="421" t="s">
        <v>1107</v>
      </c>
      <c r="I74" s="421" t="s">
        <v>1448</v>
      </c>
      <c r="J74" s="421" t="s">
        <v>3287</v>
      </c>
      <c r="K74" s="421" t="s">
        <v>3093</v>
      </c>
      <c r="L74" s="421" t="s">
        <v>3094</v>
      </c>
      <c r="M74" s="421" t="s">
        <v>2667</v>
      </c>
      <c r="N74" s="421" t="s">
        <v>3093</v>
      </c>
      <c r="O74" s="421" t="s">
        <v>3094</v>
      </c>
      <c r="P74" s="421" t="s">
        <v>3095</v>
      </c>
      <c r="Q74" s="421" t="s">
        <v>3113</v>
      </c>
      <c r="R74" s="421" t="s">
        <v>1108</v>
      </c>
      <c r="S74" s="421" t="s">
        <v>1108</v>
      </c>
      <c r="T74" s="421" t="s">
        <v>1130</v>
      </c>
      <c r="U74" s="421" t="s">
        <v>1112</v>
      </c>
      <c r="V74" s="421" t="s">
        <v>3097</v>
      </c>
      <c r="W74" s="421" t="s">
        <v>3098</v>
      </c>
      <c r="X74" s="421" t="s">
        <v>3099</v>
      </c>
      <c r="Y74" s="421" t="s">
        <v>1117</v>
      </c>
      <c r="Z74" s="421" t="s">
        <v>1118</v>
      </c>
      <c r="AA74" s="421" t="s">
        <v>3100</v>
      </c>
      <c r="AB74" s="421" t="s">
        <v>3101</v>
      </c>
      <c r="AC74" s="421" t="s">
        <v>3102</v>
      </c>
      <c r="AD74" s="421" t="s">
        <v>3125</v>
      </c>
      <c r="AE74" s="421" t="s">
        <v>3126</v>
      </c>
      <c r="AF74" s="421" t="s">
        <v>2236</v>
      </c>
      <c r="AG74" s="421" t="s">
        <v>2237</v>
      </c>
      <c r="AH74" s="421" t="s">
        <v>3105</v>
      </c>
      <c r="AI74" s="421">
        <v>132000</v>
      </c>
      <c r="AJ74" s="421">
        <v>488.52</v>
      </c>
      <c r="AK74" s="421">
        <v>555.77</v>
      </c>
      <c r="AL74" s="421">
        <v>2</v>
      </c>
      <c r="AM74" s="421" t="s">
        <v>962</v>
      </c>
      <c r="AN74" s="421" t="s">
        <v>3127</v>
      </c>
      <c r="AO74" s="421" t="s">
        <v>1121</v>
      </c>
      <c r="AP74" s="421" t="s">
        <v>1121</v>
      </c>
      <c r="AQ74" s="421" t="s">
        <v>1108</v>
      </c>
      <c r="AR74" s="421" t="s">
        <v>3241</v>
      </c>
      <c r="AS74" s="421" t="s">
        <v>3288</v>
      </c>
      <c r="AT74" s="421" t="s">
        <v>3109</v>
      </c>
      <c r="AU74" s="421" t="s">
        <v>1142</v>
      </c>
      <c r="AV74" s="421" t="s">
        <v>3174</v>
      </c>
      <c r="AW74" s="421" t="s">
        <v>3110</v>
      </c>
      <c r="AX74" s="421" t="s">
        <v>3111</v>
      </c>
      <c r="AY74" s="421" t="s">
        <v>3112</v>
      </c>
      <c r="AZ74" s="421" t="s">
        <v>3113</v>
      </c>
      <c r="BA74" s="421" t="s">
        <v>3114</v>
      </c>
      <c r="BB74" s="421" t="s">
        <v>3115</v>
      </c>
      <c r="BC74" s="421">
        <v>6564.8</v>
      </c>
      <c r="BD74" s="421">
        <v>15864561.33</v>
      </c>
      <c r="BE74" s="421">
        <v>0</v>
      </c>
      <c r="BF74" s="421">
        <v>108.66</v>
      </c>
      <c r="BG74" s="421">
        <v>0</v>
      </c>
      <c r="BH74" s="421">
        <v>0</v>
      </c>
      <c r="BI74" s="421" t="s">
        <v>1149</v>
      </c>
    </row>
    <row r="75" spans="1:61" x14ac:dyDescent="0.25">
      <c r="A75" s="421">
        <v>72</v>
      </c>
      <c r="B75" s="421">
        <v>2015</v>
      </c>
      <c r="C75" s="421">
        <v>2</v>
      </c>
      <c r="D75" s="421">
        <v>12</v>
      </c>
      <c r="E75" s="421" t="s">
        <v>1475</v>
      </c>
      <c r="F75" s="421" t="s">
        <v>3223</v>
      </c>
      <c r="G75" s="421" t="s">
        <v>3284</v>
      </c>
      <c r="H75" s="421" t="s">
        <v>1107</v>
      </c>
      <c r="I75" s="421" t="s">
        <v>1448</v>
      </c>
      <c r="J75" s="421" t="s">
        <v>3287</v>
      </c>
      <c r="K75" s="421" t="s">
        <v>3093</v>
      </c>
      <c r="L75" s="421" t="s">
        <v>3094</v>
      </c>
      <c r="M75" s="421" t="s">
        <v>2667</v>
      </c>
      <c r="N75" s="421" t="s">
        <v>3093</v>
      </c>
      <c r="O75" s="421" t="s">
        <v>3094</v>
      </c>
      <c r="P75" s="421" t="s">
        <v>3095</v>
      </c>
      <c r="Q75" s="421" t="s">
        <v>3113</v>
      </c>
      <c r="R75" s="421" t="s">
        <v>1108</v>
      </c>
      <c r="S75" s="421" t="s">
        <v>1108</v>
      </c>
      <c r="T75" s="421" t="s">
        <v>1130</v>
      </c>
      <c r="U75" s="421" t="s">
        <v>1112</v>
      </c>
      <c r="V75" s="421" t="s">
        <v>3097</v>
      </c>
      <c r="W75" s="421" t="s">
        <v>3098</v>
      </c>
      <c r="X75" s="421" t="s">
        <v>3099</v>
      </c>
      <c r="Y75" s="421" t="s">
        <v>1117</v>
      </c>
      <c r="Z75" s="421" t="s">
        <v>1118</v>
      </c>
      <c r="AA75" s="421" t="s">
        <v>3100</v>
      </c>
      <c r="AB75" s="421" t="s">
        <v>3101</v>
      </c>
      <c r="AC75" s="421" t="s">
        <v>3102</v>
      </c>
      <c r="AD75" s="421" t="s">
        <v>3125</v>
      </c>
      <c r="AE75" s="421" t="s">
        <v>3126</v>
      </c>
      <c r="AF75" s="421" t="s">
        <v>2236</v>
      </c>
      <c r="AG75" s="421" t="s">
        <v>2237</v>
      </c>
      <c r="AH75" s="421" t="s">
        <v>3105</v>
      </c>
      <c r="AI75" s="421">
        <v>36000</v>
      </c>
      <c r="AJ75" s="421">
        <v>135.63</v>
      </c>
      <c r="AK75" s="421">
        <v>154.30000000000001</v>
      </c>
      <c r="AL75" s="421">
        <v>3</v>
      </c>
      <c r="AM75" s="421" t="s">
        <v>962</v>
      </c>
      <c r="AN75" s="421" t="s">
        <v>3127</v>
      </c>
      <c r="AO75" s="421" t="s">
        <v>1121</v>
      </c>
      <c r="AP75" s="421" t="s">
        <v>1121</v>
      </c>
      <c r="AQ75" s="421" t="s">
        <v>1108</v>
      </c>
      <c r="AR75" s="421" t="s">
        <v>3241</v>
      </c>
      <c r="AS75" s="421" t="s">
        <v>3288</v>
      </c>
      <c r="AT75" s="421" t="s">
        <v>3109</v>
      </c>
      <c r="AU75" s="421" t="s">
        <v>1142</v>
      </c>
      <c r="AV75" s="421" t="s">
        <v>3174</v>
      </c>
      <c r="AW75" s="421" t="s">
        <v>3110</v>
      </c>
      <c r="AX75" s="421" t="s">
        <v>3111</v>
      </c>
      <c r="AY75" s="421" t="s">
        <v>3112</v>
      </c>
      <c r="AZ75" s="421" t="s">
        <v>3113</v>
      </c>
      <c r="BA75" s="421" t="s">
        <v>3114</v>
      </c>
      <c r="BB75" s="421" t="s">
        <v>3115</v>
      </c>
      <c r="BC75" s="421">
        <v>4178.3999999999996</v>
      </c>
      <c r="BD75" s="421">
        <v>10097563.220000001</v>
      </c>
      <c r="BE75" s="421">
        <v>0</v>
      </c>
      <c r="BF75" s="421">
        <v>69.16</v>
      </c>
      <c r="BG75" s="421">
        <v>0</v>
      </c>
      <c r="BH75" s="421">
        <v>0</v>
      </c>
      <c r="BI75" s="421" t="s">
        <v>1149</v>
      </c>
    </row>
    <row r="76" spans="1:61" x14ac:dyDescent="0.25">
      <c r="A76" s="421">
        <v>73</v>
      </c>
      <c r="B76" s="421">
        <v>2015</v>
      </c>
      <c r="C76" s="421">
        <v>2</v>
      </c>
      <c r="D76" s="421">
        <v>18</v>
      </c>
      <c r="E76" s="421" t="s">
        <v>1475</v>
      </c>
      <c r="F76" s="421" t="s">
        <v>3223</v>
      </c>
      <c r="G76" s="421" t="s">
        <v>3289</v>
      </c>
      <c r="H76" s="421" t="s">
        <v>1107</v>
      </c>
      <c r="I76" s="421" t="s">
        <v>1462</v>
      </c>
      <c r="J76" s="421" t="s">
        <v>3290</v>
      </c>
      <c r="K76" s="421" t="s">
        <v>3093</v>
      </c>
      <c r="L76" s="421" t="s">
        <v>3094</v>
      </c>
      <c r="M76" s="421" t="s">
        <v>2667</v>
      </c>
      <c r="N76" s="421" t="s">
        <v>3093</v>
      </c>
      <c r="O76" s="421" t="s">
        <v>3094</v>
      </c>
      <c r="P76" s="421" t="s">
        <v>3095</v>
      </c>
      <c r="Q76" s="421" t="s">
        <v>3096</v>
      </c>
      <c r="R76" s="421" t="s">
        <v>1108</v>
      </c>
      <c r="S76" s="421" t="s">
        <v>1542</v>
      </c>
      <c r="T76" s="421" t="s">
        <v>1130</v>
      </c>
      <c r="U76" s="421" t="s">
        <v>1112</v>
      </c>
      <c r="V76" s="421" t="s">
        <v>3097</v>
      </c>
      <c r="W76" s="421" t="s">
        <v>3098</v>
      </c>
      <c r="X76" s="421" t="s">
        <v>3099</v>
      </c>
      <c r="Y76" s="421" t="s">
        <v>1117</v>
      </c>
      <c r="Z76" s="421" t="s">
        <v>1118</v>
      </c>
      <c r="AA76" s="421" t="s">
        <v>3100</v>
      </c>
      <c r="AB76" s="421" t="s">
        <v>3101</v>
      </c>
      <c r="AC76" s="421" t="s">
        <v>3102</v>
      </c>
      <c r="AD76" s="421" t="s">
        <v>3291</v>
      </c>
      <c r="AE76" s="421" t="s">
        <v>3292</v>
      </c>
      <c r="AF76" s="421" t="s">
        <v>2236</v>
      </c>
      <c r="AG76" s="421" t="s">
        <v>2237</v>
      </c>
      <c r="AH76" s="421" t="s">
        <v>3105</v>
      </c>
      <c r="AI76" s="421">
        <v>1930000</v>
      </c>
      <c r="AJ76" s="421">
        <v>5155.67</v>
      </c>
      <c r="AK76" s="421">
        <v>5572.69</v>
      </c>
      <c r="AL76" s="421">
        <v>1</v>
      </c>
      <c r="AM76" s="421" t="s">
        <v>965</v>
      </c>
      <c r="AN76" s="421" t="s">
        <v>3293</v>
      </c>
      <c r="AO76" s="421" t="s">
        <v>1121</v>
      </c>
      <c r="AP76" s="421" t="s">
        <v>1121</v>
      </c>
      <c r="AQ76" s="421" t="s">
        <v>1542</v>
      </c>
      <c r="AR76" s="421" t="s">
        <v>3241</v>
      </c>
      <c r="AS76" s="421" t="s">
        <v>3294</v>
      </c>
      <c r="AT76" s="421" t="s">
        <v>3109</v>
      </c>
      <c r="AU76" s="421" t="s">
        <v>1142</v>
      </c>
      <c r="AV76" s="421" t="s">
        <v>2520</v>
      </c>
      <c r="AW76" s="421" t="s">
        <v>3110</v>
      </c>
      <c r="AX76" s="421" t="s">
        <v>3111</v>
      </c>
      <c r="AY76" s="421" t="s">
        <v>3112</v>
      </c>
      <c r="AZ76" s="421" t="s">
        <v>3113</v>
      </c>
      <c r="BA76" s="421" t="s">
        <v>3114</v>
      </c>
      <c r="BB76" s="421" t="s">
        <v>3115</v>
      </c>
      <c r="BC76" s="421">
        <v>84671</v>
      </c>
      <c r="BD76" s="421">
        <v>204596464.27000001</v>
      </c>
      <c r="BE76" s="421">
        <v>0</v>
      </c>
      <c r="BF76" s="421">
        <v>1452.23</v>
      </c>
      <c r="BG76" s="421">
        <v>215.31</v>
      </c>
      <c r="BH76" s="421">
        <v>0</v>
      </c>
      <c r="BI76" s="421" t="s">
        <v>1331</v>
      </c>
    </row>
    <row r="77" spans="1:61" x14ac:dyDescent="0.25">
      <c r="A77" s="421">
        <v>74</v>
      </c>
      <c r="B77" s="421">
        <v>2015</v>
      </c>
      <c r="C77" s="421">
        <v>2</v>
      </c>
      <c r="D77" s="421">
        <v>18</v>
      </c>
      <c r="E77" s="421" t="s">
        <v>1475</v>
      </c>
      <c r="F77" s="421" t="s">
        <v>3223</v>
      </c>
      <c r="G77" s="421" t="s">
        <v>3289</v>
      </c>
      <c r="H77" s="421" t="s">
        <v>1107</v>
      </c>
      <c r="I77" s="421" t="s">
        <v>1462</v>
      </c>
      <c r="J77" s="421" t="s">
        <v>3290</v>
      </c>
      <c r="K77" s="421" t="s">
        <v>3093</v>
      </c>
      <c r="L77" s="421" t="s">
        <v>3094</v>
      </c>
      <c r="M77" s="421" t="s">
        <v>2667</v>
      </c>
      <c r="N77" s="421" t="s">
        <v>3093</v>
      </c>
      <c r="O77" s="421" t="s">
        <v>3094</v>
      </c>
      <c r="P77" s="421" t="s">
        <v>3095</v>
      </c>
      <c r="Q77" s="421" t="s">
        <v>3096</v>
      </c>
      <c r="R77" s="421" t="s">
        <v>1108</v>
      </c>
      <c r="S77" s="421" t="s">
        <v>1542</v>
      </c>
      <c r="T77" s="421" t="s">
        <v>1130</v>
      </c>
      <c r="U77" s="421" t="s">
        <v>1112</v>
      </c>
      <c r="V77" s="421" t="s">
        <v>3097</v>
      </c>
      <c r="W77" s="421" t="s">
        <v>3098</v>
      </c>
      <c r="X77" s="421" t="s">
        <v>3099</v>
      </c>
      <c r="Y77" s="421" t="s">
        <v>1117</v>
      </c>
      <c r="Z77" s="421" t="s">
        <v>1118</v>
      </c>
      <c r="AA77" s="421" t="s">
        <v>3100</v>
      </c>
      <c r="AB77" s="421" t="s">
        <v>3101</v>
      </c>
      <c r="AC77" s="421" t="s">
        <v>3102</v>
      </c>
      <c r="AD77" s="421" t="s">
        <v>3291</v>
      </c>
      <c r="AE77" s="421" t="s">
        <v>3292</v>
      </c>
      <c r="AF77" s="421" t="s">
        <v>2236</v>
      </c>
      <c r="AG77" s="421" t="s">
        <v>2237</v>
      </c>
      <c r="AH77" s="421" t="s">
        <v>3105</v>
      </c>
      <c r="AI77" s="421">
        <v>33000</v>
      </c>
      <c r="AJ77" s="421">
        <v>162.22999999999999</v>
      </c>
      <c r="AK77" s="421">
        <v>175.35</v>
      </c>
      <c r="AL77" s="421">
        <v>3</v>
      </c>
      <c r="AM77" s="421" t="s">
        <v>965</v>
      </c>
      <c r="AN77" s="421" t="s">
        <v>3293</v>
      </c>
      <c r="AO77" s="421" t="s">
        <v>1121</v>
      </c>
      <c r="AP77" s="421" t="s">
        <v>1121</v>
      </c>
      <c r="AQ77" s="421" t="s">
        <v>1542</v>
      </c>
      <c r="AR77" s="421" t="s">
        <v>3241</v>
      </c>
      <c r="AS77" s="421" t="s">
        <v>3294</v>
      </c>
      <c r="AT77" s="421" t="s">
        <v>3109</v>
      </c>
      <c r="AU77" s="421" t="s">
        <v>1142</v>
      </c>
      <c r="AV77" s="421" t="s">
        <v>2520</v>
      </c>
      <c r="AW77" s="421" t="s">
        <v>3110</v>
      </c>
      <c r="AX77" s="421" t="s">
        <v>3111</v>
      </c>
      <c r="AY77" s="421" t="s">
        <v>3112</v>
      </c>
      <c r="AZ77" s="421" t="s">
        <v>3113</v>
      </c>
      <c r="BA77" s="421" t="s">
        <v>3114</v>
      </c>
      <c r="BB77" s="421" t="s">
        <v>3115</v>
      </c>
      <c r="BC77" s="421">
        <v>4276.5</v>
      </c>
      <c r="BD77" s="421">
        <v>10333606.310000001</v>
      </c>
      <c r="BE77" s="421">
        <v>0</v>
      </c>
      <c r="BF77" s="421">
        <v>73.349999999999994</v>
      </c>
      <c r="BG77" s="421">
        <v>10.87</v>
      </c>
      <c r="BH77" s="421">
        <v>0</v>
      </c>
      <c r="BI77" s="421" t="s">
        <v>1331</v>
      </c>
    </row>
    <row r="78" spans="1:61" x14ac:dyDescent="0.25">
      <c r="A78" s="421">
        <v>75</v>
      </c>
      <c r="B78" s="421">
        <v>2015</v>
      </c>
      <c r="C78" s="421">
        <v>2</v>
      </c>
      <c r="D78" s="421">
        <v>18</v>
      </c>
      <c r="E78" s="421" t="s">
        <v>1475</v>
      </c>
      <c r="F78" s="421" t="s">
        <v>3223</v>
      </c>
      <c r="G78" s="421" t="s">
        <v>3289</v>
      </c>
      <c r="H78" s="421" t="s">
        <v>1107</v>
      </c>
      <c r="I78" s="421" t="s">
        <v>1462</v>
      </c>
      <c r="J78" s="421" t="s">
        <v>3295</v>
      </c>
      <c r="K78" s="421" t="s">
        <v>3093</v>
      </c>
      <c r="L78" s="421" t="s">
        <v>3094</v>
      </c>
      <c r="M78" s="421" t="s">
        <v>2667</v>
      </c>
      <c r="N78" s="421" t="s">
        <v>3093</v>
      </c>
      <c r="O78" s="421" t="s">
        <v>3094</v>
      </c>
      <c r="P78" s="421" t="s">
        <v>3095</v>
      </c>
      <c r="Q78" s="421" t="s">
        <v>3096</v>
      </c>
      <c r="R78" s="421" t="s">
        <v>1108</v>
      </c>
      <c r="S78" s="421" t="s">
        <v>1542</v>
      </c>
      <c r="T78" s="421" t="s">
        <v>1130</v>
      </c>
      <c r="U78" s="421" t="s">
        <v>1112</v>
      </c>
      <c r="V78" s="421" t="s">
        <v>3097</v>
      </c>
      <c r="W78" s="421" t="s">
        <v>3098</v>
      </c>
      <c r="X78" s="421" t="s">
        <v>3099</v>
      </c>
      <c r="Y78" s="421" t="s">
        <v>1117</v>
      </c>
      <c r="Z78" s="421" t="s">
        <v>1118</v>
      </c>
      <c r="AA78" s="421" t="s">
        <v>3100</v>
      </c>
      <c r="AB78" s="421" t="s">
        <v>3101</v>
      </c>
      <c r="AC78" s="421" t="s">
        <v>3102</v>
      </c>
      <c r="AD78" s="421" t="s">
        <v>3291</v>
      </c>
      <c r="AE78" s="421" t="s">
        <v>3292</v>
      </c>
      <c r="AF78" s="421" t="s">
        <v>1300</v>
      </c>
      <c r="AG78" s="421" t="s">
        <v>1301</v>
      </c>
      <c r="AH78" s="421" t="s">
        <v>1127</v>
      </c>
      <c r="AI78" s="421">
        <v>31.85</v>
      </c>
      <c r="AJ78" s="421">
        <v>31.85</v>
      </c>
      <c r="AK78" s="421">
        <v>36.5</v>
      </c>
      <c r="AL78" s="421">
        <v>1</v>
      </c>
      <c r="AM78" s="421" t="s">
        <v>965</v>
      </c>
      <c r="AN78" s="421" t="s">
        <v>3293</v>
      </c>
      <c r="AO78" s="421" t="s">
        <v>1121</v>
      </c>
      <c r="AP78" s="421" t="s">
        <v>1121</v>
      </c>
      <c r="AQ78" s="421" t="s">
        <v>1542</v>
      </c>
      <c r="AR78" s="421" t="s">
        <v>3241</v>
      </c>
      <c r="AS78" s="421" t="s">
        <v>3296</v>
      </c>
      <c r="AT78" s="421" t="s">
        <v>3109</v>
      </c>
      <c r="AU78" s="421" t="s">
        <v>1142</v>
      </c>
      <c r="AV78" s="421" t="s">
        <v>2520</v>
      </c>
      <c r="AW78" s="421" t="s">
        <v>3110</v>
      </c>
      <c r="AX78" s="421" t="s">
        <v>3229</v>
      </c>
      <c r="AY78" s="421" t="s">
        <v>3112</v>
      </c>
      <c r="AZ78" s="421" t="s">
        <v>3113</v>
      </c>
      <c r="BA78" s="421" t="s">
        <v>3114</v>
      </c>
      <c r="BB78" s="421" t="s">
        <v>3230</v>
      </c>
      <c r="BC78" s="421">
        <v>6.25</v>
      </c>
      <c r="BD78" s="421">
        <v>15102.31</v>
      </c>
      <c r="BE78" s="421">
        <v>0</v>
      </c>
      <c r="BF78" s="421">
        <v>0</v>
      </c>
      <c r="BG78" s="421">
        <v>0</v>
      </c>
      <c r="BH78" s="421">
        <v>0</v>
      </c>
      <c r="BI78" s="421" t="s">
        <v>1331</v>
      </c>
    </row>
    <row r="79" spans="1:61" x14ac:dyDescent="0.25">
      <c r="A79" s="421">
        <v>76</v>
      </c>
      <c r="B79" s="421">
        <v>2015</v>
      </c>
      <c r="C79" s="421">
        <v>2</v>
      </c>
      <c r="D79" s="421">
        <v>18</v>
      </c>
      <c r="E79" s="421" t="s">
        <v>1475</v>
      </c>
      <c r="F79" s="421" t="s">
        <v>3223</v>
      </c>
      <c r="G79" s="421" t="s">
        <v>3289</v>
      </c>
      <c r="H79" s="421" t="s">
        <v>1107</v>
      </c>
      <c r="I79" s="421" t="s">
        <v>1462</v>
      </c>
      <c r="J79" s="421" t="s">
        <v>3297</v>
      </c>
      <c r="K79" s="421" t="s">
        <v>3093</v>
      </c>
      <c r="L79" s="421" t="s">
        <v>3094</v>
      </c>
      <c r="M79" s="421" t="s">
        <v>2667</v>
      </c>
      <c r="N79" s="421" t="s">
        <v>3093</v>
      </c>
      <c r="O79" s="421" t="s">
        <v>3094</v>
      </c>
      <c r="P79" s="421" t="s">
        <v>3095</v>
      </c>
      <c r="Q79" s="421" t="s">
        <v>3096</v>
      </c>
      <c r="R79" s="421" t="s">
        <v>1108</v>
      </c>
      <c r="S79" s="421" t="s">
        <v>1542</v>
      </c>
      <c r="T79" s="421" t="s">
        <v>1130</v>
      </c>
      <c r="U79" s="421" t="s">
        <v>1112</v>
      </c>
      <c r="V79" s="421" t="s">
        <v>3097</v>
      </c>
      <c r="W79" s="421" t="s">
        <v>3098</v>
      </c>
      <c r="X79" s="421" t="s">
        <v>3099</v>
      </c>
      <c r="Y79" s="421" t="s">
        <v>1117</v>
      </c>
      <c r="Z79" s="421" t="s">
        <v>1118</v>
      </c>
      <c r="AA79" s="421" t="s">
        <v>3100</v>
      </c>
      <c r="AB79" s="421" t="s">
        <v>3101</v>
      </c>
      <c r="AC79" s="421" t="s">
        <v>3102</v>
      </c>
      <c r="AD79" s="421" t="s">
        <v>3298</v>
      </c>
      <c r="AE79" s="421" t="s">
        <v>3299</v>
      </c>
      <c r="AF79" s="421" t="s">
        <v>2236</v>
      </c>
      <c r="AG79" s="421" t="s">
        <v>2237</v>
      </c>
      <c r="AH79" s="421" t="s">
        <v>3105</v>
      </c>
      <c r="AI79" s="421">
        <v>970000</v>
      </c>
      <c r="AJ79" s="421">
        <v>2073.5700000000002</v>
      </c>
      <c r="AK79" s="421">
        <v>2256.7800000000002</v>
      </c>
      <c r="AL79" s="421">
        <v>1</v>
      </c>
      <c r="AM79" s="421" t="s">
        <v>2429</v>
      </c>
      <c r="AN79" s="421" t="s">
        <v>3300</v>
      </c>
      <c r="AO79" s="421" t="s">
        <v>1121</v>
      </c>
      <c r="AP79" s="421" t="s">
        <v>1121</v>
      </c>
      <c r="AQ79" s="421" t="s">
        <v>1542</v>
      </c>
      <c r="AR79" s="421" t="s">
        <v>3241</v>
      </c>
      <c r="AS79" s="421" t="s">
        <v>3301</v>
      </c>
      <c r="AT79" s="421" t="s">
        <v>3109</v>
      </c>
      <c r="AU79" s="421" t="s">
        <v>1142</v>
      </c>
      <c r="AV79" s="421" t="s">
        <v>2520</v>
      </c>
      <c r="AW79" s="421" t="s">
        <v>3110</v>
      </c>
      <c r="AX79" s="421" t="s">
        <v>3111</v>
      </c>
      <c r="AY79" s="421" t="s">
        <v>3112</v>
      </c>
      <c r="AZ79" s="421" t="s">
        <v>3113</v>
      </c>
      <c r="BA79" s="421" t="s">
        <v>3114</v>
      </c>
      <c r="BB79" s="421" t="s">
        <v>3115</v>
      </c>
      <c r="BC79" s="421">
        <v>29050</v>
      </c>
      <c r="BD79" s="421">
        <v>70195548.5</v>
      </c>
      <c r="BE79" s="421">
        <v>0</v>
      </c>
      <c r="BF79" s="421">
        <v>1050</v>
      </c>
      <c r="BG79" s="421">
        <v>75.25</v>
      </c>
      <c r="BH79" s="421">
        <v>0</v>
      </c>
      <c r="BI79" s="421" t="s">
        <v>1331</v>
      </c>
    </row>
    <row r="80" spans="1:61" x14ac:dyDescent="0.25">
      <c r="A80" s="421">
        <v>77</v>
      </c>
      <c r="B80" s="421">
        <v>2015</v>
      </c>
      <c r="C80" s="421">
        <v>2</v>
      </c>
      <c r="D80" s="421">
        <v>18</v>
      </c>
      <c r="E80" s="421" t="s">
        <v>1475</v>
      </c>
      <c r="F80" s="421" t="s">
        <v>3223</v>
      </c>
      <c r="G80" s="421" t="s">
        <v>3289</v>
      </c>
      <c r="H80" s="421" t="s">
        <v>1107</v>
      </c>
      <c r="I80" s="421" t="s">
        <v>1462</v>
      </c>
      <c r="J80" s="421" t="s">
        <v>3290</v>
      </c>
      <c r="K80" s="421" t="s">
        <v>3093</v>
      </c>
      <c r="L80" s="421" t="s">
        <v>3094</v>
      </c>
      <c r="M80" s="421" t="s">
        <v>2667</v>
      </c>
      <c r="N80" s="421" t="s">
        <v>3093</v>
      </c>
      <c r="O80" s="421" t="s">
        <v>3094</v>
      </c>
      <c r="P80" s="421" t="s">
        <v>3095</v>
      </c>
      <c r="Q80" s="421" t="s">
        <v>3096</v>
      </c>
      <c r="R80" s="421" t="s">
        <v>1108</v>
      </c>
      <c r="S80" s="421" t="s">
        <v>1542</v>
      </c>
      <c r="T80" s="421" t="s">
        <v>1130</v>
      </c>
      <c r="U80" s="421" t="s">
        <v>1112</v>
      </c>
      <c r="V80" s="421" t="s">
        <v>3097</v>
      </c>
      <c r="W80" s="421" t="s">
        <v>3098</v>
      </c>
      <c r="X80" s="421" t="s">
        <v>3099</v>
      </c>
      <c r="Y80" s="421" t="s">
        <v>1117</v>
      </c>
      <c r="Z80" s="421" t="s">
        <v>1118</v>
      </c>
      <c r="AA80" s="421" t="s">
        <v>3100</v>
      </c>
      <c r="AB80" s="421" t="s">
        <v>3101</v>
      </c>
      <c r="AC80" s="421" t="s">
        <v>3102</v>
      </c>
      <c r="AD80" s="421" t="s">
        <v>3291</v>
      </c>
      <c r="AE80" s="421" t="s">
        <v>3292</v>
      </c>
      <c r="AF80" s="421" t="s">
        <v>2236</v>
      </c>
      <c r="AG80" s="421" t="s">
        <v>2237</v>
      </c>
      <c r="AH80" s="421" t="s">
        <v>3105</v>
      </c>
      <c r="AI80" s="421">
        <v>550000</v>
      </c>
      <c r="AJ80" s="421">
        <v>1391.64</v>
      </c>
      <c r="AK80" s="421">
        <v>1504.2</v>
      </c>
      <c r="AL80" s="421">
        <v>2</v>
      </c>
      <c r="AM80" s="421" t="s">
        <v>965</v>
      </c>
      <c r="AN80" s="421" t="s">
        <v>3293</v>
      </c>
      <c r="AO80" s="421" t="s">
        <v>1121</v>
      </c>
      <c r="AP80" s="421" t="s">
        <v>1121</v>
      </c>
      <c r="AQ80" s="421" t="s">
        <v>1542</v>
      </c>
      <c r="AR80" s="421" t="s">
        <v>3241</v>
      </c>
      <c r="AS80" s="421" t="s">
        <v>3294</v>
      </c>
      <c r="AT80" s="421" t="s">
        <v>3109</v>
      </c>
      <c r="AU80" s="421" t="s">
        <v>1142</v>
      </c>
      <c r="AV80" s="421" t="s">
        <v>2520</v>
      </c>
      <c r="AW80" s="421" t="s">
        <v>3110</v>
      </c>
      <c r="AX80" s="421" t="s">
        <v>3111</v>
      </c>
      <c r="AY80" s="421" t="s">
        <v>3112</v>
      </c>
      <c r="AZ80" s="421" t="s">
        <v>3113</v>
      </c>
      <c r="BA80" s="421" t="s">
        <v>3114</v>
      </c>
      <c r="BB80" s="421" t="s">
        <v>3115</v>
      </c>
      <c r="BC80" s="421">
        <v>21830</v>
      </c>
      <c r="BD80" s="421">
        <v>52749357.100000001</v>
      </c>
      <c r="BE80" s="421">
        <v>0</v>
      </c>
      <c r="BF80" s="421">
        <v>374.42</v>
      </c>
      <c r="BG80" s="421">
        <v>55.51</v>
      </c>
      <c r="BH80" s="421">
        <v>0</v>
      </c>
      <c r="BI80" s="421" t="s">
        <v>1331</v>
      </c>
    </row>
    <row r="81" spans="1:61" x14ac:dyDescent="0.25">
      <c r="A81" s="421">
        <v>78</v>
      </c>
      <c r="B81" s="421">
        <v>2015</v>
      </c>
      <c r="C81" s="421">
        <v>2</v>
      </c>
      <c r="D81" s="421">
        <v>21</v>
      </c>
      <c r="E81" s="421" t="s">
        <v>1475</v>
      </c>
      <c r="F81" s="421" t="s">
        <v>3223</v>
      </c>
      <c r="G81" s="421" t="s">
        <v>3201</v>
      </c>
      <c r="H81" s="421" t="s">
        <v>1107</v>
      </c>
      <c r="I81" s="421" t="s">
        <v>3302</v>
      </c>
      <c r="J81" s="421" t="s">
        <v>3303</v>
      </c>
      <c r="K81" s="421" t="s">
        <v>3093</v>
      </c>
      <c r="L81" s="421" t="s">
        <v>3094</v>
      </c>
      <c r="M81" s="421" t="s">
        <v>2667</v>
      </c>
      <c r="N81" s="421" t="s">
        <v>3093</v>
      </c>
      <c r="O81" s="421" t="s">
        <v>3094</v>
      </c>
      <c r="P81" s="421" t="s">
        <v>3095</v>
      </c>
      <c r="Q81" s="421" t="s">
        <v>3113</v>
      </c>
      <c r="R81" s="421" t="s">
        <v>1108</v>
      </c>
      <c r="S81" s="421" t="s">
        <v>1108</v>
      </c>
      <c r="T81" s="421" t="s">
        <v>1130</v>
      </c>
      <c r="U81" s="421" t="s">
        <v>1112</v>
      </c>
      <c r="V81" s="421" t="s">
        <v>3097</v>
      </c>
      <c r="W81" s="421" t="s">
        <v>3098</v>
      </c>
      <c r="X81" s="421" t="s">
        <v>3099</v>
      </c>
      <c r="Y81" s="421" t="s">
        <v>1117</v>
      </c>
      <c r="Z81" s="421" t="s">
        <v>1118</v>
      </c>
      <c r="AA81" s="421" t="s">
        <v>3100</v>
      </c>
      <c r="AB81" s="421" t="s">
        <v>3101</v>
      </c>
      <c r="AC81" s="421" t="s">
        <v>3102</v>
      </c>
      <c r="AD81" s="421" t="s">
        <v>3304</v>
      </c>
      <c r="AE81" s="421" t="s">
        <v>3305</v>
      </c>
      <c r="AF81" s="421" t="s">
        <v>2236</v>
      </c>
      <c r="AG81" s="421" t="s">
        <v>2237</v>
      </c>
      <c r="AH81" s="421" t="s">
        <v>3105</v>
      </c>
      <c r="AI81" s="421">
        <v>2497850</v>
      </c>
      <c r="AJ81" s="421">
        <v>4987.7</v>
      </c>
      <c r="AK81" s="421">
        <v>5431.79</v>
      </c>
      <c r="AL81" s="421">
        <v>1</v>
      </c>
      <c r="AM81" s="421" t="s">
        <v>963</v>
      </c>
      <c r="AN81" s="421" t="s">
        <v>3210</v>
      </c>
      <c r="AO81" s="421" t="s">
        <v>1121</v>
      </c>
      <c r="AP81" s="421" t="s">
        <v>1121</v>
      </c>
      <c r="AQ81" s="421" t="s">
        <v>1108</v>
      </c>
      <c r="AR81" s="421" t="s">
        <v>3241</v>
      </c>
      <c r="AS81" s="421" t="s">
        <v>3306</v>
      </c>
      <c r="AT81" s="421" t="s">
        <v>3109</v>
      </c>
      <c r="AU81" s="421" t="s">
        <v>1142</v>
      </c>
      <c r="AV81" s="421" t="s">
        <v>2037</v>
      </c>
      <c r="AW81" s="421" t="s">
        <v>3110</v>
      </c>
      <c r="AX81" s="421" t="s">
        <v>3131</v>
      </c>
      <c r="AY81" s="421" t="s">
        <v>3112</v>
      </c>
      <c r="AZ81" s="421" t="s">
        <v>3113</v>
      </c>
      <c r="BA81" s="421" t="s">
        <v>3114</v>
      </c>
      <c r="BB81" s="421" t="s">
        <v>3115</v>
      </c>
      <c r="BC81" s="421">
        <v>84233.45</v>
      </c>
      <c r="BD81" s="421">
        <v>206838605.81</v>
      </c>
      <c r="BE81" s="421">
        <v>0</v>
      </c>
      <c r="BF81" s="421">
        <v>760.18</v>
      </c>
      <c r="BG81" s="421">
        <v>212.48</v>
      </c>
      <c r="BH81" s="421">
        <v>0</v>
      </c>
      <c r="BI81" s="421" t="s">
        <v>1167</v>
      </c>
    </row>
    <row r="82" spans="1:61" x14ac:dyDescent="0.25">
      <c r="A82" s="421">
        <v>79</v>
      </c>
      <c r="B82" s="421">
        <v>2015</v>
      </c>
      <c r="C82" s="421">
        <v>2</v>
      </c>
      <c r="D82" s="421">
        <v>21</v>
      </c>
      <c r="E82" s="421" t="s">
        <v>1475</v>
      </c>
      <c r="F82" s="421" t="s">
        <v>3223</v>
      </c>
      <c r="G82" s="421" t="s">
        <v>3201</v>
      </c>
      <c r="H82" s="421" t="s">
        <v>1107</v>
      </c>
      <c r="I82" s="421" t="s">
        <v>3302</v>
      </c>
      <c r="J82" s="421" t="s">
        <v>3303</v>
      </c>
      <c r="K82" s="421" t="s">
        <v>3093</v>
      </c>
      <c r="L82" s="421" t="s">
        <v>3094</v>
      </c>
      <c r="M82" s="421" t="s">
        <v>2667</v>
      </c>
      <c r="N82" s="421" t="s">
        <v>3093</v>
      </c>
      <c r="O82" s="421" t="s">
        <v>3094</v>
      </c>
      <c r="P82" s="421" t="s">
        <v>3095</v>
      </c>
      <c r="Q82" s="421" t="s">
        <v>3113</v>
      </c>
      <c r="R82" s="421" t="s">
        <v>1108</v>
      </c>
      <c r="S82" s="421" t="s">
        <v>1108</v>
      </c>
      <c r="T82" s="421" t="s">
        <v>1130</v>
      </c>
      <c r="U82" s="421" t="s">
        <v>1112</v>
      </c>
      <c r="V82" s="421" t="s">
        <v>3097</v>
      </c>
      <c r="W82" s="421" t="s">
        <v>3098</v>
      </c>
      <c r="X82" s="421" t="s">
        <v>3099</v>
      </c>
      <c r="Y82" s="421" t="s">
        <v>1117</v>
      </c>
      <c r="Z82" s="421" t="s">
        <v>1118</v>
      </c>
      <c r="AA82" s="421" t="s">
        <v>3100</v>
      </c>
      <c r="AB82" s="421" t="s">
        <v>3101</v>
      </c>
      <c r="AC82" s="421" t="s">
        <v>3102</v>
      </c>
      <c r="AD82" s="421" t="s">
        <v>3304</v>
      </c>
      <c r="AE82" s="421" t="s">
        <v>3305</v>
      </c>
      <c r="AF82" s="421" t="s">
        <v>2236</v>
      </c>
      <c r="AG82" s="421" t="s">
        <v>2237</v>
      </c>
      <c r="AH82" s="421" t="s">
        <v>3105</v>
      </c>
      <c r="AI82" s="421">
        <v>629200</v>
      </c>
      <c r="AJ82" s="421">
        <v>1221.43</v>
      </c>
      <c r="AK82" s="421">
        <v>1330.18</v>
      </c>
      <c r="AL82" s="421">
        <v>2</v>
      </c>
      <c r="AM82" s="421" t="s">
        <v>963</v>
      </c>
      <c r="AN82" s="421" t="s">
        <v>3210</v>
      </c>
      <c r="AO82" s="421" t="s">
        <v>1121</v>
      </c>
      <c r="AP82" s="421" t="s">
        <v>1121</v>
      </c>
      <c r="AQ82" s="421" t="s">
        <v>1108</v>
      </c>
      <c r="AR82" s="421" t="s">
        <v>3241</v>
      </c>
      <c r="AS82" s="421" t="s">
        <v>3306</v>
      </c>
      <c r="AT82" s="421" t="s">
        <v>3109</v>
      </c>
      <c r="AU82" s="421" t="s">
        <v>1142</v>
      </c>
      <c r="AV82" s="421" t="s">
        <v>2037</v>
      </c>
      <c r="AW82" s="421" t="s">
        <v>3110</v>
      </c>
      <c r="AX82" s="421" t="s">
        <v>3131</v>
      </c>
      <c r="AY82" s="421" t="s">
        <v>3112</v>
      </c>
      <c r="AZ82" s="421" t="s">
        <v>3113</v>
      </c>
      <c r="BA82" s="421" t="s">
        <v>3114</v>
      </c>
      <c r="BB82" s="421" t="s">
        <v>3115</v>
      </c>
      <c r="BC82" s="421">
        <v>23578.5</v>
      </c>
      <c r="BD82" s="421">
        <v>57897949.890000001</v>
      </c>
      <c r="BE82" s="421">
        <v>0</v>
      </c>
      <c r="BF82" s="421">
        <v>212.79</v>
      </c>
      <c r="BG82" s="421">
        <v>59.48</v>
      </c>
      <c r="BH82" s="421">
        <v>0</v>
      </c>
      <c r="BI82" s="421" t="s">
        <v>1167</v>
      </c>
    </row>
    <row r="83" spans="1:61" x14ac:dyDescent="0.25">
      <c r="A83" s="421">
        <v>80</v>
      </c>
      <c r="B83" s="421">
        <v>2015</v>
      </c>
      <c r="C83" s="421">
        <v>2</v>
      </c>
      <c r="D83" s="421">
        <v>21</v>
      </c>
      <c r="E83" s="421" t="s">
        <v>1475</v>
      </c>
      <c r="F83" s="421" t="s">
        <v>3223</v>
      </c>
      <c r="G83" s="421" t="s">
        <v>3201</v>
      </c>
      <c r="H83" s="421" t="s">
        <v>1107</v>
      </c>
      <c r="I83" s="421" t="s">
        <v>3302</v>
      </c>
      <c r="J83" s="421" t="s">
        <v>3303</v>
      </c>
      <c r="K83" s="421" t="s">
        <v>3093</v>
      </c>
      <c r="L83" s="421" t="s">
        <v>3094</v>
      </c>
      <c r="M83" s="421" t="s">
        <v>2667</v>
      </c>
      <c r="N83" s="421" t="s">
        <v>3093</v>
      </c>
      <c r="O83" s="421" t="s">
        <v>3094</v>
      </c>
      <c r="P83" s="421" t="s">
        <v>3095</v>
      </c>
      <c r="Q83" s="421" t="s">
        <v>3113</v>
      </c>
      <c r="R83" s="421" t="s">
        <v>1108</v>
      </c>
      <c r="S83" s="421" t="s">
        <v>1108</v>
      </c>
      <c r="T83" s="421" t="s">
        <v>1130</v>
      </c>
      <c r="U83" s="421" t="s">
        <v>1112</v>
      </c>
      <c r="V83" s="421" t="s">
        <v>3097</v>
      </c>
      <c r="W83" s="421" t="s">
        <v>3098</v>
      </c>
      <c r="X83" s="421" t="s">
        <v>3099</v>
      </c>
      <c r="Y83" s="421" t="s">
        <v>1117</v>
      </c>
      <c r="Z83" s="421" t="s">
        <v>1118</v>
      </c>
      <c r="AA83" s="421" t="s">
        <v>3100</v>
      </c>
      <c r="AB83" s="421" t="s">
        <v>3101</v>
      </c>
      <c r="AC83" s="421" t="s">
        <v>3102</v>
      </c>
      <c r="AD83" s="421" t="s">
        <v>3304</v>
      </c>
      <c r="AE83" s="421" t="s">
        <v>3305</v>
      </c>
      <c r="AF83" s="421" t="s">
        <v>2236</v>
      </c>
      <c r="AG83" s="421" t="s">
        <v>2237</v>
      </c>
      <c r="AH83" s="421" t="s">
        <v>3105</v>
      </c>
      <c r="AI83" s="421">
        <v>13000</v>
      </c>
      <c r="AJ83" s="421">
        <v>19.93</v>
      </c>
      <c r="AK83" s="421">
        <v>21.7</v>
      </c>
      <c r="AL83" s="421">
        <v>3</v>
      </c>
      <c r="AM83" s="421" t="s">
        <v>963</v>
      </c>
      <c r="AN83" s="421" t="s">
        <v>3210</v>
      </c>
      <c r="AO83" s="421" t="s">
        <v>1121</v>
      </c>
      <c r="AP83" s="421" t="s">
        <v>1121</v>
      </c>
      <c r="AQ83" s="421" t="s">
        <v>1108</v>
      </c>
      <c r="AR83" s="421" t="s">
        <v>3241</v>
      </c>
      <c r="AS83" s="421" t="s">
        <v>3306</v>
      </c>
      <c r="AT83" s="421" t="s">
        <v>3109</v>
      </c>
      <c r="AU83" s="421" t="s">
        <v>1142</v>
      </c>
      <c r="AV83" s="421" t="s">
        <v>2037</v>
      </c>
      <c r="AW83" s="421" t="s">
        <v>3110</v>
      </c>
      <c r="AX83" s="421" t="s">
        <v>3131</v>
      </c>
      <c r="AY83" s="421" t="s">
        <v>3112</v>
      </c>
      <c r="AZ83" s="421" t="s">
        <v>3113</v>
      </c>
      <c r="BA83" s="421" t="s">
        <v>3114</v>
      </c>
      <c r="BB83" s="421" t="s">
        <v>3115</v>
      </c>
      <c r="BC83" s="421">
        <v>779.6</v>
      </c>
      <c r="BD83" s="421">
        <v>1914338.98</v>
      </c>
      <c r="BE83" s="421">
        <v>0</v>
      </c>
      <c r="BF83" s="421">
        <v>7.04</v>
      </c>
      <c r="BG83" s="421">
        <v>1.97</v>
      </c>
      <c r="BH83" s="421">
        <v>0</v>
      </c>
      <c r="BI83" s="421" t="s">
        <v>1167</v>
      </c>
    </row>
    <row r="84" spans="1:61" x14ac:dyDescent="0.25">
      <c r="A84" s="421">
        <v>81</v>
      </c>
      <c r="B84" s="421">
        <v>2015</v>
      </c>
      <c r="C84" s="421">
        <v>2</v>
      </c>
      <c r="D84" s="421">
        <v>25</v>
      </c>
      <c r="E84" s="421" t="s">
        <v>1475</v>
      </c>
      <c r="F84" s="421" t="s">
        <v>3223</v>
      </c>
      <c r="G84" s="421" t="s">
        <v>3307</v>
      </c>
      <c r="H84" s="421" t="s">
        <v>1107</v>
      </c>
      <c r="I84" s="421" t="s">
        <v>3308</v>
      </c>
      <c r="J84" s="421" t="s">
        <v>3309</v>
      </c>
      <c r="K84" s="421" t="s">
        <v>3093</v>
      </c>
      <c r="L84" s="421" t="s">
        <v>3094</v>
      </c>
      <c r="M84" s="421" t="s">
        <v>2667</v>
      </c>
      <c r="N84" s="421" t="s">
        <v>3093</v>
      </c>
      <c r="O84" s="421" t="s">
        <v>3094</v>
      </c>
      <c r="P84" s="421" t="s">
        <v>3095</v>
      </c>
      <c r="Q84" s="421" t="s">
        <v>3096</v>
      </c>
      <c r="R84" s="421" t="s">
        <v>1108</v>
      </c>
      <c r="S84" s="421" t="s">
        <v>1542</v>
      </c>
      <c r="T84" s="421" t="s">
        <v>1130</v>
      </c>
      <c r="U84" s="421" t="s">
        <v>1112</v>
      </c>
      <c r="V84" s="421" t="s">
        <v>3097</v>
      </c>
      <c r="W84" s="421" t="s">
        <v>3098</v>
      </c>
      <c r="X84" s="421" t="s">
        <v>3099</v>
      </c>
      <c r="Y84" s="421" t="s">
        <v>1117</v>
      </c>
      <c r="Z84" s="421" t="s">
        <v>1118</v>
      </c>
      <c r="AA84" s="421" t="s">
        <v>3100</v>
      </c>
      <c r="AB84" s="421" t="s">
        <v>3101</v>
      </c>
      <c r="AC84" s="421" t="s">
        <v>3102</v>
      </c>
      <c r="AD84" s="421" t="s">
        <v>3176</v>
      </c>
      <c r="AE84" s="421" t="s">
        <v>3177</v>
      </c>
      <c r="AF84" s="421" t="s">
        <v>2236</v>
      </c>
      <c r="AG84" s="421" t="s">
        <v>2237</v>
      </c>
      <c r="AH84" s="421" t="s">
        <v>3105</v>
      </c>
      <c r="AI84" s="421">
        <v>251000</v>
      </c>
      <c r="AJ84" s="421">
        <v>589.79999999999995</v>
      </c>
      <c r="AK84" s="421">
        <v>639.46</v>
      </c>
      <c r="AL84" s="421">
        <v>1</v>
      </c>
      <c r="AM84" s="421" t="s">
        <v>1547</v>
      </c>
      <c r="AN84" s="421" t="s">
        <v>3178</v>
      </c>
      <c r="AO84" s="421" t="s">
        <v>1121</v>
      </c>
      <c r="AP84" s="421" t="s">
        <v>1121</v>
      </c>
      <c r="AQ84" s="421" t="s">
        <v>1542</v>
      </c>
      <c r="AR84" s="421" t="s">
        <v>3241</v>
      </c>
      <c r="AS84" s="421" t="s">
        <v>3310</v>
      </c>
      <c r="AT84" s="421" t="s">
        <v>3109</v>
      </c>
      <c r="AU84" s="421" t="s">
        <v>1142</v>
      </c>
      <c r="AV84" s="421" t="s">
        <v>2520</v>
      </c>
      <c r="AW84" s="421" t="s">
        <v>3110</v>
      </c>
      <c r="AX84" s="421" t="s">
        <v>3111</v>
      </c>
      <c r="AY84" s="421" t="s">
        <v>3112</v>
      </c>
      <c r="AZ84" s="421" t="s">
        <v>3113</v>
      </c>
      <c r="BA84" s="421" t="s">
        <v>3114</v>
      </c>
      <c r="BB84" s="421" t="s">
        <v>3115</v>
      </c>
      <c r="BC84" s="421">
        <v>9297.5</v>
      </c>
      <c r="BD84" s="421">
        <v>23249235.530000001</v>
      </c>
      <c r="BE84" s="421">
        <v>0</v>
      </c>
      <c r="BF84" s="421">
        <v>338.4</v>
      </c>
      <c r="BG84" s="421">
        <v>24.09</v>
      </c>
      <c r="BH84" s="421">
        <v>0</v>
      </c>
      <c r="BI84" s="421" t="s">
        <v>1331</v>
      </c>
    </row>
    <row r="85" spans="1:61" x14ac:dyDescent="0.25">
      <c r="A85" s="421">
        <v>82</v>
      </c>
      <c r="B85" s="421">
        <v>2015</v>
      </c>
      <c r="C85" s="421">
        <v>2</v>
      </c>
      <c r="D85" s="421">
        <v>25</v>
      </c>
      <c r="E85" s="421" t="s">
        <v>1475</v>
      </c>
      <c r="F85" s="421" t="s">
        <v>3223</v>
      </c>
      <c r="G85" s="421" t="s">
        <v>3307</v>
      </c>
      <c r="H85" s="421" t="s">
        <v>1107</v>
      </c>
      <c r="I85" s="421" t="s">
        <v>3308</v>
      </c>
      <c r="J85" s="421" t="s">
        <v>3309</v>
      </c>
      <c r="K85" s="421" t="s">
        <v>3093</v>
      </c>
      <c r="L85" s="421" t="s">
        <v>3094</v>
      </c>
      <c r="M85" s="421" t="s">
        <v>2667</v>
      </c>
      <c r="N85" s="421" t="s">
        <v>3093</v>
      </c>
      <c r="O85" s="421" t="s">
        <v>3094</v>
      </c>
      <c r="P85" s="421" t="s">
        <v>3095</v>
      </c>
      <c r="Q85" s="421" t="s">
        <v>3096</v>
      </c>
      <c r="R85" s="421" t="s">
        <v>1108</v>
      </c>
      <c r="S85" s="421" t="s">
        <v>1542</v>
      </c>
      <c r="T85" s="421" t="s">
        <v>1130</v>
      </c>
      <c r="U85" s="421" t="s">
        <v>1112</v>
      </c>
      <c r="V85" s="421" t="s">
        <v>3097</v>
      </c>
      <c r="W85" s="421" t="s">
        <v>3098</v>
      </c>
      <c r="X85" s="421" t="s">
        <v>3099</v>
      </c>
      <c r="Y85" s="421" t="s">
        <v>1117</v>
      </c>
      <c r="Z85" s="421" t="s">
        <v>1118</v>
      </c>
      <c r="AA85" s="421" t="s">
        <v>3100</v>
      </c>
      <c r="AB85" s="421" t="s">
        <v>3101</v>
      </c>
      <c r="AC85" s="421" t="s">
        <v>3102</v>
      </c>
      <c r="AD85" s="421" t="s">
        <v>3176</v>
      </c>
      <c r="AE85" s="421" t="s">
        <v>3177</v>
      </c>
      <c r="AF85" s="421" t="s">
        <v>2236</v>
      </c>
      <c r="AG85" s="421" t="s">
        <v>2237</v>
      </c>
      <c r="AH85" s="421" t="s">
        <v>3105</v>
      </c>
      <c r="AI85" s="421">
        <v>55000</v>
      </c>
      <c r="AJ85" s="421">
        <v>194.04</v>
      </c>
      <c r="AK85" s="421">
        <v>210.38</v>
      </c>
      <c r="AL85" s="421">
        <v>2</v>
      </c>
      <c r="AM85" s="421" t="s">
        <v>1547</v>
      </c>
      <c r="AN85" s="421" t="s">
        <v>3178</v>
      </c>
      <c r="AO85" s="421" t="s">
        <v>1121</v>
      </c>
      <c r="AP85" s="421" t="s">
        <v>1121</v>
      </c>
      <c r="AQ85" s="421" t="s">
        <v>1542</v>
      </c>
      <c r="AR85" s="421" t="s">
        <v>3241</v>
      </c>
      <c r="AS85" s="421" t="s">
        <v>3310</v>
      </c>
      <c r="AT85" s="421" t="s">
        <v>3109</v>
      </c>
      <c r="AU85" s="421" t="s">
        <v>1142</v>
      </c>
      <c r="AV85" s="421" t="s">
        <v>2520</v>
      </c>
      <c r="AW85" s="421" t="s">
        <v>3110</v>
      </c>
      <c r="AX85" s="421" t="s">
        <v>3111</v>
      </c>
      <c r="AY85" s="421" t="s">
        <v>3112</v>
      </c>
      <c r="AZ85" s="421" t="s">
        <v>3113</v>
      </c>
      <c r="BA85" s="421" t="s">
        <v>3114</v>
      </c>
      <c r="BB85" s="421" t="s">
        <v>3115</v>
      </c>
      <c r="BC85" s="421">
        <v>2777.5</v>
      </c>
      <c r="BD85" s="421">
        <v>6945388.7300000004</v>
      </c>
      <c r="BE85" s="421">
        <v>0</v>
      </c>
      <c r="BF85" s="421">
        <v>101.09</v>
      </c>
      <c r="BG85" s="421">
        <v>7.2</v>
      </c>
      <c r="BH85" s="421">
        <v>0</v>
      </c>
      <c r="BI85" s="421" t="s">
        <v>1331</v>
      </c>
    </row>
    <row r="86" spans="1:61" x14ac:dyDescent="0.25">
      <c r="A86" s="421">
        <v>83</v>
      </c>
      <c r="B86" s="421">
        <v>2015</v>
      </c>
      <c r="C86" s="421">
        <v>2</v>
      </c>
      <c r="D86" s="421">
        <v>25</v>
      </c>
      <c r="E86" s="421" t="s">
        <v>1475</v>
      </c>
      <c r="F86" s="421" t="s">
        <v>3223</v>
      </c>
      <c r="G86" s="421" t="s">
        <v>3307</v>
      </c>
      <c r="H86" s="421" t="s">
        <v>1107</v>
      </c>
      <c r="I86" s="421" t="s">
        <v>3308</v>
      </c>
      <c r="J86" s="421" t="s">
        <v>3309</v>
      </c>
      <c r="K86" s="421" t="s">
        <v>3093</v>
      </c>
      <c r="L86" s="421" t="s">
        <v>3094</v>
      </c>
      <c r="M86" s="421" t="s">
        <v>2667</v>
      </c>
      <c r="N86" s="421" t="s">
        <v>3093</v>
      </c>
      <c r="O86" s="421" t="s">
        <v>3094</v>
      </c>
      <c r="P86" s="421" t="s">
        <v>3095</v>
      </c>
      <c r="Q86" s="421" t="s">
        <v>3096</v>
      </c>
      <c r="R86" s="421" t="s">
        <v>1108</v>
      </c>
      <c r="S86" s="421" t="s">
        <v>1542</v>
      </c>
      <c r="T86" s="421" t="s">
        <v>1130</v>
      </c>
      <c r="U86" s="421" t="s">
        <v>1112</v>
      </c>
      <c r="V86" s="421" t="s">
        <v>3097</v>
      </c>
      <c r="W86" s="421" t="s">
        <v>3098</v>
      </c>
      <c r="X86" s="421" t="s">
        <v>3099</v>
      </c>
      <c r="Y86" s="421" t="s">
        <v>1117</v>
      </c>
      <c r="Z86" s="421" t="s">
        <v>1118</v>
      </c>
      <c r="AA86" s="421" t="s">
        <v>3100</v>
      </c>
      <c r="AB86" s="421" t="s">
        <v>3101</v>
      </c>
      <c r="AC86" s="421" t="s">
        <v>3102</v>
      </c>
      <c r="AD86" s="421" t="s">
        <v>3176</v>
      </c>
      <c r="AE86" s="421" t="s">
        <v>3177</v>
      </c>
      <c r="AF86" s="421" t="s">
        <v>2236</v>
      </c>
      <c r="AG86" s="421" t="s">
        <v>2237</v>
      </c>
      <c r="AH86" s="421" t="s">
        <v>3105</v>
      </c>
      <c r="AI86" s="421">
        <v>128000</v>
      </c>
      <c r="AJ86" s="421">
        <v>436.04</v>
      </c>
      <c r="AK86" s="421">
        <v>472.75</v>
      </c>
      <c r="AL86" s="421">
        <v>3</v>
      </c>
      <c r="AM86" s="421" t="s">
        <v>1547</v>
      </c>
      <c r="AN86" s="421" t="s">
        <v>3178</v>
      </c>
      <c r="AO86" s="421" t="s">
        <v>1121</v>
      </c>
      <c r="AP86" s="421" t="s">
        <v>1121</v>
      </c>
      <c r="AQ86" s="421" t="s">
        <v>1542</v>
      </c>
      <c r="AR86" s="421" t="s">
        <v>3241</v>
      </c>
      <c r="AS86" s="421" t="s">
        <v>3310</v>
      </c>
      <c r="AT86" s="421" t="s">
        <v>3109</v>
      </c>
      <c r="AU86" s="421" t="s">
        <v>1142</v>
      </c>
      <c r="AV86" s="421" t="s">
        <v>2520</v>
      </c>
      <c r="AW86" s="421" t="s">
        <v>3110</v>
      </c>
      <c r="AX86" s="421" t="s">
        <v>3111</v>
      </c>
      <c r="AY86" s="421" t="s">
        <v>3112</v>
      </c>
      <c r="AZ86" s="421" t="s">
        <v>3113</v>
      </c>
      <c r="BA86" s="421" t="s">
        <v>3114</v>
      </c>
      <c r="BB86" s="421" t="s">
        <v>3115</v>
      </c>
      <c r="BC86" s="421">
        <v>12486.4</v>
      </c>
      <c r="BD86" s="421">
        <v>31223366.98</v>
      </c>
      <c r="BE86" s="421">
        <v>0</v>
      </c>
      <c r="BF86" s="421">
        <v>454.47</v>
      </c>
      <c r="BG86" s="421">
        <v>32.35</v>
      </c>
      <c r="BH86" s="421">
        <v>0</v>
      </c>
      <c r="BI86" s="421" t="s">
        <v>1331</v>
      </c>
    </row>
    <row r="87" spans="1:61" x14ac:dyDescent="0.25">
      <c r="A87" s="421">
        <v>84</v>
      </c>
      <c r="B87" s="421">
        <v>2015</v>
      </c>
      <c r="C87" s="421">
        <v>2</v>
      </c>
      <c r="D87" s="421">
        <v>25</v>
      </c>
      <c r="E87" s="421" t="s">
        <v>1475</v>
      </c>
      <c r="F87" s="421" t="s">
        <v>3223</v>
      </c>
      <c r="G87" s="421" t="s">
        <v>3307</v>
      </c>
      <c r="H87" s="421" t="s">
        <v>1107</v>
      </c>
      <c r="I87" s="421" t="s">
        <v>3308</v>
      </c>
      <c r="J87" s="421" t="s">
        <v>3309</v>
      </c>
      <c r="K87" s="421" t="s">
        <v>3093</v>
      </c>
      <c r="L87" s="421" t="s">
        <v>3094</v>
      </c>
      <c r="M87" s="421" t="s">
        <v>2667</v>
      </c>
      <c r="N87" s="421" t="s">
        <v>3093</v>
      </c>
      <c r="O87" s="421" t="s">
        <v>3094</v>
      </c>
      <c r="P87" s="421" t="s">
        <v>3095</v>
      </c>
      <c r="Q87" s="421" t="s">
        <v>3096</v>
      </c>
      <c r="R87" s="421" t="s">
        <v>1108</v>
      </c>
      <c r="S87" s="421" t="s">
        <v>1542</v>
      </c>
      <c r="T87" s="421" t="s">
        <v>1130</v>
      </c>
      <c r="U87" s="421" t="s">
        <v>1112</v>
      </c>
      <c r="V87" s="421" t="s">
        <v>3097</v>
      </c>
      <c r="W87" s="421" t="s">
        <v>3098</v>
      </c>
      <c r="X87" s="421" t="s">
        <v>3099</v>
      </c>
      <c r="Y87" s="421" t="s">
        <v>1117</v>
      </c>
      <c r="Z87" s="421" t="s">
        <v>1118</v>
      </c>
      <c r="AA87" s="421" t="s">
        <v>3100</v>
      </c>
      <c r="AB87" s="421" t="s">
        <v>3101</v>
      </c>
      <c r="AC87" s="421" t="s">
        <v>3102</v>
      </c>
      <c r="AD87" s="421" t="s">
        <v>3176</v>
      </c>
      <c r="AE87" s="421" t="s">
        <v>3177</v>
      </c>
      <c r="AF87" s="421" t="s">
        <v>2236</v>
      </c>
      <c r="AG87" s="421" t="s">
        <v>2237</v>
      </c>
      <c r="AH87" s="421" t="s">
        <v>3105</v>
      </c>
      <c r="AI87" s="421">
        <v>10000</v>
      </c>
      <c r="AJ87" s="421">
        <v>35.32</v>
      </c>
      <c r="AK87" s="421">
        <v>38.29</v>
      </c>
      <c r="AL87" s="421">
        <v>4</v>
      </c>
      <c r="AM87" s="421" t="s">
        <v>1547</v>
      </c>
      <c r="AN87" s="421" t="s">
        <v>3178</v>
      </c>
      <c r="AO87" s="421" t="s">
        <v>1121</v>
      </c>
      <c r="AP87" s="421" t="s">
        <v>1121</v>
      </c>
      <c r="AQ87" s="421" t="s">
        <v>1542</v>
      </c>
      <c r="AR87" s="421" t="s">
        <v>3241</v>
      </c>
      <c r="AS87" s="421" t="s">
        <v>3310</v>
      </c>
      <c r="AT87" s="421" t="s">
        <v>3109</v>
      </c>
      <c r="AU87" s="421" t="s">
        <v>1142</v>
      </c>
      <c r="AV87" s="421" t="s">
        <v>2520</v>
      </c>
      <c r="AW87" s="421" t="s">
        <v>3110</v>
      </c>
      <c r="AX87" s="421" t="s">
        <v>3111</v>
      </c>
      <c r="AY87" s="421" t="s">
        <v>3112</v>
      </c>
      <c r="AZ87" s="421" t="s">
        <v>3113</v>
      </c>
      <c r="BA87" s="421" t="s">
        <v>3114</v>
      </c>
      <c r="BB87" s="421" t="s">
        <v>3115</v>
      </c>
      <c r="BC87" s="421">
        <v>990</v>
      </c>
      <c r="BD87" s="421">
        <v>2475584.1</v>
      </c>
      <c r="BE87" s="421">
        <v>0</v>
      </c>
      <c r="BF87" s="421">
        <v>36.03</v>
      </c>
      <c r="BG87" s="421">
        <v>2.56</v>
      </c>
      <c r="BH87" s="421">
        <v>0</v>
      </c>
      <c r="BI87" s="421" t="s">
        <v>1331</v>
      </c>
    </row>
    <row r="88" spans="1:61" x14ac:dyDescent="0.25">
      <c r="A88" s="421">
        <v>85</v>
      </c>
      <c r="B88" s="421">
        <v>2015</v>
      </c>
      <c r="C88" s="421">
        <v>2</v>
      </c>
      <c r="D88" s="421">
        <v>25</v>
      </c>
      <c r="E88" s="421" t="s">
        <v>1475</v>
      </c>
      <c r="F88" s="421" t="s">
        <v>3223</v>
      </c>
      <c r="G88" s="421" t="s">
        <v>3307</v>
      </c>
      <c r="H88" s="421" t="s">
        <v>1107</v>
      </c>
      <c r="I88" s="421" t="s">
        <v>3308</v>
      </c>
      <c r="J88" s="421" t="s">
        <v>3311</v>
      </c>
      <c r="K88" s="421" t="s">
        <v>3093</v>
      </c>
      <c r="L88" s="421" t="s">
        <v>3094</v>
      </c>
      <c r="M88" s="421" t="s">
        <v>2667</v>
      </c>
      <c r="N88" s="421" t="s">
        <v>3093</v>
      </c>
      <c r="O88" s="421" t="s">
        <v>3094</v>
      </c>
      <c r="P88" s="421" t="s">
        <v>3095</v>
      </c>
      <c r="Q88" s="421" t="s">
        <v>3096</v>
      </c>
      <c r="R88" s="421" t="s">
        <v>1108</v>
      </c>
      <c r="S88" s="421" t="s">
        <v>1542</v>
      </c>
      <c r="T88" s="421" t="s">
        <v>1130</v>
      </c>
      <c r="U88" s="421" t="s">
        <v>1112</v>
      </c>
      <c r="V88" s="421" t="s">
        <v>3097</v>
      </c>
      <c r="W88" s="421" t="s">
        <v>3098</v>
      </c>
      <c r="X88" s="421" t="s">
        <v>3099</v>
      </c>
      <c r="Y88" s="421" t="s">
        <v>1117</v>
      </c>
      <c r="Z88" s="421" t="s">
        <v>1118</v>
      </c>
      <c r="AA88" s="421" t="s">
        <v>3100</v>
      </c>
      <c r="AB88" s="421" t="s">
        <v>3101</v>
      </c>
      <c r="AC88" s="421" t="s">
        <v>3102</v>
      </c>
      <c r="AD88" s="421" t="s">
        <v>3312</v>
      </c>
      <c r="AE88" s="421" t="s">
        <v>3313</v>
      </c>
      <c r="AF88" s="421" t="s">
        <v>2236</v>
      </c>
      <c r="AG88" s="421" t="s">
        <v>2237</v>
      </c>
      <c r="AH88" s="421" t="s">
        <v>3105</v>
      </c>
      <c r="AI88" s="421">
        <v>152000</v>
      </c>
      <c r="AJ88" s="421">
        <v>610.87</v>
      </c>
      <c r="AK88" s="421">
        <v>671.07</v>
      </c>
      <c r="AL88" s="421">
        <v>1</v>
      </c>
      <c r="AM88" s="421" t="s">
        <v>3314</v>
      </c>
      <c r="AN88" s="421" t="s">
        <v>3314</v>
      </c>
      <c r="AO88" s="421" t="s">
        <v>1121</v>
      </c>
      <c r="AP88" s="421" t="s">
        <v>1121</v>
      </c>
      <c r="AQ88" s="421" t="s">
        <v>1542</v>
      </c>
      <c r="AR88" s="421" t="s">
        <v>3241</v>
      </c>
      <c r="AS88" s="421" t="s">
        <v>3315</v>
      </c>
      <c r="AT88" s="421" t="s">
        <v>3109</v>
      </c>
      <c r="AU88" s="421" t="s">
        <v>1142</v>
      </c>
      <c r="AV88" s="421" t="s">
        <v>2520</v>
      </c>
      <c r="AW88" s="421" t="s">
        <v>3110</v>
      </c>
      <c r="AX88" s="421" t="s">
        <v>3111</v>
      </c>
      <c r="AY88" s="421" t="s">
        <v>3112</v>
      </c>
      <c r="AZ88" s="421" t="s">
        <v>3113</v>
      </c>
      <c r="BA88" s="421" t="s">
        <v>3114</v>
      </c>
      <c r="BB88" s="421" t="s">
        <v>3115</v>
      </c>
      <c r="BC88" s="421">
        <v>9650</v>
      </c>
      <c r="BD88" s="421">
        <v>24130693.5</v>
      </c>
      <c r="BE88" s="421">
        <v>0</v>
      </c>
      <c r="BF88" s="421">
        <v>637.74</v>
      </c>
      <c r="BG88" s="421">
        <v>25.72</v>
      </c>
      <c r="BH88" s="421">
        <v>0</v>
      </c>
      <c r="BI88" s="421" t="s">
        <v>1331</v>
      </c>
    </row>
    <row r="89" spans="1:61" x14ac:dyDescent="0.25">
      <c r="A89" s="421">
        <v>86</v>
      </c>
      <c r="B89" s="421">
        <v>2015</v>
      </c>
      <c r="C89" s="421">
        <v>2</v>
      </c>
      <c r="D89" s="421">
        <v>25</v>
      </c>
      <c r="E89" s="421" t="s">
        <v>1475</v>
      </c>
      <c r="F89" s="421" t="s">
        <v>3223</v>
      </c>
      <c r="G89" s="421" t="s">
        <v>3307</v>
      </c>
      <c r="H89" s="421" t="s">
        <v>1107</v>
      </c>
      <c r="I89" s="421" t="s">
        <v>3308</v>
      </c>
      <c r="J89" s="421" t="s">
        <v>3311</v>
      </c>
      <c r="K89" s="421" t="s">
        <v>3093</v>
      </c>
      <c r="L89" s="421" t="s">
        <v>3094</v>
      </c>
      <c r="M89" s="421" t="s">
        <v>2667</v>
      </c>
      <c r="N89" s="421" t="s">
        <v>3093</v>
      </c>
      <c r="O89" s="421" t="s">
        <v>3094</v>
      </c>
      <c r="P89" s="421" t="s">
        <v>3095</v>
      </c>
      <c r="Q89" s="421" t="s">
        <v>3096</v>
      </c>
      <c r="R89" s="421" t="s">
        <v>1108</v>
      </c>
      <c r="S89" s="421" t="s">
        <v>1542</v>
      </c>
      <c r="T89" s="421" t="s">
        <v>1130</v>
      </c>
      <c r="U89" s="421" t="s">
        <v>1112</v>
      </c>
      <c r="V89" s="421" t="s">
        <v>3097</v>
      </c>
      <c r="W89" s="421" t="s">
        <v>3098</v>
      </c>
      <c r="X89" s="421" t="s">
        <v>3099</v>
      </c>
      <c r="Y89" s="421" t="s">
        <v>1117</v>
      </c>
      <c r="Z89" s="421" t="s">
        <v>1118</v>
      </c>
      <c r="AA89" s="421" t="s">
        <v>3100</v>
      </c>
      <c r="AB89" s="421" t="s">
        <v>3101</v>
      </c>
      <c r="AC89" s="421" t="s">
        <v>3102</v>
      </c>
      <c r="AD89" s="421" t="s">
        <v>3312</v>
      </c>
      <c r="AE89" s="421" t="s">
        <v>3313</v>
      </c>
      <c r="AF89" s="421" t="s">
        <v>2236</v>
      </c>
      <c r="AG89" s="421" t="s">
        <v>2237</v>
      </c>
      <c r="AH89" s="421" t="s">
        <v>3105</v>
      </c>
      <c r="AI89" s="421">
        <v>92000</v>
      </c>
      <c r="AJ89" s="421">
        <v>443.12</v>
      </c>
      <c r="AK89" s="421">
        <v>486.79</v>
      </c>
      <c r="AL89" s="421">
        <v>2</v>
      </c>
      <c r="AM89" s="421" t="s">
        <v>3314</v>
      </c>
      <c r="AN89" s="421" t="s">
        <v>3314</v>
      </c>
      <c r="AO89" s="421" t="s">
        <v>1121</v>
      </c>
      <c r="AP89" s="421" t="s">
        <v>1121</v>
      </c>
      <c r="AQ89" s="421" t="s">
        <v>1542</v>
      </c>
      <c r="AR89" s="421" t="s">
        <v>3241</v>
      </c>
      <c r="AS89" s="421" t="s">
        <v>3315</v>
      </c>
      <c r="AT89" s="421" t="s">
        <v>3109</v>
      </c>
      <c r="AU89" s="421" t="s">
        <v>1142</v>
      </c>
      <c r="AV89" s="421" t="s">
        <v>2520</v>
      </c>
      <c r="AW89" s="421" t="s">
        <v>3110</v>
      </c>
      <c r="AX89" s="421" t="s">
        <v>3111</v>
      </c>
      <c r="AY89" s="421" t="s">
        <v>3112</v>
      </c>
      <c r="AZ89" s="421" t="s">
        <v>3113</v>
      </c>
      <c r="BA89" s="421" t="s">
        <v>3114</v>
      </c>
      <c r="BB89" s="421" t="s">
        <v>3115</v>
      </c>
      <c r="BC89" s="421">
        <v>7450</v>
      </c>
      <c r="BD89" s="421">
        <v>18629395.5</v>
      </c>
      <c r="BE89" s="421">
        <v>0</v>
      </c>
      <c r="BF89" s="421">
        <v>492.35</v>
      </c>
      <c r="BG89" s="421">
        <v>19.86</v>
      </c>
      <c r="BH89" s="421">
        <v>0</v>
      </c>
      <c r="BI89" s="421" t="s">
        <v>1331</v>
      </c>
    </row>
    <row r="90" spans="1:61" x14ac:dyDescent="0.25">
      <c r="A90" s="421">
        <v>87</v>
      </c>
      <c r="B90" s="421">
        <v>2015</v>
      </c>
      <c r="C90" s="421">
        <v>2</v>
      </c>
      <c r="D90" s="421">
        <v>25</v>
      </c>
      <c r="E90" s="421" t="s">
        <v>1475</v>
      </c>
      <c r="F90" s="421" t="s">
        <v>3223</v>
      </c>
      <c r="G90" s="421" t="s">
        <v>3307</v>
      </c>
      <c r="H90" s="421" t="s">
        <v>1107</v>
      </c>
      <c r="I90" s="421" t="s">
        <v>3308</v>
      </c>
      <c r="J90" s="421" t="s">
        <v>3311</v>
      </c>
      <c r="K90" s="421" t="s">
        <v>3093</v>
      </c>
      <c r="L90" s="421" t="s">
        <v>3094</v>
      </c>
      <c r="M90" s="421" t="s">
        <v>2667</v>
      </c>
      <c r="N90" s="421" t="s">
        <v>3093</v>
      </c>
      <c r="O90" s="421" t="s">
        <v>3094</v>
      </c>
      <c r="P90" s="421" t="s">
        <v>3095</v>
      </c>
      <c r="Q90" s="421" t="s">
        <v>3096</v>
      </c>
      <c r="R90" s="421" t="s">
        <v>1108</v>
      </c>
      <c r="S90" s="421" t="s">
        <v>1542</v>
      </c>
      <c r="T90" s="421" t="s">
        <v>1130</v>
      </c>
      <c r="U90" s="421" t="s">
        <v>1112</v>
      </c>
      <c r="V90" s="421" t="s">
        <v>3097</v>
      </c>
      <c r="W90" s="421" t="s">
        <v>3098</v>
      </c>
      <c r="X90" s="421" t="s">
        <v>3099</v>
      </c>
      <c r="Y90" s="421" t="s">
        <v>1117</v>
      </c>
      <c r="Z90" s="421" t="s">
        <v>1118</v>
      </c>
      <c r="AA90" s="421" t="s">
        <v>3100</v>
      </c>
      <c r="AB90" s="421" t="s">
        <v>3101</v>
      </c>
      <c r="AC90" s="421" t="s">
        <v>3102</v>
      </c>
      <c r="AD90" s="421" t="s">
        <v>3312</v>
      </c>
      <c r="AE90" s="421" t="s">
        <v>3313</v>
      </c>
      <c r="AF90" s="421" t="s">
        <v>2236</v>
      </c>
      <c r="AG90" s="421" t="s">
        <v>2237</v>
      </c>
      <c r="AH90" s="421" t="s">
        <v>3105</v>
      </c>
      <c r="AI90" s="421">
        <v>86000</v>
      </c>
      <c r="AJ90" s="421">
        <v>408.66</v>
      </c>
      <c r="AK90" s="421">
        <v>448.94</v>
      </c>
      <c r="AL90" s="421">
        <v>3</v>
      </c>
      <c r="AM90" s="421" t="s">
        <v>3314</v>
      </c>
      <c r="AN90" s="421" t="s">
        <v>3314</v>
      </c>
      <c r="AO90" s="421" t="s">
        <v>1121</v>
      </c>
      <c r="AP90" s="421" t="s">
        <v>1121</v>
      </c>
      <c r="AQ90" s="421" t="s">
        <v>1542</v>
      </c>
      <c r="AR90" s="421" t="s">
        <v>3241</v>
      </c>
      <c r="AS90" s="421" t="s">
        <v>3315</v>
      </c>
      <c r="AT90" s="421" t="s">
        <v>3109</v>
      </c>
      <c r="AU90" s="421" t="s">
        <v>1142</v>
      </c>
      <c r="AV90" s="421" t="s">
        <v>2520</v>
      </c>
      <c r="AW90" s="421" t="s">
        <v>3110</v>
      </c>
      <c r="AX90" s="421" t="s">
        <v>3111</v>
      </c>
      <c r="AY90" s="421" t="s">
        <v>3112</v>
      </c>
      <c r="AZ90" s="421" t="s">
        <v>3113</v>
      </c>
      <c r="BA90" s="421" t="s">
        <v>3114</v>
      </c>
      <c r="BB90" s="421" t="s">
        <v>3115</v>
      </c>
      <c r="BC90" s="421">
        <v>11650</v>
      </c>
      <c r="BD90" s="421">
        <v>29131873.5</v>
      </c>
      <c r="BE90" s="421">
        <v>0</v>
      </c>
      <c r="BF90" s="421">
        <v>769.91</v>
      </c>
      <c r="BG90" s="421">
        <v>31.05</v>
      </c>
      <c r="BH90" s="421">
        <v>0</v>
      </c>
      <c r="BI90" s="421" t="s">
        <v>1331</v>
      </c>
    </row>
    <row r="91" spans="1:61" x14ac:dyDescent="0.25">
      <c r="A91" s="421">
        <v>88</v>
      </c>
      <c r="B91" s="421">
        <v>2015</v>
      </c>
      <c r="C91" s="421">
        <v>2</v>
      </c>
      <c r="D91" s="421">
        <v>25</v>
      </c>
      <c r="E91" s="421" t="s">
        <v>1475</v>
      </c>
      <c r="F91" s="421" t="s">
        <v>3223</v>
      </c>
      <c r="G91" s="421" t="s">
        <v>3307</v>
      </c>
      <c r="H91" s="421" t="s">
        <v>1107</v>
      </c>
      <c r="I91" s="421" t="s">
        <v>3308</v>
      </c>
      <c r="J91" s="421" t="s">
        <v>3316</v>
      </c>
      <c r="K91" s="421" t="s">
        <v>3093</v>
      </c>
      <c r="L91" s="421" t="s">
        <v>3094</v>
      </c>
      <c r="M91" s="421" t="s">
        <v>2667</v>
      </c>
      <c r="N91" s="421" t="s">
        <v>3093</v>
      </c>
      <c r="O91" s="421" t="s">
        <v>3094</v>
      </c>
      <c r="P91" s="421" t="s">
        <v>3095</v>
      </c>
      <c r="Q91" s="421" t="s">
        <v>3096</v>
      </c>
      <c r="R91" s="421" t="s">
        <v>1108</v>
      </c>
      <c r="S91" s="421" t="s">
        <v>1542</v>
      </c>
      <c r="T91" s="421" t="s">
        <v>1130</v>
      </c>
      <c r="U91" s="421" t="s">
        <v>1112</v>
      </c>
      <c r="V91" s="421" t="s">
        <v>3097</v>
      </c>
      <c r="W91" s="421" t="s">
        <v>3098</v>
      </c>
      <c r="X91" s="421" t="s">
        <v>3099</v>
      </c>
      <c r="Y91" s="421" t="s">
        <v>1117</v>
      </c>
      <c r="Z91" s="421" t="s">
        <v>1118</v>
      </c>
      <c r="AA91" s="421" t="s">
        <v>3100</v>
      </c>
      <c r="AB91" s="421" t="s">
        <v>3101</v>
      </c>
      <c r="AC91" s="421" t="s">
        <v>3102</v>
      </c>
      <c r="AD91" s="421" t="s">
        <v>3176</v>
      </c>
      <c r="AE91" s="421" t="s">
        <v>3177</v>
      </c>
      <c r="AF91" s="421" t="s">
        <v>2236</v>
      </c>
      <c r="AG91" s="421" t="s">
        <v>2237</v>
      </c>
      <c r="AH91" s="421" t="s">
        <v>3105</v>
      </c>
      <c r="AI91" s="421">
        <v>12000</v>
      </c>
      <c r="AJ91" s="421">
        <v>40.93</v>
      </c>
      <c r="AK91" s="421">
        <v>44.3</v>
      </c>
      <c r="AL91" s="421">
        <v>1</v>
      </c>
      <c r="AM91" s="421" t="s">
        <v>1547</v>
      </c>
      <c r="AN91" s="421" t="s">
        <v>3178</v>
      </c>
      <c r="AO91" s="421" t="s">
        <v>1121</v>
      </c>
      <c r="AP91" s="421" t="s">
        <v>1121</v>
      </c>
      <c r="AQ91" s="421" t="s">
        <v>1542</v>
      </c>
      <c r="AR91" s="421" t="s">
        <v>3241</v>
      </c>
      <c r="AS91" s="421" t="s">
        <v>3317</v>
      </c>
      <c r="AT91" s="421" t="s">
        <v>3109</v>
      </c>
      <c r="AU91" s="421" t="s">
        <v>1142</v>
      </c>
      <c r="AV91" s="421" t="s">
        <v>2520</v>
      </c>
      <c r="AW91" s="421" t="s">
        <v>3110</v>
      </c>
      <c r="AX91" s="421" t="s">
        <v>3111</v>
      </c>
      <c r="AY91" s="421" t="s">
        <v>3112</v>
      </c>
      <c r="AZ91" s="421" t="s">
        <v>3113</v>
      </c>
      <c r="BA91" s="421" t="s">
        <v>3114</v>
      </c>
      <c r="BB91" s="421" t="s">
        <v>3115</v>
      </c>
      <c r="BC91" s="421">
        <v>1188</v>
      </c>
      <c r="BD91" s="421">
        <v>2970700.92</v>
      </c>
      <c r="BE91" s="421">
        <v>0</v>
      </c>
      <c r="BF91" s="421">
        <v>100</v>
      </c>
      <c r="BG91" s="421">
        <v>12</v>
      </c>
      <c r="BH91" s="421">
        <v>0</v>
      </c>
      <c r="BI91" s="421" t="s">
        <v>1331</v>
      </c>
    </row>
    <row r="92" spans="1:61" x14ac:dyDescent="0.25">
      <c r="A92" s="421">
        <v>89</v>
      </c>
      <c r="B92" s="421">
        <v>2015</v>
      </c>
      <c r="C92" s="421">
        <v>2</v>
      </c>
      <c r="D92" s="421">
        <v>27</v>
      </c>
      <c r="E92" s="421" t="s">
        <v>1475</v>
      </c>
      <c r="F92" s="421" t="s">
        <v>3223</v>
      </c>
      <c r="G92" s="421" t="s">
        <v>3318</v>
      </c>
      <c r="H92" s="421" t="s">
        <v>1107</v>
      </c>
      <c r="I92" s="421" t="s">
        <v>1497</v>
      </c>
      <c r="J92" s="421" t="s">
        <v>3319</v>
      </c>
      <c r="K92" s="421" t="s">
        <v>3093</v>
      </c>
      <c r="L92" s="421" t="s">
        <v>3094</v>
      </c>
      <c r="M92" s="421" t="s">
        <v>2667</v>
      </c>
      <c r="N92" s="421" t="s">
        <v>3093</v>
      </c>
      <c r="O92" s="421" t="s">
        <v>3094</v>
      </c>
      <c r="P92" s="421" t="s">
        <v>3095</v>
      </c>
      <c r="Q92" s="421" t="s">
        <v>3113</v>
      </c>
      <c r="R92" s="421" t="s">
        <v>1476</v>
      </c>
      <c r="S92" s="421" t="s">
        <v>1476</v>
      </c>
      <c r="T92" s="421" t="s">
        <v>1130</v>
      </c>
      <c r="U92" s="421" t="s">
        <v>1921</v>
      </c>
      <c r="V92" s="421" t="s">
        <v>3218</v>
      </c>
      <c r="W92" s="421" t="s">
        <v>3098</v>
      </c>
      <c r="X92" s="421" t="s">
        <v>3099</v>
      </c>
      <c r="Y92" s="421" t="s">
        <v>1117</v>
      </c>
      <c r="Z92" s="421" t="s">
        <v>1118</v>
      </c>
      <c r="AA92" s="421" t="s">
        <v>3100</v>
      </c>
      <c r="AB92" s="421" t="s">
        <v>3219</v>
      </c>
      <c r="AC92" s="421" t="s">
        <v>3102</v>
      </c>
      <c r="AD92" s="421" t="s">
        <v>3320</v>
      </c>
      <c r="AE92" s="421" t="s">
        <v>3321</v>
      </c>
      <c r="AF92" s="421" t="s">
        <v>2236</v>
      </c>
      <c r="AG92" s="421" t="s">
        <v>2237</v>
      </c>
      <c r="AH92" s="421" t="s">
        <v>3105</v>
      </c>
      <c r="AI92" s="421">
        <v>3000</v>
      </c>
      <c r="AJ92" s="421">
        <v>11.15</v>
      </c>
      <c r="AK92" s="421">
        <v>12.08</v>
      </c>
      <c r="AL92" s="421">
        <v>1</v>
      </c>
      <c r="AM92" s="421" t="s">
        <v>3322</v>
      </c>
      <c r="AN92" s="421" t="s">
        <v>3323</v>
      </c>
      <c r="AO92" s="421" t="s">
        <v>1121</v>
      </c>
      <c r="AP92" s="421" t="s">
        <v>1121</v>
      </c>
      <c r="AQ92" s="421" t="s">
        <v>1476</v>
      </c>
      <c r="AR92" s="421" t="s">
        <v>3241</v>
      </c>
      <c r="AS92" s="421" t="s">
        <v>3324</v>
      </c>
      <c r="AT92" s="421" t="s">
        <v>3109</v>
      </c>
      <c r="AU92" s="421" t="s">
        <v>1341</v>
      </c>
      <c r="AV92" s="421" t="s">
        <v>3247</v>
      </c>
      <c r="AW92" s="421" t="s">
        <v>3110</v>
      </c>
      <c r="AX92" s="421" t="s">
        <v>3111</v>
      </c>
      <c r="AY92" s="421" t="s">
        <v>3112</v>
      </c>
      <c r="AZ92" s="421" t="s">
        <v>3113</v>
      </c>
      <c r="BA92" s="421" t="s">
        <v>3114</v>
      </c>
      <c r="BB92" s="421" t="s">
        <v>3115</v>
      </c>
      <c r="BC92" s="421">
        <v>192</v>
      </c>
      <c r="BD92" s="421">
        <v>477039.35999999999</v>
      </c>
      <c r="BE92" s="421">
        <v>0</v>
      </c>
      <c r="BF92" s="421">
        <v>180</v>
      </c>
      <c r="BG92" s="421">
        <v>12</v>
      </c>
      <c r="BH92" s="421">
        <v>0</v>
      </c>
      <c r="BI92" s="421" t="s">
        <v>1331</v>
      </c>
    </row>
    <row r="93" spans="1:61" x14ac:dyDescent="0.25">
      <c r="A93" s="421">
        <v>90</v>
      </c>
      <c r="B93" s="421">
        <v>2015</v>
      </c>
      <c r="C93" s="421">
        <v>3</v>
      </c>
      <c r="D93" s="421">
        <v>2</v>
      </c>
      <c r="E93" s="421" t="s">
        <v>1475</v>
      </c>
      <c r="F93" s="421" t="s">
        <v>3325</v>
      </c>
      <c r="G93" s="421" t="s">
        <v>3223</v>
      </c>
      <c r="H93" s="421" t="s">
        <v>1107</v>
      </c>
      <c r="I93" s="421" t="s">
        <v>1491</v>
      </c>
      <c r="J93" s="421" t="s">
        <v>3326</v>
      </c>
      <c r="K93" s="421" t="s">
        <v>3093</v>
      </c>
      <c r="L93" s="421" t="s">
        <v>3094</v>
      </c>
      <c r="M93" s="421" t="s">
        <v>2667</v>
      </c>
      <c r="N93" s="421" t="s">
        <v>3093</v>
      </c>
      <c r="O93" s="421" t="s">
        <v>3094</v>
      </c>
      <c r="P93" s="421" t="s">
        <v>3095</v>
      </c>
      <c r="Q93" s="421" t="s">
        <v>3113</v>
      </c>
      <c r="R93" s="421" t="s">
        <v>1108</v>
      </c>
      <c r="S93" s="421" t="s">
        <v>1108</v>
      </c>
      <c r="T93" s="421" t="s">
        <v>1130</v>
      </c>
      <c r="U93" s="421" t="s">
        <v>3144</v>
      </c>
      <c r="V93" s="421" t="s">
        <v>3145</v>
      </c>
      <c r="W93" s="421" t="s">
        <v>3098</v>
      </c>
      <c r="X93" s="421" t="s">
        <v>3099</v>
      </c>
      <c r="Y93" s="421" t="s">
        <v>1117</v>
      </c>
      <c r="Z93" s="421" t="s">
        <v>1118</v>
      </c>
      <c r="AA93" s="421" t="s">
        <v>3100</v>
      </c>
      <c r="AB93" s="421" t="s">
        <v>3146</v>
      </c>
      <c r="AC93" s="421" t="s">
        <v>3102</v>
      </c>
      <c r="AD93" s="421" t="s">
        <v>3327</v>
      </c>
      <c r="AE93" s="421" t="s">
        <v>3328</v>
      </c>
      <c r="AF93" s="421" t="s">
        <v>1471</v>
      </c>
      <c r="AG93" s="421" t="s">
        <v>1472</v>
      </c>
      <c r="AH93" s="421" t="s">
        <v>3105</v>
      </c>
      <c r="AI93" s="421">
        <v>2202</v>
      </c>
      <c r="AJ93" s="421">
        <v>183.36</v>
      </c>
      <c r="AK93" s="421">
        <v>202.35</v>
      </c>
      <c r="AL93" s="421">
        <v>12</v>
      </c>
      <c r="AM93" s="421" t="s">
        <v>3329</v>
      </c>
      <c r="AN93" s="421" t="s">
        <v>3330</v>
      </c>
      <c r="AO93" s="421" t="s">
        <v>1121</v>
      </c>
      <c r="AP93" s="421" t="s">
        <v>1121</v>
      </c>
      <c r="AQ93" s="421" t="s">
        <v>1476</v>
      </c>
      <c r="AR93" s="421" t="s">
        <v>3241</v>
      </c>
      <c r="AS93" s="421" t="s">
        <v>3331</v>
      </c>
      <c r="AT93" s="421" t="s">
        <v>3109</v>
      </c>
      <c r="AU93" s="421" t="s">
        <v>1341</v>
      </c>
      <c r="AV93" s="421" t="s">
        <v>3157</v>
      </c>
      <c r="AW93" s="421" t="s">
        <v>3110</v>
      </c>
      <c r="AX93" s="421" t="s">
        <v>3111</v>
      </c>
      <c r="AY93" s="421" t="s">
        <v>3112</v>
      </c>
      <c r="AZ93" s="421" t="s">
        <v>3113</v>
      </c>
      <c r="BA93" s="421" t="s">
        <v>3114</v>
      </c>
      <c r="BB93" s="421" t="s">
        <v>3115</v>
      </c>
      <c r="BC93" s="421">
        <v>2716.86</v>
      </c>
      <c r="BD93" s="421">
        <v>6783972.25</v>
      </c>
      <c r="BE93" s="421">
        <v>0</v>
      </c>
      <c r="BF93" s="421">
        <v>402.43</v>
      </c>
      <c r="BG93" s="421">
        <v>0</v>
      </c>
      <c r="BH93" s="421">
        <v>0</v>
      </c>
      <c r="BI93" s="421" t="s">
        <v>1149</v>
      </c>
    </row>
    <row r="94" spans="1:61" x14ac:dyDescent="0.25">
      <c r="A94" s="421">
        <v>91</v>
      </c>
      <c r="B94" s="421">
        <v>2015</v>
      </c>
      <c r="C94" s="421">
        <v>3</v>
      </c>
      <c r="D94" s="421">
        <v>2</v>
      </c>
      <c r="E94" s="421" t="s">
        <v>1475</v>
      </c>
      <c r="F94" s="421" t="s">
        <v>3325</v>
      </c>
      <c r="G94" s="421" t="s">
        <v>3223</v>
      </c>
      <c r="H94" s="421" t="s">
        <v>1107</v>
      </c>
      <c r="I94" s="421" t="s">
        <v>1491</v>
      </c>
      <c r="J94" s="421" t="s">
        <v>3332</v>
      </c>
      <c r="K94" s="421" t="s">
        <v>3093</v>
      </c>
      <c r="L94" s="421" t="s">
        <v>3094</v>
      </c>
      <c r="M94" s="421" t="s">
        <v>2667</v>
      </c>
      <c r="N94" s="421" t="s">
        <v>3093</v>
      </c>
      <c r="O94" s="421" t="s">
        <v>3094</v>
      </c>
      <c r="P94" s="421" t="s">
        <v>3095</v>
      </c>
      <c r="Q94" s="421" t="s">
        <v>3096</v>
      </c>
      <c r="R94" s="421" t="s">
        <v>1108</v>
      </c>
      <c r="S94" s="421" t="s">
        <v>1476</v>
      </c>
      <c r="T94" s="421" t="s">
        <v>1130</v>
      </c>
      <c r="U94" s="421" t="s">
        <v>3144</v>
      </c>
      <c r="V94" s="421" t="s">
        <v>3145</v>
      </c>
      <c r="W94" s="421" t="s">
        <v>3098</v>
      </c>
      <c r="X94" s="421" t="s">
        <v>3099</v>
      </c>
      <c r="Y94" s="421" t="s">
        <v>1117</v>
      </c>
      <c r="Z94" s="421" t="s">
        <v>1118</v>
      </c>
      <c r="AA94" s="421" t="s">
        <v>3100</v>
      </c>
      <c r="AB94" s="421" t="s">
        <v>3146</v>
      </c>
      <c r="AC94" s="421" t="s">
        <v>3102</v>
      </c>
      <c r="AD94" s="421" t="s">
        <v>3269</v>
      </c>
      <c r="AE94" s="421" t="s">
        <v>3333</v>
      </c>
      <c r="AF94" s="421" t="s">
        <v>2236</v>
      </c>
      <c r="AG94" s="421" t="s">
        <v>2237</v>
      </c>
      <c r="AH94" s="421" t="s">
        <v>3105</v>
      </c>
      <c r="AI94" s="421">
        <v>109000</v>
      </c>
      <c r="AJ94" s="421">
        <v>365.83</v>
      </c>
      <c r="AK94" s="421">
        <v>396</v>
      </c>
      <c r="AL94" s="421">
        <v>1</v>
      </c>
      <c r="AM94" s="421" t="s">
        <v>966</v>
      </c>
      <c r="AN94" s="421" t="s">
        <v>3271</v>
      </c>
      <c r="AO94" s="421" t="s">
        <v>1121</v>
      </c>
      <c r="AP94" s="421" t="s">
        <v>1121</v>
      </c>
      <c r="AQ94" s="421" t="s">
        <v>1476</v>
      </c>
      <c r="AR94" s="421" t="s">
        <v>3241</v>
      </c>
      <c r="AS94" s="421" t="s">
        <v>3334</v>
      </c>
      <c r="AT94" s="421" t="s">
        <v>3109</v>
      </c>
      <c r="AU94" s="421" t="s">
        <v>1341</v>
      </c>
      <c r="AV94" s="421" t="s">
        <v>962</v>
      </c>
      <c r="AW94" s="421" t="s">
        <v>3110</v>
      </c>
      <c r="AX94" s="421" t="s">
        <v>3111</v>
      </c>
      <c r="AY94" s="421" t="s">
        <v>3112</v>
      </c>
      <c r="AZ94" s="421" t="s">
        <v>3113</v>
      </c>
      <c r="BA94" s="421" t="s">
        <v>3114</v>
      </c>
      <c r="BB94" s="421" t="s">
        <v>3115</v>
      </c>
      <c r="BC94" s="421">
        <v>5195.8</v>
      </c>
      <c r="BD94" s="421">
        <v>12973860.640000001</v>
      </c>
      <c r="BE94" s="421">
        <v>0</v>
      </c>
      <c r="BF94" s="421">
        <v>1103.2</v>
      </c>
      <c r="BG94" s="421">
        <v>15.75</v>
      </c>
      <c r="BH94" s="421">
        <v>0</v>
      </c>
      <c r="BI94" s="421" t="s">
        <v>1167</v>
      </c>
    </row>
    <row r="95" spans="1:61" x14ac:dyDescent="0.25">
      <c r="A95" s="421">
        <v>92</v>
      </c>
      <c r="B95" s="421">
        <v>2015</v>
      </c>
      <c r="C95" s="421">
        <v>3</v>
      </c>
      <c r="D95" s="421">
        <v>2</v>
      </c>
      <c r="E95" s="421" t="s">
        <v>1475</v>
      </c>
      <c r="F95" s="421" t="s">
        <v>3325</v>
      </c>
      <c r="G95" s="421" t="s">
        <v>3223</v>
      </c>
      <c r="H95" s="421" t="s">
        <v>1107</v>
      </c>
      <c r="I95" s="421" t="s">
        <v>1491</v>
      </c>
      <c r="J95" s="421" t="s">
        <v>3335</v>
      </c>
      <c r="K95" s="421" t="s">
        <v>3093</v>
      </c>
      <c r="L95" s="421" t="s">
        <v>3094</v>
      </c>
      <c r="M95" s="421" t="s">
        <v>2667</v>
      </c>
      <c r="N95" s="421" t="s">
        <v>3093</v>
      </c>
      <c r="O95" s="421" t="s">
        <v>3094</v>
      </c>
      <c r="P95" s="421" t="s">
        <v>3095</v>
      </c>
      <c r="Q95" s="421" t="s">
        <v>3096</v>
      </c>
      <c r="R95" s="421" t="s">
        <v>1108</v>
      </c>
      <c r="S95" s="421" t="s">
        <v>1476</v>
      </c>
      <c r="T95" s="421" t="s">
        <v>1130</v>
      </c>
      <c r="U95" s="421" t="s">
        <v>3144</v>
      </c>
      <c r="V95" s="421" t="s">
        <v>3145</v>
      </c>
      <c r="W95" s="421" t="s">
        <v>3098</v>
      </c>
      <c r="X95" s="421" t="s">
        <v>3099</v>
      </c>
      <c r="Y95" s="421" t="s">
        <v>1117</v>
      </c>
      <c r="Z95" s="421" t="s">
        <v>1118</v>
      </c>
      <c r="AA95" s="421" t="s">
        <v>3100</v>
      </c>
      <c r="AB95" s="421" t="s">
        <v>3146</v>
      </c>
      <c r="AC95" s="421" t="s">
        <v>3102</v>
      </c>
      <c r="AD95" s="421" t="s">
        <v>3260</v>
      </c>
      <c r="AE95" s="421" t="s">
        <v>3261</v>
      </c>
      <c r="AF95" s="421" t="s">
        <v>2236</v>
      </c>
      <c r="AG95" s="421" t="s">
        <v>2237</v>
      </c>
      <c r="AH95" s="421" t="s">
        <v>3105</v>
      </c>
      <c r="AI95" s="421">
        <v>10000</v>
      </c>
      <c r="AJ95" s="421">
        <v>355.8</v>
      </c>
      <c r="AK95" s="421">
        <v>373</v>
      </c>
      <c r="AL95" s="421">
        <v>1</v>
      </c>
      <c r="AM95" s="421" t="s">
        <v>963</v>
      </c>
      <c r="AN95" s="421" t="s">
        <v>3262</v>
      </c>
      <c r="AO95" s="421" t="s">
        <v>1121</v>
      </c>
      <c r="AP95" s="421" t="s">
        <v>1121</v>
      </c>
      <c r="AQ95" s="421" t="s">
        <v>1476</v>
      </c>
      <c r="AR95" s="421" t="s">
        <v>3241</v>
      </c>
      <c r="AS95" s="421" t="s">
        <v>3336</v>
      </c>
      <c r="AT95" s="421" t="s">
        <v>3109</v>
      </c>
      <c r="AU95" s="421" t="s">
        <v>1341</v>
      </c>
      <c r="AV95" s="421" t="s">
        <v>962</v>
      </c>
      <c r="AW95" s="421" t="s">
        <v>3110</v>
      </c>
      <c r="AX95" s="421" t="s">
        <v>3111</v>
      </c>
      <c r="AY95" s="421" t="s">
        <v>3112</v>
      </c>
      <c r="AZ95" s="421" t="s">
        <v>3113</v>
      </c>
      <c r="BA95" s="421" t="s">
        <v>3114</v>
      </c>
      <c r="BB95" s="421" t="s">
        <v>3115</v>
      </c>
      <c r="BC95" s="421">
        <v>11000</v>
      </c>
      <c r="BD95" s="421">
        <v>27466890</v>
      </c>
      <c r="BE95" s="421">
        <v>0</v>
      </c>
      <c r="BF95" s="421">
        <v>1223.2</v>
      </c>
      <c r="BG95" s="421">
        <v>30.56</v>
      </c>
      <c r="BH95" s="421">
        <v>0</v>
      </c>
      <c r="BI95" s="421" t="s">
        <v>1167</v>
      </c>
    </row>
    <row r="96" spans="1:61" x14ac:dyDescent="0.25">
      <c r="A96" s="421">
        <v>93</v>
      </c>
      <c r="B96" s="421">
        <v>2015</v>
      </c>
      <c r="C96" s="421">
        <v>3</v>
      </c>
      <c r="D96" s="421">
        <v>2</v>
      </c>
      <c r="E96" s="421" t="s">
        <v>1475</v>
      </c>
      <c r="F96" s="421" t="s">
        <v>3325</v>
      </c>
      <c r="G96" s="421" t="s">
        <v>3223</v>
      </c>
      <c r="H96" s="421" t="s">
        <v>1107</v>
      </c>
      <c r="I96" s="421" t="s">
        <v>1491</v>
      </c>
      <c r="J96" s="421" t="s">
        <v>3326</v>
      </c>
      <c r="K96" s="421" t="s">
        <v>3093</v>
      </c>
      <c r="L96" s="421" t="s">
        <v>3094</v>
      </c>
      <c r="M96" s="421" t="s">
        <v>2667</v>
      </c>
      <c r="N96" s="421" t="s">
        <v>3093</v>
      </c>
      <c r="O96" s="421" t="s">
        <v>3094</v>
      </c>
      <c r="P96" s="421" t="s">
        <v>3095</v>
      </c>
      <c r="Q96" s="421" t="s">
        <v>3113</v>
      </c>
      <c r="R96" s="421" t="s">
        <v>1108</v>
      </c>
      <c r="S96" s="421" t="s">
        <v>1108</v>
      </c>
      <c r="T96" s="421" t="s">
        <v>1130</v>
      </c>
      <c r="U96" s="421" t="s">
        <v>3144</v>
      </c>
      <c r="V96" s="421" t="s">
        <v>3145</v>
      </c>
      <c r="W96" s="421" t="s">
        <v>3098</v>
      </c>
      <c r="X96" s="421" t="s">
        <v>3099</v>
      </c>
      <c r="Y96" s="421" t="s">
        <v>1117</v>
      </c>
      <c r="Z96" s="421" t="s">
        <v>1118</v>
      </c>
      <c r="AA96" s="421" t="s">
        <v>3100</v>
      </c>
      <c r="AB96" s="421" t="s">
        <v>3146</v>
      </c>
      <c r="AC96" s="421" t="s">
        <v>3102</v>
      </c>
      <c r="AD96" s="421" t="s">
        <v>3327</v>
      </c>
      <c r="AE96" s="421" t="s">
        <v>3328</v>
      </c>
      <c r="AF96" s="421" t="s">
        <v>1620</v>
      </c>
      <c r="AG96" s="421" t="s">
        <v>1621</v>
      </c>
      <c r="AH96" s="421" t="s">
        <v>1127</v>
      </c>
      <c r="AI96" s="421">
        <v>72</v>
      </c>
      <c r="AJ96" s="421">
        <v>72</v>
      </c>
      <c r="AK96" s="421">
        <v>79.459999999999994</v>
      </c>
      <c r="AL96" s="421">
        <v>6</v>
      </c>
      <c r="AM96" s="421" t="s">
        <v>3329</v>
      </c>
      <c r="AN96" s="421" t="s">
        <v>3330</v>
      </c>
      <c r="AO96" s="421" t="s">
        <v>1121</v>
      </c>
      <c r="AP96" s="421" t="s">
        <v>1121</v>
      </c>
      <c r="AQ96" s="421" t="s">
        <v>1476</v>
      </c>
      <c r="AR96" s="421" t="s">
        <v>3241</v>
      </c>
      <c r="AS96" s="421" t="s">
        <v>3331</v>
      </c>
      <c r="AT96" s="421" t="s">
        <v>3109</v>
      </c>
      <c r="AU96" s="421" t="s">
        <v>1341</v>
      </c>
      <c r="AV96" s="421" t="s">
        <v>3157</v>
      </c>
      <c r="AW96" s="421" t="s">
        <v>3110</v>
      </c>
      <c r="AX96" s="421" t="s">
        <v>3111</v>
      </c>
      <c r="AY96" s="421" t="s">
        <v>3112</v>
      </c>
      <c r="AZ96" s="421" t="s">
        <v>3113</v>
      </c>
      <c r="BA96" s="421" t="s">
        <v>3114</v>
      </c>
      <c r="BB96" s="421" t="s">
        <v>3115</v>
      </c>
      <c r="BC96" s="421">
        <v>379.44</v>
      </c>
      <c r="BD96" s="421">
        <v>947457.89</v>
      </c>
      <c r="BE96" s="421">
        <v>0</v>
      </c>
      <c r="BF96" s="421">
        <v>56.2</v>
      </c>
      <c r="BG96" s="421">
        <v>0</v>
      </c>
      <c r="BH96" s="421">
        <v>0</v>
      </c>
      <c r="BI96" s="421" t="s">
        <v>1149</v>
      </c>
    </row>
    <row r="97" spans="1:61" x14ac:dyDescent="0.25">
      <c r="A97" s="421">
        <v>94</v>
      </c>
      <c r="B97" s="421">
        <v>2015</v>
      </c>
      <c r="C97" s="421">
        <v>3</v>
      </c>
      <c r="D97" s="421">
        <v>2</v>
      </c>
      <c r="E97" s="421" t="s">
        <v>1475</v>
      </c>
      <c r="F97" s="421" t="s">
        <v>3325</v>
      </c>
      <c r="G97" s="421" t="s">
        <v>3223</v>
      </c>
      <c r="H97" s="421" t="s">
        <v>1107</v>
      </c>
      <c r="I97" s="421" t="s">
        <v>1491</v>
      </c>
      <c r="J97" s="421" t="s">
        <v>3326</v>
      </c>
      <c r="K97" s="421" t="s">
        <v>3093</v>
      </c>
      <c r="L97" s="421" t="s">
        <v>3094</v>
      </c>
      <c r="M97" s="421" t="s">
        <v>2667</v>
      </c>
      <c r="N97" s="421" t="s">
        <v>3093</v>
      </c>
      <c r="O97" s="421" t="s">
        <v>3094</v>
      </c>
      <c r="P97" s="421" t="s">
        <v>3095</v>
      </c>
      <c r="Q97" s="421" t="s">
        <v>3113</v>
      </c>
      <c r="R97" s="421" t="s">
        <v>1108</v>
      </c>
      <c r="S97" s="421" t="s">
        <v>1108</v>
      </c>
      <c r="T97" s="421" t="s">
        <v>1130</v>
      </c>
      <c r="U97" s="421" t="s">
        <v>3144</v>
      </c>
      <c r="V97" s="421" t="s">
        <v>3145</v>
      </c>
      <c r="W97" s="421" t="s">
        <v>3098</v>
      </c>
      <c r="X97" s="421" t="s">
        <v>3099</v>
      </c>
      <c r="Y97" s="421" t="s">
        <v>1117</v>
      </c>
      <c r="Z97" s="421" t="s">
        <v>1118</v>
      </c>
      <c r="AA97" s="421" t="s">
        <v>3100</v>
      </c>
      <c r="AB97" s="421" t="s">
        <v>3146</v>
      </c>
      <c r="AC97" s="421" t="s">
        <v>3102</v>
      </c>
      <c r="AD97" s="421" t="s">
        <v>3327</v>
      </c>
      <c r="AE97" s="421" t="s">
        <v>3328</v>
      </c>
      <c r="AF97" s="421" t="s">
        <v>1632</v>
      </c>
      <c r="AG97" s="421" t="s">
        <v>1633</v>
      </c>
      <c r="AH97" s="421" t="s">
        <v>1127</v>
      </c>
      <c r="AI97" s="421">
        <v>26</v>
      </c>
      <c r="AJ97" s="421">
        <v>26</v>
      </c>
      <c r="AK97" s="421">
        <v>28.69</v>
      </c>
      <c r="AL97" s="421">
        <v>7</v>
      </c>
      <c r="AM97" s="421" t="s">
        <v>3329</v>
      </c>
      <c r="AN97" s="421" t="s">
        <v>3330</v>
      </c>
      <c r="AO97" s="421" t="s">
        <v>1121</v>
      </c>
      <c r="AP97" s="421" t="s">
        <v>1121</v>
      </c>
      <c r="AQ97" s="421" t="s">
        <v>1476</v>
      </c>
      <c r="AR97" s="421" t="s">
        <v>3241</v>
      </c>
      <c r="AS97" s="421" t="s">
        <v>3331</v>
      </c>
      <c r="AT97" s="421" t="s">
        <v>3109</v>
      </c>
      <c r="AU97" s="421" t="s">
        <v>1341</v>
      </c>
      <c r="AV97" s="421" t="s">
        <v>3157</v>
      </c>
      <c r="AW97" s="421" t="s">
        <v>3110</v>
      </c>
      <c r="AX97" s="421" t="s">
        <v>3111</v>
      </c>
      <c r="AY97" s="421" t="s">
        <v>3112</v>
      </c>
      <c r="AZ97" s="421" t="s">
        <v>3113</v>
      </c>
      <c r="BA97" s="421" t="s">
        <v>3114</v>
      </c>
      <c r="BB97" s="421" t="s">
        <v>3115</v>
      </c>
      <c r="BC97" s="421">
        <v>619.61</v>
      </c>
      <c r="BD97" s="421">
        <v>1547159.97</v>
      </c>
      <c r="BE97" s="421">
        <v>0</v>
      </c>
      <c r="BF97" s="421">
        <v>91.78</v>
      </c>
      <c r="BG97" s="421">
        <v>0</v>
      </c>
      <c r="BH97" s="421">
        <v>0</v>
      </c>
      <c r="BI97" s="421" t="s">
        <v>1149</v>
      </c>
    </row>
    <row r="98" spans="1:61" x14ac:dyDescent="0.25">
      <c r="A98" s="421">
        <v>95</v>
      </c>
      <c r="B98" s="421">
        <v>2015</v>
      </c>
      <c r="C98" s="421">
        <v>3</v>
      </c>
      <c r="D98" s="421">
        <v>2</v>
      </c>
      <c r="E98" s="421" t="s">
        <v>1475</v>
      </c>
      <c r="F98" s="421" t="s">
        <v>3325</v>
      </c>
      <c r="G98" s="421" t="s">
        <v>3223</v>
      </c>
      <c r="H98" s="421" t="s">
        <v>1107</v>
      </c>
      <c r="I98" s="421" t="s">
        <v>1491</v>
      </c>
      <c r="J98" s="421" t="s">
        <v>3326</v>
      </c>
      <c r="K98" s="421" t="s">
        <v>3093</v>
      </c>
      <c r="L98" s="421" t="s">
        <v>3094</v>
      </c>
      <c r="M98" s="421" t="s">
        <v>2667</v>
      </c>
      <c r="N98" s="421" t="s">
        <v>3093</v>
      </c>
      <c r="O98" s="421" t="s">
        <v>3094</v>
      </c>
      <c r="P98" s="421" t="s">
        <v>3095</v>
      </c>
      <c r="Q98" s="421" t="s">
        <v>3113</v>
      </c>
      <c r="R98" s="421" t="s">
        <v>1108</v>
      </c>
      <c r="S98" s="421" t="s">
        <v>1108</v>
      </c>
      <c r="T98" s="421" t="s">
        <v>1130</v>
      </c>
      <c r="U98" s="421" t="s">
        <v>3144</v>
      </c>
      <c r="V98" s="421" t="s">
        <v>3145</v>
      </c>
      <c r="W98" s="421" t="s">
        <v>3098</v>
      </c>
      <c r="X98" s="421" t="s">
        <v>3099</v>
      </c>
      <c r="Y98" s="421" t="s">
        <v>1117</v>
      </c>
      <c r="Z98" s="421" t="s">
        <v>1118</v>
      </c>
      <c r="AA98" s="421" t="s">
        <v>3100</v>
      </c>
      <c r="AB98" s="421" t="s">
        <v>3146</v>
      </c>
      <c r="AC98" s="421" t="s">
        <v>3102</v>
      </c>
      <c r="AD98" s="421" t="s">
        <v>3327</v>
      </c>
      <c r="AE98" s="421" t="s">
        <v>3328</v>
      </c>
      <c r="AF98" s="421" t="s">
        <v>1896</v>
      </c>
      <c r="AG98" s="421" t="s">
        <v>1897</v>
      </c>
      <c r="AH98" s="421" t="s">
        <v>3105</v>
      </c>
      <c r="AI98" s="421">
        <v>102</v>
      </c>
      <c r="AJ98" s="421">
        <v>10</v>
      </c>
      <c r="AK98" s="421">
        <v>11.04</v>
      </c>
      <c r="AL98" s="421">
        <v>8</v>
      </c>
      <c r="AM98" s="421" t="s">
        <v>3329</v>
      </c>
      <c r="AN98" s="421" t="s">
        <v>3330</v>
      </c>
      <c r="AO98" s="421" t="s">
        <v>1121</v>
      </c>
      <c r="AP98" s="421" t="s">
        <v>1121</v>
      </c>
      <c r="AQ98" s="421" t="s">
        <v>1476</v>
      </c>
      <c r="AR98" s="421" t="s">
        <v>3241</v>
      </c>
      <c r="AS98" s="421" t="s">
        <v>3331</v>
      </c>
      <c r="AT98" s="421" t="s">
        <v>3109</v>
      </c>
      <c r="AU98" s="421" t="s">
        <v>1341</v>
      </c>
      <c r="AV98" s="421" t="s">
        <v>3157</v>
      </c>
      <c r="AW98" s="421" t="s">
        <v>3110</v>
      </c>
      <c r="AX98" s="421" t="s">
        <v>3111</v>
      </c>
      <c r="AY98" s="421" t="s">
        <v>3112</v>
      </c>
      <c r="AZ98" s="421" t="s">
        <v>3113</v>
      </c>
      <c r="BA98" s="421" t="s">
        <v>3114</v>
      </c>
      <c r="BB98" s="421" t="s">
        <v>3115</v>
      </c>
      <c r="BC98" s="421">
        <v>72.42</v>
      </c>
      <c r="BD98" s="421">
        <v>180832.02</v>
      </c>
      <c r="BE98" s="421">
        <v>0</v>
      </c>
      <c r="BF98" s="421">
        <v>10.73</v>
      </c>
      <c r="BG98" s="421">
        <v>0</v>
      </c>
      <c r="BH98" s="421">
        <v>0</v>
      </c>
      <c r="BI98" s="421" t="s">
        <v>1149</v>
      </c>
    </row>
    <row r="99" spans="1:61" x14ac:dyDescent="0.25">
      <c r="A99" s="421">
        <v>96</v>
      </c>
      <c r="B99" s="421">
        <v>2015</v>
      </c>
      <c r="C99" s="421">
        <v>3</v>
      </c>
      <c r="D99" s="421">
        <v>2</v>
      </c>
      <c r="E99" s="421" t="s">
        <v>1475</v>
      </c>
      <c r="F99" s="421" t="s">
        <v>3325</v>
      </c>
      <c r="G99" s="421" t="s">
        <v>3223</v>
      </c>
      <c r="H99" s="421" t="s">
        <v>1107</v>
      </c>
      <c r="I99" s="421" t="s">
        <v>1491</v>
      </c>
      <c r="J99" s="421" t="s">
        <v>3326</v>
      </c>
      <c r="K99" s="421" t="s">
        <v>3093</v>
      </c>
      <c r="L99" s="421" t="s">
        <v>3094</v>
      </c>
      <c r="M99" s="421" t="s">
        <v>2667</v>
      </c>
      <c r="N99" s="421" t="s">
        <v>3093</v>
      </c>
      <c r="O99" s="421" t="s">
        <v>3094</v>
      </c>
      <c r="P99" s="421" t="s">
        <v>3095</v>
      </c>
      <c r="Q99" s="421" t="s">
        <v>3113</v>
      </c>
      <c r="R99" s="421" t="s">
        <v>1108</v>
      </c>
      <c r="S99" s="421" t="s">
        <v>1108</v>
      </c>
      <c r="T99" s="421" t="s">
        <v>1130</v>
      </c>
      <c r="U99" s="421" t="s">
        <v>3144</v>
      </c>
      <c r="V99" s="421" t="s">
        <v>3145</v>
      </c>
      <c r="W99" s="421" t="s">
        <v>3098</v>
      </c>
      <c r="X99" s="421" t="s">
        <v>3099</v>
      </c>
      <c r="Y99" s="421" t="s">
        <v>1117</v>
      </c>
      <c r="Z99" s="421" t="s">
        <v>1118</v>
      </c>
      <c r="AA99" s="421" t="s">
        <v>3100</v>
      </c>
      <c r="AB99" s="421" t="s">
        <v>3146</v>
      </c>
      <c r="AC99" s="421" t="s">
        <v>3102</v>
      </c>
      <c r="AD99" s="421" t="s">
        <v>3327</v>
      </c>
      <c r="AE99" s="421" t="s">
        <v>3328</v>
      </c>
      <c r="AF99" s="421" t="s">
        <v>1300</v>
      </c>
      <c r="AG99" s="421" t="s">
        <v>1301</v>
      </c>
      <c r="AH99" s="421" t="s">
        <v>1127</v>
      </c>
      <c r="AI99" s="421">
        <v>18</v>
      </c>
      <c r="AJ99" s="421">
        <v>18</v>
      </c>
      <c r="AK99" s="421">
        <v>19.86</v>
      </c>
      <c r="AL99" s="421">
        <v>9</v>
      </c>
      <c r="AM99" s="421" t="s">
        <v>3329</v>
      </c>
      <c r="AN99" s="421" t="s">
        <v>3330</v>
      </c>
      <c r="AO99" s="421" t="s">
        <v>1121</v>
      </c>
      <c r="AP99" s="421" t="s">
        <v>1121</v>
      </c>
      <c r="AQ99" s="421" t="s">
        <v>1476</v>
      </c>
      <c r="AR99" s="421" t="s">
        <v>3241</v>
      </c>
      <c r="AS99" s="421" t="s">
        <v>3331</v>
      </c>
      <c r="AT99" s="421" t="s">
        <v>3109</v>
      </c>
      <c r="AU99" s="421" t="s">
        <v>1341</v>
      </c>
      <c r="AV99" s="421" t="s">
        <v>3157</v>
      </c>
      <c r="AW99" s="421" t="s">
        <v>3110</v>
      </c>
      <c r="AX99" s="421" t="s">
        <v>3111</v>
      </c>
      <c r="AY99" s="421" t="s">
        <v>3112</v>
      </c>
      <c r="AZ99" s="421" t="s">
        <v>3113</v>
      </c>
      <c r="BA99" s="421" t="s">
        <v>3114</v>
      </c>
      <c r="BB99" s="421" t="s">
        <v>3115</v>
      </c>
      <c r="BC99" s="421">
        <v>105.84</v>
      </c>
      <c r="BD99" s="421">
        <v>264281.42</v>
      </c>
      <c r="BE99" s="421">
        <v>0</v>
      </c>
      <c r="BF99" s="421">
        <v>15.68</v>
      </c>
      <c r="BG99" s="421">
        <v>0</v>
      </c>
      <c r="BH99" s="421">
        <v>0</v>
      </c>
      <c r="BI99" s="421" t="s">
        <v>1149</v>
      </c>
    </row>
    <row r="100" spans="1:61" x14ac:dyDescent="0.25">
      <c r="A100" s="421">
        <v>97</v>
      </c>
      <c r="B100" s="421">
        <v>2015</v>
      </c>
      <c r="C100" s="421">
        <v>3</v>
      </c>
      <c r="D100" s="421">
        <v>2</v>
      </c>
      <c r="E100" s="421" t="s">
        <v>1475</v>
      </c>
      <c r="F100" s="421" t="s">
        <v>3325</v>
      </c>
      <c r="G100" s="421" t="s">
        <v>3223</v>
      </c>
      <c r="H100" s="421" t="s">
        <v>1107</v>
      </c>
      <c r="I100" s="421" t="s">
        <v>1491</v>
      </c>
      <c r="J100" s="421" t="s">
        <v>3326</v>
      </c>
      <c r="K100" s="421" t="s">
        <v>3093</v>
      </c>
      <c r="L100" s="421" t="s">
        <v>3094</v>
      </c>
      <c r="M100" s="421" t="s">
        <v>2667</v>
      </c>
      <c r="N100" s="421" t="s">
        <v>3093</v>
      </c>
      <c r="O100" s="421" t="s">
        <v>3094</v>
      </c>
      <c r="P100" s="421" t="s">
        <v>3095</v>
      </c>
      <c r="Q100" s="421" t="s">
        <v>3113</v>
      </c>
      <c r="R100" s="421" t="s">
        <v>1108</v>
      </c>
      <c r="S100" s="421" t="s">
        <v>1108</v>
      </c>
      <c r="T100" s="421" t="s">
        <v>1130</v>
      </c>
      <c r="U100" s="421" t="s">
        <v>3144</v>
      </c>
      <c r="V100" s="421" t="s">
        <v>3145</v>
      </c>
      <c r="W100" s="421" t="s">
        <v>3098</v>
      </c>
      <c r="X100" s="421" t="s">
        <v>3099</v>
      </c>
      <c r="Y100" s="421" t="s">
        <v>1117</v>
      </c>
      <c r="Z100" s="421" t="s">
        <v>1118</v>
      </c>
      <c r="AA100" s="421" t="s">
        <v>3100</v>
      </c>
      <c r="AB100" s="421" t="s">
        <v>3146</v>
      </c>
      <c r="AC100" s="421" t="s">
        <v>3102</v>
      </c>
      <c r="AD100" s="421" t="s">
        <v>3327</v>
      </c>
      <c r="AE100" s="421" t="s">
        <v>3328</v>
      </c>
      <c r="AF100" s="421" t="s">
        <v>1387</v>
      </c>
      <c r="AG100" s="421" t="s">
        <v>1388</v>
      </c>
      <c r="AH100" s="421" t="s">
        <v>3105</v>
      </c>
      <c r="AI100" s="421">
        <v>300</v>
      </c>
      <c r="AJ100" s="421">
        <v>26</v>
      </c>
      <c r="AK100" s="421">
        <v>28.69</v>
      </c>
      <c r="AL100" s="421">
        <v>10</v>
      </c>
      <c r="AM100" s="421" t="s">
        <v>3329</v>
      </c>
      <c r="AN100" s="421" t="s">
        <v>3330</v>
      </c>
      <c r="AO100" s="421" t="s">
        <v>1121</v>
      </c>
      <c r="AP100" s="421" t="s">
        <v>1121</v>
      </c>
      <c r="AQ100" s="421" t="s">
        <v>1476</v>
      </c>
      <c r="AR100" s="421" t="s">
        <v>3241</v>
      </c>
      <c r="AS100" s="421" t="s">
        <v>3331</v>
      </c>
      <c r="AT100" s="421" t="s">
        <v>3109</v>
      </c>
      <c r="AU100" s="421" t="s">
        <v>1341</v>
      </c>
      <c r="AV100" s="421" t="s">
        <v>3157</v>
      </c>
      <c r="AW100" s="421" t="s">
        <v>3110</v>
      </c>
      <c r="AX100" s="421" t="s">
        <v>3111</v>
      </c>
      <c r="AY100" s="421" t="s">
        <v>3112</v>
      </c>
      <c r="AZ100" s="421" t="s">
        <v>3113</v>
      </c>
      <c r="BA100" s="421" t="s">
        <v>3114</v>
      </c>
      <c r="BB100" s="421" t="s">
        <v>3115</v>
      </c>
      <c r="BC100" s="421">
        <v>375</v>
      </c>
      <c r="BD100" s="421">
        <v>936371.25</v>
      </c>
      <c r="BE100" s="421">
        <v>0</v>
      </c>
      <c r="BF100" s="421">
        <v>55.55</v>
      </c>
      <c r="BG100" s="421">
        <v>0</v>
      </c>
      <c r="BH100" s="421">
        <v>0</v>
      </c>
      <c r="BI100" s="421" t="s">
        <v>1149</v>
      </c>
    </row>
    <row r="101" spans="1:61" x14ac:dyDescent="0.25">
      <c r="A101" s="421">
        <v>98</v>
      </c>
      <c r="B101" s="421">
        <v>2015</v>
      </c>
      <c r="C101" s="421">
        <v>3</v>
      </c>
      <c r="D101" s="421">
        <v>2</v>
      </c>
      <c r="E101" s="421" t="s">
        <v>1475</v>
      </c>
      <c r="F101" s="421" t="s">
        <v>3325</v>
      </c>
      <c r="G101" s="421" t="s">
        <v>3223</v>
      </c>
      <c r="H101" s="421" t="s">
        <v>1107</v>
      </c>
      <c r="I101" s="421" t="s">
        <v>1491</v>
      </c>
      <c r="J101" s="421" t="s">
        <v>3326</v>
      </c>
      <c r="K101" s="421" t="s">
        <v>3093</v>
      </c>
      <c r="L101" s="421" t="s">
        <v>3094</v>
      </c>
      <c r="M101" s="421" t="s">
        <v>2667</v>
      </c>
      <c r="N101" s="421" t="s">
        <v>3093</v>
      </c>
      <c r="O101" s="421" t="s">
        <v>3094</v>
      </c>
      <c r="P101" s="421" t="s">
        <v>3095</v>
      </c>
      <c r="Q101" s="421" t="s">
        <v>3113</v>
      </c>
      <c r="R101" s="421" t="s">
        <v>1108</v>
      </c>
      <c r="S101" s="421" t="s">
        <v>1108</v>
      </c>
      <c r="T101" s="421" t="s">
        <v>1130</v>
      </c>
      <c r="U101" s="421" t="s">
        <v>3144</v>
      </c>
      <c r="V101" s="421" t="s">
        <v>3145</v>
      </c>
      <c r="W101" s="421" t="s">
        <v>3098</v>
      </c>
      <c r="X101" s="421" t="s">
        <v>3099</v>
      </c>
      <c r="Y101" s="421" t="s">
        <v>1117</v>
      </c>
      <c r="Z101" s="421" t="s">
        <v>1118</v>
      </c>
      <c r="AA101" s="421" t="s">
        <v>3100</v>
      </c>
      <c r="AB101" s="421" t="s">
        <v>3146</v>
      </c>
      <c r="AC101" s="421" t="s">
        <v>3102</v>
      </c>
      <c r="AD101" s="421" t="s">
        <v>3327</v>
      </c>
      <c r="AE101" s="421" t="s">
        <v>3328</v>
      </c>
      <c r="AF101" s="421" t="s">
        <v>2236</v>
      </c>
      <c r="AG101" s="421" t="s">
        <v>2237</v>
      </c>
      <c r="AH101" s="421" t="s">
        <v>3105</v>
      </c>
      <c r="AI101" s="421">
        <v>408</v>
      </c>
      <c r="AJ101" s="421">
        <v>35</v>
      </c>
      <c r="AK101" s="421">
        <v>38.619999999999997</v>
      </c>
      <c r="AL101" s="421">
        <v>11</v>
      </c>
      <c r="AM101" s="421" t="s">
        <v>3329</v>
      </c>
      <c r="AN101" s="421" t="s">
        <v>3330</v>
      </c>
      <c r="AO101" s="421" t="s">
        <v>1121</v>
      </c>
      <c r="AP101" s="421" t="s">
        <v>1121</v>
      </c>
      <c r="AQ101" s="421" t="s">
        <v>1476</v>
      </c>
      <c r="AR101" s="421" t="s">
        <v>3241</v>
      </c>
      <c r="AS101" s="421" t="s">
        <v>3331</v>
      </c>
      <c r="AT101" s="421" t="s">
        <v>3109</v>
      </c>
      <c r="AU101" s="421" t="s">
        <v>1341</v>
      </c>
      <c r="AV101" s="421" t="s">
        <v>3157</v>
      </c>
      <c r="AW101" s="421" t="s">
        <v>3110</v>
      </c>
      <c r="AX101" s="421" t="s">
        <v>3111</v>
      </c>
      <c r="AY101" s="421" t="s">
        <v>3112</v>
      </c>
      <c r="AZ101" s="421" t="s">
        <v>3113</v>
      </c>
      <c r="BA101" s="421" t="s">
        <v>3114</v>
      </c>
      <c r="BB101" s="421" t="s">
        <v>3115</v>
      </c>
      <c r="BC101" s="421">
        <v>142.80000000000001</v>
      </c>
      <c r="BD101" s="421">
        <v>356570.17</v>
      </c>
      <c r="BE101" s="421">
        <v>0</v>
      </c>
      <c r="BF101" s="421">
        <v>21.15</v>
      </c>
      <c r="BG101" s="421">
        <v>0</v>
      </c>
      <c r="BH101" s="421">
        <v>0</v>
      </c>
      <c r="BI101" s="421" t="s">
        <v>1149</v>
      </c>
    </row>
    <row r="102" spans="1:61" x14ac:dyDescent="0.25">
      <c r="A102" s="421">
        <v>99</v>
      </c>
      <c r="B102" s="421">
        <v>2015</v>
      </c>
      <c r="C102" s="421">
        <v>3</v>
      </c>
      <c r="D102" s="421">
        <v>2</v>
      </c>
      <c r="E102" s="421" t="s">
        <v>1475</v>
      </c>
      <c r="F102" s="421" t="s">
        <v>3325</v>
      </c>
      <c r="G102" s="421" t="s">
        <v>3223</v>
      </c>
      <c r="H102" s="421" t="s">
        <v>1107</v>
      </c>
      <c r="I102" s="421" t="s">
        <v>1491</v>
      </c>
      <c r="J102" s="421" t="s">
        <v>3326</v>
      </c>
      <c r="K102" s="421" t="s">
        <v>3093</v>
      </c>
      <c r="L102" s="421" t="s">
        <v>3094</v>
      </c>
      <c r="M102" s="421" t="s">
        <v>2667</v>
      </c>
      <c r="N102" s="421" t="s">
        <v>3093</v>
      </c>
      <c r="O102" s="421" t="s">
        <v>3094</v>
      </c>
      <c r="P102" s="421" t="s">
        <v>3095</v>
      </c>
      <c r="Q102" s="421" t="s">
        <v>3113</v>
      </c>
      <c r="R102" s="421" t="s">
        <v>1108</v>
      </c>
      <c r="S102" s="421" t="s">
        <v>1108</v>
      </c>
      <c r="T102" s="421" t="s">
        <v>1130</v>
      </c>
      <c r="U102" s="421" t="s">
        <v>3144</v>
      </c>
      <c r="V102" s="421" t="s">
        <v>3145</v>
      </c>
      <c r="W102" s="421" t="s">
        <v>3098</v>
      </c>
      <c r="X102" s="421" t="s">
        <v>3099</v>
      </c>
      <c r="Y102" s="421" t="s">
        <v>1117</v>
      </c>
      <c r="Z102" s="421" t="s">
        <v>1118</v>
      </c>
      <c r="AA102" s="421" t="s">
        <v>3100</v>
      </c>
      <c r="AB102" s="421" t="s">
        <v>3146</v>
      </c>
      <c r="AC102" s="421" t="s">
        <v>3102</v>
      </c>
      <c r="AD102" s="421" t="s">
        <v>3327</v>
      </c>
      <c r="AE102" s="421" t="s">
        <v>3328</v>
      </c>
      <c r="AF102" s="421" t="s">
        <v>2236</v>
      </c>
      <c r="AG102" s="421" t="s">
        <v>2237</v>
      </c>
      <c r="AH102" s="421" t="s">
        <v>3105</v>
      </c>
      <c r="AI102" s="421">
        <v>244214</v>
      </c>
      <c r="AJ102" s="421">
        <v>698.68</v>
      </c>
      <c r="AK102" s="421">
        <v>771.04</v>
      </c>
      <c r="AL102" s="421">
        <v>1</v>
      </c>
      <c r="AM102" s="421" t="s">
        <v>3329</v>
      </c>
      <c r="AN102" s="421" t="s">
        <v>3330</v>
      </c>
      <c r="AO102" s="421" t="s">
        <v>1121</v>
      </c>
      <c r="AP102" s="421" t="s">
        <v>1121</v>
      </c>
      <c r="AQ102" s="421" t="s">
        <v>1476</v>
      </c>
      <c r="AR102" s="421" t="s">
        <v>3241</v>
      </c>
      <c r="AS102" s="421" t="s">
        <v>3331</v>
      </c>
      <c r="AT102" s="421" t="s">
        <v>3109</v>
      </c>
      <c r="AU102" s="421" t="s">
        <v>1341</v>
      </c>
      <c r="AV102" s="421" t="s">
        <v>3157</v>
      </c>
      <c r="AW102" s="421" t="s">
        <v>3110</v>
      </c>
      <c r="AX102" s="421" t="s">
        <v>3111</v>
      </c>
      <c r="AY102" s="421" t="s">
        <v>3112</v>
      </c>
      <c r="AZ102" s="421" t="s">
        <v>3113</v>
      </c>
      <c r="BA102" s="421" t="s">
        <v>3114</v>
      </c>
      <c r="BB102" s="421" t="s">
        <v>3115</v>
      </c>
      <c r="BC102" s="421">
        <v>16262.2</v>
      </c>
      <c r="BD102" s="421">
        <v>40606550.780000001</v>
      </c>
      <c r="BE102" s="421">
        <v>0</v>
      </c>
      <c r="BF102" s="421">
        <v>2408.81</v>
      </c>
      <c r="BG102" s="421">
        <v>0</v>
      </c>
      <c r="BH102" s="421">
        <v>0</v>
      </c>
      <c r="BI102" s="421" t="s">
        <v>1149</v>
      </c>
    </row>
    <row r="103" spans="1:61" x14ac:dyDescent="0.25">
      <c r="A103" s="421">
        <v>100</v>
      </c>
      <c r="B103" s="421">
        <v>2015</v>
      </c>
      <c r="C103" s="421">
        <v>3</v>
      </c>
      <c r="D103" s="421">
        <v>2</v>
      </c>
      <c r="E103" s="421" t="s">
        <v>1475</v>
      </c>
      <c r="F103" s="421" t="s">
        <v>3325</v>
      </c>
      <c r="G103" s="421" t="s">
        <v>3223</v>
      </c>
      <c r="H103" s="421" t="s">
        <v>1107</v>
      </c>
      <c r="I103" s="421" t="s">
        <v>1491</v>
      </c>
      <c r="J103" s="421" t="s">
        <v>3326</v>
      </c>
      <c r="K103" s="421" t="s">
        <v>3093</v>
      </c>
      <c r="L103" s="421" t="s">
        <v>3094</v>
      </c>
      <c r="M103" s="421" t="s">
        <v>2667</v>
      </c>
      <c r="N103" s="421" t="s">
        <v>3093</v>
      </c>
      <c r="O103" s="421" t="s">
        <v>3094</v>
      </c>
      <c r="P103" s="421" t="s">
        <v>3095</v>
      </c>
      <c r="Q103" s="421" t="s">
        <v>3113</v>
      </c>
      <c r="R103" s="421" t="s">
        <v>1108</v>
      </c>
      <c r="S103" s="421" t="s">
        <v>1108</v>
      </c>
      <c r="T103" s="421" t="s">
        <v>1130</v>
      </c>
      <c r="U103" s="421" t="s">
        <v>3144</v>
      </c>
      <c r="V103" s="421" t="s">
        <v>3145</v>
      </c>
      <c r="W103" s="421" t="s">
        <v>3098</v>
      </c>
      <c r="X103" s="421" t="s">
        <v>3099</v>
      </c>
      <c r="Y103" s="421" t="s">
        <v>1117</v>
      </c>
      <c r="Z103" s="421" t="s">
        <v>1118</v>
      </c>
      <c r="AA103" s="421" t="s">
        <v>3100</v>
      </c>
      <c r="AB103" s="421" t="s">
        <v>3146</v>
      </c>
      <c r="AC103" s="421" t="s">
        <v>3102</v>
      </c>
      <c r="AD103" s="421" t="s">
        <v>3327</v>
      </c>
      <c r="AE103" s="421" t="s">
        <v>3328</v>
      </c>
      <c r="AF103" s="421" t="s">
        <v>1170</v>
      </c>
      <c r="AG103" s="421" t="s">
        <v>1171</v>
      </c>
      <c r="AH103" s="421" t="s">
        <v>1127</v>
      </c>
      <c r="AI103" s="421">
        <v>30</v>
      </c>
      <c r="AJ103" s="421">
        <v>30</v>
      </c>
      <c r="AK103" s="421">
        <v>33.11</v>
      </c>
      <c r="AL103" s="421">
        <v>2</v>
      </c>
      <c r="AM103" s="421" t="s">
        <v>3329</v>
      </c>
      <c r="AN103" s="421" t="s">
        <v>3330</v>
      </c>
      <c r="AO103" s="421" t="s">
        <v>1121</v>
      </c>
      <c r="AP103" s="421" t="s">
        <v>1121</v>
      </c>
      <c r="AQ103" s="421" t="s">
        <v>1476</v>
      </c>
      <c r="AR103" s="421" t="s">
        <v>3241</v>
      </c>
      <c r="AS103" s="421" t="s">
        <v>3331</v>
      </c>
      <c r="AT103" s="421" t="s">
        <v>3109</v>
      </c>
      <c r="AU103" s="421" t="s">
        <v>1341</v>
      </c>
      <c r="AV103" s="421" t="s">
        <v>3157</v>
      </c>
      <c r="AW103" s="421" t="s">
        <v>3110</v>
      </c>
      <c r="AX103" s="421" t="s">
        <v>3111</v>
      </c>
      <c r="AY103" s="421" t="s">
        <v>3112</v>
      </c>
      <c r="AZ103" s="421" t="s">
        <v>3113</v>
      </c>
      <c r="BA103" s="421" t="s">
        <v>3114</v>
      </c>
      <c r="BB103" s="421" t="s">
        <v>3115</v>
      </c>
      <c r="BC103" s="421">
        <v>210.12</v>
      </c>
      <c r="BD103" s="421">
        <v>524667.54</v>
      </c>
      <c r="BE103" s="421">
        <v>0</v>
      </c>
      <c r="BF103" s="421">
        <v>31.12</v>
      </c>
      <c r="BG103" s="421">
        <v>0</v>
      </c>
      <c r="BH103" s="421">
        <v>0</v>
      </c>
      <c r="BI103" s="421" t="s">
        <v>1149</v>
      </c>
    </row>
    <row r="104" spans="1:61" x14ac:dyDescent="0.25">
      <c r="A104" s="421">
        <v>101</v>
      </c>
      <c r="B104" s="421">
        <v>2015</v>
      </c>
      <c r="C104" s="421">
        <v>3</v>
      </c>
      <c r="D104" s="421">
        <v>2</v>
      </c>
      <c r="E104" s="421" t="s">
        <v>1475</v>
      </c>
      <c r="F104" s="421" t="s">
        <v>3325</v>
      </c>
      <c r="G104" s="421" t="s">
        <v>3223</v>
      </c>
      <c r="H104" s="421" t="s">
        <v>1107</v>
      </c>
      <c r="I104" s="421" t="s">
        <v>1491</v>
      </c>
      <c r="J104" s="421" t="s">
        <v>3326</v>
      </c>
      <c r="K104" s="421" t="s">
        <v>3093</v>
      </c>
      <c r="L104" s="421" t="s">
        <v>3094</v>
      </c>
      <c r="M104" s="421" t="s">
        <v>2667</v>
      </c>
      <c r="N104" s="421" t="s">
        <v>3093</v>
      </c>
      <c r="O104" s="421" t="s">
        <v>3094</v>
      </c>
      <c r="P104" s="421" t="s">
        <v>3095</v>
      </c>
      <c r="Q104" s="421" t="s">
        <v>3113</v>
      </c>
      <c r="R104" s="421" t="s">
        <v>1108</v>
      </c>
      <c r="S104" s="421" t="s">
        <v>1108</v>
      </c>
      <c r="T104" s="421" t="s">
        <v>1130</v>
      </c>
      <c r="U104" s="421" t="s">
        <v>3144</v>
      </c>
      <c r="V104" s="421" t="s">
        <v>3145</v>
      </c>
      <c r="W104" s="421" t="s">
        <v>3098</v>
      </c>
      <c r="X104" s="421" t="s">
        <v>3099</v>
      </c>
      <c r="Y104" s="421" t="s">
        <v>1117</v>
      </c>
      <c r="Z104" s="421" t="s">
        <v>1118</v>
      </c>
      <c r="AA104" s="421" t="s">
        <v>3100</v>
      </c>
      <c r="AB104" s="421" t="s">
        <v>3146</v>
      </c>
      <c r="AC104" s="421" t="s">
        <v>3102</v>
      </c>
      <c r="AD104" s="421" t="s">
        <v>3327</v>
      </c>
      <c r="AE104" s="421" t="s">
        <v>3328</v>
      </c>
      <c r="AF104" s="421" t="s">
        <v>3337</v>
      </c>
      <c r="AG104" s="421" t="s">
        <v>3338</v>
      </c>
      <c r="AH104" s="421" t="s">
        <v>3105</v>
      </c>
      <c r="AI104" s="421">
        <v>40</v>
      </c>
      <c r="AJ104" s="421">
        <v>3.08</v>
      </c>
      <c r="AK104" s="421">
        <v>3.4</v>
      </c>
      <c r="AL104" s="421">
        <v>3</v>
      </c>
      <c r="AM104" s="421" t="s">
        <v>3329</v>
      </c>
      <c r="AN104" s="421" t="s">
        <v>3330</v>
      </c>
      <c r="AO104" s="421" t="s">
        <v>1121</v>
      </c>
      <c r="AP104" s="421" t="s">
        <v>1121</v>
      </c>
      <c r="AQ104" s="421" t="s">
        <v>1476</v>
      </c>
      <c r="AR104" s="421" t="s">
        <v>3241</v>
      </c>
      <c r="AS104" s="421" t="s">
        <v>3331</v>
      </c>
      <c r="AT104" s="421" t="s">
        <v>3109</v>
      </c>
      <c r="AU104" s="421" t="s">
        <v>1341</v>
      </c>
      <c r="AV104" s="421" t="s">
        <v>3157</v>
      </c>
      <c r="AW104" s="421" t="s">
        <v>3110</v>
      </c>
      <c r="AX104" s="421" t="s">
        <v>3111</v>
      </c>
      <c r="AY104" s="421" t="s">
        <v>3112</v>
      </c>
      <c r="AZ104" s="421" t="s">
        <v>3113</v>
      </c>
      <c r="BA104" s="421" t="s">
        <v>3114</v>
      </c>
      <c r="BB104" s="421" t="s">
        <v>3115</v>
      </c>
      <c r="BC104" s="421">
        <v>26</v>
      </c>
      <c r="BD104" s="421">
        <v>64921.74</v>
      </c>
      <c r="BE104" s="421">
        <v>0</v>
      </c>
      <c r="BF104" s="421">
        <v>3.85</v>
      </c>
      <c r="BG104" s="421">
        <v>0</v>
      </c>
      <c r="BH104" s="421">
        <v>0</v>
      </c>
      <c r="BI104" s="421" t="s">
        <v>1149</v>
      </c>
    </row>
    <row r="105" spans="1:61" x14ac:dyDescent="0.25">
      <c r="A105" s="421">
        <v>102</v>
      </c>
      <c r="B105" s="421">
        <v>2015</v>
      </c>
      <c r="C105" s="421">
        <v>3</v>
      </c>
      <c r="D105" s="421">
        <v>2</v>
      </c>
      <c r="E105" s="421" t="s">
        <v>1475</v>
      </c>
      <c r="F105" s="421" t="s">
        <v>3325</v>
      </c>
      <c r="G105" s="421" t="s">
        <v>3223</v>
      </c>
      <c r="H105" s="421" t="s">
        <v>1107</v>
      </c>
      <c r="I105" s="421" t="s">
        <v>1491</v>
      </c>
      <c r="J105" s="421" t="s">
        <v>3326</v>
      </c>
      <c r="K105" s="421" t="s">
        <v>3093</v>
      </c>
      <c r="L105" s="421" t="s">
        <v>3094</v>
      </c>
      <c r="M105" s="421" t="s">
        <v>2667</v>
      </c>
      <c r="N105" s="421" t="s">
        <v>3093</v>
      </c>
      <c r="O105" s="421" t="s">
        <v>3094</v>
      </c>
      <c r="P105" s="421" t="s">
        <v>3095</v>
      </c>
      <c r="Q105" s="421" t="s">
        <v>3113</v>
      </c>
      <c r="R105" s="421" t="s">
        <v>1108</v>
      </c>
      <c r="S105" s="421" t="s">
        <v>1108</v>
      </c>
      <c r="T105" s="421" t="s">
        <v>1130</v>
      </c>
      <c r="U105" s="421" t="s">
        <v>3144</v>
      </c>
      <c r="V105" s="421" t="s">
        <v>3145</v>
      </c>
      <c r="W105" s="421" t="s">
        <v>3098</v>
      </c>
      <c r="X105" s="421" t="s">
        <v>3099</v>
      </c>
      <c r="Y105" s="421" t="s">
        <v>1117</v>
      </c>
      <c r="Z105" s="421" t="s">
        <v>1118</v>
      </c>
      <c r="AA105" s="421" t="s">
        <v>3100</v>
      </c>
      <c r="AB105" s="421" t="s">
        <v>3146</v>
      </c>
      <c r="AC105" s="421" t="s">
        <v>3102</v>
      </c>
      <c r="AD105" s="421" t="s">
        <v>3327</v>
      </c>
      <c r="AE105" s="421" t="s">
        <v>3328</v>
      </c>
      <c r="AF105" s="421" t="s">
        <v>1233</v>
      </c>
      <c r="AG105" s="421" t="s">
        <v>1234</v>
      </c>
      <c r="AH105" s="421" t="s">
        <v>3105</v>
      </c>
      <c r="AI105" s="421">
        <v>714</v>
      </c>
      <c r="AJ105" s="421">
        <v>67.5</v>
      </c>
      <c r="AK105" s="421">
        <v>74.489999999999995</v>
      </c>
      <c r="AL105" s="421">
        <v>4</v>
      </c>
      <c r="AM105" s="421" t="s">
        <v>3329</v>
      </c>
      <c r="AN105" s="421" t="s">
        <v>3330</v>
      </c>
      <c r="AO105" s="421" t="s">
        <v>1121</v>
      </c>
      <c r="AP105" s="421" t="s">
        <v>1121</v>
      </c>
      <c r="AQ105" s="421" t="s">
        <v>1476</v>
      </c>
      <c r="AR105" s="421" t="s">
        <v>3241</v>
      </c>
      <c r="AS105" s="421" t="s">
        <v>3331</v>
      </c>
      <c r="AT105" s="421" t="s">
        <v>3109</v>
      </c>
      <c r="AU105" s="421" t="s">
        <v>1341</v>
      </c>
      <c r="AV105" s="421" t="s">
        <v>3157</v>
      </c>
      <c r="AW105" s="421" t="s">
        <v>3110</v>
      </c>
      <c r="AX105" s="421" t="s">
        <v>3111</v>
      </c>
      <c r="AY105" s="421" t="s">
        <v>3112</v>
      </c>
      <c r="AZ105" s="421" t="s">
        <v>3113</v>
      </c>
      <c r="BA105" s="421" t="s">
        <v>3114</v>
      </c>
      <c r="BB105" s="421" t="s">
        <v>3115</v>
      </c>
      <c r="BC105" s="421">
        <v>503.88</v>
      </c>
      <c r="BD105" s="421">
        <v>1258183.32</v>
      </c>
      <c r="BE105" s="421">
        <v>0</v>
      </c>
      <c r="BF105" s="421">
        <v>74.64</v>
      </c>
      <c r="BG105" s="421">
        <v>0</v>
      </c>
      <c r="BH105" s="421">
        <v>0</v>
      </c>
      <c r="BI105" s="421" t="s">
        <v>1149</v>
      </c>
    </row>
    <row r="106" spans="1:61" x14ac:dyDescent="0.25">
      <c r="A106" s="421">
        <v>103</v>
      </c>
      <c r="B106" s="421">
        <v>2015</v>
      </c>
      <c r="C106" s="421">
        <v>3</v>
      </c>
      <c r="D106" s="421">
        <v>2</v>
      </c>
      <c r="E106" s="421" t="s">
        <v>1475</v>
      </c>
      <c r="F106" s="421" t="s">
        <v>3325</v>
      </c>
      <c r="G106" s="421" t="s">
        <v>3223</v>
      </c>
      <c r="H106" s="421" t="s">
        <v>1107</v>
      </c>
      <c r="I106" s="421" t="s">
        <v>1491</v>
      </c>
      <c r="J106" s="421" t="s">
        <v>3326</v>
      </c>
      <c r="K106" s="421" t="s">
        <v>3093</v>
      </c>
      <c r="L106" s="421" t="s">
        <v>3094</v>
      </c>
      <c r="M106" s="421" t="s">
        <v>2667</v>
      </c>
      <c r="N106" s="421" t="s">
        <v>3093</v>
      </c>
      <c r="O106" s="421" t="s">
        <v>3094</v>
      </c>
      <c r="P106" s="421" t="s">
        <v>3095</v>
      </c>
      <c r="Q106" s="421" t="s">
        <v>3113</v>
      </c>
      <c r="R106" s="421" t="s">
        <v>1108</v>
      </c>
      <c r="S106" s="421" t="s">
        <v>1108</v>
      </c>
      <c r="T106" s="421" t="s">
        <v>1130</v>
      </c>
      <c r="U106" s="421" t="s">
        <v>3144</v>
      </c>
      <c r="V106" s="421" t="s">
        <v>3145</v>
      </c>
      <c r="W106" s="421" t="s">
        <v>3098</v>
      </c>
      <c r="X106" s="421" t="s">
        <v>3099</v>
      </c>
      <c r="Y106" s="421" t="s">
        <v>1117</v>
      </c>
      <c r="Z106" s="421" t="s">
        <v>1118</v>
      </c>
      <c r="AA106" s="421" t="s">
        <v>3100</v>
      </c>
      <c r="AB106" s="421" t="s">
        <v>3146</v>
      </c>
      <c r="AC106" s="421" t="s">
        <v>3102</v>
      </c>
      <c r="AD106" s="421" t="s">
        <v>3327</v>
      </c>
      <c r="AE106" s="421" t="s">
        <v>3328</v>
      </c>
      <c r="AF106" s="421" t="s">
        <v>1249</v>
      </c>
      <c r="AG106" s="421" t="s">
        <v>1250</v>
      </c>
      <c r="AH106" s="421" t="s">
        <v>3105</v>
      </c>
      <c r="AI106" s="421">
        <v>510</v>
      </c>
      <c r="AJ106" s="421">
        <v>41</v>
      </c>
      <c r="AK106" s="421">
        <v>45.25</v>
      </c>
      <c r="AL106" s="421">
        <v>5</v>
      </c>
      <c r="AM106" s="421" t="s">
        <v>3329</v>
      </c>
      <c r="AN106" s="421" t="s">
        <v>3330</v>
      </c>
      <c r="AO106" s="421" t="s">
        <v>1121</v>
      </c>
      <c r="AP106" s="421" t="s">
        <v>1121</v>
      </c>
      <c r="AQ106" s="421" t="s">
        <v>1476</v>
      </c>
      <c r="AR106" s="421" t="s">
        <v>3241</v>
      </c>
      <c r="AS106" s="421" t="s">
        <v>3331</v>
      </c>
      <c r="AT106" s="421" t="s">
        <v>3109</v>
      </c>
      <c r="AU106" s="421" t="s">
        <v>1341</v>
      </c>
      <c r="AV106" s="421" t="s">
        <v>3157</v>
      </c>
      <c r="AW106" s="421" t="s">
        <v>3110</v>
      </c>
      <c r="AX106" s="421" t="s">
        <v>3111</v>
      </c>
      <c r="AY106" s="421" t="s">
        <v>3112</v>
      </c>
      <c r="AZ106" s="421" t="s">
        <v>3113</v>
      </c>
      <c r="BA106" s="421" t="s">
        <v>3114</v>
      </c>
      <c r="BB106" s="421" t="s">
        <v>3115</v>
      </c>
      <c r="BC106" s="421">
        <v>635.82000000000005</v>
      </c>
      <c r="BD106" s="421">
        <v>1587636.18</v>
      </c>
      <c r="BE106" s="421">
        <v>0</v>
      </c>
      <c r="BF106" s="421">
        <v>94.18</v>
      </c>
      <c r="BG106" s="421">
        <v>0</v>
      </c>
      <c r="BH106" s="421">
        <v>0</v>
      </c>
      <c r="BI106" s="421" t="s">
        <v>1149</v>
      </c>
    </row>
    <row r="107" spans="1:61" x14ac:dyDescent="0.25">
      <c r="A107" s="421">
        <v>104</v>
      </c>
      <c r="B107" s="421">
        <v>2015</v>
      </c>
      <c r="C107" s="421">
        <v>3</v>
      </c>
      <c r="D107" s="421">
        <v>2</v>
      </c>
      <c r="E107" s="421" t="s">
        <v>1475</v>
      </c>
      <c r="F107" s="421" t="s">
        <v>3325</v>
      </c>
      <c r="G107" s="421" t="s">
        <v>3223</v>
      </c>
      <c r="H107" s="421" t="s">
        <v>1107</v>
      </c>
      <c r="I107" s="421" t="s">
        <v>1491</v>
      </c>
      <c r="J107" s="421" t="s">
        <v>3339</v>
      </c>
      <c r="K107" s="421" t="s">
        <v>3093</v>
      </c>
      <c r="L107" s="421" t="s">
        <v>3094</v>
      </c>
      <c r="M107" s="421" t="s">
        <v>2667</v>
      </c>
      <c r="N107" s="421" t="s">
        <v>3093</v>
      </c>
      <c r="O107" s="421" t="s">
        <v>3094</v>
      </c>
      <c r="P107" s="421" t="s">
        <v>3095</v>
      </c>
      <c r="Q107" s="421" t="s">
        <v>3096</v>
      </c>
      <c r="R107" s="421" t="s">
        <v>1108</v>
      </c>
      <c r="S107" s="421" t="s">
        <v>1476</v>
      </c>
      <c r="T107" s="421" t="s">
        <v>1130</v>
      </c>
      <c r="U107" s="421" t="s">
        <v>3144</v>
      </c>
      <c r="V107" s="421" t="s">
        <v>3145</v>
      </c>
      <c r="W107" s="421" t="s">
        <v>3098</v>
      </c>
      <c r="X107" s="421" t="s">
        <v>3099</v>
      </c>
      <c r="Y107" s="421" t="s">
        <v>1117</v>
      </c>
      <c r="Z107" s="421" t="s">
        <v>1118</v>
      </c>
      <c r="AA107" s="421" t="s">
        <v>3100</v>
      </c>
      <c r="AB107" s="421" t="s">
        <v>3146</v>
      </c>
      <c r="AC107" s="421" t="s">
        <v>3102</v>
      </c>
      <c r="AD107" s="421" t="s">
        <v>3340</v>
      </c>
      <c r="AE107" s="421" t="s">
        <v>3341</v>
      </c>
      <c r="AF107" s="421" t="s">
        <v>2236</v>
      </c>
      <c r="AG107" s="421" t="s">
        <v>2237</v>
      </c>
      <c r="AH107" s="421" t="s">
        <v>3105</v>
      </c>
      <c r="AI107" s="421">
        <v>50000</v>
      </c>
      <c r="AJ107" s="421">
        <v>435.3</v>
      </c>
      <c r="AK107" s="421">
        <v>485</v>
      </c>
      <c r="AL107" s="421">
        <v>1</v>
      </c>
      <c r="AM107" s="421" t="s">
        <v>3342</v>
      </c>
      <c r="AN107" s="421" t="s">
        <v>3343</v>
      </c>
      <c r="AO107" s="421" t="s">
        <v>1121</v>
      </c>
      <c r="AP107" s="421" t="s">
        <v>1121</v>
      </c>
      <c r="AQ107" s="421" t="s">
        <v>1476</v>
      </c>
      <c r="AR107" s="421" t="s">
        <v>3241</v>
      </c>
      <c r="AS107" s="421" t="s">
        <v>3344</v>
      </c>
      <c r="AT107" s="421" t="s">
        <v>3109</v>
      </c>
      <c r="AU107" s="421" t="s">
        <v>1341</v>
      </c>
      <c r="AV107" s="421" t="s">
        <v>3342</v>
      </c>
      <c r="AW107" s="421" t="s">
        <v>3110</v>
      </c>
      <c r="AX107" s="421" t="s">
        <v>3111</v>
      </c>
      <c r="AY107" s="421" t="s">
        <v>3112</v>
      </c>
      <c r="AZ107" s="421" t="s">
        <v>3113</v>
      </c>
      <c r="BA107" s="421" t="s">
        <v>3114</v>
      </c>
      <c r="BB107" s="421" t="s">
        <v>3115</v>
      </c>
      <c r="BC107" s="421">
        <v>7700</v>
      </c>
      <c r="BD107" s="421">
        <v>19226823</v>
      </c>
      <c r="BE107" s="421">
        <v>0</v>
      </c>
      <c r="BF107" s="421">
        <v>683.16</v>
      </c>
      <c r="BG107" s="421">
        <v>20.96</v>
      </c>
      <c r="BH107" s="421">
        <v>0</v>
      </c>
      <c r="BI107" s="421" t="s">
        <v>1149</v>
      </c>
    </row>
    <row r="108" spans="1:61" x14ac:dyDescent="0.25">
      <c r="A108" s="421">
        <v>105</v>
      </c>
      <c r="B108" s="421">
        <v>2015</v>
      </c>
      <c r="C108" s="421">
        <v>3</v>
      </c>
      <c r="D108" s="421">
        <v>2</v>
      </c>
      <c r="E108" s="421" t="s">
        <v>1475</v>
      </c>
      <c r="F108" s="421" t="s">
        <v>3325</v>
      </c>
      <c r="G108" s="421" t="s">
        <v>3223</v>
      </c>
      <c r="H108" s="421" t="s">
        <v>1107</v>
      </c>
      <c r="I108" s="421" t="s">
        <v>1491</v>
      </c>
      <c r="J108" s="421" t="s">
        <v>3345</v>
      </c>
      <c r="K108" s="421" t="s">
        <v>3093</v>
      </c>
      <c r="L108" s="421" t="s">
        <v>3094</v>
      </c>
      <c r="M108" s="421" t="s">
        <v>2667</v>
      </c>
      <c r="N108" s="421" t="s">
        <v>3093</v>
      </c>
      <c r="O108" s="421" t="s">
        <v>3094</v>
      </c>
      <c r="P108" s="421" t="s">
        <v>3095</v>
      </c>
      <c r="Q108" s="421" t="s">
        <v>3113</v>
      </c>
      <c r="R108" s="421" t="s">
        <v>1108</v>
      </c>
      <c r="S108" s="421" t="s">
        <v>1108</v>
      </c>
      <c r="T108" s="421" t="s">
        <v>1130</v>
      </c>
      <c r="U108" s="421" t="s">
        <v>3144</v>
      </c>
      <c r="V108" s="421" t="s">
        <v>3145</v>
      </c>
      <c r="W108" s="421" t="s">
        <v>3098</v>
      </c>
      <c r="X108" s="421" t="s">
        <v>3099</v>
      </c>
      <c r="Y108" s="421" t="s">
        <v>1117</v>
      </c>
      <c r="Z108" s="421" t="s">
        <v>1118</v>
      </c>
      <c r="AA108" s="421" t="s">
        <v>3100</v>
      </c>
      <c r="AB108" s="421" t="s">
        <v>3146</v>
      </c>
      <c r="AC108" s="421" t="s">
        <v>3102</v>
      </c>
      <c r="AD108" s="421" t="s">
        <v>3346</v>
      </c>
      <c r="AE108" s="421" t="s">
        <v>3347</v>
      </c>
      <c r="AF108" s="421" t="s">
        <v>2236</v>
      </c>
      <c r="AG108" s="421" t="s">
        <v>2237</v>
      </c>
      <c r="AH108" s="421" t="s">
        <v>3105</v>
      </c>
      <c r="AI108" s="421">
        <v>105500</v>
      </c>
      <c r="AJ108" s="421">
        <v>288.70999999999998</v>
      </c>
      <c r="AK108" s="421">
        <v>312.55</v>
      </c>
      <c r="AL108" s="421">
        <v>2</v>
      </c>
      <c r="AM108" s="421" t="s">
        <v>3348</v>
      </c>
      <c r="AN108" s="421" t="s">
        <v>3349</v>
      </c>
      <c r="AO108" s="421" t="s">
        <v>1121</v>
      </c>
      <c r="AP108" s="421" t="s">
        <v>1121</v>
      </c>
      <c r="AQ108" s="421" t="s">
        <v>1476</v>
      </c>
      <c r="AR108" s="421" t="s">
        <v>3241</v>
      </c>
      <c r="AS108" s="421" t="s">
        <v>3350</v>
      </c>
      <c r="AT108" s="421" t="s">
        <v>3109</v>
      </c>
      <c r="AU108" s="421" t="s">
        <v>1341</v>
      </c>
      <c r="AV108" s="421" t="s">
        <v>3157</v>
      </c>
      <c r="AW108" s="421" t="s">
        <v>3110</v>
      </c>
      <c r="AX108" s="421" t="s">
        <v>3111</v>
      </c>
      <c r="AY108" s="421" t="s">
        <v>3112</v>
      </c>
      <c r="AZ108" s="421" t="s">
        <v>3113</v>
      </c>
      <c r="BA108" s="421" t="s">
        <v>3114</v>
      </c>
      <c r="BB108" s="421" t="s">
        <v>3115</v>
      </c>
      <c r="BC108" s="421">
        <v>4581.2</v>
      </c>
      <c r="BD108" s="421">
        <v>11439210.59</v>
      </c>
      <c r="BE108" s="421">
        <v>0</v>
      </c>
      <c r="BF108" s="421">
        <v>563.61</v>
      </c>
      <c r="BG108" s="421">
        <v>24.17</v>
      </c>
      <c r="BH108" s="421">
        <v>0</v>
      </c>
      <c r="BI108" s="421" t="s">
        <v>1149</v>
      </c>
    </row>
    <row r="109" spans="1:61" x14ac:dyDescent="0.25">
      <c r="A109" s="421">
        <v>106</v>
      </c>
      <c r="B109" s="421">
        <v>2015</v>
      </c>
      <c r="C109" s="421">
        <v>3</v>
      </c>
      <c r="D109" s="421">
        <v>2</v>
      </c>
      <c r="E109" s="421" t="s">
        <v>1475</v>
      </c>
      <c r="F109" s="421" t="s">
        <v>3325</v>
      </c>
      <c r="G109" s="421" t="s">
        <v>3223</v>
      </c>
      <c r="H109" s="421" t="s">
        <v>1107</v>
      </c>
      <c r="I109" s="421" t="s">
        <v>1491</v>
      </c>
      <c r="J109" s="421" t="s">
        <v>3345</v>
      </c>
      <c r="K109" s="421" t="s">
        <v>3093</v>
      </c>
      <c r="L109" s="421" t="s">
        <v>3094</v>
      </c>
      <c r="M109" s="421" t="s">
        <v>2667</v>
      </c>
      <c r="N109" s="421" t="s">
        <v>3093</v>
      </c>
      <c r="O109" s="421" t="s">
        <v>3094</v>
      </c>
      <c r="P109" s="421" t="s">
        <v>3095</v>
      </c>
      <c r="Q109" s="421" t="s">
        <v>3113</v>
      </c>
      <c r="R109" s="421" t="s">
        <v>1108</v>
      </c>
      <c r="S109" s="421" t="s">
        <v>1108</v>
      </c>
      <c r="T109" s="421" t="s">
        <v>1130</v>
      </c>
      <c r="U109" s="421" t="s">
        <v>3144</v>
      </c>
      <c r="V109" s="421" t="s">
        <v>3145</v>
      </c>
      <c r="W109" s="421" t="s">
        <v>3098</v>
      </c>
      <c r="X109" s="421" t="s">
        <v>3099</v>
      </c>
      <c r="Y109" s="421" t="s">
        <v>1117</v>
      </c>
      <c r="Z109" s="421" t="s">
        <v>1118</v>
      </c>
      <c r="AA109" s="421" t="s">
        <v>3100</v>
      </c>
      <c r="AB109" s="421" t="s">
        <v>3146</v>
      </c>
      <c r="AC109" s="421" t="s">
        <v>3102</v>
      </c>
      <c r="AD109" s="421" t="s">
        <v>3346</v>
      </c>
      <c r="AE109" s="421" t="s">
        <v>3347</v>
      </c>
      <c r="AF109" s="421" t="s">
        <v>1387</v>
      </c>
      <c r="AG109" s="421" t="s">
        <v>1388</v>
      </c>
      <c r="AH109" s="421" t="s">
        <v>3105</v>
      </c>
      <c r="AI109" s="421">
        <v>102</v>
      </c>
      <c r="AJ109" s="421">
        <v>11.5</v>
      </c>
      <c r="AK109" s="421">
        <v>12.45</v>
      </c>
      <c r="AL109" s="421">
        <v>1</v>
      </c>
      <c r="AM109" s="421" t="s">
        <v>3348</v>
      </c>
      <c r="AN109" s="421" t="s">
        <v>3349</v>
      </c>
      <c r="AO109" s="421" t="s">
        <v>1121</v>
      </c>
      <c r="AP109" s="421" t="s">
        <v>1121</v>
      </c>
      <c r="AQ109" s="421" t="s">
        <v>1476</v>
      </c>
      <c r="AR109" s="421" t="s">
        <v>3241</v>
      </c>
      <c r="AS109" s="421" t="s">
        <v>3350</v>
      </c>
      <c r="AT109" s="421" t="s">
        <v>3109</v>
      </c>
      <c r="AU109" s="421" t="s">
        <v>1341</v>
      </c>
      <c r="AV109" s="421" t="s">
        <v>3157</v>
      </c>
      <c r="AW109" s="421" t="s">
        <v>3110</v>
      </c>
      <c r="AX109" s="421" t="s">
        <v>3111</v>
      </c>
      <c r="AY109" s="421" t="s">
        <v>3112</v>
      </c>
      <c r="AZ109" s="421" t="s">
        <v>3113</v>
      </c>
      <c r="BA109" s="421" t="s">
        <v>3114</v>
      </c>
      <c r="BB109" s="421" t="s">
        <v>3115</v>
      </c>
      <c r="BC109" s="421">
        <v>127.5</v>
      </c>
      <c r="BD109" s="421">
        <v>318366.23</v>
      </c>
      <c r="BE109" s="421">
        <v>0</v>
      </c>
      <c r="BF109" s="421">
        <v>15.69</v>
      </c>
      <c r="BG109" s="421">
        <v>0.67</v>
      </c>
      <c r="BH109" s="421">
        <v>0</v>
      </c>
      <c r="BI109" s="421" t="s">
        <v>1149</v>
      </c>
    </row>
    <row r="110" spans="1:61" x14ac:dyDescent="0.25">
      <c r="A110" s="421">
        <v>107</v>
      </c>
      <c r="B110" s="421">
        <v>2015</v>
      </c>
      <c r="C110" s="421">
        <v>3</v>
      </c>
      <c r="D110" s="421">
        <v>2</v>
      </c>
      <c r="E110" s="421" t="s">
        <v>1475</v>
      </c>
      <c r="F110" s="421" t="s">
        <v>3325</v>
      </c>
      <c r="G110" s="421" t="s">
        <v>3223</v>
      </c>
      <c r="H110" s="421" t="s">
        <v>1107</v>
      </c>
      <c r="I110" s="421" t="s">
        <v>1491</v>
      </c>
      <c r="J110" s="421" t="s">
        <v>3351</v>
      </c>
      <c r="K110" s="421" t="s">
        <v>3093</v>
      </c>
      <c r="L110" s="421" t="s">
        <v>3094</v>
      </c>
      <c r="M110" s="421" t="s">
        <v>2667</v>
      </c>
      <c r="N110" s="421" t="s">
        <v>3093</v>
      </c>
      <c r="O110" s="421" t="s">
        <v>3094</v>
      </c>
      <c r="P110" s="421" t="s">
        <v>3095</v>
      </c>
      <c r="Q110" s="421" t="s">
        <v>3096</v>
      </c>
      <c r="R110" s="421" t="s">
        <v>1108</v>
      </c>
      <c r="S110" s="421" t="s">
        <v>1476</v>
      </c>
      <c r="T110" s="421" t="s">
        <v>1130</v>
      </c>
      <c r="U110" s="421" t="s">
        <v>3144</v>
      </c>
      <c r="V110" s="421" t="s">
        <v>3145</v>
      </c>
      <c r="W110" s="421" t="s">
        <v>3098</v>
      </c>
      <c r="X110" s="421" t="s">
        <v>3099</v>
      </c>
      <c r="Y110" s="421" t="s">
        <v>1117</v>
      </c>
      <c r="Z110" s="421" t="s">
        <v>1118</v>
      </c>
      <c r="AA110" s="421" t="s">
        <v>3100</v>
      </c>
      <c r="AB110" s="421" t="s">
        <v>3146</v>
      </c>
      <c r="AC110" s="421" t="s">
        <v>3102</v>
      </c>
      <c r="AD110" s="421" t="s">
        <v>3208</v>
      </c>
      <c r="AE110" s="421" t="s">
        <v>3209</v>
      </c>
      <c r="AF110" s="421" t="s">
        <v>2236</v>
      </c>
      <c r="AG110" s="421" t="s">
        <v>2237</v>
      </c>
      <c r="AH110" s="421" t="s">
        <v>3105</v>
      </c>
      <c r="AI110" s="421">
        <v>250000</v>
      </c>
      <c r="AJ110" s="421">
        <v>519.5</v>
      </c>
      <c r="AK110" s="421">
        <v>559</v>
      </c>
      <c r="AL110" s="421">
        <v>1</v>
      </c>
      <c r="AM110" s="421" t="s">
        <v>963</v>
      </c>
      <c r="AN110" s="421" t="s">
        <v>3210</v>
      </c>
      <c r="AO110" s="421" t="s">
        <v>1121</v>
      </c>
      <c r="AP110" s="421" t="s">
        <v>1121</v>
      </c>
      <c r="AQ110" s="421" t="s">
        <v>1476</v>
      </c>
      <c r="AR110" s="421" t="s">
        <v>3352</v>
      </c>
      <c r="AS110" s="421" t="s">
        <v>3353</v>
      </c>
      <c r="AT110" s="421" t="s">
        <v>3109</v>
      </c>
      <c r="AU110" s="421" t="s">
        <v>1341</v>
      </c>
      <c r="AV110" s="421" t="s">
        <v>962</v>
      </c>
      <c r="AW110" s="421" t="s">
        <v>3110</v>
      </c>
      <c r="AX110" s="421" t="s">
        <v>3111</v>
      </c>
      <c r="AY110" s="421" t="s">
        <v>3112</v>
      </c>
      <c r="AZ110" s="421" t="s">
        <v>3113</v>
      </c>
      <c r="BA110" s="421" t="s">
        <v>3114</v>
      </c>
      <c r="BB110" s="421" t="s">
        <v>3115</v>
      </c>
      <c r="BC110" s="421">
        <v>8250</v>
      </c>
      <c r="BD110" s="421">
        <v>20600167.5</v>
      </c>
      <c r="BE110" s="421">
        <v>0</v>
      </c>
      <c r="BF110" s="421">
        <v>1538.3</v>
      </c>
      <c r="BG110" s="421">
        <v>24.47</v>
      </c>
      <c r="BH110" s="421">
        <v>0</v>
      </c>
      <c r="BI110" s="421" t="s">
        <v>1167</v>
      </c>
    </row>
    <row r="111" spans="1:61" x14ac:dyDescent="0.25">
      <c r="A111" s="421">
        <v>108</v>
      </c>
      <c r="B111" s="421">
        <v>2015</v>
      </c>
      <c r="C111" s="421">
        <v>3</v>
      </c>
      <c r="D111" s="421">
        <v>2</v>
      </c>
      <c r="E111" s="421" t="s">
        <v>1475</v>
      </c>
      <c r="F111" s="421" t="s">
        <v>3325</v>
      </c>
      <c r="G111" s="421" t="s">
        <v>3223</v>
      </c>
      <c r="H111" s="421" t="s">
        <v>1107</v>
      </c>
      <c r="I111" s="421" t="s">
        <v>1491</v>
      </c>
      <c r="J111" s="421" t="s">
        <v>3354</v>
      </c>
      <c r="K111" s="421" t="s">
        <v>3093</v>
      </c>
      <c r="L111" s="421" t="s">
        <v>3094</v>
      </c>
      <c r="M111" s="421" t="s">
        <v>2667</v>
      </c>
      <c r="N111" s="421" t="s">
        <v>3093</v>
      </c>
      <c r="O111" s="421" t="s">
        <v>3094</v>
      </c>
      <c r="P111" s="421" t="s">
        <v>3095</v>
      </c>
      <c r="Q111" s="421" t="s">
        <v>3096</v>
      </c>
      <c r="R111" s="421" t="s">
        <v>1108</v>
      </c>
      <c r="S111" s="421" t="s">
        <v>1542</v>
      </c>
      <c r="T111" s="421" t="s">
        <v>1130</v>
      </c>
      <c r="U111" s="421" t="s">
        <v>1112</v>
      </c>
      <c r="V111" s="421" t="s">
        <v>3097</v>
      </c>
      <c r="W111" s="421" t="s">
        <v>3098</v>
      </c>
      <c r="X111" s="421" t="s">
        <v>3099</v>
      </c>
      <c r="Y111" s="421" t="s">
        <v>1117</v>
      </c>
      <c r="Z111" s="421" t="s">
        <v>1118</v>
      </c>
      <c r="AA111" s="421" t="s">
        <v>3100</v>
      </c>
      <c r="AB111" s="421" t="s">
        <v>3101</v>
      </c>
      <c r="AC111" s="421" t="s">
        <v>3102</v>
      </c>
      <c r="AD111" s="421" t="s">
        <v>3103</v>
      </c>
      <c r="AE111" s="421" t="s">
        <v>3104</v>
      </c>
      <c r="AF111" s="421" t="s">
        <v>2236</v>
      </c>
      <c r="AG111" s="421" t="s">
        <v>2237</v>
      </c>
      <c r="AH111" s="421" t="s">
        <v>3105</v>
      </c>
      <c r="AI111" s="421">
        <v>1269500</v>
      </c>
      <c r="AJ111" s="421">
        <v>4481.3500000000004</v>
      </c>
      <c r="AK111" s="421">
        <v>4874.07</v>
      </c>
      <c r="AL111" s="421">
        <v>3</v>
      </c>
      <c r="AM111" s="421" t="s">
        <v>959</v>
      </c>
      <c r="AN111" s="421" t="s">
        <v>3106</v>
      </c>
      <c r="AO111" s="421" t="s">
        <v>1121</v>
      </c>
      <c r="AP111" s="421" t="s">
        <v>1121</v>
      </c>
      <c r="AQ111" s="421" t="s">
        <v>1542</v>
      </c>
      <c r="AR111" s="421" t="s">
        <v>3241</v>
      </c>
      <c r="AS111" s="421" t="s">
        <v>3355</v>
      </c>
      <c r="AT111" s="421" t="s">
        <v>3109</v>
      </c>
      <c r="AU111" s="421" t="s">
        <v>1142</v>
      </c>
      <c r="AV111" s="421" t="s">
        <v>2520</v>
      </c>
      <c r="AW111" s="421" t="s">
        <v>3110</v>
      </c>
      <c r="AX111" s="421" t="s">
        <v>3111</v>
      </c>
      <c r="AY111" s="421" t="s">
        <v>3112</v>
      </c>
      <c r="AZ111" s="421" t="s">
        <v>3113</v>
      </c>
      <c r="BA111" s="421" t="s">
        <v>3114</v>
      </c>
      <c r="BB111" s="421" t="s">
        <v>3115</v>
      </c>
      <c r="BC111" s="421">
        <v>119332.8</v>
      </c>
      <c r="BD111" s="421">
        <v>297972808.26999998</v>
      </c>
      <c r="BE111" s="421">
        <v>0</v>
      </c>
      <c r="BF111" s="421">
        <v>0</v>
      </c>
      <c r="BG111" s="421">
        <v>0</v>
      </c>
      <c r="BH111" s="421">
        <v>0</v>
      </c>
      <c r="BI111" s="421" t="s">
        <v>1167</v>
      </c>
    </row>
    <row r="112" spans="1:61" x14ac:dyDescent="0.25">
      <c r="A112" s="421">
        <v>109</v>
      </c>
      <c r="B112" s="421">
        <v>2015</v>
      </c>
      <c r="C112" s="421">
        <v>3</v>
      </c>
      <c r="D112" s="421">
        <v>2</v>
      </c>
      <c r="E112" s="421" t="s">
        <v>1475</v>
      </c>
      <c r="F112" s="421" t="s">
        <v>3325</v>
      </c>
      <c r="G112" s="421" t="s">
        <v>3223</v>
      </c>
      <c r="H112" s="421" t="s">
        <v>1107</v>
      </c>
      <c r="I112" s="421" t="s">
        <v>1491</v>
      </c>
      <c r="J112" s="421" t="s">
        <v>3354</v>
      </c>
      <c r="K112" s="421" t="s">
        <v>3093</v>
      </c>
      <c r="L112" s="421" t="s">
        <v>3094</v>
      </c>
      <c r="M112" s="421" t="s">
        <v>2667</v>
      </c>
      <c r="N112" s="421" t="s">
        <v>3093</v>
      </c>
      <c r="O112" s="421" t="s">
        <v>3094</v>
      </c>
      <c r="P112" s="421" t="s">
        <v>3095</v>
      </c>
      <c r="Q112" s="421" t="s">
        <v>3096</v>
      </c>
      <c r="R112" s="421" t="s">
        <v>1108</v>
      </c>
      <c r="S112" s="421" t="s">
        <v>1542</v>
      </c>
      <c r="T112" s="421" t="s">
        <v>1130</v>
      </c>
      <c r="U112" s="421" t="s">
        <v>1112</v>
      </c>
      <c r="V112" s="421" t="s">
        <v>3097</v>
      </c>
      <c r="W112" s="421" t="s">
        <v>3098</v>
      </c>
      <c r="X112" s="421" t="s">
        <v>3099</v>
      </c>
      <c r="Y112" s="421" t="s">
        <v>1117</v>
      </c>
      <c r="Z112" s="421" t="s">
        <v>1118</v>
      </c>
      <c r="AA112" s="421" t="s">
        <v>3100</v>
      </c>
      <c r="AB112" s="421" t="s">
        <v>3101</v>
      </c>
      <c r="AC112" s="421" t="s">
        <v>3102</v>
      </c>
      <c r="AD112" s="421" t="s">
        <v>3103</v>
      </c>
      <c r="AE112" s="421" t="s">
        <v>3104</v>
      </c>
      <c r="AF112" s="421" t="s">
        <v>2236</v>
      </c>
      <c r="AG112" s="421" t="s">
        <v>2237</v>
      </c>
      <c r="AH112" s="421" t="s">
        <v>3105</v>
      </c>
      <c r="AI112" s="421">
        <v>264000</v>
      </c>
      <c r="AJ112" s="421">
        <v>977.92</v>
      </c>
      <c r="AK112" s="421">
        <v>1063.6199999999999</v>
      </c>
      <c r="AL112" s="421">
        <v>4</v>
      </c>
      <c r="AM112" s="421" t="s">
        <v>959</v>
      </c>
      <c r="AN112" s="421" t="s">
        <v>3106</v>
      </c>
      <c r="AO112" s="421" t="s">
        <v>1121</v>
      </c>
      <c r="AP112" s="421" t="s">
        <v>1121</v>
      </c>
      <c r="AQ112" s="421" t="s">
        <v>1542</v>
      </c>
      <c r="AR112" s="421" t="s">
        <v>3241</v>
      </c>
      <c r="AS112" s="421" t="s">
        <v>3355</v>
      </c>
      <c r="AT112" s="421" t="s">
        <v>3109</v>
      </c>
      <c r="AU112" s="421" t="s">
        <v>1142</v>
      </c>
      <c r="AV112" s="421" t="s">
        <v>2520</v>
      </c>
      <c r="AW112" s="421" t="s">
        <v>3110</v>
      </c>
      <c r="AX112" s="421" t="s">
        <v>3111</v>
      </c>
      <c r="AY112" s="421" t="s">
        <v>3112</v>
      </c>
      <c r="AZ112" s="421" t="s">
        <v>3113</v>
      </c>
      <c r="BA112" s="421" t="s">
        <v>3114</v>
      </c>
      <c r="BB112" s="421" t="s">
        <v>3115</v>
      </c>
      <c r="BC112" s="421">
        <v>24186.6</v>
      </c>
      <c r="BD112" s="421">
        <v>60393698.329999998</v>
      </c>
      <c r="BE112" s="421">
        <v>0</v>
      </c>
      <c r="BF112" s="421">
        <v>0</v>
      </c>
      <c r="BG112" s="421">
        <v>0</v>
      </c>
      <c r="BH112" s="421">
        <v>0</v>
      </c>
      <c r="BI112" s="421" t="s">
        <v>1167</v>
      </c>
    </row>
    <row r="113" spans="1:61" x14ac:dyDescent="0.25">
      <c r="A113" s="421">
        <v>110</v>
      </c>
      <c r="B113" s="421">
        <v>2015</v>
      </c>
      <c r="C113" s="421">
        <v>3</v>
      </c>
      <c r="D113" s="421">
        <v>2</v>
      </c>
      <c r="E113" s="421" t="s">
        <v>1475</v>
      </c>
      <c r="F113" s="421" t="s">
        <v>3325</v>
      </c>
      <c r="G113" s="421" t="s">
        <v>3223</v>
      </c>
      <c r="H113" s="421" t="s">
        <v>1107</v>
      </c>
      <c r="I113" s="421" t="s">
        <v>1491</v>
      </c>
      <c r="J113" s="421" t="s">
        <v>3356</v>
      </c>
      <c r="K113" s="421" t="s">
        <v>3093</v>
      </c>
      <c r="L113" s="421" t="s">
        <v>3094</v>
      </c>
      <c r="M113" s="421" t="s">
        <v>2667</v>
      </c>
      <c r="N113" s="421" t="s">
        <v>3093</v>
      </c>
      <c r="O113" s="421" t="s">
        <v>3094</v>
      </c>
      <c r="P113" s="421" t="s">
        <v>3095</v>
      </c>
      <c r="Q113" s="421" t="s">
        <v>3096</v>
      </c>
      <c r="R113" s="421" t="s">
        <v>1108</v>
      </c>
      <c r="S113" s="421" t="s">
        <v>1542</v>
      </c>
      <c r="T113" s="421" t="s">
        <v>1130</v>
      </c>
      <c r="U113" s="421" t="s">
        <v>1112</v>
      </c>
      <c r="V113" s="421" t="s">
        <v>3097</v>
      </c>
      <c r="W113" s="421" t="s">
        <v>3098</v>
      </c>
      <c r="X113" s="421" t="s">
        <v>3099</v>
      </c>
      <c r="Y113" s="421" t="s">
        <v>1117</v>
      </c>
      <c r="Z113" s="421" t="s">
        <v>1118</v>
      </c>
      <c r="AA113" s="421" t="s">
        <v>3100</v>
      </c>
      <c r="AB113" s="421" t="s">
        <v>3101</v>
      </c>
      <c r="AC113" s="421" t="s">
        <v>3102</v>
      </c>
      <c r="AD113" s="421" t="s">
        <v>3103</v>
      </c>
      <c r="AE113" s="421" t="s">
        <v>3104</v>
      </c>
      <c r="AF113" s="421" t="s">
        <v>1300</v>
      </c>
      <c r="AG113" s="421" t="s">
        <v>1301</v>
      </c>
      <c r="AH113" s="421" t="s">
        <v>1127</v>
      </c>
      <c r="AI113" s="421">
        <v>6.37</v>
      </c>
      <c r="AJ113" s="421">
        <v>6.37</v>
      </c>
      <c r="AK113" s="421">
        <v>7.3</v>
      </c>
      <c r="AL113" s="421">
        <v>1</v>
      </c>
      <c r="AM113" s="421" t="s">
        <v>959</v>
      </c>
      <c r="AN113" s="421" t="s">
        <v>3106</v>
      </c>
      <c r="AO113" s="421" t="s">
        <v>1121</v>
      </c>
      <c r="AP113" s="421" t="s">
        <v>1121</v>
      </c>
      <c r="AQ113" s="421" t="s">
        <v>1542</v>
      </c>
      <c r="AR113" s="421" t="s">
        <v>3241</v>
      </c>
      <c r="AS113" s="421" t="s">
        <v>3357</v>
      </c>
      <c r="AT113" s="421" t="s">
        <v>3109</v>
      </c>
      <c r="AU113" s="421" t="s">
        <v>1142</v>
      </c>
      <c r="AV113" s="421" t="s">
        <v>2520</v>
      </c>
      <c r="AW113" s="421" t="s">
        <v>3110</v>
      </c>
      <c r="AX113" s="421" t="s">
        <v>3229</v>
      </c>
      <c r="AY113" s="421" t="s">
        <v>3112</v>
      </c>
      <c r="AZ113" s="421" t="s">
        <v>3113</v>
      </c>
      <c r="BA113" s="421" t="s">
        <v>3114</v>
      </c>
      <c r="BB113" s="421" t="s">
        <v>3230</v>
      </c>
      <c r="BC113" s="421">
        <v>1.25</v>
      </c>
      <c r="BD113" s="421">
        <v>3121.24</v>
      </c>
      <c r="BE113" s="421">
        <v>0</v>
      </c>
      <c r="BF113" s="421">
        <v>0</v>
      </c>
      <c r="BG113" s="421">
        <v>0</v>
      </c>
      <c r="BH113" s="421">
        <v>0</v>
      </c>
      <c r="BI113" s="421" t="s">
        <v>1167</v>
      </c>
    </row>
    <row r="114" spans="1:61" x14ac:dyDescent="0.25">
      <c r="A114" s="421">
        <v>111</v>
      </c>
      <c r="B114" s="421">
        <v>2015</v>
      </c>
      <c r="C114" s="421">
        <v>3</v>
      </c>
      <c r="D114" s="421">
        <v>2</v>
      </c>
      <c r="E114" s="421" t="s">
        <v>1475</v>
      </c>
      <c r="F114" s="421" t="s">
        <v>3325</v>
      </c>
      <c r="G114" s="421" t="s">
        <v>3223</v>
      </c>
      <c r="H114" s="421" t="s">
        <v>1107</v>
      </c>
      <c r="I114" s="421" t="s">
        <v>1491</v>
      </c>
      <c r="J114" s="421" t="s">
        <v>3358</v>
      </c>
      <c r="K114" s="421" t="s">
        <v>3093</v>
      </c>
      <c r="L114" s="421" t="s">
        <v>3094</v>
      </c>
      <c r="M114" s="421" t="s">
        <v>2667</v>
      </c>
      <c r="N114" s="421" t="s">
        <v>3093</v>
      </c>
      <c r="O114" s="421" t="s">
        <v>3094</v>
      </c>
      <c r="P114" s="421" t="s">
        <v>3095</v>
      </c>
      <c r="Q114" s="421" t="s">
        <v>3096</v>
      </c>
      <c r="R114" s="421" t="s">
        <v>1108</v>
      </c>
      <c r="S114" s="421" t="s">
        <v>1542</v>
      </c>
      <c r="T114" s="421" t="s">
        <v>1130</v>
      </c>
      <c r="U114" s="421" t="s">
        <v>1112</v>
      </c>
      <c r="V114" s="421" t="s">
        <v>3097</v>
      </c>
      <c r="W114" s="421" t="s">
        <v>3098</v>
      </c>
      <c r="X114" s="421" t="s">
        <v>3099</v>
      </c>
      <c r="Y114" s="421" t="s">
        <v>1117</v>
      </c>
      <c r="Z114" s="421" t="s">
        <v>1118</v>
      </c>
      <c r="AA114" s="421" t="s">
        <v>3100</v>
      </c>
      <c r="AB114" s="421" t="s">
        <v>3101</v>
      </c>
      <c r="AC114" s="421" t="s">
        <v>3102</v>
      </c>
      <c r="AD114" s="421" t="s">
        <v>3103</v>
      </c>
      <c r="AE114" s="421" t="s">
        <v>3104</v>
      </c>
      <c r="AF114" s="421" t="s">
        <v>2236</v>
      </c>
      <c r="AG114" s="421" t="s">
        <v>2237</v>
      </c>
      <c r="AH114" s="421" t="s">
        <v>3105</v>
      </c>
      <c r="AI114" s="421">
        <v>5172000</v>
      </c>
      <c r="AJ114" s="421">
        <v>10203.780000000001</v>
      </c>
      <c r="AK114" s="421">
        <v>11080.61</v>
      </c>
      <c r="AL114" s="421">
        <v>1</v>
      </c>
      <c r="AM114" s="421" t="s">
        <v>959</v>
      </c>
      <c r="AN114" s="421" t="s">
        <v>3106</v>
      </c>
      <c r="AO114" s="421" t="s">
        <v>1121</v>
      </c>
      <c r="AP114" s="421" t="s">
        <v>1121</v>
      </c>
      <c r="AQ114" s="421" t="s">
        <v>1542</v>
      </c>
      <c r="AR114" s="421" t="s">
        <v>3241</v>
      </c>
      <c r="AS114" s="421" t="s">
        <v>3359</v>
      </c>
      <c r="AT114" s="421" t="s">
        <v>3109</v>
      </c>
      <c r="AU114" s="421" t="s">
        <v>1142</v>
      </c>
      <c r="AV114" s="421" t="s">
        <v>2520</v>
      </c>
      <c r="AW114" s="421" t="s">
        <v>3110</v>
      </c>
      <c r="AX114" s="421" t="s">
        <v>3111</v>
      </c>
      <c r="AY114" s="421" t="s">
        <v>3112</v>
      </c>
      <c r="AZ114" s="421" t="s">
        <v>3113</v>
      </c>
      <c r="BA114" s="421" t="s">
        <v>3114</v>
      </c>
      <c r="BB114" s="421" t="s">
        <v>3115</v>
      </c>
      <c r="BC114" s="421">
        <v>157558.20000000001</v>
      </c>
      <c r="BD114" s="421">
        <v>393421249.81999999</v>
      </c>
      <c r="BE114" s="421">
        <v>0</v>
      </c>
      <c r="BF114" s="421">
        <v>0</v>
      </c>
      <c r="BG114" s="421">
        <v>0</v>
      </c>
      <c r="BH114" s="421">
        <v>0</v>
      </c>
      <c r="BI114" s="421" t="s">
        <v>1167</v>
      </c>
    </row>
    <row r="115" spans="1:61" x14ac:dyDescent="0.25">
      <c r="A115" s="421">
        <v>112</v>
      </c>
      <c r="B115" s="421">
        <v>2015</v>
      </c>
      <c r="C115" s="421">
        <v>3</v>
      </c>
      <c r="D115" s="421">
        <v>2</v>
      </c>
      <c r="E115" s="421" t="s">
        <v>1475</v>
      </c>
      <c r="F115" s="421" t="s">
        <v>3325</v>
      </c>
      <c r="G115" s="421" t="s">
        <v>3223</v>
      </c>
      <c r="H115" s="421" t="s">
        <v>1107</v>
      </c>
      <c r="I115" s="421" t="s">
        <v>1491</v>
      </c>
      <c r="J115" s="421" t="s">
        <v>3358</v>
      </c>
      <c r="K115" s="421" t="s">
        <v>3093</v>
      </c>
      <c r="L115" s="421" t="s">
        <v>3094</v>
      </c>
      <c r="M115" s="421" t="s">
        <v>2667</v>
      </c>
      <c r="N115" s="421" t="s">
        <v>3093</v>
      </c>
      <c r="O115" s="421" t="s">
        <v>3094</v>
      </c>
      <c r="P115" s="421" t="s">
        <v>3095</v>
      </c>
      <c r="Q115" s="421" t="s">
        <v>3096</v>
      </c>
      <c r="R115" s="421" t="s">
        <v>1108</v>
      </c>
      <c r="S115" s="421" t="s">
        <v>1542</v>
      </c>
      <c r="T115" s="421" t="s">
        <v>1130</v>
      </c>
      <c r="U115" s="421" t="s">
        <v>1112</v>
      </c>
      <c r="V115" s="421" t="s">
        <v>3097</v>
      </c>
      <c r="W115" s="421" t="s">
        <v>3098</v>
      </c>
      <c r="X115" s="421" t="s">
        <v>3099</v>
      </c>
      <c r="Y115" s="421" t="s">
        <v>1117</v>
      </c>
      <c r="Z115" s="421" t="s">
        <v>1118</v>
      </c>
      <c r="AA115" s="421" t="s">
        <v>3100</v>
      </c>
      <c r="AB115" s="421" t="s">
        <v>3101</v>
      </c>
      <c r="AC115" s="421" t="s">
        <v>3102</v>
      </c>
      <c r="AD115" s="421" t="s">
        <v>3103</v>
      </c>
      <c r="AE115" s="421" t="s">
        <v>3104</v>
      </c>
      <c r="AF115" s="421" t="s">
        <v>2236</v>
      </c>
      <c r="AG115" s="421" t="s">
        <v>2237</v>
      </c>
      <c r="AH115" s="421" t="s">
        <v>3105</v>
      </c>
      <c r="AI115" s="421">
        <v>2088000</v>
      </c>
      <c r="AJ115" s="421">
        <v>4341.74</v>
      </c>
      <c r="AK115" s="421">
        <v>4714.83</v>
      </c>
      <c r="AL115" s="421">
        <v>2</v>
      </c>
      <c r="AM115" s="421" t="s">
        <v>959</v>
      </c>
      <c r="AN115" s="421" t="s">
        <v>3106</v>
      </c>
      <c r="AO115" s="421" t="s">
        <v>1121</v>
      </c>
      <c r="AP115" s="421" t="s">
        <v>1121</v>
      </c>
      <c r="AQ115" s="421" t="s">
        <v>1542</v>
      </c>
      <c r="AR115" s="421" t="s">
        <v>3241</v>
      </c>
      <c r="AS115" s="421" t="s">
        <v>3359</v>
      </c>
      <c r="AT115" s="421" t="s">
        <v>3109</v>
      </c>
      <c r="AU115" s="421" t="s">
        <v>1142</v>
      </c>
      <c r="AV115" s="421" t="s">
        <v>2520</v>
      </c>
      <c r="AW115" s="421" t="s">
        <v>3110</v>
      </c>
      <c r="AX115" s="421" t="s">
        <v>3111</v>
      </c>
      <c r="AY115" s="421" t="s">
        <v>3112</v>
      </c>
      <c r="AZ115" s="421" t="s">
        <v>3113</v>
      </c>
      <c r="BA115" s="421" t="s">
        <v>3114</v>
      </c>
      <c r="BB115" s="421" t="s">
        <v>3115</v>
      </c>
      <c r="BC115" s="421">
        <v>66253.100000000006</v>
      </c>
      <c r="BD115" s="421">
        <v>165433328.16999999</v>
      </c>
      <c r="BE115" s="421">
        <v>0</v>
      </c>
      <c r="BF115" s="421">
        <v>0</v>
      </c>
      <c r="BG115" s="421">
        <v>0</v>
      </c>
      <c r="BH115" s="421">
        <v>0</v>
      </c>
      <c r="BI115" s="421" t="s">
        <v>1167</v>
      </c>
    </row>
    <row r="116" spans="1:61" x14ac:dyDescent="0.25">
      <c r="A116" s="421">
        <v>113</v>
      </c>
      <c r="B116" s="421">
        <v>2015</v>
      </c>
      <c r="C116" s="421">
        <v>3</v>
      </c>
      <c r="D116" s="421">
        <v>2</v>
      </c>
      <c r="E116" s="421" t="s">
        <v>1475</v>
      </c>
      <c r="F116" s="421" t="s">
        <v>3325</v>
      </c>
      <c r="G116" s="421" t="s">
        <v>3223</v>
      </c>
      <c r="H116" s="421" t="s">
        <v>1107</v>
      </c>
      <c r="I116" s="421" t="s">
        <v>1491</v>
      </c>
      <c r="J116" s="421" t="s">
        <v>3354</v>
      </c>
      <c r="K116" s="421" t="s">
        <v>3093</v>
      </c>
      <c r="L116" s="421" t="s">
        <v>3094</v>
      </c>
      <c r="M116" s="421" t="s">
        <v>2667</v>
      </c>
      <c r="N116" s="421" t="s">
        <v>3093</v>
      </c>
      <c r="O116" s="421" t="s">
        <v>3094</v>
      </c>
      <c r="P116" s="421" t="s">
        <v>3095</v>
      </c>
      <c r="Q116" s="421" t="s">
        <v>3096</v>
      </c>
      <c r="R116" s="421" t="s">
        <v>1108</v>
      </c>
      <c r="S116" s="421" t="s">
        <v>1542</v>
      </c>
      <c r="T116" s="421" t="s">
        <v>1130</v>
      </c>
      <c r="U116" s="421" t="s">
        <v>1112</v>
      </c>
      <c r="V116" s="421" t="s">
        <v>3097</v>
      </c>
      <c r="W116" s="421" t="s">
        <v>3098</v>
      </c>
      <c r="X116" s="421" t="s">
        <v>3099</v>
      </c>
      <c r="Y116" s="421" t="s">
        <v>1117</v>
      </c>
      <c r="Z116" s="421" t="s">
        <v>1118</v>
      </c>
      <c r="AA116" s="421" t="s">
        <v>3100</v>
      </c>
      <c r="AB116" s="421" t="s">
        <v>3101</v>
      </c>
      <c r="AC116" s="421" t="s">
        <v>3102</v>
      </c>
      <c r="AD116" s="421" t="s">
        <v>3103</v>
      </c>
      <c r="AE116" s="421" t="s">
        <v>3104</v>
      </c>
      <c r="AF116" s="421" t="s">
        <v>2236</v>
      </c>
      <c r="AG116" s="421" t="s">
        <v>2237</v>
      </c>
      <c r="AH116" s="421" t="s">
        <v>3105</v>
      </c>
      <c r="AI116" s="421">
        <v>3620000</v>
      </c>
      <c r="AJ116" s="421">
        <v>7725.12</v>
      </c>
      <c r="AK116" s="421">
        <v>8402.11</v>
      </c>
      <c r="AL116" s="421">
        <v>1</v>
      </c>
      <c r="AM116" s="421" t="s">
        <v>959</v>
      </c>
      <c r="AN116" s="421" t="s">
        <v>3106</v>
      </c>
      <c r="AO116" s="421" t="s">
        <v>1121</v>
      </c>
      <c r="AP116" s="421" t="s">
        <v>1121</v>
      </c>
      <c r="AQ116" s="421" t="s">
        <v>1542</v>
      </c>
      <c r="AR116" s="421" t="s">
        <v>3241</v>
      </c>
      <c r="AS116" s="421" t="s">
        <v>3355</v>
      </c>
      <c r="AT116" s="421" t="s">
        <v>3109</v>
      </c>
      <c r="AU116" s="421" t="s">
        <v>1142</v>
      </c>
      <c r="AV116" s="421" t="s">
        <v>2520</v>
      </c>
      <c r="AW116" s="421" t="s">
        <v>3110</v>
      </c>
      <c r="AX116" s="421" t="s">
        <v>3111</v>
      </c>
      <c r="AY116" s="421" t="s">
        <v>3112</v>
      </c>
      <c r="AZ116" s="421" t="s">
        <v>3113</v>
      </c>
      <c r="BA116" s="421" t="s">
        <v>3114</v>
      </c>
      <c r="BB116" s="421" t="s">
        <v>3115</v>
      </c>
      <c r="BC116" s="421">
        <v>107333.9</v>
      </c>
      <c r="BD116" s="421">
        <v>268011674.96000001</v>
      </c>
      <c r="BE116" s="421">
        <v>0</v>
      </c>
      <c r="BF116" s="421">
        <v>0</v>
      </c>
      <c r="BG116" s="421">
        <v>0</v>
      </c>
      <c r="BH116" s="421">
        <v>0</v>
      </c>
      <c r="BI116" s="421" t="s">
        <v>1167</v>
      </c>
    </row>
    <row r="117" spans="1:61" x14ac:dyDescent="0.25">
      <c r="A117" s="421">
        <v>114</v>
      </c>
      <c r="B117" s="421">
        <v>2015</v>
      </c>
      <c r="C117" s="421">
        <v>3</v>
      </c>
      <c r="D117" s="421">
        <v>2</v>
      </c>
      <c r="E117" s="421" t="s">
        <v>1475</v>
      </c>
      <c r="F117" s="421" t="s">
        <v>3325</v>
      </c>
      <c r="G117" s="421" t="s">
        <v>3223</v>
      </c>
      <c r="H117" s="421" t="s">
        <v>1107</v>
      </c>
      <c r="I117" s="421" t="s">
        <v>1491</v>
      </c>
      <c r="J117" s="421" t="s">
        <v>3354</v>
      </c>
      <c r="K117" s="421" t="s">
        <v>3093</v>
      </c>
      <c r="L117" s="421" t="s">
        <v>3094</v>
      </c>
      <c r="M117" s="421" t="s">
        <v>2667</v>
      </c>
      <c r="N117" s="421" t="s">
        <v>3093</v>
      </c>
      <c r="O117" s="421" t="s">
        <v>3094</v>
      </c>
      <c r="P117" s="421" t="s">
        <v>3095</v>
      </c>
      <c r="Q117" s="421" t="s">
        <v>3096</v>
      </c>
      <c r="R117" s="421" t="s">
        <v>1108</v>
      </c>
      <c r="S117" s="421" t="s">
        <v>1542</v>
      </c>
      <c r="T117" s="421" t="s">
        <v>1130</v>
      </c>
      <c r="U117" s="421" t="s">
        <v>1112</v>
      </c>
      <c r="V117" s="421" t="s">
        <v>3097</v>
      </c>
      <c r="W117" s="421" t="s">
        <v>3098</v>
      </c>
      <c r="X117" s="421" t="s">
        <v>3099</v>
      </c>
      <c r="Y117" s="421" t="s">
        <v>1117</v>
      </c>
      <c r="Z117" s="421" t="s">
        <v>1118</v>
      </c>
      <c r="AA117" s="421" t="s">
        <v>3100</v>
      </c>
      <c r="AB117" s="421" t="s">
        <v>3101</v>
      </c>
      <c r="AC117" s="421" t="s">
        <v>3102</v>
      </c>
      <c r="AD117" s="421" t="s">
        <v>3103</v>
      </c>
      <c r="AE117" s="421" t="s">
        <v>3104</v>
      </c>
      <c r="AF117" s="421" t="s">
        <v>2236</v>
      </c>
      <c r="AG117" s="421" t="s">
        <v>2237</v>
      </c>
      <c r="AH117" s="421" t="s">
        <v>3105</v>
      </c>
      <c r="AI117" s="421">
        <v>418500</v>
      </c>
      <c r="AJ117" s="421">
        <v>1067.8599999999999</v>
      </c>
      <c r="AK117" s="421">
        <v>1161.44</v>
      </c>
      <c r="AL117" s="421">
        <v>2</v>
      </c>
      <c r="AM117" s="421" t="s">
        <v>959</v>
      </c>
      <c r="AN117" s="421" t="s">
        <v>3106</v>
      </c>
      <c r="AO117" s="421" t="s">
        <v>1121</v>
      </c>
      <c r="AP117" s="421" t="s">
        <v>1121</v>
      </c>
      <c r="AQ117" s="421" t="s">
        <v>1542</v>
      </c>
      <c r="AR117" s="421" t="s">
        <v>3241</v>
      </c>
      <c r="AS117" s="421" t="s">
        <v>3355</v>
      </c>
      <c r="AT117" s="421" t="s">
        <v>3109</v>
      </c>
      <c r="AU117" s="421" t="s">
        <v>1142</v>
      </c>
      <c r="AV117" s="421" t="s">
        <v>2520</v>
      </c>
      <c r="AW117" s="421" t="s">
        <v>3110</v>
      </c>
      <c r="AX117" s="421" t="s">
        <v>3111</v>
      </c>
      <c r="AY117" s="421" t="s">
        <v>3112</v>
      </c>
      <c r="AZ117" s="421" t="s">
        <v>3113</v>
      </c>
      <c r="BA117" s="421" t="s">
        <v>3114</v>
      </c>
      <c r="BB117" s="421" t="s">
        <v>3115</v>
      </c>
      <c r="BC117" s="421">
        <v>16666.099999999999</v>
      </c>
      <c r="BD117" s="421">
        <v>41615085.039999999</v>
      </c>
      <c r="BE117" s="421">
        <v>0</v>
      </c>
      <c r="BF117" s="421">
        <v>0</v>
      </c>
      <c r="BG117" s="421">
        <v>0</v>
      </c>
      <c r="BH117" s="421">
        <v>0</v>
      </c>
      <c r="BI117" s="421" t="s">
        <v>1167</v>
      </c>
    </row>
    <row r="118" spans="1:61" x14ac:dyDescent="0.25">
      <c r="A118" s="421">
        <v>115</v>
      </c>
      <c r="B118" s="421">
        <v>2015</v>
      </c>
      <c r="C118" s="421">
        <v>3</v>
      </c>
      <c r="D118" s="421">
        <v>6</v>
      </c>
      <c r="E118" s="421" t="s">
        <v>1475</v>
      </c>
      <c r="F118" s="421" t="s">
        <v>3325</v>
      </c>
      <c r="G118" s="421" t="s">
        <v>3360</v>
      </c>
      <c r="H118" s="421" t="s">
        <v>1107</v>
      </c>
      <c r="I118" s="421" t="s">
        <v>1536</v>
      </c>
      <c r="J118" s="421" t="s">
        <v>3361</v>
      </c>
      <c r="K118" s="421" t="s">
        <v>3093</v>
      </c>
      <c r="L118" s="421" t="s">
        <v>3094</v>
      </c>
      <c r="M118" s="421" t="s">
        <v>2667</v>
      </c>
      <c r="N118" s="421" t="s">
        <v>3093</v>
      </c>
      <c r="O118" s="421" t="s">
        <v>3094</v>
      </c>
      <c r="P118" s="421" t="s">
        <v>3095</v>
      </c>
      <c r="Q118" s="421" t="s">
        <v>3113</v>
      </c>
      <c r="R118" s="421" t="s">
        <v>1476</v>
      </c>
      <c r="S118" s="421" t="s">
        <v>1476</v>
      </c>
      <c r="T118" s="421" t="s">
        <v>1130</v>
      </c>
      <c r="U118" s="421" t="s">
        <v>3362</v>
      </c>
      <c r="V118" s="421" t="s">
        <v>3363</v>
      </c>
      <c r="W118" s="421" t="s">
        <v>3098</v>
      </c>
      <c r="X118" s="421" t="s">
        <v>3099</v>
      </c>
      <c r="Y118" s="421" t="s">
        <v>1117</v>
      </c>
      <c r="Z118" s="421" t="s">
        <v>1118</v>
      </c>
      <c r="AA118" s="421" t="s">
        <v>3100</v>
      </c>
      <c r="AB118" s="421" t="s">
        <v>3364</v>
      </c>
      <c r="AC118" s="421" t="s">
        <v>3102</v>
      </c>
      <c r="AD118" s="421" t="s">
        <v>3365</v>
      </c>
      <c r="AE118" s="421" t="s">
        <v>3366</v>
      </c>
      <c r="AF118" s="421" t="s">
        <v>2236</v>
      </c>
      <c r="AG118" s="421" t="s">
        <v>2237</v>
      </c>
      <c r="AH118" s="421" t="s">
        <v>3105</v>
      </c>
      <c r="AI118" s="421">
        <v>200</v>
      </c>
      <c r="AJ118" s="421">
        <v>71</v>
      </c>
      <c r="AK118" s="421">
        <v>72.2</v>
      </c>
      <c r="AL118" s="421">
        <v>1</v>
      </c>
      <c r="AM118" s="421" t="s">
        <v>1547</v>
      </c>
      <c r="AN118" s="421" t="s">
        <v>3367</v>
      </c>
      <c r="AO118" s="421" t="s">
        <v>1121</v>
      </c>
      <c r="AP118" s="421" t="s">
        <v>1121</v>
      </c>
      <c r="AQ118" s="421" t="s">
        <v>1476</v>
      </c>
      <c r="AR118" s="421" t="s">
        <v>3241</v>
      </c>
      <c r="AS118" s="421" t="s">
        <v>3368</v>
      </c>
      <c r="AT118" s="421" t="s">
        <v>3109</v>
      </c>
      <c r="AU118" s="421" t="s">
        <v>1341</v>
      </c>
      <c r="AV118" s="421" t="s">
        <v>962</v>
      </c>
      <c r="AW118" s="421" t="s">
        <v>3110</v>
      </c>
      <c r="AX118" s="421" t="s">
        <v>3111</v>
      </c>
      <c r="AY118" s="421" t="s">
        <v>3112</v>
      </c>
      <c r="AZ118" s="421" t="s">
        <v>3113</v>
      </c>
      <c r="BA118" s="421" t="s">
        <v>3114</v>
      </c>
      <c r="BB118" s="421" t="s">
        <v>3115</v>
      </c>
      <c r="BC118" s="421">
        <v>1980</v>
      </c>
      <c r="BD118" s="421">
        <v>5036070.5999999996</v>
      </c>
      <c r="BE118" s="421">
        <v>0</v>
      </c>
      <c r="BF118" s="421">
        <v>0</v>
      </c>
      <c r="BG118" s="421">
        <v>0</v>
      </c>
      <c r="BH118" s="421">
        <v>0</v>
      </c>
      <c r="BI118" s="421" t="s">
        <v>1331</v>
      </c>
    </row>
    <row r="119" spans="1:61" x14ac:dyDescent="0.25">
      <c r="A119" s="421">
        <v>116</v>
      </c>
      <c r="B119" s="421">
        <v>2015</v>
      </c>
      <c r="C119" s="421">
        <v>3</v>
      </c>
      <c r="D119" s="421">
        <v>9</v>
      </c>
      <c r="E119" s="421" t="s">
        <v>1475</v>
      </c>
      <c r="F119" s="421" t="s">
        <v>3325</v>
      </c>
      <c r="G119" s="421" t="s">
        <v>3132</v>
      </c>
      <c r="H119" s="421" t="s">
        <v>1107</v>
      </c>
      <c r="I119" s="421" t="s">
        <v>1564</v>
      </c>
      <c r="J119" s="421" t="s">
        <v>3369</v>
      </c>
      <c r="K119" s="421" t="s">
        <v>3093</v>
      </c>
      <c r="L119" s="421" t="s">
        <v>3094</v>
      </c>
      <c r="M119" s="421" t="s">
        <v>2667</v>
      </c>
      <c r="N119" s="421" t="s">
        <v>3093</v>
      </c>
      <c r="O119" s="421" t="s">
        <v>3094</v>
      </c>
      <c r="P119" s="421" t="s">
        <v>3095</v>
      </c>
      <c r="Q119" s="421" t="s">
        <v>3113</v>
      </c>
      <c r="R119" s="421" t="s">
        <v>1542</v>
      </c>
      <c r="S119" s="421" t="s">
        <v>1542</v>
      </c>
      <c r="T119" s="421" t="s">
        <v>1130</v>
      </c>
      <c r="U119" s="421" t="s">
        <v>1112</v>
      </c>
      <c r="V119" s="421" t="s">
        <v>3097</v>
      </c>
      <c r="W119" s="421" t="s">
        <v>3098</v>
      </c>
      <c r="X119" s="421" t="s">
        <v>3099</v>
      </c>
      <c r="Y119" s="421" t="s">
        <v>1117</v>
      </c>
      <c r="Z119" s="421" t="s">
        <v>1118</v>
      </c>
      <c r="AA119" s="421" t="s">
        <v>3100</v>
      </c>
      <c r="AB119" s="421" t="s">
        <v>3101</v>
      </c>
      <c r="AC119" s="421" t="s">
        <v>3102</v>
      </c>
      <c r="AD119" s="421" t="s">
        <v>3320</v>
      </c>
      <c r="AE119" s="421" t="s">
        <v>3370</v>
      </c>
      <c r="AF119" s="421" t="s">
        <v>2236</v>
      </c>
      <c r="AG119" s="421" t="s">
        <v>2237</v>
      </c>
      <c r="AH119" s="421" t="s">
        <v>3105</v>
      </c>
      <c r="AI119" s="421">
        <v>3253600</v>
      </c>
      <c r="AJ119" s="421">
        <v>8093.86</v>
      </c>
      <c r="AK119" s="421">
        <v>8769.7199999999993</v>
      </c>
      <c r="AL119" s="421">
        <v>1</v>
      </c>
      <c r="AM119" s="421" t="s">
        <v>3322</v>
      </c>
      <c r="AN119" s="421" t="s">
        <v>3371</v>
      </c>
      <c r="AO119" s="421" t="s">
        <v>1121</v>
      </c>
      <c r="AP119" s="421" t="s">
        <v>1121</v>
      </c>
      <c r="AQ119" s="421" t="s">
        <v>1542</v>
      </c>
      <c r="AR119" s="421" t="s">
        <v>3352</v>
      </c>
      <c r="AS119" s="421" t="s">
        <v>3372</v>
      </c>
      <c r="AT119" s="421" t="s">
        <v>3109</v>
      </c>
      <c r="AU119" s="421" t="s">
        <v>1142</v>
      </c>
      <c r="AV119" s="421" t="s">
        <v>3187</v>
      </c>
      <c r="AW119" s="421" t="s">
        <v>3110</v>
      </c>
      <c r="AX119" s="421" t="s">
        <v>3111</v>
      </c>
      <c r="AY119" s="421" t="s">
        <v>3112</v>
      </c>
      <c r="AZ119" s="421" t="s">
        <v>3113</v>
      </c>
      <c r="BA119" s="421" t="s">
        <v>3114</v>
      </c>
      <c r="BB119" s="421" t="s">
        <v>3115</v>
      </c>
      <c r="BC119" s="421">
        <v>115633.2</v>
      </c>
      <c r="BD119" s="421">
        <v>296669694.25</v>
      </c>
      <c r="BE119" s="421">
        <v>0</v>
      </c>
      <c r="BF119" s="421">
        <v>0</v>
      </c>
      <c r="BG119" s="421">
        <v>0</v>
      </c>
      <c r="BH119" s="421">
        <v>0</v>
      </c>
      <c r="BI119" s="421" t="s">
        <v>1331</v>
      </c>
    </row>
    <row r="120" spans="1:61" x14ac:dyDescent="0.25">
      <c r="A120" s="421">
        <v>117</v>
      </c>
      <c r="B120" s="421">
        <v>2015</v>
      </c>
      <c r="C120" s="421">
        <v>3</v>
      </c>
      <c r="D120" s="421">
        <v>9</v>
      </c>
      <c r="E120" s="421" t="s">
        <v>1475</v>
      </c>
      <c r="F120" s="421" t="s">
        <v>3325</v>
      </c>
      <c r="G120" s="421" t="s">
        <v>3132</v>
      </c>
      <c r="H120" s="421" t="s">
        <v>1107</v>
      </c>
      <c r="I120" s="421" t="s">
        <v>1564</v>
      </c>
      <c r="J120" s="421" t="s">
        <v>3373</v>
      </c>
      <c r="K120" s="421" t="s">
        <v>3093</v>
      </c>
      <c r="L120" s="421" t="s">
        <v>3094</v>
      </c>
      <c r="M120" s="421" t="s">
        <v>2667</v>
      </c>
      <c r="N120" s="421" t="s">
        <v>3093</v>
      </c>
      <c r="O120" s="421" t="s">
        <v>3094</v>
      </c>
      <c r="P120" s="421" t="s">
        <v>3095</v>
      </c>
      <c r="Q120" s="421" t="s">
        <v>3113</v>
      </c>
      <c r="R120" s="421" t="s">
        <v>1542</v>
      </c>
      <c r="S120" s="421" t="s">
        <v>1542</v>
      </c>
      <c r="T120" s="421" t="s">
        <v>1130</v>
      </c>
      <c r="U120" s="421" t="s">
        <v>1112</v>
      </c>
      <c r="V120" s="421" t="s">
        <v>3097</v>
      </c>
      <c r="W120" s="421" t="s">
        <v>3098</v>
      </c>
      <c r="X120" s="421" t="s">
        <v>3099</v>
      </c>
      <c r="Y120" s="421" t="s">
        <v>1117</v>
      </c>
      <c r="Z120" s="421" t="s">
        <v>1118</v>
      </c>
      <c r="AA120" s="421" t="s">
        <v>3100</v>
      </c>
      <c r="AB120" s="421" t="s">
        <v>3101</v>
      </c>
      <c r="AC120" s="421" t="s">
        <v>3102</v>
      </c>
      <c r="AD120" s="421" t="s">
        <v>3320</v>
      </c>
      <c r="AE120" s="421" t="s">
        <v>3370</v>
      </c>
      <c r="AF120" s="421" t="s">
        <v>1300</v>
      </c>
      <c r="AG120" s="421" t="s">
        <v>1301</v>
      </c>
      <c r="AH120" s="421" t="s">
        <v>1127</v>
      </c>
      <c r="AI120" s="421">
        <v>15.82</v>
      </c>
      <c r="AJ120" s="421">
        <v>15.82</v>
      </c>
      <c r="AK120" s="421">
        <v>16.96</v>
      </c>
      <c r="AL120" s="421">
        <v>1</v>
      </c>
      <c r="AM120" s="421" t="s">
        <v>3322</v>
      </c>
      <c r="AN120" s="421" t="s">
        <v>3371</v>
      </c>
      <c r="AO120" s="421" t="s">
        <v>1121</v>
      </c>
      <c r="AP120" s="421" t="s">
        <v>1121</v>
      </c>
      <c r="AQ120" s="421" t="s">
        <v>1542</v>
      </c>
      <c r="AR120" s="421" t="s">
        <v>3352</v>
      </c>
      <c r="AS120" s="421" t="s">
        <v>3374</v>
      </c>
      <c r="AT120" s="421" t="s">
        <v>3109</v>
      </c>
      <c r="AU120" s="421" t="s">
        <v>1142</v>
      </c>
      <c r="AV120" s="421" t="s">
        <v>3187</v>
      </c>
      <c r="AW120" s="421" t="s">
        <v>3110</v>
      </c>
      <c r="AX120" s="421" t="s">
        <v>3229</v>
      </c>
      <c r="AY120" s="421" t="s">
        <v>3112</v>
      </c>
      <c r="AZ120" s="421" t="s">
        <v>3113</v>
      </c>
      <c r="BA120" s="421" t="s">
        <v>3114</v>
      </c>
      <c r="BB120" s="421" t="s">
        <v>3230</v>
      </c>
      <c r="BC120" s="421">
        <v>3.75</v>
      </c>
      <c r="BD120" s="421">
        <v>9621.0400000000009</v>
      </c>
      <c r="BE120" s="421">
        <v>0</v>
      </c>
      <c r="BF120" s="421">
        <v>0</v>
      </c>
      <c r="BG120" s="421">
        <v>0</v>
      </c>
      <c r="BH120" s="421">
        <v>0</v>
      </c>
      <c r="BI120" s="421" t="s">
        <v>1331</v>
      </c>
    </row>
    <row r="121" spans="1:61" x14ac:dyDescent="0.25">
      <c r="A121" s="421">
        <v>118</v>
      </c>
      <c r="B121" s="421">
        <v>2015</v>
      </c>
      <c r="C121" s="421">
        <v>3</v>
      </c>
      <c r="D121" s="421">
        <v>9</v>
      </c>
      <c r="E121" s="421" t="s">
        <v>1475</v>
      </c>
      <c r="F121" s="421" t="s">
        <v>3325</v>
      </c>
      <c r="G121" s="421" t="s">
        <v>3132</v>
      </c>
      <c r="H121" s="421" t="s">
        <v>1107</v>
      </c>
      <c r="I121" s="421" t="s">
        <v>1564</v>
      </c>
      <c r="J121" s="421" t="s">
        <v>3373</v>
      </c>
      <c r="K121" s="421" t="s">
        <v>3093</v>
      </c>
      <c r="L121" s="421" t="s">
        <v>3094</v>
      </c>
      <c r="M121" s="421" t="s">
        <v>2667</v>
      </c>
      <c r="N121" s="421" t="s">
        <v>3093</v>
      </c>
      <c r="O121" s="421" t="s">
        <v>3094</v>
      </c>
      <c r="P121" s="421" t="s">
        <v>3095</v>
      </c>
      <c r="Q121" s="421" t="s">
        <v>3113</v>
      </c>
      <c r="R121" s="421" t="s">
        <v>1542</v>
      </c>
      <c r="S121" s="421" t="s">
        <v>1542</v>
      </c>
      <c r="T121" s="421" t="s">
        <v>1130</v>
      </c>
      <c r="U121" s="421" t="s">
        <v>1112</v>
      </c>
      <c r="V121" s="421" t="s">
        <v>3097</v>
      </c>
      <c r="W121" s="421" t="s">
        <v>3098</v>
      </c>
      <c r="X121" s="421" t="s">
        <v>3099</v>
      </c>
      <c r="Y121" s="421" t="s">
        <v>1117</v>
      </c>
      <c r="Z121" s="421" t="s">
        <v>1118</v>
      </c>
      <c r="AA121" s="421" t="s">
        <v>3100</v>
      </c>
      <c r="AB121" s="421" t="s">
        <v>3101</v>
      </c>
      <c r="AC121" s="421" t="s">
        <v>3102</v>
      </c>
      <c r="AD121" s="421" t="s">
        <v>3320</v>
      </c>
      <c r="AE121" s="421" t="s">
        <v>3370</v>
      </c>
      <c r="AF121" s="421" t="s">
        <v>3375</v>
      </c>
      <c r="AG121" s="421" t="s">
        <v>3376</v>
      </c>
      <c r="AH121" s="421" t="s">
        <v>3105</v>
      </c>
      <c r="AI121" s="421">
        <v>150</v>
      </c>
      <c r="AJ121" s="421">
        <v>22.89</v>
      </c>
      <c r="AK121" s="421">
        <v>24.54</v>
      </c>
      <c r="AL121" s="421">
        <v>2</v>
      </c>
      <c r="AM121" s="421" t="s">
        <v>3322</v>
      </c>
      <c r="AN121" s="421" t="s">
        <v>3371</v>
      </c>
      <c r="AO121" s="421" t="s">
        <v>1121</v>
      </c>
      <c r="AP121" s="421" t="s">
        <v>1121</v>
      </c>
      <c r="AQ121" s="421" t="s">
        <v>1542</v>
      </c>
      <c r="AR121" s="421" t="s">
        <v>3352</v>
      </c>
      <c r="AS121" s="421" t="s">
        <v>3374</v>
      </c>
      <c r="AT121" s="421" t="s">
        <v>3109</v>
      </c>
      <c r="AU121" s="421" t="s">
        <v>1142</v>
      </c>
      <c r="AV121" s="421" t="s">
        <v>3187</v>
      </c>
      <c r="AW121" s="421" t="s">
        <v>3110</v>
      </c>
      <c r="AX121" s="421" t="s">
        <v>3229</v>
      </c>
      <c r="AY121" s="421" t="s">
        <v>3112</v>
      </c>
      <c r="AZ121" s="421" t="s">
        <v>3113</v>
      </c>
      <c r="BA121" s="421" t="s">
        <v>3114</v>
      </c>
      <c r="BB121" s="421" t="s">
        <v>3230</v>
      </c>
      <c r="BC121" s="421">
        <v>5</v>
      </c>
      <c r="BD121" s="421">
        <v>12828.05</v>
      </c>
      <c r="BE121" s="421">
        <v>0</v>
      </c>
      <c r="BF121" s="421">
        <v>0</v>
      </c>
      <c r="BG121" s="421">
        <v>0</v>
      </c>
      <c r="BH121" s="421">
        <v>0</v>
      </c>
      <c r="BI121" s="421" t="s">
        <v>1331</v>
      </c>
    </row>
    <row r="122" spans="1:61" x14ac:dyDescent="0.25">
      <c r="A122" s="421">
        <v>119</v>
      </c>
      <c r="B122" s="421">
        <v>2015</v>
      </c>
      <c r="C122" s="421">
        <v>3</v>
      </c>
      <c r="D122" s="421">
        <v>9</v>
      </c>
      <c r="E122" s="421" t="s">
        <v>1475</v>
      </c>
      <c r="F122" s="421" t="s">
        <v>3325</v>
      </c>
      <c r="G122" s="421" t="s">
        <v>3132</v>
      </c>
      <c r="H122" s="421" t="s">
        <v>1107</v>
      </c>
      <c r="I122" s="421" t="s">
        <v>1564</v>
      </c>
      <c r="J122" s="421" t="s">
        <v>3369</v>
      </c>
      <c r="K122" s="421" t="s">
        <v>3093</v>
      </c>
      <c r="L122" s="421" t="s">
        <v>3094</v>
      </c>
      <c r="M122" s="421" t="s">
        <v>2667</v>
      </c>
      <c r="N122" s="421" t="s">
        <v>3093</v>
      </c>
      <c r="O122" s="421" t="s">
        <v>3094</v>
      </c>
      <c r="P122" s="421" t="s">
        <v>3095</v>
      </c>
      <c r="Q122" s="421" t="s">
        <v>3113</v>
      </c>
      <c r="R122" s="421" t="s">
        <v>1542</v>
      </c>
      <c r="S122" s="421" t="s">
        <v>1542</v>
      </c>
      <c r="T122" s="421" t="s">
        <v>1130</v>
      </c>
      <c r="U122" s="421" t="s">
        <v>1112</v>
      </c>
      <c r="V122" s="421" t="s">
        <v>3097</v>
      </c>
      <c r="W122" s="421" t="s">
        <v>3098</v>
      </c>
      <c r="X122" s="421" t="s">
        <v>3099</v>
      </c>
      <c r="Y122" s="421" t="s">
        <v>1117</v>
      </c>
      <c r="Z122" s="421" t="s">
        <v>1118</v>
      </c>
      <c r="AA122" s="421" t="s">
        <v>3100</v>
      </c>
      <c r="AB122" s="421" t="s">
        <v>3101</v>
      </c>
      <c r="AC122" s="421" t="s">
        <v>3102</v>
      </c>
      <c r="AD122" s="421" t="s">
        <v>3320</v>
      </c>
      <c r="AE122" s="421" t="s">
        <v>3370</v>
      </c>
      <c r="AF122" s="421" t="s">
        <v>2236</v>
      </c>
      <c r="AG122" s="421" t="s">
        <v>2237</v>
      </c>
      <c r="AH122" s="421" t="s">
        <v>3105</v>
      </c>
      <c r="AI122" s="421">
        <v>1403500</v>
      </c>
      <c r="AJ122" s="421">
        <v>3427.83</v>
      </c>
      <c r="AK122" s="421">
        <v>3714.06</v>
      </c>
      <c r="AL122" s="421">
        <v>2</v>
      </c>
      <c r="AM122" s="421" t="s">
        <v>3322</v>
      </c>
      <c r="AN122" s="421" t="s">
        <v>3371</v>
      </c>
      <c r="AO122" s="421" t="s">
        <v>1121</v>
      </c>
      <c r="AP122" s="421" t="s">
        <v>1121</v>
      </c>
      <c r="AQ122" s="421" t="s">
        <v>1542</v>
      </c>
      <c r="AR122" s="421" t="s">
        <v>3352</v>
      </c>
      <c r="AS122" s="421" t="s">
        <v>3372</v>
      </c>
      <c r="AT122" s="421" t="s">
        <v>3109</v>
      </c>
      <c r="AU122" s="421" t="s">
        <v>1142</v>
      </c>
      <c r="AV122" s="421" t="s">
        <v>3187</v>
      </c>
      <c r="AW122" s="421" t="s">
        <v>3110</v>
      </c>
      <c r="AX122" s="421" t="s">
        <v>3111</v>
      </c>
      <c r="AY122" s="421" t="s">
        <v>3112</v>
      </c>
      <c r="AZ122" s="421" t="s">
        <v>3113</v>
      </c>
      <c r="BA122" s="421" t="s">
        <v>3114</v>
      </c>
      <c r="BB122" s="421" t="s">
        <v>3115</v>
      </c>
      <c r="BC122" s="421">
        <v>48513.599999999999</v>
      </c>
      <c r="BD122" s="421">
        <v>124466977.3</v>
      </c>
      <c r="BE122" s="421">
        <v>0</v>
      </c>
      <c r="BF122" s="421">
        <v>0</v>
      </c>
      <c r="BG122" s="421">
        <v>0</v>
      </c>
      <c r="BH122" s="421">
        <v>0</v>
      </c>
      <c r="BI122" s="421" t="s">
        <v>1331</v>
      </c>
    </row>
    <row r="123" spans="1:61" x14ac:dyDescent="0.25">
      <c r="A123" s="421">
        <v>120</v>
      </c>
      <c r="B123" s="421">
        <v>2015</v>
      </c>
      <c r="C123" s="421">
        <v>3</v>
      </c>
      <c r="D123" s="421">
        <v>9</v>
      </c>
      <c r="E123" s="421" t="s">
        <v>1475</v>
      </c>
      <c r="F123" s="421" t="s">
        <v>3325</v>
      </c>
      <c r="G123" s="421" t="s">
        <v>3132</v>
      </c>
      <c r="H123" s="421" t="s">
        <v>1107</v>
      </c>
      <c r="I123" s="421" t="s">
        <v>1564</v>
      </c>
      <c r="J123" s="421" t="s">
        <v>3369</v>
      </c>
      <c r="K123" s="421" t="s">
        <v>3093</v>
      </c>
      <c r="L123" s="421" t="s">
        <v>3094</v>
      </c>
      <c r="M123" s="421" t="s">
        <v>2667</v>
      </c>
      <c r="N123" s="421" t="s">
        <v>3093</v>
      </c>
      <c r="O123" s="421" t="s">
        <v>3094</v>
      </c>
      <c r="P123" s="421" t="s">
        <v>3095</v>
      </c>
      <c r="Q123" s="421" t="s">
        <v>3113</v>
      </c>
      <c r="R123" s="421" t="s">
        <v>1542</v>
      </c>
      <c r="S123" s="421" t="s">
        <v>1542</v>
      </c>
      <c r="T123" s="421" t="s">
        <v>1130</v>
      </c>
      <c r="U123" s="421" t="s">
        <v>1112</v>
      </c>
      <c r="V123" s="421" t="s">
        <v>3097</v>
      </c>
      <c r="W123" s="421" t="s">
        <v>3098</v>
      </c>
      <c r="X123" s="421" t="s">
        <v>3099</v>
      </c>
      <c r="Y123" s="421" t="s">
        <v>1117</v>
      </c>
      <c r="Z123" s="421" t="s">
        <v>1118</v>
      </c>
      <c r="AA123" s="421" t="s">
        <v>3100</v>
      </c>
      <c r="AB123" s="421" t="s">
        <v>3101</v>
      </c>
      <c r="AC123" s="421" t="s">
        <v>3102</v>
      </c>
      <c r="AD123" s="421" t="s">
        <v>3320</v>
      </c>
      <c r="AE123" s="421" t="s">
        <v>3370</v>
      </c>
      <c r="AF123" s="421" t="s">
        <v>2236</v>
      </c>
      <c r="AG123" s="421" t="s">
        <v>2237</v>
      </c>
      <c r="AH123" s="421" t="s">
        <v>3105</v>
      </c>
      <c r="AI123" s="421">
        <v>309880</v>
      </c>
      <c r="AJ123" s="421">
        <v>1224.29</v>
      </c>
      <c r="AK123" s="421">
        <v>1326.52</v>
      </c>
      <c r="AL123" s="421">
        <v>3</v>
      </c>
      <c r="AM123" s="421" t="s">
        <v>3322</v>
      </c>
      <c r="AN123" s="421" t="s">
        <v>3371</v>
      </c>
      <c r="AO123" s="421" t="s">
        <v>1121</v>
      </c>
      <c r="AP123" s="421" t="s">
        <v>1121</v>
      </c>
      <c r="AQ123" s="421" t="s">
        <v>1542</v>
      </c>
      <c r="AR123" s="421" t="s">
        <v>3352</v>
      </c>
      <c r="AS123" s="421" t="s">
        <v>3372</v>
      </c>
      <c r="AT123" s="421" t="s">
        <v>3109</v>
      </c>
      <c r="AU123" s="421" t="s">
        <v>1142</v>
      </c>
      <c r="AV123" s="421" t="s">
        <v>3187</v>
      </c>
      <c r="AW123" s="421" t="s">
        <v>3110</v>
      </c>
      <c r="AX123" s="421" t="s">
        <v>3111</v>
      </c>
      <c r="AY123" s="421" t="s">
        <v>3112</v>
      </c>
      <c r="AZ123" s="421" t="s">
        <v>3113</v>
      </c>
      <c r="BA123" s="421" t="s">
        <v>3114</v>
      </c>
      <c r="BB123" s="421" t="s">
        <v>3115</v>
      </c>
      <c r="BC123" s="421">
        <v>34256.14</v>
      </c>
      <c r="BD123" s="421">
        <v>87887895.349999994</v>
      </c>
      <c r="BE123" s="421">
        <v>0</v>
      </c>
      <c r="BF123" s="421">
        <v>0</v>
      </c>
      <c r="BG123" s="421">
        <v>0</v>
      </c>
      <c r="BH123" s="421">
        <v>0</v>
      </c>
      <c r="BI123" s="421" t="s">
        <v>1331</v>
      </c>
    </row>
    <row r="124" spans="1:61" x14ac:dyDescent="0.25">
      <c r="A124" s="421">
        <v>121</v>
      </c>
      <c r="B124" s="421">
        <v>2015</v>
      </c>
      <c r="C124" s="421">
        <v>3</v>
      </c>
      <c r="D124" s="421">
        <v>9</v>
      </c>
      <c r="E124" s="421" t="s">
        <v>1475</v>
      </c>
      <c r="F124" s="421" t="s">
        <v>3325</v>
      </c>
      <c r="G124" s="421" t="s">
        <v>3132</v>
      </c>
      <c r="H124" s="421" t="s">
        <v>1107</v>
      </c>
      <c r="I124" s="421" t="s">
        <v>1564</v>
      </c>
      <c r="J124" s="421" t="s">
        <v>3369</v>
      </c>
      <c r="K124" s="421" t="s">
        <v>3093</v>
      </c>
      <c r="L124" s="421" t="s">
        <v>3094</v>
      </c>
      <c r="M124" s="421" t="s">
        <v>2667</v>
      </c>
      <c r="N124" s="421" t="s">
        <v>3093</v>
      </c>
      <c r="O124" s="421" t="s">
        <v>3094</v>
      </c>
      <c r="P124" s="421" t="s">
        <v>3095</v>
      </c>
      <c r="Q124" s="421" t="s">
        <v>3113</v>
      </c>
      <c r="R124" s="421" t="s">
        <v>1542</v>
      </c>
      <c r="S124" s="421" t="s">
        <v>1542</v>
      </c>
      <c r="T124" s="421" t="s">
        <v>1130</v>
      </c>
      <c r="U124" s="421" t="s">
        <v>1112</v>
      </c>
      <c r="V124" s="421" t="s">
        <v>3097</v>
      </c>
      <c r="W124" s="421" t="s">
        <v>3098</v>
      </c>
      <c r="X124" s="421" t="s">
        <v>3099</v>
      </c>
      <c r="Y124" s="421" t="s">
        <v>1117</v>
      </c>
      <c r="Z124" s="421" t="s">
        <v>1118</v>
      </c>
      <c r="AA124" s="421" t="s">
        <v>3100</v>
      </c>
      <c r="AB124" s="421" t="s">
        <v>3101</v>
      </c>
      <c r="AC124" s="421" t="s">
        <v>3102</v>
      </c>
      <c r="AD124" s="421" t="s">
        <v>3320</v>
      </c>
      <c r="AE124" s="421" t="s">
        <v>3370</v>
      </c>
      <c r="AF124" s="421" t="s">
        <v>2236</v>
      </c>
      <c r="AG124" s="421" t="s">
        <v>2237</v>
      </c>
      <c r="AH124" s="421" t="s">
        <v>3105</v>
      </c>
      <c r="AI124" s="421">
        <v>74400</v>
      </c>
      <c r="AJ124" s="421">
        <v>306.97000000000003</v>
      </c>
      <c r="AK124" s="421">
        <v>332.6</v>
      </c>
      <c r="AL124" s="421">
        <v>4</v>
      </c>
      <c r="AM124" s="421" t="s">
        <v>3322</v>
      </c>
      <c r="AN124" s="421" t="s">
        <v>3371</v>
      </c>
      <c r="AO124" s="421" t="s">
        <v>1121</v>
      </c>
      <c r="AP124" s="421" t="s">
        <v>1121</v>
      </c>
      <c r="AQ124" s="421" t="s">
        <v>1542</v>
      </c>
      <c r="AR124" s="421" t="s">
        <v>3352</v>
      </c>
      <c r="AS124" s="421" t="s">
        <v>3372</v>
      </c>
      <c r="AT124" s="421" t="s">
        <v>3109</v>
      </c>
      <c r="AU124" s="421" t="s">
        <v>1142</v>
      </c>
      <c r="AV124" s="421" t="s">
        <v>3187</v>
      </c>
      <c r="AW124" s="421" t="s">
        <v>3110</v>
      </c>
      <c r="AX124" s="421" t="s">
        <v>3111</v>
      </c>
      <c r="AY124" s="421" t="s">
        <v>3112</v>
      </c>
      <c r="AZ124" s="421" t="s">
        <v>3113</v>
      </c>
      <c r="BA124" s="421" t="s">
        <v>3114</v>
      </c>
      <c r="BB124" s="421" t="s">
        <v>3115</v>
      </c>
      <c r="BC124" s="421">
        <v>7843.7</v>
      </c>
      <c r="BD124" s="421">
        <v>20123875.16</v>
      </c>
      <c r="BE124" s="421">
        <v>0</v>
      </c>
      <c r="BF124" s="421">
        <v>0</v>
      </c>
      <c r="BG124" s="421">
        <v>0</v>
      </c>
      <c r="BH124" s="421">
        <v>0</v>
      </c>
      <c r="BI124" s="421" t="s">
        <v>1331</v>
      </c>
    </row>
    <row r="125" spans="1:61" x14ac:dyDescent="0.25">
      <c r="A125" s="421">
        <v>122</v>
      </c>
      <c r="B125" s="421">
        <v>2015</v>
      </c>
      <c r="C125" s="421">
        <v>3</v>
      </c>
      <c r="D125" s="421">
        <v>9</v>
      </c>
      <c r="E125" s="421" t="s">
        <v>1475</v>
      </c>
      <c r="F125" s="421" t="s">
        <v>3325</v>
      </c>
      <c r="G125" s="421" t="s">
        <v>3132</v>
      </c>
      <c r="H125" s="421" t="s">
        <v>1107</v>
      </c>
      <c r="I125" s="421" t="s">
        <v>1564</v>
      </c>
      <c r="J125" s="421" t="s">
        <v>3377</v>
      </c>
      <c r="K125" s="421" t="s">
        <v>3093</v>
      </c>
      <c r="L125" s="421" t="s">
        <v>3094</v>
      </c>
      <c r="M125" s="421" t="s">
        <v>2667</v>
      </c>
      <c r="N125" s="421" t="s">
        <v>3093</v>
      </c>
      <c r="O125" s="421" t="s">
        <v>3094</v>
      </c>
      <c r="P125" s="421" t="s">
        <v>3095</v>
      </c>
      <c r="Q125" s="421" t="s">
        <v>3113</v>
      </c>
      <c r="R125" s="421" t="s">
        <v>1108</v>
      </c>
      <c r="S125" s="421" t="s">
        <v>1108</v>
      </c>
      <c r="T125" s="421" t="s">
        <v>1130</v>
      </c>
      <c r="U125" s="421" t="s">
        <v>1112</v>
      </c>
      <c r="V125" s="421" t="s">
        <v>3097</v>
      </c>
      <c r="W125" s="421" t="s">
        <v>3098</v>
      </c>
      <c r="X125" s="421" t="s">
        <v>3099</v>
      </c>
      <c r="Y125" s="421" t="s">
        <v>1117</v>
      </c>
      <c r="Z125" s="421" t="s">
        <v>1118</v>
      </c>
      <c r="AA125" s="421" t="s">
        <v>3100</v>
      </c>
      <c r="AB125" s="421" t="s">
        <v>3101</v>
      </c>
      <c r="AC125" s="421" t="s">
        <v>3102</v>
      </c>
      <c r="AD125" s="421" t="s">
        <v>3269</v>
      </c>
      <c r="AE125" s="421" t="s">
        <v>3378</v>
      </c>
      <c r="AF125" s="421" t="s">
        <v>2236</v>
      </c>
      <c r="AG125" s="421" t="s">
        <v>2237</v>
      </c>
      <c r="AH125" s="421" t="s">
        <v>3105</v>
      </c>
      <c r="AI125" s="421">
        <v>50000</v>
      </c>
      <c r="AJ125" s="421">
        <v>185.49</v>
      </c>
      <c r="AK125" s="421">
        <v>201.03</v>
      </c>
      <c r="AL125" s="421">
        <v>3</v>
      </c>
      <c r="AM125" s="421" t="s">
        <v>966</v>
      </c>
      <c r="AN125" s="421" t="s">
        <v>3271</v>
      </c>
      <c r="AO125" s="421" t="s">
        <v>1121</v>
      </c>
      <c r="AP125" s="421" t="s">
        <v>1121</v>
      </c>
      <c r="AQ125" s="421" t="s">
        <v>1108</v>
      </c>
      <c r="AR125" s="421" t="s">
        <v>3352</v>
      </c>
      <c r="AS125" s="421" t="s">
        <v>3379</v>
      </c>
      <c r="AT125" s="421" t="s">
        <v>3109</v>
      </c>
      <c r="AU125" s="421" t="s">
        <v>1142</v>
      </c>
      <c r="AV125" s="421" t="s">
        <v>2037</v>
      </c>
      <c r="AW125" s="421" t="s">
        <v>3110</v>
      </c>
      <c r="AX125" s="421" t="s">
        <v>3111</v>
      </c>
      <c r="AY125" s="421" t="s">
        <v>3112</v>
      </c>
      <c r="AZ125" s="421" t="s">
        <v>3113</v>
      </c>
      <c r="BA125" s="421" t="s">
        <v>3114</v>
      </c>
      <c r="BB125" s="421" t="s">
        <v>3115</v>
      </c>
      <c r="BC125" s="421">
        <v>4262</v>
      </c>
      <c r="BD125" s="421">
        <v>10934629.82</v>
      </c>
      <c r="BE125" s="421">
        <v>0</v>
      </c>
      <c r="BF125" s="421">
        <v>49.78</v>
      </c>
      <c r="BG125" s="421">
        <v>10.78</v>
      </c>
      <c r="BH125" s="421">
        <v>25.73</v>
      </c>
      <c r="BI125" s="421" t="s">
        <v>1167</v>
      </c>
    </row>
    <row r="126" spans="1:61" x14ac:dyDescent="0.25">
      <c r="A126" s="421">
        <v>123</v>
      </c>
      <c r="B126" s="421">
        <v>2015</v>
      </c>
      <c r="C126" s="421">
        <v>3</v>
      </c>
      <c r="D126" s="421">
        <v>9</v>
      </c>
      <c r="E126" s="421" t="s">
        <v>1475</v>
      </c>
      <c r="F126" s="421" t="s">
        <v>3325</v>
      </c>
      <c r="G126" s="421" t="s">
        <v>3132</v>
      </c>
      <c r="H126" s="421" t="s">
        <v>1107</v>
      </c>
      <c r="I126" s="421" t="s">
        <v>1564</v>
      </c>
      <c r="J126" s="421" t="s">
        <v>3377</v>
      </c>
      <c r="K126" s="421" t="s">
        <v>3093</v>
      </c>
      <c r="L126" s="421" t="s">
        <v>3094</v>
      </c>
      <c r="M126" s="421" t="s">
        <v>2667</v>
      </c>
      <c r="N126" s="421" t="s">
        <v>3093</v>
      </c>
      <c r="O126" s="421" t="s">
        <v>3094</v>
      </c>
      <c r="P126" s="421" t="s">
        <v>3095</v>
      </c>
      <c r="Q126" s="421" t="s">
        <v>3113</v>
      </c>
      <c r="R126" s="421" t="s">
        <v>1108</v>
      </c>
      <c r="S126" s="421" t="s">
        <v>1108</v>
      </c>
      <c r="T126" s="421" t="s">
        <v>1130</v>
      </c>
      <c r="U126" s="421" t="s">
        <v>1112</v>
      </c>
      <c r="V126" s="421" t="s">
        <v>3097</v>
      </c>
      <c r="W126" s="421" t="s">
        <v>3098</v>
      </c>
      <c r="X126" s="421" t="s">
        <v>3099</v>
      </c>
      <c r="Y126" s="421" t="s">
        <v>1117</v>
      </c>
      <c r="Z126" s="421" t="s">
        <v>1118</v>
      </c>
      <c r="AA126" s="421" t="s">
        <v>3100</v>
      </c>
      <c r="AB126" s="421" t="s">
        <v>3101</v>
      </c>
      <c r="AC126" s="421" t="s">
        <v>3102</v>
      </c>
      <c r="AD126" s="421" t="s">
        <v>3269</v>
      </c>
      <c r="AE126" s="421" t="s">
        <v>3378</v>
      </c>
      <c r="AF126" s="421" t="s">
        <v>2236</v>
      </c>
      <c r="AG126" s="421" t="s">
        <v>2237</v>
      </c>
      <c r="AH126" s="421" t="s">
        <v>3105</v>
      </c>
      <c r="AI126" s="421">
        <v>9000</v>
      </c>
      <c r="AJ126" s="421">
        <v>34.07</v>
      </c>
      <c r="AK126" s="421">
        <v>36.92</v>
      </c>
      <c r="AL126" s="421">
        <v>4</v>
      </c>
      <c r="AM126" s="421" t="s">
        <v>966</v>
      </c>
      <c r="AN126" s="421" t="s">
        <v>3271</v>
      </c>
      <c r="AO126" s="421" t="s">
        <v>1121</v>
      </c>
      <c r="AP126" s="421" t="s">
        <v>1121</v>
      </c>
      <c r="AQ126" s="421" t="s">
        <v>1108</v>
      </c>
      <c r="AR126" s="421" t="s">
        <v>3352</v>
      </c>
      <c r="AS126" s="421" t="s">
        <v>3379</v>
      </c>
      <c r="AT126" s="421" t="s">
        <v>3109</v>
      </c>
      <c r="AU126" s="421" t="s">
        <v>1142</v>
      </c>
      <c r="AV126" s="421" t="s">
        <v>2037</v>
      </c>
      <c r="AW126" s="421" t="s">
        <v>3110</v>
      </c>
      <c r="AX126" s="421" t="s">
        <v>3111</v>
      </c>
      <c r="AY126" s="421" t="s">
        <v>3112</v>
      </c>
      <c r="AZ126" s="421" t="s">
        <v>3113</v>
      </c>
      <c r="BA126" s="421" t="s">
        <v>3114</v>
      </c>
      <c r="BB126" s="421" t="s">
        <v>3115</v>
      </c>
      <c r="BC126" s="421">
        <v>738</v>
      </c>
      <c r="BD126" s="421">
        <v>1893420.18</v>
      </c>
      <c r="BE126" s="421">
        <v>0</v>
      </c>
      <c r="BF126" s="421">
        <v>8.6199999999999992</v>
      </c>
      <c r="BG126" s="421">
        <v>1.87</v>
      </c>
      <c r="BH126" s="421">
        <v>4.46</v>
      </c>
      <c r="BI126" s="421" t="s">
        <v>1167</v>
      </c>
    </row>
    <row r="127" spans="1:61" x14ac:dyDescent="0.25">
      <c r="A127" s="421">
        <v>124</v>
      </c>
      <c r="B127" s="421">
        <v>2015</v>
      </c>
      <c r="C127" s="421">
        <v>3</v>
      </c>
      <c r="D127" s="421">
        <v>9</v>
      </c>
      <c r="E127" s="421" t="s">
        <v>1475</v>
      </c>
      <c r="F127" s="421" t="s">
        <v>3325</v>
      </c>
      <c r="G127" s="421" t="s">
        <v>3132</v>
      </c>
      <c r="H127" s="421" t="s">
        <v>1107</v>
      </c>
      <c r="I127" s="421" t="s">
        <v>1564</v>
      </c>
      <c r="J127" s="421" t="s">
        <v>3377</v>
      </c>
      <c r="K127" s="421" t="s">
        <v>3093</v>
      </c>
      <c r="L127" s="421" t="s">
        <v>3094</v>
      </c>
      <c r="M127" s="421" t="s">
        <v>2667</v>
      </c>
      <c r="N127" s="421" t="s">
        <v>3093</v>
      </c>
      <c r="O127" s="421" t="s">
        <v>3094</v>
      </c>
      <c r="P127" s="421" t="s">
        <v>3095</v>
      </c>
      <c r="Q127" s="421" t="s">
        <v>3113</v>
      </c>
      <c r="R127" s="421" t="s">
        <v>1108</v>
      </c>
      <c r="S127" s="421" t="s">
        <v>1108</v>
      </c>
      <c r="T127" s="421" t="s">
        <v>1130</v>
      </c>
      <c r="U127" s="421" t="s">
        <v>1112</v>
      </c>
      <c r="V127" s="421" t="s">
        <v>3097</v>
      </c>
      <c r="W127" s="421" t="s">
        <v>3098</v>
      </c>
      <c r="X127" s="421" t="s">
        <v>3099</v>
      </c>
      <c r="Y127" s="421" t="s">
        <v>1117</v>
      </c>
      <c r="Z127" s="421" t="s">
        <v>1118</v>
      </c>
      <c r="AA127" s="421" t="s">
        <v>3100</v>
      </c>
      <c r="AB127" s="421" t="s">
        <v>3101</v>
      </c>
      <c r="AC127" s="421" t="s">
        <v>3102</v>
      </c>
      <c r="AD127" s="421" t="s">
        <v>3269</v>
      </c>
      <c r="AE127" s="421" t="s">
        <v>3378</v>
      </c>
      <c r="AF127" s="421" t="s">
        <v>2236</v>
      </c>
      <c r="AG127" s="421" t="s">
        <v>2237</v>
      </c>
      <c r="AH127" s="421" t="s">
        <v>3105</v>
      </c>
      <c r="AI127" s="421">
        <v>1076000</v>
      </c>
      <c r="AJ127" s="421">
        <v>2504.9299999999998</v>
      </c>
      <c r="AK127" s="421">
        <v>2714.76</v>
      </c>
      <c r="AL127" s="421">
        <v>2</v>
      </c>
      <c r="AM127" s="421" t="s">
        <v>966</v>
      </c>
      <c r="AN127" s="421" t="s">
        <v>3271</v>
      </c>
      <c r="AO127" s="421" t="s">
        <v>1121</v>
      </c>
      <c r="AP127" s="421" t="s">
        <v>1121</v>
      </c>
      <c r="AQ127" s="421" t="s">
        <v>1108</v>
      </c>
      <c r="AR127" s="421" t="s">
        <v>3352</v>
      </c>
      <c r="AS127" s="421" t="s">
        <v>3379</v>
      </c>
      <c r="AT127" s="421" t="s">
        <v>3109</v>
      </c>
      <c r="AU127" s="421" t="s">
        <v>1142</v>
      </c>
      <c r="AV127" s="421" t="s">
        <v>2037</v>
      </c>
      <c r="AW127" s="421" t="s">
        <v>3110</v>
      </c>
      <c r="AX127" s="421" t="s">
        <v>3111</v>
      </c>
      <c r="AY127" s="421" t="s">
        <v>3112</v>
      </c>
      <c r="AZ127" s="421" t="s">
        <v>3113</v>
      </c>
      <c r="BA127" s="421" t="s">
        <v>3114</v>
      </c>
      <c r="BB127" s="421" t="s">
        <v>3115</v>
      </c>
      <c r="BC127" s="421">
        <v>32058.9</v>
      </c>
      <c r="BD127" s="421">
        <v>82250634.430000007</v>
      </c>
      <c r="BE127" s="421">
        <v>0</v>
      </c>
      <c r="BF127" s="421">
        <v>374.42</v>
      </c>
      <c r="BG127" s="421">
        <v>81.08</v>
      </c>
      <c r="BH127" s="421">
        <v>193.57</v>
      </c>
      <c r="BI127" s="421" t="s">
        <v>1167</v>
      </c>
    </row>
    <row r="128" spans="1:61" x14ac:dyDescent="0.25">
      <c r="A128" s="421">
        <v>125</v>
      </c>
      <c r="B128" s="421">
        <v>2015</v>
      </c>
      <c r="C128" s="421">
        <v>3</v>
      </c>
      <c r="D128" s="421">
        <v>9</v>
      </c>
      <c r="E128" s="421" t="s">
        <v>1475</v>
      </c>
      <c r="F128" s="421" t="s">
        <v>3325</v>
      </c>
      <c r="G128" s="421" t="s">
        <v>3132</v>
      </c>
      <c r="H128" s="421" t="s">
        <v>1107</v>
      </c>
      <c r="I128" s="421" t="s">
        <v>1564</v>
      </c>
      <c r="J128" s="421" t="s">
        <v>3377</v>
      </c>
      <c r="K128" s="421" t="s">
        <v>3093</v>
      </c>
      <c r="L128" s="421" t="s">
        <v>3094</v>
      </c>
      <c r="M128" s="421" t="s">
        <v>2667</v>
      </c>
      <c r="N128" s="421" t="s">
        <v>3093</v>
      </c>
      <c r="O128" s="421" t="s">
        <v>3094</v>
      </c>
      <c r="P128" s="421" t="s">
        <v>3095</v>
      </c>
      <c r="Q128" s="421" t="s">
        <v>3113</v>
      </c>
      <c r="R128" s="421" t="s">
        <v>1108</v>
      </c>
      <c r="S128" s="421" t="s">
        <v>1108</v>
      </c>
      <c r="T128" s="421" t="s">
        <v>1130</v>
      </c>
      <c r="U128" s="421" t="s">
        <v>1112</v>
      </c>
      <c r="V128" s="421" t="s">
        <v>3097</v>
      </c>
      <c r="W128" s="421" t="s">
        <v>3098</v>
      </c>
      <c r="X128" s="421" t="s">
        <v>3099</v>
      </c>
      <c r="Y128" s="421" t="s">
        <v>1117</v>
      </c>
      <c r="Z128" s="421" t="s">
        <v>1118</v>
      </c>
      <c r="AA128" s="421" t="s">
        <v>3100</v>
      </c>
      <c r="AB128" s="421" t="s">
        <v>3101</v>
      </c>
      <c r="AC128" s="421" t="s">
        <v>3102</v>
      </c>
      <c r="AD128" s="421" t="s">
        <v>3269</v>
      </c>
      <c r="AE128" s="421" t="s">
        <v>3378</v>
      </c>
      <c r="AF128" s="421" t="s">
        <v>2236</v>
      </c>
      <c r="AG128" s="421" t="s">
        <v>2237</v>
      </c>
      <c r="AH128" s="421" t="s">
        <v>3105</v>
      </c>
      <c r="AI128" s="421">
        <v>1439500</v>
      </c>
      <c r="AJ128" s="421">
        <v>3914.67</v>
      </c>
      <c r="AK128" s="421">
        <v>4242.59</v>
      </c>
      <c r="AL128" s="421">
        <v>1</v>
      </c>
      <c r="AM128" s="421" t="s">
        <v>966</v>
      </c>
      <c r="AN128" s="421" t="s">
        <v>3271</v>
      </c>
      <c r="AO128" s="421" t="s">
        <v>1121</v>
      </c>
      <c r="AP128" s="421" t="s">
        <v>1121</v>
      </c>
      <c r="AQ128" s="421" t="s">
        <v>1108</v>
      </c>
      <c r="AR128" s="421" t="s">
        <v>3352</v>
      </c>
      <c r="AS128" s="421" t="s">
        <v>3379</v>
      </c>
      <c r="AT128" s="421" t="s">
        <v>3109</v>
      </c>
      <c r="AU128" s="421" t="s">
        <v>1142</v>
      </c>
      <c r="AV128" s="421" t="s">
        <v>2037</v>
      </c>
      <c r="AW128" s="421" t="s">
        <v>3110</v>
      </c>
      <c r="AX128" s="421" t="s">
        <v>3111</v>
      </c>
      <c r="AY128" s="421" t="s">
        <v>3112</v>
      </c>
      <c r="AZ128" s="421" t="s">
        <v>3113</v>
      </c>
      <c r="BA128" s="421" t="s">
        <v>3114</v>
      </c>
      <c r="BB128" s="421" t="s">
        <v>3115</v>
      </c>
      <c r="BC128" s="421">
        <v>57125.5</v>
      </c>
      <c r="BD128" s="421">
        <v>146561754.06</v>
      </c>
      <c r="BE128" s="421">
        <v>0</v>
      </c>
      <c r="BF128" s="421">
        <v>667.18</v>
      </c>
      <c r="BG128" s="421">
        <v>144.47999999999999</v>
      </c>
      <c r="BH128" s="421">
        <v>344.93</v>
      </c>
      <c r="BI128" s="421" t="s">
        <v>1167</v>
      </c>
    </row>
    <row r="129" spans="1:61" x14ac:dyDescent="0.25">
      <c r="A129" s="421">
        <v>126</v>
      </c>
      <c r="B129" s="421">
        <v>2015</v>
      </c>
      <c r="C129" s="421">
        <v>3</v>
      </c>
      <c r="D129" s="421">
        <v>11</v>
      </c>
      <c r="E129" s="421" t="s">
        <v>1475</v>
      </c>
      <c r="F129" s="421" t="s">
        <v>3325</v>
      </c>
      <c r="G129" s="421" t="s">
        <v>3273</v>
      </c>
      <c r="H129" s="421" t="s">
        <v>1107</v>
      </c>
      <c r="I129" s="421" t="s">
        <v>1581</v>
      </c>
      <c r="J129" s="421" t="s">
        <v>3380</v>
      </c>
      <c r="K129" s="421" t="s">
        <v>3352</v>
      </c>
      <c r="L129" s="421" t="s">
        <v>3381</v>
      </c>
      <c r="M129" s="421" t="s">
        <v>2667</v>
      </c>
      <c r="N129" s="421" t="s">
        <v>3093</v>
      </c>
      <c r="O129" s="421" t="s">
        <v>3094</v>
      </c>
      <c r="P129" s="421" t="s">
        <v>3382</v>
      </c>
      <c r="Q129" s="421" t="s">
        <v>3113</v>
      </c>
      <c r="R129" s="421" t="s">
        <v>1108</v>
      </c>
      <c r="S129" s="421" t="s">
        <v>1108</v>
      </c>
      <c r="T129" s="421" t="s">
        <v>1130</v>
      </c>
      <c r="U129" s="421" t="s">
        <v>1112</v>
      </c>
      <c r="V129" s="421" t="s">
        <v>3097</v>
      </c>
      <c r="W129" s="421" t="s">
        <v>3098</v>
      </c>
      <c r="X129" s="421" t="s">
        <v>3099</v>
      </c>
      <c r="Y129" s="421" t="s">
        <v>1117</v>
      </c>
      <c r="Z129" s="421" t="s">
        <v>1118</v>
      </c>
      <c r="AA129" s="421" t="s">
        <v>3100</v>
      </c>
      <c r="AB129" s="421" t="s">
        <v>3101</v>
      </c>
      <c r="AC129" s="421" t="s">
        <v>3102</v>
      </c>
      <c r="AD129" s="421" t="s">
        <v>3383</v>
      </c>
      <c r="AE129" s="421" t="s">
        <v>3384</v>
      </c>
      <c r="AF129" s="421" t="s">
        <v>2236</v>
      </c>
      <c r="AG129" s="421" t="s">
        <v>2237</v>
      </c>
      <c r="AH129" s="421" t="s">
        <v>3105</v>
      </c>
      <c r="AI129" s="421">
        <v>33000</v>
      </c>
      <c r="AJ129" s="421">
        <v>125.93</v>
      </c>
      <c r="AK129" s="421">
        <v>136.72</v>
      </c>
      <c r="AL129" s="421">
        <v>4</v>
      </c>
      <c r="AM129" s="421" t="s">
        <v>1933</v>
      </c>
      <c r="AN129" s="421" t="s">
        <v>3385</v>
      </c>
      <c r="AO129" s="421" t="s">
        <v>1121</v>
      </c>
      <c r="AP129" s="421" t="s">
        <v>1121</v>
      </c>
      <c r="AQ129" s="421" t="s">
        <v>1108</v>
      </c>
      <c r="AR129" s="421" t="s">
        <v>3352</v>
      </c>
      <c r="AS129" s="421" t="s">
        <v>3386</v>
      </c>
      <c r="AT129" s="421" t="s">
        <v>3109</v>
      </c>
      <c r="AU129" s="421" t="s">
        <v>1142</v>
      </c>
      <c r="AV129" s="421" t="s">
        <v>3187</v>
      </c>
      <c r="AW129" s="421" t="s">
        <v>3110</v>
      </c>
      <c r="AX129" s="421" t="s">
        <v>3131</v>
      </c>
      <c r="AY129" s="421" t="s">
        <v>3193</v>
      </c>
      <c r="AZ129" s="421" t="s">
        <v>3113</v>
      </c>
      <c r="BA129" s="421" t="s">
        <v>3114</v>
      </c>
      <c r="BB129" s="421" t="s">
        <v>3115</v>
      </c>
      <c r="BC129" s="421">
        <v>2937</v>
      </c>
      <c r="BD129" s="421">
        <v>7691386.2300000004</v>
      </c>
      <c r="BE129" s="421">
        <v>0</v>
      </c>
      <c r="BF129" s="421">
        <v>24.49</v>
      </c>
      <c r="BG129" s="421">
        <v>7.4</v>
      </c>
      <c r="BH129" s="421">
        <v>0</v>
      </c>
      <c r="BI129" s="421" t="s">
        <v>1149</v>
      </c>
    </row>
    <row r="130" spans="1:61" x14ac:dyDescent="0.25">
      <c r="A130" s="421">
        <v>127</v>
      </c>
      <c r="B130" s="421">
        <v>2015</v>
      </c>
      <c r="C130" s="421">
        <v>3</v>
      </c>
      <c r="D130" s="421">
        <v>11</v>
      </c>
      <c r="E130" s="421" t="s">
        <v>1475</v>
      </c>
      <c r="F130" s="421" t="s">
        <v>3325</v>
      </c>
      <c r="G130" s="421" t="s">
        <v>3273</v>
      </c>
      <c r="H130" s="421" t="s">
        <v>1107</v>
      </c>
      <c r="I130" s="421" t="s">
        <v>1581</v>
      </c>
      <c r="J130" s="421" t="s">
        <v>3380</v>
      </c>
      <c r="K130" s="421" t="s">
        <v>3352</v>
      </c>
      <c r="L130" s="421" t="s">
        <v>3381</v>
      </c>
      <c r="M130" s="421" t="s">
        <v>2667</v>
      </c>
      <c r="N130" s="421" t="s">
        <v>3093</v>
      </c>
      <c r="O130" s="421" t="s">
        <v>3094</v>
      </c>
      <c r="P130" s="421" t="s">
        <v>3382</v>
      </c>
      <c r="Q130" s="421" t="s">
        <v>3113</v>
      </c>
      <c r="R130" s="421" t="s">
        <v>1108</v>
      </c>
      <c r="S130" s="421" t="s">
        <v>1108</v>
      </c>
      <c r="T130" s="421" t="s">
        <v>1130</v>
      </c>
      <c r="U130" s="421" t="s">
        <v>1112</v>
      </c>
      <c r="V130" s="421" t="s">
        <v>3097</v>
      </c>
      <c r="W130" s="421" t="s">
        <v>3098</v>
      </c>
      <c r="X130" s="421" t="s">
        <v>3099</v>
      </c>
      <c r="Y130" s="421" t="s">
        <v>1117</v>
      </c>
      <c r="Z130" s="421" t="s">
        <v>1118</v>
      </c>
      <c r="AA130" s="421" t="s">
        <v>3100</v>
      </c>
      <c r="AB130" s="421" t="s">
        <v>3101</v>
      </c>
      <c r="AC130" s="421" t="s">
        <v>3102</v>
      </c>
      <c r="AD130" s="421" t="s">
        <v>3383</v>
      </c>
      <c r="AE130" s="421" t="s">
        <v>3384</v>
      </c>
      <c r="AF130" s="421" t="s">
        <v>2236</v>
      </c>
      <c r="AG130" s="421" t="s">
        <v>2237</v>
      </c>
      <c r="AH130" s="421" t="s">
        <v>3105</v>
      </c>
      <c r="AI130" s="421">
        <v>1798000</v>
      </c>
      <c r="AJ130" s="421">
        <v>4015.61</v>
      </c>
      <c r="AK130" s="421">
        <v>4359.53</v>
      </c>
      <c r="AL130" s="421">
        <v>1</v>
      </c>
      <c r="AM130" s="421" t="s">
        <v>1933</v>
      </c>
      <c r="AN130" s="421" t="s">
        <v>3385</v>
      </c>
      <c r="AO130" s="421" t="s">
        <v>1121</v>
      </c>
      <c r="AP130" s="421" t="s">
        <v>1121</v>
      </c>
      <c r="AQ130" s="421" t="s">
        <v>1108</v>
      </c>
      <c r="AR130" s="421" t="s">
        <v>3352</v>
      </c>
      <c r="AS130" s="421" t="s">
        <v>3386</v>
      </c>
      <c r="AT130" s="421" t="s">
        <v>3109</v>
      </c>
      <c r="AU130" s="421" t="s">
        <v>1142</v>
      </c>
      <c r="AV130" s="421" t="s">
        <v>3187</v>
      </c>
      <c r="AW130" s="421" t="s">
        <v>3110</v>
      </c>
      <c r="AX130" s="421" t="s">
        <v>3131</v>
      </c>
      <c r="AY130" s="421" t="s">
        <v>3193</v>
      </c>
      <c r="AZ130" s="421" t="s">
        <v>3113</v>
      </c>
      <c r="BA130" s="421" t="s">
        <v>3114</v>
      </c>
      <c r="BB130" s="421" t="s">
        <v>3115</v>
      </c>
      <c r="BC130" s="421">
        <v>58606</v>
      </c>
      <c r="BD130" s="421">
        <v>153476806.74000001</v>
      </c>
      <c r="BE130" s="421">
        <v>0</v>
      </c>
      <c r="BF130" s="421">
        <v>488.6</v>
      </c>
      <c r="BG130" s="421">
        <v>147.74</v>
      </c>
      <c r="BH130" s="421">
        <v>0</v>
      </c>
      <c r="BI130" s="421" t="s">
        <v>1149</v>
      </c>
    </row>
    <row r="131" spans="1:61" x14ac:dyDescent="0.25">
      <c r="A131" s="421">
        <v>128</v>
      </c>
      <c r="B131" s="421">
        <v>2015</v>
      </c>
      <c r="C131" s="421">
        <v>3</v>
      </c>
      <c r="D131" s="421">
        <v>11</v>
      </c>
      <c r="E131" s="421" t="s">
        <v>1475</v>
      </c>
      <c r="F131" s="421" t="s">
        <v>3325</v>
      </c>
      <c r="G131" s="421" t="s">
        <v>3273</v>
      </c>
      <c r="H131" s="421" t="s">
        <v>1107</v>
      </c>
      <c r="I131" s="421" t="s">
        <v>1581</v>
      </c>
      <c r="J131" s="421" t="s">
        <v>3380</v>
      </c>
      <c r="K131" s="421" t="s">
        <v>3352</v>
      </c>
      <c r="L131" s="421" t="s">
        <v>3381</v>
      </c>
      <c r="M131" s="421" t="s">
        <v>2667</v>
      </c>
      <c r="N131" s="421" t="s">
        <v>3093</v>
      </c>
      <c r="O131" s="421" t="s">
        <v>3094</v>
      </c>
      <c r="P131" s="421" t="s">
        <v>3382</v>
      </c>
      <c r="Q131" s="421" t="s">
        <v>3113</v>
      </c>
      <c r="R131" s="421" t="s">
        <v>1108</v>
      </c>
      <c r="S131" s="421" t="s">
        <v>1108</v>
      </c>
      <c r="T131" s="421" t="s">
        <v>1130</v>
      </c>
      <c r="U131" s="421" t="s">
        <v>1112</v>
      </c>
      <c r="V131" s="421" t="s">
        <v>3097</v>
      </c>
      <c r="W131" s="421" t="s">
        <v>3098</v>
      </c>
      <c r="X131" s="421" t="s">
        <v>3099</v>
      </c>
      <c r="Y131" s="421" t="s">
        <v>1117</v>
      </c>
      <c r="Z131" s="421" t="s">
        <v>1118</v>
      </c>
      <c r="AA131" s="421" t="s">
        <v>3100</v>
      </c>
      <c r="AB131" s="421" t="s">
        <v>3101</v>
      </c>
      <c r="AC131" s="421" t="s">
        <v>3102</v>
      </c>
      <c r="AD131" s="421" t="s">
        <v>3383</v>
      </c>
      <c r="AE131" s="421" t="s">
        <v>3384</v>
      </c>
      <c r="AF131" s="421" t="s">
        <v>2236</v>
      </c>
      <c r="AG131" s="421" t="s">
        <v>2237</v>
      </c>
      <c r="AH131" s="421" t="s">
        <v>3105</v>
      </c>
      <c r="AI131" s="421">
        <v>448500</v>
      </c>
      <c r="AJ131" s="421">
        <v>1040.02</v>
      </c>
      <c r="AK131" s="421">
        <v>1129.0899999999999</v>
      </c>
      <c r="AL131" s="421">
        <v>2</v>
      </c>
      <c r="AM131" s="421" t="s">
        <v>1933</v>
      </c>
      <c r="AN131" s="421" t="s">
        <v>3385</v>
      </c>
      <c r="AO131" s="421" t="s">
        <v>1121</v>
      </c>
      <c r="AP131" s="421" t="s">
        <v>1121</v>
      </c>
      <c r="AQ131" s="421" t="s">
        <v>1108</v>
      </c>
      <c r="AR131" s="421" t="s">
        <v>3352</v>
      </c>
      <c r="AS131" s="421" t="s">
        <v>3386</v>
      </c>
      <c r="AT131" s="421" t="s">
        <v>3109</v>
      </c>
      <c r="AU131" s="421" t="s">
        <v>1142</v>
      </c>
      <c r="AV131" s="421" t="s">
        <v>3187</v>
      </c>
      <c r="AW131" s="421" t="s">
        <v>3110</v>
      </c>
      <c r="AX131" s="421" t="s">
        <v>3131</v>
      </c>
      <c r="AY131" s="421" t="s">
        <v>3193</v>
      </c>
      <c r="AZ131" s="421" t="s">
        <v>3113</v>
      </c>
      <c r="BA131" s="421" t="s">
        <v>3114</v>
      </c>
      <c r="BB131" s="421" t="s">
        <v>3115</v>
      </c>
      <c r="BC131" s="421">
        <v>15213.5</v>
      </c>
      <c r="BD131" s="421">
        <v>39840961.670000002</v>
      </c>
      <c r="BE131" s="421">
        <v>0</v>
      </c>
      <c r="BF131" s="421">
        <v>126.84</v>
      </c>
      <c r="BG131" s="421">
        <v>38.35</v>
      </c>
      <c r="BH131" s="421">
        <v>0</v>
      </c>
      <c r="BI131" s="421" t="s">
        <v>1149</v>
      </c>
    </row>
    <row r="132" spans="1:61" x14ac:dyDescent="0.25">
      <c r="A132" s="421">
        <v>129</v>
      </c>
      <c r="B132" s="421">
        <v>2015</v>
      </c>
      <c r="C132" s="421">
        <v>3</v>
      </c>
      <c r="D132" s="421">
        <v>11</v>
      </c>
      <c r="E132" s="421" t="s">
        <v>1475</v>
      </c>
      <c r="F132" s="421" t="s">
        <v>3325</v>
      </c>
      <c r="G132" s="421" t="s">
        <v>3273</v>
      </c>
      <c r="H132" s="421" t="s">
        <v>1107</v>
      </c>
      <c r="I132" s="421" t="s">
        <v>1581</v>
      </c>
      <c r="J132" s="421" t="s">
        <v>3380</v>
      </c>
      <c r="K132" s="421" t="s">
        <v>3352</v>
      </c>
      <c r="L132" s="421" t="s">
        <v>3381</v>
      </c>
      <c r="M132" s="421" t="s">
        <v>2667</v>
      </c>
      <c r="N132" s="421" t="s">
        <v>3093</v>
      </c>
      <c r="O132" s="421" t="s">
        <v>3094</v>
      </c>
      <c r="P132" s="421" t="s">
        <v>3382</v>
      </c>
      <c r="Q132" s="421" t="s">
        <v>3113</v>
      </c>
      <c r="R132" s="421" t="s">
        <v>1108</v>
      </c>
      <c r="S132" s="421" t="s">
        <v>1108</v>
      </c>
      <c r="T132" s="421" t="s">
        <v>1130</v>
      </c>
      <c r="U132" s="421" t="s">
        <v>1112</v>
      </c>
      <c r="V132" s="421" t="s">
        <v>3097</v>
      </c>
      <c r="W132" s="421" t="s">
        <v>3098</v>
      </c>
      <c r="X132" s="421" t="s">
        <v>3099</v>
      </c>
      <c r="Y132" s="421" t="s">
        <v>1117</v>
      </c>
      <c r="Z132" s="421" t="s">
        <v>1118</v>
      </c>
      <c r="AA132" s="421" t="s">
        <v>3100</v>
      </c>
      <c r="AB132" s="421" t="s">
        <v>3101</v>
      </c>
      <c r="AC132" s="421" t="s">
        <v>3102</v>
      </c>
      <c r="AD132" s="421" t="s">
        <v>3383</v>
      </c>
      <c r="AE132" s="421" t="s">
        <v>3384</v>
      </c>
      <c r="AF132" s="421" t="s">
        <v>2236</v>
      </c>
      <c r="AG132" s="421" t="s">
        <v>2237</v>
      </c>
      <c r="AH132" s="421" t="s">
        <v>3105</v>
      </c>
      <c r="AI132" s="421">
        <v>228000</v>
      </c>
      <c r="AJ132" s="421">
        <v>812.48</v>
      </c>
      <c r="AK132" s="421">
        <v>882.06</v>
      </c>
      <c r="AL132" s="421">
        <v>3</v>
      </c>
      <c r="AM132" s="421" t="s">
        <v>1933</v>
      </c>
      <c r="AN132" s="421" t="s">
        <v>3385</v>
      </c>
      <c r="AO132" s="421" t="s">
        <v>1121</v>
      </c>
      <c r="AP132" s="421" t="s">
        <v>1121</v>
      </c>
      <c r="AQ132" s="421" t="s">
        <v>1108</v>
      </c>
      <c r="AR132" s="421" t="s">
        <v>3352</v>
      </c>
      <c r="AS132" s="421" t="s">
        <v>3386</v>
      </c>
      <c r="AT132" s="421" t="s">
        <v>3109</v>
      </c>
      <c r="AU132" s="421" t="s">
        <v>1142</v>
      </c>
      <c r="AV132" s="421" t="s">
        <v>3187</v>
      </c>
      <c r="AW132" s="421" t="s">
        <v>3110</v>
      </c>
      <c r="AX132" s="421" t="s">
        <v>3131</v>
      </c>
      <c r="AY132" s="421" t="s">
        <v>3193</v>
      </c>
      <c r="AZ132" s="421" t="s">
        <v>3113</v>
      </c>
      <c r="BA132" s="421" t="s">
        <v>3114</v>
      </c>
      <c r="BB132" s="421" t="s">
        <v>3115</v>
      </c>
      <c r="BC132" s="421">
        <v>19200</v>
      </c>
      <c r="BD132" s="421">
        <v>50280768</v>
      </c>
      <c r="BE132" s="421">
        <v>0</v>
      </c>
      <c r="BF132" s="421">
        <v>160.07</v>
      </c>
      <c r="BG132" s="421">
        <v>48.4</v>
      </c>
      <c r="BH132" s="421">
        <v>0</v>
      </c>
      <c r="BI132" s="421" t="s">
        <v>1149</v>
      </c>
    </row>
    <row r="133" spans="1:61" x14ac:dyDescent="0.25">
      <c r="A133" s="421">
        <v>130</v>
      </c>
      <c r="B133" s="421">
        <v>2015</v>
      </c>
      <c r="C133" s="421">
        <v>3</v>
      </c>
      <c r="D133" s="421">
        <v>13</v>
      </c>
      <c r="E133" s="421" t="s">
        <v>1475</v>
      </c>
      <c r="F133" s="421" t="s">
        <v>3325</v>
      </c>
      <c r="G133" s="421" t="s">
        <v>3142</v>
      </c>
      <c r="H133" s="421" t="s">
        <v>1107</v>
      </c>
      <c r="I133" s="421" t="s">
        <v>1583</v>
      </c>
      <c r="J133" s="421" t="s">
        <v>3387</v>
      </c>
      <c r="K133" s="421" t="s">
        <v>3093</v>
      </c>
      <c r="L133" s="421" t="s">
        <v>3094</v>
      </c>
      <c r="M133" s="421" t="s">
        <v>2667</v>
      </c>
      <c r="N133" s="421" t="s">
        <v>3093</v>
      </c>
      <c r="O133" s="421" t="s">
        <v>3094</v>
      </c>
      <c r="P133" s="421" t="s">
        <v>3095</v>
      </c>
      <c r="Q133" s="421" t="s">
        <v>3113</v>
      </c>
      <c r="R133" s="421" t="s">
        <v>1108</v>
      </c>
      <c r="S133" s="421" t="s">
        <v>1108</v>
      </c>
      <c r="T133" s="421" t="s">
        <v>1130</v>
      </c>
      <c r="U133" s="421" t="s">
        <v>1112</v>
      </c>
      <c r="V133" s="421" t="s">
        <v>3097</v>
      </c>
      <c r="W133" s="421" t="s">
        <v>3098</v>
      </c>
      <c r="X133" s="421" t="s">
        <v>3099</v>
      </c>
      <c r="Y133" s="421" t="s">
        <v>1117</v>
      </c>
      <c r="Z133" s="421" t="s">
        <v>1118</v>
      </c>
      <c r="AA133" s="421" t="s">
        <v>3100</v>
      </c>
      <c r="AB133" s="421" t="s">
        <v>3101</v>
      </c>
      <c r="AC133" s="421" t="s">
        <v>3102</v>
      </c>
      <c r="AD133" s="421" t="s">
        <v>3388</v>
      </c>
      <c r="AE133" s="421" t="s">
        <v>3389</v>
      </c>
      <c r="AF133" s="421" t="s">
        <v>2236</v>
      </c>
      <c r="AG133" s="421" t="s">
        <v>2237</v>
      </c>
      <c r="AH133" s="421" t="s">
        <v>3105</v>
      </c>
      <c r="AI133" s="421">
        <v>72000</v>
      </c>
      <c r="AJ133" s="421">
        <v>255.1</v>
      </c>
      <c r="AK133" s="421">
        <v>276.64</v>
      </c>
      <c r="AL133" s="421">
        <v>3</v>
      </c>
      <c r="AM133" s="421" t="s">
        <v>3390</v>
      </c>
      <c r="AN133" s="421" t="s">
        <v>3391</v>
      </c>
      <c r="AO133" s="421" t="s">
        <v>1121</v>
      </c>
      <c r="AP133" s="421" t="s">
        <v>1121</v>
      </c>
      <c r="AQ133" s="421" t="s">
        <v>1108</v>
      </c>
      <c r="AR133" s="421" t="s">
        <v>3352</v>
      </c>
      <c r="AS133" s="421" t="s">
        <v>3392</v>
      </c>
      <c r="AT133" s="421" t="s">
        <v>3109</v>
      </c>
      <c r="AU133" s="421" t="s">
        <v>1142</v>
      </c>
      <c r="AV133" s="421" t="s">
        <v>3174</v>
      </c>
      <c r="AW133" s="421" t="s">
        <v>3110</v>
      </c>
      <c r="AX133" s="421" t="s">
        <v>3111</v>
      </c>
      <c r="AY133" s="421" t="s">
        <v>3112</v>
      </c>
      <c r="AZ133" s="421" t="s">
        <v>3113</v>
      </c>
      <c r="BA133" s="421" t="s">
        <v>3114</v>
      </c>
      <c r="BB133" s="421" t="s">
        <v>3115</v>
      </c>
      <c r="BC133" s="421">
        <v>6907.2</v>
      </c>
      <c r="BD133" s="421">
        <v>18028344.579999998</v>
      </c>
      <c r="BE133" s="421">
        <v>0</v>
      </c>
      <c r="BF133" s="421">
        <v>85.52</v>
      </c>
      <c r="BG133" s="421">
        <v>17.48</v>
      </c>
      <c r="BH133" s="421">
        <v>0</v>
      </c>
      <c r="BI133" s="421" t="s">
        <v>1167</v>
      </c>
    </row>
    <row r="134" spans="1:61" x14ac:dyDescent="0.25">
      <c r="A134" s="421">
        <v>131</v>
      </c>
      <c r="B134" s="421">
        <v>2015</v>
      </c>
      <c r="C134" s="421">
        <v>3</v>
      </c>
      <c r="D134" s="421">
        <v>13</v>
      </c>
      <c r="E134" s="421" t="s">
        <v>1475</v>
      </c>
      <c r="F134" s="421" t="s">
        <v>3325</v>
      </c>
      <c r="G134" s="421" t="s">
        <v>3142</v>
      </c>
      <c r="H134" s="421" t="s">
        <v>1107</v>
      </c>
      <c r="I134" s="421" t="s">
        <v>1583</v>
      </c>
      <c r="J134" s="421" t="s">
        <v>3393</v>
      </c>
      <c r="K134" s="421" t="s">
        <v>3093</v>
      </c>
      <c r="L134" s="421" t="s">
        <v>3094</v>
      </c>
      <c r="M134" s="421" t="s">
        <v>2667</v>
      </c>
      <c r="N134" s="421" t="s">
        <v>3093</v>
      </c>
      <c r="O134" s="421" t="s">
        <v>3094</v>
      </c>
      <c r="P134" s="421" t="s">
        <v>3095</v>
      </c>
      <c r="Q134" s="421" t="s">
        <v>3113</v>
      </c>
      <c r="R134" s="421" t="s">
        <v>1108</v>
      </c>
      <c r="S134" s="421" t="s">
        <v>1108</v>
      </c>
      <c r="T134" s="421" t="s">
        <v>1130</v>
      </c>
      <c r="U134" s="421" t="s">
        <v>1112</v>
      </c>
      <c r="V134" s="421" t="s">
        <v>3097</v>
      </c>
      <c r="W134" s="421" t="s">
        <v>3098</v>
      </c>
      <c r="X134" s="421" t="s">
        <v>3099</v>
      </c>
      <c r="Y134" s="421" t="s">
        <v>1117</v>
      </c>
      <c r="Z134" s="421" t="s">
        <v>1118</v>
      </c>
      <c r="AA134" s="421" t="s">
        <v>3100</v>
      </c>
      <c r="AB134" s="421" t="s">
        <v>3101</v>
      </c>
      <c r="AC134" s="421" t="s">
        <v>3102</v>
      </c>
      <c r="AD134" s="421" t="s">
        <v>3388</v>
      </c>
      <c r="AE134" s="421" t="s">
        <v>3389</v>
      </c>
      <c r="AF134" s="421" t="s">
        <v>1300</v>
      </c>
      <c r="AG134" s="421" t="s">
        <v>1301</v>
      </c>
      <c r="AH134" s="421" t="s">
        <v>1127</v>
      </c>
      <c r="AI134" s="421">
        <v>12.54</v>
      </c>
      <c r="AJ134" s="421">
        <v>12.54</v>
      </c>
      <c r="AK134" s="421">
        <v>14.4</v>
      </c>
      <c r="AL134" s="421">
        <v>1</v>
      </c>
      <c r="AM134" s="421" t="s">
        <v>3390</v>
      </c>
      <c r="AN134" s="421" t="s">
        <v>3391</v>
      </c>
      <c r="AO134" s="421" t="s">
        <v>1121</v>
      </c>
      <c r="AP134" s="421" t="s">
        <v>1121</v>
      </c>
      <c r="AQ134" s="421" t="s">
        <v>1108</v>
      </c>
      <c r="AR134" s="421" t="s">
        <v>3352</v>
      </c>
      <c r="AS134" s="421" t="s">
        <v>3394</v>
      </c>
      <c r="AT134" s="421" t="s">
        <v>3109</v>
      </c>
      <c r="AU134" s="421" t="s">
        <v>1142</v>
      </c>
      <c r="AV134" s="421" t="s">
        <v>3174</v>
      </c>
      <c r="AW134" s="421" t="s">
        <v>3110</v>
      </c>
      <c r="AX134" s="421" t="s">
        <v>3229</v>
      </c>
      <c r="AY134" s="421" t="s">
        <v>3112</v>
      </c>
      <c r="AZ134" s="421" t="s">
        <v>3113</v>
      </c>
      <c r="BA134" s="421" t="s">
        <v>3114</v>
      </c>
      <c r="BB134" s="421" t="s">
        <v>3230</v>
      </c>
      <c r="BC134" s="421">
        <v>2.5</v>
      </c>
      <c r="BD134" s="421">
        <v>6525.2</v>
      </c>
      <c r="BE134" s="421">
        <v>0</v>
      </c>
      <c r="BF134" s="421">
        <v>0</v>
      </c>
      <c r="BG134" s="421">
        <v>0</v>
      </c>
      <c r="BH134" s="421">
        <v>0</v>
      </c>
      <c r="BI134" s="421" t="s">
        <v>1167</v>
      </c>
    </row>
    <row r="135" spans="1:61" x14ac:dyDescent="0.25">
      <c r="A135" s="421">
        <v>132</v>
      </c>
      <c r="B135" s="421">
        <v>2015</v>
      </c>
      <c r="C135" s="421">
        <v>3</v>
      </c>
      <c r="D135" s="421">
        <v>13</v>
      </c>
      <c r="E135" s="421" t="s">
        <v>1475</v>
      </c>
      <c r="F135" s="421" t="s">
        <v>3325</v>
      </c>
      <c r="G135" s="421" t="s">
        <v>3142</v>
      </c>
      <c r="H135" s="421" t="s">
        <v>1107</v>
      </c>
      <c r="I135" s="421" t="s">
        <v>1583</v>
      </c>
      <c r="J135" s="421" t="s">
        <v>3387</v>
      </c>
      <c r="K135" s="421" t="s">
        <v>3093</v>
      </c>
      <c r="L135" s="421" t="s">
        <v>3094</v>
      </c>
      <c r="M135" s="421" t="s">
        <v>2667</v>
      </c>
      <c r="N135" s="421" t="s">
        <v>3093</v>
      </c>
      <c r="O135" s="421" t="s">
        <v>3094</v>
      </c>
      <c r="P135" s="421" t="s">
        <v>3095</v>
      </c>
      <c r="Q135" s="421" t="s">
        <v>3113</v>
      </c>
      <c r="R135" s="421" t="s">
        <v>1108</v>
      </c>
      <c r="S135" s="421" t="s">
        <v>1108</v>
      </c>
      <c r="T135" s="421" t="s">
        <v>1130</v>
      </c>
      <c r="U135" s="421" t="s">
        <v>1112</v>
      </c>
      <c r="V135" s="421" t="s">
        <v>3097</v>
      </c>
      <c r="W135" s="421" t="s">
        <v>3098</v>
      </c>
      <c r="X135" s="421" t="s">
        <v>3099</v>
      </c>
      <c r="Y135" s="421" t="s">
        <v>1117</v>
      </c>
      <c r="Z135" s="421" t="s">
        <v>1118</v>
      </c>
      <c r="AA135" s="421" t="s">
        <v>3100</v>
      </c>
      <c r="AB135" s="421" t="s">
        <v>3101</v>
      </c>
      <c r="AC135" s="421" t="s">
        <v>3102</v>
      </c>
      <c r="AD135" s="421" t="s">
        <v>3388</v>
      </c>
      <c r="AE135" s="421" t="s">
        <v>3389</v>
      </c>
      <c r="AF135" s="421" t="s">
        <v>2236</v>
      </c>
      <c r="AG135" s="421" t="s">
        <v>2237</v>
      </c>
      <c r="AH135" s="421" t="s">
        <v>3105</v>
      </c>
      <c r="AI135" s="421">
        <v>2007000</v>
      </c>
      <c r="AJ135" s="421">
        <v>4950.09</v>
      </c>
      <c r="AK135" s="421">
        <v>5368.13</v>
      </c>
      <c r="AL135" s="421">
        <v>1</v>
      </c>
      <c r="AM135" s="421" t="s">
        <v>3390</v>
      </c>
      <c r="AN135" s="421" t="s">
        <v>3391</v>
      </c>
      <c r="AO135" s="421" t="s">
        <v>1121</v>
      </c>
      <c r="AP135" s="421" t="s">
        <v>1121</v>
      </c>
      <c r="AQ135" s="421" t="s">
        <v>1108</v>
      </c>
      <c r="AR135" s="421" t="s">
        <v>3352</v>
      </c>
      <c r="AS135" s="421" t="s">
        <v>3392</v>
      </c>
      <c r="AT135" s="421" t="s">
        <v>3109</v>
      </c>
      <c r="AU135" s="421" t="s">
        <v>1142</v>
      </c>
      <c r="AV135" s="421" t="s">
        <v>3174</v>
      </c>
      <c r="AW135" s="421" t="s">
        <v>3110</v>
      </c>
      <c r="AX135" s="421" t="s">
        <v>3111</v>
      </c>
      <c r="AY135" s="421" t="s">
        <v>3112</v>
      </c>
      <c r="AZ135" s="421" t="s">
        <v>3113</v>
      </c>
      <c r="BA135" s="421" t="s">
        <v>3114</v>
      </c>
      <c r="BB135" s="421" t="s">
        <v>3115</v>
      </c>
      <c r="BC135" s="421">
        <v>71101.8</v>
      </c>
      <c r="BD135" s="421">
        <v>185581386.13999999</v>
      </c>
      <c r="BE135" s="421">
        <v>0</v>
      </c>
      <c r="BF135" s="421">
        <v>880.36</v>
      </c>
      <c r="BG135" s="421">
        <v>179.95</v>
      </c>
      <c r="BH135" s="421">
        <v>0</v>
      </c>
      <c r="BI135" s="421" t="s">
        <v>1167</v>
      </c>
    </row>
    <row r="136" spans="1:61" x14ac:dyDescent="0.25">
      <c r="A136" s="421">
        <v>133</v>
      </c>
      <c r="B136" s="421">
        <v>2015</v>
      </c>
      <c r="C136" s="421">
        <v>3</v>
      </c>
      <c r="D136" s="421">
        <v>13</v>
      </c>
      <c r="E136" s="421" t="s">
        <v>1475</v>
      </c>
      <c r="F136" s="421" t="s">
        <v>3325</v>
      </c>
      <c r="G136" s="421" t="s">
        <v>3142</v>
      </c>
      <c r="H136" s="421" t="s">
        <v>1107</v>
      </c>
      <c r="I136" s="421" t="s">
        <v>1583</v>
      </c>
      <c r="J136" s="421" t="s">
        <v>3387</v>
      </c>
      <c r="K136" s="421" t="s">
        <v>3093</v>
      </c>
      <c r="L136" s="421" t="s">
        <v>3094</v>
      </c>
      <c r="M136" s="421" t="s">
        <v>2667</v>
      </c>
      <c r="N136" s="421" t="s">
        <v>3093</v>
      </c>
      <c r="O136" s="421" t="s">
        <v>3094</v>
      </c>
      <c r="P136" s="421" t="s">
        <v>3095</v>
      </c>
      <c r="Q136" s="421" t="s">
        <v>3113</v>
      </c>
      <c r="R136" s="421" t="s">
        <v>1108</v>
      </c>
      <c r="S136" s="421" t="s">
        <v>1108</v>
      </c>
      <c r="T136" s="421" t="s">
        <v>1130</v>
      </c>
      <c r="U136" s="421" t="s">
        <v>1112</v>
      </c>
      <c r="V136" s="421" t="s">
        <v>3097</v>
      </c>
      <c r="W136" s="421" t="s">
        <v>3098</v>
      </c>
      <c r="X136" s="421" t="s">
        <v>3099</v>
      </c>
      <c r="Y136" s="421" t="s">
        <v>1117</v>
      </c>
      <c r="Z136" s="421" t="s">
        <v>1118</v>
      </c>
      <c r="AA136" s="421" t="s">
        <v>3100</v>
      </c>
      <c r="AB136" s="421" t="s">
        <v>3101</v>
      </c>
      <c r="AC136" s="421" t="s">
        <v>3102</v>
      </c>
      <c r="AD136" s="421" t="s">
        <v>3388</v>
      </c>
      <c r="AE136" s="421" t="s">
        <v>3389</v>
      </c>
      <c r="AF136" s="421" t="s">
        <v>2236</v>
      </c>
      <c r="AG136" s="421" t="s">
        <v>2237</v>
      </c>
      <c r="AH136" s="421" t="s">
        <v>3105</v>
      </c>
      <c r="AI136" s="421">
        <v>414000</v>
      </c>
      <c r="AJ136" s="421">
        <v>1237.06</v>
      </c>
      <c r="AK136" s="421">
        <v>1341.53</v>
      </c>
      <c r="AL136" s="421">
        <v>2</v>
      </c>
      <c r="AM136" s="421" t="s">
        <v>3390</v>
      </c>
      <c r="AN136" s="421" t="s">
        <v>3391</v>
      </c>
      <c r="AO136" s="421" t="s">
        <v>1121</v>
      </c>
      <c r="AP136" s="421" t="s">
        <v>1121</v>
      </c>
      <c r="AQ136" s="421" t="s">
        <v>1108</v>
      </c>
      <c r="AR136" s="421" t="s">
        <v>3352</v>
      </c>
      <c r="AS136" s="421" t="s">
        <v>3392</v>
      </c>
      <c r="AT136" s="421" t="s">
        <v>3109</v>
      </c>
      <c r="AU136" s="421" t="s">
        <v>1142</v>
      </c>
      <c r="AV136" s="421" t="s">
        <v>3174</v>
      </c>
      <c r="AW136" s="421" t="s">
        <v>3110</v>
      </c>
      <c r="AX136" s="421" t="s">
        <v>3111</v>
      </c>
      <c r="AY136" s="421" t="s">
        <v>3112</v>
      </c>
      <c r="AZ136" s="421" t="s">
        <v>3113</v>
      </c>
      <c r="BA136" s="421" t="s">
        <v>3114</v>
      </c>
      <c r="BB136" s="421" t="s">
        <v>3115</v>
      </c>
      <c r="BC136" s="421">
        <v>18908.599999999999</v>
      </c>
      <c r="BD136" s="421">
        <v>49352958.689999998</v>
      </c>
      <c r="BE136" s="421">
        <v>0</v>
      </c>
      <c r="BF136" s="421">
        <v>234.12</v>
      </c>
      <c r="BG136" s="421">
        <v>47.86</v>
      </c>
      <c r="BH136" s="421">
        <v>0</v>
      </c>
      <c r="BI136" s="421" t="s">
        <v>1167</v>
      </c>
    </row>
    <row r="137" spans="1:61" x14ac:dyDescent="0.25">
      <c r="A137" s="421">
        <v>134</v>
      </c>
      <c r="B137" s="421">
        <v>2015</v>
      </c>
      <c r="C137" s="421">
        <v>3</v>
      </c>
      <c r="D137" s="421">
        <v>13</v>
      </c>
      <c r="E137" s="421" t="s">
        <v>1475</v>
      </c>
      <c r="F137" s="421" t="s">
        <v>3325</v>
      </c>
      <c r="G137" s="421" t="s">
        <v>3142</v>
      </c>
      <c r="H137" s="421" t="s">
        <v>1107</v>
      </c>
      <c r="I137" s="421" t="s">
        <v>1583</v>
      </c>
      <c r="J137" s="421" t="s">
        <v>3395</v>
      </c>
      <c r="K137" s="421" t="s">
        <v>3093</v>
      </c>
      <c r="L137" s="421" t="s">
        <v>3094</v>
      </c>
      <c r="M137" s="421" t="s">
        <v>2667</v>
      </c>
      <c r="N137" s="421" t="s">
        <v>3093</v>
      </c>
      <c r="O137" s="421" t="s">
        <v>3094</v>
      </c>
      <c r="P137" s="421" t="s">
        <v>3095</v>
      </c>
      <c r="Q137" s="421" t="s">
        <v>3113</v>
      </c>
      <c r="R137" s="421" t="s">
        <v>1108</v>
      </c>
      <c r="S137" s="421" t="s">
        <v>1108</v>
      </c>
      <c r="T137" s="421" t="s">
        <v>1130</v>
      </c>
      <c r="U137" s="421" t="s">
        <v>1112</v>
      </c>
      <c r="V137" s="421" t="s">
        <v>3097</v>
      </c>
      <c r="W137" s="421" t="s">
        <v>3098</v>
      </c>
      <c r="X137" s="421" t="s">
        <v>3099</v>
      </c>
      <c r="Y137" s="421" t="s">
        <v>1117</v>
      </c>
      <c r="Z137" s="421" t="s">
        <v>1118</v>
      </c>
      <c r="AA137" s="421" t="s">
        <v>3100</v>
      </c>
      <c r="AB137" s="421" t="s">
        <v>3101</v>
      </c>
      <c r="AC137" s="421" t="s">
        <v>3102</v>
      </c>
      <c r="AD137" s="421" t="s">
        <v>3125</v>
      </c>
      <c r="AE137" s="421" t="s">
        <v>3126</v>
      </c>
      <c r="AF137" s="421" t="s">
        <v>2236</v>
      </c>
      <c r="AG137" s="421" t="s">
        <v>2237</v>
      </c>
      <c r="AH137" s="421" t="s">
        <v>3105</v>
      </c>
      <c r="AI137" s="421">
        <v>4080000</v>
      </c>
      <c r="AJ137" s="421">
        <v>8220.32</v>
      </c>
      <c r="AK137" s="421">
        <v>8726.24</v>
      </c>
      <c r="AL137" s="421">
        <v>1</v>
      </c>
      <c r="AM137" s="421" t="s">
        <v>962</v>
      </c>
      <c r="AN137" s="421" t="s">
        <v>3127</v>
      </c>
      <c r="AO137" s="421" t="s">
        <v>1121</v>
      </c>
      <c r="AP137" s="421" t="s">
        <v>1121</v>
      </c>
      <c r="AQ137" s="421" t="s">
        <v>1108</v>
      </c>
      <c r="AR137" s="421" t="s">
        <v>3352</v>
      </c>
      <c r="AS137" s="421" t="s">
        <v>3396</v>
      </c>
      <c r="AT137" s="421" t="s">
        <v>3109</v>
      </c>
      <c r="AU137" s="421" t="s">
        <v>1142</v>
      </c>
      <c r="AV137" s="421" t="s">
        <v>3174</v>
      </c>
      <c r="AW137" s="421" t="s">
        <v>3110</v>
      </c>
      <c r="AX137" s="421" t="s">
        <v>3111</v>
      </c>
      <c r="AY137" s="421" t="s">
        <v>3112</v>
      </c>
      <c r="AZ137" s="421" t="s">
        <v>3113</v>
      </c>
      <c r="BA137" s="421" t="s">
        <v>3114</v>
      </c>
      <c r="BB137" s="421" t="s">
        <v>3115</v>
      </c>
      <c r="BC137" s="421">
        <v>89687.44</v>
      </c>
      <c r="BD137" s="421">
        <v>234091393.40000001</v>
      </c>
      <c r="BE137" s="421">
        <v>0</v>
      </c>
      <c r="BF137" s="421">
        <v>2080</v>
      </c>
      <c r="BG137" s="421">
        <v>0</v>
      </c>
      <c r="BH137" s="421">
        <v>0</v>
      </c>
      <c r="BI137" s="421" t="s">
        <v>1149</v>
      </c>
    </row>
    <row r="138" spans="1:61" x14ac:dyDescent="0.25">
      <c r="A138" s="421">
        <v>135</v>
      </c>
      <c r="B138" s="421">
        <v>2015</v>
      </c>
      <c r="C138" s="421">
        <v>3</v>
      </c>
      <c r="D138" s="421">
        <v>13</v>
      </c>
      <c r="E138" s="421" t="s">
        <v>1475</v>
      </c>
      <c r="F138" s="421" t="s">
        <v>3325</v>
      </c>
      <c r="G138" s="421" t="s">
        <v>3142</v>
      </c>
      <c r="H138" s="421" t="s">
        <v>1107</v>
      </c>
      <c r="I138" s="421" t="s">
        <v>1583</v>
      </c>
      <c r="J138" s="421" t="s">
        <v>3397</v>
      </c>
      <c r="K138" s="421" t="s">
        <v>3093</v>
      </c>
      <c r="L138" s="421" t="s">
        <v>3094</v>
      </c>
      <c r="M138" s="421" t="s">
        <v>2667</v>
      </c>
      <c r="N138" s="421" t="s">
        <v>3093</v>
      </c>
      <c r="O138" s="421" t="s">
        <v>3094</v>
      </c>
      <c r="P138" s="421" t="s">
        <v>3095</v>
      </c>
      <c r="Q138" s="421" t="s">
        <v>3113</v>
      </c>
      <c r="R138" s="421" t="s">
        <v>1108</v>
      </c>
      <c r="S138" s="421" t="s">
        <v>1108</v>
      </c>
      <c r="T138" s="421" t="s">
        <v>1130</v>
      </c>
      <c r="U138" s="421" t="s">
        <v>1112</v>
      </c>
      <c r="V138" s="421" t="s">
        <v>3097</v>
      </c>
      <c r="W138" s="421" t="s">
        <v>3098</v>
      </c>
      <c r="X138" s="421" t="s">
        <v>3099</v>
      </c>
      <c r="Y138" s="421" t="s">
        <v>1117</v>
      </c>
      <c r="Z138" s="421" t="s">
        <v>1118</v>
      </c>
      <c r="AA138" s="421" t="s">
        <v>3100</v>
      </c>
      <c r="AB138" s="421" t="s">
        <v>3101</v>
      </c>
      <c r="AC138" s="421" t="s">
        <v>3102</v>
      </c>
      <c r="AD138" s="421" t="s">
        <v>3125</v>
      </c>
      <c r="AE138" s="421" t="s">
        <v>3126</v>
      </c>
      <c r="AF138" s="421" t="s">
        <v>2236</v>
      </c>
      <c r="AG138" s="421" t="s">
        <v>2237</v>
      </c>
      <c r="AH138" s="421" t="s">
        <v>3105</v>
      </c>
      <c r="AI138" s="421">
        <v>5000</v>
      </c>
      <c r="AJ138" s="421">
        <v>16.98</v>
      </c>
      <c r="AK138" s="421">
        <v>19.34</v>
      </c>
      <c r="AL138" s="421">
        <v>1</v>
      </c>
      <c r="AM138" s="421" t="s">
        <v>962</v>
      </c>
      <c r="AN138" s="421" t="s">
        <v>3127</v>
      </c>
      <c r="AO138" s="421" t="s">
        <v>1121</v>
      </c>
      <c r="AP138" s="421" t="s">
        <v>1121</v>
      </c>
      <c r="AQ138" s="421" t="s">
        <v>1108</v>
      </c>
      <c r="AR138" s="421" t="s">
        <v>3352</v>
      </c>
      <c r="AS138" s="421" t="s">
        <v>3398</v>
      </c>
      <c r="AT138" s="421" t="s">
        <v>3109</v>
      </c>
      <c r="AU138" s="421" t="s">
        <v>1142</v>
      </c>
      <c r="AV138" s="421" t="s">
        <v>3174</v>
      </c>
      <c r="AW138" s="421" t="s">
        <v>3110</v>
      </c>
      <c r="AX138" s="421" t="s">
        <v>3111</v>
      </c>
      <c r="AY138" s="421" t="s">
        <v>3112</v>
      </c>
      <c r="AZ138" s="421" t="s">
        <v>3113</v>
      </c>
      <c r="BA138" s="421" t="s">
        <v>3114</v>
      </c>
      <c r="BB138" s="421" t="s">
        <v>3115</v>
      </c>
      <c r="BC138" s="421">
        <v>288</v>
      </c>
      <c r="BD138" s="421">
        <v>751703.04000000004</v>
      </c>
      <c r="BE138" s="421">
        <v>0</v>
      </c>
      <c r="BF138" s="421">
        <v>5.03</v>
      </c>
      <c r="BG138" s="421">
        <v>0</v>
      </c>
      <c r="BH138" s="421">
        <v>0</v>
      </c>
      <c r="BI138" s="421" t="s">
        <v>1149</v>
      </c>
    </row>
    <row r="139" spans="1:61" x14ac:dyDescent="0.25">
      <c r="A139" s="421">
        <v>136</v>
      </c>
      <c r="B139" s="421">
        <v>2015</v>
      </c>
      <c r="C139" s="421">
        <v>3</v>
      </c>
      <c r="D139" s="421">
        <v>13</v>
      </c>
      <c r="E139" s="421" t="s">
        <v>1475</v>
      </c>
      <c r="F139" s="421" t="s">
        <v>3325</v>
      </c>
      <c r="G139" s="421" t="s">
        <v>3142</v>
      </c>
      <c r="H139" s="421" t="s">
        <v>1107</v>
      </c>
      <c r="I139" s="421" t="s">
        <v>1583</v>
      </c>
      <c r="J139" s="421" t="s">
        <v>3397</v>
      </c>
      <c r="K139" s="421" t="s">
        <v>3093</v>
      </c>
      <c r="L139" s="421" t="s">
        <v>3094</v>
      </c>
      <c r="M139" s="421" t="s">
        <v>2667</v>
      </c>
      <c r="N139" s="421" t="s">
        <v>3093</v>
      </c>
      <c r="O139" s="421" t="s">
        <v>3094</v>
      </c>
      <c r="P139" s="421" t="s">
        <v>3095</v>
      </c>
      <c r="Q139" s="421" t="s">
        <v>3113</v>
      </c>
      <c r="R139" s="421" t="s">
        <v>1108</v>
      </c>
      <c r="S139" s="421" t="s">
        <v>1108</v>
      </c>
      <c r="T139" s="421" t="s">
        <v>1130</v>
      </c>
      <c r="U139" s="421" t="s">
        <v>1112</v>
      </c>
      <c r="V139" s="421" t="s">
        <v>3097</v>
      </c>
      <c r="W139" s="421" t="s">
        <v>3098</v>
      </c>
      <c r="X139" s="421" t="s">
        <v>3099</v>
      </c>
      <c r="Y139" s="421" t="s">
        <v>1117</v>
      </c>
      <c r="Z139" s="421" t="s">
        <v>1118</v>
      </c>
      <c r="AA139" s="421" t="s">
        <v>3100</v>
      </c>
      <c r="AB139" s="421" t="s">
        <v>3101</v>
      </c>
      <c r="AC139" s="421" t="s">
        <v>3102</v>
      </c>
      <c r="AD139" s="421" t="s">
        <v>3125</v>
      </c>
      <c r="AE139" s="421" t="s">
        <v>3126</v>
      </c>
      <c r="AF139" s="421" t="s">
        <v>2236</v>
      </c>
      <c r="AG139" s="421" t="s">
        <v>2237</v>
      </c>
      <c r="AH139" s="421" t="s">
        <v>3105</v>
      </c>
      <c r="AI139" s="421">
        <v>8000</v>
      </c>
      <c r="AJ139" s="421">
        <v>28.22</v>
      </c>
      <c r="AK139" s="421">
        <v>32.14</v>
      </c>
      <c r="AL139" s="421">
        <v>2</v>
      </c>
      <c r="AM139" s="421" t="s">
        <v>962</v>
      </c>
      <c r="AN139" s="421" t="s">
        <v>3127</v>
      </c>
      <c r="AO139" s="421" t="s">
        <v>1121</v>
      </c>
      <c r="AP139" s="421" t="s">
        <v>1121</v>
      </c>
      <c r="AQ139" s="421" t="s">
        <v>1108</v>
      </c>
      <c r="AR139" s="421" t="s">
        <v>3352</v>
      </c>
      <c r="AS139" s="421" t="s">
        <v>3398</v>
      </c>
      <c r="AT139" s="421" t="s">
        <v>3109</v>
      </c>
      <c r="AU139" s="421" t="s">
        <v>1142</v>
      </c>
      <c r="AV139" s="421" t="s">
        <v>3174</v>
      </c>
      <c r="AW139" s="421" t="s">
        <v>3110</v>
      </c>
      <c r="AX139" s="421" t="s">
        <v>3111</v>
      </c>
      <c r="AY139" s="421" t="s">
        <v>3112</v>
      </c>
      <c r="AZ139" s="421" t="s">
        <v>3113</v>
      </c>
      <c r="BA139" s="421" t="s">
        <v>3114</v>
      </c>
      <c r="BB139" s="421" t="s">
        <v>3115</v>
      </c>
      <c r="BC139" s="421">
        <v>857.6</v>
      </c>
      <c r="BD139" s="421">
        <v>2238404.61</v>
      </c>
      <c r="BE139" s="421">
        <v>0</v>
      </c>
      <c r="BF139" s="421">
        <v>14.97</v>
      </c>
      <c r="BG139" s="421">
        <v>0</v>
      </c>
      <c r="BH139" s="421">
        <v>0</v>
      </c>
      <c r="BI139" s="421" t="s">
        <v>1149</v>
      </c>
    </row>
    <row r="140" spans="1:61" x14ac:dyDescent="0.25">
      <c r="A140" s="421">
        <v>137</v>
      </c>
      <c r="B140" s="421">
        <v>2015</v>
      </c>
      <c r="C140" s="421">
        <v>3</v>
      </c>
      <c r="D140" s="421">
        <v>13</v>
      </c>
      <c r="E140" s="421" t="s">
        <v>1475</v>
      </c>
      <c r="F140" s="421" t="s">
        <v>3325</v>
      </c>
      <c r="G140" s="421" t="s">
        <v>3142</v>
      </c>
      <c r="H140" s="421" t="s">
        <v>1107</v>
      </c>
      <c r="I140" s="421" t="s">
        <v>1583</v>
      </c>
      <c r="J140" s="421" t="s">
        <v>3399</v>
      </c>
      <c r="K140" s="421" t="s">
        <v>3093</v>
      </c>
      <c r="L140" s="421" t="s">
        <v>3094</v>
      </c>
      <c r="M140" s="421" t="s">
        <v>2667</v>
      </c>
      <c r="N140" s="421" t="s">
        <v>3093</v>
      </c>
      <c r="O140" s="421" t="s">
        <v>3094</v>
      </c>
      <c r="P140" s="421" t="s">
        <v>3095</v>
      </c>
      <c r="Q140" s="421" t="s">
        <v>3096</v>
      </c>
      <c r="R140" s="421" t="s">
        <v>1108</v>
      </c>
      <c r="S140" s="421" t="s">
        <v>1542</v>
      </c>
      <c r="T140" s="421" t="s">
        <v>1130</v>
      </c>
      <c r="U140" s="421" t="s">
        <v>1112</v>
      </c>
      <c r="V140" s="421" t="s">
        <v>3097</v>
      </c>
      <c r="W140" s="421" t="s">
        <v>3098</v>
      </c>
      <c r="X140" s="421" t="s">
        <v>3099</v>
      </c>
      <c r="Y140" s="421" t="s">
        <v>1117</v>
      </c>
      <c r="Z140" s="421" t="s">
        <v>1118</v>
      </c>
      <c r="AA140" s="421" t="s">
        <v>3100</v>
      </c>
      <c r="AB140" s="421" t="s">
        <v>3101</v>
      </c>
      <c r="AC140" s="421" t="s">
        <v>3102</v>
      </c>
      <c r="AD140" s="421" t="s">
        <v>3291</v>
      </c>
      <c r="AE140" s="421" t="s">
        <v>3292</v>
      </c>
      <c r="AF140" s="421" t="s">
        <v>2236</v>
      </c>
      <c r="AG140" s="421" t="s">
        <v>2237</v>
      </c>
      <c r="AH140" s="421" t="s">
        <v>3105</v>
      </c>
      <c r="AI140" s="421">
        <v>264500</v>
      </c>
      <c r="AJ140" s="421">
        <v>423.7</v>
      </c>
      <c r="AK140" s="421">
        <v>461.03</v>
      </c>
      <c r="AL140" s="421">
        <v>2</v>
      </c>
      <c r="AM140" s="421" t="s">
        <v>965</v>
      </c>
      <c r="AN140" s="421" t="s">
        <v>3293</v>
      </c>
      <c r="AO140" s="421" t="s">
        <v>1121</v>
      </c>
      <c r="AP140" s="421" t="s">
        <v>1121</v>
      </c>
      <c r="AQ140" s="421" t="s">
        <v>1542</v>
      </c>
      <c r="AR140" s="421" t="s">
        <v>3352</v>
      </c>
      <c r="AS140" s="421" t="s">
        <v>3400</v>
      </c>
      <c r="AT140" s="421" t="s">
        <v>3109</v>
      </c>
      <c r="AU140" s="421" t="s">
        <v>1142</v>
      </c>
      <c r="AV140" s="421" t="s">
        <v>3401</v>
      </c>
      <c r="AW140" s="421" t="s">
        <v>3110</v>
      </c>
      <c r="AX140" s="421" t="s">
        <v>3111</v>
      </c>
      <c r="AY140" s="421" t="s">
        <v>3112</v>
      </c>
      <c r="AZ140" s="421" t="s">
        <v>3113</v>
      </c>
      <c r="BA140" s="421" t="s">
        <v>3114</v>
      </c>
      <c r="BB140" s="421" t="s">
        <v>3115</v>
      </c>
      <c r="BC140" s="421">
        <v>8194.2999999999993</v>
      </c>
      <c r="BD140" s="421">
        <v>21387778.539999999</v>
      </c>
      <c r="BE140" s="421">
        <v>0</v>
      </c>
      <c r="BF140" s="421">
        <v>139.54</v>
      </c>
      <c r="BG140" s="421">
        <v>20.83</v>
      </c>
      <c r="BH140" s="421">
        <v>0</v>
      </c>
      <c r="BI140" s="421" t="s">
        <v>1331</v>
      </c>
    </row>
    <row r="141" spans="1:61" x14ac:dyDescent="0.25">
      <c r="A141" s="421">
        <v>138</v>
      </c>
      <c r="B141" s="421">
        <v>2015</v>
      </c>
      <c r="C141" s="421">
        <v>3</v>
      </c>
      <c r="D141" s="421">
        <v>13</v>
      </c>
      <c r="E141" s="421" t="s">
        <v>1475</v>
      </c>
      <c r="F141" s="421" t="s">
        <v>3325</v>
      </c>
      <c r="G141" s="421" t="s">
        <v>3142</v>
      </c>
      <c r="H141" s="421" t="s">
        <v>1107</v>
      </c>
      <c r="I141" s="421" t="s">
        <v>1583</v>
      </c>
      <c r="J141" s="421" t="s">
        <v>3399</v>
      </c>
      <c r="K141" s="421" t="s">
        <v>3093</v>
      </c>
      <c r="L141" s="421" t="s">
        <v>3094</v>
      </c>
      <c r="M141" s="421" t="s">
        <v>2667</v>
      </c>
      <c r="N141" s="421" t="s">
        <v>3093</v>
      </c>
      <c r="O141" s="421" t="s">
        <v>3094</v>
      </c>
      <c r="P141" s="421" t="s">
        <v>3095</v>
      </c>
      <c r="Q141" s="421" t="s">
        <v>3096</v>
      </c>
      <c r="R141" s="421" t="s">
        <v>1108</v>
      </c>
      <c r="S141" s="421" t="s">
        <v>1542</v>
      </c>
      <c r="T141" s="421" t="s">
        <v>1130</v>
      </c>
      <c r="U141" s="421" t="s">
        <v>1112</v>
      </c>
      <c r="V141" s="421" t="s">
        <v>3097</v>
      </c>
      <c r="W141" s="421" t="s">
        <v>3098</v>
      </c>
      <c r="X141" s="421" t="s">
        <v>3099</v>
      </c>
      <c r="Y141" s="421" t="s">
        <v>1117</v>
      </c>
      <c r="Z141" s="421" t="s">
        <v>1118</v>
      </c>
      <c r="AA141" s="421" t="s">
        <v>3100</v>
      </c>
      <c r="AB141" s="421" t="s">
        <v>3101</v>
      </c>
      <c r="AC141" s="421" t="s">
        <v>3102</v>
      </c>
      <c r="AD141" s="421" t="s">
        <v>3291</v>
      </c>
      <c r="AE141" s="421" t="s">
        <v>3292</v>
      </c>
      <c r="AF141" s="421" t="s">
        <v>2236</v>
      </c>
      <c r="AG141" s="421" t="s">
        <v>2237</v>
      </c>
      <c r="AH141" s="421" t="s">
        <v>3105</v>
      </c>
      <c r="AI141" s="421">
        <v>13500</v>
      </c>
      <c r="AJ141" s="421">
        <v>156</v>
      </c>
      <c r="AK141" s="421">
        <v>169.75</v>
      </c>
      <c r="AL141" s="421">
        <v>3</v>
      </c>
      <c r="AM141" s="421" t="s">
        <v>965</v>
      </c>
      <c r="AN141" s="421" t="s">
        <v>3293</v>
      </c>
      <c r="AO141" s="421" t="s">
        <v>1121</v>
      </c>
      <c r="AP141" s="421" t="s">
        <v>1121</v>
      </c>
      <c r="AQ141" s="421" t="s">
        <v>1542</v>
      </c>
      <c r="AR141" s="421" t="s">
        <v>3352</v>
      </c>
      <c r="AS141" s="421" t="s">
        <v>3400</v>
      </c>
      <c r="AT141" s="421" t="s">
        <v>3109</v>
      </c>
      <c r="AU141" s="421" t="s">
        <v>1142</v>
      </c>
      <c r="AV141" s="421" t="s">
        <v>3401</v>
      </c>
      <c r="AW141" s="421" t="s">
        <v>3110</v>
      </c>
      <c r="AX141" s="421" t="s">
        <v>3111</v>
      </c>
      <c r="AY141" s="421" t="s">
        <v>3112</v>
      </c>
      <c r="AZ141" s="421" t="s">
        <v>3113</v>
      </c>
      <c r="BA141" s="421" t="s">
        <v>3114</v>
      </c>
      <c r="BB141" s="421" t="s">
        <v>3115</v>
      </c>
      <c r="BC141" s="421">
        <v>5824.2</v>
      </c>
      <c r="BD141" s="421">
        <v>15201627.939999999</v>
      </c>
      <c r="BE141" s="421">
        <v>0</v>
      </c>
      <c r="BF141" s="421">
        <v>99.18</v>
      </c>
      <c r="BG141" s="421">
        <v>14.81</v>
      </c>
      <c r="BH141" s="421">
        <v>0</v>
      </c>
      <c r="BI141" s="421" t="s">
        <v>1331</v>
      </c>
    </row>
    <row r="142" spans="1:61" x14ac:dyDescent="0.25">
      <c r="A142" s="421">
        <v>139</v>
      </c>
      <c r="B142" s="421">
        <v>2015</v>
      </c>
      <c r="C142" s="421">
        <v>3</v>
      </c>
      <c r="D142" s="421">
        <v>13</v>
      </c>
      <c r="E142" s="421" t="s">
        <v>1475</v>
      </c>
      <c r="F142" s="421" t="s">
        <v>3325</v>
      </c>
      <c r="G142" s="421" t="s">
        <v>3142</v>
      </c>
      <c r="H142" s="421" t="s">
        <v>1107</v>
      </c>
      <c r="I142" s="421" t="s">
        <v>1583</v>
      </c>
      <c r="J142" s="421" t="s">
        <v>3399</v>
      </c>
      <c r="K142" s="421" t="s">
        <v>3093</v>
      </c>
      <c r="L142" s="421" t="s">
        <v>3094</v>
      </c>
      <c r="M142" s="421" t="s">
        <v>2667</v>
      </c>
      <c r="N142" s="421" t="s">
        <v>3093</v>
      </c>
      <c r="O142" s="421" t="s">
        <v>3094</v>
      </c>
      <c r="P142" s="421" t="s">
        <v>3095</v>
      </c>
      <c r="Q142" s="421" t="s">
        <v>3096</v>
      </c>
      <c r="R142" s="421" t="s">
        <v>1108</v>
      </c>
      <c r="S142" s="421" t="s">
        <v>1542</v>
      </c>
      <c r="T142" s="421" t="s">
        <v>1130</v>
      </c>
      <c r="U142" s="421" t="s">
        <v>1112</v>
      </c>
      <c r="V142" s="421" t="s">
        <v>3097</v>
      </c>
      <c r="W142" s="421" t="s">
        <v>3098</v>
      </c>
      <c r="X142" s="421" t="s">
        <v>3099</v>
      </c>
      <c r="Y142" s="421" t="s">
        <v>1117</v>
      </c>
      <c r="Z142" s="421" t="s">
        <v>1118</v>
      </c>
      <c r="AA142" s="421" t="s">
        <v>3100</v>
      </c>
      <c r="AB142" s="421" t="s">
        <v>3101</v>
      </c>
      <c r="AC142" s="421" t="s">
        <v>3102</v>
      </c>
      <c r="AD142" s="421" t="s">
        <v>3291</v>
      </c>
      <c r="AE142" s="421" t="s">
        <v>3292</v>
      </c>
      <c r="AF142" s="421" t="s">
        <v>2236</v>
      </c>
      <c r="AG142" s="421" t="s">
        <v>2237</v>
      </c>
      <c r="AH142" s="421" t="s">
        <v>3105</v>
      </c>
      <c r="AI142" s="421">
        <v>2847000</v>
      </c>
      <c r="AJ142" s="421">
        <v>5573.41</v>
      </c>
      <c r="AK142" s="421">
        <v>6064.52</v>
      </c>
      <c r="AL142" s="421">
        <v>1</v>
      </c>
      <c r="AM142" s="421" t="s">
        <v>965</v>
      </c>
      <c r="AN142" s="421" t="s">
        <v>3293</v>
      </c>
      <c r="AO142" s="421" t="s">
        <v>1121</v>
      </c>
      <c r="AP142" s="421" t="s">
        <v>1121</v>
      </c>
      <c r="AQ142" s="421" t="s">
        <v>1542</v>
      </c>
      <c r="AR142" s="421" t="s">
        <v>3352</v>
      </c>
      <c r="AS142" s="421" t="s">
        <v>3400</v>
      </c>
      <c r="AT142" s="421" t="s">
        <v>3109</v>
      </c>
      <c r="AU142" s="421" t="s">
        <v>1142</v>
      </c>
      <c r="AV142" s="421" t="s">
        <v>3401</v>
      </c>
      <c r="AW142" s="421" t="s">
        <v>3110</v>
      </c>
      <c r="AX142" s="421" t="s">
        <v>3111</v>
      </c>
      <c r="AY142" s="421" t="s">
        <v>3112</v>
      </c>
      <c r="AZ142" s="421" t="s">
        <v>3113</v>
      </c>
      <c r="BA142" s="421" t="s">
        <v>3114</v>
      </c>
      <c r="BB142" s="421" t="s">
        <v>3115</v>
      </c>
      <c r="BC142" s="421">
        <v>85811</v>
      </c>
      <c r="BD142" s="421">
        <v>223973574.88</v>
      </c>
      <c r="BE142" s="421">
        <v>0</v>
      </c>
      <c r="BF142" s="421">
        <v>1461.28</v>
      </c>
      <c r="BG142" s="421">
        <v>218.18</v>
      </c>
      <c r="BH142" s="421">
        <v>0</v>
      </c>
      <c r="BI142" s="421" t="s">
        <v>1331</v>
      </c>
    </row>
    <row r="143" spans="1:61" x14ac:dyDescent="0.25">
      <c r="A143" s="421">
        <v>140</v>
      </c>
      <c r="B143" s="421">
        <v>2015</v>
      </c>
      <c r="C143" s="421">
        <v>3</v>
      </c>
      <c r="D143" s="421">
        <v>13</v>
      </c>
      <c r="E143" s="421" t="s">
        <v>1475</v>
      </c>
      <c r="F143" s="421" t="s">
        <v>3325</v>
      </c>
      <c r="G143" s="421" t="s">
        <v>3142</v>
      </c>
      <c r="H143" s="421" t="s">
        <v>1107</v>
      </c>
      <c r="I143" s="421" t="s">
        <v>1583</v>
      </c>
      <c r="J143" s="421" t="s">
        <v>3402</v>
      </c>
      <c r="K143" s="421" t="s">
        <v>3093</v>
      </c>
      <c r="L143" s="421" t="s">
        <v>3094</v>
      </c>
      <c r="M143" s="421" t="s">
        <v>2667</v>
      </c>
      <c r="N143" s="421" t="s">
        <v>3093</v>
      </c>
      <c r="O143" s="421" t="s">
        <v>3094</v>
      </c>
      <c r="P143" s="421" t="s">
        <v>3095</v>
      </c>
      <c r="Q143" s="421" t="s">
        <v>3096</v>
      </c>
      <c r="R143" s="421" t="s">
        <v>1108</v>
      </c>
      <c r="S143" s="421" t="s">
        <v>1542</v>
      </c>
      <c r="T143" s="421" t="s">
        <v>1130</v>
      </c>
      <c r="U143" s="421" t="s">
        <v>1112</v>
      </c>
      <c r="V143" s="421" t="s">
        <v>3097</v>
      </c>
      <c r="W143" s="421" t="s">
        <v>3098</v>
      </c>
      <c r="X143" s="421" t="s">
        <v>3099</v>
      </c>
      <c r="Y143" s="421" t="s">
        <v>1117</v>
      </c>
      <c r="Z143" s="421" t="s">
        <v>1118</v>
      </c>
      <c r="AA143" s="421" t="s">
        <v>3100</v>
      </c>
      <c r="AB143" s="421" t="s">
        <v>3101</v>
      </c>
      <c r="AC143" s="421" t="s">
        <v>3102</v>
      </c>
      <c r="AD143" s="421" t="s">
        <v>3312</v>
      </c>
      <c r="AE143" s="421" t="s">
        <v>3313</v>
      </c>
      <c r="AF143" s="421" t="s">
        <v>2236</v>
      </c>
      <c r="AG143" s="421" t="s">
        <v>2237</v>
      </c>
      <c r="AH143" s="421" t="s">
        <v>3105</v>
      </c>
      <c r="AI143" s="421">
        <v>242000</v>
      </c>
      <c r="AJ143" s="421">
        <v>670.26</v>
      </c>
      <c r="AK143" s="421">
        <v>739.48</v>
      </c>
      <c r="AL143" s="421">
        <v>1</v>
      </c>
      <c r="AM143" s="421" t="s">
        <v>3314</v>
      </c>
      <c r="AN143" s="421" t="s">
        <v>3314</v>
      </c>
      <c r="AO143" s="421" t="s">
        <v>1121</v>
      </c>
      <c r="AP143" s="421" t="s">
        <v>1121</v>
      </c>
      <c r="AQ143" s="421" t="s">
        <v>1542</v>
      </c>
      <c r="AR143" s="421" t="s">
        <v>3352</v>
      </c>
      <c r="AS143" s="421" t="s">
        <v>3403</v>
      </c>
      <c r="AT143" s="421" t="s">
        <v>3109</v>
      </c>
      <c r="AU143" s="421" t="s">
        <v>1142</v>
      </c>
      <c r="AV143" s="421" t="s">
        <v>3401</v>
      </c>
      <c r="AW143" s="421" t="s">
        <v>3110</v>
      </c>
      <c r="AX143" s="421" t="s">
        <v>3111</v>
      </c>
      <c r="AY143" s="421" t="s">
        <v>3112</v>
      </c>
      <c r="AZ143" s="421" t="s">
        <v>3113</v>
      </c>
      <c r="BA143" s="421" t="s">
        <v>3114</v>
      </c>
      <c r="BB143" s="421" t="s">
        <v>3115</v>
      </c>
      <c r="BC143" s="421">
        <v>10820</v>
      </c>
      <c r="BD143" s="421">
        <v>28241065.600000001</v>
      </c>
      <c r="BE143" s="421">
        <v>0</v>
      </c>
      <c r="BF143" s="421">
        <v>1232.8399999999999</v>
      </c>
      <c r="BG143" s="421">
        <v>30.13</v>
      </c>
      <c r="BH143" s="421">
        <v>0</v>
      </c>
      <c r="BI143" s="421" t="s">
        <v>1331</v>
      </c>
    </row>
    <row r="144" spans="1:61" x14ac:dyDescent="0.25">
      <c r="A144" s="421">
        <v>141</v>
      </c>
      <c r="B144" s="421">
        <v>2015</v>
      </c>
      <c r="C144" s="421">
        <v>3</v>
      </c>
      <c r="D144" s="421">
        <v>13</v>
      </c>
      <c r="E144" s="421" t="s">
        <v>1475</v>
      </c>
      <c r="F144" s="421" t="s">
        <v>3325</v>
      </c>
      <c r="G144" s="421" t="s">
        <v>3142</v>
      </c>
      <c r="H144" s="421" t="s">
        <v>1107</v>
      </c>
      <c r="I144" s="421" t="s">
        <v>1583</v>
      </c>
      <c r="J144" s="421" t="s">
        <v>3402</v>
      </c>
      <c r="K144" s="421" t="s">
        <v>3093</v>
      </c>
      <c r="L144" s="421" t="s">
        <v>3094</v>
      </c>
      <c r="M144" s="421" t="s">
        <v>2667</v>
      </c>
      <c r="N144" s="421" t="s">
        <v>3093</v>
      </c>
      <c r="O144" s="421" t="s">
        <v>3094</v>
      </c>
      <c r="P144" s="421" t="s">
        <v>3095</v>
      </c>
      <c r="Q144" s="421" t="s">
        <v>3096</v>
      </c>
      <c r="R144" s="421" t="s">
        <v>1108</v>
      </c>
      <c r="S144" s="421" t="s">
        <v>1542</v>
      </c>
      <c r="T144" s="421" t="s">
        <v>1130</v>
      </c>
      <c r="U144" s="421" t="s">
        <v>1112</v>
      </c>
      <c r="V144" s="421" t="s">
        <v>3097</v>
      </c>
      <c r="W144" s="421" t="s">
        <v>3098</v>
      </c>
      <c r="X144" s="421" t="s">
        <v>3099</v>
      </c>
      <c r="Y144" s="421" t="s">
        <v>1117</v>
      </c>
      <c r="Z144" s="421" t="s">
        <v>1118</v>
      </c>
      <c r="AA144" s="421" t="s">
        <v>3100</v>
      </c>
      <c r="AB144" s="421" t="s">
        <v>3101</v>
      </c>
      <c r="AC144" s="421" t="s">
        <v>3102</v>
      </c>
      <c r="AD144" s="421" t="s">
        <v>3312</v>
      </c>
      <c r="AE144" s="421" t="s">
        <v>3313</v>
      </c>
      <c r="AF144" s="421" t="s">
        <v>2236</v>
      </c>
      <c r="AG144" s="421" t="s">
        <v>2237</v>
      </c>
      <c r="AH144" s="421" t="s">
        <v>3105</v>
      </c>
      <c r="AI144" s="421">
        <v>60000</v>
      </c>
      <c r="AJ144" s="421">
        <v>284.3</v>
      </c>
      <c r="AK144" s="421">
        <v>313.66000000000003</v>
      </c>
      <c r="AL144" s="421">
        <v>2</v>
      </c>
      <c r="AM144" s="421" t="s">
        <v>3314</v>
      </c>
      <c r="AN144" s="421" t="s">
        <v>3314</v>
      </c>
      <c r="AO144" s="421" t="s">
        <v>1121</v>
      </c>
      <c r="AP144" s="421" t="s">
        <v>1121</v>
      </c>
      <c r="AQ144" s="421" t="s">
        <v>1542</v>
      </c>
      <c r="AR144" s="421" t="s">
        <v>3352</v>
      </c>
      <c r="AS144" s="421" t="s">
        <v>3403</v>
      </c>
      <c r="AT144" s="421" t="s">
        <v>3109</v>
      </c>
      <c r="AU144" s="421" t="s">
        <v>1142</v>
      </c>
      <c r="AV144" s="421" t="s">
        <v>3401</v>
      </c>
      <c r="AW144" s="421" t="s">
        <v>3110</v>
      </c>
      <c r="AX144" s="421" t="s">
        <v>3111</v>
      </c>
      <c r="AY144" s="421" t="s">
        <v>3112</v>
      </c>
      <c r="AZ144" s="421" t="s">
        <v>3113</v>
      </c>
      <c r="BA144" s="421" t="s">
        <v>3114</v>
      </c>
      <c r="BB144" s="421" t="s">
        <v>3115</v>
      </c>
      <c r="BC144" s="421">
        <v>7400</v>
      </c>
      <c r="BD144" s="421">
        <v>19314592</v>
      </c>
      <c r="BE144" s="421">
        <v>0</v>
      </c>
      <c r="BF144" s="421">
        <v>843.16</v>
      </c>
      <c r="BG144" s="421">
        <v>20.61</v>
      </c>
      <c r="BH144" s="421">
        <v>0</v>
      </c>
      <c r="BI144" s="421" t="s">
        <v>1331</v>
      </c>
    </row>
    <row r="145" spans="1:61" x14ac:dyDescent="0.25">
      <c r="A145" s="421">
        <v>142</v>
      </c>
      <c r="B145" s="421">
        <v>2015</v>
      </c>
      <c r="C145" s="421">
        <v>3</v>
      </c>
      <c r="D145" s="421">
        <v>19</v>
      </c>
      <c r="E145" s="421" t="s">
        <v>1475</v>
      </c>
      <c r="F145" s="421" t="s">
        <v>3325</v>
      </c>
      <c r="G145" s="421" t="s">
        <v>3404</v>
      </c>
      <c r="H145" s="421" t="s">
        <v>1107</v>
      </c>
      <c r="I145" s="421" t="s">
        <v>1640</v>
      </c>
      <c r="J145" s="421" t="s">
        <v>3405</v>
      </c>
      <c r="K145" s="421" t="s">
        <v>3093</v>
      </c>
      <c r="L145" s="421" t="s">
        <v>3094</v>
      </c>
      <c r="M145" s="421" t="s">
        <v>2667</v>
      </c>
      <c r="N145" s="421" t="s">
        <v>3093</v>
      </c>
      <c r="O145" s="421" t="s">
        <v>3094</v>
      </c>
      <c r="P145" s="421" t="s">
        <v>3095</v>
      </c>
      <c r="Q145" s="421" t="s">
        <v>3096</v>
      </c>
      <c r="R145" s="421" t="s">
        <v>1108</v>
      </c>
      <c r="S145" s="421" t="s">
        <v>1542</v>
      </c>
      <c r="T145" s="421" t="s">
        <v>1130</v>
      </c>
      <c r="U145" s="421" t="s">
        <v>1112</v>
      </c>
      <c r="V145" s="421" t="s">
        <v>3097</v>
      </c>
      <c r="W145" s="421" t="s">
        <v>3098</v>
      </c>
      <c r="X145" s="421" t="s">
        <v>3099</v>
      </c>
      <c r="Y145" s="421" t="s">
        <v>1117</v>
      </c>
      <c r="Z145" s="421" t="s">
        <v>1118</v>
      </c>
      <c r="AA145" s="421" t="s">
        <v>3100</v>
      </c>
      <c r="AB145" s="421" t="s">
        <v>3101</v>
      </c>
      <c r="AC145" s="421" t="s">
        <v>3102</v>
      </c>
      <c r="AD145" s="421" t="s">
        <v>3406</v>
      </c>
      <c r="AE145" s="421" t="s">
        <v>3407</v>
      </c>
      <c r="AF145" s="421" t="s">
        <v>2236</v>
      </c>
      <c r="AG145" s="421" t="s">
        <v>2237</v>
      </c>
      <c r="AH145" s="421" t="s">
        <v>3105</v>
      </c>
      <c r="AI145" s="421">
        <v>1103000</v>
      </c>
      <c r="AJ145" s="421">
        <v>3421.7</v>
      </c>
      <c r="AK145" s="421">
        <v>3739.55</v>
      </c>
      <c r="AL145" s="421">
        <v>1</v>
      </c>
      <c r="AM145" s="421" t="s">
        <v>964</v>
      </c>
      <c r="AN145" s="421" t="s">
        <v>3408</v>
      </c>
      <c r="AO145" s="421" t="s">
        <v>1121</v>
      </c>
      <c r="AP145" s="421" t="s">
        <v>1121</v>
      </c>
      <c r="AQ145" s="421" t="s">
        <v>1542</v>
      </c>
      <c r="AR145" s="421" t="s">
        <v>3352</v>
      </c>
      <c r="AS145" s="421" t="s">
        <v>3409</v>
      </c>
      <c r="AT145" s="421" t="s">
        <v>3109</v>
      </c>
      <c r="AU145" s="421" t="s">
        <v>1142</v>
      </c>
      <c r="AV145" s="421" t="s">
        <v>3410</v>
      </c>
      <c r="AW145" s="421" t="s">
        <v>3110</v>
      </c>
      <c r="AX145" s="421" t="s">
        <v>3111</v>
      </c>
      <c r="AY145" s="421" t="s">
        <v>3112</v>
      </c>
      <c r="AZ145" s="421" t="s">
        <v>3113</v>
      </c>
      <c r="BA145" s="421" t="s">
        <v>3114</v>
      </c>
      <c r="BB145" s="421" t="s">
        <v>3115</v>
      </c>
      <c r="BC145" s="421">
        <v>49287.199999999997</v>
      </c>
      <c r="BD145" s="421">
        <v>130684517.93000001</v>
      </c>
      <c r="BE145" s="421">
        <v>0</v>
      </c>
      <c r="BF145" s="421">
        <v>0</v>
      </c>
      <c r="BG145" s="421">
        <v>0</v>
      </c>
      <c r="BH145" s="421">
        <v>0</v>
      </c>
      <c r="BI145" s="421" t="s">
        <v>1278</v>
      </c>
    </row>
    <row r="146" spans="1:61" x14ac:dyDescent="0.25">
      <c r="A146" s="421">
        <v>143</v>
      </c>
      <c r="B146" s="421">
        <v>2015</v>
      </c>
      <c r="C146" s="421">
        <v>3</v>
      </c>
      <c r="D146" s="421">
        <v>19</v>
      </c>
      <c r="E146" s="421" t="s">
        <v>1475</v>
      </c>
      <c r="F146" s="421" t="s">
        <v>3325</v>
      </c>
      <c r="G146" s="421" t="s">
        <v>3404</v>
      </c>
      <c r="H146" s="421" t="s">
        <v>1107</v>
      </c>
      <c r="I146" s="421" t="s">
        <v>1640</v>
      </c>
      <c r="J146" s="421" t="s">
        <v>3405</v>
      </c>
      <c r="K146" s="421" t="s">
        <v>3093</v>
      </c>
      <c r="L146" s="421" t="s">
        <v>3094</v>
      </c>
      <c r="M146" s="421" t="s">
        <v>2667</v>
      </c>
      <c r="N146" s="421" t="s">
        <v>3093</v>
      </c>
      <c r="O146" s="421" t="s">
        <v>3094</v>
      </c>
      <c r="P146" s="421" t="s">
        <v>3095</v>
      </c>
      <c r="Q146" s="421" t="s">
        <v>3096</v>
      </c>
      <c r="R146" s="421" t="s">
        <v>1108</v>
      </c>
      <c r="S146" s="421" t="s">
        <v>1542</v>
      </c>
      <c r="T146" s="421" t="s">
        <v>1130</v>
      </c>
      <c r="U146" s="421" t="s">
        <v>1112</v>
      </c>
      <c r="V146" s="421" t="s">
        <v>3097</v>
      </c>
      <c r="W146" s="421" t="s">
        <v>3098</v>
      </c>
      <c r="X146" s="421" t="s">
        <v>3099</v>
      </c>
      <c r="Y146" s="421" t="s">
        <v>1117</v>
      </c>
      <c r="Z146" s="421" t="s">
        <v>1118</v>
      </c>
      <c r="AA146" s="421" t="s">
        <v>3100</v>
      </c>
      <c r="AB146" s="421" t="s">
        <v>3101</v>
      </c>
      <c r="AC146" s="421" t="s">
        <v>3102</v>
      </c>
      <c r="AD146" s="421" t="s">
        <v>3406</v>
      </c>
      <c r="AE146" s="421" t="s">
        <v>3407</v>
      </c>
      <c r="AF146" s="421" t="s">
        <v>2236</v>
      </c>
      <c r="AG146" s="421" t="s">
        <v>2237</v>
      </c>
      <c r="AH146" s="421" t="s">
        <v>3105</v>
      </c>
      <c r="AI146" s="421">
        <v>761600</v>
      </c>
      <c r="AJ146" s="421">
        <v>2623.92</v>
      </c>
      <c r="AK146" s="421">
        <v>2867.67</v>
      </c>
      <c r="AL146" s="421">
        <v>2</v>
      </c>
      <c r="AM146" s="421" t="s">
        <v>964</v>
      </c>
      <c r="AN146" s="421" t="s">
        <v>3408</v>
      </c>
      <c r="AO146" s="421" t="s">
        <v>1121</v>
      </c>
      <c r="AP146" s="421" t="s">
        <v>1121</v>
      </c>
      <c r="AQ146" s="421" t="s">
        <v>1542</v>
      </c>
      <c r="AR146" s="421" t="s">
        <v>3352</v>
      </c>
      <c r="AS146" s="421" t="s">
        <v>3409</v>
      </c>
      <c r="AT146" s="421" t="s">
        <v>3109</v>
      </c>
      <c r="AU146" s="421" t="s">
        <v>1142</v>
      </c>
      <c r="AV146" s="421" t="s">
        <v>3410</v>
      </c>
      <c r="AW146" s="421" t="s">
        <v>3110</v>
      </c>
      <c r="AX146" s="421" t="s">
        <v>3111</v>
      </c>
      <c r="AY146" s="421" t="s">
        <v>3112</v>
      </c>
      <c r="AZ146" s="421" t="s">
        <v>3113</v>
      </c>
      <c r="BA146" s="421" t="s">
        <v>3114</v>
      </c>
      <c r="BB146" s="421" t="s">
        <v>3115</v>
      </c>
      <c r="BC146" s="421">
        <v>40201.5</v>
      </c>
      <c r="BD146" s="421">
        <v>106593875.23999999</v>
      </c>
      <c r="BE146" s="421">
        <v>0</v>
      </c>
      <c r="BF146" s="421">
        <v>0</v>
      </c>
      <c r="BG146" s="421">
        <v>0</v>
      </c>
      <c r="BH146" s="421">
        <v>0</v>
      </c>
      <c r="BI146" s="421" t="s">
        <v>1278</v>
      </c>
    </row>
    <row r="147" spans="1:61" x14ac:dyDescent="0.25">
      <c r="A147" s="421">
        <v>144</v>
      </c>
      <c r="B147" s="421">
        <v>2015</v>
      </c>
      <c r="C147" s="421">
        <v>3</v>
      </c>
      <c r="D147" s="421">
        <v>20</v>
      </c>
      <c r="E147" s="421" t="s">
        <v>1475</v>
      </c>
      <c r="F147" s="421" t="s">
        <v>3325</v>
      </c>
      <c r="G147" s="421" t="s">
        <v>3194</v>
      </c>
      <c r="H147" s="421" t="s">
        <v>1107</v>
      </c>
      <c r="I147" s="421" t="s">
        <v>1656</v>
      </c>
      <c r="J147" s="421" t="s">
        <v>3411</v>
      </c>
      <c r="K147" s="421" t="s">
        <v>3093</v>
      </c>
      <c r="L147" s="421" t="s">
        <v>3094</v>
      </c>
      <c r="M147" s="421" t="s">
        <v>2667</v>
      </c>
      <c r="N147" s="421" t="s">
        <v>3093</v>
      </c>
      <c r="O147" s="421" t="s">
        <v>3094</v>
      </c>
      <c r="P147" s="421" t="s">
        <v>3095</v>
      </c>
      <c r="Q147" s="421" t="s">
        <v>3096</v>
      </c>
      <c r="R147" s="421" t="s">
        <v>1108</v>
      </c>
      <c r="S147" s="421" t="s">
        <v>1542</v>
      </c>
      <c r="T147" s="421" t="s">
        <v>1130</v>
      </c>
      <c r="U147" s="421" t="s">
        <v>1112</v>
      </c>
      <c r="V147" s="421" t="s">
        <v>3097</v>
      </c>
      <c r="W147" s="421" t="s">
        <v>3098</v>
      </c>
      <c r="X147" s="421" t="s">
        <v>3099</v>
      </c>
      <c r="Y147" s="421" t="s">
        <v>1117</v>
      </c>
      <c r="Z147" s="421" t="s">
        <v>1118</v>
      </c>
      <c r="AA147" s="421" t="s">
        <v>3100</v>
      </c>
      <c r="AB147" s="421" t="s">
        <v>3101</v>
      </c>
      <c r="AC147" s="421" t="s">
        <v>3102</v>
      </c>
      <c r="AD147" s="421" t="s">
        <v>3163</v>
      </c>
      <c r="AE147" s="421" t="s">
        <v>3164</v>
      </c>
      <c r="AF147" s="421" t="s">
        <v>2236</v>
      </c>
      <c r="AG147" s="421" t="s">
        <v>2237</v>
      </c>
      <c r="AH147" s="421" t="s">
        <v>3105</v>
      </c>
      <c r="AI147" s="421">
        <v>778280</v>
      </c>
      <c r="AJ147" s="421">
        <v>2342.6999999999998</v>
      </c>
      <c r="AK147" s="421">
        <v>2580.29</v>
      </c>
      <c r="AL147" s="421">
        <v>1</v>
      </c>
      <c r="AM147" s="421" t="s">
        <v>964</v>
      </c>
      <c r="AN147" s="421" t="s">
        <v>3165</v>
      </c>
      <c r="AO147" s="421" t="s">
        <v>1121</v>
      </c>
      <c r="AP147" s="421" t="s">
        <v>1121</v>
      </c>
      <c r="AQ147" s="421" t="s">
        <v>1542</v>
      </c>
      <c r="AR147" s="421" t="s">
        <v>3352</v>
      </c>
      <c r="AS147" s="421" t="s">
        <v>3412</v>
      </c>
      <c r="AT147" s="421" t="s">
        <v>3109</v>
      </c>
      <c r="AU147" s="421" t="s">
        <v>1142</v>
      </c>
      <c r="AV147" s="421" t="s">
        <v>2417</v>
      </c>
      <c r="AW147" s="421" t="s">
        <v>3110</v>
      </c>
      <c r="AX147" s="421" t="s">
        <v>3111</v>
      </c>
      <c r="AY147" s="421" t="s">
        <v>3112</v>
      </c>
      <c r="AZ147" s="421" t="s">
        <v>3113</v>
      </c>
      <c r="BA147" s="421" t="s">
        <v>3114</v>
      </c>
      <c r="BB147" s="421" t="s">
        <v>3115</v>
      </c>
      <c r="BC147" s="421">
        <v>35009.5</v>
      </c>
      <c r="BD147" s="421">
        <v>91493127.109999999</v>
      </c>
      <c r="BE147" s="421">
        <v>0</v>
      </c>
      <c r="BF147" s="421">
        <v>867.29</v>
      </c>
      <c r="BG147" s="421">
        <v>0</v>
      </c>
      <c r="BH147" s="421">
        <v>0</v>
      </c>
      <c r="BI147" s="421" t="s">
        <v>1278</v>
      </c>
    </row>
    <row r="148" spans="1:61" x14ac:dyDescent="0.25">
      <c r="A148" s="421">
        <v>145</v>
      </c>
      <c r="B148" s="421">
        <v>2015</v>
      </c>
      <c r="C148" s="421">
        <v>3</v>
      </c>
      <c r="D148" s="421">
        <v>20</v>
      </c>
      <c r="E148" s="421" t="s">
        <v>1475</v>
      </c>
      <c r="F148" s="421" t="s">
        <v>3325</v>
      </c>
      <c r="G148" s="421" t="s">
        <v>3194</v>
      </c>
      <c r="H148" s="421" t="s">
        <v>1107</v>
      </c>
      <c r="I148" s="421" t="s">
        <v>1656</v>
      </c>
      <c r="J148" s="421" t="s">
        <v>3411</v>
      </c>
      <c r="K148" s="421" t="s">
        <v>3093</v>
      </c>
      <c r="L148" s="421" t="s">
        <v>3094</v>
      </c>
      <c r="M148" s="421" t="s">
        <v>2667</v>
      </c>
      <c r="N148" s="421" t="s">
        <v>3093</v>
      </c>
      <c r="O148" s="421" t="s">
        <v>3094</v>
      </c>
      <c r="P148" s="421" t="s">
        <v>3095</v>
      </c>
      <c r="Q148" s="421" t="s">
        <v>3096</v>
      </c>
      <c r="R148" s="421" t="s">
        <v>1108</v>
      </c>
      <c r="S148" s="421" t="s">
        <v>1542</v>
      </c>
      <c r="T148" s="421" t="s">
        <v>1130</v>
      </c>
      <c r="U148" s="421" t="s">
        <v>1112</v>
      </c>
      <c r="V148" s="421" t="s">
        <v>3097</v>
      </c>
      <c r="W148" s="421" t="s">
        <v>3098</v>
      </c>
      <c r="X148" s="421" t="s">
        <v>3099</v>
      </c>
      <c r="Y148" s="421" t="s">
        <v>1117</v>
      </c>
      <c r="Z148" s="421" t="s">
        <v>1118</v>
      </c>
      <c r="AA148" s="421" t="s">
        <v>3100</v>
      </c>
      <c r="AB148" s="421" t="s">
        <v>3101</v>
      </c>
      <c r="AC148" s="421" t="s">
        <v>3102</v>
      </c>
      <c r="AD148" s="421" t="s">
        <v>3163</v>
      </c>
      <c r="AE148" s="421" t="s">
        <v>3164</v>
      </c>
      <c r="AF148" s="421" t="s">
        <v>2236</v>
      </c>
      <c r="AG148" s="421" t="s">
        <v>2237</v>
      </c>
      <c r="AH148" s="421" t="s">
        <v>3105</v>
      </c>
      <c r="AI148" s="421">
        <v>1019320</v>
      </c>
      <c r="AJ148" s="421">
        <v>3253.49</v>
      </c>
      <c r="AK148" s="421">
        <v>3583.45</v>
      </c>
      <c r="AL148" s="421">
        <v>2</v>
      </c>
      <c r="AM148" s="421" t="s">
        <v>964</v>
      </c>
      <c r="AN148" s="421" t="s">
        <v>3165</v>
      </c>
      <c r="AO148" s="421" t="s">
        <v>1121</v>
      </c>
      <c r="AP148" s="421" t="s">
        <v>1121</v>
      </c>
      <c r="AQ148" s="421" t="s">
        <v>1542</v>
      </c>
      <c r="AR148" s="421" t="s">
        <v>3352</v>
      </c>
      <c r="AS148" s="421" t="s">
        <v>3412</v>
      </c>
      <c r="AT148" s="421" t="s">
        <v>3109</v>
      </c>
      <c r="AU148" s="421" t="s">
        <v>1142</v>
      </c>
      <c r="AV148" s="421" t="s">
        <v>2417</v>
      </c>
      <c r="AW148" s="421" t="s">
        <v>3110</v>
      </c>
      <c r="AX148" s="421" t="s">
        <v>3111</v>
      </c>
      <c r="AY148" s="421" t="s">
        <v>3112</v>
      </c>
      <c r="AZ148" s="421" t="s">
        <v>3113</v>
      </c>
      <c r="BA148" s="421" t="s">
        <v>3114</v>
      </c>
      <c r="BB148" s="421" t="s">
        <v>3115</v>
      </c>
      <c r="BC148" s="421">
        <v>47290.8</v>
      </c>
      <c r="BD148" s="421">
        <v>123588830.90000001</v>
      </c>
      <c r="BE148" s="421">
        <v>0</v>
      </c>
      <c r="BF148" s="421">
        <v>1171.54</v>
      </c>
      <c r="BG148" s="421">
        <v>0</v>
      </c>
      <c r="BH148" s="421">
        <v>0</v>
      </c>
      <c r="BI148" s="421" t="s">
        <v>1278</v>
      </c>
    </row>
    <row r="149" spans="1:61" x14ac:dyDescent="0.25">
      <c r="A149" s="421">
        <v>146</v>
      </c>
      <c r="B149" s="421">
        <v>2015</v>
      </c>
      <c r="C149" s="421">
        <v>3</v>
      </c>
      <c r="D149" s="421">
        <v>20</v>
      </c>
      <c r="E149" s="421" t="s">
        <v>1475</v>
      </c>
      <c r="F149" s="421" t="s">
        <v>3325</v>
      </c>
      <c r="G149" s="421" t="s">
        <v>3194</v>
      </c>
      <c r="H149" s="421" t="s">
        <v>1107</v>
      </c>
      <c r="I149" s="421" t="s">
        <v>1656</v>
      </c>
      <c r="J149" s="421" t="s">
        <v>3411</v>
      </c>
      <c r="K149" s="421" t="s">
        <v>3093</v>
      </c>
      <c r="L149" s="421" t="s">
        <v>3094</v>
      </c>
      <c r="M149" s="421" t="s">
        <v>2667</v>
      </c>
      <c r="N149" s="421" t="s">
        <v>3093</v>
      </c>
      <c r="O149" s="421" t="s">
        <v>3094</v>
      </c>
      <c r="P149" s="421" t="s">
        <v>3095</v>
      </c>
      <c r="Q149" s="421" t="s">
        <v>3096</v>
      </c>
      <c r="R149" s="421" t="s">
        <v>1108</v>
      </c>
      <c r="S149" s="421" t="s">
        <v>1542</v>
      </c>
      <c r="T149" s="421" t="s">
        <v>1130</v>
      </c>
      <c r="U149" s="421" t="s">
        <v>1112</v>
      </c>
      <c r="V149" s="421" t="s">
        <v>3097</v>
      </c>
      <c r="W149" s="421" t="s">
        <v>3098</v>
      </c>
      <c r="X149" s="421" t="s">
        <v>3099</v>
      </c>
      <c r="Y149" s="421" t="s">
        <v>1117</v>
      </c>
      <c r="Z149" s="421" t="s">
        <v>1118</v>
      </c>
      <c r="AA149" s="421" t="s">
        <v>3100</v>
      </c>
      <c r="AB149" s="421" t="s">
        <v>3101</v>
      </c>
      <c r="AC149" s="421" t="s">
        <v>3102</v>
      </c>
      <c r="AD149" s="421" t="s">
        <v>3163</v>
      </c>
      <c r="AE149" s="421" t="s">
        <v>3164</v>
      </c>
      <c r="AF149" s="421" t="s">
        <v>2236</v>
      </c>
      <c r="AG149" s="421" t="s">
        <v>2237</v>
      </c>
      <c r="AH149" s="421" t="s">
        <v>3105</v>
      </c>
      <c r="AI149" s="421">
        <v>30000</v>
      </c>
      <c r="AJ149" s="421">
        <v>106.34</v>
      </c>
      <c r="AK149" s="421">
        <v>117.12</v>
      </c>
      <c r="AL149" s="421">
        <v>3</v>
      </c>
      <c r="AM149" s="421" t="s">
        <v>964</v>
      </c>
      <c r="AN149" s="421" t="s">
        <v>3165</v>
      </c>
      <c r="AO149" s="421" t="s">
        <v>1121</v>
      </c>
      <c r="AP149" s="421" t="s">
        <v>1121</v>
      </c>
      <c r="AQ149" s="421" t="s">
        <v>1542</v>
      </c>
      <c r="AR149" s="421" t="s">
        <v>3352</v>
      </c>
      <c r="AS149" s="421" t="s">
        <v>3412</v>
      </c>
      <c r="AT149" s="421" t="s">
        <v>3109</v>
      </c>
      <c r="AU149" s="421" t="s">
        <v>1142</v>
      </c>
      <c r="AV149" s="421" t="s">
        <v>2417</v>
      </c>
      <c r="AW149" s="421" t="s">
        <v>3110</v>
      </c>
      <c r="AX149" s="421" t="s">
        <v>3111</v>
      </c>
      <c r="AY149" s="421" t="s">
        <v>3112</v>
      </c>
      <c r="AZ149" s="421" t="s">
        <v>3113</v>
      </c>
      <c r="BA149" s="421" t="s">
        <v>3114</v>
      </c>
      <c r="BB149" s="421" t="s">
        <v>3115</v>
      </c>
      <c r="BC149" s="421">
        <v>3084</v>
      </c>
      <c r="BD149" s="421">
        <v>8059663.9199999999</v>
      </c>
      <c r="BE149" s="421">
        <v>0</v>
      </c>
      <c r="BF149" s="421">
        <v>76.400000000000006</v>
      </c>
      <c r="BG149" s="421">
        <v>0</v>
      </c>
      <c r="BH149" s="421">
        <v>0</v>
      </c>
      <c r="BI149" s="421" t="s">
        <v>1278</v>
      </c>
    </row>
    <row r="150" spans="1:61" x14ac:dyDescent="0.25">
      <c r="A150" s="421">
        <v>147</v>
      </c>
      <c r="B150" s="421">
        <v>2015</v>
      </c>
      <c r="C150" s="421">
        <v>3</v>
      </c>
      <c r="D150" s="421">
        <v>20</v>
      </c>
      <c r="E150" s="421" t="s">
        <v>1475</v>
      </c>
      <c r="F150" s="421" t="s">
        <v>3325</v>
      </c>
      <c r="G150" s="421" t="s">
        <v>3194</v>
      </c>
      <c r="H150" s="421" t="s">
        <v>1107</v>
      </c>
      <c r="I150" s="421" t="s">
        <v>1656</v>
      </c>
      <c r="J150" s="421" t="s">
        <v>3411</v>
      </c>
      <c r="K150" s="421" t="s">
        <v>3093</v>
      </c>
      <c r="L150" s="421" t="s">
        <v>3094</v>
      </c>
      <c r="M150" s="421" t="s">
        <v>2667</v>
      </c>
      <c r="N150" s="421" t="s">
        <v>3093</v>
      </c>
      <c r="O150" s="421" t="s">
        <v>3094</v>
      </c>
      <c r="P150" s="421" t="s">
        <v>3095</v>
      </c>
      <c r="Q150" s="421" t="s">
        <v>3096</v>
      </c>
      <c r="R150" s="421" t="s">
        <v>1108</v>
      </c>
      <c r="S150" s="421" t="s">
        <v>1542</v>
      </c>
      <c r="T150" s="421" t="s">
        <v>1130</v>
      </c>
      <c r="U150" s="421" t="s">
        <v>1112</v>
      </c>
      <c r="V150" s="421" t="s">
        <v>3097</v>
      </c>
      <c r="W150" s="421" t="s">
        <v>3098</v>
      </c>
      <c r="X150" s="421" t="s">
        <v>3099</v>
      </c>
      <c r="Y150" s="421" t="s">
        <v>1117</v>
      </c>
      <c r="Z150" s="421" t="s">
        <v>1118</v>
      </c>
      <c r="AA150" s="421" t="s">
        <v>3100</v>
      </c>
      <c r="AB150" s="421" t="s">
        <v>3101</v>
      </c>
      <c r="AC150" s="421" t="s">
        <v>3102</v>
      </c>
      <c r="AD150" s="421" t="s">
        <v>3163</v>
      </c>
      <c r="AE150" s="421" t="s">
        <v>3164</v>
      </c>
      <c r="AF150" s="421" t="s">
        <v>2236</v>
      </c>
      <c r="AG150" s="421" t="s">
        <v>2237</v>
      </c>
      <c r="AH150" s="421" t="s">
        <v>3105</v>
      </c>
      <c r="AI150" s="421">
        <v>36000</v>
      </c>
      <c r="AJ150" s="421">
        <v>138.4</v>
      </c>
      <c r="AK150" s="421">
        <v>152.44</v>
      </c>
      <c r="AL150" s="421">
        <v>4</v>
      </c>
      <c r="AM150" s="421" t="s">
        <v>964</v>
      </c>
      <c r="AN150" s="421" t="s">
        <v>3165</v>
      </c>
      <c r="AO150" s="421" t="s">
        <v>1121</v>
      </c>
      <c r="AP150" s="421" t="s">
        <v>1121</v>
      </c>
      <c r="AQ150" s="421" t="s">
        <v>1542</v>
      </c>
      <c r="AR150" s="421" t="s">
        <v>3352</v>
      </c>
      <c r="AS150" s="421" t="s">
        <v>3412</v>
      </c>
      <c r="AT150" s="421" t="s">
        <v>3109</v>
      </c>
      <c r="AU150" s="421" t="s">
        <v>1142</v>
      </c>
      <c r="AV150" s="421" t="s">
        <v>2417</v>
      </c>
      <c r="AW150" s="421" t="s">
        <v>3110</v>
      </c>
      <c r="AX150" s="421" t="s">
        <v>3111</v>
      </c>
      <c r="AY150" s="421" t="s">
        <v>3112</v>
      </c>
      <c r="AZ150" s="421" t="s">
        <v>3113</v>
      </c>
      <c r="BA150" s="421" t="s">
        <v>3114</v>
      </c>
      <c r="BB150" s="421" t="s">
        <v>3115</v>
      </c>
      <c r="BC150" s="421">
        <v>3816</v>
      </c>
      <c r="BD150" s="421">
        <v>9972658.0800000001</v>
      </c>
      <c r="BE150" s="421">
        <v>0</v>
      </c>
      <c r="BF150" s="421">
        <v>94.53</v>
      </c>
      <c r="BG150" s="421">
        <v>0</v>
      </c>
      <c r="BH150" s="421">
        <v>0</v>
      </c>
      <c r="BI150" s="421" t="s">
        <v>1278</v>
      </c>
    </row>
    <row r="151" spans="1:61" x14ac:dyDescent="0.25">
      <c r="A151" s="421">
        <v>148</v>
      </c>
      <c r="B151" s="421">
        <v>2015</v>
      </c>
      <c r="C151" s="421">
        <v>3</v>
      </c>
      <c r="D151" s="421">
        <v>20</v>
      </c>
      <c r="E151" s="421" t="s">
        <v>1475</v>
      </c>
      <c r="F151" s="421" t="s">
        <v>3325</v>
      </c>
      <c r="G151" s="421" t="s">
        <v>3194</v>
      </c>
      <c r="H151" s="421" t="s">
        <v>1107</v>
      </c>
      <c r="I151" s="421" t="s">
        <v>1656</v>
      </c>
      <c r="J151" s="421" t="s">
        <v>3413</v>
      </c>
      <c r="K151" s="421" t="s">
        <v>3093</v>
      </c>
      <c r="L151" s="421" t="s">
        <v>3094</v>
      </c>
      <c r="M151" s="421" t="s">
        <v>2667</v>
      </c>
      <c r="N151" s="421" t="s">
        <v>3093</v>
      </c>
      <c r="O151" s="421" t="s">
        <v>3094</v>
      </c>
      <c r="P151" s="421" t="s">
        <v>3095</v>
      </c>
      <c r="Q151" s="421" t="s">
        <v>3113</v>
      </c>
      <c r="R151" s="421" t="s">
        <v>1108</v>
      </c>
      <c r="S151" s="421" t="s">
        <v>1108</v>
      </c>
      <c r="T151" s="421" t="s">
        <v>1130</v>
      </c>
      <c r="U151" s="421" t="s">
        <v>1112</v>
      </c>
      <c r="V151" s="421" t="s">
        <v>3097</v>
      </c>
      <c r="W151" s="421" t="s">
        <v>3098</v>
      </c>
      <c r="X151" s="421" t="s">
        <v>3099</v>
      </c>
      <c r="Y151" s="421" t="s">
        <v>1117</v>
      </c>
      <c r="Z151" s="421" t="s">
        <v>1118</v>
      </c>
      <c r="AA151" s="421" t="s">
        <v>3100</v>
      </c>
      <c r="AB151" s="421" t="s">
        <v>3101</v>
      </c>
      <c r="AC151" s="421" t="s">
        <v>3102</v>
      </c>
      <c r="AD151" s="421" t="s">
        <v>3414</v>
      </c>
      <c r="AE151" s="421" t="s">
        <v>3261</v>
      </c>
      <c r="AF151" s="421" t="s">
        <v>2236</v>
      </c>
      <c r="AG151" s="421" t="s">
        <v>2237</v>
      </c>
      <c r="AH151" s="421" t="s">
        <v>3105</v>
      </c>
      <c r="AI151" s="421">
        <v>1581500</v>
      </c>
      <c r="AJ151" s="421">
        <v>8487.3799999999992</v>
      </c>
      <c r="AK151" s="421">
        <v>9034.2199999999993</v>
      </c>
      <c r="AL151" s="421">
        <v>1</v>
      </c>
      <c r="AM151" s="421" t="s">
        <v>963</v>
      </c>
      <c r="AN151" s="421" t="s">
        <v>3262</v>
      </c>
      <c r="AO151" s="421" t="s">
        <v>1121</v>
      </c>
      <c r="AP151" s="421" t="s">
        <v>1121</v>
      </c>
      <c r="AQ151" s="421" t="s">
        <v>1108</v>
      </c>
      <c r="AR151" s="421" t="s">
        <v>3352</v>
      </c>
      <c r="AS151" s="421" t="s">
        <v>3415</v>
      </c>
      <c r="AT151" s="421" t="s">
        <v>3109</v>
      </c>
      <c r="AU151" s="421" t="s">
        <v>1142</v>
      </c>
      <c r="AV151" s="421" t="s">
        <v>2037</v>
      </c>
      <c r="AW151" s="421" t="s">
        <v>3110</v>
      </c>
      <c r="AX151" s="421" t="s">
        <v>3111</v>
      </c>
      <c r="AY151" s="421" t="s">
        <v>3112</v>
      </c>
      <c r="AZ151" s="421" t="s">
        <v>3113</v>
      </c>
      <c r="BA151" s="421" t="s">
        <v>3114</v>
      </c>
      <c r="BB151" s="421" t="s">
        <v>3115</v>
      </c>
      <c r="BC151" s="421">
        <v>191560</v>
      </c>
      <c r="BD151" s="421">
        <v>500619072.80000001</v>
      </c>
      <c r="BE151" s="421">
        <v>0</v>
      </c>
      <c r="BF151" s="421">
        <v>1095.4000000000001</v>
      </c>
      <c r="BG151" s="421">
        <v>481.64</v>
      </c>
      <c r="BH151" s="421">
        <v>0</v>
      </c>
      <c r="BI151" s="421" t="s">
        <v>1167</v>
      </c>
    </row>
    <row r="152" spans="1:61" x14ac:dyDescent="0.25">
      <c r="A152" s="421">
        <v>149</v>
      </c>
      <c r="B152" s="421">
        <v>2015</v>
      </c>
      <c r="C152" s="421">
        <v>3</v>
      </c>
      <c r="D152" s="421">
        <v>24</v>
      </c>
      <c r="E152" s="421" t="s">
        <v>1475</v>
      </c>
      <c r="F152" s="421" t="s">
        <v>3325</v>
      </c>
      <c r="G152" s="421" t="s">
        <v>3416</v>
      </c>
      <c r="H152" s="421" t="s">
        <v>1107</v>
      </c>
      <c r="I152" s="421" t="s">
        <v>1671</v>
      </c>
      <c r="J152" s="421" t="s">
        <v>3417</v>
      </c>
      <c r="K152" s="421" t="s">
        <v>3093</v>
      </c>
      <c r="L152" s="421" t="s">
        <v>3094</v>
      </c>
      <c r="M152" s="421" t="s">
        <v>2667</v>
      </c>
      <c r="N152" s="421" t="s">
        <v>3093</v>
      </c>
      <c r="O152" s="421" t="s">
        <v>3094</v>
      </c>
      <c r="P152" s="421" t="s">
        <v>3095</v>
      </c>
      <c r="Q152" s="421" t="s">
        <v>3096</v>
      </c>
      <c r="R152" s="421" t="s">
        <v>1108</v>
      </c>
      <c r="S152" s="421" t="s">
        <v>1476</v>
      </c>
      <c r="T152" s="421" t="s">
        <v>1130</v>
      </c>
      <c r="U152" s="421" t="s">
        <v>3144</v>
      </c>
      <c r="V152" s="421" t="s">
        <v>3145</v>
      </c>
      <c r="W152" s="421" t="s">
        <v>3098</v>
      </c>
      <c r="X152" s="421" t="s">
        <v>3099</v>
      </c>
      <c r="Y152" s="421" t="s">
        <v>1117</v>
      </c>
      <c r="Z152" s="421" t="s">
        <v>1118</v>
      </c>
      <c r="AA152" s="421" t="s">
        <v>3100</v>
      </c>
      <c r="AB152" s="421" t="s">
        <v>3146</v>
      </c>
      <c r="AC152" s="421" t="s">
        <v>3102</v>
      </c>
      <c r="AD152" s="421" t="s">
        <v>3269</v>
      </c>
      <c r="AE152" s="421" t="s">
        <v>3333</v>
      </c>
      <c r="AF152" s="421" t="s">
        <v>2236</v>
      </c>
      <c r="AG152" s="421" t="s">
        <v>2237</v>
      </c>
      <c r="AH152" s="421" t="s">
        <v>3105</v>
      </c>
      <c r="AI152" s="421">
        <v>73600</v>
      </c>
      <c r="AJ152" s="421">
        <v>274</v>
      </c>
      <c r="AK152" s="421">
        <v>274</v>
      </c>
      <c r="AL152" s="421">
        <v>1</v>
      </c>
      <c r="AM152" s="421" t="s">
        <v>966</v>
      </c>
      <c r="AN152" s="421" t="s">
        <v>3271</v>
      </c>
      <c r="AO152" s="421" t="s">
        <v>1121</v>
      </c>
      <c r="AP152" s="421" t="s">
        <v>1121</v>
      </c>
      <c r="AQ152" s="421" t="s">
        <v>1476</v>
      </c>
      <c r="AR152" s="421" t="s">
        <v>3352</v>
      </c>
      <c r="AS152" s="421" t="s">
        <v>3418</v>
      </c>
      <c r="AT152" s="421" t="s">
        <v>3109</v>
      </c>
      <c r="AU152" s="421" t="s">
        <v>1341</v>
      </c>
      <c r="AV152" s="421" t="s">
        <v>962</v>
      </c>
      <c r="AW152" s="421" t="s">
        <v>3110</v>
      </c>
      <c r="AX152" s="421" t="s">
        <v>3111</v>
      </c>
      <c r="AY152" s="421" t="s">
        <v>3112</v>
      </c>
      <c r="AZ152" s="421" t="s">
        <v>3113</v>
      </c>
      <c r="BA152" s="421" t="s">
        <v>3114</v>
      </c>
      <c r="BB152" s="421" t="s">
        <v>3115</v>
      </c>
      <c r="BC152" s="421">
        <v>4115</v>
      </c>
      <c r="BD152" s="421">
        <v>10648426.65</v>
      </c>
      <c r="BE152" s="421">
        <v>0</v>
      </c>
      <c r="BF152" s="421">
        <v>851.87</v>
      </c>
      <c r="BG152" s="421">
        <v>12.42</v>
      </c>
      <c r="BH152" s="421">
        <v>0</v>
      </c>
      <c r="BI152" s="421" t="s">
        <v>1167</v>
      </c>
    </row>
    <row r="153" spans="1:61" x14ac:dyDescent="0.25">
      <c r="A153" s="421">
        <v>150</v>
      </c>
      <c r="B153" s="421">
        <v>2015</v>
      </c>
      <c r="C153" s="421">
        <v>3</v>
      </c>
      <c r="D153" s="421">
        <v>24</v>
      </c>
      <c r="E153" s="421" t="s">
        <v>1475</v>
      </c>
      <c r="F153" s="421" t="s">
        <v>3325</v>
      </c>
      <c r="G153" s="421" t="s">
        <v>3416</v>
      </c>
      <c r="H153" s="421" t="s">
        <v>1107</v>
      </c>
      <c r="I153" s="421" t="s">
        <v>1671</v>
      </c>
      <c r="J153" s="421" t="s">
        <v>3419</v>
      </c>
      <c r="K153" s="421" t="s">
        <v>3093</v>
      </c>
      <c r="L153" s="421" t="s">
        <v>3094</v>
      </c>
      <c r="M153" s="421" t="s">
        <v>2667</v>
      </c>
      <c r="N153" s="421" t="s">
        <v>3093</v>
      </c>
      <c r="O153" s="421" t="s">
        <v>3094</v>
      </c>
      <c r="P153" s="421" t="s">
        <v>3095</v>
      </c>
      <c r="Q153" s="421" t="s">
        <v>3096</v>
      </c>
      <c r="R153" s="421" t="s">
        <v>1108</v>
      </c>
      <c r="S153" s="421" t="s">
        <v>1476</v>
      </c>
      <c r="T153" s="421" t="s">
        <v>1130</v>
      </c>
      <c r="U153" s="421" t="s">
        <v>3144</v>
      </c>
      <c r="V153" s="421" t="s">
        <v>3145</v>
      </c>
      <c r="W153" s="421" t="s">
        <v>3098</v>
      </c>
      <c r="X153" s="421" t="s">
        <v>3099</v>
      </c>
      <c r="Y153" s="421" t="s">
        <v>1117</v>
      </c>
      <c r="Z153" s="421" t="s">
        <v>1118</v>
      </c>
      <c r="AA153" s="421" t="s">
        <v>3100</v>
      </c>
      <c r="AB153" s="421" t="s">
        <v>3146</v>
      </c>
      <c r="AC153" s="421" t="s">
        <v>3102</v>
      </c>
      <c r="AD153" s="421" t="s">
        <v>3420</v>
      </c>
      <c r="AE153" s="421" t="s">
        <v>3421</v>
      </c>
      <c r="AF153" s="421" t="s">
        <v>2236</v>
      </c>
      <c r="AG153" s="421" t="s">
        <v>2237</v>
      </c>
      <c r="AH153" s="421" t="s">
        <v>3105</v>
      </c>
      <c r="AI153" s="421">
        <v>172450</v>
      </c>
      <c r="AJ153" s="421">
        <v>477.4</v>
      </c>
      <c r="AK153" s="421">
        <v>517</v>
      </c>
      <c r="AL153" s="421">
        <v>1</v>
      </c>
      <c r="AM153" s="421" t="s">
        <v>3277</v>
      </c>
      <c r="AN153" s="421" t="s">
        <v>3278</v>
      </c>
      <c r="AO153" s="421" t="s">
        <v>1121</v>
      </c>
      <c r="AP153" s="421" t="s">
        <v>1121</v>
      </c>
      <c r="AQ153" s="421" t="s">
        <v>1476</v>
      </c>
      <c r="AR153" s="421" t="s">
        <v>3352</v>
      </c>
      <c r="AS153" s="421" t="s">
        <v>3422</v>
      </c>
      <c r="AT153" s="421" t="s">
        <v>3109</v>
      </c>
      <c r="AU153" s="421" t="s">
        <v>1341</v>
      </c>
      <c r="AV153" s="421" t="s">
        <v>3322</v>
      </c>
      <c r="AW153" s="421" t="s">
        <v>3110</v>
      </c>
      <c r="AX153" s="421" t="s">
        <v>3111</v>
      </c>
      <c r="AY153" s="421" t="s">
        <v>3112</v>
      </c>
      <c r="AZ153" s="421" t="s">
        <v>3113</v>
      </c>
      <c r="BA153" s="421" t="s">
        <v>3114</v>
      </c>
      <c r="BB153" s="421" t="s">
        <v>3115</v>
      </c>
      <c r="BC153" s="421">
        <v>9044.6</v>
      </c>
      <c r="BD153" s="421">
        <v>23404801.870000001</v>
      </c>
      <c r="BE153" s="421">
        <v>0</v>
      </c>
      <c r="BF153" s="421">
        <v>0</v>
      </c>
      <c r="BG153" s="421">
        <v>0</v>
      </c>
      <c r="BH153" s="421">
        <v>0</v>
      </c>
      <c r="BI153" s="421" t="s">
        <v>1331</v>
      </c>
    </row>
    <row r="154" spans="1:61" x14ac:dyDescent="0.25">
      <c r="A154" s="421">
        <v>151</v>
      </c>
      <c r="B154" s="421">
        <v>2015</v>
      </c>
      <c r="C154" s="421">
        <v>3</v>
      </c>
      <c r="D154" s="421">
        <v>24</v>
      </c>
      <c r="E154" s="421" t="s">
        <v>1475</v>
      </c>
      <c r="F154" s="421" t="s">
        <v>3325</v>
      </c>
      <c r="G154" s="421" t="s">
        <v>3416</v>
      </c>
      <c r="H154" s="421" t="s">
        <v>1107</v>
      </c>
      <c r="I154" s="421" t="s">
        <v>1671</v>
      </c>
      <c r="J154" s="421" t="s">
        <v>3423</v>
      </c>
      <c r="K154" s="421" t="s">
        <v>3093</v>
      </c>
      <c r="L154" s="421" t="s">
        <v>3094</v>
      </c>
      <c r="M154" s="421" t="s">
        <v>2667</v>
      </c>
      <c r="N154" s="421" t="s">
        <v>3093</v>
      </c>
      <c r="O154" s="421" t="s">
        <v>3094</v>
      </c>
      <c r="P154" s="421" t="s">
        <v>3095</v>
      </c>
      <c r="Q154" s="421" t="s">
        <v>3096</v>
      </c>
      <c r="R154" s="421" t="s">
        <v>1108</v>
      </c>
      <c r="S154" s="421" t="s">
        <v>1476</v>
      </c>
      <c r="T154" s="421" t="s">
        <v>1130</v>
      </c>
      <c r="U154" s="421" t="s">
        <v>3144</v>
      </c>
      <c r="V154" s="421" t="s">
        <v>3145</v>
      </c>
      <c r="W154" s="421" t="s">
        <v>3098</v>
      </c>
      <c r="X154" s="421" t="s">
        <v>3099</v>
      </c>
      <c r="Y154" s="421" t="s">
        <v>1117</v>
      </c>
      <c r="Z154" s="421" t="s">
        <v>1118</v>
      </c>
      <c r="AA154" s="421" t="s">
        <v>3100</v>
      </c>
      <c r="AB154" s="421" t="s">
        <v>3146</v>
      </c>
      <c r="AC154" s="421" t="s">
        <v>3102</v>
      </c>
      <c r="AD154" s="421" t="s">
        <v>3406</v>
      </c>
      <c r="AE154" s="421" t="s">
        <v>3424</v>
      </c>
      <c r="AF154" s="421" t="s">
        <v>2236</v>
      </c>
      <c r="AG154" s="421" t="s">
        <v>2237</v>
      </c>
      <c r="AH154" s="421" t="s">
        <v>3105</v>
      </c>
      <c r="AI154" s="421">
        <v>367400</v>
      </c>
      <c r="AJ154" s="421">
        <v>1246.42</v>
      </c>
      <c r="AK154" s="421">
        <v>1384</v>
      </c>
      <c r="AL154" s="421">
        <v>1</v>
      </c>
      <c r="AM154" s="421" t="s">
        <v>964</v>
      </c>
      <c r="AN154" s="421" t="s">
        <v>3425</v>
      </c>
      <c r="AO154" s="421" t="s">
        <v>1121</v>
      </c>
      <c r="AP154" s="421" t="s">
        <v>1121</v>
      </c>
      <c r="AQ154" s="421" t="s">
        <v>1476</v>
      </c>
      <c r="AR154" s="421" t="s">
        <v>3352</v>
      </c>
      <c r="AS154" s="421" t="s">
        <v>3426</v>
      </c>
      <c r="AT154" s="421" t="s">
        <v>3109</v>
      </c>
      <c r="AU154" s="421" t="s">
        <v>1341</v>
      </c>
      <c r="AV154" s="421" t="s">
        <v>3427</v>
      </c>
      <c r="AW154" s="421" t="s">
        <v>3110</v>
      </c>
      <c r="AX154" s="421" t="s">
        <v>3131</v>
      </c>
      <c r="AY154" s="421" t="s">
        <v>3112</v>
      </c>
      <c r="AZ154" s="421" t="s">
        <v>3113</v>
      </c>
      <c r="BA154" s="421" t="s">
        <v>3114</v>
      </c>
      <c r="BB154" s="421" t="s">
        <v>3115</v>
      </c>
      <c r="BC154" s="421">
        <v>17791.900000000001</v>
      </c>
      <c r="BD154" s="421">
        <v>46040277.549999997</v>
      </c>
      <c r="BE154" s="421">
        <v>0</v>
      </c>
      <c r="BF154" s="421">
        <v>0</v>
      </c>
      <c r="BG154" s="421">
        <v>0</v>
      </c>
      <c r="BH154" s="421">
        <v>0</v>
      </c>
      <c r="BI154" s="421" t="s">
        <v>1278</v>
      </c>
    </row>
    <row r="155" spans="1:61" x14ac:dyDescent="0.25">
      <c r="A155" s="421">
        <v>152</v>
      </c>
      <c r="B155" s="421">
        <v>2015</v>
      </c>
      <c r="C155" s="421">
        <v>3</v>
      </c>
      <c r="D155" s="421">
        <v>24</v>
      </c>
      <c r="E155" s="421" t="s">
        <v>1475</v>
      </c>
      <c r="F155" s="421" t="s">
        <v>3325</v>
      </c>
      <c r="G155" s="421" t="s">
        <v>3416</v>
      </c>
      <c r="H155" s="421" t="s">
        <v>1107</v>
      </c>
      <c r="I155" s="421" t="s">
        <v>1671</v>
      </c>
      <c r="J155" s="421" t="s">
        <v>3428</v>
      </c>
      <c r="K155" s="421" t="s">
        <v>3093</v>
      </c>
      <c r="L155" s="421" t="s">
        <v>3094</v>
      </c>
      <c r="M155" s="421" t="s">
        <v>2667</v>
      </c>
      <c r="N155" s="421" t="s">
        <v>3093</v>
      </c>
      <c r="O155" s="421" t="s">
        <v>3094</v>
      </c>
      <c r="P155" s="421" t="s">
        <v>3095</v>
      </c>
      <c r="Q155" s="421" t="s">
        <v>3113</v>
      </c>
      <c r="R155" s="421" t="s">
        <v>1108</v>
      </c>
      <c r="S155" s="421" t="s">
        <v>1108</v>
      </c>
      <c r="T155" s="421" t="s">
        <v>1130</v>
      </c>
      <c r="U155" s="421" t="s">
        <v>3144</v>
      </c>
      <c r="V155" s="421" t="s">
        <v>3145</v>
      </c>
      <c r="W155" s="421" t="s">
        <v>3098</v>
      </c>
      <c r="X155" s="421" t="s">
        <v>3099</v>
      </c>
      <c r="Y155" s="421" t="s">
        <v>1117</v>
      </c>
      <c r="Z155" s="421" t="s">
        <v>1118</v>
      </c>
      <c r="AA155" s="421" t="s">
        <v>3100</v>
      </c>
      <c r="AB155" s="421" t="s">
        <v>3146</v>
      </c>
      <c r="AC155" s="421" t="s">
        <v>3102</v>
      </c>
      <c r="AD155" s="421" t="s">
        <v>3429</v>
      </c>
      <c r="AE155" s="421" t="s">
        <v>3430</v>
      </c>
      <c r="AF155" s="421" t="s">
        <v>1300</v>
      </c>
      <c r="AG155" s="421" t="s">
        <v>1301</v>
      </c>
      <c r="AH155" s="421" t="s">
        <v>1127</v>
      </c>
      <c r="AI155" s="421">
        <v>6.27</v>
      </c>
      <c r="AJ155" s="421">
        <v>6.27</v>
      </c>
      <c r="AK155" s="421">
        <v>7</v>
      </c>
      <c r="AL155" s="421">
        <v>1</v>
      </c>
      <c r="AM155" s="421" t="s">
        <v>3431</v>
      </c>
      <c r="AN155" s="421" t="s">
        <v>3432</v>
      </c>
      <c r="AO155" s="421" t="s">
        <v>1121</v>
      </c>
      <c r="AP155" s="421" t="s">
        <v>1121</v>
      </c>
      <c r="AQ155" s="421" t="s">
        <v>1108</v>
      </c>
      <c r="AR155" s="421" t="s">
        <v>3352</v>
      </c>
      <c r="AS155" s="421" t="s">
        <v>3433</v>
      </c>
      <c r="AT155" s="421" t="s">
        <v>3109</v>
      </c>
      <c r="AU155" s="421" t="s">
        <v>1341</v>
      </c>
      <c r="AV155" s="421" t="s">
        <v>3157</v>
      </c>
      <c r="AW155" s="421" t="s">
        <v>3110</v>
      </c>
      <c r="AX155" s="421" t="s">
        <v>3229</v>
      </c>
      <c r="AY155" s="421" t="s">
        <v>3112</v>
      </c>
      <c r="AZ155" s="421" t="s">
        <v>3113</v>
      </c>
      <c r="BA155" s="421" t="s">
        <v>3114</v>
      </c>
      <c r="BB155" s="421" t="s">
        <v>3230</v>
      </c>
      <c r="BC155" s="421">
        <v>0.5</v>
      </c>
      <c r="BD155" s="421">
        <v>1293.8599999999999</v>
      </c>
      <c r="BE155" s="421">
        <v>0</v>
      </c>
      <c r="BF155" s="421">
        <v>0</v>
      </c>
      <c r="BG155" s="421">
        <v>0</v>
      </c>
      <c r="BH155" s="421">
        <v>0</v>
      </c>
      <c r="BI155" s="421" t="s">
        <v>1331</v>
      </c>
    </row>
    <row r="156" spans="1:61" x14ac:dyDescent="0.25">
      <c r="A156" s="421">
        <v>153</v>
      </c>
      <c r="B156" s="421">
        <v>2015</v>
      </c>
      <c r="C156" s="421">
        <v>3</v>
      </c>
      <c r="D156" s="421">
        <v>24</v>
      </c>
      <c r="E156" s="421" t="s">
        <v>1475</v>
      </c>
      <c r="F156" s="421" t="s">
        <v>3325</v>
      </c>
      <c r="G156" s="421" t="s">
        <v>3416</v>
      </c>
      <c r="H156" s="421" t="s">
        <v>1107</v>
      </c>
      <c r="I156" s="421" t="s">
        <v>1671</v>
      </c>
      <c r="J156" s="421" t="s">
        <v>3434</v>
      </c>
      <c r="K156" s="421" t="s">
        <v>3093</v>
      </c>
      <c r="L156" s="421" t="s">
        <v>3094</v>
      </c>
      <c r="M156" s="421" t="s">
        <v>2667</v>
      </c>
      <c r="N156" s="421" t="s">
        <v>3093</v>
      </c>
      <c r="O156" s="421" t="s">
        <v>3094</v>
      </c>
      <c r="P156" s="421" t="s">
        <v>3095</v>
      </c>
      <c r="Q156" s="421" t="s">
        <v>3096</v>
      </c>
      <c r="R156" s="421" t="s">
        <v>1108</v>
      </c>
      <c r="S156" s="421" t="s">
        <v>1476</v>
      </c>
      <c r="T156" s="421" t="s">
        <v>1130</v>
      </c>
      <c r="U156" s="421" t="s">
        <v>3144</v>
      </c>
      <c r="V156" s="421" t="s">
        <v>3145</v>
      </c>
      <c r="W156" s="421" t="s">
        <v>3098</v>
      </c>
      <c r="X156" s="421" t="s">
        <v>3099</v>
      </c>
      <c r="Y156" s="421" t="s">
        <v>1117</v>
      </c>
      <c r="Z156" s="421" t="s">
        <v>1118</v>
      </c>
      <c r="AA156" s="421" t="s">
        <v>3100</v>
      </c>
      <c r="AB156" s="421" t="s">
        <v>3146</v>
      </c>
      <c r="AC156" s="421" t="s">
        <v>3102</v>
      </c>
      <c r="AD156" s="421" t="s">
        <v>3269</v>
      </c>
      <c r="AE156" s="421" t="s">
        <v>3333</v>
      </c>
      <c r="AF156" s="421" t="s">
        <v>2236</v>
      </c>
      <c r="AG156" s="421" t="s">
        <v>2237</v>
      </c>
      <c r="AH156" s="421" t="s">
        <v>3105</v>
      </c>
      <c r="AI156" s="421">
        <v>84000</v>
      </c>
      <c r="AJ156" s="421">
        <v>305.86</v>
      </c>
      <c r="AK156" s="421">
        <v>317</v>
      </c>
      <c r="AL156" s="421">
        <v>1</v>
      </c>
      <c r="AM156" s="421" t="s">
        <v>966</v>
      </c>
      <c r="AN156" s="421" t="s">
        <v>3271</v>
      </c>
      <c r="AO156" s="421" t="s">
        <v>1121</v>
      </c>
      <c r="AP156" s="421" t="s">
        <v>1121</v>
      </c>
      <c r="AQ156" s="421" t="s">
        <v>1476</v>
      </c>
      <c r="AR156" s="421" t="s">
        <v>3352</v>
      </c>
      <c r="AS156" s="421" t="s">
        <v>3435</v>
      </c>
      <c r="AT156" s="421" t="s">
        <v>3109</v>
      </c>
      <c r="AU156" s="421" t="s">
        <v>1341</v>
      </c>
      <c r="AV156" s="421" t="s">
        <v>962</v>
      </c>
      <c r="AW156" s="421" t="s">
        <v>3110</v>
      </c>
      <c r="AX156" s="421" t="s">
        <v>3111</v>
      </c>
      <c r="AY156" s="421" t="s">
        <v>3112</v>
      </c>
      <c r="AZ156" s="421" t="s">
        <v>3113</v>
      </c>
      <c r="BA156" s="421" t="s">
        <v>3114</v>
      </c>
      <c r="BB156" s="421" t="s">
        <v>3115</v>
      </c>
      <c r="BC156" s="421">
        <v>3654</v>
      </c>
      <c r="BD156" s="421">
        <v>9455492.3399999999</v>
      </c>
      <c r="BE156" s="421">
        <v>0</v>
      </c>
      <c r="BF156" s="421">
        <v>939.71</v>
      </c>
      <c r="BG156" s="421">
        <v>12</v>
      </c>
      <c r="BH156" s="421">
        <v>0</v>
      </c>
      <c r="BI156" s="421" t="s">
        <v>1167</v>
      </c>
    </row>
    <row r="157" spans="1:61" x14ac:dyDescent="0.25">
      <c r="A157" s="421">
        <v>154</v>
      </c>
      <c r="B157" s="421">
        <v>2015</v>
      </c>
      <c r="C157" s="421">
        <v>3</v>
      </c>
      <c r="D157" s="421">
        <v>24</v>
      </c>
      <c r="E157" s="421" t="s">
        <v>1475</v>
      </c>
      <c r="F157" s="421" t="s">
        <v>3325</v>
      </c>
      <c r="G157" s="421" t="s">
        <v>3416</v>
      </c>
      <c r="H157" s="421" t="s">
        <v>1107</v>
      </c>
      <c r="I157" s="421" t="s">
        <v>1671</v>
      </c>
      <c r="J157" s="421" t="s">
        <v>3436</v>
      </c>
      <c r="K157" s="421" t="s">
        <v>3093</v>
      </c>
      <c r="L157" s="421" t="s">
        <v>3094</v>
      </c>
      <c r="M157" s="421" t="s">
        <v>2667</v>
      </c>
      <c r="N157" s="421" t="s">
        <v>3093</v>
      </c>
      <c r="O157" s="421" t="s">
        <v>3094</v>
      </c>
      <c r="P157" s="421" t="s">
        <v>3095</v>
      </c>
      <c r="Q157" s="421" t="s">
        <v>3113</v>
      </c>
      <c r="R157" s="421" t="s">
        <v>1108</v>
      </c>
      <c r="S157" s="421" t="s">
        <v>1108</v>
      </c>
      <c r="T157" s="421" t="s">
        <v>1130</v>
      </c>
      <c r="U157" s="421" t="s">
        <v>3144</v>
      </c>
      <c r="V157" s="421" t="s">
        <v>3145</v>
      </c>
      <c r="W157" s="421" t="s">
        <v>3098</v>
      </c>
      <c r="X157" s="421" t="s">
        <v>3099</v>
      </c>
      <c r="Y157" s="421" t="s">
        <v>1117</v>
      </c>
      <c r="Z157" s="421" t="s">
        <v>1118</v>
      </c>
      <c r="AA157" s="421" t="s">
        <v>3100</v>
      </c>
      <c r="AB157" s="421" t="s">
        <v>3146</v>
      </c>
      <c r="AC157" s="421" t="s">
        <v>3102</v>
      </c>
      <c r="AD157" s="421" t="s">
        <v>3429</v>
      </c>
      <c r="AE157" s="421" t="s">
        <v>3430</v>
      </c>
      <c r="AF157" s="421" t="s">
        <v>2236</v>
      </c>
      <c r="AG157" s="421" t="s">
        <v>2237</v>
      </c>
      <c r="AH157" s="421" t="s">
        <v>3105</v>
      </c>
      <c r="AI157" s="421">
        <v>196000</v>
      </c>
      <c r="AJ157" s="421">
        <v>500.08</v>
      </c>
      <c r="AK157" s="421">
        <v>539</v>
      </c>
      <c r="AL157" s="421">
        <v>1</v>
      </c>
      <c r="AM157" s="421" t="s">
        <v>3431</v>
      </c>
      <c r="AN157" s="421" t="s">
        <v>3432</v>
      </c>
      <c r="AO157" s="421" t="s">
        <v>1121</v>
      </c>
      <c r="AP157" s="421" t="s">
        <v>1121</v>
      </c>
      <c r="AQ157" s="421" t="s">
        <v>1108</v>
      </c>
      <c r="AR157" s="421" t="s">
        <v>3352</v>
      </c>
      <c r="AS157" s="421" t="s">
        <v>3437</v>
      </c>
      <c r="AT157" s="421" t="s">
        <v>3109</v>
      </c>
      <c r="AU157" s="421" t="s">
        <v>1341</v>
      </c>
      <c r="AV157" s="421" t="s">
        <v>3157</v>
      </c>
      <c r="AW157" s="421" t="s">
        <v>3110</v>
      </c>
      <c r="AX157" s="421" t="s">
        <v>3111</v>
      </c>
      <c r="AY157" s="421" t="s">
        <v>3112</v>
      </c>
      <c r="AZ157" s="421" t="s">
        <v>3113</v>
      </c>
      <c r="BA157" s="421" t="s">
        <v>3114</v>
      </c>
      <c r="BB157" s="421" t="s">
        <v>3115</v>
      </c>
      <c r="BC157" s="421">
        <v>9519</v>
      </c>
      <c r="BD157" s="421">
        <v>24632411.489999998</v>
      </c>
      <c r="BE157" s="421">
        <v>0</v>
      </c>
      <c r="BF157" s="421">
        <v>1923.17</v>
      </c>
      <c r="BG157" s="421">
        <v>28.61</v>
      </c>
      <c r="BH157" s="421">
        <v>0</v>
      </c>
      <c r="BI157" s="421" t="s">
        <v>1331</v>
      </c>
    </row>
    <row r="158" spans="1:61" x14ac:dyDescent="0.25">
      <c r="A158" s="421">
        <v>155</v>
      </c>
      <c r="B158" s="421">
        <v>2015</v>
      </c>
      <c r="C158" s="421">
        <v>3</v>
      </c>
      <c r="D158" s="421">
        <v>25</v>
      </c>
      <c r="E158" s="421" t="s">
        <v>1475</v>
      </c>
      <c r="F158" s="421" t="s">
        <v>3325</v>
      </c>
      <c r="G158" s="421" t="s">
        <v>3307</v>
      </c>
      <c r="H158" s="421" t="s">
        <v>1107</v>
      </c>
      <c r="I158" s="421" t="s">
        <v>1683</v>
      </c>
      <c r="J158" s="421" t="s">
        <v>3438</v>
      </c>
      <c r="K158" s="421" t="s">
        <v>3093</v>
      </c>
      <c r="L158" s="421" t="s">
        <v>3094</v>
      </c>
      <c r="M158" s="421" t="s">
        <v>2667</v>
      </c>
      <c r="N158" s="421" t="s">
        <v>3093</v>
      </c>
      <c r="O158" s="421" t="s">
        <v>3094</v>
      </c>
      <c r="P158" s="421" t="s">
        <v>3095</v>
      </c>
      <c r="Q158" s="421" t="s">
        <v>3113</v>
      </c>
      <c r="R158" s="421" t="s">
        <v>1108</v>
      </c>
      <c r="S158" s="421" t="s">
        <v>1108</v>
      </c>
      <c r="T158" s="421" t="s">
        <v>1130</v>
      </c>
      <c r="U158" s="421" t="s">
        <v>1112</v>
      </c>
      <c r="V158" s="421" t="s">
        <v>3097</v>
      </c>
      <c r="W158" s="421" t="s">
        <v>3098</v>
      </c>
      <c r="X158" s="421" t="s">
        <v>3099</v>
      </c>
      <c r="Y158" s="421" t="s">
        <v>1117</v>
      </c>
      <c r="Z158" s="421" t="s">
        <v>1118</v>
      </c>
      <c r="AA158" s="421" t="s">
        <v>3100</v>
      </c>
      <c r="AB158" s="421" t="s">
        <v>3101</v>
      </c>
      <c r="AC158" s="421" t="s">
        <v>3102</v>
      </c>
      <c r="AD158" s="421" t="s">
        <v>3439</v>
      </c>
      <c r="AE158" s="421" t="s">
        <v>3440</v>
      </c>
      <c r="AF158" s="421" t="s">
        <v>1300</v>
      </c>
      <c r="AG158" s="421" t="s">
        <v>1301</v>
      </c>
      <c r="AH158" s="421" t="s">
        <v>1127</v>
      </c>
      <c r="AI158" s="421">
        <v>17.61</v>
      </c>
      <c r="AJ158" s="421">
        <v>17.61</v>
      </c>
      <c r="AK158" s="421">
        <v>19.22</v>
      </c>
      <c r="AL158" s="421">
        <v>1</v>
      </c>
      <c r="AM158" s="421" t="s">
        <v>3441</v>
      </c>
      <c r="AN158" s="421" t="s">
        <v>3442</v>
      </c>
      <c r="AO158" s="421" t="s">
        <v>1121</v>
      </c>
      <c r="AP158" s="421" t="s">
        <v>1121</v>
      </c>
      <c r="AQ158" s="421" t="s">
        <v>1108</v>
      </c>
      <c r="AR158" s="421" t="s">
        <v>3352</v>
      </c>
      <c r="AS158" s="421" t="s">
        <v>3443</v>
      </c>
      <c r="AT158" s="421" t="s">
        <v>3109</v>
      </c>
      <c r="AU158" s="421" t="s">
        <v>1142</v>
      </c>
      <c r="AV158" s="421" t="s">
        <v>2135</v>
      </c>
      <c r="AW158" s="421" t="s">
        <v>3110</v>
      </c>
      <c r="AX158" s="421" t="s">
        <v>3229</v>
      </c>
      <c r="AY158" s="421" t="s">
        <v>3112</v>
      </c>
      <c r="AZ158" s="421" t="s">
        <v>3113</v>
      </c>
      <c r="BA158" s="421" t="s">
        <v>3114</v>
      </c>
      <c r="BB158" s="421" t="s">
        <v>3230</v>
      </c>
      <c r="BC158" s="421">
        <v>3.75</v>
      </c>
      <c r="BD158" s="421">
        <v>9475.4599999999991</v>
      </c>
      <c r="BE158" s="421">
        <v>0</v>
      </c>
      <c r="BF158" s="421">
        <v>0</v>
      </c>
      <c r="BG158" s="421">
        <v>0</v>
      </c>
      <c r="BH158" s="421">
        <v>0</v>
      </c>
      <c r="BI158" s="421" t="s">
        <v>1167</v>
      </c>
    </row>
    <row r="159" spans="1:61" x14ac:dyDescent="0.25">
      <c r="A159" s="421">
        <v>156</v>
      </c>
      <c r="B159" s="421">
        <v>2015</v>
      </c>
      <c r="C159" s="421">
        <v>3</v>
      </c>
      <c r="D159" s="421">
        <v>25</v>
      </c>
      <c r="E159" s="421" t="s">
        <v>1475</v>
      </c>
      <c r="F159" s="421" t="s">
        <v>3325</v>
      </c>
      <c r="G159" s="421" t="s">
        <v>3307</v>
      </c>
      <c r="H159" s="421" t="s">
        <v>1107</v>
      </c>
      <c r="I159" s="421" t="s">
        <v>1683</v>
      </c>
      <c r="J159" s="421" t="s">
        <v>3438</v>
      </c>
      <c r="K159" s="421" t="s">
        <v>3093</v>
      </c>
      <c r="L159" s="421" t="s">
        <v>3094</v>
      </c>
      <c r="M159" s="421" t="s">
        <v>2667</v>
      </c>
      <c r="N159" s="421" t="s">
        <v>3093</v>
      </c>
      <c r="O159" s="421" t="s">
        <v>3094</v>
      </c>
      <c r="P159" s="421" t="s">
        <v>3095</v>
      </c>
      <c r="Q159" s="421" t="s">
        <v>3113</v>
      </c>
      <c r="R159" s="421" t="s">
        <v>1108</v>
      </c>
      <c r="S159" s="421" t="s">
        <v>1108</v>
      </c>
      <c r="T159" s="421" t="s">
        <v>1130</v>
      </c>
      <c r="U159" s="421" t="s">
        <v>1112</v>
      </c>
      <c r="V159" s="421" t="s">
        <v>3097</v>
      </c>
      <c r="W159" s="421" t="s">
        <v>3098</v>
      </c>
      <c r="X159" s="421" t="s">
        <v>3099</v>
      </c>
      <c r="Y159" s="421" t="s">
        <v>1117</v>
      </c>
      <c r="Z159" s="421" t="s">
        <v>1118</v>
      </c>
      <c r="AA159" s="421" t="s">
        <v>3100</v>
      </c>
      <c r="AB159" s="421" t="s">
        <v>3101</v>
      </c>
      <c r="AC159" s="421" t="s">
        <v>3102</v>
      </c>
      <c r="AD159" s="421" t="s">
        <v>3439</v>
      </c>
      <c r="AE159" s="421" t="s">
        <v>3440</v>
      </c>
      <c r="AF159" s="421" t="s">
        <v>3375</v>
      </c>
      <c r="AG159" s="421" t="s">
        <v>3376</v>
      </c>
      <c r="AH159" s="421" t="s">
        <v>3105</v>
      </c>
      <c r="AI159" s="421">
        <v>150</v>
      </c>
      <c r="AJ159" s="421">
        <v>23.19</v>
      </c>
      <c r="AK159" s="421">
        <v>25.3</v>
      </c>
      <c r="AL159" s="421">
        <v>2</v>
      </c>
      <c r="AM159" s="421" t="s">
        <v>3441</v>
      </c>
      <c r="AN159" s="421" t="s">
        <v>3442</v>
      </c>
      <c r="AO159" s="421" t="s">
        <v>1121</v>
      </c>
      <c r="AP159" s="421" t="s">
        <v>1121</v>
      </c>
      <c r="AQ159" s="421" t="s">
        <v>1108</v>
      </c>
      <c r="AR159" s="421" t="s">
        <v>3352</v>
      </c>
      <c r="AS159" s="421" t="s">
        <v>3443</v>
      </c>
      <c r="AT159" s="421" t="s">
        <v>3109</v>
      </c>
      <c r="AU159" s="421" t="s">
        <v>1142</v>
      </c>
      <c r="AV159" s="421" t="s">
        <v>2135</v>
      </c>
      <c r="AW159" s="421" t="s">
        <v>3110</v>
      </c>
      <c r="AX159" s="421" t="s">
        <v>3229</v>
      </c>
      <c r="AY159" s="421" t="s">
        <v>3112</v>
      </c>
      <c r="AZ159" s="421" t="s">
        <v>3113</v>
      </c>
      <c r="BA159" s="421" t="s">
        <v>3114</v>
      </c>
      <c r="BB159" s="421" t="s">
        <v>3230</v>
      </c>
      <c r="BC159" s="421">
        <v>4.5</v>
      </c>
      <c r="BD159" s="421">
        <v>11370.56</v>
      </c>
      <c r="BE159" s="421">
        <v>0</v>
      </c>
      <c r="BF159" s="421">
        <v>0</v>
      </c>
      <c r="BG159" s="421">
        <v>0</v>
      </c>
      <c r="BH159" s="421">
        <v>0</v>
      </c>
      <c r="BI159" s="421" t="s">
        <v>1167</v>
      </c>
    </row>
    <row r="160" spans="1:61" x14ac:dyDescent="0.25">
      <c r="A160" s="421">
        <v>157</v>
      </c>
      <c r="B160" s="421">
        <v>2015</v>
      </c>
      <c r="C160" s="421">
        <v>3</v>
      </c>
      <c r="D160" s="421">
        <v>25</v>
      </c>
      <c r="E160" s="421" t="s">
        <v>1475</v>
      </c>
      <c r="F160" s="421" t="s">
        <v>3325</v>
      </c>
      <c r="G160" s="421" t="s">
        <v>3307</v>
      </c>
      <c r="H160" s="421" t="s">
        <v>1107</v>
      </c>
      <c r="I160" s="421" t="s">
        <v>1683</v>
      </c>
      <c r="J160" s="421" t="s">
        <v>3444</v>
      </c>
      <c r="K160" s="421" t="s">
        <v>3093</v>
      </c>
      <c r="L160" s="421" t="s">
        <v>3094</v>
      </c>
      <c r="M160" s="421" t="s">
        <v>2667</v>
      </c>
      <c r="N160" s="421" t="s">
        <v>3093</v>
      </c>
      <c r="O160" s="421" t="s">
        <v>3094</v>
      </c>
      <c r="P160" s="421" t="s">
        <v>3095</v>
      </c>
      <c r="Q160" s="421" t="s">
        <v>3113</v>
      </c>
      <c r="R160" s="421" t="s">
        <v>1108</v>
      </c>
      <c r="S160" s="421" t="s">
        <v>1108</v>
      </c>
      <c r="T160" s="421" t="s">
        <v>1130</v>
      </c>
      <c r="U160" s="421" t="s">
        <v>1112</v>
      </c>
      <c r="V160" s="421" t="s">
        <v>3097</v>
      </c>
      <c r="W160" s="421" t="s">
        <v>3098</v>
      </c>
      <c r="X160" s="421" t="s">
        <v>3099</v>
      </c>
      <c r="Y160" s="421" t="s">
        <v>1117</v>
      </c>
      <c r="Z160" s="421" t="s">
        <v>1118</v>
      </c>
      <c r="AA160" s="421" t="s">
        <v>3100</v>
      </c>
      <c r="AB160" s="421" t="s">
        <v>3101</v>
      </c>
      <c r="AC160" s="421" t="s">
        <v>3102</v>
      </c>
      <c r="AD160" s="421" t="s">
        <v>3232</v>
      </c>
      <c r="AE160" s="421" t="s">
        <v>3233</v>
      </c>
      <c r="AF160" s="421" t="s">
        <v>2236</v>
      </c>
      <c r="AG160" s="421" t="s">
        <v>2237</v>
      </c>
      <c r="AH160" s="421" t="s">
        <v>3105</v>
      </c>
      <c r="AI160" s="421">
        <v>54200</v>
      </c>
      <c r="AJ160" s="421">
        <v>184.62</v>
      </c>
      <c r="AK160" s="421">
        <v>199.94</v>
      </c>
      <c r="AL160" s="421">
        <v>4</v>
      </c>
      <c r="AM160" s="421" t="s">
        <v>3234</v>
      </c>
      <c r="AN160" s="421" t="s">
        <v>3235</v>
      </c>
      <c r="AO160" s="421" t="s">
        <v>1121</v>
      </c>
      <c r="AP160" s="421" t="s">
        <v>1121</v>
      </c>
      <c r="AQ160" s="421" t="s">
        <v>1108</v>
      </c>
      <c r="AR160" s="421" t="s">
        <v>3352</v>
      </c>
      <c r="AS160" s="421" t="s">
        <v>3445</v>
      </c>
      <c r="AT160" s="421" t="s">
        <v>3109</v>
      </c>
      <c r="AU160" s="421" t="s">
        <v>1142</v>
      </c>
      <c r="AV160" s="421" t="s">
        <v>2135</v>
      </c>
      <c r="AW160" s="421" t="s">
        <v>3110</v>
      </c>
      <c r="AX160" s="421" t="s">
        <v>3111</v>
      </c>
      <c r="AY160" s="421" t="s">
        <v>3112</v>
      </c>
      <c r="AZ160" s="421" t="s">
        <v>3113</v>
      </c>
      <c r="BA160" s="421" t="s">
        <v>3114</v>
      </c>
      <c r="BB160" s="421" t="s">
        <v>3115</v>
      </c>
      <c r="BC160" s="421">
        <v>4900</v>
      </c>
      <c r="BD160" s="421">
        <v>12381271</v>
      </c>
      <c r="BE160" s="421">
        <v>0</v>
      </c>
      <c r="BF160" s="421">
        <v>37.1</v>
      </c>
      <c r="BG160" s="421">
        <v>12.34</v>
      </c>
      <c r="BH160" s="421">
        <v>0</v>
      </c>
      <c r="BI160" s="421" t="s">
        <v>1167</v>
      </c>
    </row>
    <row r="161" spans="1:61" x14ac:dyDescent="0.25">
      <c r="A161" s="421">
        <v>158</v>
      </c>
      <c r="B161" s="421">
        <v>2015</v>
      </c>
      <c r="C161" s="421">
        <v>3</v>
      </c>
      <c r="D161" s="421">
        <v>25</v>
      </c>
      <c r="E161" s="421" t="s">
        <v>1475</v>
      </c>
      <c r="F161" s="421" t="s">
        <v>3325</v>
      </c>
      <c r="G161" s="421" t="s">
        <v>3307</v>
      </c>
      <c r="H161" s="421" t="s">
        <v>1107</v>
      </c>
      <c r="I161" s="421" t="s">
        <v>1683</v>
      </c>
      <c r="J161" s="421" t="s">
        <v>3444</v>
      </c>
      <c r="K161" s="421" t="s">
        <v>3093</v>
      </c>
      <c r="L161" s="421" t="s">
        <v>3094</v>
      </c>
      <c r="M161" s="421" t="s">
        <v>2667</v>
      </c>
      <c r="N161" s="421" t="s">
        <v>3093</v>
      </c>
      <c r="O161" s="421" t="s">
        <v>3094</v>
      </c>
      <c r="P161" s="421" t="s">
        <v>3095</v>
      </c>
      <c r="Q161" s="421" t="s">
        <v>3113</v>
      </c>
      <c r="R161" s="421" t="s">
        <v>1108</v>
      </c>
      <c r="S161" s="421" t="s">
        <v>1108</v>
      </c>
      <c r="T161" s="421" t="s">
        <v>1130</v>
      </c>
      <c r="U161" s="421" t="s">
        <v>1112</v>
      </c>
      <c r="V161" s="421" t="s">
        <v>3097</v>
      </c>
      <c r="W161" s="421" t="s">
        <v>3098</v>
      </c>
      <c r="X161" s="421" t="s">
        <v>3099</v>
      </c>
      <c r="Y161" s="421" t="s">
        <v>1117</v>
      </c>
      <c r="Z161" s="421" t="s">
        <v>1118</v>
      </c>
      <c r="AA161" s="421" t="s">
        <v>3100</v>
      </c>
      <c r="AB161" s="421" t="s">
        <v>3101</v>
      </c>
      <c r="AC161" s="421" t="s">
        <v>3102</v>
      </c>
      <c r="AD161" s="421" t="s">
        <v>3232</v>
      </c>
      <c r="AE161" s="421" t="s">
        <v>3233</v>
      </c>
      <c r="AF161" s="421" t="s">
        <v>2236</v>
      </c>
      <c r="AG161" s="421" t="s">
        <v>2237</v>
      </c>
      <c r="AH161" s="421" t="s">
        <v>3105</v>
      </c>
      <c r="AI161" s="421">
        <v>2679300</v>
      </c>
      <c r="AJ161" s="421">
        <v>7104.1</v>
      </c>
      <c r="AK161" s="421">
        <v>7693.44</v>
      </c>
      <c r="AL161" s="421">
        <v>1</v>
      </c>
      <c r="AM161" s="421" t="s">
        <v>3234</v>
      </c>
      <c r="AN161" s="421" t="s">
        <v>3235</v>
      </c>
      <c r="AO161" s="421" t="s">
        <v>1121</v>
      </c>
      <c r="AP161" s="421" t="s">
        <v>1121</v>
      </c>
      <c r="AQ161" s="421" t="s">
        <v>1108</v>
      </c>
      <c r="AR161" s="421" t="s">
        <v>3352</v>
      </c>
      <c r="AS161" s="421" t="s">
        <v>3445</v>
      </c>
      <c r="AT161" s="421" t="s">
        <v>3109</v>
      </c>
      <c r="AU161" s="421" t="s">
        <v>1142</v>
      </c>
      <c r="AV161" s="421" t="s">
        <v>2135</v>
      </c>
      <c r="AW161" s="421" t="s">
        <v>3110</v>
      </c>
      <c r="AX161" s="421" t="s">
        <v>3111</v>
      </c>
      <c r="AY161" s="421" t="s">
        <v>3112</v>
      </c>
      <c r="AZ161" s="421" t="s">
        <v>3113</v>
      </c>
      <c r="BA161" s="421" t="s">
        <v>3114</v>
      </c>
      <c r="BB161" s="421" t="s">
        <v>3115</v>
      </c>
      <c r="BC161" s="421">
        <v>101028</v>
      </c>
      <c r="BD161" s="421">
        <v>255276540.12</v>
      </c>
      <c r="BE161" s="421">
        <v>0</v>
      </c>
      <c r="BF161" s="421">
        <v>765.02</v>
      </c>
      <c r="BG161" s="421">
        <v>254.48</v>
      </c>
      <c r="BH161" s="421">
        <v>0</v>
      </c>
      <c r="BI161" s="421" t="s">
        <v>1167</v>
      </c>
    </row>
    <row r="162" spans="1:61" x14ac:dyDescent="0.25">
      <c r="A162" s="421">
        <v>159</v>
      </c>
      <c r="B162" s="421">
        <v>2015</v>
      </c>
      <c r="C162" s="421">
        <v>3</v>
      </c>
      <c r="D162" s="421">
        <v>25</v>
      </c>
      <c r="E162" s="421" t="s">
        <v>1475</v>
      </c>
      <c r="F162" s="421" t="s">
        <v>3325</v>
      </c>
      <c r="G162" s="421" t="s">
        <v>3307</v>
      </c>
      <c r="H162" s="421" t="s">
        <v>1107</v>
      </c>
      <c r="I162" s="421" t="s">
        <v>1683</v>
      </c>
      <c r="J162" s="421" t="s">
        <v>3444</v>
      </c>
      <c r="K162" s="421" t="s">
        <v>3093</v>
      </c>
      <c r="L162" s="421" t="s">
        <v>3094</v>
      </c>
      <c r="M162" s="421" t="s">
        <v>2667</v>
      </c>
      <c r="N162" s="421" t="s">
        <v>3093</v>
      </c>
      <c r="O162" s="421" t="s">
        <v>3094</v>
      </c>
      <c r="P162" s="421" t="s">
        <v>3095</v>
      </c>
      <c r="Q162" s="421" t="s">
        <v>3113</v>
      </c>
      <c r="R162" s="421" t="s">
        <v>1108</v>
      </c>
      <c r="S162" s="421" t="s">
        <v>1108</v>
      </c>
      <c r="T162" s="421" t="s">
        <v>1130</v>
      </c>
      <c r="U162" s="421" t="s">
        <v>1112</v>
      </c>
      <c r="V162" s="421" t="s">
        <v>3097</v>
      </c>
      <c r="W162" s="421" t="s">
        <v>3098</v>
      </c>
      <c r="X162" s="421" t="s">
        <v>3099</v>
      </c>
      <c r="Y162" s="421" t="s">
        <v>1117</v>
      </c>
      <c r="Z162" s="421" t="s">
        <v>1118</v>
      </c>
      <c r="AA162" s="421" t="s">
        <v>3100</v>
      </c>
      <c r="AB162" s="421" t="s">
        <v>3101</v>
      </c>
      <c r="AC162" s="421" t="s">
        <v>3102</v>
      </c>
      <c r="AD162" s="421" t="s">
        <v>3232</v>
      </c>
      <c r="AE162" s="421" t="s">
        <v>3233</v>
      </c>
      <c r="AF162" s="421" t="s">
        <v>2236</v>
      </c>
      <c r="AG162" s="421" t="s">
        <v>2237</v>
      </c>
      <c r="AH162" s="421" t="s">
        <v>3105</v>
      </c>
      <c r="AI162" s="421">
        <v>1382700</v>
      </c>
      <c r="AJ162" s="421">
        <v>3861.01</v>
      </c>
      <c r="AK162" s="421">
        <v>4181.3100000000004</v>
      </c>
      <c r="AL162" s="421">
        <v>2</v>
      </c>
      <c r="AM162" s="421" t="s">
        <v>3234</v>
      </c>
      <c r="AN162" s="421" t="s">
        <v>3235</v>
      </c>
      <c r="AO162" s="421" t="s">
        <v>1121</v>
      </c>
      <c r="AP162" s="421" t="s">
        <v>1121</v>
      </c>
      <c r="AQ162" s="421" t="s">
        <v>1108</v>
      </c>
      <c r="AR162" s="421" t="s">
        <v>3352</v>
      </c>
      <c r="AS162" s="421" t="s">
        <v>3445</v>
      </c>
      <c r="AT162" s="421" t="s">
        <v>3109</v>
      </c>
      <c r="AU162" s="421" t="s">
        <v>1142</v>
      </c>
      <c r="AV162" s="421" t="s">
        <v>2135</v>
      </c>
      <c r="AW162" s="421" t="s">
        <v>3110</v>
      </c>
      <c r="AX162" s="421" t="s">
        <v>3111</v>
      </c>
      <c r="AY162" s="421" t="s">
        <v>3112</v>
      </c>
      <c r="AZ162" s="421" t="s">
        <v>3113</v>
      </c>
      <c r="BA162" s="421" t="s">
        <v>3114</v>
      </c>
      <c r="BB162" s="421" t="s">
        <v>3115</v>
      </c>
      <c r="BC162" s="421">
        <v>52370</v>
      </c>
      <c r="BD162" s="421">
        <v>132327992.3</v>
      </c>
      <c r="BE162" s="421">
        <v>0</v>
      </c>
      <c r="BF162" s="421">
        <v>396.57</v>
      </c>
      <c r="BG162" s="421">
        <v>131.91999999999999</v>
      </c>
      <c r="BH162" s="421">
        <v>0</v>
      </c>
      <c r="BI162" s="421" t="s">
        <v>1167</v>
      </c>
    </row>
    <row r="163" spans="1:61" x14ac:dyDescent="0.25">
      <c r="A163" s="421">
        <v>160</v>
      </c>
      <c r="B163" s="421">
        <v>2015</v>
      </c>
      <c r="C163" s="421">
        <v>3</v>
      </c>
      <c r="D163" s="421">
        <v>25</v>
      </c>
      <c r="E163" s="421" t="s">
        <v>1475</v>
      </c>
      <c r="F163" s="421" t="s">
        <v>3325</v>
      </c>
      <c r="G163" s="421" t="s">
        <v>3307</v>
      </c>
      <c r="H163" s="421" t="s">
        <v>1107</v>
      </c>
      <c r="I163" s="421" t="s">
        <v>1683</v>
      </c>
      <c r="J163" s="421" t="s">
        <v>3444</v>
      </c>
      <c r="K163" s="421" t="s">
        <v>3093</v>
      </c>
      <c r="L163" s="421" t="s">
        <v>3094</v>
      </c>
      <c r="M163" s="421" t="s">
        <v>2667</v>
      </c>
      <c r="N163" s="421" t="s">
        <v>3093</v>
      </c>
      <c r="O163" s="421" t="s">
        <v>3094</v>
      </c>
      <c r="P163" s="421" t="s">
        <v>3095</v>
      </c>
      <c r="Q163" s="421" t="s">
        <v>3113</v>
      </c>
      <c r="R163" s="421" t="s">
        <v>1108</v>
      </c>
      <c r="S163" s="421" t="s">
        <v>1108</v>
      </c>
      <c r="T163" s="421" t="s">
        <v>1130</v>
      </c>
      <c r="U163" s="421" t="s">
        <v>1112</v>
      </c>
      <c r="V163" s="421" t="s">
        <v>3097</v>
      </c>
      <c r="W163" s="421" t="s">
        <v>3098</v>
      </c>
      <c r="X163" s="421" t="s">
        <v>3099</v>
      </c>
      <c r="Y163" s="421" t="s">
        <v>1117</v>
      </c>
      <c r="Z163" s="421" t="s">
        <v>1118</v>
      </c>
      <c r="AA163" s="421" t="s">
        <v>3100</v>
      </c>
      <c r="AB163" s="421" t="s">
        <v>3101</v>
      </c>
      <c r="AC163" s="421" t="s">
        <v>3102</v>
      </c>
      <c r="AD163" s="421" t="s">
        <v>3232</v>
      </c>
      <c r="AE163" s="421" t="s">
        <v>3233</v>
      </c>
      <c r="AF163" s="421" t="s">
        <v>2236</v>
      </c>
      <c r="AG163" s="421" t="s">
        <v>2237</v>
      </c>
      <c r="AH163" s="421" t="s">
        <v>3105</v>
      </c>
      <c r="AI163" s="421">
        <v>140800</v>
      </c>
      <c r="AJ163" s="421">
        <v>598.92999999999995</v>
      </c>
      <c r="AK163" s="421">
        <v>648.62</v>
      </c>
      <c r="AL163" s="421">
        <v>3</v>
      </c>
      <c r="AM163" s="421" t="s">
        <v>3234</v>
      </c>
      <c r="AN163" s="421" t="s">
        <v>3235</v>
      </c>
      <c r="AO163" s="421" t="s">
        <v>1121</v>
      </c>
      <c r="AP163" s="421" t="s">
        <v>1121</v>
      </c>
      <c r="AQ163" s="421" t="s">
        <v>1108</v>
      </c>
      <c r="AR163" s="421" t="s">
        <v>3352</v>
      </c>
      <c r="AS163" s="421" t="s">
        <v>3445</v>
      </c>
      <c r="AT163" s="421" t="s">
        <v>3109</v>
      </c>
      <c r="AU163" s="421" t="s">
        <v>1142</v>
      </c>
      <c r="AV163" s="421" t="s">
        <v>2135</v>
      </c>
      <c r="AW163" s="421" t="s">
        <v>3110</v>
      </c>
      <c r="AX163" s="421" t="s">
        <v>3111</v>
      </c>
      <c r="AY163" s="421" t="s">
        <v>3112</v>
      </c>
      <c r="AZ163" s="421" t="s">
        <v>3113</v>
      </c>
      <c r="BA163" s="421" t="s">
        <v>3114</v>
      </c>
      <c r="BB163" s="421" t="s">
        <v>3115</v>
      </c>
      <c r="BC163" s="421">
        <v>13378</v>
      </c>
      <c r="BD163" s="421">
        <v>33803396.619999997</v>
      </c>
      <c r="BE163" s="421">
        <v>0</v>
      </c>
      <c r="BF163" s="421">
        <v>101.3</v>
      </c>
      <c r="BG163" s="421">
        <v>33.700000000000003</v>
      </c>
      <c r="BH163" s="421">
        <v>0</v>
      </c>
      <c r="BI163" s="421" t="s">
        <v>1167</v>
      </c>
    </row>
    <row r="164" spans="1:61" x14ac:dyDescent="0.25">
      <c r="A164" s="421">
        <v>161</v>
      </c>
      <c r="B164" s="421">
        <v>2015</v>
      </c>
      <c r="C164" s="421">
        <v>3</v>
      </c>
      <c r="D164" s="421">
        <v>27</v>
      </c>
      <c r="E164" s="421" t="s">
        <v>1475</v>
      </c>
      <c r="F164" s="421" t="s">
        <v>3325</v>
      </c>
      <c r="G164" s="421" t="s">
        <v>3318</v>
      </c>
      <c r="H164" s="421" t="s">
        <v>1107</v>
      </c>
      <c r="I164" s="421" t="s">
        <v>3446</v>
      </c>
      <c r="J164" s="421" t="s">
        <v>3447</v>
      </c>
      <c r="K164" s="421" t="s">
        <v>3093</v>
      </c>
      <c r="L164" s="421" t="s">
        <v>3094</v>
      </c>
      <c r="M164" s="421" t="s">
        <v>2667</v>
      </c>
      <c r="N164" s="421" t="s">
        <v>3093</v>
      </c>
      <c r="O164" s="421" t="s">
        <v>3094</v>
      </c>
      <c r="P164" s="421" t="s">
        <v>3095</v>
      </c>
      <c r="Q164" s="421" t="s">
        <v>3113</v>
      </c>
      <c r="R164" s="421" t="s">
        <v>1108</v>
      </c>
      <c r="S164" s="421" t="s">
        <v>1108</v>
      </c>
      <c r="T164" s="421" t="s">
        <v>1130</v>
      </c>
      <c r="U164" s="421" t="s">
        <v>1112</v>
      </c>
      <c r="V164" s="421" t="s">
        <v>3097</v>
      </c>
      <c r="W164" s="421" t="s">
        <v>3098</v>
      </c>
      <c r="X164" s="421" t="s">
        <v>3099</v>
      </c>
      <c r="Y164" s="421" t="s">
        <v>1117</v>
      </c>
      <c r="Z164" s="421" t="s">
        <v>1118</v>
      </c>
      <c r="AA164" s="421" t="s">
        <v>3100</v>
      </c>
      <c r="AB164" s="421" t="s">
        <v>3101</v>
      </c>
      <c r="AC164" s="421" t="s">
        <v>3102</v>
      </c>
      <c r="AD164" s="421" t="s">
        <v>3125</v>
      </c>
      <c r="AE164" s="421" t="s">
        <v>3126</v>
      </c>
      <c r="AF164" s="421" t="s">
        <v>2236</v>
      </c>
      <c r="AG164" s="421" t="s">
        <v>2237</v>
      </c>
      <c r="AH164" s="421" t="s">
        <v>3105</v>
      </c>
      <c r="AI164" s="421">
        <v>3622500</v>
      </c>
      <c r="AJ164" s="421">
        <v>7366.75</v>
      </c>
      <c r="AK164" s="421">
        <v>7815.94</v>
      </c>
      <c r="AL164" s="421">
        <v>1</v>
      </c>
      <c r="AM164" s="421" t="s">
        <v>962</v>
      </c>
      <c r="AN164" s="421" t="s">
        <v>3127</v>
      </c>
      <c r="AO164" s="421" t="s">
        <v>1121</v>
      </c>
      <c r="AP164" s="421" t="s">
        <v>1121</v>
      </c>
      <c r="AQ164" s="421" t="s">
        <v>1108</v>
      </c>
      <c r="AR164" s="421" t="s">
        <v>3352</v>
      </c>
      <c r="AS164" s="421" t="s">
        <v>3448</v>
      </c>
      <c r="AT164" s="421" t="s">
        <v>3109</v>
      </c>
      <c r="AU164" s="421" t="s">
        <v>1142</v>
      </c>
      <c r="AV164" s="421" t="s">
        <v>3174</v>
      </c>
      <c r="AW164" s="421" t="s">
        <v>3110</v>
      </c>
      <c r="AX164" s="421" t="s">
        <v>3111</v>
      </c>
      <c r="AY164" s="421" t="s">
        <v>3112</v>
      </c>
      <c r="AZ164" s="421" t="s">
        <v>3113</v>
      </c>
      <c r="BA164" s="421" t="s">
        <v>3114</v>
      </c>
      <c r="BB164" s="421" t="s">
        <v>3115</v>
      </c>
      <c r="BC164" s="421">
        <v>78213.19</v>
      </c>
      <c r="BD164" s="421">
        <v>199545311.65000001</v>
      </c>
      <c r="BE164" s="421">
        <v>0</v>
      </c>
      <c r="BF164" s="421">
        <v>1748.4</v>
      </c>
      <c r="BG164" s="421">
        <v>0</v>
      </c>
      <c r="BH164" s="421">
        <v>2159.4</v>
      </c>
      <c r="BI164" s="421" t="s">
        <v>1149</v>
      </c>
    </row>
    <row r="165" spans="1:61" x14ac:dyDescent="0.25">
      <c r="A165" s="421">
        <v>162</v>
      </c>
      <c r="B165" s="421">
        <v>2015</v>
      </c>
      <c r="C165" s="421">
        <v>3</v>
      </c>
      <c r="D165" s="421">
        <v>27</v>
      </c>
      <c r="E165" s="421" t="s">
        <v>1475</v>
      </c>
      <c r="F165" s="421" t="s">
        <v>3325</v>
      </c>
      <c r="G165" s="421" t="s">
        <v>3318</v>
      </c>
      <c r="H165" s="421" t="s">
        <v>1107</v>
      </c>
      <c r="I165" s="421" t="s">
        <v>3446</v>
      </c>
      <c r="J165" s="421" t="s">
        <v>3449</v>
      </c>
      <c r="K165" s="421" t="s">
        <v>3093</v>
      </c>
      <c r="L165" s="421" t="s">
        <v>3094</v>
      </c>
      <c r="M165" s="421" t="s">
        <v>2667</v>
      </c>
      <c r="N165" s="421" t="s">
        <v>3093</v>
      </c>
      <c r="O165" s="421" t="s">
        <v>3094</v>
      </c>
      <c r="P165" s="421" t="s">
        <v>3095</v>
      </c>
      <c r="Q165" s="421" t="s">
        <v>3113</v>
      </c>
      <c r="R165" s="421" t="s">
        <v>1108</v>
      </c>
      <c r="S165" s="421" t="s">
        <v>1108</v>
      </c>
      <c r="T165" s="421" t="s">
        <v>1130</v>
      </c>
      <c r="U165" s="421" t="s">
        <v>1112</v>
      </c>
      <c r="V165" s="421" t="s">
        <v>3097</v>
      </c>
      <c r="W165" s="421" t="s">
        <v>3098</v>
      </c>
      <c r="X165" s="421" t="s">
        <v>3099</v>
      </c>
      <c r="Y165" s="421" t="s">
        <v>1117</v>
      </c>
      <c r="Z165" s="421" t="s">
        <v>1118</v>
      </c>
      <c r="AA165" s="421" t="s">
        <v>3100</v>
      </c>
      <c r="AB165" s="421" t="s">
        <v>3101</v>
      </c>
      <c r="AC165" s="421" t="s">
        <v>3102</v>
      </c>
      <c r="AD165" s="421" t="s">
        <v>3125</v>
      </c>
      <c r="AE165" s="421" t="s">
        <v>3126</v>
      </c>
      <c r="AF165" s="421" t="s">
        <v>2236</v>
      </c>
      <c r="AG165" s="421" t="s">
        <v>2237</v>
      </c>
      <c r="AH165" s="421" t="s">
        <v>3105</v>
      </c>
      <c r="AI165" s="421">
        <v>1097080</v>
      </c>
      <c r="AJ165" s="421">
        <v>3017.92</v>
      </c>
      <c r="AK165" s="421">
        <v>3517.69</v>
      </c>
      <c r="AL165" s="421">
        <v>1</v>
      </c>
      <c r="AM165" s="421" t="s">
        <v>962</v>
      </c>
      <c r="AN165" s="421" t="s">
        <v>3127</v>
      </c>
      <c r="AO165" s="421" t="s">
        <v>1121</v>
      </c>
      <c r="AP165" s="421" t="s">
        <v>1121</v>
      </c>
      <c r="AQ165" s="421" t="s">
        <v>1108</v>
      </c>
      <c r="AR165" s="421" t="s">
        <v>3352</v>
      </c>
      <c r="AS165" s="421" t="s">
        <v>3450</v>
      </c>
      <c r="AT165" s="421" t="s">
        <v>3109</v>
      </c>
      <c r="AU165" s="421" t="s">
        <v>1142</v>
      </c>
      <c r="AV165" s="421" t="s">
        <v>3174</v>
      </c>
      <c r="AW165" s="421" t="s">
        <v>3110</v>
      </c>
      <c r="AX165" s="421" t="s">
        <v>3111</v>
      </c>
      <c r="AY165" s="421" t="s">
        <v>3112</v>
      </c>
      <c r="AZ165" s="421" t="s">
        <v>3113</v>
      </c>
      <c r="BA165" s="421" t="s">
        <v>3114</v>
      </c>
      <c r="BB165" s="421" t="s">
        <v>3115</v>
      </c>
      <c r="BC165" s="421">
        <v>39500</v>
      </c>
      <c r="BD165" s="421">
        <v>100776350</v>
      </c>
      <c r="BE165" s="421">
        <v>0</v>
      </c>
      <c r="BF165" s="421">
        <v>789.92</v>
      </c>
      <c r="BG165" s="421">
        <v>0</v>
      </c>
      <c r="BH165" s="421">
        <v>0</v>
      </c>
      <c r="BI165" s="421" t="s">
        <v>1149</v>
      </c>
    </row>
    <row r="166" spans="1:61" x14ac:dyDescent="0.25">
      <c r="A166" s="421">
        <v>163</v>
      </c>
      <c r="B166" s="421">
        <v>2015</v>
      </c>
      <c r="C166" s="421">
        <v>3</v>
      </c>
      <c r="D166" s="421">
        <v>27</v>
      </c>
      <c r="E166" s="421" t="s">
        <v>1475</v>
      </c>
      <c r="F166" s="421" t="s">
        <v>3325</v>
      </c>
      <c r="G166" s="421" t="s">
        <v>3318</v>
      </c>
      <c r="H166" s="421" t="s">
        <v>1107</v>
      </c>
      <c r="I166" s="421" t="s">
        <v>3446</v>
      </c>
      <c r="J166" s="421" t="s">
        <v>3449</v>
      </c>
      <c r="K166" s="421" t="s">
        <v>3093</v>
      </c>
      <c r="L166" s="421" t="s">
        <v>3094</v>
      </c>
      <c r="M166" s="421" t="s">
        <v>2667</v>
      </c>
      <c r="N166" s="421" t="s">
        <v>3093</v>
      </c>
      <c r="O166" s="421" t="s">
        <v>3094</v>
      </c>
      <c r="P166" s="421" t="s">
        <v>3095</v>
      </c>
      <c r="Q166" s="421" t="s">
        <v>3113</v>
      </c>
      <c r="R166" s="421" t="s">
        <v>1108</v>
      </c>
      <c r="S166" s="421" t="s">
        <v>1108</v>
      </c>
      <c r="T166" s="421" t="s">
        <v>1130</v>
      </c>
      <c r="U166" s="421" t="s">
        <v>1112</v>
      </c>
      <c r="V166" s="421" t="s">
        <v>3097</v>
      </c>
      <c r="W166" s="421" t="s">
        <v>3098</v>
      </c>
      <c r="X166" s="421" t="s">
        <v>3099</v>
      </c>
      <c r="Y166" s="421" t="s">
        <v>1117</v>
      </c>
      <c r="Z166" s="421" t="s">
        <v>1118</v>
      </c>
      <c r="AA166" s="421" t="s">
        <v>3100</v>
      </c>
      <c r="AB166" s="421" t="s">
        <v>3101</v>
      </c>
      <c r="AC166" s="421" t="s">
        <v>3102</v>
      </c>
      <c r="AD166" s="421" t="s">
        <v>3125</v>
      </c>
      <c r="AE166" s="421" t="s">
        <v>3126</v>
      </c>
      <c r="AF166" s="421" t="s">
        <v>2236</v>
      </c>
      <c r="AG166" s="421" t="s">
        <v>2237</v>
      </c>
      <c r="AH166" s="421" t="s">
        <v>3105</v>
      </c>
      <c r="AI166" s="421">
        <v>105000</v>
      </c>
      <c r="AJ166" s="421">
        <v>322.67</v>
      </c>
      <c r="AK166" s="421">
        <v>376.1</v>
      </c>
      <c r="AL166" s="421">
        <v>2</v>
      </c>
      <c r="AM166" s="421" t="s">
        <v>962</v>
      </c>
      <c r="AN166" s="421" t="s">
        <v>3127</v>
      </c>
      <c r="AO166" s="421" t="s">
        <v>1121</v>
      </c>
      <c r="AP166" s="421" t="s">
        <v>1121</v>
      </c>
      <c r="AQ166" s="421" t="s">
        <v>1108</v>
      </c>
      <c r="AR166" s="421" t="s">
        <v>3352</v>
      </c>
      <c r="AS166" s="421" t="s">
        <v>3450</v>
      </c>
      <c r="AT166" s="421" t="s">
        <v>3109</v>
      </c>
      <c r="AU166" s="421" t="s">
        <v>1142</v>
      </c>
      <c r="AV166" s="421" t="s">
        <v>3174</v>
      </c>
      <c r="AW166" s="421" t="s">
        <v>3110</v>
      </c>
      <c r="AX166" s="421" t="s">
        <v>3111</v>
      </c>
      <c r="AY166" s="421" t="s">
        <v>3112</v>
      </c>
      <c r="AZ166" s="421" t="s">
        <v>3113</v>
      </c>
      <c r="BA166" s="421" t="s">
        <v>3114</v>
      </c>
      <c r="BB166" s="421" t="s">
        <v>3115</v>
      </c>
      <c r="BC166" s="421">
        <v>4460</v>
      </c>
      <c r="BD166" s="421">
        <v>11378798</v>
      </c>
      <c r="BE166" s="421">
        <v>0</v>
      </c>
      <c r="BF166" s="421">
        <v>89.19</v>
      </c>
      <c r="BG166" s="421">
        <v>0</v>
      </c>
      <c r="BH166" s="421">
        <v>0</v>
      </c>
      <c r="BI166" s="421" t="s">
        <v>1149</v>
      </c>
    </row>
    <row r="167" spans="1:61" x14ac:dyDescent="0.25">
      <c r="A167" s="421">
        <v>164</v>
      </c>
      <c r="B167" s="421">
        <v>2015</v>
      </c>
      <c r="C167" s="421">
        <v>3</v>
      </c>
      <c r="D167" s="421">
        <v>27</v>
      </c>
      <c r="E167" s="421" t="s">
        <v>1475</v>
      </c>
      <c r="F167" s="421" t="s">
        <v>3325</v>
      </c>
      <c r="G167" s="421" t="s">
        <v>3318</v>
      </c>
      <c r="H167" s="421" t="s">
        <v>1107</v>
      </c>
      <c r="I167" s="421" t="s">
        <v>3446</v>
      </c>
      <c r="J167" s="421" t="s">
        <v>3449</v>
      </c>
      <c r="K167" s="421" t="s">
        <v>3093</v>
      </c>
      <c r="L167" s="421" t="s">
        <v>3094</v>
      </c>
      <c r="M167" s="421" t="s">
        <v>2667</v>
      </c>
      <c r="N167" s="421" t="s">
        <v>3093</v>
      </c>
      <c r="O167" s="421" t="s">
        <v>3094</v>
      </c>
      <c r="P167" s="421" t="s">
        <v>3095</v>
      </c>
      <c r="Q167" s="421" t="s">
        <v>3113</v>
      </c>
      <c r="R167" s="421" t="s">
        <v>1108</v>
      </c>
      <c r="S167" s="421" t="s">
        <v>1108</v>
      </c>
      <c r="T167" s="421" t="s">
        <v>1130</v>
      </c>
      <c r="U167" s="421" t="s">
        <v>1112</v>
      </c>
      <c r="V167" s="421" t="s">
        <v>3097</v>
      </c>
      <c r="W167" s="421" t="s">
        <v>3098</v>
      </c>
      <c r="X167" s="421" t="s">
        <v>3099</v>
      </c>
      <c r="Y167" s="421" t="s">
        <v>1117</v>
      </c>
      <c r="Z167" s="421" t="s">
        <v>1118</v>
      </c>
      <c r="AA167" s="421" t="s">
        <v>3100</v>
      </c>
      <c r="AB167" s="421" t="s">
        <v>3101</v>
      </c>
      <c r="AC167" s="421" t="s">
        <v>3102</v>
      </c>
      <c r="AD167" s="421" t="s">
        <v>3125</v>
      </c>
      <c r="AE167" s="421" t="s">
        <v>3126</v>
      </c>
      <c r="AF167" s="421" t="s">
        <v>2236</v>
      </c>
      <c r="AG167" s="421" t="s">
        <v>2237</v>
      </c>
      <c r="AH167" s="421" t="s">
        <v>3105</v>
      </c>
      <c r="AI167" s="421">
        <v>36000</v>
      </c>
      <c r="AJ167" s="421">
        <v>130.01</v>
      </c>
      <c r="AK167" s="421">
        <v>151.54</v>
      </c>
      <c r="AL167" s="421">
        <v>3</v>
      </c>
      <c r="AM167" s="421" t="s">
        <v>962</v>
      </c>
      <c r="AN167" s="421" t="s">
        <v>3127</v>
      </c>
      <c r="AO167" s="421" t="s">
        <v>1121</v>
      </c>
      <c r="AP167" s="421" t="s">
        <v>1121</v>
      </c>
      <c r="AQ167" s="421" t="s">
        <v>1108</v>
      </c>
      <c r="AR167" s="421" t="s">
        <v>3352</v>
      </c>
      <c r="AS167" s="421" t="s">
        <v>3450</v>
      </c>
      <c r="AT167" s="421" t="s">
        <v>3109</v>
      </c>
      <c r="AU167" s="421" t="s">
        <v>1142</v>
      </c>
      <c r="AV167" s="421" t="s">
        <v>3174</v>
      </c>
      <c r="AW167" s="421" t="s">
        <v>3110</v>
      </c>
      <c r="AX167" s="421" t="s">
        <v>3111</v>
      </c>
      <c r="AY167" s="421" t="s">
        <v>3112</v>
      </c>
      <c r="AZ167" s="421" t="s">
        <v>3113</v>
      </c>
      <c r="BA167" s="421" t="s">
        <v>3114</v>
      </c>
      <c r="BB167" s="421" t="s">
        <v>3115</v>
      </c>
      <c r="BC167" s="421">
        <v>3523.2</v>
      </c>
      <c r="BD167" s="421">
        <v>8988740.1600000001</v>
      </c>
      <c r="BE167" s="421">
        <v>0</v>
      </c>
      <c r="BF167" s="421">
        <v>70.459999999999994</v>
      </c>
      <c r="BG167" s="421">
        <v>0</v>
      </c>
      <c r="BH167" s="421">
        <v>0</v>
      </c>
      <c r="BI167" s="421" t="s">
        <v>1149</v>
      </c>
    </row>
    <row r="168" spans="1:61" x14ac:dyDescent="0.25">
      <c r="A168" s="421">
        <v>165</v>
      </c>
      <c r="B168" s="421">
        <v>2015</v>
      </c>
      <c r="C168" s="421">
        <v>3</v>
      </c>
      <c r="D168" s="421">
        <v>27</v>
      </c>
      <c r="E168" s="421" t="s">
        <v>1475</v>
      </c>
      <c r="F168" s="421" t="s">
        <v>3325</v>
      </c>
      <c r="G168" s="421" t="s">
        <v>3318</v>
      </c>
      <c r="H168" s="421" t="s">
        <v>1107</v>
      </c>
      <c r="I168" s="421" t="s">
        <v>3446</v>
      </c>
      <c r="J168" s="421" t="s">
        <v>3451</v>
      </c>
      <c r="K168" s="421" t="s">
        <v>3093</v>
      </c>
      <c r="L168" s="421" t="s">
        <v>3094</v>
      </c>
      <c r="M168" s="421" t="s">
        <v>2667</v>
      </c>
      <c r="N168" s="421" t="s">
        <v>3093</v>
      </c>
      <c r="O168" s="421" t="s">
        <v>3094</v>
      </c>
      <c r="P168" s="421" t="s">
        <v>3095</v>
      </c>
      <c r="Q168" s="421" t="s">
        <v>3113</v>
      </c>
      <c r="R168" s="421" t="s">
        <v>1108</v>
      </c>
      <c r="S168" s="421" t="s">
        <v>1108</v>
      </c>
      <c r="T168" s="421" t="s">
        <v>1130</v>
      </c>
      <c r="U168" s="421" t="s">
        <v>1112</v>
      </c>
      <c r="V168" s="421" t="s">
        <v>3097</v>
      </c>
      <c r="W168" s="421" t="s">
        <v>3098</v>
      </c>
      <c r="X168" s="421" t="s">
        <v>3099</v>
      </c>
      <c r="Y168" s="421" t="s">
        <v>1117</v>
      </c>
      <c r="Z168" s="421" t="s">
        <v>1118</v>
      </c>
      <c r="AA168" s="421" t="s">
        <v>3100</v>
      </c>
      <c r="AB168" s="421" t="s">
        <v>3101</v>
      </c>
      <c r="AC168" s="421" t="s">
        <v>3102</v>
      </c>
      <c r="AD168" s="421" t="s">
        <v>3269</v>
      </c>
      <c r="AE168" s="421" t="s">
        <v>3378</v>
      </c>
      <c r="AF168" s="421" t="s">
        <v>2236</v>
      </c>
      <c r="AG168" s="421" t="s">
        <v>2237</v>
      </c>
      <c r="AH168" s="421" t="s">
        <v>3105</v>
      </c>
      <c r="AI168" s="421">
        <v>1261000</v>
      </c>
      <c r="AJ168" s="421">
        <v>3476.72</v>
      </c>
      <c r="AK168" s="421">
        <v>3765.51</v>
      </c>
      <c r="AL168" s="421">
        <v>1</v>
      </c>
      <c r="AM168" s="421" t="s">
        <v>966</v>
      </c>
      <c r="AN168" s="421" t="s">
        <v>3271</v>
      </c>
      <c r="AO168" s="421" t="s">
        <v>1121</v>
      </c>
      <c r="AP168" s="421" t="s">
        <v>1121</v>
      </c>
      <c r="AQ168" s="421" t="s">
        <v>1108</v>
      </c>
      <c r="AR168" s="421" t="s">
        <v>3352</v>
      </c>
      <c r="AS168" s="421" t="s">
        <v>3452</v>
      </c>
      <c r="AT168" s="421" t="s">
        <v>3109</v>
      </c>
      <c r="AU168" s="421" t="s">
        <v>1142</v>
      </c>
      <c r="AV168" s="421" t="s">
        <v>3174</v>
      </c>
      <c r="AW168" s="421" t="s">
        <v>3110</v>
      </c>
      <c r="AX168" s="421" t="s">
        <v>3111</v>
      </c>
      <c r="AY168" s="421" t="s">
        <v>3112</v>
      </c>
      <c r="AZ168" s="421" t="s">
        <v>3113</v>
      </c>
      <c r="BA168" s="421" t="s">
        <v>3114</v>
      </c>
      <c r="BB168" s="421" t="s">
        <v>3115</v>
      </c>
      <c r="BC168" s="421">
        <v>42693</v>
      </c>
      <c r="BD168" s="421">
        <v>108922650.90000001</v>
      </c>
      <c r="BE168" s="421">
        <v>0</v>
      </c>
      <c r="BF168" s="421">
        <v>685.22</v>
      </c>
      <c r="BG168" s="421">
        <v>108.45</v>
      </c>
      <c r="BH168" s="421">
        <v>0</v>
      </c>
      <c r="BI168" s="421" t="s">
        <v>1167</v>
      </c>
    </row>
    <row r="169" spans="1:61" x14ac:dyDescent="0.25">
      <c r="A169" s="421">
        <v>166</v>
      </c>
      <c r="B169" s="421">
        <v>2015</v>
      </c>
      <c r="C169" s="421">
        <v>3</v>
      </c>
      <c r="D169" s="421">
        <v>27</v>
      </c>
      <c r="E169" s="421" t="s">
        <v>1475</v>
      </c>
      <c r="F169" s="421" t="s">
        <v>3325</v>
      </c>
      <c r="G169" s="421" t="s">
        <v>3318</v>
      </c>
      <c r="H169" s="421" t="s">
        <v>1107</v>
      </c>
      <c r="I169" s="421" t="s">
        <v>3446</v>
      </c>
      <c r="J169" s="421" t="s">
        <v>3451</v>
      </c>
      <c r="K169" s="421" t="s">
        <v>3093</v>
      </c>
      <c r="L169" s="421" t="s">
        <v>3094</v>
      </c>
      <c r="M169" s="421" t="s">
        <v>2667</v>
      </c>
      <c r="N169" s="421" t="s">
        <v>3093</v>
      </c>
      <c r="O169" s="421" t="s">
        <v>3094</v>
      </c>
      <c r="P169" s="421" t="s">
        <v>3095</v>
      </c>
      <c r="Q169" s="421" t="s">
        <v>3113</v>
      </c>
      <c r="R169" s="421" t="s">
        <v>1108</v>
      </c>
      <c r="S169" s="421" t="s">
        <v>1108</v>
      </c>
      <c r="T169" s="421" t="s">
        <v>1130</v>
      </c>
      <c r="U169" s="421" t="s">
        <v>1112</v>
      </c>
      <c r="V169" s="421" t="s">
        <v>3097</v>
      </c>
      <c r="W169" s="421" t="s">
        <v>3098</v>
      </c>
      <c r="X169" s="421" t="s">
        <v>3099</v>
      </c>
      <c r="Y169" s="421" t="s">
        <v>1117</v>
      </c>
      <c r="Z169" s="421" t="s">
        <v>1118</v>
      </c>
      <c r="AA169" s="421" t="s">
        <v>3100</v>
      </c>
      <c r="AB169" s="421" t="s">
        <v>3101</v>
      </c>
      <c r="AC169" s="421" t="s">
        <v>3102</v>
      </c>
      <c r="AD169" s="421" t="s">
        <v>3269</v>
      </c>
      <c r="AE169" s="421" t="s">
        <v>3378</v>
      </c>
      <c r="AF169" s="421" t="s">
        <v>2236</v>
      </c>
      <c r="AG169" s="421" t="s">
        <v>2237</v>
      </c>
      <c r="AH169" s="421" t="s">
        <v>3105</v>
      </c>
      <c r="AI169" s="421">
        <v>510000</v>
      </c>
      <c r="AJ169" s="421">
        <v>814.83</v>
      </c>
      <c r="AK169" s="421">
        <v>882.51</v>
      </c>
      <c r="AL169" s="421">
        <v>2</v>
      </c>
      <c r="AM169" s="421" t="s">
        <v>966</v>
      </c>
      <c r="AN169" s="421" t="s">
        <v>3271</v>
      </c>
      <c r="AO169" s="421" t="s">
        <v>1121</v>
      </c>
      <c r="AP169" s="421" t="s">
        <v>1121</v>
      </c>
      <c r="AQ169" s="421" t="s">
        <v>1108</v>
      </c>
      <c r="AR169" s="421" t="s">
        <v>3352</v>
      </c>
      <c r="AS169" s="421" t="s">
        <v>3452</v>
      </c>
      <c r="AT169" s="421" t="s">
        <v>3109</v>
      </c>
      <c r="AU169" s="421" t="s">
        <v>1142</v>
      </c>
      <c r="AV169" s="421" t="s">
        <v>3174</v>
      </c>
      <c r="AW169" s="421" t="s">
        <v>3110</v>
      </c>
      <c r="AX169" s="421" t="s">
        <v>3111</v>
      </c>
      <c r="AY169" s="421" t="s">
        <v>3112</v>
      </c>
      <c r="AZ169" s="421" t="s">
        <v>3113</v>
      </c>
      <c r="BA169" s="421" t="s">
        <v>3114</v>
      </c>
      <c r="BB169" s="421" t="s">
        <v>3115</v>
      </c>
      <c r="BC169" s="421">
        <v>11485.8</v>
      </c>
      <c r="BD169" s="421">
        <v>29303721.539999999</v>
      </c>
      <c r="BE169" s="421">
        <v>0</v>
      </c>
      <c r="BF169" s="421">
        <v>184.35</v>
      </c>
      <c r="BG169" s="421">
        <v>29.18</v>
      </c>
      <c r="BH169" s="421">
        <v>0</v>
      </c>
      <c r="BI169" s="421" t="s">
        <v>1167</v>
      </c>
    </row>
    <row r="170" spans="1:61" x14ac:dyDescent="0.25">
      <c r="A170" s="421">
        <v>167</v>
      </c>
      <c r="B170" s="421">
        <v>2015</v>
      </c>
      <c r="C170" s="421">
        <v>3</v>
      </c>
      <c r="D170" s="421">
        <v>27</v>
      </c>
      <c r="E170" s="421" t="s">
        <v>1475</v>
      </c>
      <c r="F170" s="421" t="s">
        <v>3325</v>
      </c>
      <c r="G170" s="421" t="s">
        <v>3318</v>
      </c>
      <c r="H170" s="421" t="s">
        <v>1107</v>
      </c>
      <c r="I170" s="421" t="s">
        <v>3446</v>
      </c>
      <c r="J170" s="421" t="s">
        <v>3451</v>
      </c>
      <c r="K170" s="421" t="s">
        <v>3093</v>
      </c>
      <c r="L170" s="421" t="s">
        <v>3094</v>
      </c>
      <c r="M170" s="421" t="s">
        <v>2667</v>
      </c>
      <c r="N170" s="421" t="s">
        <v>3093</v>
      </c>
      <c r="O170" s="421" t="s">
        <v>3094</v>
      </c>
      <c r="P170" s="421" t="s">
        <v>3095</v>
      </c>
      <c r="Q170" s="421" t="s">
        <v>3113</v>
      </c>
      <c r="R170" s="421" t="s">
        <v>1108</v>
      </c>
      <c r="S170" s="421" t="s">
        <v>1108</v>
      </c>
      <c r="T170" s="421" t="s">
        <v>1130</v>
      </c>
      <c r="U170" s="421" t="s">
        <v>1112</v>
      </c>
      <c r="V170" s="421" t="s">
        <v>3097</v>
      </c>
      <c r="W170" s="421" t="s">
        <v>3098</v>
      </c>
      <c r="X170" s="421" t="s">
        <v>3099</v>
      </c>
      <c r="Y170" s="421" t="s">
        <v>1117</v>
      </c>
      <c r="Z170" s="421" t="s">
        <v>1118</v>
      </c>
      <c r="AA170" s="421" t="s">
        <v>3100</v>
      </c>
      <c r="AB170" s="421" t="s">
        <v>3101</v>
      </c>
      <c r="AC170" s="421" t="s">
        <v>3102</v>
      </c>
      <c r="AD170" s="421" t="s">
        <v>3269</v>
      </c>
      <c r="AE170" s="421" t="s">
        <v>3378</v>
      </c>
      <c r="AF170" s="421" t="s">
        <v>2236</v>
      </c>
      <c r="AG170" s="421" t="s">
        <v>2237</v>
      </c>
      <c r="AH170" s="421" t="s">
        <v>3105</v>
      </c>
      <c r="AI170" s="421">
        <v>24000</v>
      </c>
      <c r="AJ170" s="421">
        <v>86.16</v>
      </c>
      <c r="AK170" s="421">
        <v>93.32</v>
      </c>
      <c r="AL170" s="421">
        <v>3</v>
      </c>
      <c r="AM170" s="421" t="s">
        <v>966</v>
      </c>
      <c r="AN170" s="421" t="s">
        <v>3271</v>
      </c>
      <c r="AO170" s="421" t="s">
        <v>1121</v>
      </c>
      <c r="AP170" s="421" t="s">
        <v>1121</v>
      </c>
      <c r="AQ170" s="421" t="s">
        <v>1108</v>
      </c>
      <c r="AR170" s="421" t="s">
        <v>3352</v>
      </c>
      <c r="AS170" s="421" t="s">
        <v>3452</v>
      </c>
      <c r="AT170" s="421" t="s">
        <v>3109</v>
      </c>
      <c r="AU170" s="421" t="s">
        <v>1142</v>
      </c>
      <c r="AV170" s="421" t="s">
        <v>3174</v>
      </c>
      <c r="AW170" s="421" t="s">
        <v>3110</v>
      </c>
      <c r="AX170" s="421" t="s">
        <v>3111</v>
      </c>
      <c r="AY170" s="421" t="s">
        <v>3112</v>
      </c>
      <c r="AZ170" s="421" t="s">
        <v>3113</v>
      </c>
      <c r="BA170" s="421" t="s">
        <v>3114</v>
      </c>
      <c r="BB170" s="421" t="s">
        <v>3115</v>
      </c>
      <c r="BC170" s="421">
        <v>1896</v>
      </c>
      <c r="BD170" s="421">
        <v>4837264.8</v>
      </c>
      <c r="BE170" s="421">
        <v>0</v>
      </c>
      <c r="BF170" s="421">
        <v>30.43</v>
      </c>
      <c r="BG170" s="421">
        <v>4.82</v>
      </c>
      <c r="BH170" s="421">
        <v>0</v>
      </c>
      <c r="BI170" s="421" t="s">
        <v>1167</v>
      </c>
    </row>
    <row r="171" spans="1:61" x14ac:dyDescent="0.25">
      <c r="A171" s="421">
        <v>168</v>
      </c>
      <c r="B171" s="421">
        <v>2015</v>
      </c>
      <c r="C171" s="421">
        <v>3</v>
      </c>
      <c r="D171" s="421">
        <v>27</v>
      </c>
      <c r="E171" s="421" t="s">
        <v>1475</v>
      </c>
      <c r="F171" s="421" t="s">
        <v>3325</v>
      </c>
      <c r="G171" s="421" t="s">
        <v>3318</v>
      </c>
      <c r="H171" s="421" t="s">
        <v>1107</v>
      </c>
      <c r="I171" s="421" t="s">
        <v>3446</v>
      </c>
      <c r="J171" s="421" t="s">
        <v>3453</v>
      </c>
      <c r="K171" s="421" t="s">
        <v>3093</v>
      </c>
      <c r="L171" s="421" t="s">
        <v>3094</v>
      </c>
      <c r="M171" s="421" t="s">
        <v>2667</v>
      </c>
      <c r="N171" s="421" t="s">
        <v>3093</v>
      </c>
      <c r="O171" s="421" t="s">
        <v>3094</v>
      </c>
      <c r="P171" s="421" t="s">
        <v>3095</v>
      </c>
      <c r="Q171" s="421" t="s">
        <v>3113</v>
      </c>
      <c r="R171" s="421" t="s">
        <v>1108</v>
      </c>
      <c r="S171" s="421" t="s">
        <v>1108</v>
      </c>
      <c r="T171" s="421" t="s">
        <v>1130</v>
      </c>
      <c r="U171" s="421" t="s">
        <v>1112</v>
      </c>
      <c r="V171" s="421" t="s">
        <v>3097</v>
      </c>
      <c r="W171" s="421" t="s">
        <v>3098</v>
      </c>
      <c r="X171" s="421" t="s">
        <v>3099</v>
      </c>
      <c r="Y171" s="421" t="s">
        <v>1117</v>
      </c>
      <c r="Z171" s="421" t="s">
        <v>1118</v>
      </c>
      <c r="AA171" s="421" t="s">
        <v>3100</v>
      </c>
      <c r="AB171" s="421" t="s">
        <v>3101</v>
      </c>
      <c r="AC171" s="421" t="s">
        <v>3102</v>
      </c>
      <c r="AD171" s="421" t="s">
        <v>3269</v>
      </c>
      <c r="AE171" s="421" t="s">
        <v>3378</v>
      </c>
      <c r="AF171" s="421" t="s">
        <v>2236</v>
      </c>
      <c r="AG171" s="421" t="s">
        <v>2237</v>
      </c>
      <c r="AH171" s="421" t="s">
        <v>3105</v>
      </c>
      <c r="AI171" s="421">
        <v>12000</v>
      </c>
      <c r="AJ171" s="421">
        <v>63.7</v>
      </c>
      <c r="AK171" s="421">
        <v>67.42</v>
      </c>
      <c r="AL171" s="421">
        <v>1</v>
      </c>
      <c r="AM171" s="421" t="s">
        <v>966</v>
      </c>
      <c r="AN171" s="421" t="s">
        <v>3271</v>
      </c>
      <c r="AO171" s="421" t="s">
        <v>1121</v>
      </c>
      <c r="AP171" s="421" t="s">
        <v>1121</v>
      </c>
      <c r="AQ171" s="421" t="s">
        <v>1108</v>
      </c>
      <c r="AR171" s="421" t="s">
        <v>3352</v>
      </c>
      <c r="AS171" s="421" t="s">
        <v>3454</v>
      </c>
      <c r="AT171" s="421" t="s">
        <v>3109</v>
      </c>
      <c r="AU171" s="421" t="s">
        <v>1142</v>
      </c>
      <c r="AV171" s="421" t="s">
        <v>3174</v>
      </c>
      <c r="AW171" s="421" t="s">
        <v>3110</v>
      </c>
      <c r="AX171" s="421" t="s">
        <v>3111</v>
      </c>
      <c r="AY171" s="421" t="s">
        <v>3112</v>
      </c>
      <c r="AZ171" s="421" t="s">
        <v>3113</v>
      </c>
      <c r="BA171" s="421" t="s">
        <v>3114</v>
      </c>
      <c r="BB171" s="421" t="s">
        <v>3115</v>
      </c>
      <c r="BC171" s="421">
        <v>570</v>
      </c>
      <c r="BD171" s="421">
        <v>1454241</v>
      </c>
      <c r="BE171" s="421">
        <v>0</v>
      </c>
      <c r="BF171" s="421">
        <v>100</v>
      </c>
      <c r="BG171" s="421">
        <v>12</v>
      </c>
      <c r="BH171" s="421">
        <v>0</v>
      </c>
      <c r="BI171" s="421" t="s">
        <v>1167</v>
      </c>
    </row>
    <row r="172" spans="1:61" x14ac:dyDescent="0.25">
      <c r="A172" s="421">
        <v>169</v>
      </c>
      <c r="B172" s="421">
        <v>2015</v>
      </c>
      <c r="C172" s="421">
        <v>3</v>
      </c>
      <c r="D172" s="421">
        <v>27</v>
      </c>
      <c r="E172" s="421" t="s">
        <v>1475</v>
      </c>
      <c r="F172" s="421" t="s">
        <v>3325</v>
      </c>
      <c r="G172" s="421" t="s">
        <v>3318</v>
      </c>
      <c r="H172" s="421" t="s">
        <v>1107</v>
      </c>
      <c r="I172" s="421" t="s">
        <v>3446</v>
      </c>
      <c r="J172" s="421" t="s">
        <v>3449</v>
      </c>
      <c r="K172" s="421" t="s">
        <v>3093</v>
      </c>
      <c r="L172" s="421" t="s">
        <v>3094</v>
      </c>
      <c r="M172" s="421" t="s">
        <v>2667</v>
      </c>
      <c r="N172" s="421" t="s">
        <v>3093</v>
      </c>
      <c r="O172" s="421" t="s">
        <v>3094</v>
      </c>
      <c r="P172" s="421" t="s">
        <v>3095</v>
      </c>
      <c r="Q172" s="421" t="s">
        <v>3113</v>
      </c>
      <c r="R172" s="421" t="s">
        <v>1108</v>
      </c>
      <c r="S172" s="421" t="s">
        <v>1108</v>
      </c>
      <c r="T172" s="421" t="s">
        <v>1130</v>
      </c>
      <c r="U172" s="421" t="s">
        <v>1112</v>
      </c>
      <c r="V172" s="421" t="s">
        <v>3097</v>
      </c>
      <c r="W172" s="421" t="s">
        <v>3098</v>
      </c>
      <c r="X172" s="421" t="s">
        <v>3099</v>
      </c>
      <c r="Y172" s="421" t="s">
        <v>1117</v>
      </c>
      <c r="Z172" s="421" t="s">
        <v>1118</v>
      </c>
      <c r="AA172" s="421" t="s">
        <v>3100</v>
      </c>
      <c r="AB172" s="421" t="s">
        <v>3101</v>
      </c>
      <c r="AC172" s="421" t="s">
        <v>3102</v>
      </c>
      <c r="AD172" s="421" t="s">
        <v>3125</v>
      </c>
      <c r="AE172" s="421" t="s">
        <v>3126</v>
      </c>
      <c r="AF172" s="421" t="s">
        <v>2236</v>
      </c>
      <c r="AG172" s="421" t="s">
        <v>2237</v>
      </c>
      <c r="AH172" s="421" t="s">
        <v>3105</v>
      </c>
      <c r="AI172" s="421">
        <v>36000</v>
      </c>
      <c r="AJ172" s="421">
        <v>145.47</v>
      </c>
      <c r="AK172" s="421">
        <v>169.56</v>
      </c>
      <c r="AL172" s="421">
        <v>4</v>
      </c>
      <c r="AM172" s="421" t="s">
        <v>962</v>
      </c>
      <c r="AN172" s="421" t="s">
        <v>3127</v>
      </c>
      <c r="AO172" s="421" t="s">
        <v>1121</v>
      </c>
      <c r="AP172" s="421" t="s">
        <v>1121</v>
      </c>
      <c r="AQ172" s="421" t="s">
        <v>1108</v>
      </c>
      <c r="AR172" s="421" t="s">
        <v>3352</v>
      </c>
      <c r="AS172" s="421" t="s">
        <v>3450</v>
      </c>
      <c r="AT172" s="421" t="s">
        <v>3109</v>
      </c>
      <c r="AU172" s="421" t="s">
        <v>1142</v>
      </c>
      <c r="AV172" s="421" t="s">
        <v>3174</v>
      </c>
      <c r="AW172" s="421" t="s">
        <v>3110</v>
      </c>
      <c r="AX172" s="421" t="s">
        <v>3111</v>
      </c>
      <c r="AY172" s="421" t="s">
        <v>3112</v>
      </c>
      <c r="AZ172" s="421" t="s">
        <v>3113</v>
      </c>
      <c r="BA172" s="421" t="s">
        <v>3114</v>
      </c>
      <c r="BB172" s="421" t="s">
        <v>3115</v>
      </c>
      <c r="BC172" s="421">
        <v>4104</v>
      </c>
      <c r="BD172" s="421">
        <v>10470535.199999999</v>
      </c>
      <c r="BE172" s="421">
        <v>0</v>
      </c>
      <c r="BF172" s="421">
        <v>82.07</v>
      </c>
      <c r="BG172" s="421">
        <v>0</v>
      </c>
      <c r="BH172" s="421">
        <v>0</v>
      </c>
      <c r="BI172" s="421" t="s">
        <v>1149</v>
      </c>
    </row>
    <row r="173" spans="1:61" x14ac:dyDescent="0.25">
      <c r="A173" s="421">
        <v>170</v>
      </c>
      <c r="B173" s="421">
        <v>2015</v>
      </c>
      <c r="C173" s="421">
        <v>3</v>
      </c>
      <c r="D173" s="421">
        <v>27</v>
      </c>
      <c r="E173" s="421" t="s">
        <v>1475</v>
      </c>
      <c r="F173" s="421" t="s">
        <v>3325</v>
      </c>
      <c r="G173" s="421" t="s">
        <v>3318</v>
      </c>
      <c r="H173" s="421" t="s">
        <v>1107</v>
      </c>
      <c r="I173" s="421" t="s">
        <v>3446</v>
      </c>
      <c r="J173" s="421" t="s">
        <v>3455</v>
      </c>
      <c r="K173" s="421" t="s">
        <v>3093</v>
      </c>
      <c r="L173" s="421" t="s">
        <v>3094</v>
      </c>
      <c r="M173" s="421" t="s">
        <v>2667</v>
      </c>
      <c r="N173" s="421" t="s">
        <v>3093</v>
      </c>
      <c r="O173" s="421" t="s">
        <v>3094</v>
      </c>
      <c r="P173" s="421" t="s">
        <v>3095</v>
      </c>
      <c r="Q173" s="421" t="s">
        <v>3113</v>
      </c>
      <c r="R173" s="421" t="s">
        <v>1108</v>
      </c>
      <c r="S173" s="421" t="s">
        <v>1108</v>
      </c>
      <c r="T173" s="421" t="s">
        <v>1130</v>
      </c>
      <c r="U173" s="421" t="s">
        <v>1112</v>
      </c>
      <c r="V173" s="421" t="s">
        <v>3097</v>
      </c>
      <c r="W173" s="421" t="s">
        <v>3098</v>
      </c>
      <c r="X173" s="421" t="s">
        <v>3099</v>
      </c>
      <c r="Y173" s="421" t="s">
        <v>1117</v>
      </c>
      <c r="Z173" s="421" t="s">
        <v>1118</v>
      </c>
      <c r="AA173" s="421" t="s">
        <v>3100</v>
      </c>
      <c r="AB173" s="421" t="s">
        <v>3101</v>
      </c>
      <c r="AC173" s="421" t="s">
        <v>3102</v>
      </c>
      <c r="AD173" s="421" t="s">
        <v>3439</v>
      </c>
      <c r="AE173" s="421" t="s">
        <v>3440</v>
      </c>
      <c r="AF173" s="421" t="s">
        <v>2236</v>
      </c>
      <c r="AG173" s="421" t="s">
        <v>2237</v>
      </c>
      <c r="AH173" s="421" t="s">
        <v>3105</v>
      </c>
      <c r="AI173" s="421">
        <v>834750</v>
      </c>
      <c r="AJ173" s="421">
        <v>1550.27</v>
      </c>
      <c r="AK173" s="421">
        <v>1687.31</v>
      </c>
      <c r="AL173" s="421">
        <v>1</v>
      </c>
      <c r="AM173" s="421" t="s">
        <v>3441</v>
      </c>
      <c r="AN173" s="421" t="s">
        <v>3442</v>
      </c>
      <c r="AO173" s="421" t="s">
        <v>1121</v>
      </c>
      <c r="AP173" s="421" t="s">
        <v>1121</v>
      </c>
      <c r="AQ173" s="421" t="s">
        <v>1108</v>
      </c>
      <c r="AR173" s="421" t="s">
        <v>3352</v>
      </c>
      <c r="AS173" s="421" t="s">
        <v>3456</v>
      </c>
      <c r="AT173" s="421" t="s">
        <v>3109</v>
      </c>
      <c r="AU173" s="421" t="s">
        <v>1142</v>
      </c>
      <c r="AV173" s="421" t="s">
        <v>2135</v>
      </c>
      <c r="AW173" s="421" t="s">
        <v>3110</v>
      </c>
      <c r="AX173" s="421" t="s">
        <v>3111</v>
      </c>
      <c r="AY173" s="421" t="s">
        <v>3112</v>
      </c>
      <c r="AZ173" s="421" t="s">
        <v>3113</v>
      </c>
      <c r="BA173" s="421" t="s">
        <v>3114</v>
      </c>
      <c r="BB173" s="421" t="s">
        <v>3115</v>
      </c>
      <c r="BC173" s="421">
        <v>23428.75</v>
      </c>
      <c r="BD173" s="421">
        <v>59773769.880000003</v>
      </c>
      <c r="BE173" s="421">
        <v>0</v>
      </c>
      <c r="BF173" s="421">
        <v>1801.51</v>
      </c>
      <c r="BG173" s="421">
        <v>0</v>
      </c>
      <c r="BH173" s="421">
        <v>0</v>
      </c>
      <c r="BI173" s="421" t="s">
        <v>1167</v>
      </c>
    </row>
    <row r="174" spans="1:61" x14ac:dyDescent="0.25">
      <c r="A174" s="421">
        <v>171</v>
      </c>
      <c r="B174" s="421">
        <v>2015</v>
      </c>
      <c r="C174" s="421">
        <v>3</v>
      </c>
      <c r="D174" s="421">
        <v>27</v>
      </c>
      <c r="E174" s="421" t="s">
        <v>1475</v>
      </c>
      <c r="F174" s="421" t="s">
        <v>3325</v>
      </c>
      <c r="G174" s="421" t="s">
        <v>3318</v>
      </c>
      <c r="H174" s="421" t="s">
        <v>1107</v>
      </c>
      <c r="I174" s="421" t="s">
        <v>3446</v>
      </c>
      <c r="J174" s="421" t="s">
        <v>3455</v>
      </c>
      <c r="K174" s="421" t="s">
        <v>3093</v>
      </c>
      <c r="L174" s="421" t="s">
        <v>3094</v>
      </c>
      <c r="M174" s="421" t="s">
        <v>2667</v>
      </c>
      <c r="N174" s="421" t="s">
        <v>3093</v>
      </c>
      <c r="O174" s="421" t="s">
        <v>3094</v>
      </c>
      <c r="P174" s="421" t="s">
        <v>3095</v>
      </c>
      <c r="Q174" s="421" t="s">
        <v>3113</v>
      </c>
      <c r="R174" s="421" t="s">
        <v>1108</v>
      </c>
      <c r="S174" s="421" t="s">
        <v>1108</v>
      </c>
      <c r="T174" s="421" t="s">
        <v>1130</v>
      </c>
      <c r="U174" s="421" t="s">
        <v>1112</v>
      </c>
      <c r="V174" s="421" t="s">
        <v>3097</v>
      </c>
      <c r="W174" s="421" t="s">
        <v>3098</v>
      </c>
      <c r="X174" s="421" t="s">
        <v>3099</v>
      </c>
      <c r="Y174" s="421" t="s">
        <v>1117</v>
      </c>
      <c r="Z174" s="421" t="s">
        <v>1118</v>
      </c>
      <c r="AA174" s="421" t="s">
        <v>3100</v>
      </c>
      <c r="AB174" s="421" t="s">
        <v>3101</v>
      </c>
      <c r="AC174" s="421" t="s">
        <v>3102</v>
      </c>
      <c r="AD174" s="421" t="s">
        <v>3439</v>
      </c>
      <c r="AE174" s="421" t="s">
        <v>3440</v>
      </c>
      <c r="AF174" s="421" t="s">
        <v>2236</v>
      </c>
      <c r="AG174" s="421" t="s">
        <v>2237</v>
      </c>
      <c r="AH174" s="421" t="s">
        <v>3105</v>
      </c>
      <c r="AI174" s="421">
        <v>209000</v>
      </c>
      <c r="AJ174" s="421">
        <v>400.93</v>
      </c>
      <c r="AK174" s="421">
        <v>436.37</v>
      </c>
      <c r="AL174" s="421">
        <v>2</v>
      </c>
      <c r="AM174" s="421" t="s">
        <v>3441</v>
      </c>
      <c r="AN174" s="421" t="s">
        <v>3442</v>
      </c>
      <c r="AO174" s="421" t="s">
        <v>1121</v>
      </c>
      <c r="AP174" s="421" t="s">
        <v>1121</v>
      </c>
      <c r="AQ174" s="421" t="s">
        <v>1108</v>
      </c>
      <c r="AR174" s="421" t="s">
        <v>3352</v>
      </c>
      <c r="AS174" s="421" t="s">
        <v>3456</v>
      </c>
      <c r="AT174" s="421" t="s">
        <v>3109</v>
      </c>
      <c r="AU174" s="421" t="s">
        <v>1142</v>
      </c>
      <c r="AV174" s="421" t="s">
        <v>2135</v>
      </c>
      <c r="AW174" s="421" t="s">
        <v>3110</v>
      </c>
      <c r="AX174" s="421" t="s">
        <v>3111</v>
      </c>
      <c r="AY174" s="421" t="s">
        <v>3112</v>
      </c>
      <c r="AZ174" s="421" t="s">
        <v>3113</v>
      </c>
      <c r="BA174" s="421" t="s">
        <v>3114</v>
      </c>
      <c r="BB174" s="421" t="s">
        <v>3115</v>
      </c>
      <c r="BC174" s="421">
        <v>6462.25</v>
      </c>
      <c r="BD174" s="421">
        <v>16487138.43</v>
      </c>
      <c r="BE174" s="421">
        <v>0</v>
      </c>
      <c r="BF174" s="421">
        <v>496.9</v>
      </c>
      <c r="BG174" s="421">
        <v>0</v>
      </c>
      <c r="BH174" s="421">
        <v>0</v>
      </c>
      <c r="BI174" s="421" t="s">
        <v>1167</v>
      </c>
    </row>
    <row r="175" spans="1:61" x14ac:dyDescent="0.25">
      <c r="A175" s="421">
        <v>172</v>
      </c>
      <c r="B175" s="421">
        <v>2015</v>
      </c>
      <c r="C175" s="421">
        <v>3</v>
      </c>
      <c r="D175" s="421">
        <v>27</v>
      </c>
      <c r="E175" s="421" t="s">
        <v>1475</v>
      </c>
      <c r="F175" s="421" t="s">
        <v>3325</v>
      </c>
      <c r="G175" s="421" t="s">
        <v>3318</v>
      </c>
      <c r="H175" s="421" t="s">
        <v>1107</v>
      </c>
      <c r="I175" s="421" t="s">
        <v>3446</v>
      </c>
      <c r="J175" s="421" t="s">
        <v>3455</v>
      </c>
      <c r="K175" s="421" t="s">
        <v>3093</v>
      </c>
      <c r="L175" s="421" t="s">
        <v>3094</v>
      </c>
      <c r="M175" s="421" t="s">
        <v>2667</v>
      </c>
      <c r="N175" s="421" t="s">
        <v>3093</v>
      </c>
      <c r="O175" s="421" t="s">
        <v>3094</v>
      </c>
      <c r="P175" s="421" t="s">
        <v>3095</v>
      </c>
      <c r="Q175" s="421" t="s">
        <v>3113</v>
      </c>
      <c r="R175" s="421" t="s">
        <v>1108</v>
      </c>
      <c r="S175" s="421" t="s">
        <v>1108</v>
      </c>
      <c r="T175" s="421" t="s">
        <v>1130</v>
      </c>
      <c r="U175" s="421" t="s">
        <v>1112</v>
      </c>
      <c r="V175" s="421" t="s">
        <v>3097</v>
      </c>
      <c r="W175" s="421" t="s">
        <v>3098</v>
      </c>
      <c r="X175" s="421" t="s">
        <v>3099</v>
      </c>
      <c r="Y175" s="421" t="s">
        <v>1117</v>
      </c>
      <c r="Z175" s="421" t="s">
        <v>1118</v>
      </c>
      <c r="AA175" s="421" t="s">
        <v>3100</v>
      </c>
      <c r="AB175" s="421" t="s">
        <v>3101</v>
      </c>
      <c r="AC175" s="421" t="s">
        <v>3102</v>
      </c>
      <c r="AD175" s="421" t="s">
        <v>3439</v>
      </c>
      <c r="AE175" s="421" t="s">
        <v>3440</v>
      </c>
      <c r="AF175" s="421" t="s">
        <v>2236</v>
      </c>
      <c r="AG175" s="421" t="s">
        <v>2237</v>
      </c>
      <c r="AH175" s="421" t="s">
        <v>3105</v>
      </c>
      <c r="AI175" s="421">
        <v>102200</v>
      </c>
      <c r="AJ175" s="421">
        <v>412.41</v>
      </c>
      <c r="AK175" s="421">
        <v>448.87</v>
      </c>
      <c r="AL175" s="421">
        <v>3</v>
      </c>
      <c r="AM175" s="421" t="s">
        <v>3441</v>
      </c>
      <c r="AN175" s="421" t="s">
        <v>3442</v>
      </c>
      <c r="AO175" s="421" t="s">
        <v>1121</v>
      </c>
      <c r="AP175" s="421" t="s">
        <v>1121</v>
      </c>
      <c r="AQ175" s="421" t="s">
        <v>1108</v>
      </c>
      <c r="AR175" s="421" t="s">
        <v>3352</v>
      </c>
      <c r="AS175" s="421" t="s">
        <v>3456</v>
      </c>
      <c r="AT175" s="421" t="s">
        <v>3109</v>
      </c>
      <c r="AU175" s="421" t="s">
        <v>1142</v>
      </c>
      <c r="AV175" s="421" t="s">
        <v>2135</v>
      </c>
      <c r="AW175" s="421" t="s">
        <v>3110</v>
      </c>
      <c r="AX175" s="421" t="s">
        <v>3111</v>
      </c>
      <c r="AY175" s="421" t="s">
        <v>3112</v>
      </c>
      <c r="AZ175" s="421" t="s">
        <v>3113</v>
      </c>
      <c r="BA175" s="421" t="s">
        <v>3114</v>
      </c>
      <c r="BB175" s="421" t="s">
        <v>3115</v>
      </c>
      <c r="BC175" s="421">
        <v>11789.6</v>
      </c>
      <c r="BD175" s="421">
        <v>30078806.48</v>
      </c>
      <c r="BE175" s="421">
        <v>0</v>
      </c>
      <c r="BF175" s="421">
        <v>906.54</v>
      </c>
      <c r="BG175" s="421">
        <v>0</v>
      </c>
      <c r="BH175" s="421">
        <v>0</v>
      </c>
      <c r="BI175" s="421" t="s">
        <v>1167</v>
      </c>
    </row>
    <row r="176" spans="1:61" x14ac:dyDescent="0.25">
      <c r="A176" s="421">
        <v>173</v>
      </c>
      <c r="B176" s="421">
        <v>2015</v>
      </c>
      <c r="C176" s="421">
        <v>3</v>
      </c>
      <c r="D176" s="421">
        <v>27</v>
      </c>
      <c r="E176" s="421" t="s">
        <v>1475</v>
      </c>
      <c r="F176" s="421" t="s">
        <v>3325</v>
      </c>
      <c r="G176" s="421" t="s">
        <v>3318</v>
      </c>
      <c r="H176" s="421" t="s">
        <v>1107</v>
      </c>
      <c r="I176" s="421" t="s">
        <v>3446</v>
      </c>
      <c r="J176" s="421" t="s">
        <v>3455</v>
      </c>
      <c r="K176" s="421" t="s">
        <v>3093</v>
      </c>
      <c r="L176" s="421" t="s">
        <v>3094</v>
      </c>
      <c r="M176" s="421" t="s">
        <v>2667</v>
      </c>
      <c r="N176" s="421" t="s">
        <v>3093</v>
      </c>
      <c r="O176" s="421" t="s">
        <v>3094</v>
      </c>
      <c r="P176" s="421" t="s">
        <v>3095</v>
      </c>
      <c r="Q176" s="421" t="s">
        <v>3113</v>
      </c>
      <c r="R176" s="421" t="s">
        <v>1108</v>
      </c>
      <c r="S176" s="421" t="s">
        <v>1108</v>
      </c>
      <c r="T176" s="421" t="s">
        <v>1130</v>
      </c>
      <c r="U176" s="421" t="s">
        <v>1112</v>
      </c>
      <c r="V176" s="421" t="s">
        <v>3097</v>
      </c>
      <c r="W176" s="421" t="s">
        <v>3098</v>
      </c>
      <c r="X176" s="421" t="s">
        <v>3099</v>
      </c>
      <c r="Y176" s="421" t="s">
        <v>1117</v>
      </c>
      <c r="Z176" s="421" t="s">
        <v>1118</v>
      </c>
      <c r="AA176" s="421" t="s">
        <v>3100</v>
      </c>
      <c r="AB176" s="421" t="s">
        <v>3101</v>
      </c>
      <c r="AC176" s="421" t="s">
        <v>3102</v>
      </c>
      <c r="AD176" s="421" t="s">
        <v>3439</v>
      </c>
      <c r="AE176" s="421" t="s">
        <v>3440</v>
      </c>
      <c r="AF176" s="421" t="s">
        <v>2236</v>
      </c>
      <c r="AG176" s="421" t="s">
        <v>2237</v>
      </c>
      <c r="AH176" s="421" t="s">
        <v>3105</v>
      </c>
      <c r="AI176" s="421">
        <v>12000</v>
      </c>
      <c r="AJ176" s="421">
        <v>45.88</v>
      </c>
      <c r="AK176" s="421">
        <v>49.94</v>
      </c>
      <c r="AL176" s="421">
        <v>4</v>
      </c>
      <c r="AM176" s="421" t="s">
        <v>3441</v>
      </c>
      <c r="AN176" s="421" t="s">
        <v>3442</v>
      </c>
      <c r="AO176" s="421" t="s">
        <v>1121</v>
      </c>
      <c r="AP176" s="421" t="s">
        <v>1121</v>
      </c>
      <c r="AQ176" s="421" t="s">
        <v>1108</v>
      </c>
      <c r="AR176" s="421" t="s">
        <v>3352</v>
      </c>
      <c r="AS176" s="421" t="s">
        <v>3456</v>
      </c>
      <c r="AT176" s="421" t="s">
        <v>3109</v>
      </c>
      <c r="AU176" s="421" t="s">
        <v>1142</v>
      </c>
      <c r="AV176" s="421" t="s">
        <v>2135</v>
      </c>
      <c r="AW176" s="421" t="s">
        <v>3110</v>
      </c>
      <c r="AX176" s="421" t="s">
        <v>3111</v>
      </c>
      <c r="AY176" s="421" t="s">
        <v>3112</v>
      </c>
      <c r="AZ176" s="421" t="s">
        <v>3113</v>
      </c>
      <c r="BA176" s="421" t="s">
        <v>3114</v>
      </c>
      <c r="BB176" s="421" t="s">
        <v>3115</v>
      </c>
      <c r="BC176" s="421">
        <v>1236</v>
      </c>
      <c r="BD176" s="421">
        <v>3153406.8</v>
      </c>
      <c r="BE176" s="421">
        <v>0</v>
      </c>
      <c r="BF176" s="421">
        <v>95.04</v>
      </c>
      <c r="BG176" s="421">
        <v>0</v>
      </c>
      <c r="BH176" s="421">
        <v>0</v>
      </c>
      <c r="BI176" s="421" t="s">
        <v>1167</v>
      </c>
    </row>
    <row r="177" spans="1:61" x14ac:dyDescent="0.25">
      <c r="A177" s="421">
        <v>174</v>
      </c>
      <c r="B177" s="421">
        <v>2015</v>
      </c>
      <c r="C177" s="421">
        <v>3</v>
      </c>
      <c r="D177" s="421">
        <v>27</v>
      </c>
      <c r="E177" s="421" t="s">
        <v>1475</v>
      </c>
      <c r="F177" s="421" t="s">
        <v>3325</v>
      </c>
      <c r="G177" s="421" t="s">
        <v>3318</v>
      </c>
      <c r="H177" s="421" t="s">
        <v>1107</v>
      </c>
      <c r="I177" s="421" t="s">
        <v>3446</v>
      </c>
      <c r="J177" s="421" t="s">
        <v>3457</v>
      </c>
      <c r="K177" s="421" t="s">
        <v>3093</v>
      </c>
      <c r="L177" s="421" t="s">
        <v>3094</v>
      </c>
      <c r="M177" s="421" t="s">
        <v>2667</v>
      </c>
      <c r="N177" s="421" t="s">
        <v>3093</v>
      </c>
      <c r="O177" s="421" t="s">
        <v>3094</v>
      </c>
      <c r="P177" s="421" t="s">
        <v>3095</v>
      </c>
      <c r="Q177" s="421" t="s">
        <v>3096</v>
      </c>
      <c r="R177" s="421" t="s">
        <v>1108</v>
      </c>
      <c r="S177" s="421" t="s">
        <v>1542</v>
      </c>
      <c r="T177" s="421" t="s">
        <v>1130</v>
      </c>
      <c r="U177" s="421" t="s">
        <v>1112</v>
      </c>
      <c r="V177" s="421" t="s">
        <v>3097</v>
      </c>
      <c r="W177" s="421" t="s">
        <v>3098</v>
      </c>
      <c r="X177" s="421" t="s">
        <v>3099</v>
      </c>
      <c r="Y177" s="421" t="s">
        <v>1117</v>
      </c>
      <c r="Z177" s="421" t="s">
        <v>1118</v>
      </c>
      <c r="AA177" s="421" t="s">
        <v>3100</v>
      </c>
      <c r="AB177" s="421" t="s">
        <v>3101</v>
      </c>
      <c r="AC177" s="421" t="s">
        <v>3102</v>
      </c>
      <c r="AD177" s="421" t="s">
        <v>3170</v>
      </c>
      <c r="AE177" s="421" t="s">
        <v>3171</v>
      </c>
      <c r="AF177" s="421" t="s">
        <v>2236</v>
      </c>
      <c r="AG177" s="421" t="s">
        <v>2237</v>
      </c>
      <c r="AH177" s="421" t="s">
        <v>3105</v>
      </c>
      <c r="AI177" s="421">
        <v>60300</v>
      </c>
      <c r="AJ177" s="421">
        <v>353.84</v>
      </c>
      <c r="AK177" s="421">
        <v>382.26</v>
      </c>
      <c r="AL177" s="421">
        <v>3</v>
      </c>
      <c r="AM177" s="421" t="s">
        <v>2429</v>
      </c>
      <c r="AN177" s="421" t="s">
        <v>3172</v>
      </c>
      <c r="AO177" s="421" t="s">
        <v>1121</v>
      </c>
      <c r="AP177" s="421" t="s">
        <v>1121</v>
      </c>
      <c r="AQ177" s="421" t="s">
        <v>1542</v>
      </c>
      <c r="AR177" s="421" t="s">
        <v>3352</v>
      </c>
      <c r="AS177" s="421" t="s">
        <v>3458</v>
      </c>
      <c r="AT177" s="421" t="s">
        <v>3109</v>
      </c>
      <c r="AU177" s="421" t="s">
        <v>1142</v>
      </c>
      <c r="AV177" s="421" t="s">
        <v>3139</v>
      </c>
      <c r="AW177" s="421" t="s">
        <v>3110</v>
      </c>
      <c r="AX177" s="421" t="s">
        <v>3111</v>
      </c>
      <c r="AY177" s="421" t="s">
        <v>3112</v>
      </c>
      <c r="AZ177" s="421" t="s">
        <v>3113</v>
      </c>
      <c r="BA177" s="421" t="s">
        <v>3114</v>
      </c>
      <c r="BB177" s="421" t="s">
        <v>3115</v>
      </c>
      <c r="BC177" s="421">
        <v>11641.6</v>
      </c>
      <c r="BD177" s="421">
        <v>29701214.079999998</v>
      </c>
      <c r="BE177" s="421">
        <v>0</v>
      </c>
      <c r="BF177" s="421">
        <v>180.04</v>
      </c>
      <c r="BG177" s="421">
        <v>29.55</v>
      </c>
      <c r="BH177" s="421">
        <v>0</v>
      </c>
      <c r="BI177" s="421" t="s">
        <v>1331</v>
      </c>
    </row>
    <row r="178" spans="1:61" x14ac:dyDescent="0.25">
      <c r="A178" s="421">
        <v>175</v>
      </c>
      <c r="B178" s="421">
        <v>2015</v>
      </c>
      <c r="C178" s="421">
        <v>3</v>
      </c>
      <c r="D178" s="421">
        <v>27</v>
      </c>
      <c r="E178" s="421" t="s">
        <v>1475</v>
      </c>
      <c r="F178" s="421" t="s">
        <v>3325</v>
      </c>
      <c r="G178" s="421" t="s">
        <v>3318</v>
      </c>
      <c r="H178" s="421" t="s">
        <v>1107</v>
      </c>
      <c r="I178" s="421" t="s">
        <v>3446</v>
      </c>
      <c r="J178" s="421" t="s">
        <v>3457</v>
      </c>
      <c r="K178" s="421" t="s">
        <v>3093</v>
      </c>
      <c r="L178" s="421" t="s">
        <v>3094</v>
      </c>
      <c r="M178" s="421" t="s">
        <v>2667</v>
      </c>
      <c r="N178" s="421" t="s">
        <v>3093</v>
      </c>
      <c r="O178" s="421" t="s">
        <v>3094</v>
      </c>
      <c r="P178" s="421" t="s">
        <v>3095</v>
      </c>
      <c r="Q178" s="421" t="s">
        <v>3096</v>
      </c>
      <c r="R178" s="421" t="s">
        <v>1108</v>
      </c>
      <c r="S178" s="421" t="s">
        <v>1542</v>
      </c>
      <c r="T178" s="421" t="s">
        <v>1130</v>
      </c>
      <c r="U178" s="421" t="s">
        <v>1112</v>
      </c>
      <c r="V178" s="421" t="s">
        <v>3097</v>
      </c>
      <c r="W178" s="421" t="s">
        <v>3098</v>
      </c>
      <c r="X178" s="421" t="s">
        <v>3099</v>
      </c>
      <c r="Y178" s="421" t="s">
        <v>1117</v>
      </c>
      <c r="Z178" s="421" t="s">
        <v>1118</v>
      </c>
      <c r="AA178" s="421" t="s">
        <v>3100</v>
      </c>
      <c r="AB178" s="421" t="s">
        <v>3101</v>
      </c>
      <c r="AC178" s="421" t="s">
        <v>3102</v>
      </c>
      <c r="AD178" s="421" t="s">
        <v>3170</v>
      </c>
      <c r="AE178" s="421" t="s">
        <v>3171</v>
      </c>
      <c r="AF178" s="421" t="s">
        <v>2236</v>
      </c>
      <c r="AG178" s="421" t="s">
        <v>2237</v>
      </c>
      <c r="AH178" s="421" t="s">
        <v>3105</v>
      </c>
      <c r="AI178" s="421">
        <v>400</v>
      </c>
      <c r="AJ178" s="421">
        <v>15.69</v>
      </c>
      <c r="AK178" s="421">
        <v>16.95</v>
      </c>
      <c r="AL178" s="421">
        <v>4</v>
      </c>
      <c r="AM178" s="421" t="s">
        <v>2429</v>
      </c>
      <c r="AN178" s="421" t="s">
        <v>3172</v>
      </c>
      <c r="AO178" s="421" t="s">
        <v>1121</v>
      </c>
      <c r="AP178" s="421" t="s">
        <v>1121</v>
      </c>
      <c r="AQ178" s="421" t="s">
        <v>1542</v>
      </c>
      <c r="AR178" s="421" t="s">
        <v>3352</v>
      </c>
      <c r="AS178" s="421" t="s">
        <v>3458</v>
      </c>
      <c r="AT178" s="421" t="s">
        <v>3109</v>
      </c>
      <c r="AU178" s="421" t="s">
        <v>1142</v>
      </c>
      <c r="AV178" s="421" t="s">
        <v>3139</v>
      </c>
      <c r="AW178" s="421" t="s">
        <v>3110</v>
      </c>
      <c r="AX178" s="421" t="s">
        <v>3111</v>
      </c>
      <c r="AY178" s="421" t="s">
        <v>3112</v>
      </c>
      <c r="AZ178" s="421" t="s">
        <v>3113</v>
      </c>
      <c r="BA178" s="421" t="s">
        <v>3114</v>
      </c>
      <c r="BB178" s="421" t="s">
        <v>3115</v>
      </c>
      <c r="BC178" s="421">
        <v>604</v>
      </c>
      <c r="BD178" s="421">
        <v>1540985.2</v>
      </c>
      <c r="BE178" s="421">
        <v>0</v>
      </c>
      <c r="BF178" s="421">
        <v>9.34</v>
      </c>
      <c r="BG178" s="421">
        <v>1.53</v>
      </c>
      <c r="BH178" s="421">
        <v>0</v>
      </c>
      <c r="BI178" s="421" t="s">
        <v>1331</v>
      </c>
    </row>
    <row r="179" spans="1:61" x14ac:dyDescent="0.25">
      <c r="A179" s="421">
        <v>176</v>
      </c>
      <c r="B179" s="421">
        <v>2015</v>
      </c>
      <c r="C179" s="421">
        <v>3</v>
      </c>
      <c r="D179" s="421">
        <v>27</v>
      </c>
      <c r="E179" s="421" t="s">
        <v>1475</v>
      </c>
      <c r="F179" s="421" t="s">
        <v>3325</v>
      </c>
      <c r="G179" s="421" t="s">
        <v>3318</v>
      </c>
      <c r="H179" s="421" t="s">
        <v>1107</v>
      </c>
      <c r="I179" s="421" t="s">
        <v>3446</v>
      </c>
      <c r="J179" s="421" t="s">
        <v>3457</v>
      </c>
      <c r="K179" s="421" t="s">
        <v>3093</v>
      </c>
      <c r="L179" s="421" t="s">
        <v>3094</v>
      </c>
      <c r="M179" s="421" t="s">
        <v>2667</v>
      </c>
      <c r="N179" s="421" t="s">
        <v>3093</v>
      </c>
      <c r="O179" s="421" t="s">
        <v>3094</v>
      </c>
      <c r="P179" s="421" t="s">
        <v>3095</v>
      </c>
      <c r="Q179" s="421" t="s">
        <v>3096</v>
      </c>
      <c r="R179" s="421" t="s">
        <v>1108</v>
      </c>
      <c r="S179" s="421" t="s">
        <v>1542</v>
      </c>
      <c r="T179" s="421" t="s">
        <v>1130</v>
      </c>
      <c r="U179" s="421" t="s">
        <v>1112</v>
      </c>
      <c r="V179" s="421" t="s">
        <v>3097</v>
      </c>
      <c r="W179" s="421" t="s">
        <v>3098</v>
      </c>
      <c r="X179" s="421" t="s">
        <v>3099</v>
      </c>
      <c r="Y179" s="421" t="s">
        <v>1117</v>
      </c>
      <c r="Z179" s="421" t="s">
        <v>1118</v>
      </c>
      <c r="AA179" s="421" t="s">
        <v>3100</v>
      </c>
      <c r="AB179" s="421" t="s">
        <v>3101</v>
      </c>
      <c r="AC179" s="421" t="s">
        <v>3102</v>
      </c>
      <c r="AD179" s="421" t="s">
        <v>3170</v>
      </c>
      <c r="AE179" s="421" t="s">
        <v>3171</v>
      </c>
      <c r="AF179" s="421" t="s">
        <v>2236</v>
      </c>
      <c r="AG179" s="421" t="s">
        <v>2237</v>
      </c>
      <c r="AH179" s="421" t="s">
        <v>3105</v>
      </c>
      <c r="AI179" s="421">
        <v>1071500</v>
      </c>
      <c r="AJ179" s="421">
        <v>2906.34</v>
      </c>
      <c r="AK179" s="421">
        <v>3139.75</v>
      </c>
      <c r="AL179" s="421">
        <v>1</v>
      </c>
      <c r="AM179" s="421" t="s">
        <v>2429</v>
      </c>
      <c r="AN179" s="421" t="s">
        <v>3172</v>
      </c>
      <c r="AO179" s="421" t="s">
        <v>1121</v>
      </c>
      <c r="AP179" s="421" t="s">
        <v>1121</v>
      </c>
      <c r="AQ179" s="421" t="s">
        <v>1542</v>
      </c>
      <c r="AR179" s="421" t="s">
        <v>3352</v>
      </c>
      <c r="AS179" s="421" t="s">
        <v>3458</v>
      </c>
      <c r="AT179" s="421" t="s">
        <v>3109</v>
      </c>
      <c r="AU179" s="421" t="s">
        <v>1142</v>
      </c>
      <c r="AV179" s="421" t="s">
        <v>3139</v>
      </c>
      <c r="AW179" s="421" t="s">
        <v>3110</v>
      </c>
      <c r="AX179" s="421" t="s">
        <v>3111</v>
      </c>
      <c r="AY179" s="421" t="s">
        <v>3112</v>
      </c>
      <c r="AZ179" s="421" t="s">
        <v>3113</v>
      </c>
      <c r="BA179" s="421" t="s">
        <v>3114</v>
      </c>
      <c r="BB179" s="421" t="s">
        <v>3115</v>
      </c>
      <c r="BC179" s="421">
        <v>43532</v>
      </c>
      <c r="BD179" s="421">
        <v>111063191.59999999</v>
      </c>
      <c r="BE179" s="421">
        <v>0</v>
      </c>
      <c r="BF179" s="421">
        <v>673.24</v>
      </c>
      <c r="BG179" s="421">
        <v>110.51</v>
      </c>
      <c r="BH179" s="421">
        <v>0</v>
      </c>
      <c r="BI179" s="421" t="s">
        <v>1331</v>
      </c>
    </row>
    <row r="180" spans="1:61" x14ac:dyDescent="0.25">
      <c r="A180" s="421">
        <v>177</v>
      </c>
      <c r="B180" s="421">
        <v>2015</v>
      </c>
      <c r="C180" s="421">
        <v>3</v>
      </c>
      <c r="D180" s="421">
        <v>27</v>
      </c>
      <c r="E180" s="421" t="s">
        <v>1475</v>
      </c>
      <c r="F180" s="421" t="s">
        <v>3325</v>
      </c>
      <c r="G180" s="421" t="s">
        <v>3318</v>
      </c>
      <c r="H180" s="421" t="s">
        <v>1107</v>
      </c>
      <c r="I180" s="421" t="s">
        <v>3446</v>
      </c>
      <c r="J180" s="421" t="s">
        <v>3457</v>
      </c>
      <c r="K180" s="421" t="s">
        <v>3093</v>
      </c>
      <c r="L180" s="421" t="s">
        <v>3094</v>
      </c>
      <c r="M180" s="421" t="s">
        <v>2667</v>
      </c>
      <c r="N180" s="421" t="s">
        <v>3093</v>
      </c>
      <c r="O180" s="421" t="s">
        <v>3094</v>
      </c>
      <c r="P180" s="421" t="s">
        <v>3095</v>
      </c>
      <c r="Q180" s="421" t="s">
        <v>3096</v>
      </c>
      <c r="R180" s="421" t="s">
        <v>1108</v>
      </c>
      <c r="S180" s="421" t="s">
        <v>1542</v>
      </c>
      <c r="T180" s="421" t="s">
        <v>1130</v>
      </c>
      <c r="U180" s="421" t="s">
        <v>1112</v>
      </c>
      <c r="V180" s="421" t="s">
        <v>3097</v>
      </c>
      <c r="W180" s="421" t="s">
        <v>3098</v>
      </c>
      <c r="X180" s="421" t="s">
        <v>3099</v>
      </c>
      <c r="Y180" s="421" t="s">
        <v>1117</v>
      </c>
      <c r="Z180" s="421" t="s">
        <v>1118</v>
      </c>
      <c r="AA180" s="421" t="s">
        <v>3100</v>
      </c>
      <c r="AB180" s="421" t="s">
        <v>3101</v>
      </c>
      <c r="AC180" s="421" t="s">
        <v>3102</v>
      </c>
      <c r="AD180" s="421" t="s">
        <v>3170</v>
      </c>
      <c r="AE180" s="421" t="s">
        <v>3171</v>
      </c>
      <c r="AF180" s="421" t="s">
        <v>2236</v>
      </c>
      <c r="AG180" s="421" t="s">
        <v>2237</v>
      </c>
      <c r="AH180" s="421" t="s">
        <v>3105</v>
      </c>
      <c r="AI180" s="421">
        <v>274500</v>
      </c>
      <c r="AJ180" s="421">
        <v>835.04</v>
      </c>
      <c r="AK180" s="421">
        <v>902.1</v>
      </c>
      <c r="AL180" s="421">
        <v>2</v>
      </c>
      <c r="AM180" s="421" t="s">
        <v>2429</v>
      </c>
      <c r="AN180" s="421" t="s">
        <v>3172</v>
      </c>
      <c r="AO180" s="421" t="s">
        <v>1121</v>
      </c>
      <c r="AP180" s="421" t="s">
        <v>1121</v>
      </c>
      <c r="AQ180" s="421" t="s">
        <v>1542</v>
      </c>
      <c r="AR180" s="421" t="s">
        <v>3352</v>
      </c>
      <c r="AS180" s="421" t="s">
        <v>3458</v>
      </c>
      <c r="AT180" s="421" t="s">
        <v>3109</v>
      </c>
      <c r="AU180" s="421" t="s">
        <v>1142</v>
      </c>
      <c r="AV180" s="421" t="s">
        <v>3139</v>
      </c>
      <c r="AW180" s="421" t="s">
        <v>3110</v>
      </c>
      <c r="AX180" s="421" t="s">
        <v>3111</v>
      </c>
      <c r="AY180" s="421" t="s">
        <v>3112</v>
      </c>
      <c r="AZ180" s="421" t="s">
        <v>3113</v>
      </c>
      <c r="BA180" s="421" t="s">
        <v>3114</v>
      </c>
      <c r="BB180" s="421" t="s">
        <v>3115</v>
      </c>
      <c r="BC180" s="421">
        <v>12115.8</v>
      </c>
      <c r="BD180" s="421">
        <v>30911040.539999999</v>
      </c>
      <c r="BE180" s="421">
        <v>0</v>
      </c>
      <c r="BF180" s="421">
        <v>187.38</v>
      </c>
      <c r="BG180" s="421">
        <v>30.76</v>
      </c>
      <c r="BH180" s="421">
        <v>0</v>
      </c>
      <c r="BI180" s="421" t="s">
        <v>1331</v>
      </c>
    </row>
    <row r="181" spans="1:61" x14ac:dyDescent="0.25">
      <c r="A181" s="421">
        <v>178</v>
      </c>
      <c r="B181" s="421">
        <v>2015</v>
      </c>
      <c r="C181" s="421">
        <v>3</v>
      </c>
      <c r="D181" s="421">
        <v>27</v>
      </c>
      <c r="E181" s="421" t="s">
        <v>1475</v>
      </c>
      <c r="F181" s="421" t="s">
        <v>3325</v>
      </c>
      <c r="G181" s="421" t="s">
        <v>3318</v>
      </c>
      <c r="H181" s="421" t="s">
        <v>1107</v>
      </c>
      <c r="I181" s="421" t="s">
        <v>3446</v>
      </c>
      <c r="J181" s="421" t="s">
        <v>3459</v>
      </c>
      <c r="K181" s="421" t="s">
        <v>3093</v>
      </c>
      <c r="L181" s="421" t="s">
        <v>3094</v>
      </c>
      <c r="M181" s="421" t="s">
        <v>2667</v>
      </c>
      <c r="N181" s="421" t="s">
        <v>3093</v>
      </c>
      <c r="O181" s="421" t="s">
        <v>3094</v>
      </c>
      <c r="P181" s="421" t="s">
        <v>3095</v>
      </c>
      <c r="Q181" s="421" t="s">
        <v>3096</v>
      </c>
      <c r="R181" s="421" t="s">
        <v>1108</v>
      </c>
      <c r="S181" s="421" t="s">
        <v>1542</v>
      </c>
      <c r="T181" s="421" t="s">
        <v>1130</v>
      </c>
      <c r="U181" s="421" t="s">
        <v>1112</v>
      </c>
      <c r="V181" s="421" t="s">
        <v>3097</v>
      </c>
      <c r="W181" s="421" t="s">
        <v>3098</v>
      </c>
      <c r="X181" s="421" t="s">
        <v>3099</v>
      </c>
      <c r="Y181" s="421" t="s">
        <v>1117</v>
      </c>
      <c r="Z181" s="421" t="s">
        <v>1118</v>
      </c>
      <c r="AA181" s="421" t="s">
        <v>3100</v>
      </c>
      <c r="AB181" s="421" t="s">
        <v>3101</v>
      </c>
      <c r="AC181" s="421" t="s">
        <v>3102</v>
      </c>
      <c r="AD181" s="421" t="s">
        <v>3176</v>
      </c>
      <c r="AE181" s="421" t="s">
        <v>3177</v>
      </c>
      <c r="AF181" s="421" t="s">
        <v>2236</v>
      </c>
      <c r="AG181" s="421" t="s">
        <v>2237</v>
      </c>
      <c r="AH181" s="421" t="s">
        <v>3105</v>
      </c>
      <c r="AI181" s="421">
        <v>20000</v>
      </c>
      <c r="AJ181" s="421">
        <v>69.92</v>
      </c>
      <c r="AK181" s="421">
        <v>76.34</v>
      </c>
      <c r="AL181" s="421">
        <v>2</v>
      </c>
      <c r="AM181" s="421" t="s">
        <v>1547</v>
      </c>
      <c r="AN181" s="421" t="s">
        <v>3178</v>
      </c>
      <c r="AO181" s="421" t="s">
        <v>1121</v>
      </c>
      <c r="AP181" s="421" t="s">
        <v>1121</v>
      </c>
      <c r="AQ181" s="421" t="s">
        <v>1542</v>
      </c>
      <c r="AR181" s="421" t="s">
        <v>3352</v>
      </c>
      <c r="AS181" s="421" t="s">
        <v>3460</v>
      </c>
      <c r="AT181" s="421" t="s">
        <v>3109</v>
      </c>
      <c r="AU181" s="421" t="s">
        <v>1142</v>
      </c>
      <c r="AV181" s="421" t="s">
        <v>3139</v>
      </c>
      <c r="AW181" s="421" t="s">
        <v>3110</v>
      </c>
      <c r="AX181" s="421" t="s">
        <v>3111</v>
      </c>
      <c r="AY181" s="421" t="s">
        <v>3112</v>
      </c>
      <c r="AZ181" s="421" t="s">
        <v>3113</v>
      </c>
      <c r="BA181" s="421" t="s">
        <v>3114</v>
      </c>
      <c r="BB181" s="421" t="s">
        <v>3115</v>
      </c>
      <c r="BC181" s="421">
        <v>1010</v>
      </c>
      <c r="BD181" s="421">
        <v>2576813</v>
      </c>
      <c r="BE181" s="421">
        <v>0</v>
      </c>
      <c r="BF181" s="421">
        <v>93.44</v>
      </c>
      <c r="BG181" s="421">
        <v>2.76</v>
      </c>
      <c r="BH181" s="421">
        <v>0</v>
      </c>
      <c r="BI181" s="421" t="s">
        <v>1331</v>
      </c>
    </row>
    <row r="182" spans="1:61" x14ac:dyDescent="0.25">
      <c r="A182" s="421">
        <v>179</v>
      </c>
      <c r="B182" s="421">
        <v>2015</v>
      </c>
      <c r="C182" s="421">
        <v>3</v>
      </c>
      <c r="D182" s="421">
        <v>27</v>
      </c>
      <c r="E182" s="421" t="s">
        <v>1475</v>
      </c>
      <c r="F182" s="421" t="s">
        <v>3325</v>
      </c>
      <c r="G182" s="421" t="s">
        <v>3318</v>
      </c>
      <c r="H182" s="421" t="s">
        <v>1107</v>
      </c>
      <c r="I182" s="421" t="s">
        <v>3446</v>
      </c>
      <c r="J182" s="421" t="s">
        <v>3459</v>
      </c>
      <c r="K182" s="421" t="s">
        <v>3093</v>
      </c>
      <c r="L182" s="421" t="s">
        <v>3094</v>
      </c>
      <c r="M182" s="421" t="s">
        <v>2667</v>
      </c>
      <c r="N182" s="421" t="s">
        <v>3093</v>
      </c>
      <c r="O182" s="421" t="s">
        <v>3094</v>
      </c>
      <c r="P182" s="421" t="s">
        <v>3095</v>
      </c>
      <c r="Q182" s="421" t="s">
        <v>3096</v>
      </c>
      <c r="R182" s="421" t="s">
        <v>1108</v>
      </c>
      <c r="S182" s="421" t="s">
        <v>1542</v>
      </c>
      <c r="T182" s="421" t="s">
        <v>1130</v>
      </c>
      <c r="U182" s="421" t="s">
        <v>1112</v>
      </c>
      <c r="V182" s="421" t="s">
        <v>3097</v>
      </c>
      <c r="W182" s="421" t="s">
        <v>3098</v>
      </c>
      <c r="X182" s="421" t="s">
        <v>3099</v>
      </c>
      <c r="Y182" s="421" t="s">
        <v>1117</v>
      </c>
      <c r="Z182" s="421" t="s">
        <v>1118</v>
      </c>
      <c r="AA182" s="421" t="s">
        <v>3100</v>
      </c>
      <c r="AB182" s="421" t="s">
        <v>3101</v>
      </c>
      <c r="AC182" s="421" t="s">
        <v>3102</v>
      </c>
      <c r="AD182" s="421" t="s">
        <v>3176</v>
      </c>
      <c r="AE182" s="421" t="s">
        <v>3177</v>
      </c>
      <c r="AF182" s="421" t="s">
        <v>2236</v>
      </c>
      <c r="AG182" s="421" t="s">
        <v>2237</v>
      </c>
      <c r="AH182" s="421" t="s">
        <v>3105</v>
      </c>
      <c r="AI182" s="421">
        <v>35000</v>
      </c>
      <c r="AJ182" s="421">
        <v>120.28</v>
      </c>
      <c r="AK182" s="421">
        <v>131.32</v>
      </c>
      <c r="AL182" s="421">
        <v>3</v>
      </c>
      <c r="AM182" s="421" t="s">
        <v>1547</v>
      </c>
      <c r="AN182" s="421" t="s">
        <v>3178</v>
      </c>
      <c r="AO182" s="421" t="s">
        <v>1121</v>
      </c>
      <c r="AP182" s="421" t="s">
        <v>1121</v>
      </c>
      <c r="AQ182" s="421" t="s">
        <v>1542</v>
      </c>
      <c r="AR182" s="421" t="s">
        <v>3352</v>
      </c>
      <c r="AS182" s="421" t="s">
        <v>3460</v>
      </c>
      <c r="AT182" s="421" t="s">
        <v>3109</v>
      </c>
      <c r="AU182" s="421" t="s">
        <v>1142</v>
      </c>
      <c r="AV182" s="421" t="s">
        <v>3139</v>
      </c>
      <c r="AW182" s="421" t="s">
        <v>3110</v>
      </c>
      <c r="AX182" s="421" t="s">
        <v>3111</v>
      </c>
      <c r="AY182" s="421" t="s">
        <v>3112</v>
      </c>
      <c r="AZ182" s="421" t="s">
        <v>3113</v>
      </c>
      <c r="BA182" s="421" t="s">
        <v>3114</v>
      </c>
      <c r="BB182" s="421" t="s">
        <v>3115</v>
      </c>
      <c r="BC182" s="421">
        <v>3465</v>
      </c>
      <c r="BD182" s="421">
        <v>8840254.5</v>
      </c>
      <c r="BE182" s="421">
        <v>0</v>
      </c>
      <c r="BF182" s="421">
        <v>320.58</v>
      </c>
      <c r="BG182" s="421">
        <v>9.4600000000000009</v>
      </c>
      <c r="BH182" s="421">
        <v>0</v>
      </c>
      <c r="BI182" s="421" t="s">
        <v>1331</v>
      </c>
    </row>
    <row r="183" spans="1:61" x14ac:dyDescent="0.25">
      <c r="A183" s="421">
        <v>180</v>
      </c>
      <c r="B183" s="421">
        <v>2015</v>
      </c>
      <c r="C183" s="421">
        <v>3</v>
      </c>
      <c r="D183" s="421">
        <v>27</v>
      </c>
      <c r="E183" s="421" t="s">
        <v>1475</v>
      </c>
      <c r="F183" s="421" t="s">
        <v>3325</v>
      </c>
      <c r="G183" s="421" t="s">
        <v>3318</v>
      </c>
      <c r="H183" s="421" t="s">
        <v>1107</v>
      </c>
      <c r="I183" s="421" t="s">
        <v>3446</v>
      </c>
      <c r="J183" s="421" t="s">
        <v>3459</v>
      </c>
      <c r="K183" s="421" t="s">
        <v>3093</v>
      </c>
      <c r="L183" s="421" t="s">
        <v>3094</v>
      </c>
      <c r="M183" s="421" t="s">
        <v>2667</v>
      </c>
      <c r="N183" s="421" t="s">
        <v>3093</v>
      </c>
      <c r="O183" s="421" t="s">
        <v>3094</v>
      </c>
      <c r="P183" s="421" t="s">
        <v>3095</v>
      </c>
      <c r="Q183" s="421" t="s">
        <v>3096</v>
      </c>
      <c r="R183" s="421" t="s">
        <v>1108</v>
      </c>
      <c r="S183" s="421" t="s">
        <v>1542</v>
      </c>
      <c r="T183" s="421" t="s">
        <v>1130</v>
      </c>
      <c r="U183" s="421" t="s">
        <v>1112</v>
      </c>
      <c r="V183" s="421" t="s">
        <v>3097</v>
      </c>
      <c r="W183" s="421" t="s">
        <v>3098</v>
      </c>
      <c r="X183" s="421" t="s">
        <v>3099</v>
      </c>
      <c r="Y183" s="421" t="s">
        <v>1117</v>
      </c>
      <c r="Z183" s="421" t="s">
        <v>1118</v>
      </c>
      <c r="AA183" s="421" t="s">
        <v>3100</v>
      </c>
      <c r="AB183" s="421" t="s">
        <v>3101</v>
      </c>
      <c r="AC183" s="421" t="s">
        <v>3102</v>
      </c>
      <c r="AD183" s="421" t="s">
        <v>3176</v>
      </c>
      <c r="AE183" s="421" t="s">
        <v>3177</v>
      </c>
      <c r="AF183" s="421" t="s">
        <v>2236</v>
      </c>
      <c r="AG183" s="421" t="s">
        <v>2237</v>
      </c>
      <c r="AH183" s="421" t="s">
        <v>3105</v>
      </c>
      <c r="AI183" s="421">
        <v>5000</v>
      </c>
      <c r="AJ183" s="421">
        <v>19.22</v>
      </c>
      <c r="AK183" s="421">
        <v>20.98</v>
      </c>
      <c r="AL183" s="421">
        <v>4</v>
      </c>
      <c r="AM183" s="421" t="s">
        <v>1547</v>
      </c>
      <c r="AN183" s="421" t="s">
        <v>3178</v>
      </c>
      <c r="AO183" s="421" t="s">
        <v>1121</v>
      </c>
      <c r="AP183" s="421" t="s">
        <v>1121</v>
      </c>
      <c r="AQ183" s="421" t="s">
        <v>1542</v>
      </c>
      <c r="AR183" s="421" t="s">
        <v>3352</v>
      </c>
      <c r="AS183" s="421" t="s">
        <v>3460</v>
      </c>
      <c r="AT183" s="421" t="s">
        <v>3109</v>
      </c>
      <c r="AU183" s="421" t="s">
        <v>1142</v>
      </c>
      <c r="AV183" s="421" t="s">
        <v>3139</v>
      </c>
      <c r="AW183" s="421" t="s">
        <v>3110</v>
      </c>
      <c r="AX183" s="421" t="s">
        <v>3111</v>
      </c>
      <c r="AY183" s="421" t="s">
        <v>3112</v>
      </c>
      <c r="AZ183" s="421" t="s">
        <v>3113</v>
      </c>
      <c r="BA183" s="421" t="s">
        <v>3114</v>
      </c>
      <c r="BB183" s="421" t="s">
        <v>3115</v>
      </c>
      <c r="BC183" s="421">
        <v>495</v>
      </c>
      <c r="BD183" s="421">
        <v>1262893.5</v>
      </c>
      <c r="BE183" s="421">
        <v>0</v>
      </c>
      <c r="BF183" s="421">
        <v>45.8</v>
      </c>
      <c r="BG183" s="421">
        <v>1.35</v>
      </c>
      <c r="BH183" s="421">
        <v>0</v>
      </c>
      <c r="BI183" s="421" t="s">
        <v>1331</v>
      </c>
    </row>
    <row r="184" spans="1:61" x14ac:dyDescent="0.25">
      <c r="A184" s="421">
        <v>181</v>
      </c>
      <c r="B184" s="421">
        <v>2015</v>
      </c>
      <c r="C184" s="421">
        <v>3</v>
      </c>
      <c r="D184" s="421">
        <v>27</v>
      </c>
      <c r="E184" s="421" t="s">
        <v>1475</v>
      </c>
      <c r="F184" s="421" t="s">
        <v>3325</v>
      </c>
      <c r="G184" s="421" t="s">
        <v>3318</v>
      </c>
      <c r="H184" s="421" t="s">
        <v>1107</v>
      </c>
      <c r="I184" s="421" t="s">
        <v>3446</v>
      </c>
      <c r="J184" s="421" t="s">
        <v>3461</v>
      </c>
      <c r="K184" s="421" t="s">
        <v>3093</v>
      </c>
      <c r="L184" s="421" t="s">
        <v>3094</v>
      </c>
      <c r="M184" s="421" t="s">
        <v>2667</v>
      </c>
      <c r="N184" s="421" t="s">
        <v>3093</v>
      </c>
      <c r="O184" s="421" t="s">
        <v>3094</v>
      </c>
      <c r="P184" s="421" t="s">
        <v>3095</v>
      </c>
      <c r="Q184" s="421" t="s">
        <v>3096</v>
      </c>
      <c r="R184" s="421" t="s">
        <v>1108</v>
      </c>
      <c r="S184" s="421" t="s">
        <v>1542</v>
      </c>
      <c r="T184" s="421" t="s">
        <v>1130</v>
      </c>
      <c r="U184" s="421" t="s">
        <v>1112</v>
      </c>
      <c r="V184" s="421" t="s">
        <v>3097</v>
      </c>
      <c r="W184" s="421" t="s">
        <v>3098</v>
      </c>
      <c r="X184" s="421" t="s">
        <v>3099</v>
      </c>
      <c r="Y184" s="421" t="s">
        <v>1117</v>
      </c>
      <c r="Z184" s="421" t="s">
        <v>1118</v>
      </c>
      <c r="AA184" s="421" t="s">
        <v>3100</v>
      </c>
      <c r="AB184" s="421" t="s">
        <v>3101</v>
      </c>
      <c r="AC184" s="421" t="s">
        <v>3102</v>
      </c>
      <c r="AD184" s="421" t="s">
        <v>3170</v>
      </c>
      <c r="AE184" s="421" t="s">
        <v>3171</v>
      </c>
      <c r="AF184" s="421" t="s">
        <v>3375</v>
      </c>
      <c r="AG184" s="421" t="s">
        <v>3376</v>
      </c>
      <c r="AH184" s="421" t="s">
        <v>3105</v>
      </c>
      <c r="AI184" s="421">
        <v>300</v>
      </c>
      <c r="AJ184" s="421">
        <v>22.22</v>
      </c>
      <c r="AK184" s="421">
        <v>24.08</v>
      </c>
      <c r="AL184" s="421">
        <v>1</v>
      </c>
      <c r="AM184" s="421" t="s">
        <v>2429</v>
      </c>
      <c r="AN184" s="421" t="s">
        <v>3172</v>
      </c>
      <c r="AO184" s="421" t="s">
        <v>1121</v>
      </c>
      <c r="AP184" s="421" t="s">
        <v>1121</v>
      </c>
      <c r="AQ184" s="421" t="s">
        <v>1542</v>
      </c>
      <c r="AR184" s="421" t="s">
        <v>3352</v>
      </c>
      <c r="AS184" s="421" t="s">
        <v>3462</v>
      </c>
      <c r="AT184" s="421" t="s">
        <v>3109</v>
      </c>
      <c r="AU184" s="421" t="s">
        <v>1142</v>
      </c>
      <c r="AV184" s="421" t="s">
        <v>3139</v>
      </c>
      <c r="AW184" s="421" t="s">
        <v>3110</v>
      </c>
      <c r="AX184" s="421" t="s">
        <v>3229</v>
      </c>
      <c r="AY184" s="421" t="s">
        <v>3112</v>
      </c>
      <c r="AZ184" s="421" t="s">
        <v>3113</v>
      </c>
      <c r="BA184" s="421" t="s">
        <v>3114</v>
      </c>
      <c r="BB184" s="421" t="s">
        <v>3230</v>
      </c>
      <c r="BC184" s="421">
        <v>6</v>
      </c>
      <c r="BD184" s="421">
        <v>15307.8</v>
      </c>
      <c r="BE184" s="421">
        <v>0</v>
      </c>
      <c r="BF184" s="421">
        <v>0</v>
      </c>
      <c r="BG184" s="421">
        <v>0</v>
      </c>
      <c r="BH184" s="421">
        <v>0</v>
      </c>
      <c r="BI184" s="421" t="s">
        <v>1331</v>
      </c>
    </row>
    <row r="185" spans="1:61" x14ac:dyDescent="0.25">
      <c r="A185" s="421">
        <v>182</v>
      </c>
      <c r="B185" s="421">
        <v>2015</v>
      </c>
      <c r="C185" s="421">
        <v>3</v>
      </c>
      <c r="D185" s="421">
        <v>27</v>
      </c>
      <c r="E185" s="421" t="s">
        <v>1475</v>
      </c>
      <c r="F185" s="421" t="s">
        <v>3325</v>
      </c>
      <c r="G185" s="421" t="s">
        <v>3318</v>
      </c>
      <c r="H185" s="421" t="s">
        <v>1107</v>
      </c>
      <c r="I185" s="421" t="s">
        <v>3446</v>
      </c>
      <c r="J185" s="421" t="s">
        <v>3459</v>
      </c>
      <c r="K185" s="421" t="s">
        <v>3093</v>
      </c>
      <c r="L185" s="421" t="s">
        <v>3094</v>
      </c>
      <c r="M185" s="421" t="s">
        <v>2667</v>
      </c>
      <c r="N185" s="421" t="s">
        <v>3093</v>
      </c>
      <c r="O185" s="421" t="s">
        <v>3094</v>
      </c>
      <c r="P185" s="421" t="s">
        <v>3095</v>
      </c>
      <c r="Q185" s="421" t="s">
        <v>3096</v>
      </c>
      <c r="R185" s="421" t="s">
        <v>1108</v>
      </c>
      <c r="S185" s="421" t="s">
        <v>1542</v>
      </c>
      <c r="T185" s="421" t="s">
        <v>1130</v>
      </c>
      <c r="U185" s="421" t="s">
        <v>1112</v>
      </c>
      <c r="V185" s="421" t="s">
        <v>3097</v>
      </c>
      <c r="W185" s="421" t="s">
        <v>3098</v>
      </c>
      <c r="X185" s="421" t="s">
        <v>3099</v>
      </c>
      <c r="Y185" s="421" t="s">
        <v>1117</v>
      </c>
      <c r="Z185" s="421" t="s">
        <v>1118</v>
      </c>
      <c r="AA185" s="421" t="s">
        <v>3100</v>
      </c>
      <c r="AB185" s="421" t="s">
        <v>3101</v>
      </c>
      <c r="AC185" s="421" t="s">
        <v>3102</v>
      </c>
      <c r="AD185" s="421" t="s">
        <v>3176</v>
      </c>
      <c r="AE185" s="421" t="s">
        <v>3177</v>
      </c>
      <c r="AF185" s="421" t="s">
        <v>2236</v>
      </c>
      <c r="AG185" s="421" t="s">
        <v>2237</v>
      </c>
      <c r="AH185" s="421" t="s">
        <v>3105</v>
      </c>
      <c r="AI185" s="421">
        <v>236000</v>
      </c>
      <c r="AJ185" s="421">
        <v>428.62</v>
      </c>
      <c r="AK185" s="421">
        <v>467.96</v>
      </c>
      <c r="AL185" s="421">
        <v>1</v>
      </c>
      <c r="AM185" s="421" t="s">
        <v>1547</v>
      </c>
      <c r="AN185" s="421" t="s">
        <v>3178</v>
      </c>
      <c r="AO185" s="421" t="s">
        <v>1121</v>
      </c>
      <c r="AP185" s="421" t="s">
        <v>1121</v>
      </c>
      <c r="AQ185" s="421" t="s">
        <v>1542</v>
      </c>
      <c r="AR185" s="421" t="s">
        <v>3352</v>
      </c>
      <c r="AS185" s="421" t="s">
        <v>3460</v>
      </c>
      <c r="AT185" s="421" t="s">
        <v>3109</v>
      </c>
      <c r="AU185" s="421" t="s">
        <v>1142</v>
      </c>
      <c r="AV185" s="421" t="s">
        <v>3139</v>
      </c>
      <c r="AW185" s="421" t="s">
        <v>3110</v>
      </c>
      <c r="AX185" s="421" t="s">
        <v>3111</v>
      </c>
      <c r="AY185" s="421" t="s">
        <v>3112</v>
      </c>
      <c r="AZ185" s="421" t="s">
        <v>3113</v>
      </c>
      <c r="BA185" s="421" t="s">
        <v>3114</v>
      </c>
      <c r="BB185" s="421" t="s">
        <v>3115</v>
      </c>
      <c r="BC185" s="421">
        <v>6487.2</v>
      </c>
      <c r="BD185" s="421">
        <v>16550793.359999999</v>
      </c>
      <c r="BE185" s="421">
        <v>0</v>
      </c>
      <c r="BF185" s="421">
        <v>600.17999999999995</v>
      </c>
      <c r="BG185" s="421">
        <v>17.72</v>
      </c>
      <c r="BH185" s="421">
        <v>0</v>
      </c>
      <c r="BI185" s="421" t="s">
        <v>1331</v>
      </c>
    </row>
    <row r="186" spans="1:61" x14ac:dyDescent="0.25">
      <c r="A186" s="421">
        <v>183</v>
      </c>
      <c r="B186" s="421">
        <v>2015</v>
      </c>
      <c r="C186" s="421">
        <v>3</v>
      </c>
      <c r="D186" s="421">
        <v>27</v>
      </c>
      <c r="E186" s="421" t="s">
        <v>1475</v>
      </c>
      <c r="F186" s="421" t="s">
        <v>3325</v>
      </c>
      <c r="G186" s="421" t="s">
        <v>3318</v>
      </c>
      <c r="H186" s="421" t="s">
        <v>1107</v>
      </c>
      <c r="I186" s="421" t="s">
        <v>3446</v>
      </c>
      <c r="J186" s="421" t="s">
        <v>3463</v>
      </c>
      <c r="K186" s="421" t="s">
        <v>3093</v>
      </c>
      <c r="L186" s="421" t="s">
        <v>3094</v>
      </c>
      <c r="M186" s="421" t="s">
        <v>2667</v>
      </c>
      <c r="N186" s="421" t="s">
        <v>3093</v>
      </c>
      <c r="O186" s="421" t="s">
        <v>3094</v>
      </c>
      <c r="P186" s="421" t="s">
        <v>3095</v>
      </c>
      <c r="Q186" s="421" t="s">
        <v>3113</v>
      </c>
      <c r="R186" s="421" t="s">
        <v>1108</v>
      </c>
      <c r="S186" s="421" t="s">
        <v>1108</v>
      </c>
      <c r="T186" s="421" t="s">
        <v>1130</v>
      </c>
      <c r="U186" s="421" t="s">
        <v>1112</v>
      </c>
      <c r="V186" s="421" t="s">
        <v>3097</v>
      </c>
      <c r="W186" s="421" t="s">
        <v>3098</v>
      </c>
      <c r="X186" s="421" t="s">
        <v>3099</v>
      </c>
      <c r="Y186" s="421" t="s">
        <v>1117</v>
      </c>
      <c r="Z186" s="421" t="s">
        <v>1118</v>
      </c>
      <c r="AA186" s="421" t="s">
        <v>3100</v>
      </c>
      <c r="AB186" s="421" t="s">
        <v>3101</v>
      </c>
      <c r="AC186" s="421" t="s">
        <v>3102</v>
      </c>
      <c r="AD186" s="421" t="s">
        <v>3238</v>
      </c>
      <c r="AE186" s="421" t="s">
        <v>3239</v>
      </c>
      <c r="AF186" s="421" t="s">
        <v>2236</v>
      </c>
      <c r="AG186" s="421" t="s">
        <v>2237</v>
      </c>
      <c r="AH186" s="421" t="s">
        <v>3105</v>
      </c>
      <c r="AI186" s="421">
        <v>6571000</v>
      </c>
      <c r="AJ186" s="421">
        <v>13133.6</v>
      </c>
      <c r="AK186" s="421">
        <v>14327.42</v>
      </c>
      <c r="AL186" s="421">
        <v>1</v>
      </c>
      <c r="AM186" s="421" t="s">
        <v>960</v>
      </c>
      <c r="AN186" s="421" t="s">
        <v>3240</v>
      </c>
      <c r="AO186" s="421" t="s">
        <v>1121</v>
      </c>
      <c r="AP186" s="421" t="s">
        <v>1121</v>
      </c>
      <c r="AQ186" s="421" t="s">
        <v>1108</v>
      </c>
      <c r="AR186" s="421" t="s">
        <v>3352</v>
      </c>
      <c r="AS186" s="421" t="s">
        <v>3464</v>
      </c>
      <c r="AT186" s="421" t="s">
        <v>3109</v>
      </c>
      <c r="AU186" s="421" t="s">
        <v>1142</v>
      </c>
      <c r="AV186" s="421" t="s">
        <v>3174</v>
      </c>
      <c r="AW186" s="421" t="s">
        <v>3110</v>
      </c>
      <c r="AX186" s="421" t="s">
        <v>3111</v>
      </c>
      <c r="AY186" s="421" t="s">
        <v>3112</v>
      </c>
      <c r="AZ186" s="421" t="s">
        <v>3113</v>
      </c>
      <c r="BA186" s="421" t="s">
        <v>3114</v>
      </c>
      <c r="BB186" s="421" t="s">
        <v>3115</v>
      </c>
      <c r="BC186" s="421">
        <v>165040</v>
      </c>
      <c r="BD186" s="421">
        <v>421066552</v>
      </c>
      <c r="BE186" s="421">
        <v>0</v>
      </c>
      <c r="BF186" s="421">
        <v>954.42</v>
      </c>
      <c r="BG186" s="421">
        <v>414.98</v>
      </c>
      <c r="BH186" s="421">
        <v>0</v>
      </c>
      <c r="BI186" s="421" t="s">
        <v>1167</v>
      </c>
    </row>
    <row r="187" spans="1:61" x14ac:dyDescent="0.25">
      <c r="A187" s="421">
        <v>184</v>
      </c>
      <c r="B187" s="421">
        <v>2015</v>
      </c>
      <c r="C187" s="421">
        <v>3</v>
      </c>
      <c r="D187" s="421">
        <v>27</v>
      </c>
      <c r="E187" s="421" t="s">
        <v>1475</v>
      </c>
      <c r="F187" s="421" t="s">
        <v>3325</v>
      </c>
      <c r="G187" s="421" t="s">
        <v>3318</v>
      </c>
      <c r="H187" s="421" t="s">
        <v>1107</v>
      </c>
      <c r="I187" s="421" t="s">
        <v>3446</v>
      </c>
      <c r="J187" s="421" t="s">
        <v>3463</v>
      </c>
      <c r="K187" s="421" t="s">
        <v>3093</v>
      </c>
      <c r="L187" s="421" t="s">
        <v>3094</v>
      </c>
      <c r="M187" s="421" t="s">
        <v>2667</v>
      </c>
      <c r="N187" s="421" t="s">
        <v>3093</v>
      </c>
      <c r="O187" s="421" t="s">
        <v>3094</v>
      </c>
      <c r="P187" s="421" t="s">
        <v>3095</v>
      </c>
      <c r="Q187" s="421" t="s">
        <v>3113</v>
      </c>
      <c r="R187" s="421" t="s">
        <v>1108</v>
      </c>
      <c r="S187" s="421" t="s">
        <v>1108</v>
      </c>
      <c r="T187" s="421" t="s">
        <v>1130</v>
      </c>
      <c r="U187" s="421" t="s">
        <v>1112</v>
      </c>
      <c r="V187" s="421" t="s">
        <v>3097</v>
      </c>
      <c r="W187" s="421" t="s">
        <v>3098</v>
      </c>
      <c r="X187" s="421" t="s">
        <v>3099</v>
      </c>
      <c r="Y187" s="421" t="s">
        <v>1117</v>
      </c>
      <c r="Z187" s="421" t="s">
        <v>1118</v>
      </c>
      <c r="AA187" s="421" t="s">
        <v>3100</v>
      </c>
      <c r="AB187" s="421" t="s">
        <v>3101</v>
      </c>
      <c r="AC187" s="421" t="s">
        <v>3102</v>
      </c>
      <c r="AD187" s="421" t="s">
        <v>3238</v>
      </c>
      <c r="AE187" s="421" t="s">
        <v>3239</v>
      </c>
      <c r="AF187" s="421" t="s">
        <v>2236</v>
      </c>
      <c r="AG187" s="421" t="s">
        <v>2237</v>
      </c>
      <c r="AH187" s="421" t="s">
        <v>3105</v>
      </c>
      <c r="AI187" s="421">
        <v>285000</v>
      </c>
      <c r="AJ187" s="421">
        <v>586.45000000000005</v>
      </c>
      <c r="AK187" s="421">
        <v>639.76</v>
      </c>
      <c r="AL187" s="421">
        <v>2</v>
      </c>
      <c r="AM187" s="421" t="s">
        <v>960</v>
      </c>
      <c r="AN187" s="421" t="s">
        <v>3240</v>
      </c>
      <c r="AO187" s="421" t="s">
        <v>1121</v>
      </c>
      <c r="AP187" s="421" t="s">
        <v>1121</v>
      </c>
      <c r="AQ187" s="421" t="s">
        <v>1108</v>
      </c>
      <c r="AR187" s="421" t="s">
        <v>3352</v>
      </c>
      <c r="AS187" s="421" t="s">
        <v>3464</v>
      </c>
      <c r="AT187" s="421" t="s">
        <v>3109</v>
      </c>
      <c r="AU187" s="421" t="s">
        <v>1142</v>
      </c>
      <c r="AV187" s="421" t="s">
        <v>3174</v>
      </c>
      <c r="AW187" s="421" t="s">
        <v>3110</v>
      </c>
      <c r="AX187" s="421" t="s">
        <v>3111</v>
      </c>
      <c r="AY187" s="421" t="s">
        <v>3112</v>
      </c>
      <c r="AZ187" s="421" t="s">
        <v>3113</v>
      </c>
      <c r="BA187" s="421" t="s">
        <v>3114</v>
      </c>
      <c r="BB187" s="421" t="s">
        <v>3115</v>
      </c>
      <c r="BC187" s="421">
        <v>7881.5</v>
      </c>
      <c r="BD187" s="421">
        <v>20108070.949999999</v>
      </c>
      <c r="BE187" s="421">
        <v>0</v>
      </c>
      <c r="BF187" s="421">
        <v>45.58</v>
      </c>
      <c r="BG187" s="421">
        <v>19.82</v>
      </c>
      <c r="BH187" s="421">
        <v>0</v>
      </c>
      <c r="BI187" s="421" t="s">
        <v>1167</v>
      </c>
    </row>
    <row r="188" spans="1:61" x14ac:dyDescent="0.25">
      <c r="A188" s="421">
        <v>185</v>
      </c>
      <c r="B188" s="421">
        <v>2015</v>
      </c>
      <c r="C188" s="421">
        <v>3</v>
      </c>
      <c r="D188" s="421">
        <v>27</v>
      </c>
      <c r="E188" s="421" t="s">
        <v>1475</v>
      </c>
      <c r="F188" s="421" t="s">
        <v>3325</v>
      </c>
      <c r="G188" s="421" t="s">
        <v>3318</v>
      </c>
      <c r="H188" s="421" t="s">
        <v>1107</v>
      </c>
      <c r="I188" s="421" t="s">
        <v>3446</v>
      </c>
      <c r="J188" s="421" t="s">
        <v>3465</v>
      </c>
      <c r="K188" s="421" t="s">
        <v>3093</v>
      </c>
      <c r="L188" s="421" t="s">
        <v>3094</v>
      </c>
      <c r="M188" s="421" t="s">
        <v>2667</v>
      </c>
      <c r="N188" s="421" t="s">
        <v>3093</v>
      </c>
      <c r="O188" s="421" t="s">
        <v>3094</v>
      </c>
      <c r="P188" s="421" t="s">
        <v>3095</v>
      </c>
      <c r="Q188" s="421" t="s">
        <v>3113</v>
      </c>
      <c r="R188" s="421" t="s">
        <v>1108</v>
      </c>
      <c r="S188" s="421" t="s">
        <v>1108</v>
      </c>
      <c r="T188" s="421" t="s">
        <v>1130</v>
      </c>
      <c r="U188" s="421" t="s">
        <v>1112</v>
      </c>
      <c r="V188" s="421" t="s">
        <v>3097</v>
      </c>
      <c r="W188" s="421" t="s">
        <v>3098</v>
      </c>
      <c r="X188" s="421" t="s">
        <v>3099</v>
      </c>
      <c r="Y188" s="421" t="s">
        <v>1117</v>
      </c>
      <c r="Z188" s="421" t="s">
        <v>1118</v>
      </c>
      <c r="AA188" s="421" t="s">
        <v>3100</v>
      </c>
      <c r="AB188" s="421" t="s">
        <v>3101</v>
      </c>
      <c r="AC188" s="421" t="s">
        <v>3102</v>
      </c>
      <c r="AD188" s="421" t="s">
        <v>3238</v>
      </c>
      <c r="AE188" s="421" t="s">
        <v>3239</v>
      </c>
      <c r="AF188" s="421" t="s">
        <v>1300</v>
      </c>
      <c r="AG188" s="421" t="s">
        <v>1301</v>
      </c>
      <c r="AH188" s="421" t="s">
        <v>1127</v>
      </c>
      <c r="AI188" s="421">
        <v>18.21</v>
      </c>
      <c r="AJ188" s="421">
        <v>18.21</v>
      </c>
      <c r="AK188" s="421">
        <v>21</v>
      </c>
      <c r="AL188" s="421">
        <v>1</v>
      </c>
      <c r="AM188" s="421" t="s">
        <v>960</v>
      </c>
      <c r="AN188" s="421" t="s">
        <v>3240</v>
      </c>
      <c r="AO188" s="421" t="s">
        <v>1121</v>
      </c>
      <c r="AP188" s="421" t="s">
        <v>1121</v>
      </c>
      <c r="AQ188" s="421" t="s">
        <v>1108</v>
      </c>
      <c r="AR188" s="421" t="s">
        <v>3352</v>
      </c>
      <c r="AS188" s="421" t="s">
        <v>3466</v>
      </c>
      <c r="AT188" s="421" t="s">
        <v>3109</v>
      </c>
      <c r="AU188" s="421" t="s">
        <v>1142</v>
      </c>
      <c r="AV188" s="421" t="s">
        <v>3174</v>
      </c>
      <c r="AW188" s="421" t="s">
        <v>3110</v>
      </c>
      <c r="AX188" s="421" t="s">
        <v>3229</v>
      </c>
      <c r="AY188" s="421" t="s">
        <v>3112</v>
      </c>
      <c r="AZ188" s="421" t="s">
        <v>3113</v>
      </c>
      <c r="BA188" s="421" t="s">
        <v>3114</v>
      </c>
      <c r="BB188" s="421" t="s">
        <v>3230</v>
      </c>
      <c r="BC188" s="421">
        <v>3.75</v>
      </c>
      <c r="BD188" s="421">
        <v>9567.3799999999992</v>
      </c>
      <c r="BE188" s="421">
        <v>0</v>
      </c>
      <c r="BF188" s="421">
        <v>0</v>
      </c>
      <c r="BG188" s="421">
        <v>0</v>
      </c>
      <c r="BH188" s="421">
        <v>0</v>
      </c>
      <c r="BI188" s="421" t="s">
        <v>1167</v>
      </c>
    </row>
    <row r="189" spans="1:61" x14ac:dyDescent="0.25">
      <c r="A189" s="421">
        <v>186</v>
      </c>
      <c r="B189" s="421">
        <v>2015</v>
      </c>
      <c r="C189" s="421">
        <v>3</v>
      </c>
      <c r="D189" s="421">
        <v>27</v>
      </c>
      <c r="E189" s="421" t="s">
        <v>1475</v>
      </c>
      <c r="F189" s="421" t="s">
        <v>3325</v>
      </c>
      <c r="G189" s="421" t="s">
        <v>3318</v>
      </c>
      <c r="H189" s="421" t="s">
        <v>1107</v>
      </c>
      <c r="I189" s="421" t="s">
        <v>3446</v>
      </c>
      <c r="J189" s="421" t="s">
        <v>3467</v>
      </c>
      <c r="K189" s="421" t="s">
        <v>3093</v>
      </c>
      <c r="L189" s="421" t="s">
        <v>3094</v>
      </c>
      <c r="M189" s="421" t="s">
        <v>2667</v>
      </c>
      <c r="N189" s="421" t="s">
        <v>3093</v>
      </c>
      <c r="O189" s="421" t="s">
        <v>3094</v>
      </c>
      <c r="P189" s="421" t="s">
        <v>3095</v>
      </c>
      <c r="Q189" s="421" t="s">
        <v>3113</v>
      </c>
      <c r="R189" s="421" t="s">
        <v>1108</v>
      </c>
      <c r="S189" s="421" t="s">
        <v>1108</v>
      </c>
      <c r="T189" s="421" t="s">
        <v>1130</v>
      </c>
      <c r="U189" s="421" t="s">
        <v>1112</v>
      </c>
      <c r="V189" s="421" t="s">
        <v>3097</v>
      </c>
      <c r="W189" s="421" t="s">
        <v>3098</v>
      </c>
      <c r="X189" s="421" t="s">
        <v>3099</v>
      </c>
      <c r="Y189" s="421" t="s">
        <v>1117</v>
      </c>
      <c r="Z189" s="421" t="s">
        <v>1118</v>
      </c>
      <c r="AA189" s="421" t="s">
        <v>3100</v>
      </c>
      <c r="AB189" s="421" t="s">
        <v>3101</v>
      </c>
      <c r="AC189" s="421" t="s">
        <v>3102</v>
      </c>
      <c r="AD189" s="421" t="s">
        <v>3134</v>
      </c>
      <c r="AE189" s="421" t="s">
        <v>3135</v>
      </c>
      <c r="AF189" s="421" t="s">
        <v>2236</v>
      </c>
      <c r="AG189" s="421" t="s">
        <v>2237</v>
      </c>
      <c r="AH189" s="421" t="s">
        <v>3105</v>
      </c>
      <c r="AI189" s="421">
        <v>772820</v>
      </c>
      <c r="AJ189" s="421">
        <v>1674.46</v>
      </c>
      <c r="AK189" s="421">
        <v>1815.95</v>
      </c>
      <c r="AL189" s="421">
        <v>1</v>
      </c>
      <c r="AM189" s="421" t="s">
        <v>3136</v>
      </c>
      <c r="AN189" s="421" t="s">
        <v>3137</v>
      </c>
      <c r="AO189" s="421" t="s">
        <v>1121</v>
      </c>
      <c r="AP189" s="421" t="s">
        <v>1121</v>
      </c>
      <c r="AQ189" s="421" t="s">
        <v>1108</v>
      </c>
      <c r="AR189" s="421" t="s">
        <v>3352</v>
      </c>
      <c r="AS189" s="421" t="s">
        <v>3468</v>
      </c>
      <c r="AT189" s="421" t="s">
        <v>3109</v>
      </c>
      <c r="AU189" s="421" t="s">
        <v>1142</v>
      </c>
      <c r="AV189" s="421" t="s">
        <v>3174</v>
      </c>
      <c r="AW189" s="421" t="s">
        <v>3110</v>
      </c>
      <c r="AX189" s="421" t="s">
        <v>3111</v>
      </c>
      <c r="AY189" s="421" t="s">
        <v>3193</v>
      </c>
      <c r="AZ189" s="421" t="s">
        <v>3113</v>
      </c>
      <c r="BA189" s="421" t="s">
        <v>3114</v>
      </c>
      <c r="BB189" s="421" t="s">
        <v>3115</v>
      </c>
      <c r="BC189" s="421">
        <v>25445</v>
      </c>
      <c r="BD189" s="421">
        <v>64917828.5</v>
      </c>
      <c r="BE189" s="421">
        <v>0</v>
      </c>
      <c r="BF189" s="421">
        <v>0</v>
      </c>
      <c r="BG189" s="421">
        <v>0</v>
      </c>
      <c r="BH189" s="421">
        <v>0</v>
      </c>
      <c r="BI189" s="421" t="s">
        <v>1149</v>
      </c>
    </row>
    <row r="190" spans="1:61" x14ac:dyDescent="0.25">
      <c r="A190" s="421">
        <v>187</v>
      </c>
      <c r="B190" s="421">
        <v>2015</v>
      </c>
      <c r="C190" s="421">
        <v>3</v>
      </c>
      <c r="D190" s="421">
        <v>27</v>
      </c>
      <c r="E190" s="421" t="s">
        <v>1475</v>
      </c>
      <c r="F190" s="421" t="s">
        <v>3325</v>
      </c>
      <c r="G190" s="421" t="s">
        <v>3318</v>
      </c>
      <c r="H190" s="421" t="s">
        <v>1107</v>
      </c>
      <c r="I190" s="421" t="s">
        <v>3446</v>
      </c>
      <c r="J190" s="421" t="s">
        <v>3467</v>
      </c>
      <c r="K190" s="421" t="s">
        <v>3093</v>
      </c>
      <c r="L190" s="421" t="s">
        <v>3094</v>
      </c>
      <c r="M190" s="421" t="s">
        <v>2667</v>
      </c>
      <c r="N190" s="421" t="s">
        <v>3093</v>
      </c>
      <c r="O190" s="421" t="s">
        <v>3094</v>
      </c>
      <c r="P190" s="421" t="s">
        <v>3095</v>
      </c>
      <c r="Q190" s="421" t="s">
        <v>3113</v>
      </c>
      <c r="R190" s="421" t="s">
        <v>1108</v>
      </c>
      <c r="S190" s="421" t="s">
        <v>1108</v>
      </c>
      <c r="T190" s="421" t="s">
        <v>1130</v>
      </c>
      <c r="U190" s="421" t="s">
        <v>1112</v>
      </c>
      <c r="V190" s="421" t="s">
        <v>3097</v>
      </c>
      <c r="W190" s="421" t="s">
        <v>3098</v>
      </c>
      <c r="X190" s="421" t="s">
        <v>3099</v>
      </c>
      <c r="Y190" s="421" t="s">
        <v>1117</v>
      </c>
      <c r="Z190" s="421" t="s">
        <v>1118</v>
      </c>
      <c r="AA190" s="421" t="s">
        <v>3100</v>
      </c>
      <c r="AB190" s="421" t="s">
        <v>3101</v>
      </c>
      <c r="AC190" s="421" t="s">
        <v>3102</v>
      </c>
      <c r="AD190" s="421" t="s">
        <v>3134</v>
      </c>
      <c r="AE190" s="421" t="s">
        <v>3135</v>
      </c>
      <c r="AF190" s="421" t="s">
        <v>2236</v>
      </c>
      <c r="AG190" s="421" t="s">
        <v>2237</v>
      </c>
      <c r="AH190" s="421" t="s">
        <v>3105</v>
      </c>
      <c r="AI190" s="421">
        <v>120900</v>
      </c>
      <c r="AJ190" s="421">
        <v>247.27</v>
      </c>
      <c r="AK190" s="421">
        <v>268.16000000000003</v>
      </c>
      <c r="AL190" s="421">
        <v>2</v>
      </c>
      <c r="AM190" s="421" t="s">
        <v>3136</v>
      </c>
      <c r="AN190" s="421" t="s">
        <v>3137</v>
      </c>
      <c r="AO190" s="421" t="s">
        <v>1121</v>
      </c>
      <c r="AP190" s="421" t="s">
        <v>1121</v>
      </c>
      <c r="AQ190" s="421" t="s">
        <v>1108</v>
      </c>
      <c r="AR190" s="421" t="s">
        <v>3352</v>
      </c>
      <c r="AS190" s="421" t="s">
        <v>3468</v>
      </c>
      <c r="AT190" s="421" t="s">
        <v>3109</v>
      </c>
      <c r="AU190" s="421" t="s">
        <v>1142</v>
      </c>
      <c r="AV190" s="421" t="s">
        <v>3174</v>
      </c>
      <c r="AW190" s="421" t="s">
        <v>3110</v>
      </c>
      <c r="AX190" s="421" t="s">
        <v>3111</v>
      </c>
      <c r="AY190" s="421" t="s">
        <v>3193</v>
      </c>
      <c r="AZ190" s="421" t="s">
        <v>3113</v>
      </c>
      <c r="BA190" s="421" t="s">
        <v>3114</v>
      </c>
      <c r="BB190" s="421" t="s">
        <v>3115</v>
      </c>
      <c r="BC190" s="421">
        <v>4813.3</v>
      </c>
      <c r="BD190" s="421">
        <v>12280172.289999999</v>
      </c>
      <c r="BE190" s="421">
        <v>0</v>
      </c>
      <c r="BF190" s="421">
        <v>0</v>
      </c>
      <c r="BG190" s="421">
        <v>0</v>
      </c>
      <c r="BH190" s="421">
        <v>0</v>
      </c>
      <c r="BI190" s="421" t="s">
        <v>1149</v>
      </c>
    </row>
    <row r="191" spans="1:61" x14ac:dyDescent="0.25">
      <c r="A191" s="421">
        <v>188</v>
      </c>
      <c r="B191" s="421">
        <v>2015</v>
      </c>
      <c r="C191" s="421">
        <v>3</v>
      </c>
      <c r="D191" s="421">
        <v>27</v>
      </c>
      <c r="E191" s="421" t="s">
        <v>1475</v>
      </c>
      <c r="F191" s="421" t="s">
        <v>3325</v>
      </c>
      <c r="G191" s="421" t="s">
        <v>3318</v>
      </c>
      <c r="H191" s="421" t="s">
        <v>1107</v>
      </c>
      <c r="I191" s="421" t="s">
        <v>3446</v>
      </c>
      <c r="J191" s="421" t="s">
        <v>3467</v>
      </c>
      <c r="K191" s="421" t="s">
        <v>3093</v>
      </c>
      <c r="L191" s="421" t="s">
        <v>3094</v>
      </c>
      <c r="M191" s="421" t="s">
        <v>2667</v>
      </c>
      <c r="N191" s="421" t="s">
        <v>3093</v>
      </c>
      <c r="O191" s="421" t="s">
        <v>3094</v>
      </c>
      <c r="P191" s="421" t="s">
        <v>3095</v>
      </c>
      <c r="Q191" s="421" t="s">
        <v>3113</v>
      </c>
      <c r="R191" s="421" t="s">
        <v>1108</v>
      </c>
      <c r="S191" s="421" t="s">
        <v>1108</v>
      </c>
      <c r="T191" s="421" t="s">
        <v>1130</v>
      </c>
      <c r="U191" s="421" t="s">
        <v>1112</v>
      </c>
      <c r="V191" s="421" t="s">
        <v>3097</v>
      </c>
      <c r="W191" s="421" t="s">
        <v>3098</v>
      </c>
      <c r="X191" s="421" t="s">
        <v>3099</v>
      </c>
      <c r="Y191" s="421" t="s">
        <v>1117</v>
      </c>
      <c r="Z191" s="421" t="s">
        <v>1118</v>
      </c>
      <c r="AA191" s="421" t="s">
        <v>3100</v>
      </c>
      <c r="AB191" s="421" t="s">
        <v>3101</v>
      </c>
      <c r="AC191" s="421" t="s">
        <v>3102</v>
      </c>
      <c r="AD191" s="421" t="s">
        <v>3134</v>
      </c>
      <c r="AE191" s="421" t="s">
        <v>3135</v>
      </c>
      <c r="AF191" s="421" t="s">
        <v>2236</v>
      </c>
      <c r="AG191" s="421" t="s">
        <v>2237</v>
      </c>
      <c r="AH191" s="421" t="s">
        <v>3105</v>
      </c>
      <c r="AI191" s="421">
        <v>173475</v>
      </c>
      <c r="AJ191" s="421">
        <v>694.64</v>
      </c>
      <c r="AK191" s="421">
        <v>753.34</v>
      </c>
      <c r="AL191" s="421">
        <v>3</v>
      </c>
      <c r="AM191" s="421" t="s">
        <v>3136</v>
      </c>
      <c r="AN191" s="421" t="s">
        <v>3137</v>
      </c>
      <c r="AO191" s="421" t="s">
        <v>1121</v>
      </c>
      <c r="AP191" s="421" t="s">
        <v>1121</v>
      </c>
      <c r="AQ191" s="421" t="s">
        <v>1108</v>
      </c>
      <c r="AR191" s="421" t="s">
        <v>3352</v>
      </c>
      <c r="AS191" s="421" t="s">
        <v>3468</v>
      </c>
      <c r="AT191" s="421" t="s">
        <v>3109</v>
      </c>
      <c r="AU191" s="421" t="s">
        <v>1142</v>
      </c>
      <c r="AV191" s="421" t="s">
        <v>3174</v>
      </c>
      <c r="AW191" s="421" t="s">
        <v>3110</v>
      </c>
      <c r="AX191" s="421" t="s">
        <v>3111</v>
      </c>
      <c r="AY191" s="421" t="s">
        <v>3193</v>
      </c>
      <c r="AZ191" s="421" t="s">
        <v>3113</v>
      </c>
      <c r="BA191" s="421" t="s">
        <v>3114</v>
      </c>
      <c r="BB191" s="421" t="s">
        <v>3115</v>
      </c>
      <c r="BC191" s="421">
        <v>18327.45</v>
      </c>
      <c r="BD191" s="421">
        <v>46758823.189999998</v>
      </c>
      <c r="BE191" s="421">
        <v>0</v>
      </c>
      <c r="BF191" s="421">
        <v>0</v>
      </c>
      <c r="BG191" s="421">
        <v>0</v>
      </c>
      <c r="BH191" s="421">
        <v>0</v>
      </c>
      <c r="BI191" s="421" t="s">
        <v>1149</v>
      </c>
    </row>
    <row r="192" spans="1:61" x14ac:dyDescent="0.25">
      <c r="A192" s="421">
        <v>189</v>
      </c>
      <c r="B192" s="421">
        <v>2015</v>
      </c>
      <c r="C192" s="421">
        <v>3</v>
      </c>
      <c r="D192" s="421">
        <v>27</v>
      </c>
      <c r="E192" s="421" t="s">
        <v>1475</v>
      </c>
      <c r="F192" s="421" t="s">
        <v>3325</v>
      </c>
      <c r="G192" s="421" t="s">
        <v>3318</v>
      </c>
      <c r="H192" s="421" t="s">
        <v>1107</v>
      </c>
      <c r="I192" s="421" t="s">
        <v>3446</v>
      </c>
      <c r="J192" s="421" t="s">
        <v>3467</v>
      </c>
      <c r="K192" s="421" t="s">
        <v>3093</v>
      </c>
      <c r="L192" s="421" t="s">
        <v>3094</v>
      </c>
      <c r="M192" s="421" t="s">
        <v>2667</v>
      </c>
      <c r="N192" s="421" t="s">
        <v>3093</v>
      </c>
      <c r="O192" s="421" t="s">
        <v>3094</v>
      </c>
      <c r="P192" s="421" t="s">
        <v>3095</v>
      </c>
      <c r="Q192" s="421" t="s">
        <v>3113</v>
      </c>
      <c r="R192" s="421" t="s">
        <v>1108</v>
      </c>
      <c r="S192" s="421" t="s">
        <v>1108</v>
      </c>
      <c r="T192" s="421" t="s">
        <v>1130</v>
      </c>
      <c r="U192" s="421" t="s">
        <v>1112</v>
      </c>
      <c r="V192" s="421" t="s">
        <v>3097</v>
      </c>
      <c r="W192" s="421" t="s">
        <v>3098</v>
      </c>
      <c r="X192" s="421" t="s">
        <v>3099</v>
      </c>
      <c r="Y192" s="421" t="s">
        <v>1117</v>
      </c>
      <c r="Z192" s="421" t="s">
        <v>1118</v>
      </c>
      <c r="AA192" s="421" t="s">
        <v>3100</v>
      </c>
      <c r="AB192" s="421" t="s">
        <v>3101</v>
      </c>
      <c r="AC192" s="421" t="s">
        <v>3102</v>
      </c>
      <c r="AD192" s="421" t="s">
        <v>3134</v>
      </c>
      <c r="AE192" s="421" t="s">
        <v>3135</v>
      </c>
      <c r="AF192" s="421" t="s">
        <v>2236</v>
      </c>
      <c r="AG192" s="421" t="s">
        <v>2237</v>
      </c>
      <c r="AH192" s="421" t="s">
        <v>3105</v>
      </c>
      <c r="AI192" s="421">
        <v>7200</v>
      </c>
      <c r="AJ192" s="421">
        <v>36.049999999999997</v>
      </c>
      <c r="AK192" s="421">
        <v>39.1</v>
      </c>
      <c r="AL192" s="421">
        <v>4</v>
      </c>
      <c r="AM192" s="421" t="s">
        <v>3136</v>
      </c>
      <c r="AN192" s="421" t="s">
        <v>3137</v>
      </c>
      <c r="AO192" s="421" t="s">
        <v>1121</v>
      </c>
      <c r="AP192" s="421" t="s">
        <v>1121</v>
      </c>
      <c r="AQ192" s="421" t="s">
        <v>1108</v>
      </c>
      <c r="AR192" s="421" t="s">
        <v>3352</v>
      </c>
      <c r="AS192" s="421" t="s">
        <v>3468</v>
      </c>
      <c r="AT192" s="421" t="s">
        <v>3109</v>
      </c>
      <c r="AU192" s="421" t="s">
        <v>1142</v>
      </c>
      <c r="AV192" s="421" t="s">
        <v>3174</v>
      </c>
      <c r="AW192" s="421" t="s">
        <v>3110</v>
      </c>
      <c r="AX192" s="421" t="s">
        <v>3111</v>
      </c>
      <c r="AY192" s="421" t="s">
        <v>3193</v>
      </c>
      <c r="AZ192" s="421" t="s">
        <v>3113</v>
      </c>
      <c r="BA192" s="421" t="s">
        <v>3114</v>
      </c>
      <c r="BB192" s="421" t="s">
        <v>3115</v>
      </c>
      <c r="BC192" s="421">
        <v>787.8</v>
      </c>
      <c r="BD192" s="421">
        <v>2009914.14</v>
      </c>
      <c r="BE192" s="421">
        <v>0</v>
      </c>
      <c r="BF192" s="421">
        <v>0</v>
      </c>
      <c r="BG192" s="421">
        <v>0</v>
      </c>
      <c r="BH192" s="421">
        <v>0</v>
      </c>
      <c r="BI192" s="421" t="s">
        <v>1149</v>
      </c>
    </row>
    <row r="193" spans="1:61" x14ac:dyDescent="0.25">
      <c r="A193" s="421">
        <v>190</v>
      </c>
      <c r="B193" s="421">
        <v>2015</v>
      </c>
      <c r="C193" s="421">
        <v>3</v>
      </c>
      <c r="D193" s="421">
        <v>27</v>
      </c>
      <c r="E193" s="421" t="s">
        <v>1475</v>
      </c>
      <c r="F193" s="421" t="s">
        <v>3325</v>
      </c>
      <c r="G193" s="421" t="s">
        <v>3318</v>
      </c>
      <c r="H193" s="421" t="s">
        <v>1107</v>
      </c>
      <c r="I193" s="421" t="s">
        <v>3446</v>
      </c>
      <c r="J193" s="421" t="s">
        <v>3469</v>
      </c>
      <c r="K193" s="421" t="s">
        <v>3093</v>
      </c>
      <c r="L193" s="421" t="s">
        <v>3094</v>
      </c>
      <c r="M193" s="421" t="s">
        <v>2667</v>
      </c>
      <c r="N193" s="421" t="s">
        <v>3093</v>
      </c>
      <c r="O193" s="421" t="s">
        <v>3094</v>
      </c>
      <c r="P193" s="421" t="s">
        <v>3095</v>
      </c>
      <c r="Q193" s="421" t="s">
        <v>3113</v>
      </c>
      <c r="R193" s="421" t="s">
        <v>1108</v>
      </c>
      <c r="S193" s="421" t="s">
        <v>1108</v>
      </c>
      <c r="T193" s="421" t="s">
        <v>1130</v>
      </c>
      <c r="U193" s="421" t="s">
        <v>1112</v>
      </c>
      <c r="V193" s="421" t="s">
        <v>3097</v>
      </c>
      <c r="W193" s="421" t="s">
        <v>3098</v>
      </c>
      <c r="X193" s="421" t="s">
        <v>3099</v>
      </c>
      <c r="Y193" s="421" t="s">
        <v>1117</v>
      </c>
      <c r="Z193" s="421" t="s">
        <v>1118</v>
      </c>
      <c r="AA193" s="421" t="s">
        <v>3100</v>
      </c>
      <c r="AB193" s="421" t="s">
        <v>3101</v>
      </c>
      <c r="AC193" s="421" t="s">
        <v>3102</v>
      </c>
      <c r="AD193" s="421" t="s">
        <v>3134</v>
      </c>
      <c r="AE193" s="421" t="s">
        <v>3135</v>
      </c>
      <c r="AF193" s="421" t="s">
        <v>1387</v>
      </c>
      <c r="AG193" s="421" t="s">
        <v>1388</v>
      </c>
      <c r="AH193" s="421" t="s">
        <v>3105</v>
      </c>
      <c r="AI193" s="421">
        <v>3</v>
      </c>
      <c r="AJ193" s="421">
        <v>5.99</v>
      </c>
      <c r="AK193" s="421">
        <v>7.08</v>
      </c>
      <c r="AL193" s="421">
        <v>1</v>
      </c>
      <c r="AM193" s="421" t="s">
        <v>3136</v>
      </c>
      <c r="AN193" s="421" t="s">
        <v>3137</v>
      </c>
      <c r="AO193" s="421" t="s">
        <v>1121</v>
      </c>
      <c r="AP193" s="421" t="s">
        <v>1121</v>
      </c>
      <c r="AQ193" s="421" t="s">
        <v>1108</v>
      </c>
      <c r="AR193" s="421" t="s">
        <v>3352</v>
      </c>
      <c r="AS193" s="421" t="s">
        <v>3470</v>
      </c>
      <c r="AT193" s="421" t="s">
        <v>3109</v>
      </c>
      <c r="AU193" s="421" t="s">
        <v>1142</v>
      </c>
      <c r="AV193" s="421" t="s">
        <v>3174</v>
      </c>
      <c r="AW193" s="421" t="s">
        <v>3110</v>
      </c>
      <c r="AX193" s="421" t="s">
        <v>3111</v>
      </c>
      <c r="AY193" s="421" t="s">
        <v>3193</v>
      </c>
      <c r="AZ193" s="421" t="s">
        <v>3113</v>
      </c>
      <c r="BA193" s="421" t="s">
        <v>3114</v>
      </c>
      <c r="BB193" s="421" t="s">
        <v>3115</v>
      </c>
      <c r="BC193" s="421">
        <v>385.2</v>
      </c>
      <c r="BD193" s="421">
        <v>982760.76</v>
      </c>
      <c r="BE193" s="421">
        <v>0</v>
      </c>
      <c r="BF193" s="421">
        <v>0</v>
      </c>
      <c r="BG193" s="421">
        <v>0</v>
      </c>
      <c r="BH193" s="421">
        <v>0</v>
      </c>
      <c r="BI193" s="421" t="s">
        <v>1149</v>
      </c>
    </row>
    <row r="194" spans="1:61" x14ac:dyDescent="0.25">
      <c r="A194" s="421">
        <v>191</v>
      </c>
      <c r="B194" s="421">
        <v>2015</v>
      </c>
      <c r="C194" s="421">
        <v>3</v>
      </c>
      <c r="D194" s="421">
        <v>27</v>
      </c>
      <c r="E194" s="421" t="s">
        <v>1475</v>
      </c>
      <c r="F194" s="421" t="s">
        <v>3325</v>
      </c>
      <c r="G194" s="421" t="s">
        <v>3318</v>
      </c>
      <c r="H194" s="421" t="s">
        <v>1107</v>
      </c>
      <c r="I194" s="421" t="s">
        <v>3446</v>
      </c>
      <c r="J194" s="421" t="s">
        <v>3469</v>
      </c>
      <c r="K194" s="421" t="s">
        <v>3093</v>
      </c>
      <c r="L194" s="421" t="s">
        <v>3094</v>
      </c>
      <c r="M194" s="421" t="s">
        <v>2667</v>
      </c>
      <c r="N194" s="421" t="s">
        <v>3093</v>
      </c>
      <c r="O194" s="421" t="s">
        <v>3094</v>
      </c>
      <c r="P194" s="421" t="s">
        <v>3095</v>
      </c>
      <c r="Q194" s="421" t="s">
        <v>3113</v>
      </c>
      <c r="R194" s="421" t="s">
        <v>1108</v>
      </c>
      <c r="S194" s="421" t="s">
        <v>1108</v>
      </c>
      <c r="T194" s="421" t="s">
        <v>1130</v>
      </c>
      <c r="U194" s="421" t="s">
        <v>1112</v>
      </c>
      <c r="V194" s="421" t="s">
        <v>3097</v>
      </c>
      <c r="W194" s="421" t="s">
        <v>3098</v>
      </c>
      <c r="X194" s="421" t="s">
        <v>3099</v>
      </c>
      <c r="Y194" s="421" t="s">
        <v>1117</v>
      </c>
      <c r="Z194" s="421" t="s">
        <v>1118</v>
      </c>
      <c r="AA194" s="421" t="s">
        <v>3100</v>
      </c>
      <c r="AB194" s="421" t="s">
        <v>3101</v>
      </c>
      <c r="AC194" s="421" t="s">
        <v>3102</v>
      </c>
      <c r="AD194" s="421" t="s">
        <v>3134</v>
      </c>
      <c r="AE194" s="421" t="s">
        <v>3135</v>
      </c>
      <c r="AF194" s="421" t="s">
        <v>1392</v>
      </c>
      <c r="AG194" s="421" t="s">
        <v>1393</v>
      </c>
      <c r="AH194" s="421" t="s">
        <v>3105</v>
      </c>
      <c r="AI194" s="421">
        <v>8</v>
      </c>
      <c r="AJ194" s="421">
        <v>21.08</v>
      </c>
      <c r="AK194" s="421">
        <v>24.92</v>
      </c>
      <c r="AL194" s="421">
        <v>2</v>
      </c>
      <c r="AM194" s="421" t="s">
        <v>3136</v>
      </c>
      <c r="AN194" s="421" t="s">
        <v>3137</v>
      </c>
      <c r="AO194" s="421" t="s">
        <v>1121</v>
      </c>
      <c r="AP194" s="421" t="s">
        <v>1121</v>
      </c>
      <c r="AQ194" s="421" t="s">
        <v>1108</v>
      </c>
      <c r="AR194" s="421" t="s">
        <v>3352</v>
      </c>
      <c r="AS194" s="421" t="s">
        <v>3470</v>
      </c>
      <c r="AT194" s="421" t="s">
        <v>3109</v>
      </c>
      <c r="AU194" s="421" t="s">
        <v>1142</v>
      </c>
      <c r="AV194" s="421" t="s">
        <v>3174</v>
      </c>
      <c r="AW194" s="421" t="s">
        <v>3110</v>
      </c>
      <c r="AX194" s="421" t="s">
        <v>3111</v>
      </c>
      <c r="AY194" s="421" t="s">
        <v>3193</v>
      </c>
      <c r="AZ194" s="421" t="s">
        <v>3113</v>
      </c>
      <c r="BA194" s="421" t="s">
        <v>3114</v>
      </c>
      <c r="BB194" s="421" t="s">
        <v>3115</v>
      </c>
      <c r="BC194" s="421">
        <v>399.44</v>
      </c>
      <c r="BD194" s="421">
        <v>1019091.27</v>
      </c>
      <c r="BE194" s="421">
        <v>0</v>
      </c>
      <c r="BF194" s="421">
        <v>0</v>
      </c>
      <c r="BG194" s="421">
        <v>0</v>
      </c>
      <c r="BH194" s="421">
        <v>0</v>
      </c>
      <c r="BI194" s="421" t="s">
        <v>1149</v>
      </c>
    </row>
    <row r="195" spans="1:61" x14ac:dyDescent="0.25">
      <c r="A195" s="421">
        <v>192</v>
      </c>
      <c r="B195" s="421">
        <v>2015</v>
      </c>
      <c r="C195" s="421">
        <v>3</v>
      </c>
      <c r="D195" s="421">
        <v>27</v>
      </c>
      <c r="E195" s="421" t="s">
        <v>1475</v>
      </c>
      <c r="F195" s="421" t="s">
        <v>3325</v>
      </c>
      <c r="G195" s="421" t="s">
        <v>3318</v>
      </c>
      <c r="H195" s="421" t="s">
        <v>1107</v>
      </c>
      <c r="I195" s="421" t="s">
        <v>3446</v>
      </c>
      <c r="J195" s="421" t="s">
        <v>3469</v>
      </c>
      <c r="K195" s="421" t="s">
        <v>3093</v>
      </c>
      <c r="L195" s="421" t="s">
        <v>3094</v>
      </c>
      <c r="M195" s="421" t="s">
        <v>2667</v>
      </c>
      <c r="N195" s="421" t="s">
        <v>3093</v>
      </c>
      <c r="O195" s="421" t="s">
        <v>3094</v>
      </c>
      <c r="P195" s="421" t="s">
        <v>3095</v>
      </c>
      <c r="Q195" s="421" t="s">
        <v>3113</v>
      </c>
      <c r="R195" s="421" t="s">
        <v>1108</v>
      </c>
      <c r="S195" s="421" t="s">
        <v>1108</v>
      </c>
      <c r="T195" s="421" t="s">
        <v>1130</v>
      </c>
      <c r="U195" s="421" t="s">
        <v>1112</v>
      </c>
      <c r="V195" s="421" t="s">
        <v>3097</v>
      </c>
      <c r="W195" s="421" t="s">
        <v>3098</v>
      </c>
      <c r="X195" s="421" t="s">
        <v>3099</v>
      </c>
      <c r="Y195" s="421" t="s">
        <v>1117</v>
      </c>
      <c r="Z195" s="421" t="s">
        <v>1118</v>
      </c>
      <c r="AA195" s="421" t="s">
        <v>3100</v>
      </c>
      <c r="AB195" s="421" t="s">
        <v>3101</v>
      </c>
      <c r="AC195" s="421" t="s">
        <v>3102</v>
      </c>
      <c r="AD195" s="421" t="s">
        <v>3134</v>
      </c>
      <c r="AE195" s="421" t="s">
        <v>3135</v>
      </c>
      <c r="AF195" s="421" t="s">
        <v>1402</v>
      </c>
      <c r="AG195" s="421" t="s">
        <v>1403</v>
      </c>
      <c r="AH195" s="421" t="s">
        <v>3105</v>
      </c>
      <c r="AI195" s="421">
        <v>500</v>
      </c>
      <c r="AJ195" s="421">
        <v>5.16</v>
      </c>
      <c r="AK195" s="421">
        <v>6.1</v>
      </c>
      <c r="AL195" s="421">
        <v>3</v>
      </c>
      <c r="AM195" s="421" t="s">
        <v>3136</v>
      </c>
      <c r="AN195" s="421" t="s">
        <v>3137</v>
      </c>
      <c r="AO195" s="421" t="s">
        <v>1121</v>
      </c>
      <c r="AP195" s="421" t="s">
        <v>1121</v>
      </c>
      <c r="AQ195" s="421" t="s">
        <v>1108</v>
      </c>
      <c r="AR195" s="421" t="s">
        <v>3352</v>
      </c>
      <c r="AS195" s="421" t="s">
        <v>3470</v>
      </c>
      <c r="AT195" s="421" t="s">
        <v>3109</v>
      </c>
      <c r="AU195" s="421" t="s">
        <v>1142</v>
      </c>
      <c r="AV195" s="421" t="s">
        <v>3174</v>
      </c>
      <c r="AW195" s="421" t="s">
        <v>3110</v>
      </c>
      <c r="AX195" s="421" t="s">
        <v>3111</v>
      </c>
      <c r="AY195" s="421" t="s">
        <v>3193</v>
      </c>
      <c r="AZ195" s="421" t="s">
        <v>3113</v>
      </c>
      <c r="BA195" s="421" t="s">
        <v>3114</v>
      </c>
      <c r="BB195" s="421" t="s">
        <v>3115</v>
      </c>
      <c r="BC195" s="421">
        <v>115</v>
      </c>
      <c r="BD195" s="421">
        <v>293399.5</v>
      </c>
      <c r="BE195" s="421">
        <v>0</v>
      </c>
      <c r="BF195" s="421">
        <v>0</v>
      </c>
      <c r="BG195" s="421">
        <v>0</v>
      </c>
      <c r="BH195" s="421">
        <v>0</v>
      </c>
      <c r="BI195" s="421" t="s">
        <v>1149</v>
      </c>
    </row>
    <row r="196" spans="1:61" x14ac:dyDescent="0.25">
      <c r="A196" s="421">
        <v>193</v>
      </c>
      <c r="B196" s="421">
        <v>2015</v>
      </c>
      <c r="C196" s="421">
        <v>3</v>
      </c>
      <c r="D196" s="421">
        <v>31</v>
      </c>
      <c r="E196" s="421" t="s">
        <v>1475</v>
      </c>
      <c r="F196" s="421" t="s">
        <v>3325</v>
      </c>
      <c r="G196" s="421" t="s">
        <v>3216</v>
      </c>
      <c r="H196" s="421" t="s">
        <v>1107</v>
      </c>
      <c r="I196" s="421" t="s">
        <v>1730</v>
      </c>
      <c r="J196" s="421" t="s">
        <v>3471</v>
      </c>
      <c r="K196" s="421" t="s">
        <v>3093</v>
      </c>
      <c r="L196" s="421" t="s">
        <v>3094</v>
      </c>
      <c r="M196" s="421" t="s">
        <v>2667</v>
      </c>
      <c r="N196" s="421" t="s">
        <v>3093</v>
      </c>
      <c r="O196" s="421" t="s">
        <v>3094</v>
      </c>
      <c r="P196" s="421" t="s">
        <v>3095</v>
      </c>
      <c r="Q196" s="421" t="s">
        <v>3096</v>
      </c>
      <c r="R196" s="421" t="s">
        <v>1108</v>
      </c>
      <c r="S196" s="421" t="s">
        <v>1542</v>
      </c>
      <c r="T196" s="421" t="s">
        <v>1130</v>
      </c>
      <c r="U196" s="421" t="s">
        <v>1112</v>
      </c>
      <c r="V196" s="421" t="s">
        <v>3097</v>
      </c>
      <c r="W196" s="421" t="s">
        <v>3098</v>
      </c>
      <c r="X196" s="421" t="s">
        <v>3099</v>
      </c>
      <c r="Y196" s="421" t="s">
        <v>1117</v>
      </c>
      <c r="Z196" s="421" t="s">
        <v>1118</v>
      </c>
      <c r="AA196" s="421" t="s">
        <v>3100</v>
      </c>
      <c r="AB196" s="421" t="s">
        <v>3101</v>
      </c>
      <c r="AC196" s="421" t="s">
        <v>3102</v>
      </c>
      <c r="AD196" s="421" t="s">
        <v>3103</v>
      </c>
      <c r="AE196" s="421" t="s">
        <v>3104</v>
      </c>
      <c r="AF196" s="421" t="s">
        <v>2236</v>
      </c>
      <c r="AG196" s="421" t="s">
        <v>2237</v>
      </c>
      <c r="AH196" s="421" t="s">
        <v>3105</v>
      </c>
      <c r="AI196" s="421">
        <v>1582000</v>
      </c>
      <c r="AJ196" s="421">
        <v>3709.2</v>
      </c>
      <c r="AK196" s="421">
        <v>4026.23</v>
      </c>
      <c r="AL196" s="421">
        <v>2</v>
      </c>
      <c r="AM196" s="421" t="s">
        <v>959</v>
      </c>
      <c r="AN196" s="421" t="s">
        <v>3106</v>
      </c>
      <c r="AO196" s="421" t="s">
        <v>1121</v>
      </c>
      <c r="AP196" s="421" t="s">
        <v>1121</v>
      </c>
      <c r="AQ196" s="421" t="s">
        <v>1542</v>
      </c>
      <c r="AR196" s="421" t="s">
        <v>3352</v>
      </c>
      <c r="AS196" s="421" t="s">
        <v>3472</v>
      </c>
      <c r="AT196" s="421" t="s">
        <v>3109</v>
      </c>
      <c r="AU196" s="421" t="s">
        <v>1142</v>
      </c>
      <c r="AV196" s="421" t="s">
        <v>1547</v>
      </c>
      <c r="AW196" s="421" t="s">
        <v>3110</v>
      </c>
      <c r="AX196" s="421" t="s">
        <v>3131</v>
      </c>
      <c r="AY196" s="421" t="s">
        <v>3112</v>
      </c>
      <c r="AZ196" s="421" t="s">
        <v>3113</v>
      </c>
      <c r="BA196" s="421" t="s">
        <v>3114</v>
      </c>
      <c r="BB196" s="421" t="s">
        <v>3115</v>
      </c>
      <c r="BC196" s="421">
        <v>55189.4</v>
      </c>
      <c r="BD196" s="421">
        <v>142170653.87</v>
      </c>
      <c r="BE196" s="421">
        <v>0</v>
      </c>
      <c r="BF196" s="421">
        <v>0</v>
      </c>
      <c r="BG196" s="421">
        <v>0</v>
      </c>
      <c r="BH196" s="421">
        <v>0</v>
      </c>
      <c r="BI196" s="421" t="s">
        <v>1167</v>
      </c>
    </row>
    <row r="197" spans="1:61" x14ac:dyDescent="0.25">
      <c r="A197" s="421">
        <v>194</v>
      </c>
      <c r="B197" s="421">
        <v>2015</v>
      </c>
      <c r="C197" s="421">
        <v>3</v>
      </c>
      <c r="D197" s="421">
        <v>31</v>
      </c>
      <c r="E197" s="421" t="s">
        <v>1475</v>
      </c>
      <c r="F197" s="421" t="s">
        <v>3325</v>
      </c>
      <c r="G197" s="421" t="s">
        <v>3216</v>
      </c>
      <c r="H197" s="421" t="s">
        <v>1107</v>
      </c>
      <c r="I197" s="421" t="s">
        <v>1730</v>
      </c>
      <c r="J197" s="421" t="s">
        <v>3473</v>
      </c>
      <c r="K197" s="421" t="s">
        <v>3093</v>
      </c>
      <c r="L197" s="421" t="s">
        <v>3094</v>
      </c>
      <c r="M197" s="421" t="s">
        <v>2667</v>
      </c>
      <c r="N197" s="421" t="s">
        <v>3093</v>
      </c>
      <c r="O197" s="421" t="s">
        <v>3094</v>
      </c>
      <c r="P197" s="421" t="s">
        <v>3095</v>
      </c>
      <c r="Q197" s="421" t="s">
        <v>3096</v>
      </c>
      <c r="R197" s="421" t="s">
        <v>1108</v>
      </c>
      <c r="S197" s="421" t="s">
        <v>1542</v>
      </c>
      <c r="T197" s="421" t="s">
        <v>1130</v>
      </c>
      <c r="U197" s="421" t="s">
        <v>1112</v>
      </c>
      <c r="V197" s="421" t="s">
        <v>3097</v>
      </c>
      <c r="W197" s="421" t="s">
        <v>3098</v>
      </c>
      <c r="X197" s="421" t="s">
        <v>3099</v>
      </c>
      <c r="Y197" s="421" t="s">
        <v>1117</v>
      </c>
      <c r="Z197" s="421" t="s">
        <v>1118</v>
      </c>
      <c r="AA197" s="421" t="s">
        <v>3100</v>
      </c>
      <c r="AB197" s="421" t="s">
        <v>3101</v>
      </c>
      <c r="AC197" s="421" t="s">
        <v>3102</v>
      </c>
      <c r="AD197" s="421" t="s">
        <v>3103</v>
      </c>
      <c r="AE197" s="421" t="s">
        <v>3104</v>
      </c>
      <c r="AF197" s="421" t="s">
        <v>2236</v>
      </c>
      <c r="AG197" s="421" t="s">
        <v>2237</v>
      </c>
      <c r="AH197" s="421" t="s">
        <v>3105</v>
      </c>
      <c r="AI197" s="421">
        <v>2394500</v>
      </c>
      <c r="AJ197" s="421">
        <v>5491.89</v>
      </c>
      <c r="AK197" s="421">
        <v>5965.99</v>
      </c>
      <c r="AL197" s="421">
        <v>1</v>
      </c>
      <c r="AM197" s="421" t="s">
        <v>959</v>
      </c>
      <c r="AN197" s="421" t="s">
        <v>3106</v>
      </c>
      <c r="AO197" s="421" t="s">
        <v>1121</v>
      </c>
      <c r="AP197" s="421" t="s">
        <v>1121</v>
      </c>
      <c r="AQ197" s="421" t="s">
        <v>1542</v>
      </c>
      <c r="AR197" s="421" t="s">
        <v>3352</v>
      </c>
      <c r="AS197" s="421" t="s">
        <v>3474</v>
      </c>
      <c r="AT197" s="421" t="s">
        <v>3109</v>
      </c>
      <c r="AU197" s="421" t="s">
        <v>1142</v>
      </c>
      <c r="AV197" s="421" t="s">
        <v>1547</v>
      </c>
      <c r="AW197" s="421" t="s">
        <v>3110</v>
      </c>
      <c r="AX197" s="421" t="s">
        <v>3111</v>
      </c>
      <c r="AY197" s="421" t="s">
        <v>3112</v>
      </c>
      <c r="AZ197" s="421" t="s">
        <v>3113</v>
      </c>
      <c r="BA197" s="421" t="s">
        <v>3114</v>
      </c>
      <c r="BB197" s="421" t="s">
        <v>3115</v>
      </c>
      <c r="BC197" s="421">
        <v>76330.7</v>
      </c>
      <c r="BD197" s="421">
        <v>196631699.74000001</v>
      </c>
      <c r="BE197" s="421">
        <v>0</v>
      </c>
      <c r="BF197" s="421">
        <v>0</v>
      </c>
      <c r="BG197" s="421">
        <v>0</v>
      </c>
      <c r="BH197" s="421">
        <v>0</v>
      </c>
      <c r="BI197" s="421" t="s">
        <v>1167</v>
      </c>
    </row>
    <row r="198" spans="1:61" x14ac:dyDescent="0.25">
      <c r="A198" s="421">
        <v>195</v>
      </c>
      <c r="B198" s="421">
        <v>2015</v>
      </c>
      <c r="C198" s="421">
        <v>3</v>
      </c>
      <c r="D198" s="421">
        <v>31</v>
      </c>
      <c r="E198" s="421" t="s">
        <v>1475</v>
      </c>
      <c r="F198" s="421" t="s">
        <v>3325</v>
      </c>
      <c r="G198" s="421" t="s">
        <v>3216</v>
      </c>
      <c r="H198" s="421" t="s">
        <v>1107</v>
      </c>
      <c r="I198" s="421" t="s">
        <v>1730</v>
      </c>
      <c r="J198" s="421" t="s">
        <v>3473</v>
      </c>
      <c r="K198" s="421" t="s">
        <v>3093</v>
      </c>
      <c r="L198" s="421" t="s">
        <v>3094</v>
      </c>
      <c r="M198" s="421" t="s">
        <v>2667</v>
      </c>
      <c r="N198" s="421" t="s">
        <v>3093</v>
      </c>
      <c r="O198" s="421" t="s">
        <v>3094</v>
      </c>
      <c r="P198" s="421" t="s">
        <v>3095</v>
      </c>
      <c r="Q198" s="421" t="s">
        <v>3096</v>
      </c>
      <c r="R198" s="421" t="s">
        <v>1108</v>
      </c>
      <c r="S198" s="421" t="s">
        <v>1542</v>
      </c>
      <c r="T198" s="421" t="s">
        <v>1130</v>
      </c>
      <c r="U198" s="421" t="s">
        <v>1112</v>
      </c>
      <c r="V198" s="421" t="s">
        <v>3097</v>
      </c>
      <c r="W198" s="421" t="s">
        <v>3098</v>
      </c>
      <c r="X198" s="421" t="s">
        <v>3099</v>
      </c>
      <c r="Y198" s="421" t="s">
        <v>1117</v>
      </c>
      <c r="Z198" s="421" t="s">
        <v>1118</v>
      </c>
      <c r="AA198" s="421" t="s">
        <v>3100</v>
      </c>
      <c r="AB198" s="421" t="s">
        <v>3101</v>
      </c>
      <c r="AC198" s="421" t="s">
        <v>3102</v>
      </c>
      <c r="AD198" s="421" t="s">
        <v>3103</v>
      </c>
      <c r="AE198" s="421" t="s">
        <v>3104</v>
      </c>
      <c r="AF198" s="421" t="s">
        <v>2236</v>
      </c>
      <c r="AG198" s="421" t="s">
        <v>2237</v>
      </c>
      <c r="AH198" s="421" t="s">
        <v>3105</v>
      </c>
      <c r="AI198" s="421">
        <v>222000</v>
      </c>
      <c r="AJ198" s="421">
        <v>456.42</v>
      </c>
      <c r="AK198" s="421">
        <v>495.82</v>
      </c>
      <c r="AL198" s="421">
        <v>2</v>
      </c>
      <c r="AM198" s="421" t="s">
        <v>959</v>
      </c>
      <c r="AN198" s="421" t="s">
        <v>3106</v>
      </c>
      <c r="AO198" s="421" t="s">
        <v>1121</v>
      </c>
      <c r="AP198" s="421" t="s">
        <v>1121</v>
      </c>
      <c r="AQ198" s="421" t="s">
        <v>1542</v>
      </c>
      <c r="AR198" s="421" t="s">
        <v>3352</v>
      </c>
      <c r="AS198" s="421" t="s">
        <v>3474</v>
      </c>
      <c r="AT198" s="421" t="s">
        <v>3109</v>
      </c>
      <c r="AU198" s="421" t="s">
        <v>1142</v>
      </c>
      <c r="AV198" s="421" t="s">
        <v>1547</v>
      </c>
      <c r="AW198" s="421" t="s">
        <v>3110</v>
      </c>
      <c r="AX198" s="421" t="s">
        <v>3111</v>
      </c>
      <c r="AY198" s="421" t="s">
        <v>3112</v>
      </c>
      <c r="AZ198" s="421" t="s">
        <v>3113</v>
      </c>
      <c r="BA198" s="421" t="s">
        <v>3114</v>
      </c>
      <c r="BB198" s="421" t="s">
        <v>3115</v>
      </c>
      <c r="BC198" s="421">
        <v>7050.2</v>
      </c>
      <c r="BD198" s="421">
        <v>18161667.710000001</v>
      </c>
      <c r="BE198" s="421">
        <v>0</v>
      </c>
      <c r="BF198" s="421">
        <v>0</v>
      </c>
      <c r="BG198" s="421">
        <v>0</v>
      </c>
      <c r="BH198" s="421">
        <v>0</v>
      </c>
      <c r="BI198" s="421" t="s">
        <v>1167</v>
      </c>
    </row>
    <row r="199" spans="1:61" x14ac:dyDescent="0.25">
      <c r="A199" s="421">
        <v>196</v>
      </c>
      <c r="B199" s="421">
        <v>2015</v>
      </c>
      <c r="C199" s="421">
        <v>3</v>
      </c>
      <c r="D199" s="421">
        <v>31</v>
      </c>
      <c r="E199" s="421" t="s">
        <v>1475</v>
      </c>
      <c r="F199" s="421" t="s">
        <v>3325</v>
      </c>
      <c r="G199" s="421" t="s">
        <v>3216</v>
      </c>
      <c r="H199" s="421" t="s">
        <v>1107</v>
      </c>
      <c r="I199" s="421" t="s">
        <v>1730</v>
      </c>
      <c r="J199" s="421" t="s">
        <v>3473</v>
      </c>
      <c r="K199" s="421" t="s">
        <v>3093</v>
      </c>
      <c r="L199" s="421" t="s">
        <v>3094</v>
      </c>
      <c r="M199" s="421" t="s">
        <v>2667</v>
      </c>
      <c r="N199" s="421" t="s">
        <v>3093</v>
      </c>
      <c r="O199" s="421" t="s">
        <v>3094</v>
      </c>
      <c r="P199" s="421" t="s">
        <v>3095</v>
      </c>
      <c r="Q199" s="421" t="s">
        <v>3096</v>
      </c>
      <c r="R199" s="421" t="s">
        <v>1108</v>
      </c>
      <c r="S199" s="421" t="s">
        <v>1542</v>
      </c>
      <c r="T199" s="421" t="s">
        <v>1130</v>
      </c>
      <c r="U199" s="421" t="s">
        <v>1112</v>
      </c>
      <c r="V199" s="421" t="s">
        <v>3097</v>
      </c>
      <c r="W199" s="421" t="s">
        <v>3098</v>
      </c>
      <c r="X199" s="421" t="s">
        <v>3099</v>
      </c>
      <c r="Y199" s="421" t="s">
        <v>1117</v>
      </c>
      <c r="Z199" s="421" t="s">
        <v>1118</v>
      </c>
      <c r="AA199" s="421" t="s">
        <v>3100</v>
      </c>
      <c r="AB199" s="421" t="s">
        <v>3101</v>
      </c>
      <c r="AC199" s="421" t="s">
        <v>3102</v>
      </c>
      <c r="AD199" s="421" t="s">
        <v>3103</v>
      </c>
      <c r="AE199" s="421" t="s">
        <v>3104</v>
      </c>
      <c r="AF199" s="421" t="s">
        <v>2236</v>
      </c>
      <c r="AG199" s="421" t="s">
        <v>2237</v>
      </c>
      <c r="AH199" s="421" t="s">
        <v>3105</v>
      </c>
      <c r="AI199" s="421">
        <v>1855500</v>
      </c>
      <c r="AJ199" s="421">
        <v>6539.9</v>
      </c>
      <c r="AK199" s="421">
        <v>7104.47</v>
      </c>
      <c r="AL199" s="421">
        <v>3</v>
      </c>
      <c r="AM199" s="421" t="s">
        <v>959</v>
      </c>
      <c r="AN199" s="421" t="s">
        <v>3106</v>
      </c>
      <c r="AO199" s="421" t="s">
        <v>1121</v>
      </c>
      <c r="AP199" s="421" t="s">
        <v>1121</v>
      </c>
      <c r="AQ199" s="421" t="s">
        <v>1542</v>
      </c>
      <c r="AR199" s="421" t="s">
        <v>3352</v>
      </c>
      <c r="AS199" s="421" t="s">
        <v>3474</v>
      </c>
      <c r="AT199" s="421" t="s">
        <v>3109</v>
      </c>
      <c r="AU199" s="421" t="s">
        <v>1142</v>
      </c>
      <c r="AV199" s="421" t="s">
        <v>1547</v>
      </c>
      <c r="AW199" s="421" t="s">
        <v>3110</v>
      </c>
      <c r="AX199" s="421" t="s">
        <v>3111</v>
      </c>
      <c r="AY199" s="421" t="s">
        <v>3112</v>
      </c>
      <c r="AZ199" s="421" t="s">
        <v>3113</v>
      </c>
      <c r="BA199" s="421" t="s">
        <v>3114</v>
      </c>
      <c r="BB199" s="421" t="s">
        <v>3115</v>
      </c>
      <c r="BC199" s="421">
        <v>165080.4</v>
      </c>
      <c r="BD199" s="421">
        <v>425255364.42000002</v>
      </c>
      <c r="BE199" s="421">
        <v>0</v>
      </c>
      <c r="BF199" s="421">
        <v>0</v>
      </c>
      <c r="BG199" s="421">
        <v>0</v>
      </c>
      <c r="BH199" s="421">
        <v>0</v>
      </c>
      <c r="BI199" s="421" t="s">
        <v>1167</v>
      </c>
    </row>
    <row r="200" spans="1:61" x14ac:dyDescent="0.25">
      <c r="A200" s="421">
        <v>197</v>
      </c>
      <c r="B200" s="421">
        <v>2015</v>
      </c>
      <c r="C200" s="421">
        <v>3</v>
      </c>
      <c r="D200" s="421">
        <v>31</v>
      </c>
      <c r="E200" s="421" t="s">
        <v>1475</v>
      </c>
      <c r="F200" s="421" t="s">
        <v>3325</v>
      </c>
      <c r="G200" s="421" t="s">
        <v>3216</v>
      </c>
      <c r="H200" s="421" t="s">
        <v>1107</v>
      </c>
      <c r="I200" s="421" t="s">
        <v>1730</v>
      </c>
      <c r="J200" s="421" t="s">
        <v>3473</v>
      </c>
      <c r="K200" s="421" t="s">
        <v>3093</v>
      </c>
      <c r="L200" s="421" t="s">
        <v>3094</v>
      </c>
      <c r="M200" s="421" t="s">
        <v>2667</v>
      </c>
      <c r="N200" s="421" t="s">
        <v>3093</v>
      </c>
      <c r="O200" s="421" t="s">
        <v>3094</v>
      </c>
      <c r="P200" s="421" t="s">
        <v>3095</v>
      </c>
      <c r="Q200" s="421" t="s">
        <v>3096</v>
      </c>
      <c r="R200" s="421" t="s">
        <v>1108</v>
      </c>
      <c r="S200" s="421" t="s">
        <v>1542</v>
      </c>
      <c r="T200" s="421" t="s">
        <v>1130</v>
      </c>
      <c r="U200" s="421" t="s">
        <v>1112</v>
      </c>
      <c r="V200" s="421" t="s">
        <v>3097</v>
      </c>
      <c r="W200" s="421" t="s">
        <v>3098</v>
      </c>
      <c r="X200" s="421" t="s">
        <v>3099</v>
      </c>
      <c r="Y200" s="421" t="s">
        <v>1117</v>
      </c>
      <c r="Z200" s="421" t="s">
        <v>1118</v>
      </c>
      <c r="AA200" s="421" t="s">
        <v>3100</v>
      </c>
      <c r="AB200" s="421" t="s">
        <v>3101</v>
      </c>
      <c r="AC200" s="421" t="s">
        <v>3102</v>
      </c>
      <c r="AD200" s="421" t="s">
        <v>3103</v>
      </c>
      <c r="AE200" s="421" t="s">
        <v>3104</v>
      </c>
      <c r="AF200" s="421" t="s">
        <v>2236</v>
      </c>
      <c r="AG200" s="421" t="s">
        <v>2237</v>
      </c>
      <c r="AH200" s="421" t="s">
        <v>3105</v>
      </c>
      <c r="AI200" s="421">
        <v>528000</v>
      </c>
      <c r="AJ200" s="421">
        <v>1980</v>
      </c>
      <c r="AK200" s="421">
        <v>2150.9299999999998</v>
      </c>
      <c r="AL200" s="421">
        <v>4</v>
      </c>
      <c r="AM200" s="421" t="s">
        <v>959</v>
      </c>
      <c r="AN200" s="421" t="s">
        <v>3106</v>
      </c>
      <c r="AO200" s="421" t="s">
        <v>1121</v>
      </c>
      <c r="AP200" s="421" t="s">
        <v>1121</v>
      </c>
      <c r="AQ200" s="421" t="s">
        <v>1542</v>
      </c>
      <c r="AR200" s="421" t="s">
        <v>3352</v>
      </c>
      <c r="AS200" s="421" t="s">
        <v>3474</v>
      </c>
      <c r="AT200" s="421" t="s">
        <v>3109</v>
      </c>
      <c r="AU200" s="421" t="s">
        <v>1142</v>
      </c>
      <c r="AV200" s="421" t="s">
        <v>1547</v>
      </c>
      <c r="AW200" s="421" t="s">
        <v>3110</v>
      </c>
      <c r="AX200" s="421" t="s">
        <v>3111</v>
      </c>
      <c r="AY200" s="421" t="s">
        <v>3112</v>
      </c>
      <c r="AZ200" s="421" t="s">
        <v>3113</v>
      </c>
      <c r="BA200" s="421" t="s">
        <v>3114</v>
      </c>
      <c r="BB200" s="421" t="s">
        <v>3115</v>
      </c>
      <c r="BC200" s="421">
        <v>48279</v>
      </c>
      <c r="BD200" s="421">
        <v>124369117.95</v>
      </c>
      <c r="BE200" s="421">
        <v>0</v>
      </c>
      <c r="BF200" s="421">
        <v>0</v>
      </c>
      <c r="BG200" s="421">
        <v>0</v>
      </c>
      <c r="BH200" s="421">
        <v>0</v>
      </c>
      <c r="BI200" s="421" t="s">
        <v>1167</v>
      </c>
    </row>
    <row r="201" spans="1:61" x14ac:dyDescent="0.25">
      <c r="A201" s="421">
        <v>198</v>
      </c>
      <c r="B201" s="421">
        <v>2015</v>
      </c>
      <c r="C201" s="421">
        <v>3</v>
      </c>
      <c r="D201" s="421">
        <v>31</v>
      </c>
      <c r="E201" s="421" t="s">
        <v>1475</v>
      </c>
      <c r="F201" s="421" t="s">
        <v>3325</v>
      </c>
      <c r="G201" s="421" t="s">
        <v>3216</v>
      </c>
      <c r="H201" s="421" t="s">
        <v>1107</v>
      </c>
      <c r="I201" s="421" t="s">
        <v>1730</v>
      </c>
      <c r="J201" s="421" t="s">
        <v>3475</v>
      </c>
      <c r="K201" s="421" t="s">
        <v>3093</v>
      </c>
      <c r="L201" s="421" t="s">
        <v>3094</v>
      </c>
      <c r="M201" s="421" t="s">
        <v>2667</v>
      </c>
      <c r="N201" s="421" t="s">
        <v>3093</v>
      </c>
      <c r="O201" s="421" t="s">
        <v>3094</v>
      </c>
      <c r="P201" s="421" t="s">
        <v>3095</v>
      </c>
      <c r="Q201" s="421" t="s">
        <v>3096</v>
      </c>
      <c r="R201" s="421" t="s">
        <v>1108</v>
      </c>
      <c r="S201" s="421" t="s">
        <v>1542</v>
      </c>
      <c r="T201" s="421" t="s">
        <v>1130</v>
      </c>
      <c r="U201" s="421" t="s">
        <v>1112</v>
      </c>
      <c r="V201" s="421" t="s">
        <v>3097</v>
      </c>
      <c r="W201" s="421" t="s">
        <v>3098</v>
      </c>
      <c r="X201" s="421" t="s">
        <v>3099</v>
      </c>
      <c r="Y201" s="421" t="s">
        <v>1117</v>
      </c>
      <c r="Z201" s="421" t="s">
        <v>1118</v>
      </c>
      <c r="AA201" s="421" t="s">
        <v>3100</v>
      </c>
      <c r="AB201" s="421" t="s">
        <v>3101</v>
      </c>
      <c r="AC201" s="421" t="s">
        <v>3102</v>
      </c>
      <c r="AD201" s="421" t="s">
        <v>3103</v>
      </c>
      <c r="AE201" s="421" t="s">
        <v>3104</v>
      </c>
      <c r="AF201" s="421" t="s">
        <v>1300</v>
      </c>
      <c r="AG201" s="421" t="s">
        <v>1301</v>
      </c>
      <c r="AH201" s="421" t="s">
        <v>1127</v>
      </c>
      <c r="AI201" s="421">
        <v>6.27</v>
      </c>
      <c r="AJ201" s="421">
        <v>6.27</v>
      </c>
      <c r="AK201" s="421">
        <v>7.2</v>
      </c>
      <c r="AL201" s="421">
        <v>1</v>
      </c>
      <c r="AM201" s="421" t="s">
        <v>959</v>
      </c>
      <c r="AN201" s="421" t="s">
        <v>3106</v>
      </c>
      <c r="AO201" s="421" t="s">
        <v>1121</v>
      </c>
      <c r="AP201" s="421" t="s">
        <v>1121</v>
      </c>
      <c r="AQ201" s="421" t="s">
        <v>1542</v>
      </c>
      <c r="AR201" s="421" t="s">
        <v>3352</v>
      </c>
      <c r="AS201" s="421" t="s">
        <v>3476</v>
      </c>
      <c r="AT201" s="421" t="s">
        <v>3109</v>
      </c>
      <c r="AU201" s="421" t="s">
        <v>1142</v>
      </c>
      <c r="AV201" s="421" t="s">
        <v>1547</v>
      </c>
      <c r="AW201" s="421" t="s">
        <v>3110</v>
      </c>
      <c r="AX201" s="421" t="s">
        <v>3229</v>
      </c>
      <c r="AY201" s="421" t="s">
        <v>3112</v>
      </c>
      <c r="AZ201" s="421" t="s">
        <v>3113</v>
      </c>
      <c r="BA201" s="421" t="s">
        <v>3114</v>
      </c>
      <c r="BB201" s="421" t="s">
        <v>3230</v>
      </c>
      <c r="BC201" s="421">
        <v>1.25</v>
      </c>
      <c r="BD201" s="421">
        <v>3220.06</v>
      </c>
      <c r="BE201" s="421">
        <v>0</v>
      </c>
      <c r="BF201" s="421">
        <v>0</v>
      </c>
      <c r="BG201" s="421">
        <v>0</v>
      </c>
      <c r="BH201" s="421">
        <v>0</v>
      </c>
      <c r="BI201" s="421" t="s">
        <v>1167</v>
      </c>
    </row>
    <row r="202" spans="1:61" x14ac:dyDescent="0.25">
      <c r="A202" s="421">
        <v>199</v>
      </c>
      <c r="B202" s="421">
        <v>2015</v>
      </c>
      <c r="C202" s="421">
        <v>3</v>
      </c>
      <c r="D202" s="421">
        <v>31</v>
      </c>
      <c r="E202" s="421" t="s">
        <v>1475</v>
      </c>
      <c r="F202" s="421" t="s">
        <v>3325</v>
      </c>
      <c r="G202" s="421" t="s">
        <v>3216</v>
      </c>
      <c r="H202" s="421" t="s">
        <v>1107</v>
      </c>
      <c r="I202" s="421" t="s">
        <v>1730</v>
      </c>
      <c r="J202" s="421" t="s">
        <v>3471</v>
      </c>
      <c r="K202" s="421" t="s">
        <v>3093</v>
      </c>
      <c r="L202" s="421" t="s">
        <v>3094</v>
      </c>
      <c r="M202" s="421" t="s">
        <v>2667</v>
      </c>
      <c r="N202" s="421" t="s">
        <v>3093</v>
      </c>
      <c r="O202" s="421" t="s">
        <v>3094</v>
      </c>
      <c r="P202" s="421" t="s">
        <v>3095</v>
      </c>
      <c r="Q202" s="421" t="s">
        <v>3096</v>
      </c>
      <c r="R202" s="421" t="s">
        <v>1108</v>
      </c>
      <c r="S202" s="421" t="s">
        <v>1542</v>
      </c>
      <c r="T202" s="421" t="s">
        <v>1130</v>
      </c>
      <c r="U202" s="421" t="s">
        <v>1112</v>
      </c>
      <c r="V202" s="421" t="s">
        <v>3097</v>
      </c>
      <c r="W202" s="421" t="s">
        <v>3098</v>
      </c>
      <c r="X202" s="421" t="s">
        <v>3099</v>
      </c>
      <c r="Y202" s="421" t="s">
        <v>1117</v>
      </c>
      <c r="Z202" s="421" t="s">
        <v>1118</v>
      </c>
      <c r="AA202" s="421" t="s">
        <v>3100</v>
      </c>
      <c r="AB202" s="421" t="s">
        <v>3101</v>
      </c>
      <c r="AC202" s="421" t="s">
        <v>3102</v>
      </c>
      <c r="AD202" s="421" t="s">
        <v>3103</v>
      </c>
      <c r="AE202" s="421" t="s">
        <v>3104</v>
      </c>
      <c r="AF202" s="421" t="s">
        <v>2236</v>
      </c>
      <c r="AG202" s="421" t="s">
        <v>2237</v>
      </c>
      <c r="AH202" s="421" t="s">
        <v>3105</v>
      </c>
      <c r="AI202" s="421">
        <v>5604000</v>
      </c>
      <c r="AJ202" s="421">
        <v>10914.72</v>
      </c>
      <c r="AK202" s="421">
        <v>11847.61</v>
      </c>
      <c r="AL202" s="421">
        <v>1</v>
      </c>
      <c r="AM202" s="421" t="s">
        <v>959</v>
      </c>
      <c r="AN202" s="421" t="s">
        <v>3106</v>
      </c>
      <c r="AO202" s="421" t="s">
        <v>1121</v>
      </c>
      <c r="AP202" s="421" t="s">
        <v>1121</v>
      </c>
      <c r="AQ202" s="421" t="s">
        <v>1542</v>
      </c>
      <c r="AR202" s="421" t="s">
        <v>3352</v>
      </c>
      <c r="AS202" s="421" t="s">
        <v>3472</v>
      </c>
      <c r="AT202" s="421" t="s">
        <v>3109</v>
      </c>
      <c r="AU202" s="421" t="s">
        <v>1142</v>
      </c>
      <c r="AV202" s="421" t="s">
        <v>1547</v>
      </c>
      <c r="AW202" s="421" t="s">
        <v>3110</v>
      </c>
      <c r="AX202" s="421" t="s">
        <v>3131</v>
      </c>
      <c r="AY202" s="421" t="s">
        <v>3112</v>
      </c>
      <c r="AZ202" s="421" t="s">
        <v>3113</v>
      </c>
      <c r="BA202" s="421" t="s">
        <v>3114</v>
      </c>
      <c r="BB202" s="421" t="s">
        <v>3115</v>
      </c>
      <c r="BC202" s="421">
        <v>165469</v>
      </c>
      <c r="BD202" s="421">
        <v>426256417.44999999</v>
      </c>
      <c r="BE202" s="421">
        <v>0</v>
      </c>
      <c r="BF202" s="421">
        <v>0</v>
      </c>
      <c r="BG202" s="421">
        <v>0</v>
      </c>
      <c r="BH202" s="421">
        <v>0</v>
      </c>
      <c r="BI202" s="421" t="s">
        <v>1167</v>
      </c>
    </row>
    <row r="203" spans="1:61" x14ac:dyDescent="0.25">
      <c r="A203" s="421">
        <v>200</v>
      </c>
      <c r="B203" s="421">
        <v>2015</v>
      </c>
      <c r="C203" s="421">
        <v>4</v>
      </c>
      <c r="D203" s="421">
        <v>6</v>
      </c>
      <c r="E203" s="421" t="s">
        <v>1475</v>
      </c>
      <c r="F203" s="421" t="s">
        <v>3477</v>
      </c>
      <c r="G203" s="421" t="s">
        <v>3360</v>
      </c>
      <c r="H203" s="421" t="s">
        <v>1107</v>
      </c>
      <c r="I203" s="421" t="s">
        <v>1717</v>
      </c>
      <c r="J203" s="421" t="s">
        <v>3478</v>
      </c>
      <c r="K203" s="421" t="s">
        <v>3093</v>
      </c>
      <c r="L203" s="421" t="s">
        <v>3094</v>
      </c>
      <c r="M203" s="421" t="s">
        <v>2667</v>
      </c>
      <c r="N203" s="421" t="s">
        <v>3093</v>
      </c>
      <c r="O203" s="421" t="s">
        <v>3094</v>
      </c>
      <c r="P203" s="421" t="s">
        <v>3095</v>
      </c>
      <c r="Q203" s="421" t="s">
        <v>3113</v>
      </c>
      <c r="R203" s="421" t="s">
        <v>1108</v>
      </c>
      <c r="S203" s="421" t="s">
        <v>1108</v>
      </c>
      <c r="T203" s="421" t="s">
        <v>1130</v>
      </c>
      <c r="U203" s="421" t="s">
        <v>3144</v>
      </c>
      <c r="V203" s="421" t="s">
        <v>3145</v>
      </c>
      <c r="W203" s="421" t="s">
        <v>3098</v>
      </c>
      <c r="X203" s="421" t="s">
        <v>3099</v>
      </c>
      <c r="Y203" s="421" t="s">
        <v>1117</v>
      </c>
      <c r="Z203" s="421" t="s">
        <v>1118</v>
      </c>
      <c r="AA203" s="421" t="s">
        <v>3100</v>
      </c>
      <c r="AB203" s="421" t="s">
        <v>3146</v>
      </c>
      <c r="AC203" s="421" t="s">
        <v>3102</v>
      </c>
      <c r="AD203" s="421" t="s">
        <v>3213</v>
      </c>
      <c r="AE203" s="421" t="s">
        <v>3214</v>
      </c>
      <c r="AF203" s="421" t="s">
        <v>1632</v>
      </c>
      <c r="AG203" s="421" t="s">
        <v>1633</v>
      </c>
      <c r="AH203" s="421" t="s">
        <v>1127</v>
      </c>
      <c r="AI203" s="421">
        <v>35.979999999999997</v>
      </c>
      <c r="AJ203" s="421">
        <v>35.979999999999997</v>
      </c>
      <c r="AK203" s="421">
        <v>38.75</v>
      </c>
      <c r="AL203" s="421">
        <v>1</v>
      </c>
      <c r="AM203" s="421" t="s">
        <v>2037</v>
      </c>
      <c r="AN203" s="421" t="s">
        <v>2039</v>
      </c>
      <c r="AO203" s="421" t="s">
        <v>1121</v>
      </c>
      <c r="AP203" s="421" t="s">
        <v>1121</v>
      </c>
      <c r="AQ203" s="421" t="s">
        <v>1108</v>
      </c>
      <c r="AR203" s="421" t="s">
        <v>3352</v>
      </c>
      <c r="AS203" s="421" t="s">
        <v>3479</v>
      </c>
      <c r="AT203" s="421" t="s">
        <v>3109</v>
      </c>
      <c r="AU203" s="421" t="s">
        <v>1341</v>
      </c>
      <c r="AV203" s="421" t="s">
        <v>2037</v>
      </c>
      <c r="AW203" s="421" t="s">
        <v>3110</v>
      </c>
      <c r="AX203" s="421" t="s">
        <v>3111</v>
      </c>
      <c r="AY203" s="421" t="s">
        <v>3112</v>
      </c>
      <c r="AZ203" s="421" t="s">
        <v>3113</v>
      </c>
      <c r="BA203" s="421" t="s">
        <v>3114</v>
      </c>
      <c r="BB203" s="421" t="s">
        <v>3115</v>
      </c>
      <c r="BC203" s="421">
        <v>180</v>
      </c>
      <c r="BD203" s="421">
        <v>463753.8</v>
      </c>
      <c r="BE203" s="421">
        <v>0</v>
      </c>
      <c r="BF203" s="421">
        <v>10.74</v>
      </c>
      <c r="BG203" s="421">
        <v>0.6</v>
      </c>
      <c r="BH203" s="421">
        <v>0</v>
      </c>
      <c r="BI203" s="421" t="s">
        <v>1149</v>
      </c>
    </row>
    <row r="204" spans="1:61" x14ac:dyDescent="0.25">
      <c r="A204" s="421">
        <v>201</v>
      </c>
      <c r="B204" s="421">
        <v>2015</v>
      </c>
      <c r="C204" s="421">
        <v>4</v>
      </c>
      <c r="D204" s="421">
        <v>6</v>
      </c>
      <c r="E204" s="421" t="s">
        <v>1475</v>
      </c>
      <c r="F204" s="421" t="s">
        <v>3477</v>
      </c>
      <c r="G204" s="421" t="s">
        <v>3360</v>
      </c>
      <c r="H204" s="421" t="s">
        <v>1107</v>
      </c>
      <c r="I204" s="421" t="s">
        <v>1717</v>
      </c>
      <c r="J204" s="421" t="s">
        <v>3478</v>
      </c>
      <c r="K204" s="421" t="s">
        <v>3093</v>
      </c>
      <c r="L204" s="421" t="s">
        <v>3094</v>
      </c>
      <c r="M204" s="421" t="s">
        <v>2667</v>
      </c>
      <c r="N204" s="421" t="s">
        <v>3093</v>
      </c>
      <c r="O204" s="421" t="s">
        <v>3094</v>
      </c>
      <c r="P204" s="421" t="s">
        <v>3095</v>
      </c>
      <c r="Q204" s="421" t="s">
        <v>3113</v>
      </c>
      <c r="R204" s="421" t="s">
        <v>1108</v>
      </c>
      <c r="S204" s="421" t="s">
        <v>1108</v>
      </c>
      <c r="T204" s="421" t="s">
        <v>1130</v>
      </c>
      <c r="U204" s="421" t="s">
        <v>3144</v>
      </c>
      <c r="V204" s="421" t="s">
        <v>3145</v>
      </c>
      <c r="W204" s="421" t="s">
        <v>3098</v>
      </c>
      <c r="X204" s="421" t="s">
        <v>3099</v>
      </c>
      <c r="Y204" s="421" t="s">
        <v>1117</v>
      </c>
      <c r="Z204" s="421" t="s">
        <v>1118</v>
      </c>
      <c r="AA204" s="421" t="s">
        <v>3100</v>
      </c>
      <c r="AB204" s="421" t="s">
        <v>3146</v>
      </c>
      <c r="AC204" s="421" t="s">
        <v>3102</v>
      </c>
      <c r="AD204" s="421" t="s">
        <v>3213</v>
      </c>
      <c r="AE204" s="421" t="s">
        <v>3214</v>
      </c>
      <c r="AF204" s="421" t="s">
        <v>2236</v>
      </c>
      <c r="AG204" s="421" t="s">
        <v>2237</v>
      </c>
      <c r="AH204" s="421" t="s">
        <v>3105</v>
      </c>
      <c r="AI204" s="421">
        <v>298860</v>
      </c>
      <c r="AJ204" s="421">
        <v>828.48</v>
      </c>
      <c r="AK204" s="421">
        <v>892.25</v>
      </c>
      <c r="AL204" s="421">
        <v>2</v>
      </c>
      <c r="AM204" s="421" t="s">
        <v>2037</v>
      </c>
      <c r="AN204" s="421" t="s">
        <v>2039</v>
      </c>
      <c r="AO204" s="421" t="s">
        <v>1121</v>
      </c>
      <c r="AP204" s="421" t="s">
        <v>1121</v>
      </c>
      <c r="AQ204" s="421" t="s">
        <v>1108</v>
      </c>
      <c r="AR204" s="421" t="s">
        <v>3352</v>
      </c>
      <c r="AS204" s="421" t="s">
        <v>3479</v>
      </c>
      <c r="AT204" s="421" t="s">
        <v>3109</v>
      </c>
      <c r="AU204" s="421" t="s">
        <v>1341</v>
      </c>
      <c r="AV204" s="421" t="s">
        <v>2037</v>
      </c>
      <c r="AW204" s="421" t="s">
        <v>3110</v>
      </c>
      <c r="AX204" s="421" t="s">
        <v>3111</v>
      </c>
      <c r="AY204" s="421" t="s">
        <v>3112</v>
      </c>
      <c r="AZ204" s="421" t="s">
        <v>3113</v>
      </c>
      <c r="BA204" s="421" t="s">
        <v>3114</v>
      </c>
      <c r="BB204" s="421" t="s">
        <v>3115</v>
      </c>
      <c r="BC204" s="421">
        <v>16191.8</v>
      </c>
      <c r="BD204" s="421">
        <v>41716715.439999998</v>
      </c>
      <c r="BE204" s="421">
        <v>0</v>
      </c>
      <c r="BF204" s="421">
        <v>966.43</v>
      </c>
      <c r="BG204" s="421">
        <v>54.23</v>
      </c>
      <c r="BH204" s="421">
        <v>0</v>
      </c>
      <c r="BI204" s="421" t="s">
        <v>1149</v>
      </c>
    </row>
    <row r="205" spans="1:61" x14ac:dyDescent="0.25">
      <c r="A205" s="421">
        <v>202</v>
      </c>
      <c r="B205" s="421">
        <v>2015</v>
      </c>
      <c r="C205" s="421">
        <v>4</v>
      </c>
      <c r="D205" s="421">
        <v>10</v>
      </c>
      <c r="E205" s="421" t="s">
        <v>1475</v>
      </c>
      <c r="F205" s="421" t="s">
        <v>3477</v>
      </c>
      <c r="G205" s="421" t="s">
        <v>3480</v>
      </c>
      <c r="H205" s="421" t="s">
        <v>1107</v>
      </c>
      <c r="I205" s="421" t="s">
        <v>3481</v>
      </c>
      <c r="J205" s="421" t="s">
        <v>3482</v>
      </c>
      <c r="K205" s="421" t="s">
        <v>3093</v>
      </c>
      <c r="L205" s="421" t="s">
        <v>3094</v>
      </c>
      <c r="M205" s="421" t="s">
        <v>2667</v>
      </c>
      <c r="N205" s="421" t="s">
        <v>3093</v>
      </c>
      <c r="O205" s="421" t="s">
        <v>3094</v>
      </c>
      <c r="P205" s="421" t="s">
        <v>3095</v>
      </c>
      <c r="Q205" s="421" t="s">
        <v>3113</v>
      </c>
      <c r="R205" s="421" t="s">
        <v>1108</v>
      </c>
      <c r="S205" s="421" t="s">
        <v>1108</v>
      </c>
      <c r="T205" s="421" t="s">
        <v>1130</v>
      </c>
      <c r="U205" s="421" t="s">
        <v>1112</v>
      </c>
      <c r="V205" s="421" t="s">
        <v>3097</v>
      </c>
      <c r="W205" s="421" t="s">
        <v>3098</v>
      </c>
      <c r="X205" s="421" t="s">
        <v>3099</v>
      </c>
      <c r="Y205" s="421" t="s">
        <v>1117</v>
      </c>
      <c r="Z205" s="421" t="s">
        <v>1118</v>
      </c>
      <c r="AA205" s="421" t="s">
        <v>3100</v>
      </c>
      <c r="AB205" s="421" t="s">
        <v>3101</v>
      </c>
      <c r="AC205" s="421" t="s">
        <v>3102</v>
      </c>
      <c r="AD205" s="421" t="s">
        <v>3483</v>
      </c>
      <c r="AE205" s="421" t="s">
        <v>3484</v>
      </c>
      <c r="AF205" s="421" t="s">
        <v>2236</v>
      </c>
      <c r="AG205" s="421" t="s">
        <v>2237</v>
      </c>
      <c r="AH205" s="421" t="s">
        <v>3105</v>
      </c>
      <c r="AI205" s="421">
        <v>731500</v>
      </c>
      <c r="AJ205" s="421">
        <v>2022.23</v>
      </c>
      <c r="AK205" s="421">
        <v>2188.34</v>
      </c>
      <c r="AL205" s="421">
        <v>2</v>
      </c>
      <c r="AM205" s="421" t="s">
        <v>2037</v>
      </c>
      <c r="AN205" s="421" t="s">
        <v>2039</v>
      </c>
      <c r="AO205" s="421" t="s">
        <v>1121</v>
      </c>
      <c r="AP205" s="421" t="s">
        <v>1121</v>
      </c>
      <c r="AQ205" s="421" t="s">
        <v>1108</v>
      </c>
      <c r="AR205" s="421" t="s">
        <v>3485</v>
      </c>
      <c r="AS205" s="421" t="s">
        <v>3486</v>
      </c>
      <c r="AT205" s="421" t="s">
        <v>3109</v>
      </c>
      <c r="AU205" s="421" t="s">
        <v>1142</v>
      </c>
      <c r="AV205" s="421" t="s">
        <v>2037</v>
      </c>
      <c r="AW205" s="421" t="s">
        <v>3110</v>
      </c>
      <c r="AX205" s="421" t="s">
        <v>3111</v>
      </c>
      <c r="AY205" s="421" t="s">
        <v>3193</v>
      </c>
      <c r="AZ205" s="421" t="s">
        <v>3113</v>
      </c>
      <c r="BA205" s="421" t="s">
        <v>3114</v>
      </c>
      <c r="BB205" s="421" t="s">
        <v>3115</v>
      </c>
      <c r="BC205" s="421">
        <v>19383.099999999999</v>
      </c>
      <c r="BD205" s="421">
        <v>48356376.390000001</v>
      </c>
      <c r="BE205" s="421">
        <v>0</v>
      </c>
      <c r="BF205" s="421">
        <v>67.7</v>
      </c>
      <c r="BG205" s="421">
        <v>48.63</v>
      </c>
      <c r="BH205" s="421">
        <v>0</v>
      </c>
      <c r="BI205" s="421" t="s">
        <v>1149</v>
      </c>
    </row>
    <row r="206" spans="1:61" x14ac:dyDescent="0.25">
      <c r="A206" s="421">
        <v>203</v>
      </c>
      <c r="B206" s="421">
        <v>2015</v>
      </c>
      <c r="C206" s="421">
        <v>4</v>
      </c>
      <c r="D206" s="421">
        <v>10</v>
      </c>
      <c r="E206" s="421" t="s">
        <v>1475</v>
      </c>
      <c r="F206" s="421" t="s">
        <v>3477</v>
      </c>
      <c r="G206" s="421" t="s">
        <v>3480</v>
      </c>
      <c r="H206" s="421" t="s">
        <v>1107</v>
      </c>
      <c r="I206" s="421" t="s">
        <v>3481</v>
      </c>
      <c r="J206" s="421" t="s">
        <v>3487</v>
      </c>
      <c r="K206" s="421" t="s">
        <v>3093</v>
      </c>
      <c r="L206" s="421" t="s">
        <v>3094</v>
      </c>
      <c r="M206" s="421" t="s">
        <v>2667</v>
      </c>
      <c r="N206" s="421" t="s">
        <v>3093</v>
      </c>
      <c r="O206" s="421" t="s">
        <v>3094</v>
      </c>
      <c r="P206" s="421" t="s">
        <v>3095</v>
      </c>
      <c r="Q206" s="421" t="s">
        <v>3113</v>
      </c>
      <c r="R206" s="421" t="s">
        <v>1108</v>
      </c>
      <c r="S206" s="421" t="s">
        <v>1108</v>
      </c>
      <c r="T206" s="421" t="s">
        <v>1130</v>
      </c>
      <c r="U206" s="421" t="s">
        <v>1112</v>
      </c>
      <c r="V206" s="421" t="s">
        <v>3097</v>
      </c>
      <c r="W206" s="421" t="s">
        <v>3098</v>
      </c>
      <c r="X206" s="421" t="s">
        <v>3099</v>
      </c>
      <c r="Y206" s="421" t="s">
        <v>1117</v>
      </c>
      <c r="Z206" s="421" t="s">
        <v>1118</v>
      </c>
      <c r="AA206" s="421" t="s">
        <v>3100</v>
      </c>
      <c r="AB206" s="421" t="s">
        <v>3101</v>
      </c>
      <c r="AC206" s="421" t="s">
        <v>3102</v>
      </c>
      <c r="AD206" s="421" t="s">
        <v>3483</v>
      </c>
      <c r="AE206" s="421" t="s">
        <v>3484</v>
      </c>
      <c r="AF206" s="421" t="s">
        <v>2236</v>
      </c>
      <c r="AG206" s="421" t="s">
        <v>2237</v>
      </c>
      <c r="AH206" s="421" t="s">
        <v>3105</v>
      </c>
      <c r="AI206" s="421">
        <v>21000</v>
      </c>
      <c r="AJ206" s="421">
        <v>70.790000000000006</v>
      </c>
      <c r="AK206" s="421">
        <v>77.3</v>
      </c>
      <c r="AL206" s="421">
        <v>1</v>
      </c>
      <c r="AM206" s="421" t="s">
        <v>2037</v>
      </c>
      <c r="AN206" s="421" t="s">
        <v>2039</v>
      </c>
      <c r="AO206" s="421" t="s">
        <v>1121</v>
      </c>
      <c r="AP206" s="421" t="s">
        <v>1121</v>
      </c>
      <c r="AQ206" s="421" t="s">
        <v>1108</v>
      </c>
      <c r="AR206" s="421" t="s">
        <v>3485</v>
      </c>
      <c r="AS206" s="421" t="s">
        <v>3488</v>
      </c>
      <c r="AT206" s="421" t="s">
        <v>3109</v>
      </c>
      <c r="AU206" s="421" t="s">
        <v>1142</v>
      </c>
      <c r="AV206" s="421" t="s">
        <v>2037</v>
      </c>
      <c r="AW206" s="421" t="s">
        <v>3110</v>
      </c>
      <c r="AX206" s="421" t="s">
        <v>3111</v>
      </c>
      <c r="AY206" s="421" t="s">
        <v>3193</v>
      </c>
      <c r="AZ206" s="421" t="s">
        <v>3113</v>
      </c>
      <c r="BA206" s="421" t="s">
        <v>3114</v>
      </c>
      <c r="BB206" s="421" t="s">
        <v>3115</v>
      </c>
      <c r="BC206" s="421">
        <v>1801.8</v>
      </c>
      <c r="BD206" s="421">
        <v>4495076.59</v>
      </c>
      <c r="BE206" s="421">
        <v>0</v>
      </c>
      <c r="BF206" s="421">
        <v>100</v>
      </c>
      <c r="BG206" s="421">
        <v>12</v>
      </c>
      <c r="BH206" s="421">
        <v>0</v>
      </c>
      <c r="BI206" s="421" t="s">
        <v>1149</v>
      </c>
    </row>
    <row r="207" spans="1:61" x14ac:dyDescent="0.25">
      <c r="A207" s="421">
        <v>204</v>
      </c>
      <c r="B207" s="421">
        <v>2015</v>
      </c>
      <c r="C207" s="421">
        <v>4</v>
      </c>
      <c r="D207" s="421">
        <v>10</v>
      </c>
      <c r="E207" s="421" t="s">
        <v>1475</v>
      </c>
      <c r="F207" s="421" t="s">
        <v>3477</v>
      </c>
      <c r="G207" s="421" t="s">
        <v>3480</v>
      </c>
      <c r="H207" s="421" t="s">
        <v>1107</v>
      </c>
      <c r="I207" s="421" t="s">
        <v>3481</v>
      </c>
      <c r="J207" s="421" t="s">
        <v>3482</v>
      </c>
      <c r="K207" s="421" t="s">
        <v>3093</v>
      </c>
      <c r="L207" s="421" t="s">
        <v>3094</v>
      </c>
      <c r="M207" s="421" t="s">
        <v>2667</v>
      </c>
      <c r="N207" s="421" t="s">
        <v>3093</v>
      </c>
      <c r="O207" s="421" t="s">
        <v>3094</v>
      </c>
      <c r="P207" s="421" t="s">
        <v>3095</v>
      </c>
      <c r="Q207" s="421" t="s">
        <v>3113</v>
      </c>
      <c r="R207" s="421" t="s">
        <v>1108</v>
      </c>
      <c r="S207" s="421" t="s">
        <v>1108</v>
      </c>
      <c r="T207" s="421" t="s">
        <v>1130</v>
      </c>
      <c r="U207" s="421" t="s">
        <v>1112</v>
      </c>
      <c r="V207" s="421" t="s">
        <v>3097</v>
      </c>
      <c r="W207" s="421" t="s">
        <v>3098</v>
      </c>
      <c r="X207" s="421" t="s">
        <v>3099</v>
      </c>
      <c r="Y207" s="421" t="s">
        <v>1117</v>
      </c>
      <c r="Z207" s="421" t="s">
        <v>1118</v>
      </c>
      <c r="AA207" s="421" t="s">
        <v>3100</v>
      </c>
      <c r="AB207" s="421" t="s">
        <v>3101</v>
      </c>
      <c r="AC207" s="421" t="s">
        <v>3102</v>
      </c>
      <c r="AD207" s="421" t="s">
        <v>3483</v>
      </c>
      <c r="AE207" s="421" t="s">
        <v>3484</v>
      </c>
      <c r="AF207" s="421" t="s">
        <v>2236</v>
      </c>
      <c r="AG207" s="421" t="s">
        <v>2237</v>
      </c>
      <c r="AH207" s="421" t="s">
        <v>3105</v>
      </c>
      <c r="AI207" s="421">
        <v>3857800</v>
      </c>
      <c r="AJ207" s="421">
        <v>8686.89</v>
      </c>
      <c r="AK207" s="421">
        <v>9400.44</v>
      </c>
      <c r="AL207" s="421">
        <v>1</v>
      </c>
      <c r="AM207" s="421" t="s">
        <v>2037</v>
      </c>
      <c r="AN207" s="421" t="s">
        <v>2039</v>
      </c>
      <c r="AO207" s="421" t="s">
        <v>1121</v>
      </c>
      <c r="AP207" s="421" t="s">
        <v>1121</v>
      </c>
      <c r="AQ207" s="421" t="s">
        <v>1108</v>
      </c>
      <c r="AR207" s="421" t="s">
        <v>3485</v>
      </c>
      <c r="AS207" s="421" t="s">
        <v>3486</v>
      </c>
      <c r="AT207" s="421" t="s">
        <v>3109</v>
      </c>
      <c r="AU207" s="421" t="s">
        <v>1142</v>
      </c>
      <c r="AV207" s="421" t="s">
        <v>2037</v>
      </c>
      <c r="AW207" s="421" t="s">
        <v>3110</v>
      </c>
      <c r="AX207" s="421" t="s">
        <v>3111</v>
      </c>
      <c r="AY207" s="421" t="s">
        <v>3193</v>
      </c>
      <c r="AZ207" s="421" t="s">
        <v>3113</v>
      </c>
      <c r="BA207" s="421" t="s">
        <v>3114</v>
      </c>
      <c r="BB207" s="421" t="s">
        <v>3115</v>
      </c>
      <c r="BC207" s="421">
        <v>78324.7</v>
      </c>
      <c r="BD207" s="421">
        <v>195402111.81999999</v>
      </c>
      <c r="BE207" s="421">
        <v>0</v>
      </c>
      <c r="BF207" s="421">
        <v>273.55</v>
      </c>
      <c r="BG207" s="421">
        <v>196.5</v>
      </c>
      <c r="BH207" s="421">
        <v>0</v>
      </c>
      <c r="BI207" s="421" t="s">
        <v>1149</v>
      </c>
    </row>
    <row r="208" spans="1:61" x14ac:dyDescent="0.25">
      <c r="A208" s="421">
        <v>205</v>
      </c>
      <c r="B208" s="421">
        <v>2015</v>
      </c>
      <c r="C208" s="421">
        <v>4</v>
      </c>
      <c r="D208" s="421">
        <v>10</v>
      </c>
      <c r="E208" s="421" t="s">
        <v>1475</v>
      </c>
      <c r="F208" s="421" t="s">
        <v>3477</v>
      </c>
      <c r="G208" s="421" t="s">
        <v>3480</v>
      </c>
      <c r="H208" s="421" t="s">
        <v>1107</v>
      </c>
      <c r="I208" s="421" t="s">
        <v>3481</v>
      </c>
      <c r="J208" s="421" t="s">
        <v>3482</v>
      </c>
      <c r="K208" s="421" t="s">
        <v>3093</v>
      </c>
      <c r="L208" s="421" t="s">
        <v>3094</v>
      </c>
      <c r="M208" s="421" t="s">
        <v>2667</v>
      </c>
      <c r="N208" s="421" t="s">
        <v>3093</v>
      </c>
      <c r="O208" s="421" t="s">
        <v>3094</v>
      </c>
      <c r="P208" s="421" t="s">
        <v>3095</v>
      </c>
      <c r="Q208" s="421" t="s">
        <v>3113</v>
      </c>
      <c r="R208" s="421" t="s">
        <v>1108</v>
      </c>
      <c r="S208" s="421" t="s">
        <v>1108</v>
      </c>
      <c r="T208" s="421" t="s">
        <v>1130</v>
      </c>
      <c r="U208" s="421" t="s">
        <v>1112</v>
      </c>
      <c r="V208" s="421" t="s">
        <v>3097</v>
      </c>
      <c r="W208" s="421" t="s">
        <v>3098</v>
      </c>
      <c r="X208" s="421" t="s">
        <v>3099</v>
      </c>
      <c r="Y208" s="421" t="s">
        <v>1117</v>
      </c>
      <c r="Z208" s="421" t="s">
        <v>1118</v>
      </c>
      <c r="AA208" s="421" t="s">
        <v>3100</v>
      </c>
      <c r="AB208" s="421" t="s">
        <v>3101</v>
      </c>
      <c r="AC208" s="421" t="s">
        <v>3102</v>
      </c>
      <c r="AD208" s="421" t="s">
        <v>3483</v>
      </c>
      <c r="AE208" s="421" t="s">
        <v>3484</v>
      </c>
      <c r="AF208" s="421" t="s">
        <v>2236</v>
      </c>
      <c r="AG208" s="421" t="s">
        <v>2237</v>
      </c>
      <c r="AH208" s="421" t="s">
        <v>3105</v>
      </c>
      <c r="AI208" s="421">
        <v>630700</v>
      </c>
      <c r="AJ208" s="421">
        <v>3255.83</v>
      </c>
      <c r="AK208" s="421">
        <v>3523.27</v>
      </c>
      <c r="AL208" s="421">
        <v>3</v>
      </c>
      <c r="AM208" s="421" t="s">
        <v>2037</v>
      </c>
      <c r="AN208" s="421" t="s">
        <v>2039</v>
      </c>
      <c r="AO208" s="421" t="s">
        <v>1121</v>
      </c>
      <c r="AP208" s="421" t="s">
        <v>1121</v>
      </c>
      <c r="AQ208" s="421" t="s">
        <v>1108</v>
      </c>
      <c r="AR208" s="421" t="s">
        <v>3485</v>
      </c>
      <c r="AS208" s="421" t="s">
        <v>3486</v>
      </c>
      <c r="AT208" s="421" t="s">
        <v>3109</v>
      </c>
      <c r="AU208" s="421" t="s">
        <v>1142</v>
      </c>
      <c r="AV208" s="421" t="s">
        <v>2037</v>
      </c>
      <c r="AW208" s="421" t="s">
        <v>3110</v>
      </c>
      <c r="AX208" s="421" t="s">
        <v>3111</v>
      </c>
      <c r="AY208" s="421" t="s">
        <v>3193</v>
      </c>
      <c r="AZ208" s="421" t="s">
        <v>3113</v>
      </c>
      <c r="BA208" s="421" t="s">
        <v>3114</v>
      </c>
      <c r="BB208" s="421" t="s">
        <v>3115</v>
      </c>
      <c r="BC208" s="421">
        <v>56565.9</v>
      </c>
      <c r="BD208" s="421">
        <v>141118910.34</v>
      </c>
      <c r="BE208" s="421">
        <v>0</v>
      </c>
      <c r="BF208" s="421">
        <v>197.56</v>
      </c>
      <c r="BG208" s="421">
        <v>141.91</v>
      </c>
      <c r="BH208" s="421">
        <v>0</v>
      </c>
      <c r="BI208" s="421" t="s">
        <v>1149</v>
      </c>
    </row>
    <row r="209" spans="1:61" x14ac:dyDescent="0.25">
      <c r="A209" s="421">
        <v>206</v>
      </c>
      <c r="B209" s="421">
        <v>2015</v>
      </c>
      <c r="C209" s="421">
        <v>4</v>
      </c>
      <c r="D209" s="421">
        <v>10</v>
      </c>
      <c r="E209" s="421" t="s">
        <v>1475</v>
      </c>
      <c r="F209" s="421" t="s">
        <v>3477</v>
      </c>
      <c r="G209" s="421" t="s">
        <v>3480</v>
      </c>
      <c r="H209" s="421" t="s">
        <v>1107</v>
      </c>
      <c r="I209" s="421" t="s">
        <v>3481</v>
      </c>
      <c r="J209" s="421" t="s">
        <v>3482</v>
      </c>
      <c r="K209" s="421" t="s">
        <v>3093</v>
      </c>
      <c r="L209" s="421" t="s">
        <v>3094</v>
      </c>
      <c r="M209" s="421" t="s">
        <v>2667</v>
      </c>
      <c r="N209" s="421" t="s">
        <v>3093</v>
      </c>
      <c r="O209" s="421" t="s">
        <v>3094</v>
      </c>
      <c r="P209" s="421" t="s">
        <v>3095</v>
      </c>
      <c r="Q209" s="421" t="s">
        <v>3113</v>
      </c>
      <c r="R209" s="421" t="s">
        <v>1108</v>
      </c>
      <c r="S209" s="421" t="s">
        <v>1108</v>
      </c>
      <c r="T209" s="421" t="s">
        <v>1130</v>
      </c>
      <c r="U209" s="421" t="s">
        <v>1112</v>
      </c>
      <c r="V209" s="421" t="s">
        <v>3097</v>
      </c>
      <c r="W209" s="421" t="s">
        <v>3098</v>
      </c>
      <c r="X209" s="421" t="s">
        <v>3099</v>
      </c>
      <c r="Y209" s="421" t="s">
        <v>1117</v>
      </c>
      <c r="Z209" s="421" t="s">
        <v>1118</v>
      </c>
      <c r="AA209" s="421" t="s">
        <v>3100</v>
      </c>
      <c r="AB209" s="421" t="s">
        <v>3101</v>
      </c>
      <c r="AC209" s="421" t="s">
        <v>3102</v>
      </c>
      <c r="AD209" s="421" t="s">
        <v>3483</v>
      </c>
      <c r="AE209" s="421" t="s">
        <v>3484</v>
      </c>
      <c r="AF209" s="421" t="s">
        <v>2236</v>
      </c>
      <c r="AG209" s="421" t="s">
        <v>2237</v>
      </c>
      <c r="AH209" s="421" t="s">
        <v>3105</v>
      </c>
      <c r="AI209" s="421">
        <v>300400</v>
      </c>
      <c r="AJ209" s="421">
        <v>1138.6099999999999</v>
      </c>
      <c r="AK209" s="421">
        <v>1232.1400000000001</v>
      </c>
      <c r="AL209" s="421">
        <v>4</v>
      </c>
      <c r="AM209" s="421" t="s">
        <v>2037</v>
      </c>
      <c r="AN209" s="421" t="s">
        <v>2039</v>
      </c>
      <c r="AO209" s="421" t="s">
        <v>1121</v>
      </c>
      <c r="AP209" s="421" t="s">
        <v>1121</v>
      </c>
      <c r="AQ209" s="421" t="s">
        <v>1108</v>
      </c>
      <c r="AR209" s="421" t="s">
        <v>3485</v>
      </c>
      <c r="AS209" s="421" t="s">
        <v>3486</v>
      </c>
      <c r="AT209" s="421" t="s">
        <v>3109</v>
      </c>
      <c r="AU209" s="421" t="s">
        <v>1142</v>
      </c>
      <c r="AV209" s="421" t="s">
        <v>2037</v>
      </c>
      <c r="AW209" s="421" t="s">
        <v>3110</v>
      </c>
      <c r="AX209" s="421" t="s">
        <v>3111</v>
      </c>
      <c r="AY209" s="421" t="s">
        <v>3193</v>
      </c>
      <c r="AZ209" s="421" t="s">
        <v>3113</v>
      </c>
      <c r="BA209" s="421" t="s">
        <v>3114</v>
      </c>
      <c r="BB209" s="421" t="s">
        <v>3115</v>
      </c>
      <c r="BC209" s="421">
        <v>17520.8</v>
      </c>
      <c r="BD209" s="421">
        <v>43710366.219999999</v>
      </c>
      <c r="BE209" s="421">
        <v>0</v>
      </c>
      <c r="BF209" s="421">
        <v>61.19</v>
      </c>
      <c r="BG209" s="421">
        <v>43.96</v>
      </c>
      <c r="BH209" s="421">
        <v>0</v>
      </c>
      <c r="BI209" s="421" t="s">
        <v>1149</v>
      </c>
    </row>
    <row r="210" spans="1:61" x14ac:dyDescent="0.25">
      <c r="A210" s="421">
        <v>207</v>
      </c>
      <c r="B210" s="421">
        <v>2015</v>
      </c>
      <c r="C210" s="421">
        <v>4</v>
      </c>
      <c r="D210" s="421">
        <v>16</v>
      </c>
      <c r="E210" s="421" t="s">
        <v>1475</v>
      </c>
      <c r="F210" s="421" t="s">
        <v>3477</v>
      </c>
      <c r="G210" s="421" t="s">
        <v>3489</v>
      </c>
      <c r="H210" s="421" t="s">
        <v>1107</v>
      </c>
      <c r="I210" s="421" t="s">
        <v>1747</v>
      </c>
      <c r="J210" s="421" t="s">
        <v>3490</v>
      </c>
      <c r="K210" s="421" t="s">
        <v>3093</v>
      </c>
      <c r="L210" s="421" t="s">
        <v>3094</v>
      </c>
      <c r="M210" s="421" t="s">
        <v>2667</v>
      </c>
      <c r="N210" s="421" t="s">
        <v>3093</v>
      </c>
      <c r="O210" s="421" t="s">
        <v>3094</v>
      </c>
      <c r="P210" s="421" t="s">
        <v>3095</v>
      </c>
      <c r="Q210" s="421" t="s">
        <v>3096</v>
      </c>
      <c r="R210" s="421" t="s">
        <v>1108</v>
      </c>
      <c r="S210" s="421" t="s">
        <v>1542</v>
      </c>
      <c r="T210" s="421" t="s">
        <v>1130</v>
      </c>
      <c r="U210" s="421" t="s">
        <v>1112</v>
      </c>
      <c r="V210" s="421" t="s">
        <v>3097</v>
      </c>
      <c r="W210" s="421" t="s">
        <v>3098</v>
      </c>
      <c r="X210" s="421" t="s">
        <v>3099</v>
      </c>
      <c r="Y210" s="421" t="s">
        <v>1117</v>
      </c>
      <c r="Z210" s="421" t="s">
        <v>1118</v>
      </c>
      <c r="AA210" s="421" t="s">
        <v>3100</v>
      </c>
      <c r="AB210" s="421" t="s">
        <v>3101</v>
      </c>
      <c r="AC210" s="421" t="s">
        <v>3102</v>
      </c>
      <c r="AD210" s="421" t="s">
        <v>3176</v>
      </c>
      <c r="AE210" s="421" t="s">
        <v>3177</v>
      </c>
      <c r="AF210" s="421" t="s">
        <v>2236</v>
      </c>
      <c r="AG210" s="421" t="s">
        <v>2237</v>
      </c>
      <c r="AH210" s="421" t="s">
        <v>3105</v>
      </c>
      <c r="AI210" s="421">
        <v>46000</v>
      </c>
      <c r="AJ210" s="421">
        <v>177.1</v>
      </c>
      <c r="AK210" s="421">
        <v>190.52</v>
      </c>
      <c r="AL210" s="421">
        <v>1</v>
      </c>
      <c r="AM210" s="421" t="s">
        <v>1547</v>
      </c>
      <c r="AN210" s="421" t="s">
        <v>3178</v>
      </c>
      <c r="AO210" s="421" t="s">
        <v>1121</v>
      </c>
      <c r="AP210" s="421" t="s">
        <v>1121</v>
      </c>
      <c r="AQ210" s="421" t="s">
        <v>1542</v>
      </c>
      <c r="AR210" s="421" t="s">
        <v>3485</v>
      </c>
      <c r="AS210" s="421" t="s">
        <v>3491</v>
      </c>
      <c r="AT210" s="421" t="s">
        <v>3109</v>
      </c>
      <c r="AU210" s="421" t="s">
        <v>1142</v>
      </c>
      <c r="AV210" s="421" t="s">
        <v>2520</v>
      </c>
      <c r="AW210" s="421" t="s">
        <v>3110</v>
      </c>
      <c r="AX210" s="421" t="s">
        <v>3111</v>
      </c>
      <c r="AY210" s="421" t="s">
        <v>3112</v>
      </c>
      <c r="AZ210" s="421" t="s">
        <v>3113</v>
      </c>
      <c r="BA210" s="421" t="s">
        <v>3114</v>
      </c>
      <c r="BB210" s="421" t="s">
        <v>3115</v>
      </c>
      <c r="BC210" s="421">
        <v>3795.5</v>
      </c>
      <c r="BD210" s="421">
        <v>9620188.1699999999</v>
      </c>
      <c r="BE210" s="421">
        <v>0</v>
      </c>
      <c r="BF210" s="421">
        <v>348.87</v>
      </c>
      <c r="BG210" s="421">
        <v>10.36</v>
      </c>
      <c r="BH210" s="421">
        <v>0</v>
      </c>
      <c r="BI210" s="421" t="s">
        <v>1331</v>
      </c>
    </row>
    <row r="211" spans="1:61" x14ac:dyDescent="0.25">
      <c r="A211" s="421">
        <v>208</v>
      </c>
      <c r="B211" s="421">
        <v>2015</v>
      </c>
      <c r="C211" s="421">
        <v>4</v>
      </c>
      <c r="D211" s="421">
        <v>16</v>
      </c>
      <c r="E211" s="421" t="s">
        <v>1475</v>
      </c>
      <c r="F211" s="421" t="s">
        <v>3477</v>
      </c>
      <c r="G211" s="421" t="s">
        <v>3489</v>
      </c>
      <c r="H211" s="421" t="s">
        <v>1107</v>
      </c>
      <c r="I211" s="421" t="s">
        <v>1747</v>
      </c>
      <c r="J211" s="421" t="s">
        <v>3490</v>
      </c>
      <c r="K211" s="421" t="s">
        <v>3093</v>
      </c>
      <c r="L211" s="421" t="s">
        <v>3094</v>
      </c>
      <c r="M211" s="421" t="s">
        <v>2667</v>
      </c>
      <c r="N211" s="421" t="s">
        <v>3093</v>
      </c>
      <c r="O211" s="421" t="s">
        <v>3094</v>
      </c>
      <c r="P211" s="421" t="s">
        <v>3095</v>
      </c>
      <c r="Q211" s="421" t="s">
        <v>3096</v>
      </c>
      <c r="R211" s="421" t="s">
        <v>1108</v>
      </c>
      <c r="S211" s="421" t="s">
        <v>1542</v>
      </c>
      <c r="T211" s="421" t="s">
        <v>1130</v>
      </c>
      <c r="U211" s="421" t="s">
        <v>1112</v>
      </c>
      <c r="V211" s="421" t="s">
        <v>3097</v>
      </c>
      <c r="W211" s="421" t="s">
        <v>3098</v>
      </c>
      <c r="X211" s="421" t="s">
        <v>3099</v>
      </c>
      <c r="Y211" s="421" t="s">
        <v>1117</v>
      </c>
      <c r="Z211" s="421" t="s">
        <v>1118</v>
      </c>
      <c r="AA211" s="421" t="s">
        <v>3100</v>
      </c>
      <c r="AB211" s="421" t="s">
        <v>3101</v>
      </c>
      <c r="AC211" s="421" t="s">
        <v>3102</v>
      </c>
      <c r="AD211" s="421" t="s">
        <v>3176</v>
      </c>
      <c r="AE211" s="421" t="s">
        <v>3177</v>
      </c>
      <c r="AF211" s="421" t="s">
        <v>2236</v>
      </c>
      <c r="AG211" s="421" t="s">
        <v>2237</v>
      </c>
      <c r="AH211" s="421" t="s">
        <v>3105</v>
      </c>
      <c r="AI211" s="421">
        <v>90000</v>
      </c>
      <c r="AJ211" s="421">
        <v>305.77999999999997</v>
      </c>
      <c r="AK211" s="421">
        <v>328.96</v>
      </c>
      <c r="AL211" s="421">
        <v>2</v>
      </c>
      <c r="AM211" s="421" t="s">
        <v>1547</v>
      </c>
      <c r="AN211" s="421" t="s">
        <v>3178</v>
      </c>
      <c r="AO211" s="421" t="s">
        <v>1121</v>
      </c>
      <c r="AP211" s="421" t="s">
        <v>1121</v>
      </c>
      <c r="AQ211" s="421" t="s">
        <v>1542</v>
      </c>
      <c r="AR211" s="421" t="s">
        <v>3485</v>
      </c>
      <c r="AS211" s="421" t="s">
        <v>3491</v>
      </c>
      <c r="AT211" s="421" t="s">
        <v>3109</v>
      </c>
      <c r="AU211" s="421" t="s">
        <v>1142</v>
      </c>
      <c r="AV211" s="421" t="s">
        <v>2520</v>
      </c>
      <c r="AW211" s="421" t="s">
        <v>3110</v>
      </c>
      <c r="AX211" s="421" t="s">
        <v>3111</v>
      </c>
      <c r="AY211" s="421" t="s">
        <v>3112</v>
      </c>
      <c r="AZ211" s="421" t="s">
        <v>3113</v>
      </c>
      <c r="BA211" s="421" t="s">
        <v>3114</v>
      </c>
      <c r="BB211" s="421" t="s">
        <v>3115</v>
      </c>
      <c r="BC211" s="421">
        <v>8933.5</v>
      </c>
      <c r="BD211" s="421">
        <v>22643117.109999999</v>
      </c>
      <c r="BE211" s="421">
        <v>0</v>
      </c>
      <c r="BF211" s="421">
        <v>821.13</v>
      </c>
      <c r="BG211" s="421">
        <v>24.39</v>
      </c>
      <c r="BH211" s="421">
        <v>0</v>
      </c>
      <c r="BI211" s="421" t="s">
        <v>1331</v>
      </c>
    </row>
    <row r="212" spans="1:61" x14ac:dyDescent="0.25">
      <c r="A212" s="421">
        <v>209</v>
      </c>
      <c r="B212" s="421">
        <v>2015</v>
      </c>
      <c r="C212" s="421">
        <v>4</v>
      </c>
      <c r="D212" s="421">
        <v>16</v>
      </c>
      <c r="E212" s="421" t="s">
        <v>1475</v>
      </c>
      <c r="F212" s="421" t="s">
        <v>3477</v>
      </c>
      <c r="G212" s="421" t="s">
        <v>3489</v>
      </c>
      <c r="H212" s="421" t="s">
        <v>1107</v>
      </c>
      <c r="I212" s="421" t="s">
        <v>1747</v>
      </c>
      <c r="J212" s="421" t="s">
        <v>3492</v>
      </c>
      <c r="K212" s="421" t="s">
        <v>3093</v>
      </c>
      <c r="L212" s="421" t="s">
        <v>3094</v>
      </c>
      <c r="M212" s="421" t="s">
        <v>2667</v>
      </c>
      <c r="N212" s="421" t="s">
        <v>3093</v>
      </c>
      <c r="O212" s="421" t="s">
        <v>3094</v>
      </c>
      <c r="P212" s="421" t="s">
        <v>3095</v>
      </c>
      <c r="Q212" s="421" t="s">
        <v>3096</v>
      </c>
      <c r="R212" s="421" t="s">
        <v>1108</v>
      </c>
      <c r="S212" s="421" t="s">
        <v>1542</v>
      </c>
      <c r="T212" s="421" t="s">
        <v>1130</v>
      </c>
      <c r="U212" s="421" t="s">
        <v>1112</v>
      </c>
      <c r="V212" s="421" t="s">
        <v>3097</v>
      </c>
      <c r="W212" s="421" t="s">
        <v>3098</v>
      </c>
      <c r="X212" s="421" t="s">
        <v>3099</v>
      </c>
      <c r="Y212" s="421" t="s">
        <v>1117</v>
      </c>
      <c r="Z212" s="421" t="s">
        <v>1118</v>
      </c>
      <c r="AA212" s="421" t="s">
        <v>3100</v>
      </c>
      <c r="AB212" s="421" t="s">
        <v>3101</v>
      </c>
      <c r="AC212" s="421" t="s">
        <v>3102</v>
      </c>
      <c r="AD212" s="421" t="s">
        <v>3170</v>
      </c>
      <c r="AE212" s="421" t="s">
        <v>3171</v>
      </c>
      <c r="AF212" s="421" t="s">
        <v>2236</v>
      </c>
      <c r="AG212" s="421" t="s">
        <v>2237</v>
      </c>
      <c r="AH212" s="421" t="s">
        <v>3105</v>
      </c>
      <c r="AI212" s="421">
        <v>1277500</v>
      </c>
      <c r="AJ212" s="421">
        <v>3416.03</v>
      </c>
      <c r="AK212" s="421">
        <v>3682.02</v>
      </c>
      <c r="AL212" s="421">
        <v>1</v>
      </c>
      <c r="AM212" s="421" t="s">
        <v>2429</v>
      </c>
      <c r="AN212" s="421" t="s">
        <v>3172</v>
      </c>
      <c r="AO212" s="421" t="s">
        <v>1121</v>
      </c>
      <c r="AP212" s="421" t="s">
        <v>1121</v>
      </c>
      <c r="AQ212" s="421" t="s">
        <v>1542</v>
      </c>
      <c r="AR212" s="421" t="s">
        <v>3485</v>
      </c>
      <c r="AS212" s="421" t="s">
        <v>3493</v>
      </c>
      <c r="AT212" s="421" t="s">
        <v>3109</v>
      </c>
      <c r="AU212" s="421" t="s">
        <v>1142</v>
      </c>
      <c r="AV212" s="421" t="s">
        <v>2520</v>
      </c>
      <c r="AW212" s="421" t="s">
        <v>3110</v>
      </c>
      <c r="AX212" s="421" t="s">
        <v>3111</v>
      </c>
      <c r="AY212" s="421" t="s">
        <v>3112</v>
      </c>
      <c r="AZ212" s="421" t="s">
        <v>3113</v>
      </c>
      <c r="BA212" s="421" t="s">
        <v>3114</v>
      </c>
      <c r="BB212" s="421" t="s">
        <v>3115</v>
      </c>
      <c r="BC212" s="421">
        <v>48558</v>
      </c>
      <c r="BD212" s="421">
        <v>123076563.54000001</v>
      </c>
      <c r="BE212" s="421">
        <v>0</v>
      </c>
      <c r="BF212" s="421">
        <v>901.47</v>
      </c>
      <c r="BG212" s="421">
        <v>123.65</v>
      </c>
      <c r="BH212" s="421">
        <v>0</v>
      </c>
      <c r="BI212" s="421" t="s">
        <v>1331</v>
      </c>
    </row>
    <row r="213" spans="1:61" x14ac:dyDescent="0.25">
      <c r="A213" s="421">
        <v>210</v>
      </c>
      <c r="B213" s="421">
        <v>2015</v>
      </c>
      <c r="C213" s="421">
        <v>4</v>
      </c>
      <c r="D213" s="421">
        <v>16</v>
      </c>
      <c r="E213" s="421" t="s">
        <v>1475</v>
      </c>
      <c r="F213" s="421" t="s">
        <v>3477</v>
      </c>
      <c r="G213" s="421" t="s">
        <v>3489</v>
      </c>
      <c r="H213" s="421" t="s">
        <v>1107</v>
      </c>
      <c r="I213" s="421" t="s">
        <v>1747</v>
      </c>
      <c r="J213" s="421" t="s">
        <v>3492</v>
      </c>
      <c r="K213" s="421" t="s">
        <v>3093</v>
      </c>
      <c r="L213" s="421" t="s">
        <v>3094</v>
      </c>
      <c r="M213" s="421" t="s">
        <v>2667</v>
      </c>
      <c r="N213" s="421" t="s">
        <v>3093</v>
      </c>
      <c r="O213" s="421" t="s">
        <v>3094</v>
      </c>
      <c r="P213" s="421" t="s">
        <v>3095</v>
      </c>
      <c r="Q213" s="421" t="s">
        <v>3096</v>
      </c>
      <c r="R213" s="421" t="s">
        <v>1108</v>
      </c>
      <c r="S213" s="421" t="s">
        <v>1542</v>
      </c>
      <c r="T213" s="421" t="s">
        <v>1130</v>
      </c>
      <c r="U213" s="421" t="s">
        <v>1112</v>
      </c>
      <c r="V213" s="421" t="s">
        <v>3097</v>
      </c>
      <c r="W213" s="421" t="s">
        <v>3098</v>
      </c>
      <c r="X213" s="421" t="s">
        <v>3099</v>
      </c>
      <c r="Y213" s="421" t="s">
        <v>1117</v>
      </c>
      <c r="Z213" s="421" t="s">
        <v>1118</v>
      </c>
      <c r="AA213" s="421" t="s">
        <v>3100</v>
      </c>
      <c r="AB213" s="421" t="s">
        <v>3101</v>
      </c>
      <c r="AC213" s="421" t="s">
        <v>3102</v>
      </c>
      <c r="AD213" s="421" t="s">
        <v>3170</v>
      </c>
      <c r="AE213" s="421" t="s">
        <v>3171</v>
      </c>
      <c r="AF213" s="421" t="s">
        <v>2236</v>
      </c>
      <c r="AG213" s="421" t="s">
        <v>2237</v>
      </c>
      <c r="AH213" s="421" t="s">
        <v>3105</v>
      </c>
      <c r="AI213" s="421">
        <v>159000</v>
      </c>
      <c r="AJ213" s="421">
        <v>413.25</v>
      </c>
      <c r="AK213" s="421">
        <v>445.43</v>
      </c>
      <c r="AL213" s="421">
        <v>2</v>
      </c>
      <c r="AM213" s="421" t="s">
        <v>2429</v>
      </c>
      <c r="AN213" s="421" t="s">
        <v>3172</v>
      </c>
      <c r="AO213" s="421" t="s">
        <v>1121</v>
      </c>
      <c r="AP213" s="421" t="s">
        <v>1121</v>
      </c>
      <c r="AQ213" s="421" t="s">
        <v>1542</v>
      </c>
      <c r="AR213" s="421" t="s">
        <v>3485</v>
      </c>
      <c r="AS213" s="421" t="s">
        <v>3493</v>
      </c>
      <c r="AT213" s="421" t="s">
        <v>3109</v>
      </c>
      <c r="AU213" s="421" t="s">
        <v>1142</v>
      </c>
      <c r="AV213" s="421" t="s">
        <v>2520</v>
      </c>
      <c r="AW213" s="421" t="s">
        <v>3110</v>
      </c>
      <c r="AX213" s="421" t="s">
        <v>3111</v>
      </c>
      <c r="AY213" s="421" t="s">
        <v>3112</v>
      </c>
      <c r="AZ213" s="421" t="s">
        <v>3113</v>
      </c>
      <c r="BA213" s="421" t="s">
        <v>3114</v>
      </c>
      <c r="BB213" s="421" t="s">
        <v>3115</v>
      </c>
      <c r="BC213" s="421">
        <v>6010.8</v>
      </c>
      <c r="BD213" s="421">
        <v>15235154</v>
      </c>
      <c r="BE213" s="421">
        <v>0</v>
      </c>
      <c r="BF213" s="421">
        <v>111.59</v>
      </c>
      <c r="BG213" s="421">
        <v>15.31</v>
      </c>
      <c r="BH213" s="421">
        <v>0</v>
      </c>
      <c r="BI213" s="421" t="s">
        <v>1331</v>
      </c>
    </row>
    <row r="214" spans="1:61" x14ac:dyDescent="0.25">
      <c r="A214" s="421">
        <v>211</v>
      </c>
      <c r="B214" s="421">
        <v>2015</v>
      </c>
      <c r="C214" s="421">
        <v>4</v>
      </c>
      <c r="D214" s="421">
        <v>16</v>
      </c>
      <c r="E214" s="421" t="s">
        <v>1475</v>
      </c>
      <c r="F214" s="421" t="s">
        <v>3477</v>
      </c>
      <c r="G214" s="421" t="s">
        <v>3489</v>
      </c>
      <c r="H214" s="421" t="s">
        <v>1107</v>
      </c>
      <c r="I214" s="421" t="s">
        <v>1747</v>
      </c>
      <c r="J214" s="421" t="s">
        <v>3492</v>
      </c>
      <c r="K214" s="421" t="s">
        <v>3093</v>
      </c>
      <c r="L214" s="421" t="s">
        <v>3094</v>
      </c>
      <c r="M214" s="421" t="s">
        <v>2667</v>
      </c>
      <c r="N214" s="421" t="s">
        <v>3093</v>
      </c>
      <c r="O214" s="421" t="s">
        <v>3094</v>
      </c>
      <c r="P214" s="421" t="s">
        <v>3095</v>
      </c>
      <c r="Q214" s="421" t="s">
        <v>3096</v>
      </c>
      <c r="R214" s="421" t="s">
        <v>1108</v>
      </c>
      <c r="S214" s="421" t="s">
        <v>1542</v>
      </c>
      <c r="T214" s="421" t="s">
        <v>1130</v>
      </c>
      <c r="U214" s="421" t="s">
        <v>1112</v>
      </c>
      <c r="V214" s="421" t="s">
        <v>3097</v>
      </c>
      <c r="W214" s="421" t="s">
        <v>3098</v>
      </c>
      <c r="X214" s="421" t="s">
        <v>3099</v>
      </c>
      <c r="Y214" s="421" t="s">
        <v>1117</v>
      </c>
      <c r="Z214" s="421" t="s">
        <v>1118</v>
      </c>
      <c r="AA214" s="421" t="s">
        <v>3100</v>
      </c>
      <c r="AB214" s="421" t="s">
        <v>3101</v>
      </c>
      <c r="AC214" s="421" t="s">
        <v>3102</v>
      </c>
      <c r="AD214" s="421" t="s">
        <v>3170</v>
      </c>
      <c r="AE214" s="421" t="s">
        <v>3171</v>
      </c>
      <c r="AF214" s="421" t="s">
        <v>2236</v>
      </c>
      <c r="AG214" s="421" t="s">
        <v>2237</v>
      </c>
      <c r="AH214" s="421" t="s">
        <v>3105</v>
      </c>
      <c r="AI214" s="421">
        <v>24000</v>
      </c>
      <c r="AJ214" s="421">
        <v>88.28</v>
      </c>
      <c r="AK214" s="421">
        <v>95.15</v>
      </c>
      <c r="AL214" s="421">
        <v>3</v>
      </c>
      <c r="AM214" s="421" t="s">
        <v>2429</v>
      </c>
      <c r="AN214" s="421" t="s">
        <v>3172</v>
      </c>
      <c r="AO214" s="421" t="s">
        <v>1121</v>
      </c>
      <c r="AP214" s="421" t="s">
        <v>1121</v>
      </c>
      <c r="AQ214" s="421" t="s">
        <v>1542</v>
      </c>
      <c r="AR214" s="421" t="s">
        <v>3485</v>
      </c>
      <c r="AS214" s="421" t="s">
        <v>3493</v>
      </c>
      <c r="AT214" s="421" t="s">
        <v>3109</v>
      </c>
      <c r="AU214" s="421" t="s">
        <v>1142</v>
      </c>
      <c r="AV214" s="421" t="s">
        <v>2520</v>
      </c>
      <c r="AW214" s="421" t="s">
        <v>3110</v>
      </c>
      <c r="AX214" s="421" t="s">
        <v>3111</v>
      </c>
      <c r="AY214" s="421" t="s">
        <v>3112</v>
      </c>
      <c r="AZ214" s="421" t="s">
        <v>3113</v>
      </c>
      <c r="BA214" s="421" t="s">
        <v>3114</v>
      </c>
      <c r="BB214" s="421" t="s">
        <v>3115</v>
      </c>
      <c r="BC214" s="421">
        <v>1989.6</v>
      </c>
      <c r="BD214" s="421">
        <v>5042899.8499999996</v>
      </c>
      <c r="BE214" s="421">
        <v>0</v>
      </c>
      <c r="BF214" s="421">
        <v>36.94</v>
      </c>
      <c r="BG214" s="421">
        <v>5.07</v>
      </c>
      <c r="BH214" s="421">
        <v>0</v>
      </c>
      <c r="BI214" s="421" t="s">
        <v>1331</v>
      </c>
    </row>
    <row r="215" spans="1:61" x14ac:dyDescent="0.25">
      <c r="A215" s="421">
        <v>212</v>
      </c>
      <c r="B215" s="421">
        <v>2015</v>
      </c>
      <c r="C215" s="421">
        <v>4</v>
      </c>
      <c r="D215" s="421">
        <v>17</v>
      </c>
      <c r="E215" s="421" t="s">
        <v>1475</v>
      </c>
      <c r="F215" s="421" t="s">
        <v>3477</v>
      </c>
      <c r="G215" s="421" t="s">
        <v>3161</v>
      </c>
      <c r="H215" s="421" t="s">
        <v>1107</v>
      </c>
      <c r="I215" s="421" t="s">
        <v>3494</v>
      </c>
      <c r="J215" s="421" t="s">
        <v>3495</v>
      </c>
      <c r="K215" s="421" t="s">
        <v>3093</v>
      </c>
      <c r="L215" s="421" t="s">
        <v>3094</v>
      </c>
      <c r="M215" s="421" t="s">
        <v>2667</v>
      </c>
      <c r="N215" s="421" t="s">
        <v>3093</v>
      </c>
      <c r="O215" s="421" t="s">
        <v>3094</v>
      </c>
      <c r="P215" s="421" t="s">
        <v>3095</v>
      </c>
      <c r="Q215" s="421" t="s">
        <v>3096</v>
      </c>
      <c r="R215" s="421" t="s">
        <v>1108</v>
      </c>
      <c r="S215" s="421" t="s">
        <v>1542</v>
      </c>
      <c r="T215" s="421" t="s">
        <v>1130</v>
      </c>
      <c r="U215" s="421" t="s">
        <v>1112</v>
      </c>
      <c r="V215" s="421" t="s">
        <v>3097</v>
      </c>
      <c r="W215" s="421" t="s">
        <v>3098</v>
      </c>
      <c r="X215" s="421" t="s">
        <v>3099</v>
      </c>
      <c r="Y215" s="421" t="s">
        <v>1117</v>
      </c>
      <c r="Z215" s="421" t="s">
        <v>1118</v>
      </c>
      <c r="AA215" s="421" t="s">
        <v>3100</v>
      </c>
      <c r="AB215" s="421" t="s">
        <v>3101</v>
      </c>
      <c r="AC215" s="421" t="s">
        <v>3102</v>
      </c>
      <c r="AD215" s="421" t="s">
        <v>3496</v>
      </c>
      <c r="AE215" s="421" t="s">
        <v>3497</v>
      </c>
      <c r="AF215" s="421" t="s">
        <v>2236</v>
      </c>
      <c r="AG215" s="421" t="s">
        <v>2237</v>
      </c>
      <c r="AH215" s="421" t="s">
        <v>3105</v>
      </c>
      <c r="AI215" s="421">
        <v>1307000</v>
      </c>
      <c r="AJ215" s="421">
        <v>4128.1499999999996</v>
      </c>
      <c r="AK215" s="421">
        <v>4474.5200000000004</v>
      </c>
      <c r="AL215" s="421">
        <v>1</v>
      </c>
      <c r="AM215" s="421" t="s">
        <v>3498</v>
      </c>
      <c r="AN215" s="421" t="s">
        <v>3499</v>
      </c>
      <c r="AO215" s="421" t="s">
        <v>1121</v>
      </c>
      <c r="AP215" s="421" t="s">
        <v>1121</v>
      </c>
      <c r="AQ215" s="421" t="s">
        <v>1542</v>
      </c>
      <c r="AR215" s="421" t="s">
        <v>3485</v>
      </c>
      <c r="AS215" s="421" t="s">
        <v>3500</v>
      </c>
      <c r="AT215" s="421" t="s">
        <v>3109</v>
      </c>
      <c r="AU215" s="421" t="s">
        <v>1142</v>
      </c>
      <c r="AV215" s="421" t="s">
        <v>2135</v>
      </c>
      <c r="AW215" s="421" t="s">
        <v>3110</v>
      </c>
      <c r="AX215" s="421" t="s">
        <v>3111</v>
      </c>
      <c r="AY215" s="421" t="s">
        <v>3112</v>
      </c>
      <c r="AZ215" s="421" t="s">
        <v>3113</v>
      </c>
      <c r="BA215" s="421" t="s">
        <v>3114</v>
      </c>
      <c r="BB215" s="421" t="s">
        <v>3115</v>
      </c>
      <c r="BC215" s="421">
        <v>60761.5</v>
      </c>
      <c r="BD215" s="421">
        <v>151534927.69999999</v>
      </c>
      <c r="BE215" s="421">
        <v>0</v>
      </c>
      <c r="BF215" s="421">
        <v>817.09</v>
      </c>
      <c r="BG215" s="421">
        <v>0</v>
      </c>
      <c r="BH215" s="421">
        <v>163.93</v>
      </c>
      <c r="BI215" s="421" t="s">
        <v>1167</v>
      </c>
    </row>
    <row r="216" spans="1:61" x14ac:dyDescent="0.25">
      <c r="A216" s="421">
        <v>213</v>
      </c>
      <c r="B216" s="421">
        <v>2015</v>
      </c>
      <c r="C216" s="421">
        <v>4</v>
      </c>
      <c r="D216" s="421">
        <v>17</v>
      </c>
      <c r="E216" s="421" t="s">
        <v>1475</v>
      </c>
      <c r="F216" s="421" t="s">
        <v>3477</v>
      </c>
      <c r="G216" s="421" t="s">
        <v>3161</v>
      </c>
      <c r="H216" s="421" t="s">
        <v>1107</v>
      </c>
      <c r="I216" s="421" t="s">
        <v>3494</v>
      </c>
      <c r="J216" s="421" t="s">
        <v>3501</v>
      </c>
      <c r="K216" s="421" t="s">
        <v>3093</v>
      </c>
      <c r="L216" s="421" t="s">
        <v>3094</v>
      </c>
      <c r="M216" s="421" t="s">
        <v>2667</v>
      </c>
      <c r="N216" s="421" t="s">
        <v>3093</v>
      </c>
      <c r="O216" s="421" t="s">
        <v>3094</v>
      </c>
      <c r="P216" s="421" t="s">
        <v>3095</v>
      </c>
      <c r="Q216" s="421" t="s">
        <v>3113</v>
      </c>
      <c r="R216" s="421" t="s">
        <v>1108</v>
      </c>
      <c r="S216" s="421" t="s">
        <v>1108</v>
      </c>
      <c r="T216" s="421" t="s">
        <v>1130</v>
      </c>
      <c r="U216" s="421" t="s">
        <v>1112</v>
      </c>
      <c r="V216" s="421" t="s">
        <v>3097</v>
      </c>
      <c r="W216" s="421" t="s">
        <v>3098</v>
      </c>
      <c r="X216" s="421" t="s">
        <v>3099</v>
      </c>
      <c r="Y216" s="421" t="s">
        <v>1117</v>
      </c>
      <c r="Z216" s="421" t="s">
        <v>1118</v>
      </c>
      <c r="AA216" s="421" t="s">
        <v>3100</v>
      </c>
      <c r="AB216" s="421" t="s">
        <v>3101</v>
      </c>
      <c r="AC216" s="421" t="s">
        <v>3102</v>
      </c>
      <c r="AD216" s="421" t="s">
        <v>3125</v>
      </c>
      <c r="AE216" s="421" t="s">
        <v>3126</v>
      </c>
      <c r="AF216" s="421" t="s">
        <v>2236</v>
      </c>
      <c r="AG216" s="421" t="s">
        <v>2237</v>
      </c>
      <c r="AH216" s="421" t="s">
        <v>3105</v>
      </c>
      <c r="AI216" s="421">
        <v>1553720</v>
      </c>
      <c r="AJ216" s="421">
        <v>4260.71</v>
      </c>
      <c r="AK216" s="421">
        <v>4934.09</v>
      </c>
      <c r="AL216" s="421">
        <v>1</v>
      </c>
      <c r="AM216" s="421" t="s">
        <v>962</v>
      </c>
      <c r="AN216" s="421" t="s">
        <v>3127</v>
      </c>
      <c r="AO216" s="421" t="s">
        <v>1121</v>
      </c>
      <c r="AP216" s="421" t="s">
        <v>1121</v>
      </c>
      <c r="AQ216" s="421" t="s">
        <v>1108</v>
      </c>
      <c r="AR216" s="421" t="s">
        <v>3485</v>
      </c>
      <c r="AS216" s="421" t="s">
        <v>3502</v>
      </c>
      <c r="AT216" s="421" t="s">
        <v>3109</v>
      </c>
      <c r="AU216" s="421" t="s">
        <v>1142</v>
      </c>
      <c r="AV216" s="421" t="s">
        <v>2037</v>
      </c>
      <c r="AW216" s="421" t="s">
        <v>3110</v>
      </c>
      <c r="AX216" s="421" t="s">
        <v>3111</v>
      </c>
      <c r="AY216" s="421" t="s">
        <v>3112</v>
      </c>
      <c r="AZ216" s="421" t="s">
        <v>3113</v>
      </c>
      <c r="BA216" s="421" t="s">
        <v>3114</v>
      </c>
      <c r="BB216" s="421" t="s">
        <v>3115</v>
      </c>
      <c r="BC216" s="421">
        <v>57548.4</v>
      </c>
      <c r="BD216" s="421">
        <v>143521681.21000001</v>
      </c>
      <c r="BE216" s="421">
        <v>0</v>
      </c>
      <c r="BF216" s="421">
        <v>1896.27</v>
      </c>
      <c r="BG216" s="421">
        <v>0</v>
      </c>
      <c r="BH216" s="421">
        <v>0</v>
      </c>
      <c r="BI216" s="421" t="s">
        <v>1149</v>
      </c>
    </row>
    <row r="217" spans="1:61" x14ac:dyDescent="0.25">
      <c r="A217" s="421">
        <v>214</v>
      </c>
      <c r="B217" s="421">
        <v>2015</v>
      </c>
      <c r="C217" s="421">
        <v>4</v>
      </c>
      <c r="D217" s="421">
        <v>17</v>
      </c>
      <c r="E217" s="421" t="s">
        <v>1475</v>
      </c>
      <c r="F217" s="421" t="s">
        <v>3477</v>
      </c>
      <c r="G217" s="421" t="s">
        <v>3161</v>
      </c>
      <c r="H217" s="421" t="s">
        <v>1107</v>
      </c>
      <c r="I217" s="421" t="s">
        <v>3494</v>
      </c>
      <c r="J217" s="421" t="s">
        <v>3501</v>
      </c>
      <c r="K217" s="421" t="s">
        <v>3093</v>
      </c>
      <c r="L217" s="421" t="s">
        <v>3094</v>
      </c>
      <c r="M217" s="421" t="s">
        <v>2667</v>
      </c>
      <c r="N217" s="421" t="s">
        <v>3093</v>
      </c>
      <c r="O217" s="421" t="s">
        <v>3094</v>
      </c>
      <c r="P217" s="421" t="s">
        <v>3095</v>
      </c>
      <c r="Q217" s="421" t="s">
        <v>3113</v>
      </c>
      <c r="R217" s="421" t="s">
        <v>1108</v>
      </c>
      <c r="S217" s="421" t="s">
        <v>1108</v>
      </c>
      <c r="T217" s="421" t="s">
        <v>1130</v>
      </c>
      <c r="U217" s="421" t="s">
        <v>1112</v>
      </c>
      <c r="V217" s="421" t="s">
        <v>3097</v>
      </c>
      <c r="W217" s="421" t="s">
        <v>3098</v>
      </c>
      <c r="X217" s="421" t="s">
        <v>3099</v>
      </c>
      <c r="Y217" s="421" t="s">
        <v>1117</v>
      </c>
      <c r="Z217" s="421" t="s">
        <v>1118</v>
      </c>
      <c r="AA217" s="421" t="s">
        <v>3100</v>
      </c>
      <c r="AB217" s="421" t="s">
        <v>3101</v>
      </c>
      <c r="AC217" s="421" t="s">
        <v>3102</v>
      </c>
      <c r="AD217" s="421" t="s">
        <v>3125</v>
      </c>
      <c r="AE217" s="421" t="s">
        <v>3126</v>
      </c>
      <c r="AF217" s="421" t="s">
        <v>2236</v>
      </c>
      <c r="AG217" s="421" t="s">
        <v>2237</v>
      </c>
      <c r="AH217" s="421" t="s">
        <v>3105</v>
      </c>
      <c r="AI217" s="421">
        <v>327000</v>
      </c>
      <c r="AJ217" s="421">
        <v>1024.02</v>
      </c>
      <c r="AK217" s="421">
        <v>1185.8599999999999</v>
      </c>
      <c r="AL217" s="421">
        <v>2</v>
      </c>
      <c r="AM217" s="421" t="s">
        <v>962</v>
      </c>
      <c r="AN217" s="421" t="s">
        <v>3127</v>
      </c>
      <c r="AO217" s="421" t="s">
        <v>1121</v>
      </c>
      <c r="AP217" s="421" t="s">
        <v>1121</v>
      </c>
      <c r="AQ217" s="421" t="s">
        <v>1108</v>
      </c>
      <c r="AR217" s="421" t="s">
        <v>3485</v>
      </c>
      <c r="AS217" s="421" t="s">
        <v>3502</v>
      </c>
      <c r="AT217" s="421" t="s">
        <v>3109</v>
      </c>
      <c r="AU217" s="421" t="s">
        <v>1142</v>
      </c>
      <c r="AV217" s="421" t="s">
        <v>2037</v>
      </c>
      <c r="AW217" s="421" t="s">
        <v>3110</v>
      </c>
      <c r="AX217" s="421" t="s">
        <v>3111</v>
      </c>
      <c r="AY217" s="421" t="s">
        <v>3112</v>
      </c>
      <c r="AZ217" s="421" t="s">
        <v>3113</v>
      </c>
      <c r="BA217" s="421" t="s">
        <v>3114</v>
      </c>
      <c r="BB217" s="421" t="s">
        <v>3115</v>
      </c>
      <c r="BC217" s="421">
        <v>14308.8</v>
      </c>
      <c r="BD217" s="421">
        <v>35685145.579999998</v>
      </c>
      <c r="BE217" s="421">
        <v>0</v>
      </c>
      <c r="BF217" s="421">
        <v>471.49</v>
      </c>
      <c r="BG217" s="421">
        <v>0</v>
      </c>
      <c r="BH217" s="421">
        <v>0</v>
      </c>
      <c r="BI217" s="421" t="s">
        <v>1149</v>
      </c>
    </row>
    <row r="218" spans="1:61" x14ac:dyDescent="0.25">
      <c r="A218" s="421">
        <v>215</v>
      </c>
      <c r="B218" s="421">
        <v>2015</v>
      </c>
      <c r="C218" s="421">
        <v>4</v>
      </c>
      <c r="D218" s="421">
        <v>17</v>
      </c>
      <c r="E218" s="421" t="s">
        <v>1475</v>
      </c>
      <c r="F218" s="421" t="s">
        <v>3477</v>
      </c>
      <c r="G218" s="421" t="s">
        <v>3161</v>
      </c>
      <c r="H218" s="421" t="s">
        <v>1107</v>
      </c>
      <c r="I218" s="421" t="s">
        <v>3494</v>
      </c>
      <c r="J218" s="421" t="s">
        <v>3501</v>
      </c>
      <c r="K218" s="421" t="s">
        <v>3093</v>
      </c>
      <c r="L218" s="421" t="s">
        <v>3094</v>
      </c>
      <c r="M218" s="421" t="s">
        <v>2667</v>
      </c>
      <c r="N218" s="421" t="s">
        <v>3093</v>
      </c>
      <c r="O218" s="421" t="s">
        <v>3094</v>
      </c>
      <c r="P218" s="421" t="s">
        <v>3095</v>
      </c>
      <c r="Q218" s="421" t="s">
        <v>3113</v>
      </c>
      <c r="R218" s="421" t="s">
        <v>1108</v>
      </c>
      <c r="S218" s="421" t="s">
        <v>1108</v>
      </c>
      <c r="T218" s="421" t="s">
        <v>1130</v>
      </c>
      <c r="U218" s="421" t="s">
        <v>1112</v>
      </c>
      <c r="V218" s="421" t="s">
        <v>3097</v>
      </c>
      <c r="W218" s="421" t="s">
        <v>3098</v>
      </c>
      <c r="X218" s="421" t="s">
        <v>3099</v>
      </c>
      <c r="Y218" s="421" t="s">
        <v>1117</v>
      </c>
      <c r="Z218" s="421" t="s">
        <v>1118</v>
      </c>
      <c r="AA218" s="421" t="s">
        <v>3100</v>
      </c>
      <c r="AB218" s="421" t="s">
        <v>3101</v>
      </c>
      <c r="AC218" s="421" t="s">
        <v>3102</v>
      </c>
      <c r="AD218" s="421" t="s">
        <v>3125</v>
      </c>
      <c r="AE218" s="421" t="s">
        <v>3126</v>
      </c>
      <c r="AF218" s="421" t="s">
        <v>2236</v>
      </c>
      <c r="AG218" s="421" t="s">
        <v>2237</v>
      </c>
      <c r="AH218" s="421" t="s">
        <v>3105</v>
      </c>
      <c r="AI218" s="421">
        <v>84000</v>
      </c>
      <c r="AJ218" s="421">
        <v>315.75</v>
      </c>
      <c r="AK218" s="421">
        <v>365.65</v>
      </c>
      <c r="AL218" s="421">
        <v>3</v>
      </c>
      <c r="AM218" s="421" t="s">
        <v>962</v>
      </c>
      <c r="AN218" s="421" t="s">
        <v>3127</v>
      </c>
      <c r="AO218" s="421" t="s">
        <v>1121</v>
      </c>
      <c r="AP218" s="421" t="s">
        <v>1121</v>
      </c>
      <c r="AQ218" s="421" t="s">
        <v>1108</v>
      </c>
      <c r="AR218" s="421" t="s">
        <v>3485</v>
      </c>
      <c r="AS218" s="421" t="s">
        <v>3502</v>
      </c>
      <c r="AT218" s="421" t="s">
        <v>3109</v>
      </c>
      <c r="AU218" s="421" t="s">
        <v>1142</v>
      </c>
      <c r="AV218" s="421" t="s">
        <v>2037</v>
      </c>
      <c r="AW218" s="421" t="s">
        <v>3110</v>
      </c>
      <c r="AX218" s="421" t="s">
        <v>3111</v>
      </c>
      <c r="AY218" s="421" t="s">
        <v>3112</v>
      </c>
      <c r="AZ218" s="421" t="s">
        <v>3113</v>
      </c>
      <c r="BA218" s="421" t="s">
        <v>3114</v>
      </c>
      <c r="BB218" s="421" t="s">
        <v>3115</v>
      </c>
      <c r="BC218" s="421">
        <v>9926.4</v>
      </c>
      <c r="BD218" s="421">
        <v>24755746.75</v>
      </c>
      <c r="BE218" s="421">
        <v>0</v>
      </c>
      <c r="BF218" s="421">
        <v>327.08</v>
      </c>
      <c r="BG218" s="421">
        <v>0</v>
      </c>
      <c r="BH218" s="421">
        <v>0</v>
      </c>
      <c r="BI218" s="421" t="s">
        <v>1149</v>
      </c>
    </row>
    <row r="219" spans="1:61" x14ac:dyDescent="0.25">
      <c r="A219" s="421">
        <v>216</v>
      </c>
      <c r="B219" s="421">
        <v>2015</v>
      </c>
      <c r="C219" s="421">
        <v>4</v>
      </c>
      <c r="D219" s="421">
        <v>17</v>
      </c>
      <c r="E219" s="421" t="s">
        <v>1475</v>
      </c>
      <c r="F219" s="421" t="s">
        <v>3477</v>
      </c>
      <c r="G219" s="421" t="s">
        <v>3161</v>
      </c>
      <c r="H219" s="421" t="s">
        <v>1107</v>
      </c>
      <c r="I219" s="421" t="s">
        <v>3494</v>
      </c>
      <c r="J219" s="421" t="s">
        <v>3501</v>
      </c>
      <c r="K219" s="421" t="s">
        <v>3093</v>
      </c>
      <c r="L219" s="421" t="s">
        <v>3094</v>
      </c>
      <c r="M219" s="421" t="s">
        <v>2667</v>
      </c>
      <c r="N219" s="421" t="s">
        <v>3093</v>
      </c>
      <c r="O219" s="421" t="s">
        <v>3094</v>
      </c>
      <c r="P219" s="421" t="s">
        <v>3095</v>
      </c>
      <c r="Q219" s="421" t="s">
        <v>3113</v>
      </c>
      <c r="R219" s="421" t="s">
        <v>1108</v>
      </c>
      <c r="S219" s="421" t="s">
        <v>1108</v>
      </c>
      <c r="T219" s="421" t="s">
        <v>1130</v>
      </c>
      <c r="U219" s="421" t="s">
        <v>1112</v>
      </c>
      <c r="V219" s="421" t="s">
        <v>3097</v>
      </c>
      <c r="W219" s="421" t="s">
        <v>3098</v>
      </c>
      <c r="X219" s="421" t="s">
        <v>3099</v>
      </c>
      <c r="Y219" s="421" t="s">
        <v>1117</v>
      </c>
      <c r="Z219" s="421" t="s">
        <v>1118</v>
      </c>
      <c r="AA219" s="421" t="s">
        <v>3100</v>
      </c>
      <c r="AB219" s="421" t="s">
        <v>3101</v>
      </c>
      <c r="AC219" s="421" t="s">
        <v>3102</v>
      </c>
      <c r="AD219" s="421" t="s">
        <v>3125</v>
      </c>
      <c r="AE219" s="421" t="s">
        <v>3126</v>
      </c>
      <c r="AF219" s="421" t="s">
        <v>2236</v>
      </c>
      <c r="AG219" s="421" t="s">
        <v>2237</v>
      </c>
      <c r="AH219" s="421" t="s">
        <v>3105</v>
      </c>
      <c r="AI219" s="421">
        <v>24000</v>
      </c>
      <c r="AJ219" s="421">
        <v>92.64</v>
      </c>
      <c r="AK219" s="421">
        <v>107.28</v>
      </c>
      <c r="AL219" s="421">
        <v>4</v>
      </c>
      <c r="AM219" s="421" t="s">
        <v>962</v>
      </c>
      <c r="AN219" s="421" t="s">
        <v>3127</v>
      </c>
      <c r="AO219" s="421" t="s">
        <v>1121</v>
      </c>
      <c r="AP219" s="421" t="s">
        <v>1121</v>
      </c>
      <c r="AQ219" s="421" t="s">
        <v>1108</v>
      </c>
      <c r="AR219" s="421" t="s">
        <v>3485</v>
      </c>
      <c r="AS219" s="421" t="s">
        <v>3502</v>
      </c>
      <c r="AT219" s="421" t="s">
        <v>3109</v>
      </c>
      <c r="AU219" s="421" t="s">
        <v>1142</v>
      </c>
      <c r="AV219" s="421" t="s">
        <v>2037</v>
      </c>
      <c r="AW219" s="421" t="s">
        <v>3110</v>
      </c>
      <c r="AX219" s="421" t="s">
        <v>3111</v>
      </c>
      <c r="AY219" s="421" t="s">
        <v>3112</v>
      </c>
      <c r="AZ219" s="421" t="s">
        <v>3113</v>
      </c>
      <c r="BA219" s="421" t="s">
        <v>3114</v>
      </c>
      <c r="BB219" s="421" t="s">
        <v>3115</v>
      </c>
      <c r="BC219" s="421">
        <v>2736</v>
      </c>
      <c r="BD219" s="421">
        <v>6823392.4800000004</v>
      </c>
      <c r="BE219" s="421">
        <v>0</v>
      </c>
      <c r="BF219" s="421">
        <v>90.15</v>
      </c>
      <c r="BG219" s="421">
        <v>0</v>
      </c>
      <c r="BH219" s="421">
        <v>0</v>
      </c>
      <c r="BI219" s="421" t="s">
        <v>1149</v>
      </c>
    </row>
    <row r="220" spans="1:61" x14ac:dyDescent="0.25">
      <c r="A220" s="421">
        <v>217</v>
      </c>
      <c r="B220" s="421">
        <v>2015</v>
      </c>
      <c r="C220" s="421">
        <v>4</v>
      </c>
      <c r="D220" s="421">
        <v>17</v>
      </c>
      <c r="E220" s="421" t="s">
        <v>1475</v>
      </c>
      <c r="F220" s="421" t="s">
        <v>3477</v>
      </c>
      <c r="G220" s="421" t="s">
        <v>3161</v>
      </c>
      <c r="H220" s="421" t="s">
        <v>1107</v>
      </c>
      <c r="I220" s="421" t="s">
        <v>3494</v>
      </c>
      <c r="J220" s="421" t="s">
        <v>3495</v>
      </c>
      <c r="K220" s="421" t="s">
        <v>3093</v>
      </c>
      <c r="L220" s="421" t="s">
        <v>3094</v>
      </c>
      <c r="M220" s="421" t="s">
        <v>2667</v>
      </c>
      <c r="N220" s="421" t="s">
        <v>3093</v>
      </c>
      <c r="O220" s="421" t="s">
        <v>3094</v>
      </c>
      <c r="P220" s="421" t="s">
        <v>3095</v>
      </c>
      <c r="Q220" s="421" t="s">
        <v>3096</v>
      </c>
      <c r="R220" s="421" t="s">
        <v>1108</v>
      </c>
      <c r="S220" s="421" t="s">
        <v>1542</v>
      </c>
      <c r="T220" s="421" t="s">
        <v>1130</v>
      </c>
      <c r="U220" s="421" t="s">
        <v>1112</v>
      </c>
      <c r="V220" s="421" t="s">
        <v>3097</v>
      </c>
      <c r="W220" s="421" t="s">
        <v>3098</v>
      </c>
      <c r="X220" s="421" t="s">
        <v>3099</v>
      </c>
      <c r="Y220" s="421" t="s">
        <v>1117</v>
      </c>
      <c r="Z220" s="421" t="s">
        <v>1118</v>
      </c>
      <c r="AA220" s="421" t="s">
        <v>3100</v>
      </c>
      <c r="AB220" s="421" t="s">
        <v>3101</v>
      </c>
      <c r="AC220" s="421" t="s">
        <v>3102</v>
      </c>
      <c r="AD220" s="421" t="s">
        <v>3496</v>
      </c>
      <c r="AE220" s="421" t="s">
        <v>3497</v>
      </c>
      <c r="AF220" s="421" t="s">
        <v>2236</v>
      </c>
      <c r="AG220" s="421" t="s">
        <v>2237</v>
      </c>
      <c r="AH220" s="421" t="s">
        <v>3105</v>
      </c>
      <c r="AI220" s="421">
        <v>492000</v>
      </c>
      <c r="AJ220" s="421">
        <v>1771.38</v>
      </c>
      <c r="AK220" s="421">
        <v>1920.01</v>
      </c>
      <c r="AL220" s="421">
        <v>3</v>
      </c>
      <c r="AM220" s="421" t="s">
        <v>3498</v>
      </c>
      <c r="AN220" s="421" t="s">
        <v>3499</v>
      </c>
      <c r="AO220" s="421" t="s">
        <v>1121</v>
      </c>
      <c r="AP220" s="421" t="s">
        <v>1121</v>
      </c>
      <c r="AQ220" s="421" t="s">
        <v>1542</v>
      </c>
      <c r="AR220" s="421" t="s">
        <v>3485</v>
      </c>
      <c r="AS220" s="421" t="s">
        <v>3500</v>
      </c>
      <c r="AT220" s="421" t="s">
        <v>3109</v>
      </c>
      <c r="AU220" s="421" t="s">
        <v>1142</v>
      </c>
      <c r="AV220" s="421" t="s">
        <v>2135</v>
      </c>
      <c r="AW220" s="421" t="s">
        <v>3110</v>
      </c>
      <c r="AX220" s="421" t="s">
        <v>3111</v>
      </c>
      <c r="AY220" s="421" t="s">
        <v>3112</v>
      </c>
      <c r="AZ220" s="421" t="s">
        <v>3113</v>
      </c>
      <c r="BA220" s="421" t="s">
        <v>3114</v>
      </c>
      <c r="BB220" s="421" t="s">
        <v>3115</v>
      </c>
      <c r="BC220" s="421">
        <v>47664</v>
      </c>
      <c r="BD220" s="421">
        <v>118870679.52</v>
      </c>
      <c r="BE220" s="421">
        <v>0</v>
      </c>
      <c r="BF220" s="421">
        <v>640.96</v>
      </c>
      <c r="BG220" s="421">
        <v>0</v>
      </c>
      <c r="BH220" s="421">
        <v>128.59</v>
      </c>
      <c r="BI220" s="421" t="s">
        <v>1167</v>
      </c>
    </row>
    <row r="221" spans="1:61" x14ac:dyDescent="0.25">
      <c r="A221" s="421">
        <v>218</v>
      </c>
      <c r="B221" s="421">
        <v>2015</v>
      </c>
      <c r="C221" s="421">
        <v>4</v>
      </c>
      <c r="D221" s="421">
        <v>17</v>
      </c>
      <c r="E221" s="421" t="s">
        <v>1475</v>
      </c>
      <c r="F221" s="421" t="s">
        <v>3477</v>
      </c>
      <c r="G221" s="421" t="s">
        <v>3161</v>
      </c>
      <c r="H221" s="421" t="s">
        <v>1107</v>
      </c>
      <c r="I221" s="421" t="s">
        <v>3494</v>
      </c>
      <c r="J221" s="421" t="s">
        <v>3495</v>
      </c>
      <c r="K221" s="421" t="s">
        <v>3093</v>
      </c>
      <c r="L221" s="421" t="s">
        <v>3094</v>
      </c>
      <c r="M221" s="421" t="s">
        <v>2667</v>
      </c>
      <c r="N221" s="421" t="s">
        <v>3093</v>
      </c>
      <c r="O221" s="421" t="s">
        <v>3094</v>
      </c>
      <c r="P221" s="421" t="s">
        <v>3095</v>
      </c>
      <c r="Q221" s="421" t="s">
        <v>3096</v>
      </c>
      <c r="R221" s="421" t="s">
        <v>1108</v>
      </c>
      <c r="S221" s="421" t="s">
        <v>1542</v>
      </c>
      <c r="T221" s="421" t="s">
        <v>1130</v>
      </c>
      <c r="U221" s="421" t="s">
        <v>1112</v>
      </c>
      <c r="V221" s="421" t="s">
        <v>3097</v>
      </c>
      <c r="W221" s="421" t="s">
        <v>3098</v>
      </c>
      <c r="X221" s="421" t="s">
        <v>3099</v>
      </c>
      <c r="Y221" s="421" t="s">
        <v>1117</v>
      </c>
      <c r="Z221" s="421" t="s">
        <v>1118</v>
      </c>
      <c r="AA221" s="421" t="s">
        <v>3100</v>
      </c>
      <c r="AB221" s="421" t="s">
        <v>3101</v>
      </c>
      <c r="AC221" s="421" t="s">
        <v>3102</v>
      </c>
      <c r="AD221" s="421" t="s">
        <v>3496</v>
      </c>
      <c r="AE221" s="421" t="s">
        <v>3497</v>
      </c>
      <c r="AF221" s="421" t="s">
        <v>2236</v>
      </c>
      <c r="AG221" s="421" t="s">
        <v>2237</v>
      </c>
      <c r="AH221" s="421" t="s">
        <v>3105</v>
      </c>
      <c r="AI221" s="421">
        <v>30000</v>
      </c>
      <c r="AJ221" s="421">
        <v>116.26</v>
      </c>
      <c r="AK221" s="421">
        <v>126.01</v>
      </c>
      <c r="AL221" s="421">
        <v>4</v>
      </c>
      <c r="AM221" s="421" t="s">
        <v>3498</v>
      </c>
      <c r="AN221" s="421" t="s">
        <v>3499</v>
      </c>
      <c r="AO221" s="421" t="s">
        <v>1121</v>
      </c>
      <c r="AP221" s="421" t="s">
        <v>1121</v>
      </c>
      <c r="AQ221" s="421" t="s">
        <v>1542</v>
      </c>
      <c r="AR221" s="421" t="s">
        <v>3485</v>
      </c>
      <c r="AS221" s="421" t="s">
        <v>3500</v>
      </c>
      <c r="AT221" s="421" t="s">
        <v>3109</v>
      </c>
      <c r="AU221" s="421" t="s">
        <v>1142</v>
      </c>
      <c r="AV221" s="421" t="s">
        <v>2135</v>
      </c>
      <c r="AW221" s="421" t="s">
        <v>3110</v>
      </c>
      <c r="AX221" s="421" t="s">
        <v>3111</v>
      </c>
      <c r="AY221" s="421" t="s">
        <v>3112</v>
      </c>
      <c r="AZ221" s="421" t="s">
        <v>3113</v>
      </c>
      <c r="BA221" s="421" t="s">
        <v>3114</v>
      </c>
      <c r="BB221" s="421" t="s">
        <v>3115</v>
      </c>
      <c r="BC221" s="421">
        <v>3180</v>
      </c>
      <c r="BD221" s="421">
        <v>7930697.4000000004</v>
      </c>
      <c r="BE221" s="421">
        <v>0</v>
      </c>
      <c r="BF221" s="421">
        <v>42.76</v>
      </c>
      <c r="BG221" s="421">
        <v>0</v>
      </c>
      <c r="BH221" s="421">
        <v>8.58</v>
      </c>
      <c r="BI221" s="421" t="s">
        <v>1167</v>
      </c>
    </row>
    <row r="222" spans="1:61" x14ac:dyDescent="0.25">
      <c r="A222" s="421">
        <v>219</v>
      </c>
      <c r="B222" s="421">
        <v>2015</v>
      </c>
      <c r="C222" s="421">
        <v>4</v>
      </c>
      <c r="D222" s="421">
        <v>17</v>
      </c>
      <c r="E222" s="421" t="s">
        <v>1475</v>
      </c>
      <c r="F222" s="421" t="s">
        <v>3477</v>
      </c>
      <c r="G222" s="421" t="s">
        <v>3161</v>
      </c>
      <c r="H222" s="421" t="s">
        <v>1107</v>
      </c>
      <c r="I222" s="421" t="s">
        <v>3494</v>
      </c>
      <c r="J222" s="421" t="s">
        <v>3495</v>
      </c>
      <c r="K222" s="421" t="s">
        <v>3093</v>
      </c>
      <c r="L222" s="421" t="s">
        <v>3094</v>
      </c>
      <c r="M222" s="421" t="s">
        <v>2667</v>
      </c>
      <c r="N222" s="421" t="s">
        <v>3093</v>
      </c>
      <c r="O222" s="421" t="s">
        <v>3094</v>
      </c>
      <c r="P222" s="421" t="s">
        <v>3095</v>
      </c>
      <c r="Q222" s="421" t="s">
        <v>3096</v>
      </c>
      <c r="R222" s="421" t="s">
        <v>1108</v>
      </c>
      <c r="S222" s="421" t="s">
        <v>1542</v>
      </c>
      <c r="T222" s="421" t="s">
        <v>1130</v>
      </c>
      <c r="U222" s="421" t="s">
        <v>1112</v>
      </c>
      <c r="V222" s="421" t="s">
        <v>3097</v>
      </c>
      <c r="W222" s="421" t="s">
        <v>3098</v>
      </c>
      <c r="X222" s="421" t="s">
        <v>3099</v>
      </c>
      <c r="Y222" s="421" t="s">
        <v>1117</v>
      </c>
      <c r="Z222" s="421" t="s">
        <v>1118</v>
      </c>
      <c r="AA222" s="421" t="s">
        <v>3100</v>
      </c>
      <c r="AB222" s="421" t="s">
        <v>3101</v>
      </c>
      <c r="AC222" s="421" t="s">
        <v>3102</v>
      </c>
      <c r="AD222" s="421" t="s">
        <v>3496</v>
      </c>
      <c r="AE222" s="421" t="s">
        <v>3497</v>
      </c>
      <c r="AF222" s="421" t="s">
        <v>2236</v>
      </c>
      <c r="AG222" s="421" t="s">
        <v>2237</v>
      </c>
      <c r="AH222" s="421" t="s">
        <v>3105</v>
      </c>
      <c r="AI222" s="421">
        <v>143000</v>
      </c>
      <c r="AJ222" s="421">
        <v>501.69</v>
      </c>
      <c r="AK222" s="421">
        <v>543.78</v>
      </c>
      <c r="AL222" s="421">
        <v>2</v>
      </c>
      <c r="AM222" s="421" t="s">
        <v>3498</v>
      </c>
      <c r="AN222" s="421" t="s">
        <v>3499</v>
      </c>
      <c r="AO222" s="421" t="s">
        <v>1121</v>
      </c>
      <c r="AP222" s="421" t="s">
        <v>1121</v>
      </c>
      <c r="AQ222" s="421" t="s">
        <v>1542</v>
      </c>
      <c r="AR222" s="421" t="s">
        <v>3485</v>
      </c>
      <c r="AS222" s="421" t="s">
        <v>3500</v>
      </c>
      <c r="AT222" s="421" t="s">
        <v>3109</v>
      </c>
      <c r="AU222" s="421" t="s">
        <v>1142</v>
      </c>
      <c r="AV222" s="421" t="s">
        <v>2135</v>
      </c>
      <c r="AW222" s="421" t="s">
        <v>3110</v>
      </c>
      <c r="AX222" s="421" t="s">
        <v>3111</v>
      </c>
      <c r="AY222" s="421" t="s">
        <v>3112</v>
      </c>
      <c r="AZ222" s="421" t="s">
        <v>3113</v>
      </c>
      <c r="BA222" s="421" t="s">
        <v>3114</v>
      </c>
      <c r="BB222" s="421" t="s">
        <v>3115</v>
      </c>
      <c r="BC222" s="421">
        <v>7376</v>
      </c>
      <c r="BD222" s="421">
        <v>18395227.68</v>
      </c>
      <c r="BE222" s="421">
        <v>0</v>
      </c>
      <c r="BF222" s="421">
        <v>99.19</v>
      </c>
      <c r="BG222" s="421">
        <v>0</v>
      </c>
      <c r="BH222" s="421">
        <v>19.899999999999999</v>
      </c>
      <c r="BI222" s="421" t="s">
        <v>1167</v>
      </c>
    </row>
    <row r="223" spans="1:61" x14ac:dyDescent="0.25">
      <c r="A223" s="421">
        <v>220</v>
      </c>
      <c r="B223" s="421">
        <v>2015</v>
      </c>
      <c r="C223" s="421">
        <v>4</v>
      </c>
      <c r="D223" s="421">
        <v>21</v>
      </c>
      <c r="E223" s="421" t="s">
        <v>1475</v>
      </c>
      <c r="F223" s="421" t="s">
        <v>3477</v>
      </c>
      <c r="G223" s="421" t="s">
        <v>3201</v>
      </c>
      <c r="H223" s="421" t="s">
        <v>1107</v>
      </c>
      <c r="I223" s="421" t="s">
        <v>1805</v>
      </c>
      <c r="J223" s="421" t="s">
        <v>3503</v>
      </c>
      <c r="K223" s="421" t="s">
        <v>3093</v>
      </c>
      <c r="L223" s="421" t="s">
        <v>3094</v>
      </c>
      <c r="M223" s="421" t="s">
        <v>2667</v>
      </c>
      <c r="N223" s="421" t="s">
        <v>3093</v>
      </c>
      <c r="O223" s="421" t="s">
        <v>3094</v>
      </c>
      <c r="P223" s="421" t="s">
        <v>3095</v>
      </c>
      <c r="Q223" s="421" t="s">
        <v>3113</v>
      </c>
      <c r="R223" s="421" t="s">
        <v>1108</v>
      </c>
      <c r="S223" s="421" t="s">
        <v>1108</v>
      </c>
      <c r="T223" s="421" t="s">
        <v>1130</v>
      </c>
      <c r="U223" s="421" t="s">
        <v>1112</v>
      </c>
      <c r="V223" s="421" t="s">
        <v>3097</v>
      </c>
      <c r="W223" s="421" t="s">
        <v>3098</v>
      </c>
      <c r="X223" s="421" t="s">
        <v>3099</v>
      </c>
      <c r="Y223" s="421" t="s">
        <v>1117</v>
      </c>
      <c r="Z223" s="421" t="s">
        <v>1118</v>
      </c>
      <c r="AA223" s="421" t="s">
        <v>3100</v>
      </c>
      <c r="AB223" s="421" t="s">
        <v>3101</v>
      </c>
      <c r="AC223" s="421" t="s">
        <v>3102</v>
      </c>
      <c r="AD223" s="421" t="s">
        <v>3232</v>
      </c>
      <c r="AE223" s="421" t="s">
        <v>3233</v>
      </c>
      <c r="AF223" s="421" t="s">
        <v>1512</v>
      </c>
      <c r="AG223" s="421" t="s">
        <v>1513</v>
      </c>
      <c r="AH223" s="421" t="s">
        <v>3105</v>
      </c>
      <c r="AI223" s="421">
        <v>3000</v>
      </c>
      <c r="AJ223" s="421">
        <v>19.73</v>
      </c>
      <c r="AK223" s="421">
        <v>20.66</v>
      </c>
      <c r="AL223" s="421">
        <v>1</v>
      </c>
      <c r="AM223" s="421" t="s">
        <v>3234</v>
      </c>
      <c r="AN223" s="421" t="s">
        <v>3235</v>
      </c>
      <c r="AO223" s="421" t="s">
        <v>1121</v>
      </c>
      <c r="AP223" s="421" t="s">
        <v>1121</v>
      </c>
      <c r="AQ223" s="421" t="s">
        <v>1108</v>
      </c>
      <c r="AR223" s="421" t="s">
        <v>3485</v>
      </c>
      <c r="AS223" s="421" t="s">
        <v>3504</v>
      </c>
      <c r="AT223" s="421" t="s">
        <v>3109</v>
      </c>
      <c r="AU223" s="421" t="s">
        <v>1142</v>
      </c>
      <c r="AV223" s="421" t="s">
        <v>2135</v>
      </c>
      <c r="AW223" s="421" t="s">
        <v>3110</v>
      </c>
      <c r="AX223" s="421" t="s">
        <v>3111</v>
      </c>
      <c r="AY223" s="421" t="s">
        <v>3112</v>
      </c>
      <c r="AZ223" s="421" t="s">
        <v>3113</v>
      </c>
      <c r="BA223" s="421" t="s">
        <v>3114</v>
      </c>
      <c r="BB223" s="421" t="s">
        <v>3115</v>
      </c>
      <c r="BC223" s="421">
        <v>160</v>
      </c>
      <c r="BD223" s="421">
        <v>397931.2</v>
      </c>
      <c r="BE223" s="421">
        <v>0</v>
      </c>
      <c r="BF223" s="421">
        <v>30</v>
      </c>
      <c r="BG223" s="421">
        <v>12</v>
      </c>
      <c r="BH223" s="421">
        <v>0</v>
      </c>
      <c r="BI223" s="421" t="s">
        <v>1167</v>
      </c>
    </row>
    <row r="224" spans="1:61" x14ac:dyDescent="0.25">
      <c r="A224" s="421">
        <v>221</v>
      </c>
      <c r="B224" s="421">
        <v>2015</v>
      </c>
      <c r="C224" s="421">
        <v>4</v>
      </c>
      <c r="D224" s="421">
        <v>21</v>
      </c>
      <c r="E224" s="421" t="s">
        <v>1475</v>
      </c>
      <c r="F224" s="421" t="s">
        <v>3477</v>
      </c>
      <c r="G224" s="421" t="s">
        <v>3201</v>
      </c>
      <c r="H224" s="421" t="s">
        <v>1107</v>
      </c>
      <c r="I224" s="421" t="s">
        <v>1805</v>
      </c>
      <c r="J224" s="421" t="s">
        <v>3505</v>
      </c>
      <c r="K224" s="421" t="s">
        <v>3093</v>
      </c>
      <c r="L224" s="421" t="s">
        <v>3094</v>
      </c>
      <c r="M224" s="421" t="s">
        <v>2667</v>
      </c>
      <c r="N224" s="421" t="s">
        <v>3093</v>
      </c>
      <c r="O224" s="421" t="s">
        <v>3094</v>
      </c>
      <c r="P224" s="421" t="s">
        <v>3095</v>
      </c>
      <c r="Q224" s="421" t="s">
        <v>3113</v>
      </c>
      <c r="R224" s="421" t="s">
        <v>1108</v>
      </c>
      <c r="S224" s="421" t="s">
        <v>1108</v>
      </c>
      <c r="T224" s="421" t="s">
        <v>1130</v>
      </c>
      <c r="U224" s="421" t="s">
        <v>1112</v>
      </c>
      <c r="V224" s="421" t="s">
        <v>3097</v>
      </c>
      <c r="W224" s="421" t="s">
        <v>3098</v>
      </c>
      <c r="X224" s="421" t="s">
        <v>3099</v>
      </c>
      <c r="Y224" s="421" t="s">
        <v>1117</v>
      </c>
      <c r="Z224" s="421" t="s">
        <v>1118</v>
      </c>
      <c r="AA224" s="421" t="s">
        <v>3100</v>
      </c>
      <c r="AB224" s="421" t="s">
        <v>3101</v>
      </c>
      <c r="AC224" s="421" t="s">
        <v>3102</v>
      </c>
      <c r="AD224" s="421" t="s">
        <v>3232</v>
      </c>
      <c r="AE224" s="421" t="s">
        <v>3233</v>
      </c>
      <c r="AF224" s="421" t="s">
        <v>2236</v>
      </c>
      <c r="AG224" s="421" t="s">
        <v>2237</v>
      </c>
      <c r="AH224" s="421" t="s">
        <v>3105</v>
      </c>
      <c r="AI224" s="421">
        <v>94000</v>
      </c>
      <c r="AJ224" s="421">
        <v>362.17</v>
      </c>
      <c r="AK224" s="421">
        <v>391.97</v>
      </c>
      <c r="AL224" s="421">
        <v>3</v>
      </c>
      <c r="AM224" s="421" t="s">
        <v>3234</v>
      </c>
      <c r="AN224" s="421" t="s">
        <v>3235</v>
      </c>
      <c r="AO224" s="421" t="s">
        <v>1121</v>
      </c>
      <c r="AP224" s="421" t="s">
        <v>1121</v>
      </c>
      <c r="AQ224" s="421" t="s">
        <v>1108</v>
      </c>
      <c r="AR224" s="421" t="s">
        <v>3485</v>
      </c>
      <c r="AS224" s="421" t="s">
        <v>3506</v>
      </c>
      <c r="AT224" s="421" t="s">
        <v>3109</v>
      </c>
      <c r="AU224" s="421" t="s">
        <v>1142</v>
      </c>
      <c r="AV224" s="421" t="s">
        <v>2135</v>
      </c>
      <c r="AW224" s="421" t="s">
        <v>3110</v>
      </c>
      <c r="AX224" s="421" t="s">
        <v>3111</v>
      </c>
      <c r="AY224" s="421" t="s">
        <v>3112</v>
      </c>
      <c r="AZ224" s="421" t="s">
        <v>3113</v>
      </c>
      <c r="BA224" s="421" t="s">
        <v>3114</v>
      </c>
      <c r="BB224" s="421" t="s">
        <v>3115</v>
      </c>
      <c r="BC224" s="421">
        <v>8416</v>
      </c>
      <c r="BD224" s="421">
        <v>20931181.120000001</v>
      </c>
      <c r="BE224" s="421">
        <v>0</v>
      </c>
      <c r="BF224" s="421">
        <v>97.81</v>
      </c>
      <c r="BG224" s="421">
        <v>21.28</v>
      </c>
      <c r="BH224" s="421">
        <v>0</v>
      </c>
      <c r="BI224" s="421" t="s">
        <v>1167</v>
      </c>
    </row>
    <row r="225" spans="1:61" x14ac:dyDescent="0.25">
      <c r="A225" s="421">
        <v>222</v>
      </c>
      <c r="B225" s="421">
        <v>2015</v>
      </c>
      <c r="C225" s="421">
        <v>4</v>
      </c>
      <c r="D225" s="421">
        <v>21</v>
      </c>
      <c r="E225" s="421" t="s">
        <v>1475</v>
      </c>
      <c r="F225" s="421" t="s">
        <v>3477</v>
      </c>
      <c r="G225" s="421" t="s">
        <v>3201</v>
      </c>
      <c r="H225" s="421" t="s">
        <v>1107</v>
      </c>
      <c r="I225" s="421" t="s">
        <v>1805</v>
      </c>
      <c r="J225" s="421" t="s">
        <v>3505</v>
      </c>
      <c r="K225" s="421" t="s">
        <v>3093</v>
      </c>
      <c r="L225" s="421" t="s">
        <v>3094</v>
      </c>
      <c r="M225" s="421" t="s">
        <v>2667</v>
      </c>
      <c r="N225" s="421" t="s">
        <v>3093</v>
      </c>
      <c r="O225" s="421" t="s">
        <v>3094</v>
      </c>
      <c r="P225" s="421" t="s">
        <v>3095</v>
      </c>
      <c r="Q225" s="421" t="s">
        <v>3113</v>
      </c>
      <c r="R225" s="421" t="s">
        <v>1108</v>
      </c>
      <c r="S225" s="421" t="s">
        <v>1108</v>
      </c>
      <c r="T225" s="421" t="s">
        <v>1130</v>
      </c>
      <c r="U225" s="421" t="s">
        <v>1112</v>
      </c>
      <c r="V225" s="421" t="s">
        <v>3097</v>
      </c>
      <c r="W225" s="421" t="s">
        <v>3098</v>
      </c>
      <c r="X225" s="421" t="s">
        <v>3099</v>
      </c>
      <c r="Y225" s="421" t="s">
        <v>1117</v>
      </c>
      <c r="Z225" s="421" t="s">
        <v>1118</v>
      </c>
      <c r="AA225" s="421" t="s">
        <v>3100</v>
      </c>
      <c r="AB225" s="421" t="s">
        <v>3101</v>
      </c>
      <c r="AC225" s="421" t="s">
        <v>3102</v>
      </c>
      <c r="AD225" s="421" t="s">
        <v>3232</v>
      </c>
      <c r="AE225" s="421" t="s">
        <v>3233</v>
      </c>
      <c r="AF225" s="421" t="s">
        <v>2236</v>
      </c>
      <c r="AG225" s="421" t="s">
        <v>2237</v>
      </c>
      <c r="AH225" s="421" t="s">
        <v>3105</v>
      </c>
      <c r="AI225" s="421">
        <v>1441750</v>
      </c>
      <c r="AJ225" s="421">
        <v>3739.42</v>
      </c>
      <c r="AK225" s="421">
        <v>4047.14</v>
      </c>
      <c r="AL225" s="421">
        <v>1</v>
      </c>
      <c r="AM225" s="421" t="s">
        <v>3234</v>
      </c>
      <c r="AN225" s="421" t="s">
        <v>3235</v>
      </c>
      <c r="AO225" s="421" t="s">
        <v>1121</v>
      </c>
      <c r="AP225" s="421" t="s">
        <v>1121</v>
      </c>
      <c r="AQ225" s="421" t="s">
        <v>1108</v>
      </c>
      <c r="AR225" s="421" t="s">
        <v>3485</v>
      </c>
      <c r="AS225" s="421" t="s">
        <v>3506</v>
      </c>
      <c r="AT225" s="421" t="s">
        <v>3109</v>
      </c>
      <c r="AU225" s="421" t="s">
        <v>1142</v>
      </c>
      <c r="AV225" s="421" t="s">
        <v>2135</v>
      </c>
      <c r="AW225" s="421" t="s">
        <v>3110</v>
      </c>
      <c r="AX225" s="421" t="s">
        <v>3111</v>
      </c>
      <c r="AY225" s="421" t="s">
        <v>3112</v>
      </c>
      <c r="AZ225" s="421" t="s">
        <v>3113</v>
      </c>
      <c r="BA225" s="421" t="s">
        <v>3114</v>
      </c>
      <c r="BB225" s="421" t="s">
        <v>3115</v>
      </c>
      <c r="BC225" s="421">
        <v>50618</v>
      </c>
      <c r="BD225" s="421">
        <v>125890509.26000001</v>
      </c>
      <c r="BE225" s="421">
        <v>0</v>
      </c>
      <c r="BF225" s="421">
        <v>588.26</v>
      </c>
      <c r="BG225" s="421">
        <v>128.01</v>
      </c>
      <c r="BH225" s="421">
        <v>0</v>
      </c>
      <c r="BI225" s="421" t="s">
        <v>1167</v>
      </c>
    </row>
    <row r="226" spans="1:61" x14ac:dyDescent="0.25">
      <c r="A226" s="421">
        <v>223</v>
      </c>
      <c r="B226" s="421">
        <v>2015</v>
      </c>
      <c r="C226" s="421">
        <v>4</v>
      </c>
      <c r="D226" s="421">
        <v>21</v>
      </c>
      <c r="E226" s="421" t="s">
        <v>1475</v>
      </c>
      <c r="F226" s="421" t="s">
        <v>3477</v>
      </c>
      <c r="G226" s="421" t="s">
        <v>3201</v>
      </c>
      <c r="H226" s="421" t="s">
        <v>1107</v>
      </c>
      <c r="I226" s="421" t="s">
        <v>1805</v>
      </c>
      <c r="J226" s="421" t="s">
        <v>3505</v>
      </c>
      <c r="K226" s="421" t="s">
        <v>3093</v>
      </c>
      <c r="L226" s="421" t="s">
        <v>3094</v>
      </c>
      <c r="M226" s="421" t="s">
        <v>2667</v>
      </c>
      <c r="N226" s="421" t="s">
        <v>3093</v>
      </c>
      <c r="O226" s="421" t="s">
        <v>3094</v>
      </c>
      <c r="P226" s="421" t="s">
        <v>3095</v>
      </c>
      <c r="Q226" s="421" t="s">
        <v>3113</v>
      </c>
      <c r="R226" s="421" t="s">
        <v>1108</v>
      </c>
      <c r="S226" s="421" t="s">
        <v>1108</v>
      </c>
      <c r="T226" s="421" t="s">
        <v>1130</v>
      </c>
      <c r="U226" s="421" t="s">
        <v>1112</v>
      </c>
      <c r="V226" s="421" t="s">
        <v>3097</v>
      </c>
      <c r="W226" s="421" t="s">
        <v>3098</v>
      </c>
      <c r="X226" s="421" t="s">
        <v>3099</v>
      </c>
      <c r="Y226" s="421" t="s">
        <v>1117</v>
      </c>
      <c r="Z226" s="421" t="s">
        <v>1118</v>
      </c>
      <c r="AA226" s="421" t="s">
        <v>3100</v>
      </c>
      <c r="AB226" s="421" t="s">
        <v>3101</v>
      </c>
      <c r="AC226" s="421" t="s">
        <v>3102</v>
      </c>
      <c r="AD226" s="421" t="s">
        <v>3232</v>
      </c>
      <c r="AE226" s="421" t="s">
        <v>3233</v>
      </c>
      <c r="AF226" s="421" t="s">
        <v>2236</v>
      </c>
      <c r="AG226" s="421" t="s">
        <v>2237</v>
      </c>
      <c r="AH226" s="421" t="s">
        <v>3105</v>
      </c>
      <c r="AI226" s="421">
        <v>991750</v>
      </c>
      <c r="AJ226" s="421">
        <v>2520.9699999999998</v>
      </c>
      <c r="AK226" s="421">
        <v>2728.42</v>
      </c>
      <c r="AL226" s="421">
        <v>2</v>
      </c>
      <c r="AM226" s="421" t="s">
        <v>3234</v>
      </c>
      <c r="AN226" s="421" t="s">
        <v>3235</v>
      </c>
      <c r="AO226" s="421" t="s">
        <v>1121</v>
      </c>
      <c r="AP226" s="421" t="s">
        <v>1121</v>
      </c>
      <c r="AQ226" s="421" t="s">
        <v>1108</v>
      </c>
      <c r="AR226" s="421" t="s">
        <v>3485</v>
      </c>
      <c r="AS226" s="421" t="s">
        <v>3506</v>
      </c>
      <c r="AT226" s="421" t="s">
        <v>3109</v>
      </c>
      <c r="AU226" s="421" t="s">
        <v>1142</v>
      </c>
      <c r="AV226" s="421" t="s">
        <v>2135</v>
      </c>
      <c r="AW226" s="421" t="s">
        <v>3110</v>
      </c>
      <c r="AX226" s="421" t="s">
        <v>3111</v>
      </c>
      <c r="AY226" s="421" t="s">
        <v>3112</v>
      </c>
      <c r="AZ226" s="421" t="s">
        <v>3113</v>
      </c>
      <c r="BA226" s="421" t="s">
        <v>3114</v>
      </c>
      <c r="BB226" s="421" t="s">
        <v>3115</v>
      </c>
      <c r="BC226" s="421">
        <v>34757</v>
      </c>
      <c r="BD226" s="421">
        <v>86443091.989999995</v>
      </c>
      <c r="BE226" s="421">
        <v>0</v>
      </c>
      <c r="BF226" s="421">
        <v>403.93</v>
      </c>
      <c r="BG226" s="421">
        <v>87.9</v>
      </c>
      <c r="BH226" s="421">
        <v>0</v>
      </c>
      <c r="BI226" s="421" t="s">
        <v>1167</v>
      </c>
    </row>
    <row r="227" spans="1:61" x14ac:dyDescent="0.25">
      <c r="A227" s="421">
        <v>224</v>
      </c>
      <c r="B227" s="421">
        <v>2015</v>
      </c>
      <c r="C227" s="421">
        <v>4</v>
      </c>
      <c r="D227" s="421">
        <v>22</v>
      </c>
      <c r="E227" s="421" t="s">
        <v>1475</v>
      </c>
      <c r="F227" s="421" t="s">
        <v>3477</v>
      </c>
      <c r="G227" s="421" t="s">
        <v>3507</v>
      </c>
      <c r="H227" s="421" t="s">
        <v>1107</v>
      </c>
      <c r="I227" s="421" t="s">
        <v>1760</v>
      </c>
      <c r="J227" s="421" t="s">
        <v>3508</v>
      </c>
      <c r="K227" s="421" t="s">
        <v>3093</v>
      </c>
      <c r="L227" s="421" t="s">
        <v>3094</v>
      </c>
      <c r="M227" s="421" t="s">
        <v>2667</v>
      </c>
      <c r="N227" s="421" t="s">
        <v>3093</v>
      </c>
      <c r="O227" s="421" t="s">
        <v>3094</v>
      </c>
      <c r="P227" s="421" t="s">
        <v>3095</v>
      </c>
      <c r="Q227" s="421" t="s">
        <v>3113</v>
      </c>
      <c r="R227" s="421" t="s">
        <v>1108</v>
      </c>
      <c r="S227" s="421" t="s">
        <v>1108</v>
      </c>
      <c r="T227" s="421" t="s">
        <v>1130</v>
      </c>
      <c r="U227" s="421" t="s">
        <v>3144</v>
      </c>
      <c r="V227" s="421" t="s">
        <v>3145</v>
      </c>
      <c r="W227" s="421" t="s">
        <v>3098</v>
      </c>
      <c r="X227" s="421" t="s">
        <v>3099</v>
      </c>
      <c r="Y227" s="421" t="s">
        <v>1117</v>
      </c>
      <c r="Z227" s="421" t="s">
        <v>1118</v>
      </c>
      <c r="AA227" s="421" t="s">
        <v>3100</v>
      </c>
      <c r="AB227" s="421" t="s">
        <v>3146</v>
      </c>
      <c r="AC227" s="421" t="s">
        <v>3102</v>
      </c>
      <c r="AD227" s="421" t="s">
        <v>3327</v>
      </c>
      <c r="AE227" s="421" t="s">
        <v>3328</v>
      </c>
      <c r="AF227" s="421" t="s">
        <v>2236</v>
      </c>
      <c r="AG227" s="421" t="s">
        <v>2237</v>
      </c>
      <c r="AH227" s="421" t="s">
        <v>3105</v>
      </c>
      <c r="AI227" s="421">
        <v>105000</v>
      </c>
      <c r="AJ227" s="421">
        <v>326.29000000000002</v>
      </c>
      <c r="AK227" s="421">
        <v>347</v>
      </c>
      <c r="AL227" s="421">
        <v>1</v>
      </c>
      <c r="AM227" s="421" t="s">
        <v>3329</v>
      </c>
      <c r="AN227" s="421" t="s">
        <v>3330</v>
      </c>
      <c r="AO227" s="421" t="s">
        <v>1121</v>
      </c>
      <c r="AP227" s="421" t="s">
        <v>1121</v>
      </c>
      <c r="AQ227" s="421" t="s">
        <v>1476</v>
      </c>
      <c r="AR227" s="421" t="s">
        <v>3485</v>
      </c>
      <c r="AS227" s="421" t="s">
        <v>3509</v>
      </c>
      <c r="AT227" s="421" t="s">
        <v>3109</v>
      </c>
      <c r="AU227" s="421" t="s">
        <v>1341</v>
      </c>
      <c r="AV227" s="421" t="s">
        <v>3157</v>
      </c>
      <c r="AW227" s="421" t="s">
        <v>3110</v>
      </c>
      <c r="AX227" s="421" t="s">
        <v>3111</v>
      </c>
      <c r="AY227" s="421" t="s">
        <v>3112</v>
      </c>
      <c r="AZ227" s="421" t="s">
        <v>3113</v>
      </c>
      <c r="BA227" s="421" t="s">
        <v>3114</v>
      </c>
      <c r="BB227" s="421" t="s">
        <v>3115</v>
      </c>
      <c r="BC227" s="421">
        <v>4811</v>
      </c>
      <c r="BD227" s="421">
        <v>11878503.33</v>
      </c>
      <c r="BE227" s="421">
        <v>0</v>
      </c>
      <c r="BF227" s="421">
        <v>943.36</v>
      </c>
      <c r="BG227" s="421">
        <v>0</v>
      </c>
      <c r="BH227" s="421">
        <v>0</v>
      </c>
      <c r="BI227" s="421" t="s">
        <v>1149</v>
      </c>
    </row>
    <row r="228" spans="1:61" x14ac:dyDescent="0.25">
      <c r="A228" s="421">
        <v>225</v>
      </c>
      <c r="B228" s="421">
        <v>2015</v>
      </c>
      <c r="C228" s="421">
        <v>4</v>
      </c>
      <c r="D228" s="421">
        <v>22</v>
      </c>
      <c r="E228" s="421" t="s">
        <v>1475</v>
      </c>
      <c r="F228" s="421" t="s">
        <v>3477</v>
      </c>
      <c r="G228" s="421" t="s">
        <v>3507</v>
      </c>
      <c r="H228" s="421" t="s">
        <v>1107</v>
      </c>
      <c r="I228" s="421" t="s">
        <v>1760</v>
      </c>
      <c r="J228" s="421" t="s">
        <v>3510</v>
      </c>
      <c r="K228" s="421" t="s">
        <v>3093</v>
      </c>
      <c r="L228" s="421" t="s">
        <v>3094</v>
      </c>
      <c r="M228" s="421" t="s">
        <v>2667</v>
      </c>
      <c r="N228" s="421" t="s">
        <v>3093</v>
      </c>
      <c r="O228" s="421" t="s">
        <v>3094</v>
      </c>
      <c r="P228" s="421" t="s">
        <v>3095</v>
      </c>
      <c r="Q228" s="421" t="s">
        <v>3096</v>
      </c>
      <c r="R228" s="421" t="s">
        <v>1108</v>
      </c>
      <c r="S228" s="421" t="s">
        <v>1476</v>
      </c>
      <c r="T228" s="421" t="s">
        <v>1130</v>
      </c>
      <c r="U228" s="421" t="s">
        <v>3144</v>
      </c>
      <c r="V228" s="421" t="s">
        <v>3145</v>
      </c>
      <c r="W228" s="421" t="s">
        <v>3098</v>
      </c>
      <c r="X228" s="421" t="s">
        <v>3099</v>
      </c>
      <c r="Y228" s="421" t="s">
        <v>1117</v>
      </c>
      <c r="Z228" s="421" t="s">
        <v>1118</v>
      </c>
      <c r="AA228" s="421" t="s">
        <v>3100</v>
      </c>
      <c r="AB228" s="421" t="s">
        <v>3146</v>
      </c>
      <c r="AC228" s="421" t="s">
        <v>3102</v>
      </c>
      <c r="AD228" s="421" t="s">
        <v>3125</v>
      </c>
      <c r="AE228" s="421" t="s">
        <v>3147</v>
      </c>
      <c r="AF228" s="421" t="s">
        <v>2236</v>
      </c>
      <c r="AG228" s="421" t="s">
        <v>2237</v>
      </c>
      <c r="AH228" s="421" t="s">
        <v>3105</v>
      </c>
      <c r="AI228" s="421">
        <v>78000</v>
      </c>
      <c r="AJ228" s="421">
        <v>237.26</v>
      </c>
      <c r="AK228" s="421">
        <v>271</v>
      </c>
      <c r="AL228" s="421">
        <v>1</v>
      </c>
      <c r="AM228" s="421" t="s">
        <v>962</v>
      </c>
      <c r="AN228" s="421" t="s">
        <v>3127</v>
      </c>
      <c r="AO228" s="421" t="s">
        <v>1121</v>
      </c>
      <c r="AP228" s="421" t="s">
        <v>1121</v>
      </c>
      <c r="AQ228" s="421" t="s">
        <v>1476</v>
      </c>
      <c r="AR228" s="421" t="s">
        <v>3485</v>
      </c>
      <c r="AS228" s="421" t="s">
        <v>3511</v>
      </c>
      <c r="AT228" s="421" t="s">
        <v>3109</v>
      </c>
      <c r="AU228" s="421" t="s">
        <v>1341</v>
      </c>
      <c r="AV228" s="421" t="s">
        <v>962</v>
      </c>
      <c r="AW228" s="421" t="s">
        <v>3110</v>
      </c>
      <c r="AX228" s="421" t="s">
        <v>3111</v>
      </c>
      <c r="AY228" s="421" t="s">
        <v>3112</v>
      </c>
      <c r="AZ228" s="421" t="s">
        <v>3113</v>
      </c>
      <c r="BA228" s="421" t="s">
        <v>3114</v>
      </c>
      <c r="BB228" s="421" t="s">
        <v>3115</v>
      </c>
      <c r="BC228" s="421">
        <v>5067.2</v>
      </c>
      <c r="BD228" s="421">
        <v>12511068.82</v>
      </c>
      <c r="BE228" s="421">
        <v>0</v>
      </c>
      <c r="BF228" s="421">
        <v>737.37</v>
      </c>
      <c r="BG228" s="421">
        <v>0</v>
      </c>
      <c r="BH228" s="421">
        <v>0</v>
      </c>
      <c r="BI228" s="421" t="s">
        <v>1149</v>
      </c>
    </row>
    <row r="229" spans="1:61" x14ac:dyDescent="0.25">
      <c r="A229" s="421">
        <v>226</v>
      </c>
      <c r="B229" s="421">
        <v>2015</v>
      </c>
      <c r="C229" s="421">
        <v>4</v>
      </c>
      <c r="D229" s="421">
        <v>22</v>
      </c>
      <c r="E229" s="421" t="s">
        <v>1475</v>
      </c>
      <c r="F229" s="421" t="s">
        <v>3477</v>
      </c>
      <c r="G229" s="421" t="s">
        <v>3507</v>
      </c>
      <c r="H229" s="421" t="s">
        <v>1107</v>
      </c>
      <c r="I229" s="421" t="s">
        <v>1760</v>
      </c>
      <c r="J229" s="421" t="s">
        <v>3512</v>
      </c>
      <c r="K229" s="421" t="s">
        <v>3093</v>
      </c>
      <c r="L229" s="421" t="s">
        <v>3094</v>
      </c>
      <c r="M229" s="421" t="s">
        <v>2667</v>
      </c>
      <c r="N229" s="421" t="s">
        <v>3093</v>
      </c>
      <c r="O229" s="421" t="s">
        <v>3094</v>
      </c>
      <c r="P229" s="421" t="s">
        <v>3095</v>
      </c>
      <c r="Q229" s="421" t="s">
        <v>3096</v>
      </c>
      <c r="R229" s="421" t="s">
        <v>1108</v>
      </c>
      <c r="S229" s="421" t="s">
        <v>1476</v>
      </c>
      <c r="T229" s="421" t="s">
        <v>1130</v>
      </c>
      <c r="U229" s="421" t="s">
        <v>3144</v>
      </c>
      <c r="V229" s="421" t="s">
        <v>3145</v>
      </c>
      <c r="W229" s="421" t="s">
        <v>3098</v>
      </c>
      <c r="X229" s="421" t="s">
        <v>3099</v>
      </c>
      <c r="Y229" s="421" t="s">
        <v>1117</v>
      </c>
      <c r="Z229" s="421" t="s">
        <v>1118</v>
      </c>
      <c r="AA229" s="421" t="s">
        <v>3100</v>
      </c>
      <c r="AB229" s="421" t="s">
        <v>3146</v>
      </c>
      <c r="AC229" s="421" t="s">
        <v>3102</v>
      </c>
      <c r="AD229" s="421" t="s">
        <v>3269</v>
      </c>
      <c r="AE229" s="421" t="s">
        <v>3333</v>
      </c>
      <c r="AF229" s="421" t="s">
        <v>2236</v>
      </c>
      <c r="AG229" s="421" t="s">
        <v>2237</v>
      </c>
      <c r="AH229" s="421" t="s">
        <v>3105</v>
      </c>
      <c r="AI229" s="421">
        <v>21900</v>
      </c>
      <c r="AJ229" s="421">
        <v>365.1</v>
      </c>
      <c r="AK229" s="421">
        <v>388</v>
      </c>
      <c r="AL229" s="421">
        <v>1</v>
      </c>
      <c r="AM229" s="421" t="s">
        <v>966</v>
      </c>
      <c r="AN229" s="421" t="s">
        <v>3271</v>
      </c>
      <c r="AO229" s="421" t="s">
        <v>1121</v>
      </c>
      <c r="AP229" s="421" t="s">
        <v>1121</v>
      </c>
      <c r="AQ229" s="421" t="s">
        <v>1476</v>
      </c>
      <c r="AR229" s="421" t="s">
        <v>3485</v>
      </c>
      <c r="AS229" s="421" t="s">
        <v>3513</v>
      </c>
      <c r="AT229" s="421" t="s">
        <v>3109</v>
      </c>
      <c r="AU229" s="421" t="s">
        <v>1341</v>
      </c>
      <c r="AV229" s="421" t="s">
        <v>962</v>
      </c>
      <c r="AW229" s="421" t="s">
        <v>3110</v>
      </c>
      <c r="AX229" s="421" t="s">
        <v>3111</v>
      </c>
      <c r="AY229" s="421" t="s">
        <v>3112</v>
      </c>
      <c r="AZ229" s="421" t="s">
        <v>3113</v>
      </c>
      <c r="BA229" s="421" t="s">
        <v>3114</v>
      </c>
      <c r="BB229" s="421" t="s">
        <v>3115</v>
      </c>
      <c r="BC229" s="421">
        <v>11693</v>
      </c>
      <c r="BD229" s="421">
        <v>28870367.789999999</v>
      </c>
      <c r="BE229" s="421">
        <v>0</v>
      </c>
      <c r="BF229" s="421">
        <v>1087.92</v>
      </c>
      <c r="BG229" s="421">
        <v>31.95</v>
      </c>
      <c r="BH229" s="421">
        <v>0</v>
      </c>
      <c r="BI229" s="421" t="s">
        <v>1167</v>
      </c>
    </row>
    <row r="230" spans="1:61" x14ac:dyDescent="0.25">
      <c r="A230" s="421">
        <v>227</v>
      </c>
      <c r="B230" s="421">
        <v>2015</v>
      </c>
      <c r="C230" s="421">
        <v>4</v>
      </c>
      <c r="D230" s="421">
        <v>28</v>
      </c>
      <c r="E230" s="421" t="s">
        <v>1475</v>
      </c>
      <c r="F230" s="421" t="s">
        <v>3477</v>
      </c>
      <c r="G230" s="421" t="s">
        <v>3206</v>
      </c>
      <c r="H230" s="421" t="s">
        <v>1107</v>
      </c>
      <c r="I230" s="421" t="s">
        <v>1852</v>
      </c>
      <c r="J230" s="421" t="s">
        <v>3514</v>
      </c>
      <c r="K230" s="421" t="s">
        <v>3093</v>
      </c>
      <c r="L230" s="421" t="s">
        <v>3094</v>
      </c>
      <c r="M230" s="421" t="s">
        <v>2667</v>
      </c>
      <c r="N230" s="421" t="s">
        <v>3093</v>
      </c>
      <c r="O230" s="421" t="s">
        <v>3094</v>
      </c>
      <c r="P230" s="421" t="s">
        <v>3095</v>
      </c>
      <c r="Q230" s="421" t="s">
        <v>3096</v>
      </c>
      <c r="R230" s="421" t="s">
        <v>1108</v>
      </c>
      <c r="S230" s="421" t="s">
        <v>1476</v>
      </c>
      <c r="T230" s="421" t="s">
        <v>1130</v>
      </c>
      <c r="U230" s="421" t="s">
        <v>3144</v>
      </c>
      <c r="V230" s="421" t="s">
        <v>3145</v>
      </c>
      <c r="W230" s="421" t="s">
        <v>3098</v>
      </c>
      <c r="X230" s="421" t="s">
        <v>3099</v>
      </c>
      <c r="Y230" s="421" t="s">
        <v>1117</v>
      </c>
      <c r="Z230" s="421" t="s">
        <v>1118</v>
      </c>
      <c r="AA230" s="421" t="s">
        <v>3100</v>
      </c>
      <c r="AB230" s="421" t="s">
        <v>3146</v>
      </c>
      <c r="AC230" s="421" t="s">
        <v>3102</v>
      </c>
      <c r="AD230" s="421" t="s">
        <v>3515</v>
      </c>
      <c r="AE230" s="421" t="s">
        <v>3516</v>
      </c>
      <c r="AF230" s="421" t="s">
        <v>2236</v>
      </c>
      <c r="AG230" s="421" t="s">
        <v>2237</v>
      </c>
      <c r="AH230" s="421" t="s">
        <v>3105</v>
      </c>
      <c r="AI230" s="421">
        <v>339000</v>
      </c>
      <c r="AJ230" s="421">
        <v>780.67</v>
      </c>
      <c r="AK230" s="421">
        <v>836</v>
      </c>
      <c r="AL230" s="421">
        <v>1</v>
      </c>
      <c r="AM230" s="421" t="s">
        <v>2135</v>
      </c>
      <c r="AN230" s="421" t="s">
        <v>2135</v>
      </c>
      <c r="AO230" s="421" t="s">
        <v>1121</v>
      </c>
      <c r="AP230" s="421" t="s">
        <v>1121</v>
      </c>
      <c r="AQ230" s="421" t="s">
        <v>1476</v>
      </c>
      <c r="AR230" s="421" t="s">
        <v>3485</v>
      </c>
      <c r="AS230" s="421" t="s">
        <v>3517</v>
      </c>
      <c r="AT230" s="421" t="s">
        <v>3109</v>
      </c>
      <c r="AU230" s="421" t="s">
        <v>1341</v>
      </c>
      <c r="AV230" s="421" t="s">
        <v>962</v>
      </c>
      <c r="AW230" s="421" t="s">
        <v>3110</v>
      </c>
      <c r="AX230" s="421" t="s">
        <v>3111</v>
      </c>
      <c r="AY230" s="421" t="s">
        <v>3112</v>
      </c>
      <c r="AZ230" s="421" t="s">
        <v>3113</v>
      </c>
      <c r="BA230" s="421" t="s">
        <v>3114</v>
      </c>
      <c r="BB230" s="421" t="s">
        <v>3115</v>
      </c>
      <c r="BC230" s="421">
        <v>13023.75</v>
      </c>
      <c r="BD230" s="421">
        <v>31515000.489999998</v>
      </c>
      <c r="BE230" s="421">
        <v>0</v>
      </c>
      <c r="BF230" s="421">
        <v>2258.83</v>
      </c>
      <c r="BG230" s="421">
        <v>38.21</v>
      </c>
      <c r="BH230" s="421">
        <v>0</v>
      </c>
      <c r="BI230" s="421" t="s">
        <v>1167</v>
      </c>
    </row>
    <row r="231" spans="1:61" x14ac:dyDescent="0.25">
      <c r="A231" s="421">
        <v>228</v>
      </c>
      <c r="B231" s="421">
        <v>2015</v>
      </c>
      <c r="C231" s="421">
        <v>4</v>
      </c>
      <c r="D231" s="421">
        <v>28</v>
      </c>
      <c r="E231" s="421" t="s">
        <v>1475</v>
      </c>
      <c r="F231" s="421" t="s">
        <v>3477</v>
      </c>
      <c r="G231" s="421" t="s">
        <v>3206</v>
      </c>
      <c r="H231" s="421" t="s">
        <v>1107</v>
      </c>
      <c r="I231" s="421" t="s">
        <v>1852</v>
      </c>
      <c r="J231" s="421" t="s">
        <v>3518</v>
      </c>
      <c r="K231" s="421" t="s">
        <v>3093</v>
      </c>
      <c r="L231" s="421" t="s">
        <v>3094</v>
      </c>
      <c r="M231" s="421" t="s">
        <v>2667</v>
      </c>
      <c r="N231" s="421" t="s">
        <v>3093</v>
      </c>
      <c r="O231" s="421" t="s">
        <v>3094</v>
      </c>
      <c r="P231" s="421" t="s">
        <v>3095</v>
      </c>
      <c r="Q231" s="421" t="s">
        <v>3096</v>
      </c>
      <c r="R231" s="421" t="s">
        <v>1108</v>
      </c>
      <c r="S231" s="421" t="s">
        <v>1542</v>
      </c>
      <c r="T231" s="421" t="s">
        <v>1130</v>
      </c>
      <c r="U231" s="421" t="s">
        <v>1112</v>
      </c>
      <c r="V231" s="421" t="s">
        <v>3097</v>
      </c>
      <c r="W231" s="421" t="s">
        <v>3098</v>
      </c>
      <c r="X231" s="421" t="s">
        <v>3099</v>
      </c>
      <c r="Y231" s="421" t="s">
        <v>1117</v>
      </c>
      <c r="Z231" s="421" t="s">
        <v>1118</v>
      </c>
      <c r="AA231" s="421" t="s">
        <v>3100</v>
      </c>
      <c r="AB231" s="421" t="s">
        <v>3101</v>
      </c>
      <c r="AC231" s="421" t="s">
        <v>3102</v>
      </c>
      <c r="AD231" s="421" t="s">
        <v>3117</v>
      </c>
      <c r="AE231" s="421" t="s">
        <v>3118</v>
      </c>
      <c r="AF231" s="421" t="s">
        <v>2236</v>
      </c>
      <c r="AG231" s="421" t="s">
        <v>2237</v>
      </c>
      <c r="AH231" s="421" t="s">
        <v>3105</v>
      </c>
      <c r="AI231" s="421">
        <v>80400</v>
      </c>
      <c r="AJ231" s="421">
        <v>247.43</v>
      </c>
      <c r="AK231" s="421">
        <v>268.54000000000002</v>
      </c>
      <c r="AL231" s="421">
        <v>3</v>
      </c>
      <c r="AM231" s="421" t="s">
        <v>3119</v>
      </c>
      <c r="AN231" s="421" t="s">
        <v>3120</v>
      </c>
      <c r="AO231" s="421" t="s">
        <v>1121</v>
      </c>
      <c r="AP231" s="421" t="s">
        <v>1121</v>
      </c>
      <c r="AQ231" s="421" t="s">
        <v>1542</v>
      </c>
      <c r="AR231" s="421" t="s">
        <v>3485</v>
      </c>
      <c r="AS231" s="421" t="s">
        <v>3519</v>
      </c>
      <c r="AT231" s="421" t="s">
        <v>3109</v>
      </c>
      <c r="AU231" s="421" t="s">
        <v>1142</v>
      </c>
      <c r="AV231" s="421" t="s">
        <v>2520</v>
      </c>
      <c r="AW231" s="421" t="s">
        <v>3110</v>
      </c>
      <c r="AX231" s="421" t="s">
        <v>3111</v>
      </c>
      <c r="AY231" s="421" t="s">
        <v>3112</v>
      </c>
      <c r="AZ231" s="421" t="s">
        <v>3113</v>
      </c>
      <c r="BA231" s="421" t="s">
        <v>3114</v>
      </c>
      <c r="BB231" s="421" t="s">
        <v>3115</v>
      </c>
      <c r="BC231" s="421">
        <v>5275</v>
      </c>
      <c r="BD231" s="421">
        <v>12764497.75</v>
      </c>
      <c r="BE231" s="421">
        <v>0</v>
      </c>
      <c r="BF231" s="421">
        <v>48.59</v>
      </c>
      <c r="BG231" s="421">
        <v>13.31</v>
      </c>
      <c r="BH231" s="421">
        <v>0</v>
      </c>
      <c r="BI231" s="421" t="s">
        <v>1331</v>
      </c>
    </row>
    <row r="232" spans="1:61" x14ac:dyDescent="0.25">
      <c r="A232" s="421">
        <v>229</v>
      </c>
      <c r="B232" s="421">
        <v>2015</v>
      </c>
      <c r="C232" s="421">
        <v>4</v>
      </c>
      <c r="D232" s="421">
        <v>28</v>
      </c>
      <c r="E232" s="421" t="s">
        <v>1475</v>
      </c>
      <c r="F232" s="421" t="s">
        <v>3477</v>
      </c>
      <c r="G232" s="421" t="s">
        <v>3206</v>
      </c>
      <c r="H232" s="421" t="s">
        <v>1107</v>
      </c>
      <c r="I232" s="421" t="s">
        <v>1852</v>
      </c>
      <c r="J232" s="421" t="s">
        <v>3520</v>
      </c>
      <c r="K232" s="421" t="s">
        <v>3093</v>
      </c>
      <c r="L232" s="421" t="s">
        <v>3094</v>
      </c>
      <c r="M232" s="421" t="s">
        <v>2667</v>
      </c>
      <c r="N232" s="421" t="s">
        <v>3093</v>
      </c>
      <c r="O232" s="421" t="s">
        <v>3094</v>
      </c>
      <c r="P232" s="421" t="s">
        <v>3095</v>
      </c>
      <c r="Q232" s="421" t="s">
        <v>3096</v>
      </c>
      <c r="R232" s="421" t="s">
        <v>1108</v>
      </c>
      <c r="S232" s="421" t="s">
        <v>1542</v>
      </c>
      <c r="T232" s="421" t="s">
        <v>1130</v>
      </c>
      <c r="U232" s="421" t="s">
        <v>1112</v>
      </c>
      <c r="V232" s="421" t="s">
        <v>3097</v>
      </c>
      <c r="W232" s="421" t="s">
        <v>3098</v>
      </c>
      <c r="X232" s="421" t="s">
        <v>3099</v>
      </c>
      <c r="Y232" s="421" t="s">
        <v>1117</v>
      </c>
      <c r="Z232" s="421" t="s">
        <v>1118</v>
      </c>
      <c r="AA232" s="421" t="s">
        <v>3100</v>
      </c>
      <c r="AB232" s="421" t="s">
        <v>3101</v>
      </c>
      <c r="AC232" s="421" t="s">
        <v>3102</v>
      </c>
      <c r="AD232" s="421" t="s">
        <v>3117</v>
      </c>
      <c r="AE232" s="421" t="s">
        <v>3118</v>
      </c>
      <c r="AF232" s="421" t="s">
        <v>1300</v>
      </c>
      <c r="AG232" s="421" t="s">
        <v>1301</v>
      </c>
      <c r="AH232" s="421" t="s">
        <v>1127</v>
      </c>
      <c r="AI232" s="421">
        <v>11.86</v>
      </c>
      <c r="AJ232" s="421">
        <v>11.86</v>
      </c>
      <c r="AK232" s="421">
        <v>12.81</v>
      </c>
      <c r="AL232" s="421">
        <v>1</v>
      </c>
      <c r="AM232" s="421" t="s">
        <v>3119</v>
      </c>
      <c r="AN232" s="421" t="s">
        <v>3120</v>
      </c>
      <c r="AO232" s="421" t="s">
        <v>1121</v>
      </c>
      <c r="AP232" s="421" t="s">
        <v>1121</v>
      </c>
      <c r="AQ232" s="421" t="s">
        <v>1542</v>
      </c>
      <c r="AR232" s="421" t="s">
        <v>3485</v>
      </c>
      <c r="AS232" s="421" t="s">
        <v>3521</v>
      </c>
      <c r="AT232" s="421" t="s">
        <v>3109</v>
      </c>
      <c r="AU232" s="421" t="s">
        <v>1142</v>
      </c>
      <c r="AV232" s="421" t="s">
        <v>2520</v>
      </c>
      <c r="AW232" s="421" t="s">
        <v>3110</v>
      </c>
      <c r="AX232" s="421" t="s">
        <v>3229</v>
      </c>
      <c r="AY232" s="421" t="s">
        <v>3112</v>
      </c>
      <c r="AZ232" s="421" t="s">
        <v>3113</v>
      </c>
      <c r="BA232" s="421" t="s">
        <v>3114</v>
      </c>
      <c r="BB232" s="421" t="s">
        <v>3230</v>
      </c>
      <c r="BC232" s="421">
        <v>2.5</v>
      </c>
      <c r="BD232" s="421">
        <v>6049.53</v>
      </c>
      <c r="BE232" s="421">
        <v>0</v>
      </c>
      <c r="BF232" s="421">
        <v>0</v>
      </c>
      <c r="BG232" s="421">
        <v>0</v>
      </c>
      <c r="BH232" s="421">
        <v>0</v>
      </c>
      <c r="BI232" s="421" t="s">
        <v>1331</v>
      </c>
    </row>
    <row r="233" spans="1:61" x14ac:dyDescent="0.25">
      <c r="A233" s="421">
        <v>230</v>
      </c>
      <c r="B233" s="421">
        <v>2015</v>
      </c>
      <c r="C233" s="421">
        <v>4</v>
      </c>
      <c r="D233" s="421">
        <v>28</v>
      </c>
      <c r="E233" s="421" t="s">
        <v>1475</v>
      </c>
      <c r="F233" s="421" t="s">
        <v>3477</v>
      </c>
      <c r="G233" s="421" t="s">
        <v>3206</v>
      </c>
      <c r="H233" s="421" t="s">
        <v>1107</v>
      </c>
      <c r="I233" s="421" t="s">
        <v>1852</v>
      </c>
      <c r="J233" s="421" t="s">
        <v>3518</v>
      </c>
      <c r="K233" s="421" t="s">
        <v>3093</v>
      </c>
      <c r="L233" s="421" t="s">
        <v>3094</v>
      </c>
      <c r="M233" s="421" t="s">
        <v>2667</v>
      </c>
      <c r="N233" s="421" t="s">
        <v>3093</v>
      </c>
      <c r="O233" s="421" t="s">
        <v>3094</v>
      </c>
      <c r="P233" s="421" t="s">
        <v>3095</v>
      </c>
      <c r="Q233" s="421" t="s">
        <v>3096</v>
      </c>
      <c r="R233" s="421" t="s">
        <v>1108</v>
      </c>
      <c r="S233" s="421" t="s">
        <v>1542</v>
      </c>
      <c r="T233" s="421" t="s">
        <v>1130</v>
      </c>
      <c r="U233" s="421" t="s">
        <v>1112</v>
      </c>
      <c r="V233" s="421" t="s">
        <v>3097</v>
      </c>
      <c r="W233" s="421" t="s">
        <v>3098</v>
      </c>
      <c r="X233" s="421" t="s">
        <v>3099</v>
      </c>
      <c r="Y233" s="421" t="s">
        <v>1117</v>
      </c>
      <c r="Z233" s="421" t="s">
        <v>1118</v>
      </c>
      <c r="AA233" s="421" t="s">
        <v>3100</v>
      </c>
      <c r="AB233" s="421" t="s">
        <v>3101</v>
      </c>
      <c r="AC233" s="421" t="s">
        <v>3102</v>
      </c>
      <c r="AD233" s="421" t="s">
        <v>3117</v>
      </c>
      <c r="AE233" s="421" t="s">
        <v>3118</v>
      </c>
      <c r="AF233" s="421" t="s">
        <v>2236</v>
      </c>
      <c r="AG233" s="421" t="s">
        <v>2237</v>
      </c>
      <c r="AH233" s="421" t="s">
        <v>3105</v>
      </c>
      <c r="AI233" s="421">
        <v>2660000</v>
      </c>
      <c r="AJ233" s="421">
        <v>5030.7299999999996</v>
      </c>
      <c r="AK233" s="421">
        <v>5459.92</v>
      </c>
      <c r="AL233" s="421">
        <v>1</v>
      </c>
      <c r="AM233" s="421" t="s">
        <v>3119</v>
      </c>
      <c r="AN233" s="421" t="s">
        <v>3120</v>
      </c>
      <c r="AO233" s="421" t="s">
        <v>1121</v>
      </c>
      <c r="AP233" s="421" t="s">
        <v>1121</v>
      </c>
      <c r="AQ233" s="421" t="s">
        <v>1542</v>
      </c>
      <c r="AR233" s="421" t="s">
        <v>3485</v>
      </c>
      <c r="AS233" s="421" t="s">
        <v>3519</v>
      </c>
      <c r="AT233" s="421" t="s">
        <v>3109</v>
      </c>
      <c r="AU233" s="421" t="s">
        <v>1142</v>
      </c>
      <c r="AV233" s="421" t="s">
        <v>2520</v>
      </c>
      <c r="AW233" s="421" t="s">
        <v>3110</v>
      </c>
      <c r="AX233" s="421" t="s">
        <v>3111</v>
      </c>
      <c r="AY233" s="421" t="s">
        <v>3112</v>
      </c>
      <c r="AZ233" s="421" t="s">
        <v>3113</v>
      </c>
      <c r="BA233" s="421" t="s">
        <v>3114</v>
      </c>
      <c r="BB233" s="421" t="s">
        <v>3115</v>
      </c>
      <c r="BC233" s="421">
        <v>80058.5</v>
      </c>
      <c r="BD233" s="421">
        <v>193726358.88999999</v>
      </c>
      <c r="BE233" s="421">
        <v>0</v>
      </c>
      <c r="BF233" s="421">
        <v>737.45</v>
      </c>
      <c r="BG233" s="421">
        <v>201.99</v>
      </c>
      <c r="BH233" s="421">
        <v>0</v>
      </c>
      <c r="BI233" s="421" t="s">
        <v>1331</v>
      </c>
    </row>
    <row r="234" spans="1:61" x14ac:dyDescent="0.25">
      <c r="A234" s="421">
        <v>231</v>
      </c>
      <c r="B234" s="421">
        <v>2015</v>
      </c>
      <c r="C234" s="421">
        <v>4</v>
      </c>
      <c r="D234" s="421">
        <v>28</v>
      </c>
      <c r="E234" s="421" t="s">
        <v>1475</v>
      </c>
      <c r="F234" s="421" t="s">
        <v>3477</v>
      </c>
      <c r="G234" s="421" t="s">
        <v>3206</v>
      </c>
      <c r="H234" s="421" t="s">
        <v>1107</v>
      </c>
      <c r="I234" s="421" t="s">
        <v>1852</v>
      </c>
      <c r="J234" s="421" t="s">
        <v>3518</v>
      </c>
      <c r="K234" s="421" t="s">
        <v>3093</v>
      </c>
      <c r="L234" s="421" t="s">
        <v>3094</v>
      </c>
      <c r="M234" s="421" t="s">
        <v>2667</v>
      </c>
      <c r="N234" s="421" t="s">
        <v>3093</v>
      </c>
      <c r="O234" s="421" t="s">
        <v>3094</v>
      </c>
      <c r="P234" s="421" t="s">
        <v>3095</v>
      </c>
      <c r="Q234" s="421" t="s">
        <v>3096</v>
      </c>
      <c r="R234" s="421" t="s">
        <v>1108</v>
      </c>
      <c r="S234" s="421" t="s">
        <v>1542</v>
      </c>
      <c r="T234" s="421" t="s">
        <v>1130</v>
      </c>
      <c r="U234" s="421" t="s">
        <v>1112</v>
      </c>
      <c r="V234" s="421" t="s">
        <v>3097</v>
      </c>
      <c r="W234" s="421" t="s">
        <v>3098</v>
      </c>
      <c r="X234" s="421" t="s">
        <v>3099</v>
      </c>
      <c r="Y234" s="421" t="s">
        <v>1117</v>
      </c>
      <c r="Z234" s="421" t="s">
        <v>1118</v>
      </c>
      <c r="AA234" s="421" t="s">
        <v>3100</v>
      </c>
      <c r="AB234" s="421" t="s">
        <v>3101</v>
      </c>
      <c r="AC234" s="421" t="s">
        <v>3102</v>
      </c>
      <c r="AD234" s="421" t="s">
        <v>3117</v>
      </c>
      <c r="AE234" s="421" t="s">
        <v>3118</v>
      </c>
      <c r="AF234" s="421" t="s">
        <v>2236</v>
      </c>
      <c r="AG234" s="421" t="s">
        <v>2237</v>
      </c>
      <c r="AH234" s="421" t="s">
        <v>3105</v>
      </c>
      <c r="AI234" s="421">
        <v>61700</v>
      </c>
      <c r="AJ234" s="421">
        <v>1098.8499999999999</v>
      </c>
      <c r="AK234" s="421">
        <v>1192.5999999999999</v>
      </c>
      <c r="AL234" s="421">
        <v>2</v>
      </c>
      <c r="AM234" s="421" t="s">
        <v>3119</v>
      </c>
      <c r="AN234" s="421" t="s">
        <v>3120</v>
      </c>
      <c r="AO234" s="421" t="s">
        <v>1121</v>
      </c>
      <c r="AP234" s="421" t="s">
        <v>1121</v>
      </c>
      <c r="AQ234" s="421" t="s">
        <v>1542</v>
      </c>
      <c r="AR234" s="421" t="s">
        <v>3485</v>
      </c>
      <c r="AS234" s="421" t="s">
        <v>3519</v>
      </c>
      <c r="AT234" s="421" t="s">
        <v>3109</v>
      </c>
      <c r="AU234" s="421" t="s">
        <v>1142</v>
      </c>
      <c r="AV234" s="421" t="s">
        <v>2520</v>
      </c>
      <c r="AW234" s="421" t="s">
        <v>3110</v>
      </c>
      <c r="AX234" s="421" t="s">
        <v>3111</v>
      </c>
      <c r="AY234" s="421" t="s">
        <v>3112</v>
      </c>
      <c r="AZ234" s="421" t="s">
        <v>3113</v>
      </c>
      <c r="BA234" s="421" t="s">
        <v>3114</v>
      </c>
      <c r="BB234" s="421" t="s">
        <v>3115</v>
      </c>
      <c r="BC234" s="421">
        <v>18885</v>
      </c>
      <c r="BD234" s="421">
        <v>45698111.850000001</v>
      </c>
      <c r="BE234" s="421">
        <v>0</v>
      </c>
      <c r="BF234" s="421">
        <v>173.96</v>
      </c>
      <c r="BG234" s="421">
        <v>47.65</v>
      </c>
      <c r="BH234" s="421">
        <v>0</v>
      </c>
      <c r="BI234" s="421" t="s">
        <v>1331</v>
      </c>
    </row>
    <row r="235" spans="1:61" x14ac:dyDescent="0.25">
      <c r="A235" s="421">
        <v>232</v>
      </c>
      <c r="B235" s="421">
        <v>2015</v>
      </c>
      <c r="C235" s="421">
        <v>4</v>
      </c>
      <c r="D235" s="421">
        <v>28</v>
      </c>
      <c r="E235" s="421" t="s">
        <v>1475</v>
      </c>
      <c r="F235" s="421" t="s">
        <v>3477</v>
      </c>
      <c r="G235" s="421" t="s">
        <v>3206</v>
      </c>
      <c r="H235" s="421" t="s">
        <v>1107</v>
      </c>
      <c r="I235" s="421" t="s">
        <v>1852</v>
      </c>
      <c r="J235" s="421" t="s">
        <v>3520</v>
      </c>
      <c r="K235" s="421" t="s">
        <v>3093</v>
      </c>
      <c r="L235" s="421" t="s">
        <v>3094</v>
      </c>
      <c r="M235" s="421" t="s">
        <v>2667</v>
      </c>
      <c r="N235" s="421" t="s">
        <v>3093</v>
      </c>
      <c r="O235" s="421" t="s">
        <v>3094</v>
      </c>
      <c r="P235" s="421" t="s">
        <v>3095</v>
      </c>
      <c r="Q235" s="421" t="s">
        <v>3096</v>
      </c>
      <c r="R235" s="421" t="s">
        <v>1108</v>
      </c>
      <c r="S235" s="421" t="s">
        <v>1542</v>
      </c>
      <c r="T235" s="421" t="s">
        <v>1130</v>
      </c>
      <c r="U235" s="421" t="s">
        <v>1112</v>
      </c>
      <c r="V235" s="421" t="s">
        <v>3097</v>
      </c>
      <c r="W235" s="421" t="s">
        <v>3098</v>
      </c>
      <c r="X235" s="421" t="s">
        <v>3099</v>
      </c>
      <c r="Y235" s="421" t="s">
        <v>1117</v>
      </c>
      <c r="Z235" s="421" t="s">
        <v>1118</v>
      </c>
      <c r="AA235" s="421" t="s">
        <v>3100</v>
      </c>
      <c r="AB235" s="421" t="s">
        <v>3101</v>
      </c>
      <c r="AC235" s="421" t="s">
        <v>3102</v>
      </c>
      <c r="AD235" s="421" t="s">
        <v>3117</v>
      </c>
      <c r="AE235" s="421" t="s">
        <v>3118</v>
      </c>
      <c r="AF235" s="421" t="s">
        <v>3375</v>
      </c>
      <c r="AG235" s="421" t="s">
        <v>3376</v>
      </c>
      <c r="AH235" s="421" t="s">
        <v>3105</v>
      </c>
      <c r="AI235" s="421">
        <v>150</v>
      </c>
      <c r="AJ235" s="421">
        <v>23.07</v>
      </c>
      <c r="AK235" s="421">
        <v>24.91</v>
      </c>
      <c r="AL235" s="421">
        <v>2</v>
      </c>
      <c r="AM235" s="421" t="s">
        <v>3119</v>
      </c>
      <c r="AN235" s="421" t="s">
        <v>3120</v>
      </c>
      <c r="AO235" s="421" t="s">
        <v>1121</v>
      </c>
      <c r="AP235" s="421" t="s">
        <v>1121</v>
      </c>
      <c r="AQ235" s="421" t="s">
        <v>1542</v>
      </c>
      <c r="AR235" s="421" t="s">
        <v>3485</v>
      </c>
      <c r="AS235" s="421" t="s">
        <v>3521</v>
      </c>
      <c r="AT235" s="421" t="s">
        <v>3109</v>
      </c>
      <c r="AU235" s="421" t="s">
        <v>1142</v>
      </c>
      <c r="AV235" s="421" t="s">
        <v>2520</v>
      </c>
      <c r="AW235" s="421" t="s">
        <v>3110</v>
      </c>
      <c r="AX235" s="421" t="s">
        <v>3229</v>
      </c>
      <c r="AY235" s="421" t="s">
        <v>3112</v>
      </c>
      <c r="AZ235" s="421" t="s">
        <v>3113</v>
      </c>
      <c r="BA235" s="421" t="s">
        <v>3114</v>
      </c>
      <c r="BB235" s="421" t="s">
        <v>3230</v>
      </c>
      <c r="BC235" s="421">
        <v>7.5</v>
      </c>
      <c r="BD235" s="421">
        <v>18148.580000000002</v>
      </c>
      <c r="BE235" s="421">
        <v>0</v>
      </c>
      <c r="BF235" s="421">
        <v>0</v>
      </c>
      <c r="BG235" s="421">
        <v>0</v>
      </c>
      <c r="BH235" s="421">
        <v>0</v>
      </c>
      <c r="BI235" s="421" t="s">
        <v>1331</v>
      </c>
    </row>
    <row r="236" spans="1:61" x14ac:dyDescent="0.25">
      <c r="A236" s="421">
        <v>233</v>
      </c>
      <c r="B236" s="421">
        <v>2015</v>
      </c>
      <c r="C236" s="421">
        <v>4</v>
      </c>
      <c r="D236" s="421">
        <v>28</v>
      </c>
      <c r="E236" s="421" t="s">
        <v>1475</v>
      </c>
      <c r="F236" s="421" t="s">
        <v>3477</v>
      </c>
      <c r="G236" s="421" t="s">
        <v>3206</v>
      </c>
      <c r="H236" s="421" t="s">
        <v>1107</v>
      </c>
      <c r="I236" s="421" t="s">
        <v>1852</v>
      </c>
      <c r="J236" s="421" t="s">
        <v>3522</v>
      </c>
      <c r="K236" s="421" t="s">
        <v>3093</v>
      </c>
      <c r="L236" s="421" t="s">
        <v>3094</v>
      </c>
      <c r="M236" s="421" t="s">
        <v>2667</v>
      </c>
      <c r="N236" s="421" t="s">
        <v>3093</v>
      </c>
      <c r="O236" s="421" t="s">
        <v>3094</v>
      </c>
      <c r="P236" s="421" t="s">
        <v>3095</v>
      </c>
      <c r="Q236" s="421" t="s">
        <v>3113</v>
      </c>
      <c r="R236" s="421" t="s">
        <v>1108</v>
      </c>
      <c r="S236" s="421" t="s">
        <v>1108</v>
      </c>
      <c r="T236" s="421" t="s">
        <v>1130</v>
      </c>
      <c r="U236" s="421" t="s">
        <v>3144</v>
      </c>
      <c r="V236" s="421" t="s">
        <v>3145</v>
      </c>
      <c r="W236" s="421" t="s">
        <v>3098</v>
      </c>
      <c r="X236" s="421" t="s">
        <v>3099</v>
      </c>
      <c r="Y236" s="421" t="s">
        <v>1117</v>
      </c>
      <c r="Z236" s="421" t="s">
        <v>1118</v>
      </c>
      <c r="AA236" s="421" t="s">
        <v>3100</v>
      </c>
      <c r="AB236" s="421" t="s">
        <v>3146</v>
      </c>
      <c r="AC236" s="421" t="s">
        <v>3102</v>
      </c>
      <c r="AD236" s="421" t="s">
        <v>3346</v>
      </c>
      <c r="AE236" s="421" t="s">
        <v>3347</v>
      </c>
      <c r="AF236" s="421" t="s">
        <v>2236</v>
      </c>
      <c r="AG236" s="421" t="s">
        <v>2237</v>
      </c>
      <c r="AH236" s="421" t="s">
        <v>3105</v>
      </c>
      <c r="AI236" s="421">
        <v>110650</v>
      </c>
      <c r="AJ236" s="421">
        <v>293.27</v>
      </c>
      <c r="AK236" s="421">
        <v>315</v>
      </c>
      <c r="AL236" s="421">
        <v>1</v>
      </c>
      <c r="AM236" s="421" t="s">
        <v>3348</v>
      </c>
      <c r="AN236" s="421" t="s">
        <v>3349</v>
      </c>
      <c r="AO236" s="421" t="s">
        <v>1121</v>
      </c>
      <c r="AP236" s="421" t="s">
        <v>1121</v>
      </c>
      <c r="AQ236" s="421" t="s">
        <v>1476</v>
      </c>
      <c r="AR236" s="421" t="s">
        <v>3485</v>
      </c>
      <c r="AS236" s="421" t="s">
        <v>3523</v>
      </c>
      <c r="AT236" s="421" t="s">
        <v>3109</v>
      </c>
      <c r="AU236" s="421" t="s">
        <v>1341</v>
      </c>
      <c r="AV236" s="421" t="s">
        <v>3157</v>
      </c>
      <c r="AW236" s="421" t="s">
        <v>3110</v>
      </c>
      <c r="AX236" s="421" t="s">
        <v>3111</v>
      </c>
      <c r="AY236" s="421" t="s">
        <v>3112</v>
      </c>
      <c r="AZ236" s="421" t="s">
        <v>3113</v>
      </c>
      <c r="BA236" s="421" t="s">
        <v>3114</v>
      </c>
      <c r="BB236" s="421" t="s">
        <v>3115</v>
      </c>
      <c r="BC236" s="421">
        <v>4487.3</v>
      </c>
      <c r="BD236" s="421">
        <v>10858413.41</v>
      </c>
      <c r="BE236" s="421">
        <v>0</v>
      </c>
      <c r="BF236" s="421">
        <v>592.05999999999995</v>
      </c>
      <c r="BG236" s="421">
        <v>12.7</v>
      </c>
      <c r="BH236" s="421">
        <v>0</v>
      </c>
      <c r="BI236" s="421" t="s">
        <v>1149</v>
      </c>
    </row>
    <row r="237" spans="1:61" x14ac:dyDescent="0.25">
      <c r="A237" s="421">
        <v>234</v>
      </c>
      <c r="B237" s="421">
        <v>2015</v>
      </c>
      <c r="C237" s="421">
        <v>4</v>
      </c>
      <c r="D237" s="421">
        <v>30</v>
      </c>
      <c r="E237" s="421" t="s">
        <v>1475</v>
      </c>
      <c r="F237" s="421" t="s">
        <v>3477</v>
      </c>
      <c r="G237" s="421" t="s">
        <v>3524</v>
      </c>
      <c r="H237" s="421" t="s">
        <v>1107</v>
      </c>
      <c r="I237" s="421" t="s">
        <v>3525</v>
      </c>
      <c r="J237" s="421" t="s">
        <v>3526</v>
      </c>
      <c r="K237" s="421" t="s">
        <v>3093</v>
      </c>
      <c r="L237" s="421" t="s">
        <v>3094</v>
      </c>
      <c r="M237" s="421" t="s">
        <v>2667</v>
      </c>
      <c r="N237" s="421" t="s">
        <v>3093</v>
      </c>
      <c r="O237" s="421" t="s">
        <v>3094</v>
      </c>
      <c r="P237" s="421" t="s">
        <v>3095</v>
      </c>
      <c r="Q237" s="421" t="s">
        <v>3096</v>
      </c>
      <c r="R237" s="421" t="s">
        <v>1108</v>
      </c>
      <c r="S237" s="421" t="s">
        <v>1542</v>
      </c>
      <c r="T237" s="421" t="s">
        <v>1130</v>
      </c>
      <c r="U237" s="421" t="s">
        <v>1112</v>
      </c>
      <c r="V237" s="421" t="s">
        <v>3097</v>
      </c>
      <c r="W237" s="421" t="s">
        <v>3098</v>
      </c>
      <c r="X237" s="421" t="s">
        <v>3099</v>
      </c>
      <c r="Y237" s="421" t="s">
        <v>1117</v>
      </c>
      <c r="Z237" s="421" t="s">
        <v>1118</v>
      </c>
      <c r="AA237" s="421" t="s">
        <v>3100</v>
      </c>
      <c r="AB237" s="421" t="s">
        <v>3101</v>
      </c>
      <c r="AC237" s="421" t="s">
        <v>3102</v>
      </c>
      <c r="AD237" s="421" t="s">
        <v>3251</v>
      </c>
      <c r="AE237" s="421" t="s">
        <v>3252</v>
      </c>
      <c r="AF237" s="421" t="s">
        <v>2236</v>
      </c>
      <c r="AG237" s="421" t="s">
        <v>2237</v>
      </c>
      <c r="AH237" s="421" t="s">
        <v>3105</v>
      </c>
      <c r="AI237" s="421">
        <v>1222400</v>
      </c>
      <c r="AJ237" s="421">
        <v>3518.39</v>
      </c>
      <c r="AK237" s="421">
        <v>3786.81</v>
      </c>
      <c r="AL237" s="421">
        <v>1</v>
      </c>
      <c r="AM237" s="421" t="s">
        <v>3253</v>
      </c>
      <c r="AN237" s="421" t="s">
        <v>3254</v>
      </c>
      <c r="AO237" s="421" t="s">
        <v>1121</v>
      </c>
      <c r="AP237" s="421" t="s">
        <v>1121</v>
      </c>
      <c r="AQ237" s="421" t="s">
        <v>1542</v>
      </c>
      <c r="AR237" s="421" t="s">
        <v>3485</v>
      </c>
      <c r="AS237" s="421" t="s">
        <v>3527</v>
      </c>
      <c r="AT237" s="421" t="s">
        <v>3109</v>
      </c>
      <c r="AU237" s="421" t="s">
        <v>1142</v>
      </c>
      <c r="AV237" s="421" t="s">
        <v>1547</v>
      </c>
      <c r="AW237" s="421" t="s">
        <v>3110</v>
      </c>
      <c r="AX237" s="421" t="s">
        <v>3111</v>
      </c>
      <c r="AY237" s="421" t="s">
        <v>3112</v>
      </c>
      <c r="AZ237" s="421" t="s">
        <v>3113</v>
      </c>
      <c r="BA237" s="421" t="s">
        <v>3114</v>
      </c>
      <c r="BB237" s="421" t="s">
        <v>3115</v>
      </c>
      <c r="BC237" s="421">
        <v>52783.6</v>
      </c>
      <c r="BD237" s="421">
        <v>126050403.81999999</v>
      </c>
      <c r="BE237" s="421">
        <v>0</v>
      </c>
      <c r="BF237" s="421">
        <v>0</v>
      </c>
      <c r="BG237" s="421">
        <v>0</v>
      </c>
      <c r="BH237" s="421">
        <v>0</v>
      </c>
      <c r="BI237" s="421" t="s">
        <v>3256</v>
      </c>
    </row>
    <row r="238" spans="1:61" x14ac:dyDescent="0.25">
      <c r="A238" s="421">
        <v>235</v>
      </c>
      <c r="B238" s="421">
        <v>2015</v>
      </c>
      <c r="C238" s="421">
        <v>4</v>
      </c>
      <c r="D238" s="421">
        <v>30</v>
      </c>
      <c r="E238" s="421" t="s">
        <v>1475</v>
      </c>
      <c r="F238" s="421" t="s">
        <v>3477</v>
      </c>
      <c r="G238" s="421" t="s">
        <v>3524</v>
      </c>
      <c r="H238" s="421" t="s">
        <v>1107</v>
      </c>
      <c r="I238" s="421" t="s">
        <v>3525</v>
      </c>
      <c r="J238" s="421" t="s">
        <v>3526</v>
      </c>
      <c r="K238" s="421" t="s">
        <v>3093</v>
      </c>
      <c r="L238" s="421" t="s">
        <v>3094</v>
      </c>
      <c r="M238" s="421" t="s">
        <v>2667</v>
      </c>
      <c r="N238" s="421" t="s">
        <v>3093</v>
      </c>
      <c r="O238" s="421" t="s">
        <v>3094</v>
      </c>
      <c r="P238" s="421" t="s">
        <v>3095</v>
      </c>
      <c r="Q238" s="421" t="s">
        <v>3096</v>
      </c>
      <c r="R238" s="421" t="s">
        <v>1108</v>
      </c>
      <c r="S238" s="421" t="s">
        <v>1542</v>
      </c>
      <c r="T238" s="421" t="s">
        <v>1130</v>
      </c>
      <c r="U238" s="421" t="s">
        <v>1112</v>
      </c>
      <c r="V238" s="421" t="s">
        <v>3097</v>
      </c>
      <c r="W238" s="421" t="s">
        <v>3098</v>
      </c>
      <c r="X238" s="421" t="s">
        <v>3099</v>
      </c>
      <c r="Y238" s="421" t="s">
        <v>1117</v>
      </c>
      <c r="Z238" s="421" t="s">
        <v>1118</v>
      </c>
      <c r="AA238" s="421" t="s">
        <v>3100</v>
      </c>
      <c r="AB238" s="421" t="s">
        <v>3101</v>
      </c>
      <c r="AC238" s="421" t="s">
        <v>3102</v>
      </c>
      <c r="AD238" s="421" t="s">
        <v>3251</v>
      </c>
      <c r="AE238" s="421" t="s">
        <v>3252</v>
      </c>
      <c r="AF238" s="421" t="s">
        <v>2236</v>
      </c>
      <c r="AG238" s="421" t="s">
        <v>2237</v>
      </c>
      <c r="AH238" s="421" t="s">
        <v>3105</v>
      </c>
      <c r="AI238" s="421">
        <v>132600</v>
      </c>
      <c r="AJ238" s="421">
        <v>482.11</v>
      </c>
      <c r="AK238" s="421">
        <v>518.89</v>
      </c>
      <c r="AL238" s="421">
        <v>2</v>
      </c>
      <c r="AM238" s="421" t="s">
        <v>3253</v>
      </c>
      <c r="AN238" s="421" t="s">
        <v>3254</v>
      </c>
      <c r="AO238" s="421" t="s">
        <v>1121</v>
      </c>
      <c r="AP238" s="421" t="s">
        <v>1121</v>
      </c>
      <c r="AQ238" s="421" t="s">
        <v>1542</v>
      </c>
      <c r="AR238" s="421" t="s">
        <v>3485</v>
      </c>
      <c r="AS238" s="421" t="s">
        <v>3527</v>
      </c>
      <c r="AT238" s="421" t="s">
        <v>3109</v>
      </c>
      <c r="AU238" s="421" t="s">
        <v>1142</v>
      </c>
      <c r="AV238" s="421" t="s">
        <v>1547</v>
      </c>
      <c r="AW238" s="421" t="s">
        <v>3110</v>
      </c>
      <c r="AX238" s="421" t="s">
        <v>3111</v>
      </c>
      <c r="AY238" s="421" t="s">
        <v>3112</v>
      </c>
      <c r="AZ238" s="421" t="s">
        <v>3113</v>
      </c>
      <c r="BA238" s="421" t="s">
        <v>3114</v>
      </c>
      <c r="BB238" s="421" t="s">
        <v>3115</v>
      </c>
      <c r="BC238" s="421">
        <v>7749.9</v>
      </c>
      <c r="BD238" s="421">
        <v>18507226.190000001</v>
      </c>
      <c r="BE238" s="421">
        <v>0</v>
      </c>
      <c r="BF238" s="421">
        <v>0</v>
      </c>
      <c r="BG238" s="421">
        <v>0</v>
      </c>
      <c r="BH238" s="421">
        <v>0</v>
      </c>
      <c r="BI238" s="421" t="s">
        <v>3256</v>
      </c>
    </row>
    <row r="239" spans="1:61" x14ac:dyDescent="0.25">
      <c r="A239" s="421">
        <v>236</v>
      </c>
      <c r="B239" s="421">
        <v>2015</v>
      </c>
      <c r="C239" s="421">
        <v>4</v>
      </c>
      <c r="D239" s="421">
        <v>30</v>
      </c>
      <c r="E239" s="421" t="s">
        <v>1475</v>
      </c>
      <c r="F239" s="421" t="s">
        <v>3477</v>
      </c>
      <c r="G239" s="421" t="s">
        <v>3524</v>
      </c>
      <c r="H239" s="421" t="s">
        <v>1107</v>
      </c>
      <c r="I239" s="421" t="s">
        <v>3525</v>
      </c>
      <c r="J239" s="421" t="s">
        <v>3526</v>
      </c>
      <c r="K239" s="421" t="s">
        <v>3093</v>
      </c>
      <c r="L239" s="421" t="s">
        <v>3094</v>
      </c>
      <c r="M239" s="421" t="s">
        <v>2667</v>
      </c>
      <c r="N239" s="421" t="s">
        <v>3093</v>
      </c>
      <c r="O239" s="421" t="s">
        <v>3094</v>
      </c>
      <c r="P239" s="421" t="s">
        <v>3095</v>
      </c>
      <c r="Q239" s="421" t="s">
        <v>3096</v>
      </c>
      <c r="R239" s="421" t="s">
        <v>1108</v>
      </c>
      <c r="S239" s="421" t="s">
        <v>1542</v>
      </c>
      <c r="T239" s="421" t="s">
        <v>1130</v>
      </c>
      <c r="U239" s="421" t="s">
        <v>1112</v>
      </c>
      <c r="V239" s="421" t="s">
        <v>3097</v>
      </c>
      <c r="W239" s="421" t="s">
        <v>3098</v>
      </c>
      <c r="X239" s="421" t="s">
        <v>3099</v>
      </c>
      <c r="Y239" s="421" t="s">
        <v>1117</v>
      </c>
      <c r="Z239" s="421" t="s">
        <v>1118</v>
      </c>
      <c r="AA239" s="421" t="s">
        <v>3100</v>
      </c>
      <c r="AB239" s="421" t="s">
        <v>3101</v>
      </c>
      <c r="AC239" s="421" t="s">
        <v>3102</v>
      </c>
      <c r="AD239" s="421" t="s">
        <v>3251</v>
      </c>
      <c r="AE239" s="421" t="s">
        <v>3252</v>
      </c>
      <c r="AF239" s="421" t="s">
        <v>2236</v>
      </c>
      <c r="AG239" s="421" t="s">
        <v>2237</v>
      </c>
      <c r="AH239" s="421" t="s">
        <v>3105</v>
      </c>
      <c r="AI239" s="421">
        <v>54000</v>
      </c>
      <c r="AJ239" s="421">
        <v>192.92</v>
      </c>
      <c r="AK239" s="421">
        <v>207.64</v>
      </c>
      <c r="AL239" s="421">
        <v>3</v>
      </c>
      <c r="AM239" s="421" t="s">
        <v>3253</v>
      </c>
      <c r="AN239" s="421" t="s">
        <v>3254</v>
      </c>
      <c r="AO239" s="421" t="s">
        <v>1121</v>
      </c>
      <c r="AP239" s="421" t="s">
        <v>1121</v>
      </c>
      <c r="AQ239" s="421" t="s">
        <v>1542</v>
      </c>
      <c r="AR239" s="421" t="s">
        <v>3485</v>
      </c>
      <c r="AS239" s="421" t="s">
        <v>3527</v>
      </c>
      <c r="AT239" s="421" t="s">
        <v>3109</v>
      </c>
      <c r="AU239" s="421" t="s">
        <v>1142</v>
      </c>
      <c r="AV239" s="421" t="s">
        <v>1547</v>
      </c>
      <c r="AW239" s="421" t="s">
        <v>3110</v>
      </c>
      <c r="AX239" s="421" t="s">
        <v>3111</v>
      </c>
      <c r="AY239" s="421" t="s">
        <v>3112</v>
      </c>
      <c r="AZ239" s="421" t="s">
        <v>3113</v>
      </c>
      <c r="BA239" s="421" t="s">
        <v>3114</v>
      </c>
      <c r="BB239" s="421" t="s">
        <v>3115</v>
      </c>
      <c r="BC239" s="421">
        <v>4619.8599999999997</v>
      </c>
      <c r="BD239" s="421">
        <v>11032502.869999999</v>
      </c>
      <c r="BE239" s="421">
        <v>0</v>
      </c>
      <c r="BF239" s="421">
        <v>0</v>
      </c>
      <c r="BG239" s="421">
        <v>0</v>
      </c>
      <c r="BH239" s="421">
        <v>0</v>
      </c>
      <c r="BI239" s="421" t="s">
        <v>3256</v>
      </c>
    </row>
    <row r="240" spans="1:61" x14ac:dyDescent="0.25">
      <c r="A240" s="421">
        <v>237</v>
      </c>
      <c r="B240" s="421">
        <v>2015</v>
      </c>
      <c r="C240" s="421">
        <v>4</v>
      </c>
      <c r="D240" s="421">
        <v>30</v>
      </c>
      <c r="E240" s="421" t="s">
        <v>1475</v>
      </c>
      <c r="F240" s="421" t="s">
        <v>3477</v>
      </c>
      <c r="G240" s="421" t="s">
        <v>3524</v>
      </c>
      <c r="H240" s="421" t="s">
        <v>1107</v>
      </c>
      <c r="I240" s="421" t="s">
        <v>3525</v>
      </c>
      <c r="J240" s="421" t="s">
        <v>3528</v>
      </c>
      <c r="K240" s="421" t="s">
        <v>3093</v>
      </c>
      <c r="L240" s="421" t="s">
        <v>3094</v>
      </c>
      <c r="M240" s="421" t="s">
        <v>2667</v>
      </c>
      <c r="N240" s="421" t="s">
        <v>3093</v>
      </c>
      <c r="O240" s="421" t="s">
        <v>3094</v>
      </c>
      <c r="P240" s="421" t="s">
        <v>3095</v>
      </c>
      <c r="Q240" s="421" t="s">
        <v>3113</v>
      </c>
      <c r="R240" s="421" t="s">
        <v>1108</v>
      </c>
      <c r="S240" s="421" t="s">
        <v>1108</v>
      </c>
      <c r="T240" s="421" t="s">
        <v>1130</v>
      </c>
      <c r="U240" s="421" t="s">
        <v>1112</v>
      </c>
      <c r="V240" s="421" t="s">
        <v>3097</v>
      </c>
      <c r="W240" s="421" t="s">
        <v>3098</v>
      </c>
      <c r="X240" s="421" t="s">
        <v>3099</v>
      </c>
      <c r="Y240" s="421" t="s">
        <v>1117</v>
      </c>
      <c r="Z240" s="421" t="s">
        <v>1118</v>
      </c>
      <c r="AA240" s="421" t="s">
        <v>3100</v>
      </c>
      <c r="AB240" s="421" t="s">
        <v>3101</v>
      </c>
      <c r="AC240" s="421" t="s">
        <v>3102</v>
      </c>
      <c r="AD240" s="421" t="s">
        <v>3529</v>
      </c>
      <c r="AE240" s="421" t="s">
        <v>3530</v>
      </c>
      <c r="AF240" s="421" t="s">
        <v>3375</v>
      </c>
      <c r="AG240" s="421" t="s">
        <v>3376</v>
      </c>
      <c r="AH240" s="421" t="s">
        <v>3105</v>
      </c>
      <c r="AI240" s="421">
        <v>10</v>
      </c>
      <c r="AJ240" s="421">
        <v>1.55</v>
      </c>
      <c r="AK240" s="421">
        <v>1.62</v>
      </c>
      <c r="AL240" s="421">
        <v>2</v>
      </c>
      <c r="AM240" s="421" t="s">
        <v>1207</v>
      </c>
      <c r="AN240" s="421" t="s">
        <v>1207</v>
      </c>
      <c r="AO240" s="421" t="s">
        <v>1121</v>
      </c>
      <c r="AP240" s="421" t="s">
        <v>1121</v>
      </c>
      <c r="AQ240" s="421" t="s">
        <v>1108</v>
      </c>
      <c r="AR240" s="421" t="s">
        <v>3485</v>
      </c>
      <c r="AS240" s="421" t="s">
        <v>3531</v>
      </c>
      <c r="AT240" s="421" t="s">
        <v>3109</v>
      </c>
      <c r="AU240" s="421" t="s">
        <v>1142</v>
      </c>
      <c r="AV240" s="421" t="s">
        <v>2037</v>
      </c>
      <c r="AW240" s="421" t="s">
        <v>3110</v>
      </c>
      <c r="AX240" s="421" t="s">
        <v>3229</v>
      </c>
      <c r="AY240" s="421" t="s">
        <v>3112</v>
      </c>
      <c r="AZ240" s="421" t="s">
        <v>3113</v>
      </c>
      <c r="BA240" s="421" t="s">
        <v>3114</v>
      </c>
      <c r="BB240" s="421" t="s">
        <v>3230</v>
      </c>
      <c r="BC240" s="421">
        <v>0.2</v>
      </c>
      <c r="BD240" s="421">
        <v>477.61</v>
      </c>
      <c r="BE240" s="421">
        <v>0</v>
      </c>
      <c r="BF240" s="421">
        <v>0</v>
      </c>
      <c r="BG240" s="421">
        <v>0</v>
      </c>
      <c r="BH240" s="421">
        <v>0</v>
      </c>
      <c r="BI240" s="421" t="s">
        <v>1149</v>
      </c>
    </row>
    <row r="241" spans="1:61" x14ac:dyDescent="0.25">
      <c r="A241" s="421">
        <v>238</v>
      </c>
      <c r="B241" s="421">
        <v>2015</v>
      </c>
      <c r="C241" s="421">
        <v>4</v>
      </c>
      <c r="D241" s="421">
        <v>30</v>
      </c>
      <c r="E241" s="421" t="s">
        <v>1475</v>
      </c>
      <c r="F241" s="421" t="s">
        <v>3477</v>
      </c>
      <c r="G241" s="421" t="s">
        <v>3524</v>
      </c>
      <c r="H241" s="421" t="s">
        <v>1107</v>
      </c>
      <c r="I241" s="421" t="s">
        <v>3525</v>
      </c>
      <c r="J241" s="421" t="s">
        <v>3532</v>
      </c>
      <c r="K241" s="421" t="s">
        <v>3093</v>
      </c>
      <c r="L241" s="421" t="s">
        <v>3094</v>
      </c>
      <c r="M241" s="421" t="s">
        <v>2667</v>
      </c>
      <c r="N241" s="421" t="s">
        <v>3093</v>
      </c>
      <c r="O241" s="421" t="s">
        <v>3094</v>
      </c>
      <c r="P241" s="421" t="s">
        <v>3095</v>
      </c>
      <c r="Q241" s="421" t="s">
        <v>3113</v>
      </c>
      <c r="R241" s="421" t="s">
        <v>1108</v>
      </c>
      <c r="S241" s="421" t="s">
        <v>1108</v>
      </c>
      <c r="T241" s="421" t="s">
        <v>1130</v>
      </c>
      <c r="U241" s="421" t="s">
        <v>1112</v>
      </c>
      <c r="V241" s="421" t="s">
        <v>3097</v>
      </c>
      <c r="W241" s="421" t="s">
        <v>3098</v>
      </c>
      <c r="X241" s="421" t="s">
        <v>3099</v>
      </c>
      <c r="Y241" s="421" t="s">
        <v>1117</v>
      </c>
      <c r="Z241" s="421" t="s">
        <v>1118</v>
      </c>
      <c r="AA241" s="421" t="s">
        <v>3100</v>
      </c>
      <c r="AB241" s="421" t="s">
        <v>3101</v>
      </c>
      <c r="AC241" s="421" t="s">
        <v>3102</v>
      </c>
      <c r="AD241" s="421" t="s">
        <v>3529</v>
      </c>
      <c r="AE241" s="421" t="s">
        <v>3530</v>
      </c>
      <c r="AF241" s="421" t="s">
        <v>1512</v>
      </c>
      <c r="AG241" s="421" t="s">
        <v>1513</v>
      </c>
      <c r="AH241" s="421" t="s">
        <v>3105</v>
      </c>
      <c r="AI241" s="421">
        <v>4960</v>
      </c>
      <c r="AJ241" s="421">
        <v>28.12</v>
      </c>
      <c r="AK241" s="421">
        <v>31.31</v>
      </c>
      <c r="AL241" s="421">
        <v>1</v>
      </c>
      <c r="AM241" s="421" t="s">
        <v>1207</v>
      </c>
      <c r="AN241" s="421" t="s">
        <v>1207</v>
      </c>
      <c r="AO241" s="421" t="s">
        <v>1121</v>
      </c>
      <c r="AP241" s="421" t="s">
        <v>1121</v>
      </c>
      <c r="AQ241" s="421" t="s">
        <v>1108</v>
      </c>
      <c r="AR241" s="421" t="s">
        <v>3485</v>
      </c>
      <c r="AS241" s="421" t="s">
        <v>3533</v>
      </c>
      <c r="AT241" s="421" t="s">
        <v>3109</v>
      </c>
      <c r="AU241" s="421" t="s">
        <v>1142</v>
      </c>
      <c r="AV241" s="421" t="s">
        <v>2037</v>
      </c>
      <c r="AW241" s="421" t="s">
        <v>3110</v>
      </c>
      <c r="AX241" s="421" t="s">
        <v>3111</v>
      </c>
      <c r="AY241" s="421" t="s">
        <v>3193</v>
      </c>
      <c r="AZ241" s="421" t="s">
        <v>3113</v>
      </c>
      <c r="BA241" s="421" t="s">
        <v>3114</v>
      </c>
      <c r="BB241" s="421" t="s">
        <v>3115</v>
      </c>
      <c r="BC241" s="421">
        <v>248</v>
      </c>
      <c r="BD241" s="421">
        <v>592238.88</v>
      </c>
      <c r="BE241" s="421">
        <v>0</v>
      </c>
      <c r="BF241" s="421">
        <v>0</v>
      </c>
      <c r="BG241" s="421">
        <v>0</v>
      </c>
      <c r="BH241" s="421">
        <v>0</v>
      </c>
      <c r="BI241" s="421" t="s">
        <v>1149</v>
      </c>
    </row>
    <row r="242" spans="1:61" x14ac:dyDescent="0.25">
      <c r="A242" s="421">
        <v>239</v>
      </c>
      <c r="B242" s="421">
        <v>2015</v>
      </c>
      <c r="C242" s="421">
        <v>4</v>
      </c>
      <c r="D242" s="421">
        <v>30</v>
      </c>
      <c r="E242" s="421" t="s">
        <v>1475</v>
      </c>
      <c r="F242" s="421" t="s">
        <v>3477</v>
      </c>
      <c r="G242" s="421" t="s">
        <v>3524</v>
      </c>
      <c r="H242" s="421" t="s">
        <v>1107</v>
      </c>
      <c r="I242" s="421" t="s">
        <v>3525</v>
      </c>
      <c r="J242" s="421" t="s">
        <v>3532</v>
      </c>
      <c r="K242" s="421" t="s">
        <v>3093</v>
      </c>
      <c r="L242" s="421" t="s">
        <v>3094</v>
      </c>
      <c r="M242" s="421" t="s">
        <v>2667</v>
      </c>
      <c r="N242" s="421" t="s">
        <v>3093</v>
      </c>
      <c r="O242" s="421" t="s">
        <v>3094</v>
      </c>
      <c r="P242" s="421" t="s">
        <v>3095</v>
      </c>
      <c r="Q242" s="421" t="s">
        <v>3113</v>
      </c>
      <c r="R242" s="421" t="s">
        <v>1108</v>
      </c>
      <c r="S242" s="421" t="s">
        <v>1108</v>
      </c>
      <c r="T242" s="421" t="s">
        <v>1130</v>
      </c>
      <c r="U242" s="421" t="s">
        <v>1112</v>
      </c>
      <c r="V242" s="421" t="s">
        <v>3097</v>
      </c>
      <c r="W242" s="421" t="s">
        <v>3098</v>
      </c>
      <c r="X242" s="421" t="s">
        <v>3099</v>
      </c>
      <c r="Y242" s="421" t="s">
        <v>1117</v>
      </c>
      <c r="Z242" s="421" t="s">
        <v>1118</v>
      </c>
      <c r="AA242" s="421" t="s">
        <v>3100</v>
      </c>
      <c r="AB242" s="421" t="s">
        <v>3101</v>
      </c>
      <c r="AC242" s="421" t="s">
        <v>3102</v>
      </c>
      <c r="AD242" s="421" t="s">
        <v>3529</v>
      </c>
      <c r="AE242" s="421" t="s">
        <v>3530</v>
      </c>
      <c r="AF242" s="421" t="s">
        <v>1249</v>
      </c>
      <c r="AG242" s="421" t="s">
        <v>1250</v>
      </c>
      <c r="AH242" s="421" t="s">
        <v>3105</v>
      </c>
      <c r="AI242" s="421">
        <v>648</v>
      </c>
      <c r="AJ242" s="421">
        <v>87.02</v>
      </c>
      <c r="AK242" s="421">
        <v>96.89</v>
      </c>
      <c r="AL242" s="421">
        <v>2</v>
      </c>
      <c r="AM242" s="421" t="s">
        <v>1207</v>
      </c>
      <c r="AN242" s="421" t="s">
        <v>1207</v>
      </c>
      <c r="AO242" s="421" t="s">
        <v>1121</v>
      </c>
      <c r="AP242" s="421" t="s">
        <v>1121</v>
      </c>
      <c r="AQ242" s="421" t="s">
        <v>1108</v>
      </c>
      <c r="AR242" s="421" t="s">
        <v>3485</v>
      </c>
      <c r="AS242" s="421" t="s">
        <v>3533</v>
      </c>
      <c r="AT242" s="421" t="s">
        <v>3109</v>
      </c>
      <c r="AU242" s="421" t="s">
        <v>1142</v>
      </c>
      <c r="AV242" s="421" t="s">
        <v>2037</v>
      </c>
      <c r="AW242" s="421" t="s">
        <v>3110</v>
      </c>
      <c r="AX242" s="421" t="s">
        <v>3111</v>
      </c>
      <c r="AY242" s="421" t="s">
        <v>3193</v>
      </c>
      <c r="AZ242" s="421" t="s">
        <v>3113</v>
      </c>
      <c r="BA242" s="421" t="s">
        <v>3114</v>
      </c>
      <c r="BB242" s="421" t="s">
        <v>3115</v>
      </c>
      <c r="BC242" s="421">
        <v>524.16</v>
      </c>
      <c r="BD242" s="421">
        <v>1251725.53</v>
      </c>
      <c r="BE242" s="421">
        <v>0</v>
      </c>
      <c r="BF242" s="421">
        <v>0</v>
      </c>
      <c r="BG242" s="421">
        <v>0</v>
      </c>
      <c r="BH242" s="421">
        <v>0</v>
      </c>
      <c r="BI242" s="421" t="s">
        <v>1149</v>
      </c>
    </row>
    <row r="243" spans="1:61" x14ac:dyDescent="0.25">
      <c r="A243" s="421">
        <v>240</v>
      </c>
      <c r="B243" s="421">
        <v>2015</v>
      </c>
      <c r="C243" s="421">
        <v>4</v>
      </c>
      <c r="D243" s="421">
        <v>30</v>
      </c>
      <c r="E243" s="421" t="s">
        <v>1475</v>
      </c>
      <c r="F243" s="421" t="s">
        <v>3477</v>
      </c>
      <c r="G243" s="421" t="s">
        <v>3524</v>
      </c>
      <c r="H243" s="421" t="s">
        <v>1107</v>
      </c>
      <c r="I243" s="421" t="s">
        <v>3525</v>
      </c>
      <c r="J243" s="421" t="s">
        <v>3532</v>
      </c>
      <c r="K243" s="421" t="s">
        <v>3093</v>
      </c>
      <c r="L243" s="421" t="s">
        <v>3094</v>
      </c>
      <c r="M243" s="421" t="s">
        <v>2667</v>
      </c>
      <c r="N243" s="421" t="s">
        <v>3093</v>
      </c>
      <c r="O243" s="421" t="s">
        <v>3094</v>
      </c>
      <c r="P243" s="421" t="s">
        <v>3095</v>
      </c>
      <c r="Q243" s="421" t="s">
        <v>3113</v>
      </c>
      <c r="R243" s="421" t="s">
        <v>1108</v>
      </c>
      <c r="S243" s="421" t="s">
        <v>1108</v>
      </c>
      <c r="T243" s="421" t="s">
        <v>1130</v>
      </c>
      <c r="U243" s="421" t="s">
        <v>1112</v>
      </c>
      <c r="V243" s="421" t="s">
        <v>3097</v>
      </c>
      <c r="W243" s="421" t="s">
        <v>3098</v>
      </c>
      <c r="X243" s="421" t="s">
        <v>3099</v>
      </c>
      <c r="Y243" s="421" t="s">
        <v>1117</v>
      </c>
      <c r="Z243" s="421" t="s">
        <v>1118</v>
      </c>
      <c r="AA243" s="421" t="s">
        <v>3100</v>
      </c>
      <c r="AB243" s="421" t="s">
        <v>3101</v>
      </c>
      <c r="AC243" s="421" t="s">
        <v>3102</v>
      </c>
      <c r="AD243" s="421" t="s">
        <v>3529</v>
      </c>
      <c r="AE243" s="421" t="s">
        <v>3530</v>
      </c>
      <c r="AF243" s="421" t="s">
        <v>1620</v>
      </c>
      <c r="AG243" s="421" t="s">
        <v>1621</v>
      </c>
      <c r="AH243" s="421" t="s">
        <v>1127</v>
      </c>
      <c r="AI243" s="421">
        <v>191.82</v>
      </c>
      <c r="AJ243" s="421">
        <v>191.82</v>
      </c>
      <c r="AK243" s="421">
        <v>213.57</v>
      </c>
      <c r="AL243" s="421">
        <v>3</v>
      </c>
      <c r="AM243" s="421" t="s">
        <v>1207</v>
      </c>
      <c r="AN243" s="421" t="s">
        <v>1207</v>
      </c>
      <c r="AO243" s="421" t="s">
        <v>1121</v>
      </c>
      <c r="AP243" s="421" t="s">
        <v>1121</v>
      </c>
      <c r="AQ243" s="421" t="s">
        <v>1108</v>
      </c>
      <c r="AR243" s="421" t="s">
        <v>3485</v>
      </c>
      <c r="AS243" s="421" t="s">
        <v>3533</v>
      </c>
      <c r="AT243" s="421" t="s">
        <v>3109</v>
      </c>
      <c r="AU243" s="421" t="s">
        <v>1142</v>
      </c>
      <c r="AV243" s="421" t="s">
        <v>2037</v>
      </c>
      <c r="AW243" s="421" t="s">
        <v>3110</v>
      </c>
      <c r="AX243" s="421" t="s">
        <v>3111</v>
      </c>
      <c r="AY243" s="421" t="s">
        <v>3193</v>
      </c>
      <c r="AZ243" s="421" t="s">
        <v>3113</v>
      </c>
      <c r="BA243" s="421" t="s">
        <v>3114</v>
      </c>
      <c r="BB243" s="421" t="s">
        <v>3115</v>
      </c>
      <c r="BC243" s="421">
        <v>1663.2</v>
      </c>
      <c r="BD243" s="421">
        <v>3971821.39</v>
      </c>
      <c r="BE243" s="421">
        <v>0</v>
      </c>
      <c r="BF243" s="421">
        <v>0</v>
      </c>
      <c r="BG243" s="421">
        <v>0</v>
      </c>
      <c r="BH243" s="421">
        <v>0</v>
      </c>
      <c r="BI243" s="421" t="s">
        <v>1149</v>
      </c>
    </row>
    <row r="244" spans="1:61" x14ac:dyDescent="0.25">
      <c r="A244" s="421">
        <v>241</v>
      </c>
      <c r="B244" s="421">
        <v>2015</v>
      </c>
      <c r="C244" s="421">
        <v>4</v>
      </c>
      <c r="D244" s="421">
        <v>30</v>
      </c>
      <c r="E244" s="421" t="s">
        <v>1475</v>
      </c>
      <c r="F244" s="421" t="s">
        <v>3477</v>
      </c>
      <c r="G244" s="421" t="s">
        <v>3524</v>
      </c>
      <c r="H244" s="421" t="s">
        <v>1107</v>
      </c>
      <c r="I244" s="421" t="s">
        <v>3525</v>
      </c>
      <c r="J244" s="421" t="s">
        <v>3532</v>
      </c>
      <c r="K244" s="421" t="s">
        <v>3093</v>
      </c>
      <c r="L244" s="421" t="s">
        <v>3094</v>
      </c>
      <c r="M244" s="421" t="s">
        <v>2667</v>
      </c>
      <c r="N244" s="421" t="s">
        <v>3093</v>
      </c>
      <c r="O244" s="421" t="s">
        <v>3094</v>
      </c>
      <c r="P244" s="421" t="s">
        <v>3095</v>
      </c>
      <c r="Q244" s="421" t="s">
        <v>3113</v>
      </c>
      <c r="R244" s="421" t="s">
        <v>1108</v>
      </c>
      <c r="S244" s="421" t="s">
        <v>1108</v>
      </c>
      <c r="T244" s="421" t="s">
        <v>1130</v>
      </c>
      <c r="U244" s="421" t="s">
        <v>1112</v>
      </c>
      <c r="V244" s="421" t="s">
        <v>3097</v>
      </c>
      <c r="W244" s="421" t="s">
        <v>3098</v>
      </c>
      <c r="X244" s="421" t="s">
        <v>3099</v>
      </c>
      <c r="Y244" s="421" t="s">
        <v>1117</v>
      </c>
      <c r="Z244" s="421" t="s">
        <v>1118</v>
      </c>
      <c r="AA244" s="421" t="s">
        <v>3100</v>
      </c>
      <c r="AB244" s="421" t="s">
        <v>3101</v>
      </c>
      <c r="AC244" s="421" t="s">
        <v>3102</v>
      </c>
      <c r="AD244" s="421" t="s">
        <v>3529</v>
      </c>
      <c r="AE244" s="421" t="s">
        <v>3530</v>
      </c>
      <c r="AF244" s="421" t="s">
        <v>1632</v>
      </c>
      <c r="AG244" s="421" t="s">
        <v>1633</v>
      </c>
      <c r="AH244" s="421" t="s">
        <v>1127</v>
      </c>
      <c r="AI244" s="421">
        <v>628.58000000000004</v>
      </c>
      <c r="AJ244" s="421">
        <v>628.58000000000004</v>
      </c>
      <c r="AK244" s="421">
        <v>699.85</v>
      </c>
      <c r="AL244" s="421">
        <v>4</v>
      </c>
      <c r="AM244" s="421" t="s">
        <v>1207</v>
      </c>
      <c r="AN244" s="421" t="s">
        <v>1207</v>
      </c>
      <c r="AO244" s="421" t="s">
        <v>1121</v>
      </c>
      <c r="AP244" s="421" t="s">
        <v>1121</v>
      </c>
      <c r="AQ244" s="421" t="s">
        <v>1108</v>
      </c>
      <c r="AR244" s="421" t="s">
        <v>3485</v>
      </c>
      <c r="AS244" s="421" t="s">
        <v>3533</v>
      </c>
      <c r="AT244" s="421" t="s">
        <v>3109</v>
      </c>
      <c r="AU244" s="421" t="s">
        <v>1142</v>
      </c>
      <c r="AV244" s="421" t="s">
        <v>2037</v>
      </c>
      <c r="AW244" s="421" t="s">
        <v>3110</v>
      </c>
      <c r="AX244" s="421" t="s">
        <v>3111</v>
      </c>
      <c r="AY244" s="421" t="s">
        <v>3193</v>
      </c>
      <c r="AZ244" s="421" t="s">
        <v>3113</v>
      </c>
      <c r="BA244" s="421" t="s">
        <v>3114</v>
      </c>
      <c r="BB244" s="421" t="s">
        <v>3115</v>
      </c>
      <c r="BC244" s="421">
        <v>3944.16</v>
      </c>
      <c r="BD244" s="421">
        <v>9418890.7300000004</v>
      </c>
      <c r="BE244" s="421">
        <v>0</v>
      </c>
      <c r="BF244" s="421">
        <v>0</v>
      </c>
      <c r="BG244" s="421">
        <v>0</v>
      </c>
      <c r="BH244" s="421">
        <v>0</v>
      </c>
      <c r="BI244" s="421" t="s">
        <v>1149</v>
      </c>
    </row>
    <row r="245" spans="1:61" x14ac:dyDescent="0.25">
      <c r="A245" s="421">
        <v>242</v>
      </c>
      <c r="B245" s="421">
        <v>2015</v>
      </c>
      <c r="C245" s="421">
        <v>4</v>
      </c>
      <c r="D245" s="421">
        <v>30</v>
      </c>
      <c r="E245" s="421" t="s">
        <v>1475</v>
      </c>
      <c r="F245" s="421" t="s">
        <v>3477</v>
      </c>
      <c r="G245" s="421" t="s">
        <v>3524</v>
      </c>
      <c r="H245" s="421" t="s">
        <v>1107</v>
      </c>
      <c r="I245" s="421" t="s">
        <v>3525</v>
      </c>
      <c r="J245" s="421" t="s">
        <v>3532</v>
      </c>
      <c r="K245" s="421" t="s">
        <v>3093</v>
      </c>
      <c r="L245" s="421" t="s">
        <v>3094</v>
      </c>
      <c r="M245" s="421" t="s">
        <v>2667</v>
      </c>
      <c r="N245" s="421" t="s">
        <v>3093</v>
      </c>
      <c r="O245" s="421" t="s">
        <v>3094</v>
      </c>
      <c r="P245" s="421" t="s">
        <v>3095</v>
      </c>
      <c r="Q245" s="421" t="s">
        <v>3113</v>
      </c>
      <c r="R245" s="421" t="s">
        <v>1108</v>
      </c>
      <c r="S245" s="421" t="s">
        <v>1108</v>
      </c>
      <c r="T245" s="421" t="s">
        <v>1130</v>
      </c>
      <c r="U245" s="421" t="s">
        <v>1112</v>
      </c>
      <c r="V245" s="421" t="s">
        <v>3097</v>
      </c>
      <c r="W245" s="421" t="s">
        <v>3098</v>
      </c>
      <c r="X245" s="421" t="s">
        <v>3099</v>
      </c>
      <c r="Y245" s="421" t="s">
        <v>1117</v>
      </c>
      <c r="Z245" s="421" t="s">
        <v>1118</v>
      </c>
      <c r="AA245" s="421" t="s">
        <v>3100</v>
      </c>
      <c r="AB245" s="421" t="s">
        <v>3101</v>
      </c>
      <c r="AC245" s="421" t="s">
        <v>3102</v>
      </c>
      <c r="AD245" s="421" t="s">
        <v>3529</v>
      </c>
      <c r="AE245" s="421" t="s">
        <v>3530</v>
      </c>
      <c r="AF245" s="421" t="s">
        <v>1865</v>
      </c>
      <c r="AG245" s="421" t="s">
        <v>1866</v>
      </c>
      <c r="AH245" s="421" t="s">
        <v>1127</v>
      </c>
      <c r="AI245" s="421">
        <v>20.32</v>
      </c>
      <c r="AJ245" s="421">
        <v>20.32</v>
      </c>
      <c r="AK245" s="421">
        <v>22.62</v>
      </c>
      <c r="AL245" s="421">
        <v>5</v>
      </c>
      <c r="AM245" s="421" t="s">
        <v>1207</v>
      </c>
      <c r="AN245" s="421" t="s">
        <v>1207</v>
      </c>
      <c r="AO245" s="421" t="s">
        <v>1121</v>
      </c>
      <c r="AP245" s="421" t="s">
        <v>1121</v>
      </c>
      <c r="AQ245" s="421" t="s">
        <v>1108</v>
      </c>
      <c r="AR245" s="421" t="s">
        <v>3485</v>
      </c>
      <c r="AS245" s="421" t="s">
        <v>3533</v>
      </c>
      <c r="AT245" s="421" t="s">
        <v>3109</v>
      </c>
      <c r="AU245" s="421" t="s">
        <v>1142</v>
      </c>
      <c r="AV245" s="421" t="s">
        <v>2037</v>
      </c>
      <c r="AW245" s="421" t="s">
        <v>3110</v>
      </c>
      <c r="AX245" s="421" t="s">
        <v>3111</v>
      </c>
      <c r="AY245" s="421" t="s">
        <v>3193</v>
      </c>
      <c r="AZ245" s="421" t="s">
        <v>3113</v>
      </c>
      <c r="BA245" s="421" t="s">
        <v>3114</v>
      </c>
      <c r="BB245" s="421" t="s">
        <v>3115</v>
      </c>
      <c r="BC245" s="421">
        <v>302.39999999999998</v>
      </c>
      <c r="BD245" s="421">
        <v>722149.34</v>
      </c>
      <c r="BE245" s="421">
        <v>0</v>
      </c>
      <c r="BF245" s="421">
        <v>0</v>
      </c>
      <c r="BG245" s="421">
        <v>0</v>
      </c>
      <c r="BH245" s="421">
        <v>0</v>
      </c>
      <c r="BI245" s="421" t="s">
        <v>1149</v>
      </c>
    </row>
    <row r="246" spans="1:61" x14ac:dyDescent="0.25">
      <c r="A246" s="421">
        <v>243</v>
      </c>
      <c r="B246" s="421">
        <v>2015</v>
      </c>
      <c r="C246" s="421">
        <v>4</v>
      </c>
      <c r="D246" s="421">
        <v>30</v>
      </c>
      <c r="E246" s="421" t="s">
        <v>1475</v>
      </c>
      <c r="F246" s="421" t="s">
        <v>3477</v>
      </c>
      <c r="G246" s="421" t="s">
        <v>3524</v>
      </c>
      <c r="H246" s="421" t="s">
        <v>1107</v>
      </c>
      <c r="I246" s="421" t="s">
        <v>3525</v>
      </c>
      <c r="J246" s="421" t="s">
        <v>3532</v>
      </c>
      <c r="K246" s="421" t="s">
        <v>3093</v>
      </c>
      <c r="L246" s="421" t="s">
        <v>3094</v>
      </c>
      <c r="M246" s="421" t="s">
        <v>2667</v>
      </c>
      <c r="N246" s="421" t="s">
        <v>3093</v>
      </c>
      <c r="O246" s="421" t="s">
        <v>3094</v>
      </c>
      <c r="P246" s="421" t="s">
        <v>3095</v>
      </c>
      <c r="Q246" s="421" t="s">
        <v>3113</v>
      </c>
      <c r="R246" s="421" t="s">
        <v>1108</v>
      </c>
      <c r="S246" s="421" t="s">
        <v>1108</v>
      </c>
      <c r="T246" s="421" t="s">
        <v>1130</v>
      </c>
      <c r="U246" s="421" t="s">
        <v>1112</v>
      </c>
      <c r="V246" s="421" t="s">
        <v>3097</v>
      </c>
      <c r="W246" s="421" t="s">
        <v>3098</v>
      </c>
      <c r="X246" s="421" t="s">
        <v>3099</v>
      </c>
      <c r="Y246" s="421" t="s">
        <v>1117</v>
      </c>
      <c r="Z246" s="421" t="s">
        <v>1118</v>
      </c>
      <c r="AA246" s="421" t="s">
        <v>3100</v>
      </c>
      <c r="AB246" s="421" t="s">
        <v>3101</v>
      </c>
      <c r="AC246" s="421" t="s">
        <v>3102</v>
      </c>
      <c r="AD246" s="421" t="s">
        <v>3529</v>
      </c>
      <c r="AE246" s="421" t="s">
        <v>3530</v>
      </c>
      <c r="AF246" s="421" t="s">
        <v>1300</v>
      </c>
      <c r="AG246" s="421" t="s">
        <v>1301</v>
      </c>
      <c r="AH246" s="421" t="s">
        <v>1127</v>
      </c>
      <c r="AI246" s="421">
        <v>8.7200000000000006</v>
      </c>
      <c r="AJ246" s="421">
        <v>8.7200000000000006</v>
      </c>
      <c r="AK246" s="421">
        <v>9.7100000000000009</v>
      </c>
      <c r="AL246" s="421">
        <v>6</v>
      </c>
      <c r="AM246" s="421" t="s">
        <v>1207</v>
      </c>
      <c r="AN246" s="421" t="s">
        <v>1207</v>
      </c>
      <c r="AO246" s="421" t="s">
        <v>1121</v>
      </c>
      <c r="AP246" s="421" t="s">
        <v>1121</v>
      </c>
      <c r="AQ246" s="421" t="s">
        <v>1108</v>
      </c>
      <c r="AR246" s="421" t="s">
        <v>3485</v>
      </c>
      <c r="AS246" s="421" t="s">
        <v>3533</v>
      </c>
      <c r="AT246" s="421" t="s">
        <v>3109</v>
      </c>
      <c r="AU246" s="421" t="s">
        <v>1142</v>
      </c>
      <c r="AV246" s="421" t="s">
        <v>2037</v>
      </c>
      <c r="AW246" s="421" t="s">
        <v>3110</v>
      </c>
      <c r="AX246" s="421" t="s">
        <v>3111</v>
      </c>
      <c r="AY246" s="421" t="s">
        <v>3193</v>
      </c>
      <c r="AZ246" s="421" t="s">
        <v>3113</v>
      </c>
      <c r="BA246" s="421" t="s">
        <v>3114</v>
      </c>
      <c r="BB246" s="421" t="s">
        <v>3115</v>
      </c>
      <c r="BC246" s="421">
        <v>189.72</v>
      </c>
      <c r="BD246" s="421">
        <v>453062.74</v>
      </c>
      <c r="BE246" s="421">
        <v>0</v>
      </c>
      <c r="BF246" s="421">
        <v>0</v>
      </c>
      <c r="BG246" s="421">
        <v>0</v>
      </c>
      <c r="BH246" s="421">
        <v>0</v>
      </c>
      <c r="BI246" s="421" t="s">
        <v>1149</v>
      </c>
    </row>
    <row r="247" spans="1:61" x14ac:dyDescent="0.25">
      <c r="A247" s="421">
        <v>244</v>
      </c>
      <c r="B247" s="421">
        <v>2015</v>
      </c>
      <c r="C247" s="421">
        <v>4</v>
      </c>
      <c r="D247" s="421">
        <v>30</v>
      </c>
      <c r="E247" s="421" t="s">
        <v>1475</v>
      </c>
      <c r="F247" s="421" t="s">
        <v>3477</v>
      </c>
      <c r="G247" s="421" t="s">
        <v>3524</v>
      </c>
      <c r="H247" s="421" t="s">
        <v>1107</v>
      </c>
      <c r="I247" s="421" t="s">
        <v>3525</v>
      </c>
      <c r="J247" s="421" t="s">
        <v>3532</v>
      </c>
      <c r="K247" s="421" t="s">
        <v>3093</v>
      </c>
      <c r="L247" s="421" t="s">
        <v>3094</v>
      </c>
      <c r="M247" s="421" t="s">
        <v>2667</v>
      </c>
      <c r="N247" s="421" t="s">
        <v>3093</v>
      </c>
      <c r="O247" s="421" t="s">
        <v>3094</v>
      </c>
      <c r="P247" s="421" t="s">
        <v>3095</v>
      </c>
      <c r="Q247" s="421" t="s">
        <v>3113</v>
      </c>
      <c r="R247" s="421" t="s">
        <v>1108</v>
      </c>
      <c r="S247" s="421" t="s">
        <v>1108</v>
      </c>
      <c r="T247" s="421" t="s">
        <v>1130</v>
      </c>
      <c r="U247" s="421" t="s">
        <v>1112</v>
      </c>
      <c r="V247" s="421" t="s">
        <v>3097</v>
      </c>
      <c r="W247" s="421" t="s">
        <v>3098</v>
      </c>
      <c r="X247" s="421" t="s">
        <v>3099</v>
      </c>
      <c r="Y247" s="421" t="s">
        <v>1117</v>
      </c>
      <c r="Z247" s="421" t="s">
        <v>1118</v>
      </c>
      <c r="AA247" s="421" t="s">
        <v>3100</v>
      </c>
      <c r="AB247" s="421" t="s">
        <v>3101</v>
      </c>
      <c r="AC247" s="421" t="s">
        <v>3102</v>
      </c>
      <c r="AD247" s="421" t="s">
        <v>3529</v>
      </c>
      <c r="AE247" s="421" t="s">
        <v>3530</v>
      </c>
      <c r="AF247" s="421" t="s">
        <v>1471</v>
      </c>
      <c r="AG247" s="421" t="s">
        <v>1472</v>
      </c>
      <c r="AH247" s="421" t="s">
        <v>3105</v>
      </c>
      <c r="AI247" s="421">
        <v>3744</v>
      </c>
      <c r="AJ247" s="421">
        <v>256.92</v>
      </c>
      <c r="AK247" s="421">
        <v>286.05</v>
      </c>
      <c r="AL247" s="421">
        <v>7</v>
      </c>
      <c r="AM247" s="421" t="s">
        <v>1207</v>
      </c>
      <c r="AN247" s="421" t="s">
        <v>1207</v>
      </c>
      <c r="AO247" s="421" t="s">
        <v>1121</v>
      </c>
      <c r="AP247" s="421" t="s">
        <v>1121</v>
      </c>
      <c r="AQ247" s="421" t="s">
        <v>1108</v>
      </c>
      <c r="AR247" s="421" t="s">
        <v>3485</v>
      </c>
      <c r="AS247" s="421" t="s">
        <v>3533</v>
      </c>
      <c r="AT247" s="421" t="s">
        <v>3109</v>
      </c>
      <c r="AU247" s="421" t="s">
        <v>1142</v>
      </c>
      <c r="AV247" s="421" t="s">
        <v>2037</v>
      </c>
      <c r="AW247" s="421" t="s">
        <v>3110</v>
      </c>
      <c r="AX247" s="421" t="s">
        <v>3111</v>
      </c>
      <c r="AY247" s="421" t="s">
        <v>3193</v>
      </c>
      <c r="AZ247" s="421" t="s">
        <v>3113</v>
      </c>
      <c r="BA247" s="421" t="s">
        <v>3114</v>
      </c>
      <c r="BB247" s="421" t="s">
        <v>3115</v>
      </c>
      <c r="BC247" s="421">
        <v>2609.2800000000002</v>
      </c>
      <c r="BD247" s="421">
        <v>6231117.2000000002</v>
      </c>
      <c r="BE247" s="421">
        <v>0</v>
      </c>
      <c r="BF247" s="421">
        <v>0</v>
      </c>
      <c r="BG247" s="421">
        <v>0</v>
      </c>
      <c r="BH247" s="421">
        <v>0</v>
      </c>
      <c r="BI247" s="421" t="s">
        <v>1149</v>
      </c>
    </row>
    <row r="248" spans="1:61" x14ac:dyDescent="0.25">
      <c r="A248" s="421">
        <v>245</v>
      </c>
      <c r="B248" s="421">
        <v>2015</v>
      </c>
      <c r="C248" s="421">
        <v>4</v>
      </c>
      <c r="D248" s="421">
        <v>30</v>
      </c>
      <c r="E248" s="421" t="s">
        <v>1475</v>
      </c>
      <c r="F248" s="421" t="s">
        <v>3477</v>
      </c>
      <c r="G248" s="421" t="s">
        <v>3524</v>
      </c>
      <c r="H248" s="421" t="s">
        <v>1107</v>
      </c>
      <c r="I248" s="421" t="s">
        <v>3525</v>
      </c>
      <c r="J248" s="421" t="s">
        <v>3534</v>
      </c>
      <c r="K248" s="421" t="s">
        <v>3093</v>
      </c>
      <c r="L248" s="421" t="s">
        <v>3094</v>
      </c>
      <c r="M248" s="421" t="s">
        <v>2667</v>
      </c>
      <c r="N248" s="421" t="s">
        <v>3093</v>
      </c>
      <c r="O248" s="421" t="s">
        <v>3094</v>
      </c>
      <c r="P248" s="421" t="s">
        <v>3095</v>
      </c>
      <c r="Q248" s="421" t="s">
        <v>3113</v>
      </c>
      <c r="R248" s="421" t="s">
        <v>1108</v>
      </c>
      <c r="S248" s="421" t="s">
        <v>1108</v>
      </c>
      <c r="T248" s="421" t="s">
        <v>1130</v>
      </c>
      <c r="U248" s="421" t="s">
        <v>1112</v>
      </c>
      <c r="V248" s="421" t="s">
        <v>3097</v>
      </c>
      <c r="W248" s="421" t="s">
        <v>3098</v>
      </c>
      <c r="X248" s="421" t="s">
        <v>3099</v>
      </c>
      <c r="Y248" s="421" t="s">
        <v>1117</v>
      </c>
      <c r="Z248" s="421" t="s">
        <v>1118</v>
      </c>
      <c r="AA248" s="421" t="s">
        <v>3100</v>
      </c>
      <c r="AB248" s="421" t="s">
        <v>3101</v>
      </c>
      <c r="AC248" s="421" t="s">
        <v>3102</v>
      </c>
      <c r="AD248" s="421" t="s">
        <v>3529</v>
      </c>
      <c r="AE248" s="421" t="s">
        <v>3530</v>
      </c>
      <c r="AF248" s="421" t="s">
        <v>2236</v>
      </c>
      <c r="AG248" s="421" t="s">
        <v>2237</v>
      </c>
      <c r="AH248" s="421" t="s">
        <v>3105</v>
      </c>
      <c r="AI248" s="421">
        <v>227520</v>
      </c>
      <c r="AJ248" s="421">
        <v>917.09</v>
      </c>
      <c r="AK248" s="421">
        <v>992.15</v>
      </c>
      <c r="AL248" s="421">
        <v>3</v>
      </c>
      <c r="AM248" s="421" t="s">
        <v>1207</v>
      </c>
      <c r="AN248" s="421" t="s">
        <v>1207</v>
      </c>
      <c r="AO248" s="421" t="s">
        <v>1121</v>
      </c>
      <c r="AP248" s="421" t="s">
        <v>1121</v>
      </c>
      <c r="AQ248" s="421" t="s">
        <v>1108</v>
      </c>
      <c r="AR248" s="421" t="s">
        <v>3485</v>
      </c>
      <c r="AS248" s="421" t="s">
        <v>3535</v>
      </c>
      <c r="AT248" s="421" t="s">
        <v>3109</v>
      </c>
      <c r="AU248" s="421" t="s">
        <v>1142</v>
      </c>
      <c r="AV248" s="421" t="s">
        <v>2037</v>
      </c>
      <c r="AW248" s="421" t="s">
        <v>3110</v>
      </c>
      <c r="AX248" s="421" t="s">
        <v>3111</v>
      </c>
      <c r="AY248" s="421" t="s">
        <v>3193</v>
      </c>
      <c r="AZ248" s="421" t="s">
        <v>3113</v>
      </c>
      <c r="BA248" s="421" t="s">
        <v>3114</v>
      </c>
      <c r="BB248" s="421" t="s">
        <v>3115</v>
      </c>
      <c r="BC248" s="421">
        <v>25394.400000000001</v>
      </c>
      <c r="BD248" s="421">
        <v>60643350.859999999</v>
      </c>
      <c r="BE248" s="421">
        <v>0</v>
      </c>
      <c r="BF248" s="421">
        <v>0</v>
      </c>
      <c r="BG248" s="421">
        <v>0</v>
      </c>
      <c r="BH248" s="421">
        <v>0</v>
      </c>
      <c r="BI248" s="421" t="s">
        <v>1149</v>
      </c>
    </row>
    <row r="249" spans="1:61" x14ac:dyDescent="0.25">
      <c r="A249" s="421">
        <v>246</v>
      </c>
      <c r="B249" s="421">
        <v>2015</v>
      </c>
      <c r="C249" s="421">
        <v>4</v>
      </c>
      <c r="D249" s="421">
        <v>30</v>
      </c>
      <c r="E249" s="421" t="s">
        <v>1475</v>
      </c>
      <c r="F249" s="421" t="s">
        <v>3477</v>
      </c>
      <c r="G249" s="421" t="s">
        <v>3524</v>
      </c>
      <c r="H249" s="421" t="s">
        <v>1107</v>
      </c>
      <c r="I249" s="421" t="s">
        <v>3525</v>
      </c>
      <c r="J249" s="421" t="s">
        <v>3534</v>
      </c>
      <c r="K249" s="421" t="s">
        <v>3093</v>
      </c>
      <c r="L249" s="421" t="s">
        <v>3094</v>
      </c>
      <c r="M249" s="421" t="s">
        <v>2667</v>
      </c>
      <c r="N249" s="421" t="s">
        <v>3093</v>
      </c>
      <c r="O249" s="421" t="s">
        <v>3094</v>
      </c>
      <c r="P249" s="421" t="s">
        <v>3095</v>
      </c>
      <c r="Q249" s="421" t="s">
        <v>3113</v>
      </c>
      <c r="R249" s="421" t="s">
        <v>1108</v>
      </c>
      <c r="S249" s="421" t="s">
        <v>1108</v>
      </c>
      <c r="T249" s="421" t="s">
        <v>1130</v>
      </c>
      <c r="U249" s="421" t="s">
        <v>1112</v>
      </c>
      <c r="V249" s="421" t="s">
        <v>3097</v>
      </c>
      <c r="W249" s="421" t="s">
        <v>3098</v>
      </c>
      <c r="X249" s="421" t="s">
        <v>3099</v>
      </c>
      <c r="Y249" s="421" t="s">
        <v>1117</v>
      </c>
      <c r="Z249" s="421" t="s">
        <v>1118</v>
      </c>
      <c r="AA249" s="421" t="s">
        <v>3100</v>
      </c>
      <c r="AB249" s="421" t="s">
        <v>3101</v>
      </c>
      <c r="AC249" s="421" t="s">
        <v>3102</v>
      </c>
      <c r="AD249" s="421" t="s">
        <v>3529</v>
      </c>
      <c r="AE249" s="421" t="s">
        <v>3530</v>
      </c>
      <c r="AF249" s="421" t="s">
        <v>2236</v>
      </c>
      <c r="AG249" s="421" t="s">
        <v>2237</v>
      </c>
      <c r="AH249" s="421" t="s">
        <v>3105</v>
      </c>
      <c r="AI249" s="421">
        <v>5760</v>
      </c>
      <c r="AJ249" s="421">
        <v>25.32</v>
      </c>
      <c r="AK249" s="421">
        <v>27.39</v>
      </c>
      <c r="AL249" s="421">
        <v>4</v>
      </c>
      <c r="AM249" s="421" t="s">
        <v>1207</v>
      </c>
      <c r="AN249" s="421" t="s">
        <v>1207</v>
      </c>
      <c r="AO249" s="421" t="s">
        <v>1121</v>
      </c>
      <c r="AP249" s="421" t="s">
        <v>1121</v>
      </c>
      <c r="AQ249" s="421" t="s">
        <v>1108</v>
      </c>
      <c r="AR249" s="421" t="s">
        <v>3485</v>
      </c>
      <c r="AS249" s="421" t="s">
        <v>3535</v>
      </c>
      <c r="AT249" s="421" t="s">
        <v>3109</v>
      </c>
      <c r="AU249" s="421" t="s">
        <v>1142</v>
      </c>
      <c r="AV249" s="421" t="s">
        <v>2037</v>
      </c>
      <c r="AW249" s="421" t="s">
        <v>3110</v>
      </c>
      <c r="AX249" s="421" t="s">
        <v>3111</v>
      </c>
      <c r="AY249" s="421" t="s">
        <v>3193</v>
      </c>
      <c r="AZ249" s="421" t="s">
        <v>3113</v>
      </c>
      <c r="BA249" s="421" t="s">
        <v>3114</v>
      </c>
      <c r="BB249" s="421" t="s">
        <v>3115</v>
      </c>
      <c r="BC249" s="421">
        <v>667.2</v>
      </c>
      <c r="BD249" s="421">
        <v>1593313.63</v>
      </c>
      <c r="BE249" s="421">
        <v>0</v>
      </c>
      <c r="BF249" s="421">
        <v>0</v>
      </c>
      <c r="BG249" s="421">
        <v>0</v>
      </c>
      <c r="BH249" s="421">
        <v>0</v>
      </c>
      <c r="BI249" s="421" t="s">
        <v>1149</v>
      </c>
    </row>
    <row r="250" spans="1:61" x14ac:dyDescent="0.25">
      <c r="A250" s="421">
        <v>247</v>
      </c>
      <c r="B250" s="421">
        <v>2015</v>
      </c>
      <c r="C250" s="421">
        <v>4</v>
      </c>
      <c r="D250" s="421">
        <v>30</v>
      </c>
      <c r="E250" s="421" t="s">
        <v>1475</v>
      </c>
      <c r="F250" s="421" t="s">
        <v>3477</v>
      </c>
      <c r="G250" s="421" t="s">
        <v>3524</v>
      </c>
      <c r="H250" s="421" t="s">
        <v>1107</v>
      </c>
      <c r="I250" s="421" t="s">
        <v>3525</v>
      </c>
      <c r="J250" s="421" t="s">
        <v>3528</v>
      </c>
      <c r="K250" s="421" t="s">
        <v>3093</v>
      </c>
      <c r="L250" s="421" t="s">
        <v>3094</v>
      </c>
      <c r="M250" s="421" t="s">
        <v>2667</v>
      </c>
      <c r="N250" s="421" t="s">
        <v>3093</v>
      </c>
      <c r="O250" s="421" t="s">
        <v>3094</v>
      </c>
      <c r="P250" s="421" t="s">
        <v>3095</v>
      </c>
      <c r="Q250" s="421" t="s">
        <v>3113</v>
      </c>
      <c r="R250" s="421" t="s">
        <v>1108</v>
      </c>
      <c r="S250" s="421" t="s">
        <v>1108</v>
      </c>
      <c r="T250" s="421" t="s">
        <v>1130</v>
      </c>
      <c r="U250" s="421" t="s">
        <v>1112</v>
      </c>
      <c r="V250" s="421" t="s">
        <v>3097</v>
      </c>
      <c r="W250" s="421" t="s">
        <v>3098</v>
      </c>
      <c r="X250" s="421" t="s">
        <v>3099</v>
      </c>
      <c r="Y250" s="421" t="s">
        <v>1117</v>
      </c>
      <c r="Z250" s="421" t="s">
        <v>1118</v>
      </c>
      <c r="AA250" s="421" t="s">
        <v>3100</v>
      </c>
      <c r="AB250" s="421" t="s">
        <v>3101</v>
      </c>
      <c r="AC250" s="421" t="s">
        <v>3102</v>
      </c>
      <c r="AD250" s="421" t="s">
        <v>3529</v>
      </c>
      <c r="AE250" s="421" t="s">
        <v>3530</v>
      </c>
      <c r="AF250" s="421" t="s">
        <v>1300</v>
      </c>
      <c r="AG250" s="421" t="s">
        <v>1301</v>
      </c>
      <c r="AH250" s="421" t="s">
        <v>1127</v>
      </c>
      <c r="AI250" s="421">
        <v>17.72</v>
      </c>
      <c r="AJ250" s="421">
        <v>17.72</v>
      </c>
      <c r="AK250" s="421">
        <v>18.579999999999998</v>
      </c>
      <c r="AL250" s="421">
        <v>1</v>
      </c>
      <c r="AM250" s="421" t="s">
        <v>1207</v>
      </c>
      <c r="AN250" s="421" t="s">
        <v>1207</v>
      </c>
      <c r="AO250" s="421" t="s">
        <v>1121</v>
      </c>
      <c r="AP250" s="421" t="s">
        <v>1121</v>
      </c>
      <c r="AQ250" s="421" t="s">
        <v>1108</v>
      </c>
      <c r="AR250" s="421" t="s">
        <v>3485</v>
      </c>
      <c r="AS250" s="421" t="s">
        <v>3531</v>
      </c>
      <c r="AT250" s="421" t="s">
        <v>3109</v>
      </c>
      <c r="AU250" s="421" t="s">
        <v>1142</v>
      </c>
      <c r="AV250" s="421" t="s">
        <v>2037</v>
      </c>
      <c r="AW250" s="421" t="s">
        <v>3110</v>
      </c>
      <c r="AX250" s="421" t="s">
        <v>3229</v>
      </c>
      <c r="AY250" s="421" t="s">
        <v>3112</v>
      </c>
      <c r="AZ250" s="421" t="s">
        <v>3113</v>
      </c>
      <c r="BA250" s="421" t="s">
        <v>3114</v>
      </c>
      <c r="BB250" s="421" t="s">
        <v>3230</v>
      </c>
      <c r="BC250" s="421">
        <v>1.5</v>
      </c>
      <c r="BD250" s="421">
        <v>3582.09</v>
      </c>
      <c r="BE250" s="421">
        <v>0</v>
      </c>
      <c r="BF250" s="421">
        <v>0</v>
      </c>
      <c r="BG250" s="421">
        <v>0</v>
      </c>
      <c r="BH250" s="421">
        <v>0</v>
      </c>
      <c r="BI250" s="421" t="s">
        <v>1149</v>
      </c>
    </row>
    <row r="251" spans="1:61" x14ac:dyDescent="0.25">
      <c r="A251" s="421">
        <v>248</v>
      </c>
      <c r="B251" s="421">
        <v>2015</v>
      </c>
      <c r="C251" s="421">
        <v>4</v>
      </c>
      <c r="D251" s="421">
        <v>30</v>
      </c>
      <c r="E251" s="421" t="s">
        <v>1475</v>
      </c>
      <c r="F251" s="421" t="s">
        <v>3477</v>
      </c>
      <c r="G251" s="421" t="s">
        <v>3524</v>
      </c>
      <c r="H251" s="421" t="s">
        <v>1107</v>
      </c>
      <c r="I251" s="421" t="s">
        <v>3525</v>
      </c>
      <c r="J251" s="421" t="s">
        <v>3534</v>
      </c>
      <c r="K251" s="421" t="s">
        <v>3093</v>
      </c>
      <c r="L251" s="421" t="s">
        <v>3094</v>
      </c>
      <c r="M251" s="421" t="s">
        <v>2667</v>
      </c>
      <c r="N251" s="421" t="s">
        <v>3093</v>
      </c>
      <c r="O251" s="421" t="s">
        <v>3094</v>
      </c>
      <c r="P251" s="421" t="s">
        <v>3095</v>
      </c>
      <c r="Q251" s="421" t="s">
        <v>3113</v>
      </c>
      <c r="R251" s="421" t="s">
        <v>1108</v>
      </c>
      <c r="S251" s="421" t="s">
        <v>1108</v>
      </c>
      <c r="T251" s="421" t="s">
        <v>1130</v>
      </c>
      <c r="U251" s="421" t="s">
        <v>1112</v>
      </c>
      <c r="V251" s="421" t="s">
        <v>3097</v>
      </c>
      <c r="W251" s="421" t="s">
        <v>3098</v>
      </c>
      <c r="X251" s="421" t="s">
        <v>3099</v>
      </c>
      <c r="Y251" s="421" t="s">
        <v>1117</v>
      </c>
      <c r="Z251" s="421" t="s">
        <v>1118</v>
      </c>
      <c r="AA251" s="421" t="s">
        <v>3100</v>
      </c>
      <c r="AB251" s="421" t="s">
        <v>3101</v>
      </c>
      <c r="AC251" s="421" t="s">
        <v>3102</v>
      </c>
      <c r="AD251" s="421" t="s">
        <v>3529</v>
      </c>
      <c r="AE251" s="421" t="s">
        <v>3530</v>
      </c>
      <c r="AF251" s="421" t="s">
        <v>2236</v>
      </c>
      <c r="AG251" s="421" t="s">
        <v>2237</v>
      </c>
      <c r="AH251" s="421" t="s">
        <v>3105</v>
      </c>
      <c r="AI251" s="421">
        <v>564500</v>
      </c>
      <c r="AJ251" s="421">
        <v>1325.1</v>
      </c>
      <c r="AK251" s="421">
        <v>1433.55</v>
      </c>
      <c r="AL251" s="421">
        <v>1</v>
      </c>
      <c r="AM251" s="421" t="s">
        <v>1207</v>
      </c>
      <c r="AN251" s="421" t="s">
        <v>1207</v>
      </c>
      <c r="AO251" s="421" t="s">
        <v>1121</v>
      </c>
      <c r="AP251" s="421" t="s">
        <v>1121</v>
      </c>
      <c r="AQ251" s="421" t="s">
        <v>1108</v>
      </c>
      <c r="AR251" s="421" t="s">
        <v>3485</v>
      </c>
      <c r="AS251" s="421" t="s">
        <v>3535</v>
      </c>
      <c r="AT251" s="421" t="s">
        <v>3109</v>
      </c>
      <c r="AU251" s="421" t="s">
        <v>1142</v>
      </c>
      <c r="AV251" s="421" t="s">
        <v>2037</v>
      </c>
      <c r="AW251" s="421" t="s">
        <v>3110</v>
      </c>
      <c r="AX251" s="421" t="s">
        <v>3111</v>
      </c>
      <c r="AY251" s="421" t="s">
        <v>3193</v>
      </c>
      <c r="AZ251" s="421" t="s">
        <v>3113</v>
      </c>
      <c r="BA251" s="421" t="s">
        <v>3114</v>
      </c>
      <c r="BB251" s="421" t="s">
        <v>3115</v>
      </c>
      <c r="BC251" s="421">
        <v>20187</v>
      </c>
      <c r="BD251" s="421">
        <v>48207767.219999999</v>
      </c>
      <c r="BE251" s="421">
        <v>0</v>
      </c>
      <c r="BF251" s="421">
        <v>0</v>
      </c>
      <c r="BG251" s="421">
        <v>0</v>
      </c>
      <c r="BH251" s="421">
        <v>0</v>
      </c>
      <c r="BI251" s="421" t="s">
        <v>1149</v>
      </c>
    </row>
    <row r="252" spans="1:61" x14ac:dyDescent="0.25">
      <c r="A252" s="421">
        <v>249</v>
      </c>
      <c r="B252" s="421">
        <v>2015</v>
      </c>
      <c r="C252" s="421">
        <v>4</v>
      </c>
      <c r="D252" s="421">
        <v>30</v>
      </c>
      <c r="E252" s="421" t="s">
        <v>1475</v>
      </c>
      <c r="F252" s="421" t="s">
        <v>3477</v>
      </c>
      <c r="G252" s="421" t="s">
        <v>3524</v>
      </c>
      <c r="H252" s="421" t="s">
        <v>1107</v>
      </c>
      <c r="I252" s="421" t="s">
        <v>3525</v>
      </c>
      <c r="J252" s="421" t="s">
        <v>3534</v>
      </c>
      <c r="K252" s="421" t="s">
        <v>3093</v>
      </c>
      <c r="L252" s="421" t="s">
        <v>3094</v>
      </c>
      <c r="M252" s="421" t="s">
        <v>2667</v>
      </c>
      <c r="N252" s="421" t="s">
        <v>3093</v>
      </c>
      <c r="O252" s="421" t="s">
        <v>3094</v>
      </c>
      <c r="P252" s="421" t="s">
        <v>3095</v>
      </c>
      <c r="Q252" s="421" t="s">
        <v>3113</v>
      </c>
      <c r="R252" s="421" t="s">
        <v>1108</v>
      </c>
      <c r="S252" s="421" t="s">
        <v>1108</v>
      </c>
      <c r="T252" s="421" t="s">
        <v>1130</v>
      </c>
      <c r="U252" s="421" t="s">
        <v>1112</v>
      </c>
      <c r="V252" s="421" t="s">
        <v>3097</v>
      </c>
      <c r="W252" s="421" t="s">
        <v>3098</v>
      </c>
      <c r="X252" s="421" t="s">
        <v>3099</v>
      </c>
      <c r="Y252" s="421" t="s">
        <v>1117</v>
      </c>
      <c r="Z252" s="421" t="s">
        <v>1118</v>
      </c>
      <c r="AA252" s="421" t="s">
        <v>3100</v>
      </c>
      <c r="AB252" s="421" t="s">
        <v>3101</v>
      </c>
      <c r="AC252" s="421" t="s">
        <v>3102</v>
      </c>
      <c r="AD252" s="421" t="s">
        <v>3529</v>
      </c>
      <c r="AE252" s="421" t="s">
        <v>3530</v>
      </c>
      <c r="AF252" s="421" t="s">
        <v>2236</v>
      </c>
      <c r="AG252" s="421" t="s">
        <v>2237</v>
      </c>
      <c r="AH252" s="421" t="s">
        <v>3105</v>
      </c>
      <c r="AI252" s="421">
        <v>55000</v>
      </c>
      <c r="AJ252" s="421">
        <v>118.71</v>
      </c>
      <c r="AK252" s="421">
        <v>128.43</v>
      </c>
      <c r="AL252" s="421">
        <v>2</v>
      </c>
      <c r="AM252" s="421" t="s">
        <v>1207</v>
      </c>
      <c r="AN252" s="421" t="s">
        <v>1207</v>
      </c>
      <c r="AO252" s="421" t="s">
        <v>1121</v>
      </c>
      <c r="AP252" s="421" t="s">
        <v>1121</v>
      </c>
      <c r="AQ252" s="421" t="s">
        <v>1108</v>
      </c>
      <c r="AR252" s="421" t="s">
        <v>3485</v>
      </c>
      <c r="AS252" s="421" t="s">
        <v>3535</v>
      </c>
      <c r="AT252" s="421" t="s">
        <v>3109</v>
      </c>
      <c r="AU252" s="421" t="s">
        <v>1142</v>
      </c>
      <c r="AV252" s="421" t="s">
        <v>2037</v>
      </c>
      <c r="AW252" s="421" t="s">
        <v>3110</v>
      </c>
      <c r="AX252" s="421" t="s">
        <v>3111</v>
      </c>
      <c r="AY252" s="421" t="s">
        <v>3193</v>
      </c>
      <c r="AZ252" s="421" t="s">
        <v>3113</v>
      </c>
      <c r="BA252" s="421" t="s">
        <v>3114</v>
      </c>
      <c r="BB252" s="421" t="s">
        <v>3115</v>
      </c>
      <c r="BC252" s="421">
        <v>1749</v>
      </c>
      <c r="BD252" s="421">
        <v>4176716.94</v>
      </c>
      <c r="BE252" s="421">
        <v>0</v>
      </c>
      <c r="BF252" s="421">
        <v>0</v>
      </c>
      <c r="BG252" s="421">
        <v>0</v>
      </c>
      <c r="BH252" s="421">
        <v>0</v>
      </c>
      <c r="BI252" s="421" t="s">
        <v>1149</v>
      </c>
    </row>
    <row r="253" spans="1:61" x14ac:dyDescent="0.25">
      <c r="A253" s="421">
        <v>250</v>
      </c>
      <c r="B253" s="421">
        <v>2015</v>
      </c>
      <c r="C253" s="421">
        <v>4</v>
      </c>
      <c r="D253" s="421">
        <v>30</v>
      </c>
      <c r="E253" s="421" t="s">
        <v>1475</v>
      </c>
      <c r="F253" s="421" t="s">
        <v>3477</v>
      </c>
      <c r="G253" s="421" t="s">
        <v>3524</v>
      </c>
      <c r="H253" s="421" t="s">
        <v>1107</v>
      </c>
      <c r="I253" s="421" t="s">
        <v>3525</v>
      </c>
      <c r="J253" s="421" t="s">
        <v>3536</v>
      </c>
      <c r="K253" s="421" t="s">
        <v>3093</v>
      </c>
      <c r="L253" s="421" t="s">
        <v>3094</v>
      </c>
      <c r="M253" s="421" t="s">
        <v>2667</v>
      </c>
      <c r="N253" s="421" t="s">
        <v>3093</v>
      </c>
      <c r="O253" s="421" t="s">
        <v>3094</v>
      </c>
      <c r="P253" s="421" t="s">
        <v>3095</v>
      </c>
      <c r="Q253" s="421" t="s">
        <v>3113</v>
      </c>
      <c r="R253" s="421" t="s">
        <v>1108</v>
      </c>
      <c r="S253" s="421" t="s">
        <v>1108</v>
      </c>
      <c r="T253" s="421" t="s">
        <v>1130</v>
      </c>
      <c r="U253" s="421" t="s">
        <v>1112</v>
      </c>
      <c r="V253" s="421" t="s">
        <v>3097</v>
      </c>
      <c r="W253" s="421" t="s">
        <v>3098</v>
      </c>
      <c r="X253" s="421" t="s">
        <v>3099</v>
      </c>
      <c r="Y253" s="421" t="s">
        <v>1117</v>
      </c>
      <c r="Z253" s="421" t="s">
        <v>1118</v>
      </c>
      <c r="AA253" s="421" t="s">
        <v>3100</v>
      </c>
      <c r="AB253" s="421" t="s">
        <v>3101</v>
      </c>
      <c r="AC253" s="421" t="s">
        <v>3102</v>
      </c>
      <c r="AD253" s="421" t="s">
        <v>3537</v>
      </c>
      <c r="AE253" s="421" t="s">
        <v>3239</v>
      </c>
      <c r="AF253" s="421" t="s">
        <v>2236</v>
      </c>
      <c r="AG253" s="421" t="s">
        <v>2237</v>
      </c>
      <c r="AH253" s="421" t="s">
        <v>3105</v>
      </c>
      <c r="AI253" s="421">
        <v>6247000</v>
      </c>
      <c r="AJ253" s="421">
        <v>12766.34</v>
      </c>
      <c r="AK253" s="421">
        <v>13917.83</v>
      </c>
      <c r="AL253" s="421">
        <v>1</v>
      </c>
      <c r="AM253" s="421" t="s">
        <v>960</v>
      </c>
      <c r="AN253" s="421" t="s">
        <v>3240</v>
      </c>
      <c r="AO253" s="421" t="s">
        <v>1121</v>
      </c>
      <c r="AP253" s="421" t="s">
        <v>1121</v>
      </c>
      <c r="AQ253" s="421" t="s">
        <v>1108</v>
      </c>
      <c r="AR253" s="421" t="s">
        <v>3485</v>
      </c>
      <c r="AS253" s="421" t="s">
        <v>3538</v>
      </c>
      <c r="AT253" s="421" t="s">
        <v>3109</v>
      </c>
      <c r="AU253" s="421" t="s">
        <v>1142</v>
      </c>
      <c r="AV253" s="421" t="s">
        <v>2037</v>
      </c>
      <c r="AW253" s="421" t="s">
        <v>3110</v>
      </c>
      <c r="AX253" s="421" t="s">
        <v>3131</v>
      </c>
      <c r="AY253" s="421" t="s">
        <v>3112</v>
      </c>
      <c r="AZ253" s="421" t="s">
        <v>3113</v>
      </c>
      <c r="BA253" s="421" t="s">
        <v>3114</v>
      </c>
      <c r="BB253" s="421" t="s">
        <v>3115</v>
      </c>
      <c r="BC253" s="421">
        <v>164215</v>
      </c>
      <c r="BD253" s="421">
        <v>392155272.89999998</v>
      </c>
      <c r="BE253" s="421">
        <v>0</v>
      </c>
      <c r="BF253" s="421">
        <v>878.4</v>
      </c>
      <c r="BG253" s="421">
        <v>412.74</v>
      </c>
      <c r="BH253" s="421">
        <v>0</v>
      </c>
      <c r="BI253" s="421" t="s">
        <v>1167</v>
      </c>
    </row>
    <row r="254" spans="1:61" x14ac:dyDescent="0.25">
      <c r="A254" s="421">
        <v>251</v>
      </c>
      <c r="B254" s="421">
        <v>2015</v>
      </c>
      <c r="C254" s="421">
        <v>4</v>
      </c>
      <c r="D254" s="421">
        <v>30</v>
      </c>
      <c r="E254" s="421" t="s">
        <v>1475</v>
      </c>
      <c r="F254" s="421" t="s">
        <v>3477</v>
      </c>
      <c r="G254" s="421" t="s">
        <v>3524</v>
      </c>
      <c r="H254" s="421" t="s">
        <v>1107</v>
      </c>
      <c r="I254" s="421" t="s">
        <v>3525</v>
      </c>
      <c r="J254" s="421" t="s">
        <v>3539</v>
      </c>
      <c r="K254" s="421" t="s">
        <v>3093</v>
      </c>
      <c r="L254" s="421" t="s">
        <v>3094</v>
      </c>
      <c r="M254" s="421" t="s">
        <v>2667</v>
      </c>
      <c r="N254" s="421" t="s">
        <v>3093</v>
      </c>
      <c r="O254" s="421" t="s">
        <v>3094</v>
      </c>
      <c r="P254" s="421" t="s">
        <v>3095</v>
      </c>
      <c r="Q254" s="421" t="s">
        <v>3113</v>
      </c>
      <c r="R254" s="421" t="s">
        <v>1108</v>
      </c>
      <c r="S254" s="421" t="s">
        <v>1108</v>
      </c>
      <c r="T254" s="421" t="s">
        <v>1130</v>
      </c>
      <c r="U254" s="421" t="s">
        <v>1112</v>
      </c>
      <c r="V254" s="421" t="s">
        <v>3097</v>
      </c>
      <c r="W254" s="421" t="s">
        <v>3098</v>
      </c>
      <c r="X254" s="421" t="s">
        <v>3099</v>
      </c>
      <c r="Y254" s="421" t="s">
        <v>1117</v>
      </c>
      <c r="Z254" s="421" t="s">
        <v>1118</v>
      </c>
      <c r="AA254" s="421" t="s">
        <v>3100</v>
      </c>
      <c r="AB254" s="421" t="s">
        <v>3101</v>
      </c>
      <c r="AC254" s="421" t="s">
        <v>3102</v>
      </c>
      <c r="AD254" s="421" t="s">
        <v>3537</v>
      </c>
      <c r="AE254" s="421" t="s">
        <v>3239</v>
      </c>
      <c r="AF254" s="421" t="s">
        <v>3375</v>
      </c>
      <c r="AG254" s="421" t="s">
        <v>3376</v>
      </c>
      <c r="AH254" s="421" t="s">
        <v>3105</v>
      </c>
      <c r="AI254" s="421">
        <v>150</v>
      </c>
      <c r="AJ254" s="421">
        <v>18.41</v>
      </c>
      <c r="AK254" s="421">
        <v>19.34</v>
      </c>
      <c r="AL254" s="421">
        <v>1</v>
      </c>
      <c r="AM254" s="421" t="s">
        <v>960</v>
      </c>
      <c r="AN254" s="421" t="s">
        <v>3240</v>
      </c>
      <c r="AO254" s="421" t="s">
        <v>1121</v>
      </c>
      <c r="AP254" s="421" t="s">
        <v>1121</v>
      </c>
      <c r="AQ254" s="421" t="s">
        <v>1108</v>
      </c>
      <c r="AR254" s="421" t="s">
        <v>3485</v>
      </c>
      <c r="AS254" s="421" t="s">
        <v>3540</v>
      </c>
      <c r="AT254" s="421" t="s">
        <v>3109</v>
      </c>
      <c r="AU254" s="421" t="s">
        <v>1142</v>
      </c>
      <c r="AV254" s="421" t="s">
        <v>2037</v>
      </c>
      <c r="AW254" s="421" t="s">
        <v>3110</v>
      </c>
      <c r="AX254" s="421" t="s">
        <v>3229</v>
      </c>
      <c r="AY254" s="421" t="s">
        <v>3112</v>
      </c>
      <c r="AZ254" s="421" t="s">
        <v>3113</v>
      </c>
      <c r="BA254" s="421" t="s">
        <v>3114</v>
      </c>
      <c r="BB254" s="421" t="s">
        <v>3230</v>
      </c>
      <c r="BC254" s="421">
        <v>3</v>
      </c>
      <c r="BD254" s="421">
        <v>7164.18</v>
      </c>
      <c r="BE254" s="421">
        <v>0</v>
      </c>
      <c r="BF254" s="421">
        <v>0</v>
      </c>
      <c r="BG254" s="421">
        <v>0</v>
      </c>
      <c r="BH254" s="421">
        <v>0</v>
      </c>
      <c r="BI254" s="421" t="s">
        <v>1167</v>
      </c>
    </row>
    <row r="255" spans="1:61" x14ac:dyDescent="0.25">
      <c r="A255" s="421">
        <v>252</v>
      </c>
      <c r="B255" s="421">
        <v>2015</v>
      </c>
      <c r="C255" s="421">
        <v>4</v>
      </c>
      <c r="D255" s="421">
        <v>30</v>
      </c>
      <c r="E255" s="421" t="s">
        <v>1475</v>
      </c>
      <c r="F255" s="421" t="s">
        <v>3477</v>
      </c>
      <c r="G255" s="421" t="s">
        <v>3524</v>
      </c>
      <c r="H255" s="421" t="s">
        <v>1107</v>
      </c>
      <c r="I255" s="421" t="s">
        <v>3525</v>
      </c>
      <c r="J255" s="421" t="s">
        <v>3536</v>
      </c>
      <c r="K255" s="421" t="s">
        <v>3093</v>
      </c>
      <c r="L255" s="421" t="s">
        <v>3094</v>
      </c>
      <c r="M255" s="421" t="s">
        <v>2667</v>
      </c>
      <c r="N255" s="421" t="s">
        <v>3093</v>
      </c>
      <c r="O255" s="421" t="s">
        <v>3094</v>
      </c>
      <c r="P255" s="421" t="s">
        <v>3095</v>
      </c>
      <c r="Q255" s="421" t="s">
        <v>3113</v>
      </c>
      <c r="R255" s="421" t="s">
        <v>1108</v>
      </c>
      <c r="S255" s="421" t="s">
        <v>1108</v>
      </c>
      <c r="T255" s="421" t="s">
        <v>1130</v>
      </c>
      <c r="U255" s="421" t="s">
        <v>1112</v>
      </c>
      <c r="V255" s="421" t="s">
        <v>3097</v>
      </c>
      <c r="W255" s="421" t="s">
        <v>3098</v>
      </c>
      <c r="X255" s="421" t="s">
        <v>3099</v>
      </c>
      <c r="Y255" s="421" t="s">
        <v>1117</v>
      </c>
      <c r="Z255" s="421" t="s">
        <v>1118</v>
      </c>
      <c r="AA255" s="421" t="s">
        <v>3100</v>
      </c>
      <c r="AB255" s="421" t="s">
        <v>3101</v>
      </c>
      <c r="AC255" s="421" t="s">
        <v>3102</v>
      </c>
      <c r="AD255" s="421" t="s">
        <v>3537</v>
      </c>
      <c r="AE255" s="421" t="s">
        <v>3239</v>
      </c>
      <c r="AF255" s="421" t="s">
        <v>2236</v>
      </c>
      <c r="AG255" s="421" t="s">
        <v>2237</v>
      </c>
      <c r="AH255" s="421" t="s">
        <v>3105</v>
      </c>
      <c r="AI255" s="421">
        <v>202000</v>
      </c>
      <c r="AJ255" s="421">
        <v>421.98</v>
      </c>
      <c r="AK255" s="421">
        <v>460.04</v>
      </c>
      <c r="AL255" s="421">
        <v>2</v>
      </c>
      <c r="AM255" s="421" t="s">
        <v>960</v>
      </c>
      <c r="AN255" s="421" t="s">
        <v>3240</v>
      </c>
      <c r="AO255" s="421" t="s">
        <v>1121</v>
      </c>
      <c r="AP255" s="421" t="s">
        <v>1121</v>
      </c>
      <c r="AQ255" s="421" t="s">
        <v>1108</v>
      </c>
      <c r="AR255" s="421" t="s">
        <v>3485</v>
      </c>
      <c r="AS255" s="421" t="s">
        <v>3538</v>
      </c>
      <c r="AT255" s="421" t="s">
        <v>3109</v>
      </c>
      <c r="AU255" s="421" t="s">
        <v>1142</v>
      </c>
      <c r="AV255" s="421" t="s">
        <v>2037</v>
      </c>
      <c r="AW255" s="421" t="s">
        <v>3110</v>
      </c>
      <c r="AX255" s="421" t="s">
        <v>3131</v>
      </c>
      <c r="AY255" s="421" t="s">
        <v>3112</v>
      </c>
      <c r="AZ255" s="421" t="s">
        <v>3113</v>
      </c>
      <c r="BA255" s="421" t="s">
        <v>3114</v>
      </c>
      <c r="BB255" s="421" t="s">
        <v>3115</v>
      </c>
      <c r="BC255" s="421">
        <v>5808</v>
      </c>
      <c r="BD255" s="421">
        <v>13869852.48</v>
      </c>
      <c r="BE255" s="421">
        <v>0</v>
      </c>
      <c r="BF255" s="421">
        <v>31.07</v>
      </c>
      <c r="BG255" s="421">
        <v>14.6</v>
      </c>
      <c r="BH255" s="421">
        <v>0</v>
      </c>
      <c r="BI255" s="421" t="s">
        <v>1167</v>
      </c>
    </row>
    <row r="256" spans="1:61" x14ac:dyDescent="0.25">
      <c r="A256" s="421">
        <v>253</v>
      </c>
      <c r="B256" s="421">
        <v>2015</v>
      </c>
      <c r="C256" s="421">
        <v>4</v>
      </c>
      <c r="D256" s="421">
        <v>30</v>
      </c>
      <c r="E256" s="421" t="s">
        <v>1475</v>
      </c>
      <c r="F256" s="421" t="s">
        <v>3477</v>
      </c>
      <c r="G256" s="421" t="s">
        <v>3524</v>
      </c>
      <c r="H256" s="421" t="s">
        <v>1107</v>
      </c>
      <c r="I256" s="421" t="s">
        <v>3525</v>
      </c>
      <c r="J256" s="421" t="s">
        <v>3536</v>
      </c>
      <c r="K256" s="421" t="s">
        <v>3093</v>
      </c>
      <c r="L256" s="421" t="s">
        <v>3094</v>
      </c>
      <c r="M256" s="421" t="s">
        <v>2667</v>
      </c>
      <c r="N256" s="421" t="s">
        <v>3093</v>
      </c>
      <c r="O256" s="421" t="s">
        <v>3094</v>
      </c>
      <c r="P256" s="421" t="s">
        <v>3095</v>
      </c>
      <c r="Q256" s="421" t="s">
        <v>3113</v>
      </c>
      <c r="R256" s="421" t="s">
        <v>1108</v>
      </c>
      <c r="S256" s="421" t="s">
        <v>1108</v>
      </c>
      <c r="T256" s="421" t="s">
        <v>1130</v>
      </c>
      <c r="U256" s="421" t="s">
        <v>1112</v>
      </c>
      <c r="V256" s="421" t="s">
        <v>3097</v>
      </c>
      <c r="W256" s="421" t="s">
        <v>3098</v>
      </c>
      <c r="X256" s="421" t="s">
        <v>3099</v>
      </c>
      <c r="Y256" s="421" t="s">
        <v>1117</v>
      </c>
      <c r="Z256" s="421" t="s">
        <v>1118</v>
      </c>
      <c r="AA256" s="421" t="s">
        <v>3100</v>
      </c>
      <c r="AB256" s="421" t="s">
        <v>3101</v>
      </c>
      <c r="AC256" s="421" t="s">
        <v>3102</v>
      </c>
      <c r="AD256" s="421" t="s">
        <v>3537</v>
      </c>
      <c r="AE256" s="421" t="s">
        <v>3239</v>
      </c>
      <c r="AF256" s="421" t="s">
        <v>2236</v>
      </c>
      <c r="AG256" s="421" t="s">
        <v>2237</v>
      </c>
      <c r="AH256" s="421" t="s">
        <v>3105</v>
      </c>
      <c r="AI256" s="421">
        <v>28500</v>
      </c>
      <c r="AJ256" s="421">
        <v>153.69999999999999</v>
      </c>
      <c r="AK256" s="421">
        <v>167.56</v>
      </c>
      <c r="AL256" s="421">
        <v>3</v>
      </c>
      <c r="AM256" s="421" t="s">
        <v>960</v>
      </c>
      <c r="AN256" s="421" t="s">
        <v>3240</v>
      </c>
      <c r="AO256" s="421" t="s">
        <v>1121</v>
      </c>
      <c r="AP256" s="421" t="s">
        <v>1121</v>
      </c>
      <c r="AQ256" s="421" t="s">
        <v>1108</v>
      </c>
      <c r="AR256" s="421" t="s">
        <v>3485</v>
      </c>
      <c r="AS256" s="421" t="s">
        <v>3538</v>
      </c>
      <c r="AT256" s="421" t="s">
        <v>3109</v>
      </c>
      <c r="AU256" s="421" t="s">
        <v>1142</v>
      </c>
      <c r="AV256" s="421" t="s">
        <v>2037</v>
      </c>
      <c r="AW256" s="421" t="s">
        <v>3110</v>
      </c>
      <c r="AX256" s="421" t="s">
        <v>3131</v>
      </c>
      <c r="AY256" s="421" t="s">
        <v>3112</v>
      </c>
      <c r="AZ256" s="421" t="s">
        <v>3113</v>
      </c>
      <c r="BA256" s="421" t="s">
        <v>3114</v>
      </c>
      <c r="BB256" s="421" t="s">
        <v>3115</v>
      </c>
      <c r="BC256" s="421">
        <v>3838</v>
      </c>
      <c r="BD256" s="421">
        <v>9165374.2799999993</v>
      </c>
      <c r="BE256" s="421">
        <v>0</v>
      </c>
      <c r="BF256" s="421">
        <v>20.53</v>
      </c>
      <c r="BG256" s="421">
        <v>9.65</v>
      </c>
      <c r="BH256" s="421">
        <v>0</v>
      </c>
      <c r="BI256" s="421" t="s">
        <v>1167</v>
      </c>
    </row>
    <row r="257" spans="1:61" x14ac:dyDescent="0.25">
      <c r="A257" s="421">
        <v>254</v>
      </c>
      <c r="B257" s="421">
        <v>2015</v>
      </c>
      <c r="C257" s="421">
        <v>4</v>
      </c>
      <c r="D257" s="421">
        <v>30</v>
      </c>
      <c r="E257" s="421" t="s">
        <v>1475</v>
      </c>
      <c r="F257" s="421" t="s">
        <v>3477</v>
      </c>
      <c r="G257" s="421" t="s">
        <v>3524</v>
      </c>
      <c r="H257" s="421" t="s">
        <v>1107</v>
      </c>
      <c r="I257" s="421" t="s">
        <v>3525</v>
      </c>
      <c r="J257" s="421" t="s">
        <v>3541</v>
      </c>
      <c r="K257" s="421" t="s">
        <v>3093</v>
      </c>
      <c r="L257" s="421" t="s">
        <v>3094</v>
      </c>
      <c r="M257" s="421" t="s">
        <v>2667</v>
      </c>
      <c r="N257" s="421" t="s">
        <v>3093</v>
      </c>
      <c r="O257" s="421" t="s">
        <v>3094</v>
      </c>
      <c r="P257" s="421" t="s">
        <v>3095</v>
      </c>
      <c r="Q257" s="421" t="s">
        <v>3113</v>
      </c>
      <c r="R257" s="421" t="s">
        <v>1108</v>
      </c>
      <c r="S257" s="421" t="s">
        <v>1108</v>
      </c>
      <c r="T257" s="421" t="s">
        <v>1130</v>
      </c>
      <c r="U257" s="421" t="s">
        <v>1112</v>
      </c>
      <c r="V257" s="421" t="s">
        <v>3097</v>
      </c>
      <c r="W257" s="421" t="s">
        <v>3098</v>
      </c>
      <c r="X257" s="421" t="s">
        <v>3099</v>
      </c>
      <c r="Y257" s="421" t="s">
        <v>1117</v>
      </c>
      <c r="Z257" s="421" t="s">
        <v>1118</v>
      </c>
      <c r="AA257" s="421" t="s">
        <v>3100</v>
      </c>
      <c r="AB257" s="421" t="s">
        <v>3101</v>
      </c>
      <c r="AC257" s="421" t="s">
        <v>3102</v>
      </c>
      <c r="AD257" s="421" t="s">
        <v>3183</v>
      </c>
      <c r="AE257" s="421" t="s">
        <v>3184</v>
      </c>
      <c r="AF257" s="421" t="s">
        <v>2236</v>
      </c>
      <c r="AG257" s="421" t="s">
        <v>2237</v>
      </c>
      <c r="AH257" s="421" t="s">
        <v>3105</v>
      </c>
      <c r="AI257" s="421">
        <v>2909500</v>
      </c>
      <c r="AJ257" s="421">
        <v>6068.18</v>
      </c>
      <c r="AK257" s="421">
        <v>6615.02</v>
      </c>
      <c r="AL257" s="421">
        <v>1</v>
      </c>
      <c r="AM257" s="421" t="s">
        <v>963</v>
      </c>
      <c r="AN257" s="421" t="s">
        <v>3185</v>
      </c>
      <c r="AO257" s="421" t="s">
        <v>1121</v>
      </c>
      <c r="AP257" s="421" t="s">
        <v>1121</v>
      </c>
      <c r="AQ257" s="421" t="s">
        <v>1108</v>
      </c>
      <c r="AR257" s="421" t="s">
        <v>3485</v>
      </c>
      <c r="AS257" s="421" t="s">
        <v>3542</v>
      </c>
      <c r="AT257" s="421" t="s">
        <v>3109</v>
      </c>
      <c r="AU257" s="421" t="s">
        <v>1142</v>
      </c>
      <c r="AV257" s="421" t="s">
        <v>2037</v>
      </c>
      <c r="AW257" s="421" t="s">
        <v>3110</v>
      </c>
      <c r="AX257" s="421" t="s">
        <v>3111</v>
      </c>
      <c r="AY257" s="421" t="s">
        <v>3112</v>
      </c>
      <c r="AZ257" s="421" t="s">
        <v>3113</v>
      </c>
      <c r="BA257" s="421" t="s">
        <v>3114</v>
      </c>
      <c r="BB257" s="421" t="s">
        <v>3115</v>
      </c>
      <c r="BC257" s="421">
        <v>87196.15</v>
      </c>
      <c r="BD257" s="421">
        <v>208229637.97</v>
      </c>
      <c r="BE257" s="421">
        <v>0</v>
      </c>
      <c r="BF257" s="421">
        <v>1005</v>
      </c>
      <c r="BG257" s="421">
        <v>220.5</v>
      </c>
      <c r="BH257" s="421">
        <v>0</v>
      </c>
      <c r="BI257" s="421" t="s">
        <v>1167</v>
      </c>
    </row>
    <row r="258" spans="1:61" x14ac:dyDescent="0.25">
      <c r="A258" s="421">
        <v>255</v>
      </c>
      <c r="B258" s="421">
        <v>2015</v>
      </c>
      <c r="C258" s="421">
        <v>4</v>
      </c>
      <c r="D258" s="421">
        <v>30</v>
      </c>
      <c r="E258" s="421" t="s">
        <v>1475</v>
      </c>
      <c r="F258" s="421" t="s">
        <v>3477</v>
      </c>
      <c r="G258" s="421" t="s">
        <v>3524</v>
      </c>
      <c r="H258" s="421" t="s">
        <v>1107</v>
      </c>
      <c r="I258" s="421" t="s">
        <v>3525</v>
      </c>
      <c r="J258" s="421" t="s">
        <v>3543</v>
      </c>
      <c r="K258" s="421" t="s">
        <v>3093</v>
      </c>
      <c r="L258" s="421" t="s">
        <v>3094</v>
      </c>
      <c r="M258" s="421" t="s">
        <v>2667</v>
      </c>
      <c r="N258" s="421" t="s">
        <v>3093</v>
      </c>
      <c r="O258" s="421" t="s">
        <v>3094</v>
      </c>
      <c r="P258" s="421" t="s">
        <v>3095</v>
      </c>
      <c r="Q258" s="421" t="s">
        <v>3113</v>
      </c>
      <c r="R258" s="421" t="s">
        <v>1108</v>
      </c>
      <c r="S258" s="421" t="s">
        <v>1108</v>
      </c>
      <c r="T258" s="421" t="s">
        <v>1130</v>
      </c>
      <c r="U258" s="421" t="s">
        <v>1112</v>
      </c>
      <c r="V258" s="421" t="s">
        <v>3097</v>
      </c>
      <c r="W258" s="421" t="s">
        <v>3098</v>
      </c>
      <c r="X258" s="421" t="s">
        <v>3099</v>
      </c>
      <c r="Y258" s="421" t="s">
        <v>1117</v>
      </c>
      <c r="Z258" s="421" t="s">
        <v>1118</v>
      </c>
      <c r="AA258" s="421" t="s">
        <v>3100</v>
      </c>
      <c r="AB258" s="421" t="s">
        <v>3101</v>
      </c>
      <c r="AC258" s="421" t="s">
        <v>3102</v>
      </c>
      <c r="AD258" s="421" t="s">
        <v>3544</v>
      </c>
      <c r="AE258" s="421" t="s">
        <v>3545</v>
      </c>
      <c r="AF258" s="421" t="s">
        <v>2236</v>
      </c>
      <c r="AG258" s="421" t="s">
        <v>2237</v>
      </c>
      <c r="AH258" s="421" t="s">
        <v>3105</v>
      </c>
      <c r="AI258" s="421">
        <v>1173000</v>
      </c>
      <c r="AJ258" s="421">
        <v>2480.16</v>
      </c>
      <c r="AK258" s="421">
        <v>2694.33</v>
      </c>
      <c r="AL258" s="421">
        <v>2</v>
      </c>
      <c r="AM258" s="421" t="s">
        <v>2135</v>
      </c>
      <c r="AN258" s="421" t="s">
        <v>3546</v>
      </c>
      <c r="AO258" s="421" t="s">
        <v>1121</v>
      </c>
      <c r="AP258" s="421" t="s">
        <v>1121</v>
      </c>
      <c r="AQ258" s="421" t="s">
        <v>1108</v>
      </c>
      <c r="AR258" s="421" t="s">
        <v>3485</v>
      </c>
      <c r="AS258" s="421" t="s">
        <v>3547</v>
      </c>
      <c r="AT258" s="421" t="s">
        <v>3109</v>
      </c>
      <c r="AU258" s="421" t="s">
        <v>1142</v>
      </c>
      <c r="AV258" s="421" t="s">
        <v>2037</v>
      </c>
      <c r="AW258" s="421" t="s">
        <v>3110</v>
      </c>
      <c r="AX258" s="421" t="s">
        <v>3111</v>
      </c>
      <c r="AY258" s="421" t="s">
        <v>3112</v>
      </c>
      <c r="AZ258" s="421" t="s">
        <v>3113</v>
      </c>
      <c r="BA258" s="421" t="s">
        <v>3114</v>
      </c>
      <c r="BB258" s="421" t="s">
        <v>3115</v>
      </c>
      <c r="BC258" s="421">
        <v>39638.199999999997</v>
      </c>
      <c r="BD258" s="421">
        <v>94658399.890000001</v>
      </c>
      <c r="BE258" s="421">
        <v>0</v>
      </c>
      <c r="BF258" s="421">
        <v>260.56</v>
      </c>
      <c r="BG258" s="421">
        <v>0</v>
      </c>
      <c r="BH258" s="421">
        <v>0</v>
      </c>
      <c r="BI258" s="421" t="s">
        <v>1167</v>
      </c>
    </row>
    <row r="259" spans="1:61" x14ac:dyDescent="0.25">
      <c r="A259" s="421">
        <v>256</v>
      </c>
      <c r="B259" s="421">
        <v>2015</v>
      </c>
      <c r="C259" s="421">
        <v>4</v>
      </c>
      <c r="D259" s="421">
        <v>30</v>
      </c>
      <c r="E259" s="421" t="s">
        <v>1475</v>
      </c>
      <c r="F259" s="421" t="s">
        <v>3477</v>
      </c>
      <c r="G259" s="421" t="s">
        <v>3524</v>
      </c>
      <c r="H259" s="421" t="s">
        <v>1107</v>
      </c>
      <c r="I259" s="421" t="s">
        <v>3525</v>
      </c>
      <c r="J259" s="421" t="s">
        <v>3543</v>
      </c>
      <c r="K259" s="421" t="s">
        <v>3093</v>
      </c>
      <c r="L259" s="421" t="s">
        <v>3094</v>
      </c>
      <c r="M259" s="421" t="s">
        <v>2667</v>
      </c>
      <c r="N259" s="421" t="s">
        <v>3093</v>
      </c>
      <c r="O259" s="421" t="s">
        <v>3094</v>
      </c>
      <c r="P259" s="421" t="s">
        <v>3095</v>
      </c>
      <c r="Q259" s="421" t="s">
        <v>3113</v>
      </c>
      <c r="R259" s="421" t="s">
        <v>1108</v>
      </c>
      <c r="S259" s="421" t="s">
        <v>1108</v>
      </c>
      <c r="T259" s="421" t="s">
        <v>1130</v>
      </c>
      <c r="U259" s="421" t="s">
        <v>1112</v>
      </c>
      <c r="V259" s="421" t="s">
        <v>3097</v>
      </c>
      <c r="W259" s="421" t="s">
        <v>3098</v>
      </c>
      <c r="X259" s="421" t="s">
        <v>3099</v>
      </c>
      <c r="Y259" s="421" t="s">
        <v>1117</v>
      </c>
      <c r="Z259" s="421" t="s">
        <v>1118</v>
      </c>
      <c r="AA259" s="421" t="s">
        <v>3100</v>
      </c>
      <c r="AB259" s="421" t="s">
        <v>3101</v>
      </c>
      <c r="AC259" s="421" t="s">
        <v>3102</v>
      </c>
      <c r="AD259" s="421" t="s">
        <v>3544</v>
      </c>
      <c r="AE259" s="421" t="s">
        <v>3545</v>
      </c>
      <c r="AF259" s="421" t="s">
        <v>2236</v>
      </c>
      <c r="AG259" s="421" t="s">
        <v>2237</v>
      </c>
      <c r="AH259" s="421" t="s">
        <v>3105</v>
      </c>
      <c r="AI259" s="421">
        <v>15000</v>
      </c>
      <c r="AJ259" s="421">
        <v>51.75</v>
      </c>
      <c r="AK259" s="421">
        <v>56.22</v>
      </c>
      <c r="AL259" s="421">
        <v>3</v>
      </c>
      <c r="AM259" s="421" t="s">
        <v>2135</v>
      </c>
      <c r="AN259" s="421" t="s">
        <v>3546</v>
      </c>
      <c r="AO259" s="421" t="s">
        <v>1121</v>
      </c>
      <c r="AP259" s="421" t="s">
        <v>1121</v>
      </c>
      <c r="AQ259" s="421" t="s">
        <v>1108</v>
      </c>
      <c r="AR259" s="421" t="s">
        <v>3485</v>
      </c>
      <c r="AS259" s="421" t="s">
        <v>3547</v>
      </c>
      <c r="AT259" s="421" t="s">
        <v>3109</v>
      </c>
      <c r="AU259" s="421" t="s">
        <v>1142</v>
      </c>
      <c r="AV259" s="421" t="s">
        <v>2037</v>
      </c>
      <c r="AW259" s="421" t="s">
        <v>3110</v>
      </c>
      <c r="AX259" s="421" t="s">
        <v>3111</v>
      </c>
      <c r="AY259" s="421" t="s">
        <v>3112</v>
      </c>
      <c r="AZ259" s="421" t="s">
        <v>3113</v>
      </c>
      <c r="BA259" s="421" t="s">
        <v>3114</v>
      </c>
      <c r="BB259" s="421" t="s">
        <v>3115</v>
      </c>
      <c r="BC259" s="421">
        <v>1177.5</v>
      </c>
      <c r="BD259" s="421">
        <v>2811940.65</v>
      </c>
      <c r="BE259" s="421">
        <v>0</v>
      </c>
      <c r="BF259" s="421">
        <v>7.74</v>
      </c>
      <c r="BG259" s="421">
        <v>0</v>
      </c>
      <c r="BH259" s="421">
        <v>0</v>
      </c>
      <c r="BI259" s="421" t="s">
        <v>1167</v>
      </c>
    </row>
    <row r="260" spans="1:61" x14ac:dyDescent="0.25">
      <c r="A260" s="421">
        <v>257</v>
      </c>
      <c r="B260" s="421">
        <v>2015</v>
      </c>
      <c r="C260" s="421">
        <v>4</v>
      </c>
      <c r="D260" s="421">
        <v>30</v>
      </c>
      <c r="E260" s="421" t="s">
        <v>1475</v>
      </c>
      <c r="F260" s="421" t="s">
        <v>3477</v>
      </c>
      <c r="G260" s="421" t="s">
        <v>3524</v>
      </c>
      <c r="H260" s="421" t="s">
        <v>1107</v>
      </c>
      <c r="I260" s="421" t="s">
        <v>3525</v>
      </c>
      <c r="J260" s="421" t="s">
        <v>3548</v>
      </c>
      <c r="K260" s="421" t="s">
        <v>3093</v>
      </c>
      <c r="L260" s="421" t="s">
        <v>3094</v>
      </c>
      <c r="M260" s="421" t="s">
        <v>2667</v>
      </c>
      <c r="N260" s="421" t="s">
        <v>3093</v>
      </c>
      <c r="O260" s="421" t="s">
        <v>3094</v>
      </c>
      <c r="P260" s="421" t="s">
        <v>3095</v>
      </c>
      <c r="Q260" s="421" t="s">
        <v>3113</v>
      </c>
      <c r="R260" s="421" t="s">
        <v>1108</v>
      </c>
      <c r="S260" s="421" t="s">
        <v>1108</v>
      </c>
      <c r="T260" s="421" t="s">
        <v>1130</v>
      </c>
      <c r="U260" s="421" t="s">
        <v>1112</v>
      </c>
      <c r="V260" s="421" t="s">
        <v>3097</v>
      </c>
      <c r="W260" s="421" t="s">
        <v>3098</v>
      </c>
      <c r="X260" s="421" t="s">
        <v>3099</v>
      </c>
      <c r="Y260" s="421" t="s">
        <v>1117</v>
      </c>
      <c r="Z260" s="421" t="s">
        <v>1118</v>
      </c>
      <c r="AA260" s="421" t="s">
        <v>3100</v>
      </c>
      <c r="AB260" s="421" t="s">
        <v>3101</v>
      </c>
      <c r="AC260" s="421" t="s">
        <v>3102</v>
      </c>
      <c r="AD260" s="421" t="s">
        <v>3544</v>
      </c>
      <c r="AE260" s="421" t="s">
        <v>3545</v>
      </c>
      <c r="AF260" s="421" t="s">
        <v>3375</v>
      </c>
      <c r="AG260" s="421" t="s">
        <v>3376</v>
      </c>
      <c r="AH260" s="421" t="s">
        <v>3105</v>
      </c>
      <c r="AI260" s="421">
        <v>150</v>
      </c>
      <c r="AJ260" s="421">
        <v>22.57</v>
      </c>
      <c r="AK260" s="421">
        <v>23.5</v>
      </c>
      <c r="AL260" s="421">
        <v>1</v>
      </c>
      <c r="AM260" s="421" t="s">
        <v>2135</v>
      </c>
      <c r="AN260" s="421" t="s">
        <v>3546</v>
      </c>
      <c r="AO260" s="421" t="s">
        <v>1121</v>
      </c>
      <c r="AP260" s="421" t="s">
        <v>1121</v>
      </c>
      <c r="AQ260" s="421" t="s">
        <v>1108</v>
      </c>
      <c r="AR260" s="421" t="s">
        <v>3485</v>
      </c>
      <c r="AS260" s="421" t="s">
        <v>3549</v>
      </c>
      <c r="AT260" s="421" t="s">
        <v>3109</v>
      </c>
      <c r="AU260" s="421" t="s">
        <v>1142</v>
      </c>
      <c r="AV260" s="421" t="s">
        <v>2037</v>
      </c>
      <c r="AW260" s="421" t="s">
        <v>3110</v>
      </c>
      <c r="AX260" s="421" t="s">
        <v>3229</v>
      </c>
      <c r="AY260" s="421" t="s">
        <v>3112</v>
      </c>
      <c r="AZ260" s="421" t="s">
        <v>3113</v>
      </c>
      <c r="BA260" s="421" t="s">
        <v>3114</v>
      </c>
      <c r="BB260" s="421" t="s">
        <v>3230</v>
      </c>
      <c r="BC260" s="421">
        <v>7.5</v>
      </c>
      <c r="BD260" s="421">
        <v>17910.45</v>
      </c>
      <c r="BE260" s="421">
        <v>0</v>
      </c>
      <c r="BF260" s="421">
        <v>0</v>
      </c>
      <c r="BG260" s="421">
        <v>0</v>
      </c>
      <c r="BH260" s="421">
        <v>0</v>
      </c>
      <c r="BI260" s="421" t="s">
        <v>1167</v>
      </c>
    </row>
    <row r="261" spans="1:61" x14ac:dyDescent="0.25">
      <c r="A261" s="421">
        <v>258</v>
      </c>
      <c r="B261" s="421">
        <v>2015</v>
      </c>
      <c r="C261" s="421">
        <v>4</v>
      </c>
      <c r="D261" s="421">
        <v>30</v>
      </c>
      <c r="E261" s="421" t="s">
        <v>1475</v>
      </c>
      <c r="F261" s="421" t="s">
        <v>3477</v>
      </c>
      <c r="G261" s="421" t="s">
        <v>3524</v>
      </c>
      <c r="H261" s="421" t="s">
        <v>1107</v>
      </c>
      <c r="I261" s="421" t="s">
        <v>3525</v>
      </c>
      <c r="J261" s="421" t="s">
        <v>3550</v>
      </c>
      <c r="K261" s="421" t="s">
        <v>3093</v>
      </c>
      <c r="L261" s="421" t="s">
        <v>3094</v>
      </c>
      <c r="M261" s="421" t="s">
        <v>2667</v>
      </c>
      <c r="N261" s="421" t="s">
        <v>3093</v>
      </c>
      <c r="O261" s="421" t="s">
        <v>3094</v>
      </c>
      <c r="P261" s="421" t="s">
        <v>3095</v>
      </c>
      <c r="Q261" s="421" t="s">
        <v>3113</v>
      </c>
      <c r="R261" s="421" t="s">
        <v>1108</v>
      </c>
      <c r="S261" s="421" t="s">
        <v>1108</v>
      </c>
      <c r="T261" s="421" t="s">
        <v>1130</v>
      </c>
      <c r="U261" s="421" t="s">
        <v>1112</v>
      </c>
      <c r="V261" s="421" t="s">
        <v>3097</v>
      </c>
      <c r="W261" s="421" t="s">
        <v>3098</v>
      </c>
      <c r="X261" s="421" t="s">
        <v>3099</v>
      </c>
      <c r="Y261" s="421" t="s">
        <v>1117</v>
      </c>
      <c r="Z261" s="421" t="s">
        <v>1118</v>
      </c>
      <c r="AA261" s="421" t="s">
        <v>3100</v>
      </c>
      <c r="AB261" s="421" t="s">
        <v>3101</v>
      </c>
      <c r="AC261" s="421" t="s">
        <v>3102</v>
      </c>
      <c r="AD261" s="421" t="s">
        <v>3269</v>
      </c>
      <c r="AE261" s="421" t="s">
        <v>3378</v>
      </c>
      <c r="AF261" s="421" t="s">
        <v>2236</v>
      </c>
      <c r="AG261" s="421" t="s">
        <v>2237</v>
      </c>
      <c r="AH261" s="421" t="s">
        <v>3105</v>
      </c>
      <c r="AI261" s="421">
        <v>716500</v>
      </c>
      <c r="AJ261" s="421">
        <v>1360.81</v>
      </c>
      <c r="AK261" s="421">
        <v>1484.11</v>
      </c>
      <c r="AL261" s="421">
        <v>1</v>
      </c>
      <c r="AM261" s="421" t="s">
        <v>966</v>
      </c>
      <c r="AN261" s="421" t="s">
        <v>3271</v>
      </c>
      <c r="AO261" s="421" t="s">
        <v>1121</v>
      </c>
      <c r="AP261" s="421" t="s">
        <v>1121</v>
      </c>
      <c r="AQ261" s="421" t="s">
        <v>1108</v>
      </c>
      <c r="AR261" s="421" t="s">
        <v>3485</v>
      </c>
      <c r="AS261" s="421" t="s">
        <v>3551</v>
      </c>
      <c r="AT261" s="421" t="s">
        <v>3109</v>
      </c>
      <c r="AU261" s="421" t="s">
        <v>1142</v>
      </c>
      <c r="AV261" s="421" t="s">
        <v>2037</v>
      </c>
      <c r="AW261" s="421" t="s">
        <v>3110</v>
      </c>
      <c r="AX261" s="421" t="s">
        <v>3111</v>
      </c>
      <c r="AY261" s="421" t="s">
        <v>3112</v>
      </c>
      <c r="AZ261" s="421" t="s">
        <v>3113</v>
      </c>
      <c r="BA261" s="421" t="s">
        <v>3114</v>
      </c>
      <c r="BB261" s="421" t="s">
        <v>3115</v>
      </c>
      <c r="BC261" s="421">
        <v>19614.400000000001</v>
      </c>
      <c r="BD261" s="421">
        <v>46840364.060000002</v>
      </c>
      <c r="BE261" s="421">
        <v>0</v>
      </c>
      <c r="BF261" s="421">
        <v>454.38</v>
      </c>
      <c r="BG261" s="421">
        <v>50.17</v>
      </c>
      <c r="BH261" s="421">
        <v>300.64</v>
      </c>
      <c r="BI261" s="421" t="s">
        <v>1167</v>
      </c>
    </row>
    <row r="262" spans="1:61" x14ac:dyDescent="0.25">
      <c r="A262" s="421">
        <v>259</v>
      </c>
      <c r="B262" s="421">
        <v>2015</v>
      </c>
      <c r="C262" s="421">
        <v>4</v>
      </c>
      <c r="D262" s="421">
        <v>30</v>
      </c>
      <c r="E262" s="421" t="s">
        <v>1475</v>
      </c>
      <c r="F262" s="421" t="s">
        <v>3477</v>
      </c>
      <c r="G262" s="421" t="s">
        <v>3524</v>
      </c>
      <c r="H262" s="421" t="s">
        <v>1107</v>
      </c>
      <c r="I262" s="421" t="s">
        <v>3525</v>
      </c>
      <c r="J262" s="421" t="s">
        <v>3550</v>
      </c>
      <c r="K262" s="421" t="s">
        <v>3093</v>
      </c>
      <c r="L262" s="421" t="s">
        <v>3094</v>
      </c>
      <c r="M262" s="421" t="s">
        <v>2667</v>
      </c>
      <c r="N262" s="421" t="s">
        <v>3093</v>
      </c>
      <c r="O262" s="421" t="s">
        <v>3094</v>
      </c>
      <c r="P262" s="421" t="s">
        <v>3095</v>
      </c>
      <c r="Q262" s="421" t="s">
        <v>3113</v>
      </c>
      <c r="R262" s="421" t="s">
        <v>1108</v>
      </c>
      <c r="S262" s="421" t="s">
        <v>1108</v>
      </c>
      <c r="T262" s="421" t="s">
        <v>1130</v>
      </c>
      <c r="U262" s="421" t="s">
        <v>1112</v>
      </c>
      <c r="V262" s="421" t="s">
        <v>3097</v>
      </c>
      <c r="W262" s="421" t="s">
        <v>3098</v>
      </c>
      <c r="X262" s="421" t="s">
        <v>3099</v>
      </c>
      <c r="Y262" s="421" t="s">
        <v>1117</v>
      </c>
      <c r="Z262" s="421" t="s">
        <v>1118</v>
      </c>
      <c r="AA262" s="421" t="s">
        <v>3100</v>
      </c>
      <c r="AB262" s="421" t="s">
        <v>3101</v>
      </c>
      <c r="AC262" s="421" t="s">
        <v>3102</v>
      </c>
      <c r="AD262" s="421" t="s">
        <v>3269</v>
      </c>
      <c r="AE262" s="421" t="s">
        <v>3378</v>
      </c>
      <c r="AF262" s="421" t="s">
        <v>2236</v>
      </c>
      <c r="AG262" s="421" t="s">
        <v>2237</v>
      </c>
      <c r="AH262" s="421" t="s">
        <v>3105</v>
      </c>
      <c r="AI262" s="421">
        <v>826000</v>
      </c>
      <c r="AJ262" s="421">
        <v>1552.02</v>
      </c>
      <c r="AK262" s="421">
        <v>1692.65</v>
      </c>
      <c r="AL262" s="421">
        <v>2</v>
      </c>
      <c r="AM262" s="421" t="s">
        <v>966</v>
      </c>
      <c r="AN262" s="421" t="s">
        <v>3271</v>
      </c>
      <c r="AO262" s="421" t="s">
        <v>1121</v>
      </c>
      <c r="AP262" s="421" t="s">
        <v>1121</v>
      </c>
      <c r="AQ262" s="421" t="s">
        <v>1108</v>
      </c>
      <c r="AR262" s="421" t="s">
        <v>3485</v>
      </c>
      <c r="AS262" s="421" t="s">
        <v>3551</v>
      </c>
      <c r="AT262" s="421" t="s">
        <v>3109</v>
      </c>
      <c r="AU262" s="421" t="s">
        <v>1142</v>
      </c>
      <c r="AV262" s="421" t="s">
        <v>2037</v>
      </c>
      <c r="AW262" s="421" t="s">
        <v>3110</v>
      </c>
      <c r="AX262" s="421" t="s">
        <v>3111</v>
      </c>
      <c r="AY262" s="421" t="s">
        <v>3112</v>
      </c>
      <c r="AZ262" s="421" t="s">
        <v>3113</v>
      </c>
      <c r="BA262" s="421" t="s">
        <v>3114</v>
      </c>
      <c r="BB262" s="421" t="s">
        <v>3115</v>
      </c>
      <c r="BC262" s="421">
        <v>20636.8</v>
      </c>
      <c r="BD262" s="421">
        <v>49281916.609999999</v>
      </c>
      <c r="BE262" s="421">
        <v>0</v>
      </c>
      <c r="BF262" s="421">
        <v>478.07</v>
      </c>
      <c r="BG262" s="421">
        <v>52.79</v>
      </c>
      <c r="BH262" s="421">
        <v>316.31</v>
      </c>
      <c r="BI262" s="421" t="s">
        <v>1167</v>
      </c>
    </row>
    <row r="263" spans="1:61" x14ac:dyDescent="0.25">
      <c r="A263" s="421">
        <v>260</v>
      </c>
      <c r="B263" s="421">
        <v>2015</v>
      </c>
      <c r="C263" s="421">
        <v>4</v>
      </c>
      <c r="D263" s="421">
        <v>30</v>
      </c>
      <c r="E263" s="421" t="s">
        <v>1475</v>
      </c>
      <c r="F263" s="421" t="s">
        <v>3477</v>
      </c>
      <c r="G263" s="421" t="s">
        <v>3524</v>
      </c>
      <c r="H263" s="421" t="s">
        <v>1107</v>
      </c>
      <c r="I263" s="421" t="s">
        <v>3525</v>
      </c>
      <c r="J263" s="421" t="s">
        <v>3550</v>
      </c>
      <c r="K263" s="421" t="s">
        <v>3093</v>
      </c>
      <c r="L263" s="421" t="s">
        <v>3094</v>
      </c>
      <c r="M263" s="421" t="s">
        <v>2667</v>
      </c>
      <c r="N263" s="421" t="s">
        <v>3093</v>
      </c>
      <c r="O263" s="421" t="s">
        <v>3094</v>
      </c>
      <c r="P263" s="421" t="s">
        <v>3095</v>
      </c>
      <c r="Q263" s="421" t="s">
        <v>3113</v>
      </c>
      <c r="R263" s="421" t="s">
        <v>1108</v>
      </c>
      <c r="S263" s="421" t="s">
        <v>1108</v>
      </c>
      <c r="T263" s="421" t="s">
        <v>1130</v>
      </c>
      <c r="U263" s="421" t="s">
        <v>1112</v>
      </c>
      <c r="V263" s="421" t="s">
        <v>3097</v>
      </c>
      <c r="W263" s="421" t="s">
        <v>3098</v>
      </c>
      <c r="X263" s="421" t="s">
        <v>3099</v>
      </c>
      <c r="Y263" s="421" t="s">
        <v>1117</v>
      </c>
      <c r="Z263" s="421" t="s">
        <v>1118</v>
      </c>
      <c r="AA263" s="421" t="s">
        <v>3100</v>
      </c>
      <c r="AB263" s="421" t="s">
        <v>3101</v>
      </c>
      <c r="AC263" s="421" t="s">
        <v>3102</v>
      </c>
      <c r="AD263" s="421" t="s">
        <v>3269</v>
      </c>
      <c r="AE263" s="421" t="s">
        <v>3378</v>
      </c>
      <c r="AF263" s="421" t="s">
        <v>2236</v>
      </c>
      <c r="AG263" s="421" t="s">
        <v>2237</v>
      </c>
      <c r="AH263" s="421" t="s">
        <v>3105</v>
      </c>
      <c r="AI263" s="421">
        <v>9000</v>
      </c>
      <c r="AJ263" s="421">
        <v>32.450000000000003</v>
      </c>
      <c r="AK263" s="421">
        <v>35.39</v>
      </c>
      <c r="AL263" s="421">
        <v>3</v>
      </c>
      <c r="AM263" s="421" t="s">
        <v>966</v>
      </c>
      <c r="AN263" s="421" t="s">
        <v>3271</v>
      </c>
      <c r="AO263" s="421" t="s">
        <v>1121</v>
      </c>
      <c r="AP263" s="421" t="s">
        <v>1121</v>
      </c>
      <c r="AQ263" s="421" t="s">
        <v>1108</v>
      </c>
      <c r="AR263" s="421" t="s">
        <v>3485</v>
      </c>
      <c r="AS263" s="421" t="s">
        <v>3551</v>
      </c>
      <c r="AT263" s="421" t="s">
        <v>3109</v>
      </c>
      <c r="AU263" s="421" t="s">
        <v>1142</v>
      </c>
      <c r="AV263" s="421" t="s">
        <v>2037</v>
      </c>
      <c r="AW263" s="421" t="s">
        <v>3110</v>
      </c>
      <c r="AX263" s="421" t="s">
        <v>3111</v>
      </c>
      <c r="AY263" s="421" t="s">
        <v>3112</v>
      </c>
      <c r="AZ263" s="421" t="s">
        <v>3113</v>
      </c>
      <c r="BA263" s="421" t="s">
        <v>3114</v>
      </c>
      <c r="BB263" s="421" t="s">
        <v>3115</v>
      </c>
      <c r="BC263" s="421">
        <v>702</v>
      </c>
      <c r="BD263" s="421">
        <v>1676418.12</v>
      </c>
      <c r="BE263" s="421">
        <v>0</v>
      </c>
      <c r="BF263" s="421">
        <v>16.260000000000002</v>
      </c>
      <c r="BG263" s="421">
        <v>1.8</v>
      </c>
      <c r="BH263" s="421">
        <v>10.76</v>
      </c>
      <c r="BI263" s="421" t="s">
        <v>1167</v>
      </c>
    </row>
    <row r="264" spans="1:61" x14ac:dyDescent="0.25">
      <c r="A264" s="421">
        <v>261</v>
      </c>
      <c r="B264" s="421">
        <v>2015</v>
      </c>
      <c r="C264" s="421">
        <v>4</v>
      </c>
      <c r="D264" s="421">
        <v>30</v>
      </c>
      <c r="E264" s="421" t="s">
        <v>1475</v>
      </c>
      <c r="F264" s="421" t="s">
        <v>3477</v>
      </c>
      <c r="G264" s="421" t="s">
        <v>3524</v>
      </c>
      <c r="H264" s="421" t="s">
        <v>1107</v>
      </c>
      <c r="I264" s="421" t="s">
        <v>3525</v>
      </c>
      <c r="J264" s="421" t="s">
        <v>3543</v>
      </c>
      <c r="K264" s="421" t="s">
        <v>3093</v>
      </c>
      <c r="L264" s="421" t="s">
        <v>3094</v>
      </c>
      <c r="M264" s="421" t="s">
        <v>2667</v>
      </c>
      <c r="N264" s="421" t="s">
        <v>3093</v>
      </c>
      <c r="O264" s="421" t="s">
        <v>3094</v>
      </c>
      <c r="P264" s="421" t="s">
        <v>3095</v>
      </c>
      <c r="Q264" s="421" t="s">
        <v>3113</v>
      </c>
      <c r="R264" s="421" t="s">
        <v>1108</v>
      </c>
      <c r="S264" s="421" t="s">
        <v>1108</v>
      </c>
      <c r="T264" s="421" t="s">
        <v>1130</v>
      </c>
      <c r="U264" s="421" t="s">
        <v>1112</v>
      </c>
      <c r="V264" s="421" t="s">
        <v>3097</v>
      </c>
      <c r="W264" s="421" t="s">
        <v>3098</v>
      </c>
      <c r="X264" s="421" t="s">
        <v>3099</v>
      </c>
      <c r="Y264" s="421" t="s">
        <v>1117</v>
      </c>
      <c r="Z264" s="421" t="s">
        <v>1118</v>
      </c>
      <c r="AA264" s="421" t="s">
        <v>3100</v>
      </c>
      <c r="AB264" s="421" t="s">
        <v>3101</v>
      </c>
      <c r="AC264" s="421" t="s">
        <v>3102</v>
      </c>
      <c r="AD264" s="421" t="s">
        <v>3544</v>
      </c>
      <c r="AE264" s="421" t="s">
        <v>3545</v>
      </c>
      <c r="AF264" s="421" t="s">
        <v>2236</v>
      </c>
      <c r="AG264" s="421" t="s">
        <v>2237</v>
      </c>
      <c r="AH264" s="421" t="s">
        <v>3105</v>
      </c>
      <c r="AI264" s="421">
        <v>3685000</v>
      </c>
      <c r="AJ264" s="421">
        <v>7666.88</v>
      </c>
      <c r="AK264" s="421">
        <v>8328.9500000000007</v>
      </c>
      <c r="AL264" s="421">
        <v>1</v>
      </c>
      <c r="AM264" s="421" t="s">
        <v>2135</v>
      </c>
      <c r="AN264" s="421" t="s">
        <v>3546</v>
      </c>
      <c r="AO264" s="421" t="s">
        <v>1121</v>
      </c>
      <c r="AP264" s="421" t="s">
        <v>1121</v>
      </c>
      <c r="AQ264" s="421" t="s">
        <v>1108</v>
      </c>
      <c r="AR264" s="421" t="s">
        <v>3485</v>
      </c>
      <c r="AS264" s="421" t="s">
        <v>3547</v>
      </c>
      <c r="AT264" s="421" t="s">
        <v>3109</v>
      </c>
      <c r="AU264" s="421" t="s">
        <v>1142</v>
      </c>
      <c r="AV264" s="421" t="s">
        <v>2037</v>
      </c>
      <c r="AW264" s="421" t="s">
        <v>3110</v>
      </c>
      <c r="AX264" s="421" t="s">
        <v>3111</v>
      </c>
      <c r="AY264" s="421" t="s">
        <v>3112</v>
      </c>
      <c r="AZ264" s="421" t="s">
        <v>3113</v>
      </c>
      <c r="BA264" s="421" t="s">
        <v>3114</v>
      </c>
      <c r="BB264" s="421" t="s">
        <v>3115</v>
      </c>
      <c r="BC264" s="421">
        <v>111314.1</v>
      </c>
      <c r="BD264" s="421">
        <v>265824749.65000001</v>
      </c>
      <c r="BE264" s="421">
        <v>0</v>
      </c>
      <c r="BF264" s="421">
        <v>731.7</v>
      </c>
      <c r="BG264" s="421">
        <v>0</v>
      </c>
      <c r="BH264" s="421">
        <v>0</v>
      </c>
      <c r="BI264" s="421" t="s">
        <v>1167</v>
      </c>
    </row>
    <row r="265" spans="1:61" x14ac:dyDescent="0.25">
      <c r="A265" s="421">
        <v>262</v>
      </c>
      <c r="B265" s="421">
        <v>2015</v>
      </c>
      <c r="C265" s="421">
        <v>4</v>
      </c>
      <c r="D265" s="421">
        <v>30</v>
      </c>
      <c r="E265" s="421" t="s">
        <v>1475</v>
      </c>
      <c r="F265" s="421" t="s">
        <v>3477</v>
      </c>
      <c r="G265" s="421" t="s">
        <v>3524</v>
      </c>
      <c r="H265" s="421" t="s">
        <v>1107</v>
      </c>
      <c r="I265" s="421" t="s">
        <v>3525</v>
      </c>
      <c r="J265" s="421" t="s">
        <v>3550</v>
      </c>
      <c r="K265" s="421" t="s">
        <v>3093</v>
      </c>
      <c r="L265" s="421" t="s">
        <v>3094</v>
      </c>
      <c r="M265" s="421" t="s">
        <v>2667</v>
      </c>
      <c r="N265" s="421" t="s">
        <v>3093</v>
      </c>
      <c r="O265" s="421" t="s">
        <v>3094</v>
      </c>
      <c r="P265" s="421" t="s">
        <v>3095</v>
      </c>
      <c r="Q265" s="421" t="s">
        <v>3113</v>
      </c>
      <c r="R265" s="421" t="s">
        <v>1108</v>
      </c>
      <c r="S265" s="421" t="s">
        <v>1108</v>
      </c>
      <c r="T265" s="421" t="s">
        <v>1130</v>
      </c>
      <c r="U265" s="421" t="s">
        <v>1112</v>
      </c>
      <c r="V265" s="421" t="s">
        <v>3097</v>
      </c>
      <c r="W265" s="421" t="s">
        <v>3098</v>
      </c>
      <c r="X265" s="421" t="s">
        <v>3099</v>
      </c>
      <c r="Y265" s="421" t="s">
        <v>1117</v>
      </c>
      <c r="Z265" s="421" t="s">
        <v>1118</v>
      </c>
      <c r="AA265" s="421" t="s">
        <v>3100</v>
      </c>
      <c r="AB265" s="421" t="s">
        <v>3101</v>
      </c>
      <c r="AC265" s="421" t="s">
        <v>3102</v>
      </c>
      <c r="AD265" s="421" t="s">
        <v>3269</v>
      </c>
      <c r="AE265" s="421" t="s">
        <v>3378</v>
      </c>
      <c r="AF265" s="421" t="s">
        <v>2236</v>
      </c>
      <c r="AG265" s="421" t="s">
        <v>2237</v>
      </c>
      <c r="AH265" s="421" t="s">
        <v>3105</v>
      </c>
      <c r="AI265" s="421">
        <v>27000</v>
      </c>
      <c r="AJ265" s="421">
        <v>103.11</v>
      </c>
      <c r="AK265" s="421">
        <v>112.45</v>
      </c>
      <c r="AL265" s="421">
        <v>4</v>
      </c>
      <c r="AM265" s="421" t="s">
        <v>966</v>
      </c>
      <c r="AN265" s="421" t="s">
        <v>3271</v>
      </c>
      <c r="AO265" s="421" t="s">
        <v>1121</v>
      </c>
      <c r="AP265" s="421" t="s">
        <v>1121</v>
      </c>
      <c r="AQ265" s="421" t="s">
        <v>1108</v>
      </c>
      <c r="AR265" s="421" t="s">
        <v>3485</v>
      </c>
      <c r="AS265" s="421" t="s">
        <v>3551</v>
      </c>
      <c r="AT265" s="421" t="s">
        <v>3109</v>
      </c>
      <c r="AU265" s="421" t="s">
        <v>1142</v>
      </c>
      <c r="AV265" s="421" t="s">
        <v>2037</v>
      </c>
      <c r="AW265" s="421" t="s">
        <v>3110</v>
      </c>
      <c r="AX265" s="421" t="s">
        <v>3111</v>
      </c>
      <c r="AY265" s="421" t="s">
        <v>3112</v>
      </c>
      <c r="AZ265" s="421" t="s">
        <v>3113</v>
      </c>
      <c r="BA265" s="421" t="s">
        <v>3114</v>
      </c>
      <c r="BB265" s="421" t="s">
        <v>3115</v>
      </c>
      <c r="BC265" s="421">
        <v>2214</v>
      </c>
      <c r="BD265" s="421">
        <v>5287164.84</v>
      </c>
      <c r="BE265" s="421">
        <v>0</v>
      </c>
      <c r="BF265" s="421">
        <v>51.29</v>
      </c>
      <c r="BG265" s="421">
        <v>5.66</v>
      </c>
      <c r="BH265" s="421">
        <v>33.93</v>
      </c>
      <c r="BI265" s="421" t="s">
        <v>1167</v>
      </c>
    </row>
    <row r="266" spans="1:61" x14ac:dyDescent="0.25">
      <c r="A266" s="421">
        <v>263</v>
      </c>
      <c r="B266" s="421">
        <v>2015</v>
      </c>
      <c r="C266" s="421">
        <v>5</v>
      </c>
      <c r="D266" s="421">
        <v>4</v>
      </c>
      <c r="E266" s="421" t="s">
        <v>1475</v>
      </c>
      <c r="F266" s="421" t="s">
        <v>3090</v>
      </c>
      <c r="G266" s="421" t="s">
        <v>3477</v>
      </c>
      <c r="H266" s="421" t="s">
        <v>1107</v>
      </c>
      <c r="I266" s="421" t="s">
        <v>1783</v>
      </c>
      <c r="J266" s="421" t="s">
        <v>3552</v>
      </c>
      <c r="K266" s="421" t="s">
        <v>3093</v>
      </c>
      <c r="L266" s="421" t="s">
        <v>3094</v>
      </c>
      <c r="M266" s="421" t="s">
        <v>2667</v>
      </c>
      <c r="N266" s="421" t="s">
        <v>3093</v>
      </c>
      <c r="O266" s="421" t="s">
        <v>3094</v>
      </c>
      <c r="P266" s="421" t="s">
        <v>3095</v>
      </c>
      <c r="Q266" s="421" t="s">
        <v>3096</v>
      </c>
      <c r="R266" s="421" t="s">
        <v>1108</v>
      </c>
      <c r="S266" s="421" t="s">
        <v>1542</v>
      </c>
      <c r="T266" s="421" t="s">
        <v>1130</v>
      </c>
      <c r="U266" s="421" t="s">
        <v>1112</v>
      </c>
      <c r="V266" s="421" t="s">
        <v>3097</v>
      </c>
      <c r="W266" s="421" t="s">
        <v>3098</v>
      </c>
      <c r="X266" s="421" t="s">
        <v>3099</v>
      </c>
      <c r="Y266" s="421" t="s">
        <v>1117</v>
      </c>
      <c r="Z266" s="421" t="s">
        <v>1118</v>
      </c>
      <c r="AA266" s="421" t="s">
        <v>3100</v>
      </c>
      <c r="AB266" s="421" t="s">
        <v>3101</v>
      </c>
      <c r="AC266" s="421" t="s">
        <v>3102</v>
      </c>
      <c r="AD266" s="421" t="s">
        <v>3291</v>
      </c>
      <c r="AE266" s="421" t="s">
        <v>3292</v>
      </c>
      <c r="AF266" s="421" t="s">
        <v>2236</v>
      </c>
      <c r="AG266" s="421" t="s">
        <v>2237</v>
      </c>
      <c r="AH266" s="421" t="s">
        <v>3105</v>
      </c>
      <c r="AI266" s="421">
        <v>385000</v>
      </c>
      <c r="AJ266" s="421">
        <v>887.44</v>
      </c>
      <c r="AK266" s="421">
        <v>963.46</v>
      </c>
      <c r="AL266" s="421">
        <v>2</v>
      </c>
      <c r="AM266" s="421" t="s">
        <v>3553</v>
      </c>
      <c r="AN266" s="421" t="s">
        <v>3293</v>
      </c>
      <c r="AO266" s="421" t="s">
        <v>1121</v>
      </c>
      <c r="AP266" s="421" t="s">
        <v>1121</v>
      </c>
      <c r="AQ266" s="421" t="s">
        <v>1542</v>
      </c>
      <c r="AR266" s="421" t="s">
        <v>3485</v>
      </c>
      <c r="AS266" s="421" t="s">
        <v>3554</v>
      </c>
      <c r="AT266" s="421" t="s">
        <v>3109</v>
      </c>
      <c r="AU266" s="421" t="s">
        <v>1142</v>
      </c>
      <c r="AV266" s="421" t="s">
        <v>3139</v>
      </c>
      <c r="AW266" s="421" t="s">
        <v>3110</v>
      </c>
      <c r="AX266" s="421" t="s">
        <v>3111</v>
      </c>
      <c r="AY266" s="421" t="s">
        <v>3112</v>
      </c>
      <c r="AZ266" s="421" t="s">
        <v>3113</v>
      </c>
      <c r="BA266" s="421" t="s">
        <v>3114</v>
      </c>
      <c r="BB266" s="421" t="s">
        <v>3115</v>
      </c>
      <c r="BC266" s="421">
        <v>11865.8</v>
      </c>
      <c r="BD266" s="421">
        <v>28401741.559999999</v>
      </c>
      <c r="BE266" s="421">
        <v>0</v>
      </c>
      <c r="BF266" s="421">
        <v>192.88</v>
      </c>
      <c r="BG266" s="421">
        <v>30.15</v>
      </c>
      <c r="BH266" s="421">
        <v>0</v>
      </c>
      <c r="BI266" s="421" t="s">
        <v>1331</v>
      </c>
    </row>
    <row r="267" spans="1:61" x14ac:dyDescent="0.25">
      <c r="A267" s="421">
        <v>264</v>
      </c>
      <c r="B267" s="421">
        <v>2015</v>
      </c>
      <c r="C267" s="421">
        <v>5</v>
      </c>
      <c r="D267" s="421">
        <v>4</v>
      </c>
      <c r="E267" s="421" t="s">
        <v>1475</v>
      </c>
      <c r="F267" s="421" t="s">
        <v>3090</v>
      </c>
      <c r="G267" s="421" t="s">
        <v>3477</v>
      </c>
      <c r="H267" s="421" t="s">
        <v>1107</v>
      </c>
      <c r="I267" s="421" t="s">
        <v>1783</v>
      </c>
      <c r="J267" s="421" t="s">
        <v>3552</v>
      </c>
      <c r="K267" s="421" t="s">
        <v>3093</v>
      </c>
      <c r="L267" s="421" t="s">
        <v>3094</v>
      </c>
      <c r="M267" s="421" t="s">
        <v>2667</v>
      </c>
      <c r="N267" s="421" t="s">
        <v>3093</v>
      </c>
      <c r="O267" s="421" t="s">
        <v>3094</v>
      </c>
      <c r="P267" s="421" t="s">
        <v>3095</v>
      </c>
      <c r="Q267" s="421" t="s">
        <v>3096</v>
      </c>
      <c r="R267" s="421" t="s">
        <v>1108</v>
      </c>
      <c r="S267" s="421" t="s">
        <v>1542</v>
      </c>
      <c r="T267" s="421" t="s">
        <v>1130</v>
      </c>
      <c r="U267" s="421" t="s">
        <v>1112</v>
      </c>
      <c r="V267" s="421" t="s">
        <v>3097</v>
      </c>
      <c r="W267" s="421" t="s">
        <v>3098</v>
      </c>
      <c r="X267" s="421" t="s">
        <v>3099</v>
      </c>
      <c r="Y267" s="421" t="s">
        <v>1117</v>
      </c>
      <c r="Z267" s="421" t="s">
        <v>1118</v>
      </c>
      <c r="AA267" s="421" t="s">
        <v>3100</v>
      </c>
      <c r="AB267" s="421" t="s">
        <v>3101</v>
      </c>
      <c r="AC267" s="421" t="s">
        <v>3102</v>
      </c>
      <c r="AD267" s="421" t="s">
        <v>3291</v>
      </c>
      <c r="AE267" s="421" t="s">
        <v>3292</v>
      </c>
      <c r="AF267" s="421" t="s">
        <v>2236</v>
      </c>
      <c r="AG267" s="421" t="s">
        <v>2237</v>
      </c>
      <c r="AH267" s="421" t="s">
        <v>3105</v>
      </c>
      <c r="AI267" s="421">
        <v>537000</v>
      </c>
      <c r="AJ267" s="421">
        <v>1832.79</v>
      </c>
      <c r="AK267" s="421">
        <v>1989.79</v>
      </c>
      <c r="AL267" s="421">
        <v>3</v>
      </c>
      <c r="AM267" s="421" t="s">
        <v>3553</v>
      </c>
      <c r="AN267" s="421" t="s">
        <v>3293</v>
      </c>
      <c r="AO267" s="421" t="s">
        <v>1121</v>
      </c>
      <c r="AP267" s="421" t="s">
        <v>1121</v>
      </c>
      <c r="AQ267" s="421" t="s">
        <v>1542</v>
      </c>
      <c r="AR267" s="421" t="s">
        <v>3485</v>
      </c>
      <c r="AS267" s="421" t="s">
        <v>3554</v>
      </c>
      <c r="AT267" s="421" t="s">
        <v>3109</v>
      </c>
      <c r="AU267" s="421" t="s">
        <v>1142</v>
      </c>
      <c r="AV267" s="421" t="s">
        <v>3139</v>
      </c>
      <c r="AW267" s="421" t="s">
        <v>3110</v>
      </c>
      <c r="AX267" s="421" t="s">
        <v>3111</v>
      </c>
      <c r="AY267" s="421" t="s">
        <v>3112</v>
      </c>
      <c r="AZ267" s="421" t="s">
        <v>3113</v>
      </c>
      <c r="BA267" s="421" t="s">
        <v>3114</v>
      </c>
      <c r="BB267" s="421" t="s">
        <v>3115</v>
      </c>
      <c r="BC267" s="421">
        <v>44092</v>
      </c>
      <c r="BD267" s="421">
        <v>105537729.36</v>
      </c>
      <c r="BE267" s="421">
        <v>0</v>
      </c>
      <c r="BF267" s="421">
        <v>716.71</v>
      </c>
      <c r="BG267" s="421">
        <v>112.02</v>
      </c>
      <c r="BH267" s="421">
        <v>0</v>
      </c>
      <c r="BI267" s="421" t="s">
        <v>1331</v>
      </c>
    </row>
    <row r="268" spans="1:61" x14ac:dyDescent="0.25">
      <c r="A268" s="421">
        <v>265</v>
      </c>
      <c r="B268" s="421">
        <v>2015</v>
      </c>
      <c r="C268" s="421">
        <v>5</v>
      </c>
      <c r="D268" s="421">
        <v>4</v>
      </c>
      <c r="E268" s="421" t="s">
        <v>1475</v>
      </c>
      <c r="F268" s="421" t="s">
        <v>3090</v>
      </c>
      <c r="G268" s="421" t="s">
        <v>3477</v>
      </c>
      <c r="H268" s="421" t="s">
        <v>1107</v>
      </c>
      <c r="I268" s="421" t="s">
        <v>1783</v>
      </c>
      <c r="J268" s="421" t="s">
        <v>3555</v>
      </c>
      <c r="K268" s="421" t="s">
        <v>3093</v>
      </c>
      <c r="L268" s="421" t="s">
        <v>3094</v>
      </c>
      <c r="M268" s="421" t="s">
        <v>2667</v>
      </c>
      <c r="N268" s="421" t="s">
        <v>3093</v>
      </c>
      <c r="O268" s="421" t="s">
        <v>3094</v>
      </c>
      <c r="P268" s="421" t="s">
        <v>3095</v>
      </c>
      <c r="Q268" s="421" t="s">
        <v>3096</v>
      </c>
      <c r="R268" s="421" t="s">
        <v>1108</v>
      </c>
      <c r="S268" s="421" t="s">
        <v>1542</v>
      </c>
      <c r="T268" s="421" t="s">
        <v>1130</v>
      </c>
      <c r="U268" s="421" t="s">
        <v>1112</v>
      </c>
      <c r="V268" s="421" t="s">
        <v>3097</v>
      </c>
      <c r="W268" s="421" t="s">
        <v>3098</v>
      </c>
      <c r="X268" s="421" t="s">
        <v>3099</v>
      </c>
      <c r="Y268" s="421" t="s">
        <v>1117</v>
      </c>
      <c r="Z268" s="421" t="s">
        <v>1118</v>
      </c>
      <c r="AA268" s="421" t="s">
        <v>3100</v>
      </c>
      <c r="AB268" s="421" t="s">
        <v>3101</v>
      </c>
      <c r="AC268" s="421" t="s">
        <v>3102</v>
      </c>
      <c r="AD268" s="421" t="s">
        <v>3291</v>
      </c>
      <c r="AE268" s="421" t="s">
        <v>3292</v>
      </c>
      <c r="AF268" s="421" t="s">
        <v>2236</v>
      </c>
      <c r="AG268" s="421" t="s">
        <v>2237</v>
      </c>
      <c r="AH268" s="421" t="s">
        <v>3105</v>
      </c>
      <c r="AI268" s="421">
        <v>3000</v>
      </c>
      <c r="AJ268" s="421">
        <v>12.57</v>
      </c>
      <c r="AK268" s="421">
        <v>13.5</v>
      </c>
      <c r="AL268" s="421">
        <v>1</v>
      </c>
      <c r="AM268" s="421" t="s">
        <v>3553</v>
      </c>
      <c r="AN268" s="421" t="s">
        <v>3293</v>
      </c>
      <c r="AO268" s="421" t="s">
        <v>1121</v>
      </c>
      <c r="AP268" s="421" t="s">
        <v>1121</v>
      </c>
      <c r="AQ268" s="421" t="s">
        <v>1542</v>
      </c>
      <c r="AR268" s="421" t="s">
        <v>3485</v>
      </c>
      <c r="AS268" s="421" t="s">
        <v>3556</v>
      </c>
      <c r="AT268" s="421" t="s">
        <v>3109</v>
      </c>
      <c r="AU268" s="421" t="s">
        <v>1142</v>
      </c>
      <c r="AV268" s="421" t="s">
        <v>3139</v>
      </c>
      <c r="AW268" s="421" t="s">
        <v>3110</v>
      </c>
      <c r="AX268" s="421" t="s">
        <v>3111</v>
      </c>
      <c r="AY268" s="421" t="s">
        <v>3112</v>
      </c>
      <c r="AZ268" s="421" t="s">
        <v>3113</v>
      </c>
      <c r="BA268" s="421" t="s">
        <v>3114</v>
      </c>
      <c r="BB268" s="421" t="s">
        <v>3115</v>
      </c>
      <c r="BC268" s="421">
        <v>279</v>
      </c>
      <c r="BD268" s="421">
        <v>667808.81999999995</v>
      </c>
      <c r="BE268" s="421">
        <v>0</v>
      </c>
      <c r="BF268" s="421">
        <v>50</v>
      </c>
      <c r="BG268" s="421">
        <v>12</v>
      </c>
      <c r="BH268" s="421">
        <v>0</v>
      </c>
      <c r="BI268" s="421" t="s">
        <v>1331</v>
      </c>
    </row>
    <row r="269" spans="1:61" x14ac:dyDescent="0.25">
      <c r="A269" s="421">
        <v>266</v>
      </c>
      <c r="B269" s="421">
        <v>2015</v>
      </c>
      <c r="C269" s="421">
        <v>5</v>
      </c>
      <c r="D269" s="421">
        <v>4</v>
      </c>
      <c r="E269" s="421" t="s">
        <v>1475</v>
      </c>
      <c r="F269" s="421" t="s">
        <v>3090</v>
      </c>
      <c r="G269" s="421" t="s">
        <v>3477</v>
      </c>
      <c r="H269" s="421" t="s">
        <v>1107</v>
      </c>
      <c r="I269" s="421" t="s">
        <v>1783</v>
      </c>
      <c r="J269" s="421" t="s">
        <v>3552</v>
      </c>
      <c r="K269" s="421" t="s">
        <v>3093</v>
      </c>
      <c r="L269" s="421" t="s">
        <v>3094</v>
      </c>
      <c r="M269" s="421" t="s">
        <v>2667</v>
      </c>
      <c r="N269" s="421" t="s">
        <v>3093</v>
      </c>
      <c r="O269" s="421" t="s">
        <v>3094</v>
      </c>
      <c r="P269" s="421" t="s">
        <v>3095</v>
      </c>
      <c r="Q269" s="421" t="s">
        <v>3096</v>
      </c>
      <c r="R269" s="421" t="s">
        <v>1108</v>
      </c>
      <c r="S269" s="421" t="s">
        <v>1542</v>
      </c>
      <c r="T269" s="421" t="s">
        <v>1130</v>
      </c>
      <c r="U269" s="421" t="s">
        <v>1112</v>
      </c>
      <c r="V269" s="421" t="s">
        <v>3097</v>
      </c>
      <c r="W269" s="421" t="s">
        <v>3098</v>
      </c>
      <c r="X269" s="421" t="s">
        <v>3099</v>
      </c>
      <c r="Y269" s="421" t="s">
        <v>1117</v>
      </c>
      <c r="Z269" s="421" t="s">
        <v>1118</v>
      </c>
      <c r="AA269" s="421" t="s">
        <v>3100</v>
      </c>
      <c r="AB269" s="421" t="s">
        <v>3101</v>
      </c>
      <c r="AC269" s="421" t="s">
        <v>3102</v>
      </c>
      <c r="AD269" s="421" t="s">
        <v>3291</v>
      </c>
      <c r="AE269" s="421" t="s">
        <v>3292</v>
      </c>
      <c r="AF269" s="421" t="s">
        <v>2236</v>
      </c>
      <c r="AG269" s="421" t="s">
        <v>2237</v>
      </c>
      <c r="AH269" s="421" t="s">
        <v>3105</v>
      </c>
      <c r="AI269" s="421">
        <v>1634000</v>
      </c>
      <c r="AJ269" s="421">
        <v>3641.87</v>
      </c>
      <c r="AK269" s="421">
        <v>3953.83</v>
      </c>
      <c r="AL269" s="421">
        <v>1</v>
      </c>
      <c r="AM269" s="421" t="s">
        <v>3553</v>
      </c>
      <c r="AN269" s="421" t="s">
        <v>3293</v>
      </c>
      <c r="AO269" s="421" t="s">
        <v>1121</v>
      </c>
      <c r="AP269" s="421" t="s">
        <v>1121</v>
      </c>
      <c r="AQ269" s="421" t="s">
        <v>1542</v>
      </c>
      <c r="AR269" s="421" t="s">
        <v>3485</v>
      </c>
      <c r="AS269" s="421" t="s">
        <v>3554</v>
      </c>
      <c r="AT269" s="421" t="s">
        <v>3109</v>
      </c>
      <c r="AU269" s="421" t="s">
        <v>1142</v>
      </c>
      <c r="AV269" s="421" t="s">
        <v>3139</v>
      </c>
      <c r="AW269" s="421" t="s">
        <v>3110</v>
      </c>
      <c r="AX269" s="421" t="s">
        <v>3111</v>
      </c>
      <c r="AY269" s="421" t="s">
        <v>3112</v>
      </c>
      <c r="AZ269" s="421" t="s">
        <v>3113</v>
      </c>
      <c r="BA269" s="421" t="s">
        <v>3114</v>
      </c>
      <c r="BB269" s="421" t="s">
        <v>3115</v>
      </c>
      <c r="BC269" s="421">
        <v>45550.5</v>
      </c>
      <c r="BD269" s="421">
        <v>109028765.79000001</v>
      </c>
      <c r="BE269" s="421">
        <v>0</v>
      </c>
      <c r="BF269" s="421">
        <v>740.42</v>
      </c>
      <c r="BG269" s="421">
        <v>115.73</v>
      </c>
      <c r="BH269" s="421">
        <v>0</v>
      </c>
      <c r="BI269" s="421" t="s">
        <v>1331</v>
      </c>
    </row>
    <row r="270" spans="1:61" x14ac:dyDescent="0.25">
      <c r="A270" s="421">
        <v>267</v>
      </c>
      <c r="B270" s="421">
        <v>2015</v>
      </c>
      <c r="C270" s="421">
        <v>5</v>
      </c>
      <c r="D270" s="421">
        <v>8</v>
      </c>
      <c r="E270" s="421" t="s">
        <v>1475</v>
      </c>
      <c r="F270" s="421" t="s">
        <v>3090</v>
      </c>
      <c r="G270" s="421" t="s">
        <v>3557</v>
      </c>
      <c r="H270" s="421" t="s">
        <v>1107</v>
      </c>
      <c r="I270" s="421" t="s">
        <v>1804</v>
      </c>
      <c r="J270" s="421" t="s">
        <v>3558</v>
      </c>
      <c r="K270" s="421" t="s">
        <v>3093</v>
      </c>
      <c r="L270" s="421" t="s">
        <v>3094</v>
      </c>
      <c r="M270" s="421" t="s">
        <v>2667</v>
      </c>
      <c r="N270" s="421" t="s">
        <v>3093</v>
      </c>
      <c r="O270" s="421" t="s">
        <v>3094</v>
      </c>
      <c r="P270" s="421" t="s">
        <v>3095</v>
      </c>
      <c r="Q270" s="421" t="s">
        <v>3113</v>
      </c>
      <c r="R270" s="421" t="s">
        <v>1108</v>
      </c>
      <c r="S270" s="421" t="s">
        <v>1108</v>
      </c>
      <c r="T270" s="421" t="s">
        <v>1130</v>
      </c>
      <c r="U270" s="421" t="s">
        <v>1112</v>
      </c>
      <c r="V270" s="421" t="s">
        <v>3097</v>
      </c>
      <c r="W270" s="421" t="s">
        <v>3098</v>
      </c>
      <c r="X270" s="421" t="s">
        <v>3099</v>
      </c>
      <c r="Y270" s="421" t="s">
        <v>1117</v>
      </c>
      <c r="Z270" s="421" t="s">
        <v>1118</v>
      </c>
      <c r="AA270" s="421" t="s">
        <v>3100</v>
      </c>
      <c r="AB270" s="421" t="s">
        <v>3101</v>
      </c>
      <c r="AC270" s="421" t="s">
        <v>3102</v>
      </c>
      <c r="AD270" s="421" t="s">
        <v>3559</v>
      </c>
      <c r="AE270" s="421" t="s">
        <v>3560</v>
      </c>
      <c r="AF270" s="421" t="s">
        <v>2236</v>
      </c>
      <c r="AG270" s="421" t="s">
        <v>2237</v>
      </c>
      <c r="AH270" s="421" t="s">
        <v>3105</v>
      </c>
      <c r="AI270" s="421">
        <v>5986500</v>
      </c>
      <c r="AJ270" s="421">
        <v>11750.69</v>
      </c>
      <c r="AK270" s="421">
        <v>13879.77</v>
      </c>
      <c r="AL270" s="421">
        <v>1</v>
      </c>
      <c r="AM270" s="421" t="s">
        <v>961</v>
      </c>
      <c r="AN270" s="421" t="s">
        <v>3191</v>
      </c>
      <c r="AO270" s="421" t="s">
        <v>1121</v>
      </c>
      <c r="AP270" s="421" t="s">
        <v>1121</v>
      </c>
      <c r="AQ270" s="421" t="s">
        <v>1108</v>
      </c>
      <c r="AR270" s="421" t="s">
        <v>3561</v>
      </c>
      <c r="AS270" s="421" t="s">
        <v>3562</v>
      </c>
      <c r="AT270" s="421" t="s">
        <v>3109</v>
      </c>
      <c r="AU270" s="421" t="s">
        <v>1142</v>
      </c>
      <c r="AV270" s="421" t="s">
        <v>3174</v>
      </c>
      <c r="AW270" s="421" t="s">
        <v>3110</v>
      </c>
      <c r="AX270" s="421" t="s">
        <v>3111</v>
      </c>
      <c r="AY270" s="421" t="s">
        <v>3112</v>
      </c>
      <c r="AZ270" s="421" t="s">
        <v>3113</v>
      </c>
      <c r="BA270" s="421" t="s">
        <v>3114</v>
      </c>
      <c r="BB270" s="421" t="s">
        <v>3115</v>
      </c>
      <c r="BC270" s="421">
        <v>159912</v>
      </c>
      <c r="BD270" s="421">
        <v>378868307.75999999</v>
      </c>
      <c r="BE270" s="421">
        <v>0</v>
      </c>
      <c r="BF270" s="421">
        <v>0</v>
      </c>
      <c r="BG270" s="421">
        <v>0</v>
      </c>
      <c r="BH270" s="421">
        <v>0</v>
      </c>
      <c r="BI270" s="421" t="s">
        <v>1149</v>
      </c>
    </row>
    <row r="271" spans="1:61" x14ac:dyDescent="0.25">
      <c r="A271" s="421">
        <v>268</v>
      </c>
      <c r="B271" s="421">
        <v>2015</v>
      </c>
      <c r="C271" s="421">
        <v>5</v>
      </c>
      <c r="D271" s="421">
        <v>8</v>
      </c>
      <c r="E271" s="421" t="s">
        <v>1475</v>
      </c>
      <c r="F271" s="421" t="s">
        <v>3090</v>
      </c>
      <c r="G271" s="421" t="s">
        <v>3557</v>
      </c>
      <c r="H271" s="421" t="s">
        <v>1107</v>
      </c>
      <c r="I271" s="421" t="s">
        <v>1804</v>
      </c>
      <c r="J271" s="421" t="s">
        <v>3558</v>
      </c>
      <c r="K271" s="421" t="s">
        <v>3093</v>
      </c>
      <c r="L271" s="421" t="s">
        <v>3094</v>
      </c>
      <c r="M271" s="421" t="s">
        <v>2667</v>
      </c>
      <c r="N271" s="421" t="s">
        <v>3093</v>
      </c>
      <c r="O271" s="421" t="s">
        <v>3094</v>
      </c>
      <c r="P271" s="421" t="s">
        <v>3095</v>
      </c>
      <c r="Q271" s="421" t="s">
        <v>3113</v>
      </c>
      <c r="R271" s="421" t="s">
        <v>1108</v>
      </c>
      <c r="S271" s="421" t="s">
        <v>1108</v>
      </c>
      <c r="T271" s="421" t="s">
        <v>1130</v>
      </c>
      <c r="U271" s="421" t="s">
        <v>1112</v>
      </c>
      <c r="V271" s="421" t="s">
        <v>3097</v>
      </c>
      <c r="W271" s="421" t="s">
        <v>3098</v>
      </c>
      <c r="X271" s="421" t="s">
        <v>3099</v>
      </c>
      <c r="Y271" s="421" t="s">
        <v>1117</v>
      </c>
      <c r="Z271" s="421" t="s">
        <v>1118</v>
      </c>
      <c r="AA271" s="421" t="s">
        <v>3100</v>
      </c>
      <c r="AB271" s="421" t="s">
        <v>3101</v>
      </c>
      <c r="AC271" s="421" t="s">
        <v>3102</v>
      </c>
      <c r="AD271" s="421" t="s">
        <v>3559</v>
      </c>
      <c r="AE271" s="421" t="s">
        <v>3560</v>
      </c>
      <c r="AF271" s="421" t="s">
        <v>2236</v>
      </c>
      <c r="AG271" s="421" t="s">
        <v>2237</v>
      </c>
      <c r="AH271" s="421" t="s">
        <v>3105</v>
      </c>
      <c r="AI271" s="421">
        <v>621000</v>
      </c>
      <c r="AJ271" s="421">
        <v>1165.44</v>
      </c>
      <c r="AK271" s="421">
        <v>1376.6</v>
      </c>
      <c r="AL271" s="421">
        <v>2</v>
      </c>
      <c r="AM271" s="421" t="s">
        <v>961</v>
      </c>
      <c r="AN271" s="421" t="s">
        <v>3191</v>
      </c>
      <c r="AO271" s="421" t="s">
        <v>1121</v>
      </c>
      <c r="AP271" s="421" t="s">
        <v>1121</v>
      </c>
      <c r="AQ271" s="421" t="s">
        <v>1108</v>
      </c>
      <c r="AR271" s="421" t="s">
        <v>3561</v>
      </c>
      <c r="AS271" s="421" t="s">
        <v>3562</v>
      </c>
      <c r="AT271" s="421" t="s">
        <v>3109</v>
      </c>
      <c r="AU271" s="421" t="s">
        <v>1142</v>
      </c>
      <c r="AV271" s="421" t="s">
        <v>3174</v>
      </c>
      <c r="AW271" s="421" t="s">
        <v>3110</v>
      </c>
      <c r="AX271" s="421" t="s">
        <v>3111</v>
      </c>
      <c r="AY271" s="421" t="s">
        <v>3112</v>
      </c>
      <c r="AZ271" s="421" t="s">
        <v>3113</v>
      </c>
      <c r="BA271" s="421" t="s">
        <v>3114</v>
      </c>
      <c r="BB271" s="421" t="s">
        <v>3115</v>
      </c>
      <c r="BC271" s="421">
        <v>17766</v>
      </c>
      <c r="BD271" s="421">
        <v>42091740.18</v>
      </c>
      <c r="BE271" s="421">
        <v>0</v>
      </c>
      <c r="BF271" s="421">
        <v>0</v>
      </c>
      <c r="BG271" s="421">
        <v>0</v>
      </c>
      <c r="BH271" s="421">
        <v>0</v>
      </c>
      <c r="BI271" s="421" t="s">
        <v>1149</v>
      </c>
    </row>
    <row r="272" spans="1:61" x14ac:dyDescent="0.25">
      <c r="A272" s="421">
        <v>269</v>
      </c>
      <c r="B272" s="421">
        <v>2015</v>
      </c>
      <c r="C272" s="421">
        <v>5</v>
      </c>
      <c r="D272" s="421">
        <v>8</v>
      </c>
      <c r="E272" s="421" t="s">
        <v>1475</v>
      </c>
      <c r="F272" s="421" t="s">
        <v>3090</v>
      </c>
      <c r="G272" s="421" t="s">
        <v>3557</v>
      </c>
      <c r="H272" s="421" t="s">
        <v>1107</v>
      </c>
      <c r="I272" s="421" t="s">
        <v>1804</v>
      </c>
      <c r="J272" s="421" t="s">
        <v>3558</v>
      </c>
      <c r="K272" s="421" t="s">
        <v>3093</v>
      </c>
      <c r="L272" s="421" t="s">
        <v>3094</v>
      </c>
      <c r="M272" s="421" t="s">
        <v>2667</v>
      </c>
      <c r="N272" s="421" t="s">
        <v>3093</v>
      </c>
      <c r="O272" s="421" t="s">
        <v>3094</v>
      </c>
      <c r="P272" s="421" t="s">
        <v>3095</v>
      </c>
      <c r="Q272" s="421" t="s">
        <v>3113</v>
      </c>
      <c r="R272" s="421" t="s">
        <v>1108</v>
      </c>
      <c r="S272" s="421" t="s">
        <v>1108</v>
      </c>
      <c r="T272" s="421" t="s">
        <v>1130</v>
      </c>
      <c r="U272" s="421" t="s">
        <v>1112</v>
      </c>
      <c r="V272" s="421" t="s">
        <v>3097</v>
      </c>
      <c r="W272" s="421" t="s">
        <v>3098</v>
      </c>
      <c r="X272" s="421" t="s">
        <v>3099</v>
      </c>
      <c r="Y272" s="421" t="s">
        <v>1117</v>
      </c>
      <c r="Z272" s="421" t="s">
        <v>1118</v>
      </c>
      <c r="AA272" s="421" t="s">
        <v>3100</v>
      </c>
      <c r="AB272" s="421" t="s">
        <v>3101</v>
      </c>
      <c r="AC272" s="421" t="s">
        <v>3102</v>
      </c>
      <c r="AD272" s="421" t="s">
        <v>3559</v>
      </c>
      <c r="AE272" s="421" t="s">
        <v>3560</v>
      </c>
      <c r="AF272" s="421" t="s">
        <v>2236</v>
      </c>
      <c r="AG272" s="421" t="s">
        <v>2237</v>
      </c>
      <c r="AH272" s="421" t="s">
        <v>3105</v>
      </c>
      <c r="AI272" s="421">
        <v>69000</v>
      </c>
      <c r="AJ272" s="421">
        <v>270.02</v>
      </c>
      <c r="AK272" s="421">
        <v>318.94</v>
      </c>
      <c r="AL272" s="421">
        <v>3</v>
      </c>
      <c r="AM272" s="421" t="s">
        <v>961</v>
      </c>
      <c r="AN272" s="421" t="s">
        <v>3191</v>
      </c>
      <c r="AO272" s="421" t="s">
        <v>1121</v>
      </c>
      <c r="AP272" s="421" t="s">
        <v>1121</v>
      </c>
      <c r="AQ272" s="421" t="s">
        <v>1108</v>
      </c>
      <c r="AR272" s="421" t="s">
        <v>3561</v>
      </c>
      <c r="AS272" s="421" t="s">
        <v>3562</v>
      </c>
      <c r="AT272" s="421" t="s">
        <v>3109</v>
      </c>
      <c r="AU272" s="421" t="s">
        <v>1142</v>
      </c>
      <c r="AV272" s="421" t="s">
        <v>3174</v>
      </c>
      <c r="AW272" s="421" t="s">
        <v>3110</v>
      </c>
      <c r="AX272" s="421" t="s">
        <v>3111</v>
      </c>
      <c r="AY272" s="421" t="s">
        <v>3112</v>
      </c>
      <c r="AZ272" s="421" t="s">
        <v>3113</v>
      </c>
      <c r="BA272" s="421" t="s">
        <v>3114</v>
      </c>
      <c r="BB272" s="421" t="s">
        <v>3115</v>
      </c>
      <c r="BC272" s="421">
        <v>7203.6</v>
      </c>
      <c r="BD272" s="421">
        <v>17066985.23</v>
      </c>
      <c r="BE272" s="421">
        <v>0</v>
      </c>
      <c r="BF272" s="421">
        <v>0</v>
      </c>
      <c r="BG272" s="421">
        <v>0</v>
      </c>
      <c r="BH272" s="421">
        <v>0</v>
      </c>
      <c r="BI272" s="421" t="s">
        <v>1149</v>
      </c>
    </row>
    <row r="273" spans="1:61" x14ac:dyDescent="0.25">
      <c r="A273" s="421">
        <v>270</v>
      </c>
      <c r="B273" s="421">
        <v>2015</v>
      </c>
      <c r="C273" s="421">
        <v>5</v>
      </c>
      <c r="D273" s="421">
        <v>15</v>
      </c>
      <c r="E273" s="421" t="s">
        <v>1475</v>
      </c>
      <c r="F273" s="421" t="s">
        <v>3090</v>
      </c>
      <c r="G273" s="421" t="s">
        <v>3563</v>
      </c>
      <c r="H273" s="421" t="s">
        <v>1107</v>
      </c>
      <c r="I273" s="421" t="s">
        <v>1839</v>
      </c>
      <c r="J273" s="421" t="s">
        <v>3564</v>
      </c>
      <c r="K273" s="421" t="s">
        <v>3093</v>
      </c>
      <c r="L273" s="421" t="s">
        <v>3094</v>
      </c>
      <c r="M273" s="421" t="s">
        <v>2667</v>
      </c>
      <c r="N273" s="421" t="s">
        <v>3093</v>
      </c>
      <c r="O273" s="421" t="s">
        <v>3094</v>
      </c>
      <c r="P273" s="421" t="s">
        <v>3095</v>
      </c>
      <c r="Q273" s="421" t="s">
        <v>3113</v>
      </c>
      <c r="R273" s="421" t="s">
        <v>1108</v>
      </c>
      <c r="S273" s="421" t="s">
        <v>1108</v>
      </c>
      <c r="T273" s="421" t="s">
        <v>1130</v>
      </c>
      <c r="U273" s="421" t="s">
        <v>1112</v>
      </c>
      <c r="V273" s="421" t="s">
        <v>3097</v>
      </c>
      <c r="W273" s="421" t="s">
        <v>3098</v>
      </c>
      <c r="X273" s="421" t="s">
        <v>3099</v>
      </c>
      <c r="Y273" s="421" t="s">
        <v>1117</v>
      </c>
      <c r="Z273" s="421" t="s">
        <v>1118</v>
      </c>
      <c r="AA273" s="421" t="s">
        <v>3100</v>
      </c>
      <c r="AB273" s="421" t="s">
        <v>3101</v>
      </c>
      <c r="AC273" s="421" t="s">
        <v>3102</v>
      </c>
      <c r="AD273" s="421" t="s">
        <v>3565</v>
      </c>
      <c r="AE273" s="421" t="s">
        <v>3566</v>
      </c>
      <c r="AF273" s="421" t="s">
        <v>2236</v>
      </c>
      <c r="AG273" s="421" t="s">
        <v>2237</v>
      </c>
      <c r="AH273" s="421" t="s">
        <v>3105</v>
      </c>
      <c r="AI273" s="421">
        <v>4526000</v>
      </c>
      <c r="AJ273" s="421">
        <v>14395.9</v>
      </c>
      <c r="AK273" s="421">
        <v>15460.88</v>
      </c>
      <c r="AL273" s="421">
        <v>1</v>
      </c>
      <c r="AM273" s="421" t="s">
        <v>2135</v>
      </c>
      <c r="AN273" s="421" t="s">
        <v>3546</v>
      </c>
      <c r="AO273" s="421" t="s">
        <v>1121</v>
      </c>
      <c r="AP273" s="421" t="s">
        <v>1121</v>
      </c>
      <c r="AQ273" s="421" t="s">
        <v>1108</v>
      </c>
      <c r="AR273" s="421" t="s">
        <v>3561</v>
      </c>
      <c r="AS273" s="421" t="s">
        <v>3567</v>
      </c>
      <c r="AT273" s="421" t="s">
        <v>3109</v>
      </c>
      <c r="AU273" s="421" t="s">
        <v>1142</v>
      </c>
      <c r="AV273" s="421" t="s">
        <v>2037</v>
      </c>
      <c r="AW273" s="421" t="s">
        <v>3110</v>
      </c>
      <c r="AX273" s="421" t="s">
        <v>3111</v>
      </c>
      <c r="AY273" s="421" t="s">
        <v>3112</v>
      </c>
      <c r="AZ273" s="421" t="s">
        <v>3113</v>
      </c>
      <c r="BA273" s="421" t="s">
        <v>3114</v>
      </c>
      <c r="BB273" s="421" t="s">
        <v>3115</v>
      </c>
      <c r="BC273" s="421">
        <v>189264.64000000001</v>
      </c>
      <c r="BD273" s="421">
        <v>452245964.63</v>
      </c>
      <c r="BE273" s="421">
        <v>0</v>
      </c>
      <c r="BF273" s="421">
        <v>891.19</v>
      </c>
      <c r="BG273" s="421">
        <v>480.13</v>
      </c>
      <c r="BH273" s="421">
        <v>0</v>
      </c>
      <c r="BI273" s="421" t="s">
        <v>1167</v>
      </c>
    </row>
    <row r="274" spans="1:61" x14ac:dyDescent="0.25">
      <c r="A274" s="421">
        <v>271</v>
      </c>
      <c r="B274" s="421">
        <v>2015</v>
      </c>
      <c r="C274" s="421">
        <v>5</v>
      </c>
      <c r="D274" s="421">
        <v>15</v>
      </c>
      <c r="E274" s="421" t="s">
        <v>1475</v>
      </c>
      <c r="F274" s="421" t="s">
        <v>3090</v>
      </c>
      <c r="G274" s="421" t="s">
        <v>3563</v>
      </c>
      <c r="H274" s="421" t="s">
        <v>1107</v>
      </c>
      <c r="I274" s="421" t="s">
        <v>1839</v>
      </c>
      <c r="J274" s="421" t="s">
        <v>3564</v>
      </c>
      <c r="K274" s="421" t="s">
        <v>3093</v>
      </c>
      <c r="L274" s="421" t="s">
        <v>3094</v>
      </c>
      <c r="M274" s="421" t="s">
        <v>2667</v>
      </c>
      <c r="N274" s="421" t="s">
        <v>3093</v>
      </c>
      <c r="O274" s="421" t="s">
        <v>3094</v>
      </c>
      <c r="P274" s="421" t="s">
        <v>3095</v>
      </c>
      <c r="Q274" s="421" t="s">
        <v>3113</v>
      </c>
      <c r="R274" s="421" t="s">
        <v>1108</v>
      </c>
      <c r="S274" s="421" t="s">
        <v>1108</v>
      </c>
      <c r="T274" s="421" t="s">
        <v>1130</v>
      </c>
      <c r="U274" s="421" t="s">
        <v>1112</v>
      </c>
      <c r="V274" s="421" t="s">
        <v>3097</v>
      </c>
      <c r="W274" s="421" t="s">
        <v>3098</v>
      </c>
      <c r="X274" s="421" t="s">
        <v>3099</v>
      </c>
      <c r="Y274" s="421" t="s">
        <v>1117</v>
      </c>
      <c r="Z274" s="421" t="s">
        <v>1118</v>
      </c>
      <c r="AA274" s="421" t="s">
        <v>3100</v>
      </c>
      <c r="AB274" s="421" t="s">
        <v>3101</v>
      </c>
      <c r="AC274" s="421" t="s">
        <v>3102</v>
      </c>
      <c r="AD274" s="421" t="s">
        <v>3565</v>
      </c>
      <c r="AE274" s="421" t="s">
        <v>3566</v>
      </c>
      <c r="AF274" s="421" t="s">
        <v>2236</v>
      </c>
      <c r="AG274" s="421" t="s">
        <v>2237</v>
      </c>
      <c r="AH274" s="421" t="s">
        <v>3105</v>
      </c>
      <c r="AI274" s="421">
        <v>500000</v>
      </c>
      <c r="AJ274" s="421">
        <v>1934.29</v>
      </c>
      <c r="AK274" s="421">
        <v>2077.38</v>
      </c>
      <c r="AL274" s="421">
        <v>2</v>
      </c>
      <c r="AM274" s="421" t="s">
        <v>2135</v>
      </c>
      <c r="AN274" s="421" t="s">
        <v>3546</v>
      </c>
      <c r="AO274" s="421" t="s">
        <v>1121</v>
      </c>
      <c r="AP274" s="421" t="s">
        <v>1121</v>
      </c>
      <c r="AQ274" s="421" t="s">
        <v>1108</v>
      </c>
      <c r="AR274" s="421" t="s">
        <v>3561</v>
      </c>
      <c r="AS274" s="421" t="s">
        <v>3567</v>
      </c>
      <c r="AT274" s="421" t="s">
        <v>3109</v>
      </c>
      <c r="AU274" s="421" t="s">
        <v>1142</v>
      </c>
      <c r="AV274" s="421" t="s">
        <v>2037</v>
      </c>
      <c r="AW274" s="421" t="s">
        <v>3110</v>
      </c>
      <c r="AX274" s="421" t="s">
        <v>3111</v>
      </c>
      <c r="AY274" s="421" t="s">
        <v>3112</v>
      </c>
      <c r="AZ274" s="421" t="s">
        <v>3113</v>
      </c>
      <c r="BA274" s="421" t="s">
        <v>3114</v>
      </c>
      <c r="BB274" s="421" t="s">
        <v>3115</v>
      </c>
      <c r="BC274" s="421">
        <v>23108.6</v>
      </c>
      <c r="BD274" s="421">
        <v>55217768.609999999</v>
      </c>
      <c r="BE274" s="421">
        <v>0</v>
      </c>
      <c r="BF274" s="421">
        <v>108.81</v>
      </c>
      <c r="BG274" s="421">
        <v>58.62</v>
      </c>
      <c r="BH274" s="421">
        <v>0</v>
      </c>
      <c r="BI274" s="421" t="s">
        <v>1167</v>
      </c>
    </row>
    <row r="275" spans="1:61" x14ac:dyDescent="0.25">
      <c r="A275" s="421">
        <v>272</v>
      </c>
      <c r="B275" s="421">
        <v>2015</v>
      </c>
      <c r="C275" s="421">
        <v>5</v>
      </c>
      <c r="D275" s="421">
        <v>15</v>
      </c>
      <c r="E275" s="421" t="s">
        <v>1475</v>
      </c>
      <c r="F275" s="421" t="s">
        <v>3090</v>
      </c>
      <c r="G275" s="421" t="s">
        <v>3563</v>
      </c>
      <c r="H275" s="421" t="s">
        <v>1107</v>
      </c>
      <c r="I275" s="421" t="s">
        <v>1839</v>
      </c>
      <c r="J275" s="421" t="s">
        <v>3568</v>
      </c>
      <c r="K275" s="421" t="s">
        <v>3093</v>
      </c>
      <c r="L275" s="421" t="s">
        <v>3094</v>
      </c>
      <c r="M275" s="421" t="s">
        <v>2667</v>
      </c>
      <c r="N275" s="421" t="s">
        <v>3093</v>
      </c>
      <c r="O275" s="421" t="s">
        <v>3094</v>
      </c>
      <c r="P275" s="421" t="s">
        <v>3095</v>
      </c>
      <c r="Q275" s="421" t="s">
        <v>3113</v>
      </c>
      <c r="R275" s="421" t="s">
        <v>1108</v>
      </c>
      <c r="S275" s="421" t="s">
        <v>1108</v>
      </c>
      <c r="T275" s="421" t="s">
        <v>1130</v>
      </c>
      <c r="U275" s="421" t="s">
        <v>1112</v>
      </c>
      <c r="V275" s="421" t="s">
        <v>3097</v>
      </c>
      <c r="W275" s="421" t="s">
        <v>3098</v>
      </c>
      <c r="X275" s="421" t="s">
        <v>3099</v>
      </c>
      <c r="Y275" s="421" t="s">
        <v>1117</v>
      </c>
      <c r="Z275" s="421" t="s">
        <v>1118</v>
      </c>
      <c r="AA275" s="421" t="s">
        <v>3100</v>
      </c>
      <c r="AB275" s="421" t="s">
        <v>3101</v>
      </c>
      <c r="AC275" s="421" t="s">
        <v>3102</v>
      </c>
      <c r="AD275" s="421" t="s">
        <v>3125</v>
      </c>
      <c r="AE275" s="421" t="s">
        <v>3126</v>
      </c>
      <c r="AF275" s="421" t="s">
        <v>2236</v>
      </c>
      <c r="AG275" s="421" t="s">
        <v>2237</v>
      </c>
      <c r="AH275" s="421" t="s">
        <v>3105</v>
      </c>
      <c r="AI275" s="421">
        <v>4230000</v>
      </c>
      <c r="AJ275" s="421">
        <v>8632.4</v>
      </c>
      <c r="AK275" s="421">
        <v>9160.2900000000009</v>
      </c>
      <c r="AL275" s="421">
        <v>1</v>
      </c>
      <c r="AM275" s="421" t="s">
        <v>962</v>
      </c>
      <c r="AN275" s="421" t="s">
        <v>3127</v>
      </c>
      <c r="AO275" s="421" t="s">
        <v>1121</v>
      </c>
      <c r="AP275" s="421" t="s">
        <v>1121</v>
      </c>
      <c r="AQ275" s="421" t="s">
        <v>1108</v>
      </c>
      <c r="AR275" s="421" t="s">
        <v>3561</v>
      </c>
      <c r="AS275" s="421" t="s">
        <v>3569</v>
      </c>
      <c r="AT275" s="421" t="s">
        <v>3109</v>
      </c>
      <c r="AU275" s="421" t="s">
        <v>1142</v>
      </c>
      <c r="AV275" s="421" t="s">
        <v>2037</v>
      </c>
      <c r="AW275" s="421" t="s">
        <v>3110</v>
      </c>
      <c r="AX275" s="421" t="s">
        <v>3111</v>
      </c>
      <c r="AY275" s="421" t="s">
        <v>3112</v>
      </c>
      <c r="AZ275" s="421" t="s">
        <v>3113</v>
      </c>
      <c r="BA275" s="421" t="s">
        <v>3114</v>
      </c>
      <c r="BB275" s="421" t="s">
        <v>3115</v>
      </c>
      <c r="BC275" s="421">
        <v>94479.56</v>
      </c>
      <c r="BD275" s="421">
        <v>225757963.81999999</v>
      </c>
      <c r="BE275" s="421">
        <v>0</v>
      </c>
      <c r="BF275" s="421">
        <v>2729.74</v>
      </c>
      <c r="BG275" s="421">
        <v>0</v>
      </c>
      <c r="BH275" s="421">
        <v>1045.3</v>
      </c>
      <c r="BI275" s="421" t="s">
        <v>1149</v>
      </c>
    </row>
    <row r="276" spans="1:61" x14ac:dyDescent="0.25">
      <c r="A276" s="421">
        <v>273</v>
      </c>
      <c r="B276" s="421">
        <v>2015</v>
      </c>
      <c r="C276" s="421">
        <v>5</v>
      </c>
      <c r="D276" s="421">
        <v>15</v>
      </c>
      <c r="E276" s="421" t="s">
        <v>1475</v>
      </c>
      <c r="F276" s="421" t="s">
        <v>3090</v>
      </c>
      <c r="G276" s="421" t="s">
        <v>3563</v>
      </c>
      <c r="H276" s="421" t="s">
        <v>1107</v>
      </c>
      <c r="I276" s="421" t="s">
        <v>1839</v>
      </c>
      <c r="J276" s="421" t="s">
        <v>3568</v>
      </c>
      <c r="K276" s="421" t="s">
        <v>3093</v>
      </c>
      <c r="L276" s="421" t="s">
        <v>3094</v>
      </c>
      <c r="M276" s="421" t="s">
        <v>2667</v>
      </c>
      <c r="N276" s="421" t="s">
        <v>3093</v>
      </c>
      <c r="O276" s="421" t="s">
        <v>3094</v>
      </c>
      <c r="P276" s="421" t="s">
        <v>3095</v>
      </c>
      <c r="Q276" s="421" t="s">
        <v>3113</v>
      </c>
      <c r="R276" s="421" t="s">
        <v>1108</v>
      </c>
      <c r="S276" s="421" t="s">
        <v>1108</v>
      </c>
      <c r="T276" s="421" t="s">
        <v>1130</v>
      </c>
      <c r="U276" s="421" t="s">
        <v>1112</v>
      </c>
      <c r="V276" s="421" t="s">
        <v>3097</v>
      </c>
      <c r="W276" s="421" t="s">
        <v>3098</v>
      </c>
      <c r="X276" s="421" t="s">
        <v>3099</v>
      </c>
      <c r="Y276" s="421" t="s">
        <v>1117</v>
      </c>
      <c r="Z276" s="421" t="s">
        <v>1118</v>
      </c>
      <c r="AA276" s="421" t="s">
        <v>3100</v>
      </c>
      <c r="AB276" s="421" t="s">
        <v>3101</v>
      </c>
      <c r="AC276" s="421" t="s">
        <v>3102</v>
      </c>
      <c r="AD276" s="421" t="s">
        <v>3125</v>
      </c>
      <c r="AE276" s="421" t="s">
        <v>3126</v>
      </c>
      <c r="AF276" s="421" t="s">
        <v>2236</v>
      </c>
      <c r="AG276" s="421" t="s">
        <v>2237</v>
      </c>
      <c r="AH276" s="421" t="s">
        <v>3105</v>
      </c>
      <c r="AI276" s="421">
        <v>400</v>
      </c>
      <c r="AJ276" s="421">
        <v>13.79</v>
      </c>
      <c r="AK276" s="421">
        <v>14.63</v>
      </c>
      <c r="AL276" s="421">
        <v>2</v>
      </c>
      <c r="AM276" s="421" t="s">
        <v>962</v>
      </c>
      <c r="AN276" s="421" t="s">
        <v>3127</v>
      </c>
      <c r="AO276" s="421" t="s">
        <v>1121</v>
      </c>
      <c r="AP276" s="421" t="s">
        <v>1121</v>
      </c>
      <c r="AQ276" s="421" t="s">
        <v>1108</v>
      </c>
      <c r="AR276" s="421" t="s">
        <v>3561</v>
      </c>
      <c r="AS276" s="421" t="s">
        <v>3569</v>
      </c>
      <c r="AT276" s="421" t="s">
        <v>3109</v>
      </c>
      <c r="AU276" s="421" t="s">
        <v>1142</v>
      </c>
      <c r="AV276" s="421" t="s">
        <v>2037</v>
      </c>
      <c r="AW276" s="421" t="s">
        <v>3110</v>
      </c>
      <c r="AX276" s="421" t="s">
        <v>3111</v>
      </c>
      <c r="AY276" s="421" t="s">
        <v>3112</v>
      </c>
      <c r="AZ276" s="421" t="s">
        <v>3113</v>
      </c>
      <c r="BA276" s="421" t="s">
        <v>3114</v>
      </c>
      <c r="BB276" s="421" t="s">
        <v>3115</v>
      </c>
      <c r="BC276" s="421">
        <v>424.4</v>
      </c>
      <c r="BD276" s="421">
        <v>1014099.56</v>
      </c>
      <c r="BE276" s="421">
        <v>0</v>
      </c>
      <c r="BF276" s="421">
        <v>12.26</v>
      </c>
      <c r="BG276" s="421">
        <v>0</v>
      </c>
      <c r="BH276" s="421">
        <v>4.7</v>
      </c>
      <c r="BI276" s="421" t="s">
        <v>1149</v>
      </c>
    </row>
    <row r="277" spans="1:61" x14ac:dyDescent="0.25">
      <c r="A277" s="421">
        <v>274</v>
      </c>
      <c r="B277" s="421">
        <v>2015</v>
      </c>
      <c r="C277" s="421">
        <v>5</v>
      </c>
      <c r="D277" s="421">
        <v>15</v>
      </c>
      <c r="E277" s="421" t="s">
        <v>1475</v>
      </c>
      <c r="F277" s="421" t="s">
        <v>3090</v>
      </c>
      <c r="G277" s="421" t="s">
        <v>3563</v>
      </c>
      <c r="H277" s="421" t="s">
        <v>1107</v>
      </c>
      <c r="I277" s="421" t="s">
        <v>1839</v>
      </c>
      <c r="J277" s="421" t="s">
        <v>3570</v>
      </c>
      <c r="K277" s="421" t="s">
        <v>3093</v>
      </c>
      <c r="L277" s="421" t="s">
        <v>3094</v>
      </c>
      <c r="M277" s="421" t="s">
        <v>2667</v>
      </c>
      <c r="N277" s="421" t="s">
        <v>3093</v>
      </c>
      <c r="O277" s="421" t="s">
        <v>3094</v>
      </c>
      <c r="P277" s="421" t="s">
        <v>3095</v>
      </c>
      <c r="Q277" s="421" t="s">
        <v>3113</v>
      </c>
      <c r="R277" s="421" t="s">
        <v>1108</v>
      </c>
      <c r="S277" s="421" t="s">
        <v>1108</v>
      </c>
      <c r="T277" s="421" t="s">
        <v>1130</v>
      </c>
      <c r="U277" s="421" t="s">
        <v>1112</v>
      </c>
      <c r="V277" s="421" t="s">
        <v>3097</v>
      </c>
      <c r="W277" s="421" t="s">
        <v>3098</v>
      </c>
      <c r="X277" s="421" t="s">
        <v>3099</v>
      </c>
      <c r="Y277" s="421" t="s">
        <v>1117</v>
      </c>
      <c r="Z277" s="421" t="s">
        <v>1118</v>
      </c>
      <c r="AA277" s="421" t="s">
        <v>3100</v>
      </c>
      <c r="AB277" s="421" t="s">
        <v>3101</v>
      </c>
      <c r="AC277" s="421" t="s">
        <v>3102</v>
      </c>
      <c r="AD277" s="421" t="s">
        <v>3125</v>
      </c>
      <c r="AE277" s="421" t="s">
        <v>3126</v>
      </c>
      <c r="AF277" s="421" t="s">
        <v>1512</v>
      </c>
      <c r="AG277" s="421" t="s">
        <v>1513</v>
      </c>
      <c r="AH277" s="421" t="s">
        <v>3105</v>
      </c>
      <c r="AI277" s="421">
        <v>41000</v>
      </c>
      <c r="AJ277" s="421">
        <v>206.65</v>
      </c>
      <c r="AK277" s="421">
        <v>215.02</v>
      </c>
      <c r="AL277" s="421">
        <v>1</v>
      </c>
      <c r="AM277" s="421" t="s">
        <v>962</v>
      </c>
      <c r="AN277" s="421" t="s">
        <v>3127</v>
      </c>
      <c r="AO277" s="421" t="s">
        <v>1121</v>
      </c>
      <c r="AP277" s="421" t="s">
        <v>1121</v>
      </c>
      <c r="AQ277" s="421" t="s">
        <v>1108</v>
      </c>
      <c r="AR277" s="421" t="s">
        <v>3561</v>
      </c>
      <c r="AS277" s="421" t="s">
        <v>3571</v>
      </c>
      <c r="AT277" s="421" t="s">
        <v>3109</v>
      </c>
      <c r="AU277" s="421" t="s">
        <v>1142</v>
      </c>
      <c r="AV277" s="421" t="s">
        <v>2037</v>
      </c>
      <c r="AW277" s="421" t="s">
        <v>3110</v>
      </c>
      <c r="AX277" s="421" t="s">
        <v>3111</v>
      </c>
      <c r="AY277" s="421" t="s">
        <v>3112</v>
      </c>
      <c r="AZ277" s="421" t="s">
        <v>3113</v>
      </c>
      <c r="BA277" s="421" t="s">
        <v>3114</v>
      </c>
      <c r="BB277" s="421" t="s">
        <v>3115</v>
      </c>
      <c r="BC277" s="421">
        <v>983</v>
      </c>
      <c r="BD277" s="421">
        <v>2348868.67</v>
      </c>
      <c r="BE277" s="421">
        <v>0</v>
      </c>
      <c r="BF277" s="421">
        <v>44</v>
      </c>
      <c r="BG277" s="421">
        <v>0</v>
      </c>
      <c r="BH277" s="421">
        <v>0</v>
      </c>
      <c r="BI277" s="421" t="s">
        <v>1149</v>
      </c>
    </row>
    <row r="278" spans="1:61" x14ac:dyDescent="0.25">
      <c r="A278" s="421">
        <v>275</v>
      </c>
      <c r="B278" s="421">
        <v>2015</v>
      </c>
      <c r="C278" s="421">
        <v>5</v>
      </c>
      <c r="D278" s="421">
        <v>21</v>
      </c>
      <c r="E278" s="421" t="s">
        <v>1475</v>
      </c>
      <c r="F278" s="421" t="s">
        <v>3090</v>
      </c>
      <c r="G278" s="421" t="s">
        <v>3201</v>
      </c>
      <c r="H278" s="421" t="s">
        <v>1107</v>
      </c>
      <c r="I278" s="421" t="s">
        <v>1861</v>
      </c>
      <c r="J278" s="421" t="s">
        <v>3572</v>
      </c>
      <c r="K278" s="421" t="s">
        <v>3093</v>
      </c>
      <c r="L278" s="421" t="s">
        <v>3094</v>
      </c>
      <c r="M278" s="421" t="s">
        <v>2667</v>
      </c>
      <c r="N278" s="421" t="s">
        <v>3093</v>
      </c>
      <c r="O278" s="421" t="s">
        <v>3094</v>
      </c>
      <c r="P278" s="421" t="s">
        <v>3095</v>
      </c>
      <c r="Q278" s="421" t="s">
        <v>3096</v>
      </c>
      <c r="R278" s="421" t="s">
        <v>1108</v>
      </c>
      <c r="S278" s="421" t="s">
        <v>1542</v>
      </c>
      <c r="T278" s="421" t="s">
        <v>1130</v>
      </c>
      <c r="U278" s="421" t="s">
        <v>1112</v>
      </c>
      <c r="V278" s="421" t="s">
        <v>3097</v>
      </c>
      <c r="W278" s="421" t="s">
        <v>3098</v>
      </c>
      <c r="X278" s="421" t="s">
        <v>3099</v>
      </c>
      <c r="Y278" s="421" t="s">
        <v>1117</v>
      </c>
      <c r="Z278" s="421" t="s">
        <v>1118</v>
      </c>
      <c r="AA278" s="421" t="s">
        <v>3100</v>
      </c>
      <c r="AB278" s="421" t="s">
        <v>3101</v>
      </c>
      <c r="AC278" s="421" t="s">
        <v>3102</v>
      </c>
      <c r="AD278" s="421" t="s">
        <v>3573</v>
      </c>
      <c r="AE278" s="421" t="s">
        <v>3574</v>
      </c>
      <c r="AF278" s="421" t="s">
        <v>2236</v>
      </c>
      <c r="AG278" s="421" t="s">
        <v>2237</v>
      </c>
      <c r="AH278" s="421" t="s">
        <v>3105</v>
      </c>
      <c r="AI278" s="421">
        <v>417500</v>
      </c>
      <c r="AJ278" s="421">
        <v>1045.52</v>
      </c>
      <c r="AK278" s="421">
        <v>1176.75</v>
      </c>
      <c r="AL278" s="421">
        <v>1</v>
      </c>
      <c r="AM278" s="421" t="s">
        <v>1321</v>
      </c>
      <c r="AN278" s="421" t="s">
        <v>3575</v>
      </c>
      <c r="AO278" s="421" t="s">
        <v>1121</v>
      </c>
      <c r="AP278" s="421" t="s">
        <v>1121</v>
      </c>
      <c r="AQ278" s="421" t="s">
        <v>1542</v>
      </c>
      <c r="AR278" s="421" t="s">
        <v>3561</v>
      </c>
      <c r="AS278" s="421" t="s">
        <v>3576</v>
      </c>
      <c r="AT278" s="421" t="s">
        <v>3109</v>
      </c>
      <c r="AU278" s="421" t="s">
        <v>1142</v>
      </c>
      <c r="AV278" s="421" t="s">
        <v>3130</v>
      </c>
      <c r="AW278" s="421" t="s">
        <v>3110</v>
      </c>
      <c r="AX278" s="421" t="s">
        <v>3111</v>
      </c>
      <c r="AY278" s="421" t="s">
        <v>3112</v>
      </c>
      <c r="AZ278" s="421" t="s">
        <v>3113</v>
      </c>
      <c r="BA278" s="421" t="s">
        <v>3114</v>
      </c>
      <c r="BB278" s="421" t="s">
        <v>3115</v>
      </c>
      <c r="BC278" s="421">
        <v>14323.7</v>
      </c>
      <c r="BD278" s="421">
        <v>35857520.869999997</v>
      </c>
      <c r="BE278" s="421">
        <v>0</v>
      </c>
      <c r="BF278" s="421">
        <v>425.36</v>
      </c>
      <c r="BG278" s="421">
        <v>0</v>
      </c>
      <c r="BH278" s="421">
        <v>0</v>
      </c>
      <c r="BI278" s="421" t="s">
        <v>1331</v>
      </c>
    </row>
    <row r="279" spans="1:61" x14ac:dyDescent="0.25">
      <c r="A279" s="421">
        <v>276</v>
      </c>
      <c r="B279" s="421">
        <v>2015</v>
      </c>
      <c r="C279" s="421">
        <v>5</v>
      </c>
      <c r="D279" s="421">
        <v>21</v>
      </c>
      <c r="E279" s="421" t="s">
        <v>1475</v>
      </c>
      <c r="F279" s="421" t="s">
        <v>3090</v>
      </c>
      <c r="G279" s="421" t="s">
        <v>3201</v>
      </c>
      <c r="H279" s="421" t="s">
        <v>1107</v>
      </c>
      <c r="I279" s="421" t="s">
        <v>1861</v>
      </c>
      <c r="J279" s="421" t="s">
        <v>3572</v>
      </c>
      <c r="K279" s="421" t="s">
        <v>3093</v>
      </c>
      <c r="L279" s="421" t="s">
        <v>3094</v>
      </c>
      <c r="M279" s="421" t="s">
        <v>2667</v>
      </c>
      <c r="N279" s="421" t="s">
        <v>3093</v>
      </c>
      <c r="O279" s="421" t="s">
        <v>3094</v>
      </c>
      <c r="P279" s="421" t="s">
        <v>3095</v>
      </c>
      <c r="Q279" s="421" t="s">
        <v>3096</v>
      </c>
      <c r="R279" s="421" t="s">
        <v>1108</v>
      </c>
      <c r="S279" s="421" t="s">
        <v>1542</v>
      </c>
      <c r="T279" s="421" t="s">
        <v>1130</v>
      </c>
      <c r="U279" s="421" t="s">
        <v>1112</v>
      </c>
      <c r="V279" s="421" t="s">
        <v>3097</v>
      </c>
      <c r="W279" s="421" t="s">
        <v>3098</v>
      </c>
      <c r="X279" s="421" t="s">
        <v>3099</v>
      </c>
      <c r="Y279" s="421" t="s">
        <v>1117</v>
      </c>
      <c r="Z279" s="421" t="s">
        <v>1118</v>
      </c>
      <c r="AA279" s="421" t="s">
        <v>3100</v>
      </c>
      <c r="AB279" s="421" t="s">
        <v>3101</v>
      </c>
      <c r="AC279" s="421" t="s">
        <v>3102</v>
      </c>
      <c r="AD279" s="421" t="s">
        <v>3573</v>
      </c>
      <c r="AE279" s="421" t="s">
        <v>3574</v>
      </c>
      <c r="AF279" s="421" t="s">
        <v>2236</v>
      </c>
      <c r="AG279" s="421" t="s">
        <v>2237</v>
      </c>
      <c r="AH279" s="421" t="s">
        <v>3105</v>
      </c>
      <c r="AI279" s="421">
        <v>628000</v>
      </c>
      <c r="AJ279" s="421">
        <v>2009.03</v>
      </c>
      <c r="AK279" s="421">
        <v>2261.19</v>
      </c>
      <c r="AL279" s="421">
        <v>2</v>
      </c>
      <c r="AM279" s="421" t="s">
        <v>1321</v>
      </c>
      <c r="AN279" s="421" t="s">
        <v>3575</v>
      </c>
      <c r="AO279" s="421" t="s">
        <v>1121</v>
      </c>
      <c r="AP279" s="421" t="s">
        <v>1121</v>
      </c>
      <c r="AQ279" s="421" t="s">
        <v>1542</v>
      </c>
      <c r="AR279" s="421" t="s">
        <v>3561</v>
      </c>
      <c r="AS279" s="421" t="s">
        <v>3576</v>
      </c>
      <c r="AT279" s="421" t="s">
        <v>3109</v>
      </c>
      <c r="AU279" s="421" t="s">
        <v>1142</v>
      </c>
      <c r="AV279" s="421" t="s">
        <v>3130</v>
      </c>
      <c r="AW279" s="421" t="s">
        <v>3110</v>
      </c>
      <c r="AX279" s="421" t="s">
        <v>3111</v>
      </c>
      <c r="AY279" s="421" t="s">
        <v>3112</v>
      </c>
      <c r="AZ279" s="421" t="s">
        <v>3113</v>
      </c>
      <c r="BA279" s="421" t="s">
        <v>3114</v>
      </c>
      <c r="BB279" s="421" t="s">
        <v>3115</v>
      </c>
      <c r="BC279" s="421">
        <v>28746.5</v>
      </c>
      <c r="BD279" s="421">
        <v>71963125.709999993</v>
      </c>
      <c r="BE279" s="421">
        <v>0</v>
      </c>
      <c r="BF279" s="421">
        <v>853.66</v>
      </c>
      <c r="BG279" s="421">
        <v>0</v>
      </c>
      <c r="BH279" s="421">
        <v>0</v>
      </c>
      <c r="BI279" s="421" t="s">
        <v>1331</v>
      </c>
    </row>
    <row r="280" spans="1:61" x14ac:dyDescent="0.25">
      <c r="A280" s="421">
        <v>277</v>
      </c>
      <c r="B280" s="421">
        <v>2015</v>
      </c>
      <c r="C280" s="421">
        <v>5</v>
      </c>
      <c r="D280" s="421">
        <v>21</v>
      </c>
      <c r="E280" s="421" t="s">
        <v>1475</v>
      </c>
      <c r="F280" s="421" t="s">
        <v>3090</v>
      </c>
      <c r="G280" s="421" t="s">
        <v>3201</v>
      </c>
      <c r="H280" s="421" t="s">
        <v>1107</v>
      </c>
      <c r="I280" s="421" t="s">
        <v>1861</v>
      </c>
      <c r="J280" s="421" t="s">
        <v>3572</v>
      </c>
      <c r="K280" s="421" t="s">
        <v>3093</v>
      </c>
      <c r="L280" s="421" t="s">
        <v>3094</v>
      </c>
      <c r="M280" s="421" t="s">
        <v>2667</v>
      </c>
      <c r="N280" s="421" t="s">
        <v>3093</v>
      </c>
      <c r="O280" s="421" t="s">
        <v>3094</v>
      </c>
      <c r="P280" s="421" t="s">
        <v>3095</v>
      </c>
      <c r="Q280" s="421" t="s">
        <v>3096</v>
      </c>
      <c r="R280" s="421" t="s">
        <v>1108</v>
      </c>
      <c r="S280" s="421" t="s">
        <v>1542</v>
      </c>
      <c r="T280" s="421" t="s">
        <v>1130</v>
      </c>
      <c r="U280" s="421" t="s">
        <v>1112</v>
      </c>
      <c r="V280" s="421" t="s">
        <v>3097</v>
      </c>
      <c r="W280" s="421" t="s">
        <v>3098</v>
      </c>
      <c r="X280" s="421" t="s">
        <v>3099</v>
      </c>
      <c r="Y280" s="421" t="s">
        <v>1117</v>
      </c>
      <c r="Z280" s="421" t="s">
        <v>1118</v>
      </c>
      <c r="AA280" s="421" t="s">
        <v>3100</v>
      </c>
      <c r="AB280" s="421" t="s">
        <v>3101</v>
      </c>
      <c r="AC280" s="421" t="s">
        <v>3102</v>
      </c>
      <c r="AD280" s="421" t="s">
        <v>3573</v>
      </c>
      <c r="AE280" s="421" t="s">
        <v>3574</v>
      </c>
      <c r="AF280" s="421" t="s">
        <v>2236</v>
      </c>
      <c r="AG280" s="421" t="s">
        <v>2237</v>
      </c>
      <c r="AH280" s="421" t="s">
        <v>3105</v>
      </c>
      <c r="AI280" s="421">
        <v>2100</v>
      </c>
      <c r="AJ280" s="421">
        <v>21.18</v>
      </c>
      <c r="AK280" s="421">
        <v>23.84</v>
      </c>
      <c r="AL280" s="421">
        <v>3</v>
      </c>
      <c r="AM280" s="421" t="s">
        <v>1321</v>
      </c>
      <c r="AN280" s="421" t="s">
        <v>3575</v>
      </c>
      <c r="AO280" s="421" t="s">
        <v>1121</v>
      </c>
      <c r="AP280" s="421" t="s">
        <v>1121</v>
      </c>
      <c r="AQ280" s="421" t="s">
        <v>1542</v>
      </c>
      <c r="AR280" s="421" t="s">
        <v>3561</v>
      </c>
      <c r="AS280" s="421" t="s">
        <v>3576</v>
      </c>
      <c r="AT280" s="421" t="s">
        <v>3109</v>
      </c>
      <c r="AU280" s="421" t="s">
        <v>1142</v>
      </c>
      <c r="AV280" s="421" t="s">
        <v>3130</v>
      </c>
      <c r="AW280" s="421" t="s">
        <v>3110</v>
      </c>
      <c r="AX280" s="421" t="s">
        <v>3111</v>
      </c>
      <c r="AY280" s="421" t="s">
        <v>3112</v>
      </c>
      <c r="AZ280" s="421" t="s">
        <v>3113</v>
      </c>
      <c r="BA280" s="421" t="s">
        <v>3114</v>
      </c>
      <c r="BB280" s="421" t="s">
        <v>3115</v>
      </c>
      <c r="BC280" s="421">
        <v>802.7</v>
      </c>
      <c r="BD280" s="421">
        <v>2009455.1</v>
      </c>
      <c r="BE280" s="421">
        <v>0</v>
      </c>
      <c r="BF280" s="421">
        <v>23.84</v>
      </c>
      <c r="BG280" s="421">
        <v>0</v>
      </c>
      <c r="BH280" s="421">
        <v>0</v>
      </c>
      <c r="BI280" s="421" t="s">
        <v>1331</v>
      </c>
    </row>
    <row r="281" spans="1:61" x14ac:dyDescent="0.25">
      <c r="A281" s="421">
        <v>278</v>
      </c>
      <c r="B281" s="421">
        <v>2015</v>
      </c>
      <c r="C281" s="421">
        <v>5</v>
      </c>
      <c r="D281" s="421">
        <v>21</v>
      </c>
      <c r="E281" s="421" t="s">
        <v>1475</v>
      </c>
      <c r="F281" s="421" t="s">
        <v>3090</v>
      </c>
      <c r="G281" s="421" t="s">
        <v>3201</v>
      </c>
      <c r="H281" s="421" t="s">
        <v>1107</v>
      </c>
      <c r="I281" s="421" t="s">
        <v>1861</v>
      </c>
      <c r="J281" s="421" t="s">
        <v>3572</v>
      </c>
      <c r="K281" s="421" t="s">
        <v>3093</v>
      </c>
      <c r="L281" s="421" t="s">
        <v>3094</v>
      </c>
      <c r="M281" s="421" t="s">
        <v>2667</v>
      </c>
      <c r="N281" s="421" t="s">
        <v>3093</v>
      </c>
      <c r="O281" s="421" t="s">
        <v>3094</v>
      </c>
      <c r="P281" s="421" t="s">
        <v>3095</v>
      </c>
      <c r="Q281" s="421" t="s">
        <v>3096</v>
      </c>
      <c r="R281" s="421" t="s">
        <v>1108</v>
      </c>
      <c r="S281" s="421" t="s">
        <v>1542</v>
      </c>
      <c r="T281" s="421" t="s">
        <v>1130</v>
      </c>
      <c r="U281" s="421" t="s">
        <v>1112</v>
      </c>
      <c r="V281" s="421" t="s">
        <v>3097</v>
      </c>
      <c r="W281" s="421" t="s">
        <v>3098</v>
      </c>
      <c r="X281" s="421" t="s">
        <v>3099</v>
      </c>
      <c r="Y281" s="421" t="s">
        <v>1117</v>
      </c>
      <c r="Z281" s="421" t="s">
        <v>1118</v>
      </c>
      <c r="AA281" s="421" t="s">
        <v>3100</v>
      </c>
      <c r="AB281" s="421" t="s">
        <v>3101</v>
      </c>
      <c r="AC281" s="421" t="s">
        <v>3102</v>
      </c>
      <c r="AD281" s="421" t="s">
        <v>3573</v>
      </c>
      <c r="AE281" s="421" t="s">
        <v>3574</v>
      </c>
      <c r="AF281" s="421" t="s">
        <v>2236</v>
      </c>
      <c r="AG281" s="421" t="s">
        <v>2237</v>
      </c>
      <c r="AH281" s="421" t="s">
        <v>3105</v>
      </c>
      <c r="AI281" s="421">
        <v>12000</v>
      </c>
      <c r="AJ281" s="421">
        <v>43.72</v>
      </c>
      <c r="AK281" s="421">
        <v>49.21</v>
      </c>
      <c r="AL281" s="421">
        <v>4</v>
      </c>
      <c r="AM281" s="421" t="s">
        <v>1321</v>
      </c>
      <c r="AN281" s="421" t="s">
        <v>3575</v>
      </c>
      <c r="AO281" s="421" t="s">
        <v>1121</v>
      </c>
      <c r="AP281" s="421" t="s">
        <v>1121</v>
      </c>
      <c r="AQ281" s="421" t="s">
        <v>1542</v>
      </c>
      <c r="AR281" s="421" t="s">
        <v>3561</v>
      </c>
      <c r="AS281" s="421" t="s">
        <v>3576</v>
      </c>
      <c r="AT281" s="421" t="s">
        <v>3109</v>
      </c>
      <c r="AU281" s="421" t="s">
        <v>1142</v>
      </c>
      <c r="AV281" s="421" t="s">
        <v>3130</v>
      </c>
      <c r="AW281" s="421" t="s">
        <v>3110</v>
      </c>
      <c r="AX281" s="421" t="s">
        <v>3111</v>
      </c>
      <c r="AY281" s="421" t="s">
        <v>3112</v>
      </c>
      <c r="AZ281" s="421" t="s">
        <v>3113</v>
      </c>
      <c r="BA281" s="421" t="s">
        <v>3114</v>
      </c>
      <c r="BB281" s="421" t="s">
        <v>3115</v>
      </c>
      <c r="BC281" s="421">
        <v>1082.4000000000001</v>
      </c>
      <c r="BD281" s="421">
        <v>2709647.69</v>
      </c>
      <c r="BE281" s="421">
        <v>0</v>
      </c>
      <c r="BF281" s="421">
        <v>32.14</v>
      </c>
      <c r="BG281" s="421">
        <v>0</v>
      </c>
      <c r="BH281" s="421">
        <v>0</v>
      </c>
      <c r="BI281" s="421" t="s">
        <v>1331</v>
      </c>
    </row>
    <row r="282" spans="1:61" x14ac:dyDescent="0.25">
      <c r="A282" s="421">
        <v>279</v>
      </c>
      <c r="B282" s="421">
        <v>2015</v>
      </c>
      <c r="C282" s="421">
        <v>5</v>
      </c>
      <c r="D282" s="421">
        <v>22</v>
      </c>
      <c r="E282" s="421" t="s">
        <v>1475</v>
      </c>
      <c r="F282" s="421" t="s">
        <v>3090</v>
      </c>
      <c r="G282" s="421" t="s">
        <v>3507</v>
      </c>
      <c r="H282" s="421" t="s">
        <v>1107</v>
      </c>
      <c r="I282" s="421" t="s">
        <v>1874</v>
      </c>
      <c r="J282" s="421" t="s">
        <v>3577</v>
      </c>
      <c r="K282" s="421" t="s">
        <v>3093</v>
      </c>
      <c r="L282" s="421" t="s">
        <v>3094</v>
      </c>
      <c r="M282" s="421" t="s">
        <v>2667</v>
      </c>
      <c r="N282" s="421" t="s">
        <v>3093</v>
      </c>
      <c r="O282" s="421" t="s">
        <v>3094</v>
      </c>
      <c r="P282" s="421" t="s">
        <v>3095</v>
      </c>
      <c r="Q282" s="421" t="s">
        <v>3113</v>
      </c>
      <c r="R282" s="421" t="s">
        <v>1108</v>
      </c>
      <c r="S282" s="421" t="s">
        <v>1108</v>
      </c>
      <c r="T282" s="421" t="s">
        <v>1130</v>
      </c>
      <c r="U282" s="421" t="s">
        <v>1112</v>
      </c>
      <c r="V282" s="421" t="s">
        <v>3097</v>
      </c>
      <c r="W282" s="421" t="s">
        <v>3098</v>
      </c>
      <c r="X282" s="421" t="s">
        <v>3099</v>
      </c>
      <c r="Y282" s="421" t="s">
        <v>1117</v>
      </c>
      <c r="Z282" s="421" t="s">
        <v>1118</v>
      </c>
      <c r="AA282" s="421" t="s">
        <v>3100</v>
      </c>
      <c r="AB282" s="421" t="s">
        <v>3101</v>
      </c>
      <c r="AC282" s="421" t="s">
        <v>3102</v>
      </c>
      <c r="AD282" s="421" t="s">
        <v>3265</v>
      </c>
      <c r="AE282" s="421" t="s">
        <v>3578</v>
      </c>
      <c r="AF282" s="421" t="s">
        <v>2236</v>
      </c>
      <c r="AG282" s="421" t="s">
        <v>2237</v>
      </c>
      <c r="AH282" s="421" t="s">
        <v>3105</v>
      </c>
      <c r="AI282" s="421">
        <v>12000</v>
      </c>
      <c r="AJ282" s="421">
        <v>44.68</v>
      </c>
      <c r="AK282" s="421">
        <v>48.51</v>
      </c>
      <c r="AL282" s="421">
        <v>4</v>
      </c>
      <c r="AM282" s="421" t="s">
        <v>3130</v>
      </c>
      <c r="AN282" s="421" t="s">
        <v>3130</v>
      </c>
      <c r="AO282" s="421" t="s">
        <v>1121</v>
      </c>
      <c r="AP282" s="421" t="s">
        <v>1121</v>
      </c>
      <c r="AQ282" s="421" t="s">
        <v>1108</v>
      </c>
      <c r="AR282" s="421" t="s">
        <v>3561</v>
      </c>
      <c r="AS282" s="421" t="s">
        <v>3579</v>
      </c>
      <c r="AT282" s="421" t="s">
        <v>3109</v>
      </c>
      <c r="AU282" s="421" t="s">
        <v>1142</v>
      </c>
      <c r="AV282" s="421" t="s">
        <v>3174</v>
      </c>
      <c r="AW282" s="421" t="s">
        <v>3110</v>
      </c>
      <c r="AX282" s="421" t="s">
        <v>3111</v>
      </c>
      <c r="AY282" s="421" t="s">
        <v>3112</v>
      </c>
      <c r="AZ282" s="421" t="s">
        <v>3113</v>
      </c>
      <c r="BA282" s="421" t="s">
        <v>3114</v>
      </c>
      <c r="BB282" s="421" t="s">
        <v>3115</v>
      </c>
      <c r="BC282" s="421">
        <v>1296</v>
      </c>
      <c r="BD282" s="421">
        <v>3226249.44</v>
      </c>
      <c r="BE282" s="421">
        <v>0</v>
      </c>
      <c r="BF282" s="421">
        <v>14.29</v>
      </c>
      <c r="BG282" s="421">
        <v>3.28</v>
      </c>
      <c r="BH282" s="421">
        <v>0</v>
      </c>
      <c r="BI282" s="421" t="s">
        <v>1167</v>
      </c>
    </row>
    <row r="283" spans="1:61" x14ac:dyDescent="0.25">
      <c r="A283" s="421">
        <v>280</v>
      </c>
      <c r="B283" s="421">
        <v>2015</v>
      </c>
      <c r="C283" s="421">
        <v>5</v>
      </c>
      <c r="D283" s="421">
        <v>22</v>
      </c>
      <c r="E283" s="421" t="s">
        <v>1475</v>
      </c>
      <c r="F283" s="421" t="s">
        <v>3090</v>
      </c>
      <c r="G283" s="421" t="s">
        <v>3507</v>
      </c>
      <c r="H283" s="421" t="s">
        <v>1107</v>
      </c>
      <c r="I283" s="421" t="s">
        <v>1874</v>
      </c>
      <c r="J283" s="421" t="s">
        <v>3580</v>
      </c>
      <c r="K283" s="421" t="s">
        <v>3093</v>
      </c>
      <c r="L283" s="421" t="s">
        <v>3094</v>
      </c>
      <c r="M283" s="421" t="s">
        <v>2667</v>
      </c>
      <c r="N283" s="421" t="s">
        <v>3093</v>
      </c>
      <c r="O283" s="421" t="s">
        <v>3094</v>
      </c>
      <c r="P283" s="421" t="s">
        <v>3095</v>
      </c>
      <c r="Q283" s="421" t="s">
        <v>3113</v>
      </c>
      <c r="R283" s="421" t="s">
        <v>1108</v>
      </c>
      <c r="S283" s="421" t="s">
        <v>1108</v>
      </c>
      <c r="T283" s="421" t="s">
        <v>1130</v>
      </c>
      <c r="U283" s="421" t="s">
        <v>1112</v>
      </c>
      <c r="V283" s="421" t="s">
        <v>3097</v>
      </c>
      <c r="W283" s="421" t="s">
        <v>3098</v>
      </c>
      <c r="X283" s="421" t="s">
        <v>3099</v>
      </c>
      <c r="Y283" s="421" t="s">
        <v>1117</v>
      </c>
      <c r="Z283" s="421" t="s">
        <v>1118</v>
      </c>
      <c r="AA283" s="421" t="s">
        <v>3100</v>
      </c>
      <c r="AB283" s="421" t="s">
        <v>3101</v>
      </c>
      <c r="AC283" s="421" t="s">
        <v>3102</v>
      </c>
      <c r="AD283" s="421" t="s">
        <v>3265</v>
      </c>
      <c r="AE283" s="421" t="s">
        <v>3578</v>
      </c>
      <c r="AF283" s="421" t="s">
        <v>3375</v>
      </c>
      <c r="AG283" s="421" t="s">
        <v>3376</v>
      </c>
      <c r="AH283" s="421" t="s">
        <v>3105</v>
      </c>
      <c r="AI283" s="421">
        <v>150</v>
      </c>
      <c r="AJ283" s="421">
        <v>23.25</v>
      </c>
      <c r="AK283" s="421">
        <v>24.18</v>
      </c>
      <c r="AL283" s="421">
        <v>1</v>
      </c>
      <c r="AM283" s="421" t="s">
        <v>3130</v>
      </c>
      <c r="AN283" s="421" t="s">
        <v>3130</v>
      </c>
      <c r="AO283" s="421" t="s">
        <v>1121</v>
      </c>
      <c r="AP283" s="421" t="s">
        <v>1121</v>
      </c>
      <c r="AQ283" s="421" t="s">
        <v>1108</v>
      </c>
      <c r="AR283" s="421" t="s">
        <v>3561</v>
      </c>
      <c r="AS283" s="421" t="s">
        <v>3581</v>
      </c>
      <c r="AT283" s="421" t="s">
        <v>3109</v>
      </c>
      <c r="AU283" s="421" t="s">
        <v>1142</v>
      </c>
      <c r="AV283" s="421" t="s">
        <v>3174</v>
      </c>
      <c r="AW283" s="421" t="s">
        <v>3110</v>
      </c>
      <c r="AX283" s="421" t="s">
        <v>3229</v>
      </c>
      <c r="AY283" s="421" t="s">
        <v>3112</v>
      </c>
      <c r="AZ283" s="421" t="s">
        <v>3113</v>
      </c>
      <c r="BA283" s="421" t="s">
        <v>3114</v>
      </c>
      <c r="BB283" s="421" t="s">
        <v>3230</v>
      </c>
      <c r="BC283" s="421">
        <v>3</v>
      </c>
      <c r="BD283" s="421">
        <v>7468.17</v>
      </c>
      <c r="BE283" s="421">
        <v>0</v>
      </c>
      <c r="BF283" s="421">
        <v>0</v>
      </c>
      <c r="BG283" s="421">
        <v>0</v>
      </c>
      <c r="BH283" s="421">
        <v>0</v>
      </c>
      <c r="BI283" s="421" t="s">
        <v>1167</v>
      </c>
    </row>
    <row r="284" spans="1:61" x14ac:dyDescent="0.25">
      <c r="A284" s="421">
        <v>281</v>
      </c>
      <c r="B284" s="421">
        <v>2015</v>
      </c>
      <c r="C284" s="421">
        <v>5</v>
      </c>
      <c r="D284" s="421">
        <v>22</v>
      </c>
      <c r="E284" s="421" t="s">
        <v>1475</v>
      </c>
      <c r="F284" s="421" t="s">
        <v>3090</v>
      </c>
      <c r="G284" s="421" t="s">
        <v>3507</v>
      </c>
      <c r="H284" s="421" t="s">
        <v>1107</v>
      </c>
      <c r="I284" s="421" t="s">
        <v>1874</v>
      </c>
      <c r="J284" s="421" t="s">
        <v>3582</v>
      </c>
      <c r="K284" s="421" t="s">
        <v>3093</v>
      </c>
      <c r="L284" s="421" t="s">
        <v>3094</v>
      </c>
      <c r="M284" s="421" t="s">
        <v>2667</v>
      </c>
      <c r="N284" s="421" t="s">
        <v>3093</v>
      </c>
      <c r="O284" s="421" t="s">
        <v>3094</v>
      </c>
      <c r="P284" s="421" t="s">
        <v>3095</v>
      </c>
      <c r="Q284" s="421" t="s">
        <v>3113</v>
      </c>
      <c r="R284" s="421" t="s">
        <v>1108</v>
      </c>
      <c r="S284" s="421" t="s">
        <v>1108</v>
      </c>
      <c r="T284" s="421" t="s">
        <v>1130</v>
      </c>
      <c r="U284" s="421" t="s">
        <v>1112</v>
      </c>
      <c r="V284" s="421" t="s">
        <v>3097</v>
      </c>
      <c r="W284" s="421" t="s">
        <v>3098</v>
      </c>
      <c r="X284" s="421" t="s">
        <v>3099</v>
      </c>
      <c r="Y284" s="421" t="s">
        <v>1117</v>
      </c>
      <c r="Z284" s="421" t="s">
        <v>1118</v>
      </c>
      <c r="AA284" s="421" t="s">
        <v>3100</v>
      </c>
      <c r="AB284" s="421" t="s">
        <v>3101</v>
      </c>
      <c r="AC284" s="421" t="s">
        <v>3102</v>
      </c>
      <c r="AD284" s="421" t="s">
        <v>3265</v>
      </c>
      <c r="AE284" s="421" t="s">
        <v>3578</v>
      </c>
      <c r="AF284" s="421" t="s">
        <v>1512</v>
      </c>
      <c r="AG284" s="421" t="s">
        <v>1513</v>
      </c>
      <c r="AH284" s="421" t="s">
        <v>3105</v>
      </c>
      <c r="AI284" s="421">
        <v>3000</v>
      </c>
      <c r="AJ284" s="421">
        <v>21.99</v>
      </c>
      <c r="AK284" s="421">
        <v>22.92</v>
      </c>
      <c r="AL284" s="421">
        <v>1</v>
      </c>
      <c r="AM284" s="421" t="s">
        <v>3130</v>
      </c>
      <c r="AN284" s="421" t="s">
        <v>3130</v>
      </c>
      <c r="AO284" s="421" t="s">
        <v>1121</v>
      </c>
      <c r="AP284" s="421" t="s">
        <v>1121</v>
      </c>
      <c r="AQ284" s="421" t="s">
        <v>1108</v>
      </c>
      <c r="AR284" s="421" t="s">
        <v>3561</v>
      </c>
      <c r="AS284" s="421" t="s">
        <v>3583</v>
      </c>
      <c r="AT284" s="421" t="s">
        <v>3109</v>
      </c>
      <c r="AU284" s="421" t="s">
        <v>1142</v>
      </c>
      <c r="AV284" s="421" t="s">
        <v>3174</v>
      </c>
      <c r="AW284" s="421" t="s">
        <v>3110</v>
      </c>
      <c r="AX284" s="421" t="s">
        <v>3111</v>
      </c>
      <c r="AY284" s="421" t="s">
        <v>3112</v>
      </c>
      <c r="AZ284" s="421" t="s">
        <v>3113</v>
      </c>
      <c r="BA284" s="421" t="s">
        <v>3114</v>
      </c>
      <c r="BB284" s="421" t="s">
        <v>3115</v>
      </c>
      <c r="BC284" s="421">
        <v>175</v>
      </c>
      <c r="BD284" s="421">
        <v>435643.25</v>
      </c>
      <c r="BE284" s="421">
        <v>0</v>
      </c>
      <c r="BF284" s="421">
        <v>50</v>
      </c>
      <c r="BG284" s="421">
        <v>12</v>
      </c>
      <c r="BH284" s="421">
        <v>0</v>
      </c>
      <c r="BI284" s="421" t="s">
        <v>1167</v>
      </c>
    </row>
    <row r="285" spans="1:61" x14ac:dyDescent="0.25">
      <c r="A285" s="421">
        <v>282</v>
      </c>
      <c r="B285" s="421">
        <v>2015</v>
      </c>
      <c r="C285" s="421">
        <v>5</v>
      </c>
      <c r="D285" s="421">
        <v>22</v>
      </c>
      <c r="E285" s="421" t="s">
        <v>1475</v>
      </c>
      <c r="F285" s="421" t="s">
        <v>3090</v>
      </c>
      <c r="G285" s="421" t="s">
        <v>3507</v>
      </c>
      <c r="H285" s="421" t="s">
        <v>1107</v>
      </c>
      <c r="I285" s="421" t="s">
        <v>1874</v>
      </c>
      <c r="J285" s="421" t="s">
        <v>3577</v>
      </c>
      <c r="K285" s="421" t="s">
        <v>3093</v>
      </c>
      <c r="L285" s="421" t="s">
        <v>3094</v>
      </c>
      <c r="M285" s="421" t="s">
        <v>2667</v>
      </c>
      <c r="N285" s="421" t="s">
        <v>3093</v>
      </c>
      <c r="O285" s="421" t="s">
        <v>3094</v>
      </c>
      <c r="P285" s="421" t="s">
        <v>3095</v>
      </c>
      <c r="Q285" s="421" t="s">
        <v>3113</v>
      </c>
      <c r="R285" s="421" t="s">
        <v>1108</v>
      </c>
      <c r="S285" s="421" t="s">
        <v>1108</v>
      </c>
      <c r="T285" s="421" t="s">
        <v>1130</v>
      </c>
      <c r="U285" s="421" t="s">
        <v>1112</v>
      </c>
      <c r="V285" s="421" t="s">
        <v>3097</v>
      </c>
      <c r="W285" s="421" t="s">
        <v>3098</v>
      </c>
      <c r="X285" s="421" t="s">
        <v>3099</v>
      </c>
      <c r="Y285" s="421" t="s">
        <v>1117</v>
      </c>
      <c r="Z285" s="421" t="s">
        <v>1118</v>
      </c>
      <c r="AA285" s="421" t="s">
        <v>3100</v>
      </c>
      <c r="AB285" s="421" t="s">
        <v>3101</v>
      </c>
      <c r="AC285" s="421" t="s">
        <v>3102</v>
      </c>
      <c r="AD285" s="421" t="s">
        <v>3265</v>
      </c>
      <c r="AE285" s="421" t="s">
        <v>3578</v>
      </c>
      <c r="AF285" s="421" t="s">
        <v>2236</v>
      </c>
      <c r="AG285" s="421" t="s">
        <v>2237</v>
      </c>
      <c r="AH285" s="421" t="s">
        <v>3105</v>
      </c>
      <c r="AI285" s="421">
        <v>2314500</v>
      </c>
      <c r="AJ285" s="421">
        <v>4990.58</v>
      </c>
      <c r="AK285" s="421">
        <v>5417.83</v>
      </c>
      <c r="AL285" s="421">
        <v>1</v>
      </c>
      <c r="AM285" s="421" t="s">
        <v>3130</v>
      </c>
      <c r="AN285" s="421" t="s">
        <v>3130</v>
      </c>
      <c r="AO285" s="421" t="s">
        <v>1121</v>
      </c>
      <c r="AP285" s="421" t="s">
        <v>1121</v>
      </c>
      <c r="AQ285" s="421" t="s">
        <v>1108</v>
      </c>
      <c r="AR285" s="421" t="s">
        <v>3561</v>
      </c>
      <c r="AS285" s="421" t="s">
        <v>3579</v>
      </c>
      <c r="AT285" s="421" t="s">
        <v>3109</v>
      </c>
      <c r="AU285" s="421" t="s">
        <v>1142</v>
      </c>
      <c r="AV285" s="421" t="s">
        <v>3174</v>
      </c>
      <c r="AW285" s="421" t="s">
        <v>3110</v>
      </c>
      <c r="AX285" s="421" t="s">
        <v>3111</v>
      </c>
      <c r="AY285" s="421" t="s">
        <v>3112</v>
      </c>
      <c r="AZ285" s="421" t="s">
        <v>3113</v>
      </c>
      <c r="BA285" s="421" t="s">
        <v>3114</v>
      </c>
      <c r="BB285" s="421" t="s">
        <v>3115</v>
      </c>
      <c r="BC285" s="421">
        <v>70785</v>
      </c>
      <c r="BD285" s="421">
        <v>176211471.15000001</v>
      </c>
      <c r="BE285" s="421">
        <v>0</v>
      </c>
      <c r="BF285" s="421">
        <v>780.6</v>
      </c>
      <c r="BG285" s="421">
        <v>178.91</v>
      </c>
      <c r="BH285" s="421">
        <v>0</v>
      </c>
      <c r="BI285" s="421" t="s">
        <v>1167</v>
      </c>
    </row>
    <row r="286" spans="1:61" x14ac:dyDescent="0.25">
      <c r="A286" s="421">
        <v>283</v>
      </c>
      <c r="B286" s="421">
        <v>2015</v>
      </c>
      <c r="C286" s="421">
        <v>5</v>
      </c>
      <c r="D286" s="421">
        <v>22</v>
      </c>
      <c r="E286" s="421" t="s">
        <v>1475</v>
      </c>
      <c r="F286" s="421" t="s">
        <v>3090</v>
      </c>
      <c r="G286" s="421" t="s">
        <v>3507</v>
      </c>
      <c r="H286" s="421" t="s">
        <v>1107</v>
      </c>
      <c r="I286" s="421" t="s">
        <v>1874</v>
      </c>
      <c r="J286" s="421" t="s">
        <v>3577</v>
      </c>
      <c r="K286" s="421" t="s">
        <v>3093</v>
      </c>
      <c r="L286" s="421" t="s">
        <v>3094</v>
      </c>
      <c r="M286" s="421" t="s">
        <v>2667</v>
      </c>
      <c r="N286" s="421" t="s">
        <v>3093</v>
      </c>
      <c r="O286" s="421" t="s">
        <v>3094</v>
      </c>
      <c r="P286" s="421" t="s">
        <v>3095</v>
      </c>
      <c r="Q286" s="421" t="s">
        <v>3113</v>
      </c>
      <c r="R286" s="421" t="s">
        <v>1108</v>
      </c>
      <c r="S286" s="421" t="s">
        <v>1108</v>
      </c>
      <c r="T286" s="421" t="s">
        <v>1130</v>
      </c>
      <c r="U286" s="421" t="s">
        <v>1112</v>
      </c>
      <c r="V286" s="421" t="s">
        <v>3097</v>
      </c>
      <c r="W286" s="421" t="s">
        <v>3098</v>
      </c>
      <c r="X286" s="421" t="s">
        <v>3099</v>
      </c>
      <c r="Y286" s="421" t="s">
        <v>1117</v>
      </c>
      <c r="Z286" s="421" t="s">
        <v>1118</v>
      </c>
      <c r="AA286" s="421" t="s">
        <v>3100</v>
      </c>
      <c r="AB286" s="421" t="s">
        <v>3101</v>
      </c>
      <c r="AC286" s="421" t="s">
        <v>3102</v>
      </c>
      <c r="AD286" s="421" t="s">
        <v>3265</v>
      </c>
      <c r="AE286" s="421" t="s">
        <v>3578</v>
      </c>
      <c r="AF286" s="421" t="s">
        <v>2236</v>
      </c>
      <c r="AG286" s="421" t="s">
        <v>2237</v>
      </c>
      <c r="AH286" s="421" t="s">
        <v>3105</v>
      </c>
      <c r="AI286" s="421">
        <v>108300</v>
      </c>
      <c r="AJ286" s="421">
        <v>187.15</v>
      </c>
      <c r="AK286" s="421">
        <v>203.17</v>
      </c>
      <c r="AL286" s="421">
        <v>2</v>
      </c>
      <c r="AM286" s="421" t="s">
        <v>3130</v>
      </c>
      <c r="AN286" s="421" t="s">
        <v>3130</v>
      </c>
      <c r="AO286" s="421" t="s">
        <v>1121</v>
      </c>
      <c r="AP286" s="421" t="s">
        <v>1121</v>
      </c>
      <c r="AQ286" s="421" t="s">
        <v>1108</v>
      </c>
      <c r="AR286" s="421" t="s">
        <v>3561</v>
      </c>
      <c r="AS286" s="421" t="s">
        <v>3579</v>
      </c>
      <c r="AT286" s="421" t="s">
        <v>3109</v>
      </c>
      <c r="AU286" s="421" t="s">
        <v>1142</v>
      </c>
      <c r="AV286" s="421" t="s">
        <v>3174</v>
      </c>
      <c r="AW286" s="421" t="s">
        <v>3110</v>
      </c>
      <c r="AX286" s="421" t="s">
        <v>3111</v>
      </c>
      <c r="AY286" s="421" t="s">
        <v>3112</v>
      </c>
      <c r="AZ286" s="421" t="s">
        <v>3113</v>
      </c>
      <c r="BA286" s="421" t="s">
        <v>3114</v>
      </c>
      <c r="BB286" s="421" t="s">
        <v>3115</v>
      </c>
      <c r="BC286" s="421">
        <v>3016</v>
      </c>
      <c r="BD286" s="421">
        <v>7508000.2400000002</v>
      </c>
      <c r="BE286" s="421">
        <v>0</v>
      </c>
      <c r="BF286" s="421">
        <v>33.26</v>
      </c>
      <c r="BG286" s="421">
        <v>7.62</v>
      </c>
      <c r="BH286" s="421">
        <v>0</v>
      </c>
      <c r="BI286" s="421" t="s">
        <v>1167</v>
      </c>
    </row>
    <row r="287" spans="1:61" x14ac:dyDescent="0.25">
      <c r="A287" s="421">
        <v>284</v>
      </c>
      <c r="B287" s="421">
        <v>2015</v>
      </c>
      <c r="C287" s="421">
        <v>5</v>
      </c>
      <c r="D287" s="421">
        <v>22</v>
      </c>
      <c r="E287" s="421" t="s">
        <v>1475</v>
      </c>
      <c r="F287" s="421" t="s">
        <v>3090</v>
      </c>
      <c r="G287" s="421" t="s">
        <v>3507</v>
      </c>
      <c r="H287" s="421" t="s">
        <v>1107</v>
      </c>
      <c r="I287" s="421" t="s">
        <v>1874</v>
      </c>
      <c r="J287" s="421" t="s">
        <v>3577</v>
      </c>
      <c r="K287" s="421" t="s">
        <v>3093</v>
      </c>
      <c r="L287" s="421" t="s">
        <v>3094</v>
      </c>
      <c r="M287" s="421" t="s">
        <v>2667</v>
      </c>
      <c r="N287" s="421" t="s">
        <v>3093</v>
      </c>
      <c r="O287" s="421" t="s">
        <v>3094</v>
      </c>
      <c r="P287" s="421" t="s">
        <v>3095</v>
      </c>
      <c r="Q287" s="421" t="s">
        <v>3113</v>
      </c>
      <c r="R287" s="421" t="s">
        <v>1108</v>
      </c>
      <c r="S287" s="421" t="s">
        <v>1108</v>
      </c>
      <c r="T287" s="421" t="s">
        <v>1130</v>
      </c>
      <c r="U287" s="421" t="s">
        <v>1112</v>
      </c>
      <c r="V287" s="421" t="s">
        <v>3097</v>
      </c>
      <c r="W287" s="421" t="s">
        <v>3098</v>
      </c>
      <c r="X287" s="421" t="s">
        <v>3099</v>
      </c>
      <c r="Y287" s="421" t="s">
        <v>1117</v>
      </c>
      <c r="Z287" s="421" t="s">
        <v>1118</v>
      </c>
      <c r="AA287" s="421" t="s">
        <v>3100</v>
      </c>
      <c r="AB287" s="421" t="s">
        <v>3101</v>
      </c>
      <c r="AC287" s="421" t="s">
        <v>3102</v>
      </c>
      <c r="AD287" s="421" t="s">
        <v>3265</v>
      </c>
      <c r="AE287" s="421" t="s">
        <v>3578</v>
      </c>
      <c r="AF287" s="421" t="s">
        <v>2236</v>
      </c>
      <c r="AG287" s="421" t="s">
        <v>2237</v>
      </c>
      <c r="AH287" s="421" t="s">
        <v>3105</v>
      </c>
      <c r="AI287" s="421">
        <v>132000</v>
      </c>
      <c r="AJ287" s="421">
        <v>382.91</v>
      </c>
      <c r="AK287" s="421">
        <v>415.69</v>
      </c>
      <c r="AL287" s="421">
        <v>3</v>
      </c>
      <c r="AM287" s="421" t="s">
        <v>3130</v>
      </c>
      <c r="AN287" s="421" t="s">
        <v>3130</v>
      </c>
      <c r="AO287" s="421" t="s">
        <v>1121</v>
      </c>
      <c r="AP287" s="421" t="s">
        <v>1121</v>
      </c>
      <c r="AQ287" s="421" t="s">
        <v>1108</v>
      </c>
      <c r="AR287" s="421" t="s">
        <v>3561</v>
      </c>
      <c r="AS287" s="421" t="s">
        <v>3579</v>
      </c>
      <c r="AT287" s="421" t="s">
        <v>3109</v>
      </c>
      <c r="AU287" s="421" t="s">
        <v>1142</v>
      </c>
      <c r="AV287" s="421" t="s">
        <v>3174</v>
      </c>
      <c r="AW287" s="421" t="s">
        <v>3110</v>
      </c>
      <c r="AX287" s="421" t="s">
        <v>3111</v>
      </c>
      <c r="AY287" s="421" t="s">
        <v>3112</v>
      </c>
      <c r="AZ287" s="421" t="s">
        <v>3113</v>
      </c>
      <c r="BA287" s="421" t="s">
        <v>3114</v>
      </c>
      <c r="BB287" s="421" t="s">
        <v>3115</v>
      </c>
      <c r="BC287" s="421">
        <v>11049</v>
      </c>
      <c r="BD287" s="421">
        <v>27505270.109999999</v>
      </c>
      <c r="BE287" s="421">
        <v>0</v>
      </c>
      <c r="BF287" s="421">
        <v>121.85</v>
      </c>
      <c r="BG287" s="421">
        <v>27.93</v>
      </c>
      <c r="BH287" s="421">
        <v>0</v>
      </c>
      <c r="BI287" s="421" t="s">
        <v>1167</v>
      </c>
    </row>
    <row r="288" spans="1:61" x14ac:dyDescent="0.25">
      <c r="A288" s="421">
        <v>285</v>
      </c>
      <c r="B288" s="421">
        <v>2015</v>
      </c>
      <c r="C288" s="421">
        <v>5</v>
      </c>
      <c r="D288" s="421">
        <v>25</v>
      </c>
      <c r="E288" s="421" t="s">
        <v>1475</v>
      </c>
      <c r="F288" s="421" t="s">
        <v>3090</v>
      </c>
      <c r="G288" s="421" t="s">
        <v>3307</v>
      </c>
      <c r="H288" s="421" t="s">
        <v>1107</v>
      </c>
      <c r="I288" s="421" t="s">
        <v>1953</v>
      </c>
      <c r="J288" s="421" t="s">
        <v>3584</v>
      </c>
      <c r="K288" s="421" t="s">
        <v>3093</v>
      </c>
      <c r="L288" s="421" t="s">
        <v>3094</v>
      </c>
      <c r="M288" s="421" t="s">
        <v>2667</v>
      </c>
      <c r="N288" s="421" t="s">
        <v>3093</v>
      </c>
      <c r="O288" s="421" t="s">
        <v>3094</v>
      </c>
      <c r="P288" s="421" t="s">
        <v>3095</v>
      </c>
      <c r="Q288" s="421" t="s">
        <v>3113</v>
      </c>
      <c r="R288" s="421" t="s">
        <v>1108</v>
      </c>
      <c r="S288" s="421" t="s">
        <v>1108</v>
      </c>
      <c r="T288" s="421" t="s">
        <v>1130</v>
      </c>
      <c r="U288" s="421" t="s">
        <v>3144</v>
      </c>
      <c r="V288" s="421" t="s">
        <v>3145</v>
      </c>
      <c r="W288" s="421" t="s">
        <v>3098</v>
      </c>
      <c r="X288" s="421" t="s">
        <v>3099</v>
      </c>
      <c r="Y288" s="421" t="s">
        <v>1117</v>
      </c>
      <c r="Z288" s="421" t="s">
        <v>1118</v>
      </c>
      <c r="AA288" s="421" t="s">
        <v>3100</v>
      </c>
      <c r="AB288" s="421" t="s">
        <v>3146</v>
      </c>
      <c r="AC288" s="421" t="s">
        <v>3102</v>
      </c>
      <c r="AD288" s="421" t="s">
        <v>3585</v>
      </c>
      <c r="AE288" s="421" t="s">
        <v>3586</v>
      </c>
      <c r="AF288" s="421" t="s">
        <v>2236</v>
      </c>
      <c r="AG288" s="421" t="s">
        <v>2237</v>
      </c>
      <c r="AH288" s="421" t="s">
        <v>3105</v>
      </c>
      <c r="AI288" s="421">
        <v>626600</v>
      </c>
      <c r="AJ288" s="421">
        <v>1583.52</v>
      </c>
      <c r="AK288" s="421">
        <v>1730</v>
      </c>
      <c r="AL288" s="421">
        <v>1</v>
      </c>
      <c r="AM288" s="421" t="s">
        <v>3587</v>
      </c>
      <c r="AN288" s="421" t="s">
        <v>3588</v>
      </c>
      <c r="AO288" s="421" t="s">
        <v>1121</v>
      </c>
      <c r="AP288" s="421" t="s">
        <v>1121</v>
      </c>
      <c r="AQ288" s="421" t="s">
        <v>1108</v>
      </c>
      <c r="AR288" s="421" t="s">
        <v>3561</v>
      </c>
      <c r="AS288" s="421" t="s">
        <v>3589</v>
      </c>
      <c r="AT288" s="421" t="s">
        <v>3109</v>
      </c>
      <c r="AU288" s="421" t="s">
        <v>1341</v>
      </c>
      <c r="AV288" s="421" t="s">
        <v>2037</v>
      </c>
      <c r="AW288" s="421" t="s">
        <v>3110</v>
      </c>
      <c r="AX288" s="421" t="s">
        <v>3111</v>
      </c>
      <c r="AY288" s="421" t="s">
        <v>3112</v>
      </c>
      <c r="AZ288" s="421" t="s">
        <v>3113</v>
      </c>
      <c r="BA288" s="421" t="s">
        <v>3114</v>
      </c>
      <c r="BB288" s="421" t="s">
        <v>3115</v>
      </c>
      <c r="BC288" s="421">
        <v>25638.3</v>
      </c>
      <c r="BD288" s="421">
        <v>64101390.43</v>
      </c>
      <c r="BE288" s="421">
        <v>0</v>
      </c>
      <c r="BF288" s="421">
        <v>0</v>
      </c>
      <c r="BG288" s="421">
        <v>0</v>
      </c>
      <c r="BH288" s="421">
        <v>0</v>
      </c>
      <c r="BI288" s="421" t="s">
        <v>1331</v>
      </c>
    </row>
    <row r="289" spans="1:61" x14ac:dyDescent="0.25">
      <c r="A289" s="421">
        <v>286</v>
      </c>
      <c r="B289" s="421">
        <v>2015</v>
      </c>
      <c r="C289" s="421">
        <v>5</v>
      </c>
      <c r="D289" s="421">
        <v>25</v>
      </c>
      <c r="E289" s="421" t="s">
        <v>1475</v>
      </c>
      <c r="F289" s="421" t="s">
        <v>3090</v>
      </c>
      <c r="G289" s="421" t="s">
        <v>3307</v>
      </c>
      <c r="H289" s="421" t="s">
        <v>1107</v>
      </c>
      <c r="I289" s="421" t="s">
        <v>1953</v>
      </c>
      <c r="J289" s="421" t="s">
        <v>3590</v>
      </c>
      <c r="K289" s="421" t="s">
        <v>3093</v>
      </c>
      <c r="L289" s="421" t="s">
        <v>3094</v>
      </c>
      <c r="M289" s="421" t="s">
        <v>2667</v>
      </c>
      <c r="N289" s="421" t="s">
        <v>3093</v>
      </c>
      <c r="O289" s="421" t="s">
        <v>3094</v>
      </c>
      <c r="P289" s="421" t="s">
        <v>3095</v>
      </c>
      <c r="Q289" s="421" t="s">
        <v>3096</v>
      </c>
      <c r="R289" s="421" t="s">
        <v>1108</v>
      </c>
      <c r="S289" s="421" t="s">
        <v>1476</v>
      </c>
      <c r="T289" s="421" t="s">
        <v>1130</v>
      </c>
      <c r="U289" s="421" t="s">
        <v>3144</v>
      </c>
      <c r="V289" s="421" t="s">
        <v>3145</v>
      </c>
      <c r="W289" s="421" t="s">
        <v>3098</v>
      </c>
      <c r="X289" s="421" t="s">
        <v>3099</v>
      </c>
      <c r="Y289" s="421" t="s">
        <v>1117</v>
      </c>
      <c r="Z289" s="421" t="s">
        <v>1118</v>
      </c>
      <c r="AA289" s="421" t="s">
        <v>3100</v>
      </c>
      <c r="AB289" s="421" t="s">
        <v>3146</v>
      </c>
      <c r="AC289" s="421" t="s">
        <v>3102</v>
      </c>
      <c r="AD289" s="421" t="s">
        <v>3125</v>
      </c>
      <c r="AE289" s="421" t="s">
        <v>3147</v>
      </c>
      <c r="AF289" s="421" t="s">
        <v>2236</v>
      </c>
      <c r="AG289" s="421" t="s">
        <v>2237</v>
      </c>
      <c r="AH289" s="421" t="s">
        <v>3105</v>
      </c>
      <c r="AI289" s="421">
        <v>102800</v>
      </c>
      <c r="AJ289" s="421">
        <v>249.47</v>
      </c>
      <c r="AK289" s="421">
        <v>295</v>
      </c>
      <c r="AL289" s="421">
        <v>1</v>
      </c>
      <c r="AM289" s="421" t="s">
        <v>962</v>
      </c>
      <c r="AN289" s="421" t="s">
        <v>3127</v>
      </c>
      <c r="AO289" s="421" t="s">
        <v>1121</v>
      </c>
      <c r="AP289" s="421" t="s">
        <v>1121</v>
      </c>
      <c r="AQ289" s="421" t="s">
        <v>1476</v>
      </c>
      <c r="AR289" s="421" t="s">
        <v>3561</v>
      </c>
      <c r="AS289" s="421" t="s">
        <v>3591</v>
      </c>
      <c r="AT289" s="421" t="s">
        <v>3109</v>
      </c>
      <c r="AU289" s="421" t="s">
        <v>1341</v>
      </c>
      <c r="AV289" s="421" t="s">
        <v>962</v>
      </c>
      <c r="AW289" s="421" t="s">
        <v>3110</v>
      </c>
      <c r="AX289" s="421" t="s">
        <v>3111</v>
      </c>
      <c r="AY289" s="421" t="s">
        <v>3112</v>
      </c>
      <c r="AZ289" s="421" t="s">
        <v>3113</v>
      </c>
      <c r="BA289" s="421" t="s">
        <v>3114</v>
      </c>
      <c r="BB289" s="421" t="s">
        <v>3115</v>
      </c>
      <c r="BC289" s="421">
        <v>5872</v>
      </c>
      <c r="BD289" s="421">
        <v>14681291.84</v>
      </c>
      <c r="BE289" s="421">
        <v>0</v>
      </c>
      <c r="BF289" s="421">
        <v>791.89</v>
      </c>
      <c r="BG289" s="421">
        <v>0</v>
      </c>
      <c r="BH289" s="421">
        <v>0</v>
      </c>
      <c r="BI289" s="421" t="s">
        <v>1149</v>
      </c>
    </row>
    <row r="290" spans="1:61" x14ac:dyDescent="0.25">
      <c r="A290" s="421">
        <v>287</v>
      </c>
      <c r="B290" s="421">
        <v>2015</v>
      </c>
      <c r="C290" s="421">
        <v>5</v>
      </c>
      <c r="D290" s="421">
        <v>25</v>
      </c>
      <c r="E290" s="421" t="s">
        <v>1475</v>
      </c>
      <c r="F290" s="421" t="s">
        <v>3090</v>
      </c>
      <c r="G290" s="421" t="s">
        <v>3307</v>
      </c>
      <c r="H290" s="421" t="s">
        <v>1107</v>
      </c>
      <c r="I290" s="421" t="s">
        <v>1953</v>
      </c>
      <c r="J290" s="421" t="s">
        <v>3592</v>
      </c>
      <c r="K290" s="421" t="s">
        <v>3093</v>
      </c>
      <c r="L290" s="421" t="s">
        <v>3094</v>
      </c>
      <c r="M290" s="421" t="s">
        <v>2667</v>
      </c>
      <c r="N290" s="421" t="s">
        <v>3093</v>
      </c>
      <c r="O290" s="421" t="s">
        <v>3094</v>
      </c>
      <c r="P290" s="421" t="s">
        <v>3095</v>
      </c>
      <c r="Q290" s="421" t="s">
        <v>3113</v>
      </c>
      <c r="R290" s="421" t="s">
        <v>1108</v>
      </c>
      <c r="S290" s="421" t="s">
        <v>1108</v>
      </c>
      <c r="T290" s="421" t="s">
        <v>1130</v>
      </c>
      <c r="U290" s="421" t="s">
        <v>3144</v>
      </c>
      <c r="V290" s="421" t="s">
        <v>3145</v>
      </c>
      <c r="W290" s="421" t="s">
        <v>3098</v>
      </c>
      <c r="X290" s="421" t="s">
        <v>3099</v>
      </c>
      <c r="Y290" s="421" t="s">
        <v>1117</v>
      </c>
      <c r="Z290" s="421" t="s">
        <v>1118</v>
      </c>
      <c r="AA290" s="421" t="s">
        <v>3100</v>
      </c>
      <c r="AB290" s="421" t="s">
        <v>3146</v>
      </c>
      <c r="AC290" s="421" t="s">
        <v>3102</v>
      </c>
      <c r="AD290" s="421" t="s">
        <v>3340</v>
      </c>
      <c r="AE290" s="421" t="s">
        <v>3341</v>
      </c>
      <c r="AF290" s="421" t="s">
        <v>2236</v>
      </c>
      <c r="AG290" s="421" t="s">
        <v>2237</v>
      </c>
      <c r="AH290" s="421" t="s">
        <v>3105</v>
      </c>
      <c r="AI290" s="421">
        <v>74925</v>
      </c>
      <c r="AJ290" s="421">
        <v>493.45</v>
      </c>
      <c r="AK290" s="421">
        <v>536</v>
      </c>
      <c r="AL290" s="421">
        <v>1</v>
      </c>
      <c r="AM290" s="421" t="s">
        <v>3342</v>
      </c>
      <c r="AN290" s="421" t="s">
        <v>3343</v>
      </c>
      <c r="AO290" s="421" t="s">
        <v>1121</v>
      </c>
      <c r="AP290" s="421" t="s">
        <v>1121</v>
      </c>
      <c r="AQ290" s="421" t="s">
        <v>1476</v>
      </c>
      <c r="AR290" s="421" t="s">
        <v>3561</v>
      </c>
      <c r="AS290" s="421" t="s">
        <v>3593</v>
      </c>
      <c r="AT290" s="421" t="s">
        <v>3109</v>
      </c>
      <c r="AU290" s="421" t="s">
        <v>1341</v>
      </c>
      <c r="AV290" s="421" t="s">
        <v>3157</v>
      </c>
      <c r="AW290" s="421" t="s">
        <v>3110</v>
      </c>
      <c r="AX290" s="421" t="s">
        <v>3111</v>
      </c>
      <c r="AY290" s="421" t="s">
        <v>3112</v>
      </c>
      <c r="AZ290" s="421" t="s">
        <v>3113</v>
      </c>
      <c r="BA290" s="421" t="s">
        <v>3114</v>
      </c>
      <c r="BB290" s="421" t="s">
        <v>3115</v>
      </c>
      <c r="BC290" s="421">
        <v>7698.87</v>
      </c>
      <c r="BD290" s="421">
        <v>19248868.75</v>
      </c>
      <c r="BE290" s="421">
        <v>0</v>
      </c>
      <c r="BF290" s="421">
        <v>812.98</v>
      </c>
      <c r="BG290" s="421">
        <v>21.28</v>
      </c>
      <c r="BH290" s="421">
        <v>0</v>
      </c>
      <c r="BI290" s="421" t="s">
        <v>1149</v>
      </c>
    </row>
    <row r="291" spans="1:61" x14ac:dyDescent="0.25">
      <c r="A291" s="421">
        <v>288</v>
      </c>
      <c r="B291" s="421">
        <v>2015</v>
      </c>
      <c r="C291" s="421">
        <v>5</v>
      </c>
      <c r="D291" s="421">
        <v>25</v>
      </c>
      <c r="E291" s="421" t="s">
        <v>1475</v>
      </c>
      <c r="F291" s="421" t="s">
        <v>3090</v>
      </c>
      <c r="G291" s="421" t="s">
        <v>3307</v>
      </c>
      <c r="H291" s="421" t="s">
        <v>1107</v>
      </c>
      <c r="I291" s="421" t="s">
        <v>1953</v>
      </c>
      <c r="J291" s="421" t="s">
        <v>3594</v>
      </c>
      <c r="K291" s="421" t="s">
        <v>3093</v>
      </c>
      <c r="L291" s="421" t="s">
        <v>3094</v>
      </c>
      <c r="M291" s="421" t="s">
        <v>2667</v>
      </c>
      <c r="N291" s="421" t="s">
        <v>3093</v>
      </c>
      <c r="O291" s="421" t="s">
        <v>3094</v>
      </c>
      <c r="P291" s="421" t="s">
        <v>3095</v>
      </c>
      <c r="Q291" s="421" t="s">
        <v>3113</v>
      </c>
      <c r="R291" s="421" t="s">
        <v>1108</v>
      </c>
      <c r="S291" s="421" t="s">
        <v>1108</v>
      </c>
      <c r="T291" s="421" t="s">
        <v>1130</v>
      </c>
      <c r="U291" s="421" t="s">
        <v>3595</v>
      </c>
      <c r="V291" s="421" t="s">
        <v>3596</v>
      </c>
      <c r="W291" s="421" t="s">
        <v>3098</v>
      </c>
      <c r="X291" s="421" t="s">
        <v>3099</v>
      </c>
      <c r="Y291" s="421" t="s">
        <v>1117</v>
      </c>
      <c r="Z291" s="421" t="s">
        <v>1118</v>
      </c>
      <c r="AA291" s="421" t="s">
        <v>3597</v>
      </c>
      <c r="AB291" s="421" t="s">
        <v>3598</v>
      </c>
      <c r="AC291" s="421" t="s">
        <v>3102</v>
      </c>
      <c r="AD291" s="421" t="s">
        <v>3599</v>
      </c>
      <c r="AE291" s="421" t="s">
        <v>3600</v>
      </c>
      <c r="AF291" s="421" t="s">
        <v>2236</v>
      </c>
      <c r="AG291" s="421" t="s">
        <v>2237</v>
      </c>
      <c r="AH291" s="421" t="s">
        <v>3105</v>
      </c>
      <c r="AI291" s="421">
        <v>1060</v>
      </c>
      <c r="AJ291" s="421">
        <v>310.13</v>
      </c>
      <c r="AK291" s="421">
        <v>330</v>
      </c>
      <c r="AL291" s="421">
        <v>1</v>
      </c>
      <c r="AM291" s="421" t="s">
        <v>3601</v>
      </c>
      <c r="AN291" s="421" t="s">
        <v>3602</v>
      </c>
      <c r="AO291" s="421" t="s">
        <v>1121</v>
      </c>
      <c r="AP291" s="421" t="s">
        <v>1121</v>
      </c>
      <c r="AQ291" s="421" t="s">
        <v>1108</v>
      </c>
      <c r="AR291" s="421" t="s">
        <v>3561</v>
      </c>
      <c r="AS291" s="421" t="s">
        <v>3603</v>
      </c>
      <c r="AT291" s="421" t="s">
        <v>3109</v>
      </c>
      <c r="AU291" s="421" t="s">
        <v>1341</v>
      </c>
      <c r="AV291" s="421" t="s">
        <v>3157</v>
      </c>
      <c r="AW291" s="421" t="s">
        <v>3110</v>
      </c>
      <c r="AX291" s="421" t="s">
        <v>3111</v>
      </c>
      <c r="AY291" s="421" t="s">
        <v>3112</v>
      </c>
      <c r="AZ291" s="421" t="s">
        <v>3113</v>
      </c>
      <c r="BA291" s="421" t="s">
        <v>3114</v>
      </c>
      <c r="BB291" s="421" t="s">
        <v>3115</v>
      </c>
      <c r="BC291" s="421">
        <v>4023.5</v>
      </c>
      <c r="BD291" s="421">
        <v>10059635.17</v>
      </c>
      <c r="BE291" s="421">
        <v>0</v>
      </c>
      <c r="BF291" s="421">
        <v>1301.83</v>
      </c>
      <c r="BG291" s="421">
        <v>13.31</v>
      </c>
      <c r="BH291" s="421">
        <v>0</v>
      </c>
      <c r="BI291" s="421" t="s">
        <v>1331</v>
      </c>
    </row>
    <row r="292" spans="1:61" x14ac:dyDescent="0.25">
      <c r="A292" s="421">
        <v>289</v>
      </c>
      <c r="B292" s="421">
        <v>2015</v>
      </c>
      <c r="C292" s="421">
        <v>5</v>
      </c>
      <c r="D292" s="421">
        <v>28</v>
      </c>
      <c r="E292" s="421" t="s">
        <v>1475</v>
      </c>
      <c r="F292" s="421" t="s">
        <v>3090</v>
      </c>
      <c r="G292" s="421" t="s">
        <v>3206</v>
      </c>
      <c r="H292" s="421" t="s">
        <v>1107</v>
      </c>
      <c r="I292" s="421" t="s">
        <v>1955</v>
      </c>
      <c r="J292" s="421" t="s">
        <v>3604</v>
      </c>
      <c r="K292" s="421" t="s">
        <v>3093</v>
      </c>
      <c r="L292" s="421" t="s">
        <v>3094</v>
      </c>
      <c r="M292" s="421" t="s">
        <v>2667</v>
      </c>
      <c r="N292" s="421" t="s">
        <v>3093</v>
      </c>
      <c r="O292" s="421" t="s">
        <v>3094</v>
      </c>
      <c r="P292" s="421" t="s">
        <v>3095</v>
      </c>
      <c r="Q292" s="421" t="s">
        <v>3113</v>
      </c>
      <c r="R292" s="421" t="s">
        <v>1108</v>
      </c>
      <c r="S292" s="421" t="s">
        <v>1108</v>
      </c>
      <c r="T292" s="421" t="s">
        <v>1130</v>
      </c>
      <c r="U292" s="421" t="s">
        <v>1112</v>
      </c>
      <c r="V292" s="421" t="s">
        <v>3097</v>
      </c>
      <c r="W292" s="421" t="s">
        <v>3098</v>
      </c>
      <c r="X292" s="421" t="s">
        <v>3099</v>
      </c>
      <c r="Y292" s="421" t="s">
        <v>1117</v>
      </c>
      <c r="Z292" s="421" t="s">
        <v>1118</v>
      </c>
      <c r="AA292" s="421" t="s">
        <v>3100</v>
      </c>
      <c r="AB292" s="421" t="s">
        <v>3101</v>
      </c>
      <c r="AC292" s="421" t="s">
        <v>3102</v>
      </c>
      <c r="AD292" s="421" t="s">
        <v>3537</v>
      </c>
      <c r="AE292" s="421" t="s">
        <v>3239</v>
      </c>
      <c r="AF292" s="421" t="s">
        <v>2236</v>
      </c>
      <c r="AG292" s="421" t="s">
        <v>2237</v>
      </c>
      <c r="AH292" s="421" t="s">
        <v>3105</v>
      </c>
      <c r="AI292" s="421">
        <v>24000</v>
      </c>
      <c r="AJ292" s="421">
        <v>54.66</v>
      </c>
      <c r="AK292" s="421">
        <v>59.54</v>
      </c>
      <c r="AL292" s="421">
        <v>3</v>
      </c>
      <c r="AM292" s="421" t="s">
        <v>960</v>
      </c>
      <c r="AN292" s="421" t="s">
        <v>3240</v>
      </c>
      <c r="AO292" s="421" t="s">
        <v>1121</v>
      </c>
      <c r="AP292" s="421" t="s">
        <v>1121</v>
      </c>
      <c r="AQ292" s="421" t="s">
        <v>1108</v>
      </c>
      <c r="AR292" s="421" t="s">
        <v>3561</v>
      </c>
      <c r="AS292" s="421" t="s">
        <v>3605</v>
      </c>
      <c r="AT292" s="421" t="s">
        <v>3109</v>
      </c>
      <c r="AU292" s="421" t="s">
        <v>1142</v>
      </c>
      <c r="AV292" s="421" t="s">
        <v>2037</v>
      </c>
      <c r="AW292" s="421" t="s">
        <v>3110</v>
      </c>
      <c r="AX292" s="421" t="s">
        <v>3131</v>
      </c>
      <c r="AY292" s="421" t="s">
        <v>3112</v>
      </c>
      <c r="AZ292" s="421" t="s">
        <v>3113</v>
      </c>
      <c r="BA292" s="421" t="s">
        <v>3114</v>
      </c>
      <c r="BB292" s="421" t="s">
        <v>3115</v>
      </c>
      <c r="BC292" s="421">
        <v>2640</v>
      </c>
      <c r="BD292" s="421">
        <v>6727063.2000000002</v>
      </c>
      <c r="BE292" s="421">
        <v>0</v>
      </c>
      <c r="BF292" s="421">
        <v>13.53</v>
      </c>
      <c r="BG292" s="421">
        <v>6.63</v>
      </c>
      <c r="BH292" s="421">
        <v>0</v>
      </c>
      <c r="BI292" s="421" t="s">
        <v>1167</v>
      </c>
    </row>
    <row r="293" spans="1:61" x14ac:dyDescent="0.25">
      <c r="A293" s="421">
        <v>290</v>
      </c>
      <c r="B293" s="421">
        <v>2015</v>
      </c>
      <c r="C293" s="421">
        <v>5</v>
      </c>
      <c r="D293" s="421">
        <v>28</v>
      </c>
      <c r="E293" s="421" t="s">
        <v>1475</v>
      </c>
      <c r="F293" s="421" t="s">
        <v>3090</v>
      </c>
      <c r="G293" s="421" t="s">
        <v>3206</v>
      </c>
      <c r="H293" s="421" t="s">
        <v>1107</v>
      </c>
      <c r="I293" s="421" t="s">
        <v>1955</v>
      </c>
      <c r="J293" s="421" t="s">
        <v>3606</v>
      </c>
      <c r="K293" s="421" t="s">
        <v>3093</v>
      </c>
      <c r="L293" s="421" t="s">
        <v>3094</v>
      </c>
      <c r="M293" s="421" t="s">
        <v>2667</v>
      </c>
      <c r="N293" s="421" t="s">
        <v>3093</v>
      </c>
      <c r="O293" s="421" t="s">
        <v>3094</v>
      </c>
      <c r="P293" s="421" t="s">
        <v>3095</v>
      </c>
      <c r="Q293" s="421" t="s">
        <v>3113</v>
      </c>
      <c r="R293" s="421" t="s">
        <v>1108</v>
      </c>
      <c r="S293" s="421" t="s">
        <v>1108</v>
      </c>
      <c r="T293" s="421" t="s">
        <v>1130</v>
      </c>
      <c r="U293" s="421" t="s">
        <v>1112</v>
      </c>
      <c r="V293" s="421" t="s">
        <v>3097</v>
      </c>
      <c r="W293" s="421" t="s">
        <v>3098</v>
      </c>
      <c r="X293" s="421" t="s">
        <v>3099</v>
      </c>
      <c r="Y293" s="421" t="s">
        <v>1117</v>
      </c>
      <c r="Z293" s="421" t="s">
        <v>1118</v>
      </c>
      <c r="AA293" s="421" t="s">
        <v>3100</v>
      </c>
      <c r="AB293" s="421" t="s">
        <v>3101</v>
      </c>
      <c r="AC293" s="421" t="s">
        <v>3102</v>
      </c>
      <c r="AD293" s="421" t="s">
        <v>3537</v>
      </c>
      <c r="AE293" s="421" t="s">
        <v>3239</v>
      </c>
      <c r="AF293" s="421" t="s">
        <v>1512</v>
      </c>
      <c r="AG293" s="421" t="s">
        <v>1513</v>
      </c>
      <c r="AH293" s="421" t="s">
        <v>3105</v>
      </c>
      <c r="AI293" s="421">
        <v>400</v>
      </c>
      <c r="AJ293" s="421">
        <v>2.74</v>
      </c>
      <c r="AK293" s="421">
        <v>2.9</v>
      </c>
      <c r="AL293" s="421">
        <v>1</v>
      </c>
      <c r="AM293" s="421" t="s">
        <v>960</v>
      </c>
      <c r="AN293" s="421" t="s">
        <v>3240</v>
      </c>
      <c r="AO293" s="421" t="s">
        <v>1121</v>
      </c>
      <c r="AP293" s="421" t="s">
        <v>1121</v>
      </c>
      <c r="AQ293" s="421" t="s">
        <v>1108</v>
      </c>
      <c r="AR293" s="421" t="s">
        <v>3561</v>
      </c>
      <c r="AS293" s="421" t="s">
        <v>3607</v>
      </c>
      <c r="AT293" s="421" t="s">
        <v>3109</v>
      </c>
      <c r="AU293" s="421" t="s">
        <v>1142</v>
      </c>
      <c r="AV293" s="421" t="s">
        <v>2037</v>
      </c>
      <c r="AW293" s="421" t="s">
        <v>3110</v>
      </c>
      <c r="AX293" s="421" t="s">
        <v>3229</v>
      </c>
      <c r="AY293" s="421" t="s">
        <v>3112</v>
      </c>
      <c r="AZ293" s="421" t="s">
        <v>3113</v>
      </c>
      <c r="BA293" s="421" t="s">
        <v>3114</v>
      </c>
      <c r="BB293" s="421" t="s">
        <v>3230</v>
      </c>
      <c r="BC293" s="421">
        <v>20</v>
      </c>
      <c r="BD293" s="421">
        <v>50962.6</v>
      </c>
      <c r="BE293" s="421">
        <v>0</v>
      </c>
      <c r="BF293" s="421">
        <v>0</v>
      </c>
      <c r="BG293" s="421">
        <v>0</v>
      </c>
      <c r="BH293" s="421">
        <v>0</v>
      </c>
      <c r="BI293" s="421" t="s">
        <v>1167</v>
      </c>
    </row>
    <row r="294" spans="1:61" x14ac:dyDescent="0.25">
      <c r="A294" s="421">
        <v>291</v>
      </c>
      <c r="B294" s="421">
        <v>2015</v>
      </c>
      <c r="C294" s="421">
        <v>5</v>
      </c>
      <c r="D294" s="421">
        <v>28</v>
      </c>
      <c r="E294" s="421" t="s">
        <v>1475</v>
      </c>
      <c r="F294" s="421" t="s">
        <v>3090</v>
      </c>
      <c r="G294" s="421" t="s">
        <v>3206</v>
      </c>
      <c r="H294" s="421" t="s">
        <v>1107</v>
      </c>
      <c r="I294" s="421" t="s">
        <v>1955</v>
      </c>
      <c r="J294" s="421" t="s">
        <v>3604</v>
      </c>
      <c r="K294" s="421" t="s">
        <v>3093</v>
      </c>
      <c r="L294" s="421" t="s">
        <v>3094</v>
      </c>
      <c r="M294" s="421" t="s">
        <v>2667</v>
      </c>
      <c r="N294" s="421" t="s">
        <v>3093</v>
      </c>
      <c r="O294" s="421" t="s">
        <v>3094</v>
      </c>
      <c r="P294" s="421" t="s">
        <v>3095</v>
      </c>
      <c r="Q294" s="421" t="s">
        <v>3113</v>
      </c>
      <c r="R294" s="421" t="s">
        <v>1108</v>
      </c>
      <c r="S294" s="421" t="s">
        <v>1108</v>
      </c>
      <c r="T294" s="421" t="s">
        <v>1130</v>
      </c>
      <c r="U294" s="421" t="s">
        <v>1112</v>
      </c>
      <c r="V294" s="421" t="s">
        <v>3097</v>
      </c>
      <c r="W294" s="421" t="s">
        <v>3098</v>
      </c>
      <c r="X294" s="421" t="s">
        <v>3099</v>
      </c>
      <c r="Y294" s="421" t="s">
        <v>1117</v>
      </c>
      <c r="Z294" s="421" t="s">
        <v>1118</v>
      </c>
      <c r="AA294" s="421" t="s">
        <v>3100</v>
      </c>
      <c r="AB294" s="421" t="s">
        <v>3101</v>
      </c>
      <c r="AC294" s="421" t="s">
        <v>3102</v>
      </c>
      <c r="AD294" s="421" t="s">
        <v>3537</v>
      </c>
      <c r="AE294" s="421" t="s">
        <v>3239</v>
      </c>
      <c r="AF294" s="421" t="s">
        <v>2236</v>
      </c>
      <c r="AG294" s="421" t="s">
        <v>2237</v>
      </c>
      <c r="AH294" s="421" t="s">
        <v>3105</v>
      </c>
      <c r="AI294" s="421">
        <v>6372000</v>
      </c>
      <c r="AJ294" s="421">
        <v>13306.66</v>
      </c>
      <c r="AK294" s="421">
        <v>14494.99</v>
      </c>
      <c r="AL294" s="421">
        <v>1</v>
      </c>
      <c r="AM294" s="421" t="s">
        <v>960</v>
      </c>
      <c r="AN294" s="421" t="s">
        <v>3240</v>
      </c>
      <c r="AO294" s="421" t="s">
        <v>1121</v>
      </c>
      <c r="AP294" s="421" t="s">
        <v>1121</v>
      </c>
      <c r="AQ294" s="421" t="s">
        <v>1108</v>
      </c>
      <c r="AR294" s="421" t="s">
        <v>3561</v>
      </c>
      <c r="AS294" s="421" t="s">
        <v>3605</v>
      </c>
      <c r="AT294" s="421" t="s">
        <v>3109</v>
      </c>
      <c r="AU294" s="421" t="s">
        <v>1142</v>
      </c>
      <c r="AV294" s="421" t="s">
        <v>2037</v>
      </c>
      <c r="AW294" s="421" t="s">
        <v>3110</v>
      </c>
      <c r="AX294" s="421" t="s">
        <v>3131</v>
      </c>
      <c r="AY294" s="421" t="s">
        <v>3112</v>
      </c>
      <c r="AZ294" s="421" t="s">
        <v>3113</v>
      </c>
      <c r="BA294" s="421" t="s">
        <v>3114</v>
      </c>
      <c r="BB294" s="421" t="s">
        <v>3115</v>
      </c>
      <c r="BC294" s="421">
        <v>170070.5</v>
      </c>
      <c r="BD294" s="421">
        <v>433361743.17000002</v>
      </c>
      <c r="BE294" s="421">
        <v>0</v>
      </c>
      <c r="BF294" s="421">
        <v>871.74</v>
      </c>
      <c r="BG294" s="421">
        <v>427.36</v>
      </c>
      <c r="BH294" s="421">
        <v>0</v>
      </c>
      <c r="BI294" s="421" t="s">
        <v>1167</v>
      </c>
    </row>
    <row r="295" spans="1:61" x14ac:dyDescent="0.25">
      <c r="A295" s="421">
        <v>292</v>
      </c>
      <c r="B295" s="421">
        <v>2015</v>
      </c>
      <c r="C295" s="421">
        <v>5</v>
      </c>
      <c r="D295" s="421">
        <v>28</v>
      </c>
      <c r="E295" s="421" t="s">
        <v>1475</v>
      </c>
      <c r="F295" s="421" t="s">
        <v>3090</v>
      </c>
      <c r="G295" s="421" t="s">
        <v>3206</v>
      </c>
      <c r="H295" s="421" t="s">
        <v>1107</v>
      </c>
      <c r="I295" s="421" t="s">
        <v>1955</v>
      </c>
      <c r="J295" s="421" t="s">
        <v>3604</v>
      </c>
      <c r="K295" s="421" t="s">
        <v>3093</v>
      </c>
      <c r="L295" s="421" t="s">
        <v>3094</v>
      </c>
      <c r="M295" s="421" t="s">
        <v>2667</v>
      </c>
      <c r="N295" s="421" t="s">
        <v>3093</v>
      </c>
      <c r="O295" s="421" t="s">
        <v>3094</v>
      </c>
      <c r="P295" s="421" t="s">
        <v>3095</v>
      </c>
      <c r="Q295" s="421" t="s">
        <v>3113</v>
      </c>
      <c r="R295" s="421" t="s">
        <v>1108</v>
      </c>
      <c r="S295" s="421" t="s">
        <v>1108</v>
      </c>
      <c r="T295" s="421" t="s">
        <v>1130</v>
      </c>
      <c r="U295" s="421" t="s">
        <v>1112</v>
      </c>
      <c r="V295" s="421" t="s">
        <v>3097</v>
      </c>
      <c r="W295" s="421" t="s">
        <v>3098</v>
      </c>
      <c r="X295" s="421" t="s">
        <v>3099</v>
      </c>
      <c r="Y295" s="421" t="s">
        <v>1117</v>
      </c>
      <c r="Z295" s="421" t="s">
        <v>1118</v>
      </c>
      <c r="AA295" s="421" t="s">
        <v>3100</v>
      </c>
      <c r="AB295" s="421" t="s">
        <v>3101</v>
      </c>
      <c r="AC295" s="421" t="s">
        <v>3102</v>
      </c>
      <c r="AD295" s="421" t="s">
        <v>3537</v>
      </c>
      <c r="AE295" s="421" t="s">
        <v>3239</v>
      </c>
      <c r="AF295" s="421" t="s">
        <v>2236</v>
      </c>
      <c r="AG295" s="421" t="s">
        <v>2237</v>
      </c>
      <c r="AH295" s="421" t="s">
        <v>3105</v>
      </c>
      <c r="AI295" s="421">
        <v>333000</v>
      </c>
      <c r="AJ295" s="421">
        <v>614.24</v>
      </c>
      <c r="AK295" s="421">
        <v>669.09</v>
      </c>
      <c r="AL295" s="421">
        <v>2</v>
      </c>
      <c r="AM295" s="421" t="s">
        <v>960</v>
      </c>
      <c r="AN295" s="421" t="s">
        <v>3240</v>
      </c>
      <c r="AO295" s="421" t="s">
        <v>1121</v>
      </c>
      <c r="AP295" s="421" t="s">
        <v>1121</v>
      </c>
      <c r="AQ295" s="421" t="s">
        <v>1108</v>
      </c>
      <c r="AR295" s="421" t="s">
        <v>3561</v>
      </c>
      <c r="AS295" s="421" t="s">
        <v>3605</v>
      </c>
      <c r="AT295" s="421" t="s">
        <v>3109</v>
      </c>
      <c r="AU295" s="421" t="s">
        <v>1142</v>
      </c>
      <c r="AV295" s="421" t="s">
        <v>2037</v>
      </c>
      <c r="AW295" s="421" t="s">
        <v>3110</v>
      </c>
      <c r="AX295" s="421" t="s">
        <v>3131</v>
      </c>
      <c r="AY295" s="421" t="s">
        <v>3112</v>
      </c>
      <c r="AZ295" s="421" t="s">
        <v>3113</v>
      </c>
      <c r="BA295" s="421" t="s">
        <v>3114</v>
      </c>
      <c r="BB295" s="421" t="s">
        <v>3115</v>
      </c>
      <c r="BC295" s="421">
        <v>8725.5</v>
      </c>
      <c r="BD295" s="421">
        <v>22233708.32</v>
      </c>
      <c r="BE295" s="421">
        <v>0</v>
      </c>
      <c r="BF295" s="421">
        <v>44.72</v>
      </c>
      <c r="BG295" s="421">
        <v>21.93</v>
      </c>
      <c r="BH295" s="421">
        <v>0</v>
      </c>
      <c r="BI295" s="421" t="s">
        <v>1167</v>
      </c>
    </row>
    <row r="296" spans="1:61" x14ac:dyDescent="0.25">
      <c r="A296" s="421">
        <v>293</v>
      </c>
      <c r="B296" s="421">
        <v>2015</v>
      </c>
      <c r="C296" s="421">
        <v>5</v>
      </c>
      <c r="D296" s="421">
        <v>29</v>
      </c>
      <c r="E296" s="421" t="s">
        <v>1475</v>
      </c>
      <c r="F296" s="421" t="s">
        <v>3090</v>
      </c>
      <c r="G296" s="421" t="s">
        <v>3608</v>
      </c>
      <c r="H296" s="421" t="s">
        <v>1107</v>
      </c>
      <c r="I296" s="421" t="s">
        <v>1963</v>
      </c>
      <c r="J296" s="421" t="s">
        <v>3609</v>
      </c>
      <c r="K296" s="421" t="s">
        <v>3093</v>
      </c>
      <c r="L296" s="421" t="s">
        <v>3094</v>
      </c>
      <c r="M296" s="421" t="s">
        <v>2667</v>
      </c>
      <c r="N296" s="421" t="s">
        <v>3093</v>
      </c>
      <c r="O296" s="421" t="s">
        <v>3094</v>
      </c>
      <c r="P296" s="421" t="s">
        <v>3095</v>
      </c>
      <c r="Q296" s="421" t="s">
        <v>3113</v>
      </c>
      <c r="R296" s="421" t="s">
        <v>1108</v>
      </c>
      <c r="S296" s="421" t="s">
        <v>1108</v>
      </c>
      <c r="T296" s="421" t="s">
        <v>1130</v>
      </c>
      <c r="U296" s="421" t="s">
        <v>3144</v>
      </c>
      <c r="V296" s="421" t="s">
        <v>3145</v>
      </c>
      <c r="W296" s="421" t="s">
        <v>3098</v>
      </c>
      <c r="X296" s="421" t="s">
        <v>3099</v>
      </c>
      <c r="Y296" s="421" t="s">
        <v>1117</v>
      </c>
      <c r="Z296" s="421" t="s">
        <v>1118</v>
      </c>
      <c r="AA296" s="421" t="s">
        <v>3100</v>
      </c>
      <c r="AB296" s="421" t="s">
        <v>3146</v>
      </c>
      <c r="AC296" s="421" t="s">
        <v>3102</v>
      </c>
      <c r="AD296" s="421" t="s">
        <v>3327</v>
      </c>
      <c r="AE296" s="421" t="s">
        <v>3328</v>
      </c>
      <c r="AF296" s="421" t="s">
        <v>2236</v>
      </c>
      <c r="AG296" s="421" t="s">
        <v>2237</v>
      </c>
      <c r="AH296" s="421" t="s">
        <v>3105</v>
      </c>
      <c r="AI296" s="421">
        <v>357700</v>
      </c>
      <c r="AJ296" s="421">
        <v>1075.83</v>
      </c>
      <c r="AK296" s="421">
        <v>1175</v>
      </c>
      <c r="AL296" s="421">
        <v>1</v>
      </c>
      <c r="AM296" s="421" t="s">
        <v>3329</v>
      </c>
      <c r="AN296" s="421" t="s">
        <v>3330</v>
      </c>
      <c r="AO296" s="421" t="s">
        <v>1121</v>
      </c>
      <c r="AP296" s="421" t="s">
        <v>1121</v>
      </c>
      <c r="AQ296" s="421" t="s">
        <v>1476</v>
      </c>
      <c r="AR296" s="421" t="s">
        <v>3561</v>
      </c>
      <c r="AS296" s="421" t="s">
        <v>3610</v>
      </c>
      <c r="AT296" s="421" t="s">
        <v>3109</v>
      </c>
      <c r="AU296" s="421" t="s">
        <v>1341</v>
      </c>
      <c r="AV296" s="421" t="s">
        <v>3157</v>
      </c>
      <c r="AW296" s="421" t="s">
        <v>3110</v>
      </c>
      <c r="AX296" s="421" t="s">
        <v>3131</v>
      </c>
      <c r="AY296" s="421" t="s">
        <v>3112</v>
      </c>
      <c r="AZ296" s="421" t="s">
        <v>3113</v>
      </c>
      <c r="BA296" s="421" t="s">
        <v>3114</v>
      </c>
      <c r="BB296" s="421" t="s">
        <v>3115</v>
      </c>
      <c r="BC296" s="421">
        <v>23383.5</v>
      </c>
      <c r="BD296" s="421">
        <v>59627223.5</v>
      </c>
      <c r="BE296" s="421">
        <v>0</v>
      </c>
      <c r="BF296" s="421">
        <v>2827.6</v>
      </c>
      <c r="BG296" s="421">
        <v>0</v>
      </c>
      <c r="BH296" s="421">
        <v>0</v>
      </c>
      <c r="BI296" s="421" t="s">
        <v>1149</v>
      </c>
    </row>
    <row r="297" spans="1:61" x14ac:dyDescent="0.25">
      <c r="A297" s="421">
        <v>294</v>
      </c>
      <c r="B297" s="421">
        <v>2015</v>
      </c>
      <c r="C297" s="421">
        <v>5</v>
      </c>
      <c r="D297" s="421">
        <v>29</v>
      </c>
      <c r="E297" s="421" t="s">
        <v>1475</v>
      </c>
      <c r="F297" s="421" t="s">
        <v>3090</v>
      </c>
      <c r="G297" s="421" t="s">
        <v>3608</v>
      </c>
      <c r="H297" s="421" t="s">
        <v>1107</v>
      </c>
      <c r="I297" s="421" t="s">
        <v>1963</v>
      </c>
      <c r="J297" s="421" t="s">
        <v>3611</v>
      </c>
      <c r="K297" s="421" t="s">
        <v>3093</v>
      </c>
      <c r="L297" s="421" t="s">
        <v>3094</v>
      </c>
      <c r="M297" s="421" t="s">
        <v>2667</v>
      </c>
      <c r="N297" s="421" t="s">
        <v>3093</v>
      </c>
      <c r="O297" s="421" t="s">
        <v>3094</v>
      </c>
      <c r="P297" s="421" t="s">
        <v>3095</v>
      </c>
      <c r="Q297" s="421" t="s">
        <v>3113</v>
      </c>
      <c r="R297" s="421" t="s">
        <v>1108</v>
      </c>
      <c r="S297" s="421" t="s">
        <v>1108</v>
      </c>
      <c r="T297" s="421" t="s">
        <v>1130</v>
      </c>
      <c r="U297" s="421" t="s">
        <v>3144</v>
      </c>
      <c r="V297" s="421" t="s">
        <v>3145</v>
      </c>
      <c r="W297" s="421" t="s">
        <v>3098</v>
      </c>
      <c r="X297" s="421" t="s">
        <v>3099</v>
      </c>
      <c r="Y297" s="421" t="s">
        <v>1117</v>
      </c>
      <c r="Z297" s="421" t="s">
        <v>1118</v>
      </c>
      <c r="AA297" s="421" t="s">
        <v>3100</v>
      </c>
      <c r="AB297" s="421" t="s">
        <v>3146</v>
      </c>
      <c r="AC297" s="421" t="s">
        <v>3102</v>
      </c>
      <c r="AD297" s="421" t="s">
        <v>3327</v>
      </c>
      <c r="AE297" s="421" t="s">
        <v>3328</v>
      </c>
      <c r="AF297" s="421" t="s">
        <v>3375</v>
      </c>
      <c r="AG297" s="421" t="s">
        <v>3376</v>
      </c>
      <c r="AH297" s="421" t="s">
        <v>3105</v>
      </c>
      <c r="AI297" s="421">
        <v>150</v>
      </c>
      <c r="AJ297" s="421">
        <v>12</v>
      </c>
      <c r="AK297" s="421">
        <v>12</v>
      </c>
      <c r="AL297" s="421">
        <v>1</v>
      </c>
      <c r="AM297" s="421" t="s">
        <v>3329</v>
      </c>
      <c r="AN297" s="421" t="s">
        <v>3330</v>
      </c>
      <c r="AO297" s="421" t="s">
        <v>1121</v>
      </c>
      <c r="AP297" s="421" t="s">
        <v>1121</v>
      </c>
      <c r="AQ297" s="421" t="s">
        <v>1476</v>
      </c>
      <c r="AR297" s="421" t="s">
        <v>3561</v>
      </c>
      <c r="AS297" s="421" t="s">
        <v>3612</v>
      </c>
      <c r="AT297" s="421" t="s">
        <v>3109</v>
      </c>
      <c r="AU297" s="421" t="s">
        <v>1341</v>
      </c>
      <c r="AV297" s="421" t="s">
        <v>3157</v>
      </c>
      <c r="AW297" s="421" t="s">
        <v>3110</v>
      </c>
      <c r="AX297" s="421" t="s">
        <v>3229</v>
      </c>
      <c r="AY297" s="421" t="s">
        <v>3112</v>
      </c>
      <c r="AZ297" s="421" t="s">
        <v>3113</v>
      </c>
      <c r="BA297" s="421" t="s">
        <v>3114</v>
      </c>
      <c r="BB297" s="421" t="s">
        <v>3230</v>
      </c>
      <c r="BC297" s="421">
        <v>7.5</v>
      </c>
      <c r="BD297" s="421">
        <v>19124.78</v>
      </c>
      <c r="BE297" s="421">
        <v>0</v>
      </c>
      <c r="BF297" s="421">
        <v>0</v>
      </c>
      <c r="BG297" s="421">
        <v>0</v>
      </c>
      <c r="BH297" s="421">
        <v>0</v>
      </c>
      <c r="BI297" s="421" t="s">
        <v>1149</v>
      </c>
    </row>
    <row r="298" spans="1:61" x14ac:dyDescent="0.25">
      <c r="A298" s="421">
        <v>295</v>
      </c>
      <c r="B298" s="421">
        <v>2015</v>
      </c>
      <c r="C298" s="421">
        <v>6</v>
      </c>
      <c r="D298" s="421">
        <v>3</v>
      </c>
      <c r="E298" s="421" t="s">
        <v>1475</v>
      </c>
      <c r="F298" s="421" t="s">
        <v>3360</v>
      </c>
      <c r="G298" s="421" t="s">
        <v>3325</v>
      </c>
      <c r="H298" s="421" t="s">
        <v>1107</v>
      </c>
      <c r="I298" s="421" t="s">
        <v>1978</v>
      </c>
      <c r="J298" s="421" t="s">
        <v>3613</v>
      </c>
      <c r="K298" s="421" t="s">
        <v>3093</v>
      </c>
      <c r="L298" s="421" t="s">
        <v>3094</v>
      </c>
      <c r="M298" s="421" t="s">
        <v>2667</v>
      </c>
      <c r="N298" s="421" t="s">
        <v>3093</v>
      </c>
      <c r="O298" s="421" t="s">
        <v>3094</v>
      </c>
      <c r="P298" s="421" t="s">
        <v>3095</v>
      </c>
      <c r="Q298" s="421" t="s">
        <v>3113</v>
      </c>
      <c r="R298" s="421" t="s">
        <v>1108</v>
      </c>
      <c r="S298" s="421" t="s">
        <v>1108</v>
      </c>
      <c r="T298" s="421" t="s">
        <v>1130</v>
      </c>
      <c r="U298" s="421" t="s">
        <v>3144</v>
      </c>
      <c r="V298" s="421" t="s">
        <v>3145</v>
      </c>
      <c r="W298" s="421" t="s">
        <v>3098</v>
      </c>
      <c r="X298" s="421" t="s">
        <v>3099</v>
      </c>
      <c r="Y298" s="421" t="s">
        <v>1117</v>
      </c>
      <c r="Z298" s="421" t="s">
        <v>1118</v>
      </c>
      <c r="AA298" s="421" t="s">
        <v>3100</v>
      </c>
      <c r="AB298" s="421" t="s">
        <v>3146</v>
      </c>
      <c r="AC298" s="421" t="s">
        <v>3102</v>
      </c>
      <c r="AD298" s="421" t="s">
        <v>3614</v>
      </c>
      <c r="AE298" s="421" t="s">
        <v>3615</v>
      </c>
      <c r="AF298" s="421" t="s">
        <v>2236</v>
      </c>
      <c r="AG298" s="421" t="s">
        <v>2237</v>
      </c>
      <c r="AH298" s="421" t="s">
        <v>3105</v>
      </c>
      <c r="AI298" s="421">
        <v>227990</v>
      </c>
      <c r="AJ298" s="421">
        <v>699.42</v>
      </c>
      <c r="AK298" s="421">
        <v>752</v>
      </c>
      <c r="AL298" s="421">
        <v>1</v>
      </c>
      <c r="AM298" s="421" t="s">
        <v>3616</v>
      </c>
      <c r="AN298" s="421" t="s">
        <v>3617</v>
      </c>
      <c r="AO298" s="421" t="s">
        <v>1121</v>
      </c>
      <c r="AP298" s="421" t="s">
        <v>1121</v>
      </c>
      <c r="AQ298" s="421" t="s">
        <v>1108</v>
      </c>
      <c r="AR298" s="421" t="s">
        <v>3561</v>
      </c>
      <c r="AS298" s="421" t="s">
        <v>3618</v>
      </c>
      <c r="AT298" s="421" t="s">
        <v>3109</v>
      </c>
      <c r="AU298" s="421" t="s">
        <v>1341</v>
      </c>
      <c r="AV298" s="421" t="s">
        <v>3157</v>
      </c>
      <c r="AW298" s="421" t="s">
        <v>3110</v>
      </c>
      <c r="AX298" s="421" t="s">
        <v>3111</v>
      </c>
      <c r="AY298" s="421" t="s">
        <v>3112</v>
      </c>
      <c r="AZ298" s="421" t="s">
        <v>3113</v>
      </c>
      <c r="BA298" s="421" t="s">
        <v>3114</v>
      </c>
      <c r="BB298" s="421" t="s">
        <v>3115</v>
      </c>
      <c r="BC298" s="421">
        <v>12119.6</v>
      </c>
      <c r="BD298" s="421">
        <v>30958791.02</v>
      </c>
      <c r="BE298" s="421">
        <v>0</v>
      </c>
      <c r="BF298" s="421">
        <v>0</v>
      </c>
      <c r="BG298" s="421">
        <v>0</v>
      </c>
      <c r="BH298" s="421">
        <v>0</v>
      </c>
      <c r="BI298" s="421" t="s">
        <v>1167</v>
      </c>
    </row>
    <row r="299" spans="1:61" x14ac:dyDescent="0.25">
      <c r="A299" s="421">
        <v>296</v>
      </c>
      <c r="B299" s="421">
        <v>2015</v>
      </c>
      <c r="C299" s="421">
        <v>6</v>
      </c>
      <c r="D299" s="421">
        <v>3</v>
      </c>
      <c r="E299" s="421" t="s">
        <v>1475</v>
      </c>
      <c r="F299" s="421" t="s">
        <v>3360</v>
      </c>
      <c r="G299" s="421" t="s">
        <v>3325</v>
      </c>
      <c r="H299" s="421" t="s">
        <v>1107</v>
      </c>
      <c r="I299" s="421" t="s">
        <v>1978</v>
      </c>
      <c r="J299" s="421" t="s">
        <v>3619</v>
      </c>
      <c r="K299" s="421" t="s">
        <v>3093</v>
      </c>
      <c r="L299" s="421" t="s">
        <v>3094</v>
      </c>
      <c r="M299" s="421" t="s">
        <v>2667</v>
      </c>
      <c r="N299" s="421" t="s">
        <v>3093</v>
      </c>
      <c r="O299" s="421" t="s">
        <v>3094</v>
      </c>
      <c r="P299" s="421" t="s">
        <v>3095</v>
      </c>
      <c r="Q299" s="421" t="s">
        <v>3113</v>
      </c>
      <c r="R299" s="421" t="s">
        <v>1108</v>
      </c>
      <c r="S299" s="421" t="s">
        <v>1108</v>
      </c>
      <c r="T299" s="421" t="s">
        <v>1130</v>
      </c>
      <c r="U299" s="421" t="s">
        <v>3144</v>
      </c>
      <c r="V299" s="421" t="s">
        <v>3145</v>
      </c>
      <c r="W299" s="421" t="s">
        <v>3098</v>
      </c>
      <c r="X299" s="421" t="s">
        <v>3099</v>
      </c>
      <c r="Y299" s="421" t="s">
        <v>1117</v>
      </c>
      <c r="Z299" s="421" t="s">
        <v>1118</v>
      </c>
      <c r="AA299" s="421" t="s">
        <v>3100</v>
      </c>
      <c r="AB299" s="421" t="s">
        <v>3146</v>
      </c>
      <c r="AC299" s="421" t="s">
        <v>3102</v>
      </c>
      <c r="AD299" s="421" t="s">
        <v>3620</v>
      </c>
      <c r="AE299" s="421" t="s">
        <v>3615</v>
      </c>
      <c r="AF299" s="421" t="s">
        <v>1300</v>
      </c>
      <c r="AG299" s="421" t="s">
        <v>1301</v>
      </c>
      <c r="AH299" s="421" t="s">
        <v>1127</v>
      </c>
      <c r="AI299" s="421">
        <v>6.03</v>
      </c>
      <c r="AJ299" s="421">
        <v>6.03</v>
      </c>
      <c r="AK299" s="421">
        <v>6.4</v>
      </c>
      <c r="AL299" s="421">
        <v>1</v>
      </c>
      <c r="AM299" s="421" t="s">
        <v>3616</v>
      </c>
      <c r="AN299" s="421" t="s">
        <v>3617</v>
      </c>
      <c r="AO299" s="421" t="s">
        <v>1121</v>
      </c>
      <c r="AP299" s="421" t="s">
        <v>1121</v>
      </c>
      <c r="AQ299" s="421" t="s">
        <v>1108</v>
      </c>
      <c r="AR299" s="421" t="s">
        <v>3561</v>
      </c>
      <c r="AS299" s="421" t="s">
        <v>3621</v>
      </c>
      <c r="AT299" s="421" t="s">
        <v>3109</v>
      </c>
      <c r="AU299" s="421" t="s">
        <v>1341</v>
      </c>
      <c r="AV299" s="421" t="s">
        <v>3157</v>
      </c>
      <c r="AW299" s="421" t="s">
        <v>3110</v>
      </c>
      <c r="AX299" s="421" t="s">
        <v>3229</v>
      </c>
      <c r="AY299" s="421" t="s">
        <v>3112</v>
      </c>
      <c r="AZ299" s="421" t="s">
        <v>3113</v>
      </c>
      <c r="BA299" s="421" t="s">
        <v>3114</v>
      </c>
      <c r="BB299" s="421" t="s">
        <v>3230</v>
      </c>
      <c r="BC299" s="421">
        <v>2.25</v>
      </c>
      <c r="BD299" s="421">
        <v>5747.49</v>
      </c>
      <c r="BE299" s="421">
        <v>0</v>
      </c>
      <c r="BF299" s="421">
        <v>0</v>
      </c>
      <c r="BG299" s="421">
        <v>0</v>
      </c>
      <c r="BH299" s="421">
        <v>0</v>
      </c>
      <c r="BI299" s="421" t="s">
        <v>1167</v>
      </c>
    </row>
    <row r="300" spans="1:61" x14ac:dyDescent="0.25">
      <c r="A300" s="421">
        <v>297</v>
      </c>
      <c r="B300" s="421">
        <v>2015</v>
      </c>
      <c r="C300" s="421">
        <v>6</v>
      </c>
      <c r="D300" s="421">
        <v>3</v>
      </c>
      <c r="E300" s="421" t="s">
        <v>1475</v>
      </c>
      <c r="F300" s="421" t="s">
        <v>3360</v>
      </c>
      <c r="G300" s="421" t="s">
        <v>3325</v>
      </c>
      <c r="H300" s="421" t="s">
        <v>1107</v>
      </c>
      <c r="I300" s="421" t="s">
        <v>1978</v>
      </c>
      <c r="J300" s="421" t="s">
        <v>3619</v>
      </c>
      <c r="K300" s="421" t="s">
        <v>3093</v>
      </c>
      <c r="L300" s="421" t="s">
        <v>3094</v>
      </c>
      <c r="M300" s="421" t="s">
        <v>2667</v>
      </c>
      <c r="N300" s="421" t="s">
        <v>3093</v>
      </c>
      <c r="O300" s="421" t="s">
        <v>3094</v>
      </c>
      <c r="P300" s="421" t="s">
        <v>3095</v>
      </c>
      <c r="Q300" s="421" t="s">
        <v>3113</v>
      </c>
      <c r="R300" s="421" t="s">
        <v>1108</v>
      </c>
      <c r="S300" s="421" t="s">
        <v>1108</v>
      </c>
      <c r="T300" s="421" t="s">
        <v>1130</v>
      </c>
      <c r="U300" s="421" t="s">
        <v>3144</v>
      </c>
      <c r="V300" s="421" t="s">
        <v>3145</v>
      </c>
      <c r="W300" s="421" t="s">
        <v>3098</v>
      </c>
      <c r="X300" s="421" t="s">
        <v>3099</v>
      </c>
      <c r="Y300" s="421" t="s">
        <v>1117</v>
      </c>
      <c r="Z300" s="421" t="s">
        <v>1118</v>
      </c>
      <c r="AA300" s="421" t="s">
        <v>3100</v>
      </c>
      <c r="AB300" s="421" t="s">
        <v>3146</v>
      </c>
      <c r="AC300" s="421" t="s">
        <v>3102</v>
      </c>
      <c r="AD300" s="421" t="s">
        <v>3620</v>
      </c>
      <c r="AE300" s="421" t="s">
        <v>3615</v>
      </c>
      <c r="AF300" s="421" t="s">
        <v>3375</v>
      </c>
      <c r="AG300" s="421" t="s">
        <v>3376</v>
      </c>
      <c r="AH300" s="421" t="s">
        <v>3105</v>
      </c>
      <c r="AI300" s="421">
        <v>150</v>
      </c>
      <c r="AJ300" s="421">
        <v>33.549999999999997</v>
      </c>
      <c r="AK300" s="421">
        <v>35.6</v>
      </c>
      <c r="AL300" s="421">
        <v>2</v>
      </c>
      <c r="AM300" s="421" t="s">
        <v>3616</v>
      </c>
      <c r="AN300" s="421" t="s">
        <v>3617</v>
      </c>
      <c r="AO300" s="421" t="s">
        <v>1121</v>
      </c>
      <c r="AP300" s="421" t="s">
        <v>1121</v>
      </c>
      <c r="AQ300" s="421" t="s">
        <v>1108</v>
      </c>
      <c r="AR300" s="421" t="s">
        <v>3561</v>
      </c>
      <c r="AS300" s="421" t="s">
        <v>3621</v>
      </c>
      <c r="AT300" s="421" t="s">
        <v>3109</v>
      </c>
      <c r="AU300" s="421" t="s">
        <v>1341</v>
      </c>
      <c r="AV300" s="421" t="s">
        <v>3157</v>
      </c>
      <c r="AW300" s="421" t="s">
        <v>3110</v>
      </c>
      <c r="AX300" s="421" t="s">
        <v>3229</v>
      </c>
      <c r="AY300" s="421" t="s">
        <v>3112</v>
      </c>
      <c r="AZ300" s="421" t="s">
        <v>3113</v>
      </c>
      <c r="BA300" s="421" t="s">
        <v>3114</v>
      </c>
      <c r="BB300" s="421" t="s">
        <v>3230</v>
      </c>
      <c r="BC300" s="421">
        <v>3</v>
      </c>
      <c r="BD300" s="421">
        <v>7663.32</v>
      </c>
      <c r="BE300" s="421">
        <v>0</v>
      </c>
      <c r="BF300" s="421">
        <v>0</v>
      </c>
      <c r="BG300" s="421">
        <v>0</v>
      </c>
      <c r="BH300" s="421">
        <v>0</v>
      </c>
      <c r="BI300" s="421" t="s">
        <v>1167</v>
      </c>
    </row>
    <row r="301" spans="1:61" x14ac:dyDescent="0.25">
      <c r="A301" s="421">
        <v>298</v>
      </c>
      <c r="B301" s="421">
        <v>2015</v>
      </c>
      <c r="C301" s="421">
        <v>6</v>
      </c>
      <c r="D301" s="421">
        <v>5</v>
      </c>
      <c r="E301" s="421" t="s">
        <v>1475</v>
      </c>
      <c r="F301" s="421" t="s">
        <v>3360</v>
      </c>
      <c r="G301" s="421" t="s">
        <v>3090</v>
      </c>
      <c r="H301" s="421" t="s">
        <v>1107</v>
      </c>
      <c r="I301" s="421" t="s">
        <v>2008</v>
      </c>
      <c r="J301" s="421" t="s">
        <v>3622</v>
      </c>
      <c r="K301" s="421" t="s">
        <v>3093</v>
      </c>
      <c r="L301" s="421" t="s">
        <v>3094</v>
      </c>
      <c r="M301" s="421" t="s">
        <v>2667</v>
      </c>
      <c r="N301" s="421" t="s">
        <v>3093</v>
      </c>
      <c r="O301" s="421" t="s">
        <v>3094</v>
      </c>
      <c r="P301" s="421" t="s">
        <v>3095</v>
      </c>
      <c r="Q301" s="421" t="s">
        <v>3096</v>
      </c>
      <c r="R301" s="421" t="s">
        <v>1108</v>
      </c>
      <c r="S301" s="421" t="s">
        <v>1476</v>
      </c>
      <c r="T301" s="421" t="s">
        <v>1130</v>
      </c>
      <c r="U301" s="421" t="s">
        <v>3144</v>
      </c>
      <c r="V301" s="421" t="s">
        <v>3145</v>
      </c>
      <c r="W301" s="421" t="s">
        <v>3098</v>
      </c>
      <c r="X301" s="421" t="s">
        <v>3099</v>
      </c>
      <c r="Y301" s="421" t="s">
        <v>1117</v>
      </c>
      <c r="Z301" s="421" t="s">
        <v>1118</v>
      </c>
      <c r="AA301" s="421" t="s">
        <v>3100</v>
      </c>
      <c r="AB301" s="421" t="s">
        <v>3146</v>
      </c>
      <c r="AC301" s="421" t="s">
        <v>3102</v>
      </c>
      <c r="AD301" s="421" t="s">
        <v>3265</v>
      </c>
      <c r="AE301" s="421" t="s">
        <v>3266</v>
      </c>
      <c r="AF301" s="421" t="s">
        <v>2236</v>
      </c>
      <c r="AG301" s="421" t="s">
        <v>2237</v>
      </c>
      <c r="AH301" s="421" t="s">
        <v>3105</v>
      </c>
      <c r="AI301" s="421">
        <v>152000</v>
      </c>
      <c r="AJ301" s="421">
        <v>348.51</v>
      </c>
      <c r="AK301" s="421">
        <v>377</v>
      </c>
      <c r="AL301" s="421">
        <v>1</v>
      </c>
      <c r="AM301" s="421" t="s">
        <v>3130</v>
      </c>
      <c r="AN301" s="421" t="s">
        <v>3130</v>
      </c>
      <c r="AO301" s="421" t="s">
        <v>1121</v>
      </c>
      <c r="AP301" s="421" t="s">
        <v>1121</v>
      </c>
      <c r="AQ301" s="421" t="s">
        <v>1476</v>
      </c>
      <c r="AR301" s="421" t="s">
        <v>3561</v>
      </c>
      <c r="AS301" s="421" t="s">
        <v>3623</v>
      </c>
      <c r="AT301" s="421" t="s">
        <v>3109</v>
      </c>
      <c r="AU301" s="421" t="s">
        <v>1341</v>
      </c>
      <c r="AV301" s="421" t="s">
        <v>962</v>
      </c>
      <c r="AW301" s="421" t="s">
        <v>3110</v>
      </c>
      <c r="AX301" s="421" t="s">
        <v>3111</v>
      </c>
      <c r="AY301" s="421" t="s">
        <v>3112</v>
      </c>
      <c r="AZ301" s="421" t="s">
        <v>3113</v>
      </c>
      <c r="BA301" s="421" t="s">
        <v>3114</v>
      </c>
      <c r="BB301" s="421" t="s">
        <v>3115</v>
      </c>
      <c r="BC301" s="421">
        <v>5193.5</v>
      </c>
      <c r="BD301" s="421">
        <v>13443686.359999999</v>
      </c>
      <c r="BE301" s="421">
        <v>0</v>
      </c>
      <c r="BF301" s="421">
        <v>1059.67</v>
      </c>
      <c r="BG301" s="421">
        <v>15.63</v>
      </c>
      <c r="BH301" s="421">
        <v>0</v>
      </c>
      <c r="BI301" s="421" t="s">
        <v>1167</v>
      </c>
    </row>
    <row r="302" spans="1:61" x14ac:dyDescent="0.25">
      <c r="A302" s="421">
        <v>299</v>
      </c>
      <c r="B302" s="421">
        <v>2015</v>
      </c>
      <c r="C302" s="421">
        <v>6</v>
      </c>
      <c r="D302" s="421">
        <v>5</v>
      </c>
      <c r="E302" s="421" t="s">
        <v>1475</v>
      </c>
      <c r="F302" s="421" t="s">
        <v>3360</v>
      </c>
      <c r="G302" s="421" t="s">
        <v>3090</v>
      </c>
      <c r="H302" s="421" t="s">
        <v>1107</v>
      </c>
      <c r="I302" s="421" t="s">
        <v>2008</v>
      </c>
      <c r="J302" s="421" t="s">
        <v>3624</v>
      </c>
      <c r="K302" s="421" t="s">
        <v>3093</v>
      </c>
      <c r="L302" s="421" t="s">
        <v>3094</v>
      </c>
      <c r="M302" s="421" t="s">
        <v>2667</v>
      </c>
      <c r="N302" s="421" t="s">
        <v>3093</v>
      </c>
      <c r="O302" s="421" t="s">
        <v>3094</v>
      </c>
      <c r="P302" s="421" t="s">
        <v>3095</v>
      </c>
      <c r="Q302" s="421" t="s">
        <v>3096</v>
      </c>
      <c r="R302" s="421" t="s">
        <v>1108</v>
      </c>
      <c r="S302" s="421" t="s">
        <v>1476</v>
      </c>
      <c r="T302" s="421" t="s">
        <v>1130</v>
      </c>
      <c r="U302" s="421" t="s">
        <v>3144</v>
      </c>
      <c r="V302" s="421" t="s">
        <v>3145</v>
      </c>
      <c r="W302" s="421" t="s">
        <v>3098</v>
      </c>
      <c r="X302" s="421" t="s">
        <v>3099</v>
      </c>
      <c r="Y302" s="421" t="s">
        <v>1117</v>
      </c>
      <c r="Z302" s="421" t="s">
        <v>1118</v>
      </c>
      <c r="AA302" s="421" t="s">
        <v>3100</v>
      </c>
      <c r="AB302" s="421" t="s">
        <v>3146</v>
      </c>
      <c r="AC302" s="421" t="s">
        <v>3102</v>
      </c>
      <c r="AD302" s="421" t="s">
        <v>3125</v>
      </c>
      <c r="AE302" s="421" t="s">
        <v>3147</v>
      </c>
      <c r="AF302" s="421" t="s">
        <v>2236</v>
      </c>
      <c r="AG302" s="421" t="s">
        <v>2237</v>
      </c>
      <c r="AH302" s="421" t="s">
        <v>3105</v>
      </c>
      <c r="AI302" s="421">
        <v>120000</v>
      </c>
      <c r="AJ302" s="421">
        <v>347.72</v>
      </c>
      <c r="AK302" s="421">
        <v>397</v>
      </c>
      <c r="AL302" s="421">
        <v>1</v>
      </c>
      <c r="AM302" s="421" t="s">
        <v>962</v>
      </c>
      <c r="AN302" s="421" t="s">
        <v>3127</v>
      </c>
      <c r="AO302" s="421" t="s">
        <v>1121</v>
      </c>
      <c r="AP302" s="421" t="s">
        <v>1121</v>
      </c>
      <c r="AQ302" s="421" t="s">
        <v>1476</v>
      </c>
      <c r="AR302" s="421" t="s">
        <v>3561</v>
      </c>
      <c r="AS302" s="421" t="s">
        <v>3625</v>
      </c>
      <c r="AT302" s="421" t="s">
        <v>3109</v>
      </c>
      <c r="AU302" s="421" t="s">
        <v>1341</v>
      </c>
      <c r="AV302" s="421" t="s">
        <v>962</v>
      </c>
      <c r="AW302" s="421" t="s">
        <v>3110</v>
      </c>
      <c r="AX302" s="421" t="s">
        <v>3111</v>
      </c>
      <c r="AY302" s="421" t="s">
        <v>3112</v>
      </c>
      <c r="AZ302" s="421" t="s">
        <v>3113</v>
      </c>
      <c r="BA302" s="421" t="s">
        <v>3114</v>
      </c>
      <c r="BB302" s="421" t="s">
        <v>3115</v>
      </c>
      <c r="BC302" s="421">
        <v>5850</v>
      </c>
      <c r="BD302" s="421">
        <v>15143076</v>
      </c>
      <c r="BE302" s="421">
        <v>0</v>
      </c>
      <c r="BF302" s="421">
        <v>1052.8800000000001</v>
      </c>
      <c r="BG302" s="421">
        <v>0</v>
      </c>
      <c r="BH302" s="421">
        <v>0</v>
      </c>
      <c r="BI302" s="421" t="s">
        <v>1149</v>
      </c>
    </row>
    <row r="303" spans="1:61" x14ac:dyDescent="0.25">
      <c r="A303" s="421">
        <v>300</v>
      </c>
      <c r="B303" s="421">
        <v>2015</v>
      </c>
      <c r="C303" s="421">
        <v>6</v>
      </c>
      <c r="D303" s="421">
        <v>9</v>
      </c>
      <c r="E303" s="421" t="s">
        <v>1475</v>
      </c>
      <c r="F303" s="421" t="s">
        <v>3360</v>
      </c>
      <c r="G303" s="421" t="s">
        <v>3132</v>
      </c>
      <c r="H303" s="421" t="s">
        <v>1107</v>
      </c>
      <c r="I303" s="421" t="s">
        <v>1998</v>
      </c>
      <c r="J303" s="421" t="s">
        <v>3626</v>
      </c>
      <c r="K303" s="421" t="s">
        <v>3093</v>
      </c>
      <c r="L303" s="421" t="s">
        <v>3094</v>
      </c>
      <c r="M303" s="421" t="s">
        <v>2667</v>
      </c>
      <c r="N303" s="421" t="s">
        <v>3093</v>
      </c>
      <c r="O303" s="421" t="s">
        <v>3094</v>
      </c>
      <c r="P303" s="421" t="s">
        <v>3095</v>
      </c>
      <c r="Q303" s="421" t="s">
        <v>3113</v>
      </c>
      <c r="R303" s="421" t="s">
        <v>1108</v>
      </c>
      <c r="S303" s="421" t="s">
        <v>1108</v>
      </c>
      <c r="T303" s="421" t="s">
        <v>1130</v>
      </c>
      <c r="U303" s="421" t="s">
        <v>1112</v>
      </c>
      <c r="V303" s="421" t="s">
        <v>3097</v>
      </c>
      <c r="W303" s="421" t="s">
        <v>3098</v>
      </c>
      <c r="X303" s="421" t="s">
        <v>3099</v>
      </c>
      <c r="Y303" s="421" t="s">
        <v>1117</v>
      </c>
      <c r="Z303" s="421" t="s">
        <v>1118</v>
      </c>
      <c r="AA303" s="421" t="s">
        <v>3100</v>
      </c>
      <c r="AB303" s="421" t="s">
        <v>3101</v>
      </c>
      <c r="AC303" s="421" t="s">
        <v>3102</v>
      </c>
      <c r="AD303" s="421" t="s">
        <v>3163</v>
      </c>
      <c r="AE303" s="421" t="s">
        <v>3164</v>
      </c>
      <c r="AF303" s="421" t="s">
        <v>2236</v>
      </c>
      <c r="AG303" s="421" t="s">
        <v>2237</v>
      </c>
      <c r="AH303" s="421" t="s">
        <v>3105</v>
      </c>
      <c r="AI303" s="421">
        <v>758480</v>
      </c>
      <c r="AJ303" s="421">
        <v>2401.8200000000002</v>
      </c>
      <c r="AK303" s="421">
        <v>2644.73</v>
      </c>
      <c r="AL303" s="421">
        <v>1</v>
      </c>
      <c r="AM303" s="421" t="s">
        <v>964</v>
      </c>
      <c r="AN303" s="421" t="s">
        <v>3165</v>
      </c>
      <c r="AO303" s="421" t="s">
        <v>1121</v>
      </c>
      <c r="AP303" s="421" t="s">
        <v>1121</v>
      </c>
      <c r="AQ303" s="421" t="s">
        <v>1108</v>
      </c>
      <c r="AR303" s="421" t="s">
        <v>3627</v>
      </c>
      <c r="AS303" s="421" t="s">
        <v>3628</v>
      </c>
      <c r="AT303" s="421" t="s">
        <v>3109</v>
      </c>
      <c r="AU303" s="421" t="s">
        <v>1142</v>
      </c>
      <c r="AV303" s="421" t="s">
        <v>2135</v>
      </c>
      <c r="AW303" s="421" t="s">
        <v>3110</v>
      </c>
      <c r="AX303" s="421" t="s">
        <v>3111</v>
      </c>
      <c r="AY303" s="421" t="s">
        <v>3112</v>
      </c>
      <c r="AZ303" s="421" t="s">
        <v>3113</v>
      </c>
      <c r="BA303" s="421" t="s">
        <v>3114</v>
      </c>
      <c r="BB303" s="421" t="s">
        <v>3115</v>
      </c>
      <c r="BC303" s="421">
        <v>35695</v>
      </c>
      <c r="BD303" s="421">
        <v>93651543.700000003</v>
      </c>
      <c r="BE303" s="421">
        <v>0</v>
      </c>
      <c r="BF303" s="421">
        <v>1211.9100000000001</v>
      </c>
      <c r="BG303" s="421">
        <v>0</v>
      </c>
      <c r="BH303" s="421">
        <v>0</v>
      </c>
      <c r="BI303" s="421" t="s">
        <v>1278</v>
      </c>
    </row>
    <row r="304" spans="1:61" x14ac:dyDescent="0.25">
      <c r="A304" s="421">
        <v>301</v>
      </c>
      <c r="B304" s="421">
        <v>2015</v>
      </c>
      <c r="C304" s="421">
        <v>6</v>
      </c>
      <c r="D304" s="421">
        <v>9</v>
      </c>
      <c r="E304" s="421" t="s">
        <v>1475</v>
      </c>
      <c r="F304" s="421" t="s">
        <v>3360</v>
      </c>
      <c r="G304" s="421" t="s">
        <v>3132</v>
      </c>
      <c r="H304" s="421" t="s">
        <v>1107</v>
      </c>
      <c r="I304" s="421" t="s">
        <v>1998</v>
      </c>
      <c r="J304" s="421" t="s">
        <v>3626</v>
      </c>
      <c r="K304" s="421" t="s">
        <v>3093</v>
      </c>
      <c r="L304" s="421" t="s">
        <v>3094</v>
      </c>
      <c r="M304" s="421" t="s">
        <v>2667</v>
      </c>
      <c r="N304" s="421" t="s">
        <v>3093</v>
      </c>
      <c r="O304" s="421" t="s">
        <v>3094</v>
      </c>
      <c r="P304" s="421" t="s">
        <v>3095</v>
      </c>
      <c r="Q304" s="421" t="s">
        <v>3113</v>
      </c>
      <c r="R304" s="421" t="s">
        <v>1108</v>
      </c>
      <c r="S304" s="421" t="s">
        <v>1108</v>
      </c>
      <c r="T304" s="421" t="s">
        <v>1130</v>
      </c>
      <c r="U304" s="421" t="s">
        <v>1112</v>
      </c>
      <c r="V304" s="421" t="s">
        <v>3097</v>
      </c>
      <c r="W304" s="421" t="s">
        <v>3098</v>
      </c>
      <c r="X304" s="421" t="s">
        <v>3099</v>
      </c>
      <c r="Y304" s="421" t="s">
        <v>1117</v>
      </c>
      <c r="Z304" s="421" t="s">
        <v>1118</v>
      </c>
      <c r="AA304" s="421" t="s">
        <v>3100</v>
      </c>
      <c r="AB304" s="421" t="s">
        <v>3101</v>
      </c>
      <c r="AC304" s="421" t="s">
        <v>3102</v>
      </c>
      <c r="AD304" s="421" t="s">
        <v>3163</v>
      </c>
      <c r="AE304" s="421" t="s">
        <v>3164</v>
      </c>
      <c r="AF304" s="421" t="s">
        <v>2236</v>
      </c>
      <c r="AG304" s="421" t="s">
        <v>2237</v>
      </c>
      <c r="AH304" s="421" t="s">
        <v>3105</v>
      </c>
      <c r="AI304" s="421">
        <v>82000</v>
      </c>
      <c r="AJ304" s="421">
        <v>184.92</v>
      </c>
      <c r="AK304" s="421">
        <v>203.62</v>
      </c>
      <c r="AL304" s="421">
        <v>3</v>
      </c>
      <c r="AM304" s="421" t="s">
        <v>964</v>
      </c>
      <c r="AN304" s="421" t="s">
        <v>3165</v>
      </c>
      <c r="AO304" s="421" t="s">
        <v>1121</v>
      </c>
      <c r="AP304" s="421" t="s">
        <v>1121</v>
      </c>
      <c r="AQ304" s="421" t="s">
        <v>1108</v>
      </c>
      <c r="AR304" s="421" t="s">
        <v>3627</v>
      </c>
      <c r="AS304" s="421" t="s">
        <v>3628</v>
      </c>
      <c r="AT304" s="421" t="s">
        <v>3109</v>
      </c>
      <c r="AU304" s="421" t="s">
        <v>1142</v>
      </c>
      <c r="AV304" s="421" t="s">
        <v>2135</v>
      </c>
      <c r="AW304" s="421" t="s">
        <v>3110</v>
      </c>
      <c r="AX304" s="421" t="s">
        <v>3111</v>
      </c>
      <c r="AY304" s="421" t="s">
        <v>3112</v>
      </c>
      <c r="AZ304" s="421" t="s">
        <v>3113</v>
      </c>
      <c r="BA304" s="421" t="s">
        <v>3114</v>
      </c>
      <c r="BB304" s="421" t="s">
        <v>3115</v>
      </c>
      <c r="BC304" s="421">
        <v>6742</v>
      </c>
      <c r="BD304" s="421">
        <v>17688715.719999999</v>
      </c>
      <c r="BE304" s="421">
        <v>0</v>
      </c>
      <c r="BF304" s="421">
        <v>228.9</v>
      </c>
      <c r="BG304" s="421">
        <v>0</v>
      </c>
      <c r="BH304" s="421">
        <v>0</v>
      </c>
      <c r="BI304" s="421" t="s">
        <v>1278</v>
      </c>
    </row>
    <row r="305" spans="1:61" x14ac:dyDescent="0.25">
      <c r="A305" s="421">
        <v>302</v>
      </c>
      <c r="B305" s="421">
        <v>2015</v>
      </c>
      <c r="C305" s="421">
        <v>6</v>
      </c>
      <c r="D305" s="421">
        <v>9</v>
      </c>
      <c r="E305" s="421" t="s">
        <v>1475</v>
      </c>
      <c r="F305" s="421" t="s">
        <v>3360</v>
      </c>
      <c r="G305" s="421" t="s">
        <v>3132</v>
      </c>
      <c r="H305" s="421" t="s">
        <v>1107</v>
      </c>
      <c r="I305" s="421" t="s">
        <v>1998</v>
      </c>
      <c r="J305" s="421" t="s">
        <v>3626</v>
      </c>
      <c r="K305" s="421" t="s">
        <v>3093</v>
      </c>
      <c r="L305" s="421" t="s">
        <v>3094</v>
      </c>
      <c r="M305" s="421" t="s">
        <v>2667</v>
      </c>
      <c r="N305" s="421" t="s">
        <v>3093</v>
      </c>
      <c r="O305" s="421" t="s">
        <v>3094</v>
      </c>
      <c r="P305" s="421" t="s">
        <v>3095</v>
      </c>
      <c r="Q305" s="421" t="s">
        <v>3113</v>
      </c>
      <c r="R305" s="421" t="s">
        <v>1108</v>
      </c>
      <c r="S305" s="421" t="s">
        <v>1108</v>
      </c>
      <c r="T305" s="421" t="s">
        <v>1130</v>
      </c>
      <c r="U305" s="421" t="s">
        <v>1112</v>
      </c>
      <c r="V305" s="421" t="s">
        <v>3097</v>
      </c>
      <c r="W305" s="421" t="s">
        <v>3098</v>
      </c>
      <c r="X305" s="421" t="s">
        <v>3099</v>
      </c>
      <c r="Y305" s="421" t="s">
        <v>1117</v>
      </c>
      <c r="Z305" s="421" t="s">
        <v>1118</v>
      </c>
      <c r="AA305" s="421" t="s">
        <v>3100</v>
      </c>
      <c r="AB305" s="421" t="s">
        <v>3101</v>
      </c>
      <c r="AC305" s="421" t="s">
        <v>3102</v>
      </c>
      <c r="AD305" s="421" t="s">
        <v>3163</v>
      </c>
      <c r="AE305" s="421" t="s">
        <v>3164</v>
      </c>
      <c r="AF305" s="421" t="s">
        <v>2236</v>
      </c>
      <c r="AG305" s="421" t="s">
        <v>2237</v>
      </c>
      <c r="AH305" s="421" t="s">
        <v>3105</v>
      </c>
      <c r="AI305" s="421">
        <v>12000</v>
      </c>
      <c r="AJ305" s="421">
        <v>46.56</v>
      </c>
      <c r="AK305" s="421">
        <v>51.27</v>
      </c>
      <c r="AL305" s="421">
        <v>4</v>
      </c>
      <c r="AM305" s="421" t="s">
        <v>964</v>
      </c>
      <c r="AN305" s="421" t="s">
        <v>3165</v>
      </c>
      <c r="AO305" s="421" t="s">
        <v>1121</v>
      </c>
      <c r="AP305" s="421" t="s">
        <v>1121</v>
      </c>
      <c r="AQ305" s="421" t="s">
        <v>1108</v>
      </c>
      <c r="AR305" s="421" t="s">
        <v>3627</v>
      </c>
      <c r="AS305" s="421" t="s">
        <v>3628</v>
      </c>
      <c r="AT305" s="421" t="s">
        <v>3109</v>
      </c>
      <c r="AU305" s="421" t="s">
        <v>1142</v>
      </c>
      <c r="AV305" s="421" t="s">
        <v>2135</v>
      </c>
      <c r="AW305" s="421" t="s">
        <v>3110</v>
      </c>
      <c r="AX305" s="421" t="s">
        <v>3111</v>
      </c>
      <c r="AY305" s="421" t="s">
        <v>3112</v>
      </c>
      <c r="AZ305" s="421" t="s">
        <v>3113</v>
      </c>
      <c r="BA305" s="421" t="s">
        <v>3114</v>
      </c>
      <c r="BB305" s="421" t="s">
        <v>3115</v>
      </c>
      <c r="BC305" s="421">
        <v>1272</v>
      </c>
      <c r="BD305" s="421">
        <v>3337295.52</v>
      </c>
      <c r="BE305" s="421">
        <v>0</v>
      </c>
      <c r="BF305" s="421">
        <v>43.19</v>
      </c>
      <c r="BG305" s="421">
        <v>0</v>
      </c>
      <c r="BH305" s="421">
        <v>0</v>
      </c>
      <c r="BI305" s="421" t="s">
        <v>1278</v>
      </c>
    </row>
    <row r="306" spans="1:61" x14ac:dyDescent="0.25">
      <c r="A306" s="421">
        <v>303</v>
      </c>
      <c r="B306" s="421">
        <v>2015</v>
      </c>
      <c r="C306" s="421">
        <v>6</v>
      </c>
      <c r="D306" s="421">
        <v>9</v>
      </c>
      <c r="E306" s="421" t="s">
        <v>1475</v>
      </c>
      <c r="F306" s="421" t="s">
        <v>3360</v>
      </c>
      <c r="G306" s="421" t="s">
        <v>3132</v>
      </c>
      <c r="H306" s="421" t="s">
        <v>1107</v>
      </c>
      <c r="I306" s="421" t="s">
        <v>1998</v>
      </c>
      <c r="J306" s="421" t="s">
        <v>3626</v>
      </c>
      <c r="K306" s="421" t="s">
        <v>3093</v>
      </c>
      <c r="L306" s="421" t="s">
        <v>3094</v>
      </c>
      <c r="M306" s="421" t="s">
        <v>2667</v>
      </c>
      <c r="N306" s="421" t="s">
        <v>3093</v>
      </c>
      <c r="O306" s="421" t="s">
        <v>3094</v>
      </c>
      <c r="P306" s="421" t="s">
        <v>3095</v>
      </c>
      <c r="Q306" s="421" t="s">
        <v>3113</v>
      </c>
      <c r="R306" s="421" t="s">
        <v>1108</v>
      </c>
      <c r="S306" s="421" t="s">
        <v>1108</v>
      </c>
      <c r="T306" s="421" t="s">
        <v>1130</v>
      </c>
      <c r="U306" s="421" t="s">
        <v>1112</v>
      </c>
      <c r="V306" s="421" t="s">
        <v>3097</v>
      </c>
      <c r="W306" s="421" t="s">
        <v>3098</v>
      </c>
      <c r="X306" s="421" t="s">
        <v>3099</v>
      </c>
      <c r="Y306" s="421" t="s">
        <v>1117</v>
      </c>
      <c r="Z306" s="421" t="s">
        <v>1118</v>
      </c>
      <c r="AA306" s="421" t="s">
        <v>3100</v>
      </c>
      <c r="AB306" s="421" t="s">
        <v>3101</v>
      </c>
      <c r="AC306" s="421" t="s">
        <v>3102</v>
      </c>
      <c r="AD306" s="421" t="s">
        <v>3163</v>
      </c>
      <c r="AE306" s="421" t="s">
        <v>3164</v>
      </c>
      <c r="AF306" s="421" t="s">
        <v>2236</v>
      </c>
      <c r="AG306" s="421" t="s">
        <v>2237</v>
      </c>
      <c r="AH306" s="421" t="s">
        <v>3105</v>
      </c>
      <c r="AI306" s="421">
        <v>1012360</v>
      </c>
      <c r="AJ306" s="421">
        <v>3469.64</v>
      </c>
      <c r="AK306" s="421">
        <v>3820.54</v>
      </c>
      <c r="AL306" s="421">
        <v>2</v>
      </c>
      <c r="AM306" s="421" t="s">
        <v>964</v>
      </c>
      <c r="AN306" s="421" t="s">
        <v>3165</v>
      </c>
      <c r="AO306" s="421" t="s">
        <v>1121</v>
      </c>
      <c r="AP306" s="421" t="s">
        <v>1121</v>
      </c>
      <c r="AQ306" s="421" t="s">
        <v>1108</v>
      </c>
      <c r="AR306" s="421" t="s">
        <v>3627</v>
      </c>
      <c r="AS306" s="421" t="s">
        <v>3628</v>
      </c>
      <c r="AT306" s="421" t="s">
        <v>3109</v>
      </c>
      <c r="AU306" s="421" t="s">
        <v>1142</v>
      </c>
      <c r="AV306" s="421" t="s">
        <v>2135</v>
      </c>
      <c r="AW306" s="421" t="s">
        <v>3110</v>
      </c>
      <c r="AX306" s="421" t="s">
        <v>3111</v>
      </c>
      <c r="AY306" s="421" t="s">
        <v>3112</v>
      </c>
      <c r="AZ306" s="421" t="s">
        <v>3113</v>
      </c>
      <c r="BA306" s="421" t="s">
        <v>3114</v>
      </c>
      <c r="BB306" s="421" t="s">
        <v>3115</v>
      </c>
      <c r="BC306" s="421">
        <v>49069.2</v>
      </c>
      <c r="BD306" s="421">
        <v>128740897.27</v>
      </c>
      <c r="BE306" s="421">
        <v>0</v>
      </c>
      <c r="BF306" s="421">
        <v>1665.99</v>
      </c>
      <c r="BG306" s="421">
        <v>0</v>
      </c>
      <c r="BH306" s="421">
        <v>0</v>
      </c>
      <c r="BI306" s="421" t="s">
        <v>1278</v>
      </c>
    </row>
    <row r="307" spans="1:61" x14ac:dyDescent="0.25">
      <c r="A307" s="421">
        <v>304</v>
      </c>
      <c r="B307" s="421">
        <v>2015</v>
      </c>
      <c r="C307" s="421">
        <v>6</v>
      </c>
      <c r="D307" s="421">
        <v>9</v>
      </c>
      <c r="E307" s="421" t="s">
        <v>1475</v>
      </c>
      <c r="F307" s="421" t="s">
        <v>3360</v>
      </c>
      <c r="G307" s="421" t="s">
        <v>3132</v>
      </c>
      <c r="H307" s="421" t="s">
        <v>1107</v>
      </c>
      <c r="I307" s="421" t="s">
        <v>1998</v>
      </c>
      <c r="J307" s="421" t="s">
        <v>3629</v>
      </c>
      <c r="K307" s="421" t="s">
        <v>3093</v>
      </c>
      <c r="L307" s="421" t="s">
        <v>3094</v>
      </c>
      <c r="M307" s="421" t="s">
        <v>2667</v>
      </c>
      <c r="N307" s="421" t="s">
        <v>3093</v>
      </c>
      <c r="O307" s="421" t="s">
        <v>3094</v>
      </c>
      <c r="P307" s="421" t="s">
        <v>3095</v>
      </c>
      <c r="Q307" s="421" t="s">
        <v>3096</v>
      </c>
      <c r="R307" s="421" t="s">
        <v>1108</v>
      </c>
      <c r="S307" s="421" t="s">
        <v>1542</v>
      </c>
      <c r="T307" s="421" t="s">
        <v>1130</v>
      </c>
      <c r="U307" s="421" t="s">
        <v>1112</v>
      </c>
      <c r="V307" s="421" t="s">
        <v>3097</v>
      </c>
      <c r="W307" s="421" t="s">
        <v>3098</v>
      </c>
      <c r="X307" s="421" t="s">
        <v>3099</v>
      </c>
      <c r="Y307" s="421" t="s">
        <v>1117</v>
      </c>
      <c r="Z307" s="421" t="s">
        <v>1118</v>
      </c>
      <c r="AA307" s="421" t="s">
        <v>3100</v>
      </c>
      <c r="AB307" s="421" t="s">
        <v>3101</v>
      </c>
      <c r="AC307" s="421" t="s">
        <v>3102</v>
      </c>
      <c r="AD307" s="421" t="s">
        <v>3103</v>
      </c>
      <c r="AE307" s="421" t="s">
        <v>3104</v>
      </c>
      <c r="AF307" s="421" t="s">
        <v>2236</v>
      </c>
      <c r="AG307" s="421" t="s">
        <v>2237</v>
      </c>
      <c r="AH307" s="421" t="s">
        <v>3105</v>
      </c>
      <c r="AI307" s="421">
        <v>2228000</v>
      </c>
      <c r="AJ307" s="421">
        <v>4880.26</v>
      </c>
      <c r="AK307" s="421">
        <v>5296.77</v>
      </c>
      <c r="AL307" s="421">
        <v>2</v>
      </c>
      <c r="AM307" s="421" t="s">
        <v>959</v>
      </c>
      <c r="AN307" s="421" t="s">
        <v>3106</v>
      </c>
      <c r="AO307" s="421" t="s">
        <v>1121</v>
      </c>
      <c r="AP307" s="421" t="s">
        <v>1121</v>
      </c>
      <c r="AQ307" s="421" t="s">
        <v>1542</v>
      </c>
      <c r="AR307" s="421" t="s">
        <v>3627</v>
      </c>
      <c r="AS307" s="421" t="s">
        <v>3630</v>
      </c>
      <c r="AT307" s="421" t="s">
        <v>3109</v>
      </c>
      <c r="AU307" s="421" t="s">
        <v>1142</v>
      </c>
      <c r="AV307" s="421" t="s">
        <v>3410</v>
      </c>
      <c r="AW307" s="421" t="s">
        <v>3110</v>
      </c>
      <c r="AX307" s="421" t="s">
        <v>3111</v>
      </c>
      <c r="AY307" s="421" t="s">
        <v>3112</v>
      </c>
      <c r="AZ307" s="421" t="s">
        <v>3113</v>
      </c>
      <c r="BA307" s="421" t="s">
        <v>3114</v>
      </c>
      <c r="BB307" s="421" t="s">
        <v>3115</v>
      </c>
      <c r="BC307" s="421">
        <v>66235</v>
      </c>
      <c r="BD307" s="421">
        <v>173778120.09999999</v>
      </c>
      <c r="BE307" s="421">
        <v>0</v>
      </c>
      <c r="BF307" s="421">
        <v>0</v>
      </c>
      <c r="BG307" s="421">
        <v>0</v>
      </c>
      <c r="BH307" s="421">
        <v>0</v>
      </c>
      <c r="BI307" s="421" t="s">
        <v>1167</v>
      </c>
    </row>
    <row r="308" spans="1:61" x14ac:dyDescent="0.25">
      <c r="A308" s="421">
        <v>305</v>
      </c>
      <c r="B308" s="421">
        <v>2015</v>
      </c>
      <c r="C308" s="421">
        <v>6</v>
      </c>
      <c r="D308" s="421">
        <v>9</v>
      </c>
      <c r="E308" s="421" t="s">
        <v>1475</v>
      </c>
      <c r="F308" s="421" t="s">
        <v>3360</v>
      </c>
      <c r="G308" s="421" t="s">
        <v>3132</v>
      </c>
      <c r="H308" s="421" t="s">
        <v>1107</v>
      </c>
      <c r="I308" s="421" t="s">
        <v>1998</v>
      </c>
      <c r="J308" s="421" t="s">
        <v>3631</v>
      </c>
      <c r="K308" s="421" t="s">
        <v>3093</v>
      </c>
      <c r="L308" s="421" t="s">
        <v>3094</v>
      </c>
      <c r="M308" s="421" t="s">
        <v>2667</v>
      </c>
      <c r="N308" s="421" t="s">
        <v>3093</v>
      </c>
      <c r="O308" s="421" t="s">
        <v>3094</v>
      </c>
      <c r="P308" s="421" t="s">
        <v>3095</v>
      </c>
      <c r="Q308" s="421" t="s">
        <v>3096</v>
      </c>
      <c r="R308" s="421" t="s">
        <v>1108</v>
      </c>
      <c r="S308" s="421" t="s">
        <v>1542</v>
      </c>
      <c r="T308" s="421" t="s">
        <v>1130</v>
      </c>
      <c r="U308" s="421" t="s">
        <v>1112</v>
      </c>
      <c r="V308" s="421" t="s">
        <v>3097</v>
      </c>
      <c r="W308" s="421" t="s">
        <v>3098</v>
      </c>
      <c r="X308" s="421" t="s">
        <v>3099</v>
      </c>
      <c r="Y308" s="421" t="s">
        <v>1117</v>
      </c>
      <c r="Z308" s="421" t="s">
        <v>1118</v>
      </c>
      <c r="AA308" s="421" t="s">
        <v>3100</v>
      </c>
      <c r="AB308" s="421" t="s">
        <v>3101</v>
      </c>
      <c r="AC308" s="421" t="s">
        <v>3102</v>
      </c>
      <c r="AD308" s="421" t="s">
        <v>3103</v>
      </c>
      <c r="AE308" s="421" t="s">
        <v>3104</v>
      </c>
      <c r="AF308" s="421" t="s">
        <v>2236</v>
      </c>
      <c r="AG308" s="421" t="s">
        <v>2237</v>
      </c>
      <c r="AH308" s="421" t="s">
        <v>3105</v>
      </c>
      <c r="AI308" s="421">
        <v>3709000</v>
      </c>
      <c r="AJ308" s="421">
        <v>8327.7099999999991</v>
      </c>
      <c r="AK308" s="421">
        <v>9047.8799999999992</v>
      </c>
      <c r="AL308" s="421">
        <v>1</v>
      </c>
      <c r="AM308" s="421" t="s">
        <v>959</v>
      </c>
      <c r="AN308" s="421" t="s">
        <v>3106</v>
      </c>
      <c r="AO308" s="421" t="s">
        <v>1121</v>
      </c>
      <c r="AP308" s="421" t="s">
        <v>1121</v>
      </c>
      <c r="AQ308" s="421" t="s">
        <v>1542</v>
      </c>
      <c r="AR308" s="421" t="s">
        <v>3627</v>
      </c>
      <c r="AS308" s="421" t="s">
        <v>3632</v>
      </c>
      <c r="AT308" s="421" t="s">
        <v>3109</v>
      </c>
      <c r="AU308" s="421" t="s">
        <v>1142</v>
      </c>
      <c r="AV308" s="421" t="s">
        <v>3410</v>
      </c>
      <c r="AW308" s="421" t="s">
        <v>3110</v>
      </c>
      <c r="AX308" s="421" t="s">
        <v>3111</v>
      </c>
      <c r="AY308" s="421" t="s">
        <v>3112</v>
      </c>
      <c r="AZ308" s="421" t="s">
        <v>3113</v>
      </c>
      <c r="BA308" s="421" t="s">
        <v>3114</v>
      </c>
      <c r="BB308" s="421" t="s">
        <v>3115</v>
      </c>
      <c r="BC308" s="421">
        <v>105143.5</v>
      </c>
      <c r="BD308" s="421">
        <v>275860795.20999998</v>
      </c>
      <c r="BE308" s="421">
        <v>0</v>
      </c>
      <c r="BF308" s="421">
        <v>0</v>
      </c>
      <c r="BG308" s="421">
        <v>0</v>
      </c>
      <c r="BH308" s="421">
        <v>0</v>
      </c>
      <c r="BI308" s="421" t="s">
        <v>1167</v>
      </c>
    </row>
    <row r="309" spans="1:61" x14ac:dyDescent="0.25">
      <c r="A309" s="421">
        <v>306</v>
      </c>
      <c r="B309" s="421">
        <v>2015</v>
      </c>
      <c r="C309" s="421">
        <v>6</v>
      </c>
      <c r="D309" s="421">
        <v>9</v>
      </c>
      <c r="E309" s="421" t="s">
        <v>1475</v>
      </c>
      <c r="F309" s="421" t="s">
        <v>3360</v>
      </c>
      <c r="G309" s="421" t="s">
        <v>3132</v>
      </c>
      <c r="H309" s="421" t="s">
        <v>1107</v>
      </c>
      <c r="I309" s="421" t="s">
        <v>1998</v>
      </c>
      <c r="J309" s="421" t="s">
        <v>3631</v>
      </c>
      <c r="K309" s="421" t="s">
        <v>3093</v>
      </c>
      <c r="L309" s="421" t="s">
        <v>3094</v>
      </c>
      <c r="M309" s="421" t="s">
        <v>2667</v>
      </c>
      <c r="N309" s="421" t="s">
        <v>3093</v>
      </c>
      <c r="O309" s="421" t="s">
        <v>3094</v>
      </c>
      <c r="P309" s="421" t="s">
        <v>3095</v>
      </c>
      <c r="Q309" s="421" t="s">
        <v>3096</v>
      </c>
      <c r="R309" s="421" t="s">
        <v>1108</v>
      </c>
      <c r="S309" s="421" t="s">
        <v>1542</v>
      </c>
      <c r="T309" s="421" t="s">
        <v>1130</v>
      </c>
      <c r="U309" s="421" t="s">
        <v>1112</v>
      </c>
      <c r="V309" s="421" t="s">
        <v>3097</v>
      </c>
      <c r="W309" s="421" t="s">
        <v>3098</v>
      </c>
      <c r="X309" s="421" t="s">
        <v>3099</v>
      </c>
      <c r="Y309" s="421" t="s">
        <v>1117</v>
      </c>
      <c r="Z309" s="421" t="s">
        <v>1118</v>
      </c>
      <c r="AA309" s="421" t="s">
        <v>3100</v>
      </c>
      <c r="AB309" s="421" t="s">
        <v>3101</v>
      </c>
      <c r="AC309" s="421" t="s">
        <v>3102</v>
      </c>
      <c r="AD309" s="421" t="s">
        <v>3103</v>
      </c>
      <c r="AE309" s="421" t="s">
        <v>3104</v>
      </c>
      <c r="AF309" s="421" t="s">
        <v>2236</v>
      </c>
      <c r="AG309" s="421" t="s">
        <v>2237</v>
      </c>
      <c r="AH309" s="421" t="s">
        <v>3105</v>
      </c>
      <c r="AI309" s="421">
        <v>343500</v>
      </c>
      <c r="AJ309" s="421">
        <v>738.18</v>
      </c>
      <c r="AK309" s="421">
        <v>802.02</v>
      </c>
      <c r="AL309" s="421">
        <v>2</v>
      </c>
      <c r="AM309" s="421" t="s">
        <v>959</v>
      </c>
      <c r="AN309" s="421" t="s">
        <v>3106</v>
      </c>
      <c r="AO309" s="421" t="s">
        <v>1121</v>
      </c>
      <c r="AP309" s="421" t="s">
        <v>1121</v>
      </c>
      <c r="AQ309" s="421" t="s">
        <v>1542</v>
      </c>
      <c r="AR309" s="421" t="s">
        <v>3627</v>
      </c>
      <c r="AS309" s="421" t="s">
        <v>3632</v>
      </c>
      <c r="AT309" s="421" t="s">
        <v>3109</v>
      </c>
      <c r="AU309" s="421" t="s">
        <v>1142</v>
      </c>
      <c r="AV309" s="421" t="s">
        <v>3410</v>
      </c>
      <c r="AW309" s="421" t="s">
        <v>3110</v>
      </c>
      <c r="AX309" s="421" t="s">
        <v>3111</v>
      </c>
      <c r="AY309" s="421" t="s">
        <v>3112</v>
      </c>
      <c r="AZ309" s="421" t="s">
        <v>3113</v>
      </c>
      <c r="BA309" s="421" t="s">
        <v>3114</v>
      </c>
      <c r="BB309" s="421" t="s">
        <v>3115</v>
      </c>
      <c r="BC309" s="421">
        <v>10233.5</v>
      </c>
      <c r="BD309" s="421">
        <v>26849224.609999999</v>
      </c>
      <c r="BE309" s="421">
        <v>0</v>
      </c>
      <c r="BF309" s="421">
        <v>0</v>
      </c>
      <c r="BG309" s="421">
        <v>0</v>
      </c>
      <c r="BH309" s="421">
        <v>0</v>
      </c>
      <c r="BI309" s="421" t="s">
        <v>1167</v>
      </c>
    </row>
    <row r="310" spans="1:61" x14ac:dyDescent="0.25">
      <c r="A310" s="421">
        <v>307</v>
      </c>
      <c r="B310" s="421">
        <v>2015</v>
      </c>
      <c r="C310" s="421">
        <v>6</v>
      </c>
      <c r="D310" s="421">
        <v>9</v>
      </c>
      <c r="E310" s="421" t="s">
        <v>1475</v>
      </c>
      <c r="F310" s="421" t="s">
        <v>3360</v>
      </c>
      <c r="G310" s="421" t="s">
        <v>3132</v>
      </c>
      <c r="H310" s="421" t="s">
        <v>1107</v>
      </c>
      <c r="I310" s="421" t="s">
        <v>1998</v>
      </c>
      <c r="J310" s="421" t="s">
        <v>3631</v>
      </c>
      <c r="K310" s="421" t="s">
        <v>3093</v>
      </c>
      <c r="L310" s="421" t="s">
        <v>3094</v>
      </c>
      <c r="M310" s="421" t="s">
        <v>2667</v>
      </c>
      <c r="N310" s="421" t="s">
        <v>3093</v>
      </c>
      <c r="O310" s="421" t="s">
        <v>3094</v>
      </c>
      <c r="P310" s="421" t="s">
        <v>3095</v>
      </c>
      <c r="Q310" s="421" t="s">
        <v>3096</v>
      </c>
      <c r="R310" s="421" t="s">
        <v>1108</v>
      </c>
      <c r="S310" s="421" t="s">
        <v>1542</v>
      </c>
      <c r="T310" s="421" t="s">
        <v>1130</v>
      </c>
      <c r="U310" s="421" t="s">
        <v>1112</v>
      </c>
      <c r="V310" s="421" t="s">
        <v>3097</v>
      </c>
      <c r="W310" s="421" t="s">
        <v>3098</v>
      </c>
      <c r="X310" s="421" t="s">
        <v>3099</v>
      </c>
      <c r="Y310" s="421" t="s">
        <v>1117</v>
      </c>
      <c r="Z310" s="421" t="s">
        <v>1118</v>
      </c>
      <c r="AA310" s="421" t="s">
        <v>3100</v>
      </c>
      <c r="AB310" s="421" t="s">
        <v>3101</v>
      </c>
      <c r="AC310" s="421" t="s">
        <v>3102</v>
      </c>
      <c r="AD310" s="421" t="s">
        <v>3103</v>
      </c>
      <c r="AE310" s="421" t="s">
        <v>3104</v>
      </c>
      <c r="AF310" s="421" t="s">
        <v>2236</v>
      </c>
      <c r="AG310" s="421" t="s">
        <v>2237</v>
      </c>
      <c r="AH310" s="421" t="s">
        <v>3105</v>
      </c>
      <c r="AI310" s="421">
        <v>991000</v>
      </c>
      <c r="AJ310" s="421">
        <v>4723.71</v>
      </c>
      <c r="AK310" s="421">
        <v>5132.21</v>
      </c>
      <c r="AL310" s="421">
        <v>3</v>
      </c>
      <c r="AM310" s="421" t="s">
        <v>959</v>
      </c>
      <c r="AN310" s="421" t="s">
        <v>3106</v>
      </c>
      <c r="AO310" s="421" t="s">
        <v>1121</v>
      </c>
      <c r="AP310" s="421" t="s">
        <v>1121</v>
      </c>
      <c r="AQ310" s="421" t="s">
        <v>1542</v>
      </c>
      <c r="AR310" s="421" t="s">
        <v>3627</v>
      </c>
      <c r="AS310" s="421" t="s">
        <v>3632</v>
      </c>
      <c r="AT310" s="421" t="s">
        <v>3109</v>
      </c>
      <c r="AU310" s="421" t="s">
        <v>1142</v>
      </c>
      <c r="AV310" s="421" t="s">
        <v>3410</v>
      </c>
      <c r="AW310" s="421" t="s">
        <v>3110</v>
      </c>
      <c r="AX310" s="421" t="s">
        <v>3111</v>
      </c>
      <c r="AY310" s="421" t="s">
        <v>3112</v>
      </c>
      <c r="AZ310" s="421" t="s">
        <v>3113</v>
      </c>
      <c r="BA310" s="421" t="s">
        <v>3114</v>
      </c>
      <c r="BB310" s="421" t="s">
        <v>3115</v>
      </c>
      <c r="BC310" s="421">
        <v>112971.4</v>
      </c>
      <c r="BD310" s="421">
        <v>296398543.31999999</v>
      </c>
      <c r="BE310" s="421">
        <v>0</v>
      </c>
      <c r="BF310" s="421">
        <v>0</v>
      </c>
      <c r="BG310" s="421">
        <v>0</v>
      </c>
      <c r="BH310" s="421">
        <v>0</v>
      </c>
      <c r="BI310" s="421" t="s">
        <v>1167</v>
      </c>
    </row>
    <row r="311" spans="1:61" x14ac:dyDescent="0.25">
      <c r="A311" s="421">
        <v>308</v>
      </c>
      <c r="B311" s="421">
        <v>2015</v>
      </c>
      <c r="C311" s="421">
        <v>6</v>
      </c>
      <c r="D311" s="421">
        <v>9</v>
      </c>
      <c r="E311" s="421" t="s">
        <v>1475</v>
      </c>
      <c r="F311" s="421" t="s">
        <v>3360</v>
      </c>
      <c r="G311" s="421" t="s">
        <v>3132</v>
      </c>
      <c r="H311" s="421" t="s">
        <v>1107</v>
      </c>
      <c r="I311" s="421" t="s">
        <v>1998</v>
      </c>
      <c r="J311" s="421" t="s">
        <v>3631</v>
      </c>
      <c r="K311" s="421" t="s">
        <v>3093</v>
      </c>
      <c r="L311" s="421" t="s">
        <v>3094</v>
      </c>
      <c r="M311" s="421" t="s">
        <v>2667</v>
      </c>
      <c r="N311" s="421" t="s">
        <v>3093</v>
      </c>
      <c r="O311" s="421" t="s">
        <v>3094</v>
      </c>
      <c r="P311" s="421" t="s">
        <v>3095</v>
      </c>
      <c r="Q311" s="421" t="s">
        <v>3096</v>
      </c>
      <c r="R311" s="421" t="s">
        <v>1108</v>
      </c>
      <c r="S311" s="421" t="s">
        <v>1542</v>
      </c>
      <c r="T311" s="421" t="s">
        <v>1130</v>
      </c>
      <c r="U311" s="421" t="s">
        <v>1112</v>
      </c>
      <c r="V311" s="421" t="s">
        <v>3097</v>
      </c>
      <c r="W311" s="421" t="s">
        <v>3098</v>
      </c>
      <c r="X311" s="421" t="s">
        <v>3099</v>
      </c>
      <c r="Y311" s="421" t="s">
        <v>1117</v>
      </c>
      <c r="Z311" s="421" t="s">
        <v>1118</v>
      </c>
      <c r="AA311" s="421" t="s">
        <v>3100</v>
      </c>
      <c r="AB311" s="421" t="s">
        <v>3101</v>
      </c>
      <c r="AC311" s="421" t="s">
        <v>3102</v>
      </c>
      <c r="AD311" s="421" t="s">
        <v>3103</v>
      </c>
      <c r="AE311" s="421" t="s">
        <v>3104</v>
      </c>
      <c r="AF311" s="421" t="s">
        <v>2236</v>
      </c>
      <c r="AG311" s="421" t="s">
        <v>2237</v>
      </c>
      <c r="AH311" s="421" t="s">
        <v>3105</v>
      </c>
      <c r="AI311" s="421">
        <v>177000</v>
      </c>
      <c r="AJ311" s="421">
        <v>653.15</v>
      </c>
      <c r="AK311" s="421">
        <v>709.63</v>
      </c>
      <c r="AL311" s="421">
        <v>4</v>
      </c>
      <c r="AM311" s="421" t="s">
        <v>959</v>
      </c>
      <c r="AN311" s="421" t="s">
        <v>3106</v>
      </c>
      <c r="AO311" s="421" t="s">
        <v>1121</v>
      </c>
      <c r="AP311" s="421" t="s">
        <v>1121</v>
      </c>
      <c r="AQ311" s="421" t="s">
        <v>1542</v>
      </c>
      <c r="AR311" s="421" t="s">
        <v>3627</v>
      </c>
      <c r="AS311" s="421" t="s">
        <v>3632</v>
      </c>
      <c r="AT311" s="421" t="s">
        <v>3109</v>
      </c>
      <c r="AU311" s="421" t="s">
        <v>1142</v>
      </c>
      <c r="AV311" s="421" t="s">
        <v>3410</v>
      </c>
      <c r="AW311" s="421" t="s">
        <v>3110</v>
      </c>
      <c r="AX311" s="421" t="s">
        <v>3111</v>
      </c>
      <c r="AY311" s="421" t="s">
        <v>3112</v>
      </c>
      <c r="AZ311" s="421" t="s">
        <v>3113</v>
      </c>
      <c r="BA311" s="421" t="s">
        <v>3114</v>
      </c>
      <c r="BB311" s="421" t="s">
        <v>3115</v>
      </c>
      <c r="BC311" s="421">
        <v>14618.4</v>
      </c>
      <c r="BD311" s="421">
        <v>38353711.340000004</v>
      </c>
      <c r="BE311" s="421">
        <v>0</v>
      </c>
      <c r="BF311" s="421">
        <v>0</v>
      </c>
      <c r="BG311" s="421">
        <v>0</v>
      </c>
      <c r="BH311" s="421">
        <v>0</v>
      </c>
      <c r="BI311" s="421" t="s">
        <v>1167</v>
      </c>
    </row>
    <row r="312" spans="1:61" x14ac:dyDescent="0.25">
      <c r="A312" s="421">
        <v>309</v>
      </c>
      <c r="B312" s="421">
        <v>2015</v>
      </c>
      <c r="C312" s="421">
        <v>6</v>
      </c>
      <c r="D312" s="421">
        <v>9</v>
      </c>
      <c r="E312" s="421" t="s">
        <v>1475</v>
      </c>
      <c r="F312" s="421" t="s">
        <v>3360</v>
      </c>
      <c r="G312" s="421" t="s">
        <v>3132</v>
      </c>
      <c r="H312" s="421" t="s">
        <v>1107</v>
      </c>
      <c r="I312" s="421" t="s">
        <v>1998</v>
      </c>
      <c r="J312" s="421" t="s">
        <v>3629</v>
      </c>
      <c r="K312" s="421" t="s">
        <v>3093</v>
      </c>
      <c r="L312" s="421" t="s">
        <v>3094</v>
      </c>
      <c r="M312" s="421" t="s">
        <v>2667</v>
      </c>
      <c r="N312" s="421" t="s">
        <v>3093</v>
      </c>
      <c r="O312" s="421" t="s">
        <v>3094</v>
      </c>
      <c r="P312" s="421" t="s">
        <v>3095</v>
      </c>
      <c r="Q312" s="421" t="s">
        <v>3096</v>
      </c>
      <c r="R312" s="421" t="s">
        <v>1108</v>
      </c>
      <c r="S312" s="421" t="s">
        <v>1542</v>
      </c>
      <c r="T312" s="421" t="s">
        <v>1130</v>
      </c>
      <c r="U312" s="421" t="s">
        <v>1112</v>
      </c>
      <c r="V312" s="421" t="s">
        <v>3097</v>
      </c>
      <c r="W312" s="421" t="s">
        <v>3098</v>
      </c>
      <c r="X312" s="421" t="s">
        <v>3099</v>
      </c>
      <c r="Y312" s="421" t="s">
        <v>1117</v>
      </c>
      <c r="Z312" s="421" t="s">
        <v>1118</v>
      </c>
      <c r="AA312" s="421" t="s">
        <v>3100</v>
      </c>
      <c r="AB312" s="421" t="s">
        <v>3101</v>
      </c>
      <c r="AC312" s="421" t="s">
        <v>3102</v>
      </c>
      <c r="AD312" s="421" t="s">
        <v>3103</v>
      </c>
      <c r="AE312" s="421" t="s">
        <v>3104</v>
      </c>
      <c r="AF312" s="421" t="s">
        <v>2236</v>
      </c>
      <c r="AG312" s="421" t="s">
        <v>2237</v>
      </c>
      <c r="AH312" s="421" t="s">
        <v>3105</v>
      </c>
      <c r="AI312" s="421">
        <v>5014500</v>
      </c>
      <c r="AJ312" s="421">
        <v>9765.14</v>
      </c>
      <c r="AK312" s="421">
        <v>10598.55</v>
      </c>
      <c r="AL312" s="421">
        <v>1</v>
      </c>
      <c r="AM312" s="421" t="s">
        <v>959</v>
      </c>
      <c r="AN312" s="421" t="s">
        <v>3106</v>
      </c>
      <c r="AO312" s="421" t="s">
        <v>1121</v>
      </c>
      <c r="AP312" s="421" t="s">
        <v>1121</v>
      </c>
      <c r="AQ312" s="421" t="s">
        <v>1542</v>
      </c>
      <c r="AR312" s="421" t="s">
        <v>3627</v>
      </c>
      <c r="AS312" s="421" t="s">
        <v>3630</v>
      </c>
      <c r="AT312" s="421" t="s">
        <v>3109</v>
      </c>
      <c r="AU312" s="421" t="s">
        <v>1142</v>
      </c>
      <c r="AV312" s="421" t="s">
        <v>3410</v>
      </c>
      <c r="AW312" s="421" t="s">
        <v>3110</v>
      </c>
      <c r="AX312" s="421" t="s">
        <v>3111</v>
      </c>
      <c r="AY312" s="421" t="s">
        <v>3112</v>
      </c>
      <c r="AZ312" s="421" t="s">
        <v>3113</v>
      </c>
      <c r="BA312" s="421" t="s">
        <v>3114</v>
      </c>
      <c r="BB312" s="421" t="s">
        <v>3115</v>
      </c>
      <c r="BC312" s="421">
        <v>133581</v>
      </c>
      <c r="BD312" s="421">
        <v>350471126.45999998</v>
      </c>
      <c r="BE312" s="421">
        <v>0</v>
      </c>
      <c r="BF312" s="421">
        <v>0</v>
      </c>
      <c r="BG312" s="421">
        <v>0</v>
      </c>
      <c r="BH312" s="421">
        <v>0</v>
      </c>
      <c r="BI312" s="421" t="s">
        <v>1167</v>
      </c>
    </row>
    <row r="313" spans="1:61" x14ac:dyDescent="0.25">
      <c r="A313" s="421">
        <v>310</v>
      </c>
      <c r="B313" s="421">
        <v>2015</v>
      </c>
      <c r="C313" s="421">
        <v>6</v>
      </c>
      <c r="D313" s="421">
        <v>9</v>
      </c>
      <c r="E313" s="421" t="s">
        <v>1475</v>
      </c>
      <c r="F313" s="421" t="s">
        <v>3360</v>
      </c>
      <c r="G313" s="421" t="s">
        <v>3132</v>
      </c>
      <c r="H313" s="421" t="s">
        <v>1107</v>
      </c>
      <c r="I313" s="421" t="s">
        <v>1998</v>
      </c>
      <c r="J313" s="421" t="s">
        <v>3633</v>
      </c>
      <c r="K313" s="421" t="s">
        <v>3093</v>
      </c>
      <c r="L313" s="421" t="s">
        <v>3094</v>
      </c>
      <c r="M313" s="421" t="s">
        <v>2667</v>
      </c>
      <c r="N313" s="421" t="s">
        <v>3093</v>
      </c>
      <c r="O313" s="421" t="s">
        <v>3094</v>
      </c>
      <c r="P313" s="421" t="s">
        <v>3095</v>
      </c>
      <c r="Q313" s="421" t="s">
        <v>3113</v>
      </c>
      <c r="R313" s="421" t="s">
        <v>1108</v>
      </c>
      <c r="S313" s="421" t="s">
        <v>1108</v>
      </c>
      <c r="T313" s="421" t="s">
        <v>1130</v>
      </c>
      <c r="U313" s="421" t="s">
        <v>1112</v>
      </c>
      <c r="V313" s="421" t="s">
        <v>3097</v>
      </c>
      <c r="W313" s="421" t="s">
        <v>3098</v>
      </c>
      <c r="X313" s="421" t="s">
        <v>3099</v>
      </c>
      <c r="Y313" s="421" t="s">
        <v>1117</v>
      </c>
      <c r="Z313" s="421" t="s">
        <v>1118</v>
      </c>
      <c r="AA313" s="421" t="s">
        <v>3100</v>
      </c>
      <c r="AB313" s="421" t="s">
        <v>3101</v>
      </c>
      <c r="AC313" s="421" t="s">
        <v>3102</v>
      </c>
      <c r="AD313" s="421" t="s">
        <v>3213</v>
      </c>
      <c r="AE313" s="421" t="s">
        <v>3634</v>
      </c>
      <c r="AF313" s="421" t="s">
        <v>2236</v>
      </c>
      <c r="AG313" s="421" t="s">
        <v>2237</v>
      </c>
      <c r="AH313" s="421" t="s">
        <v>3105</v>
      </c>
      <c r="AI313" s="421">
        <v>824120</v>
      </c>
      <c r="AJ313" s="421">
        <v>2347.6999999999998</v>
      </c>
      <c r="AK313" s="421">
        <v>2534.67</v>
      </c>
      <c r="AL313" s="421">
        <v>1</v>
      </c>
      <c r="AM313" s="421" t="s">
        <v>2037</v>
      </c>
      <c r="AN313" s="421" t="s">
        <v>3635</v>
      </c>
      <c r="AO313" s="421" t="s">
        <v>1121</v>
      </c>
      <c r="AP313" s="421" t="s">
        <v>1121</v>
      </c>
      <c r="AQ313" s="421" t="s">
        <v>1108</v>
      </c>
      <c r="AR313" s="421" t="s">
        <v>3627</v>
      </c>
      <c r="AS313" s="421" t="s">
        <v>3636</v>
      </c>
      <c r="AT313" s="421" t="s">
        <v>3109</v>
      </c>
      <c r="AU313" s="421" t="s">
        <v>1142</v>
      </c>
      <c r="AV313" s="421" t="s">
        <v>3130</v>
      </c>
      <c r="AW313" s="421" t="s">
        <v>3110</v>
      </c>
      <c r="AX313" s="421" t="s">
        <v>3111</v>
      </c>
      <c r="AY313" s="421" t="s">
        <v>3193</v>
      </c>
      <c r="AZ313" s="421" t="s">
        <v>3113</v>
      </c>
      <c r="BA313" s="421" t="s">
        <v>3114</v>
      </c>
      <c r="BB313" s="421" t="s">
        <v>3115</v>
      </c>
      <c r="BC313" s="421">
        <v>39151.800000000003</v>
      </c>
      <c r="BD313" s="421">
        <v>102721011.59</v>
      </c>
      <c r="BE313" s="421">
        <v>0</v>
      </c>
      <c r="BF313" s="421">
        <v>679.2</v>
      </c>
      <c r="BG313" s="421">
        <v>99.58</v>
      </c>
      <c r="BH313" s="421">
        <v>0</v>
      </c>
      <c r="BI313" s="421" t="s">
        <v>1149</v>
      </c>
    </row>
    <row r="314" spans="1:61" x14ac:dyDescent="0.25">
      <c r="A314" s="421">
        <v>311</v>
      </c>
      <c r="B314" s="421">
        <v>2015</v>
      </c>
      <c r="C314" s="421">
        <v>6</v>
      </c>
      <c r="D314" s="421">
        <v>9</v>
      </c>
      <c r="E314" s="421" t="s">
        <v>1475</v>
      </c>
      <c r="F314" s="421" t="s">
        <v>3360</v>
      </c>
      <c r="G314" s="421" t="s">
        <v>3132</v>
      </c>
      <c r="H314" s="421" t="s">
        <v>1107</v>
      </c>
      <c r="I314" s="421" t="s">
        <v>1998</v>
      </c>
      <c r="J314" s="421" t="s">
        <v>3633</v>
      </c>
      <c r="K314" s="421" t="s">
        <v>3093</v>
      </c>
      <c r="L314" s="421" t="s">
        <v>3094</v>
      </c>
      <c r="M314" s="421" t="s">
        <v>2667</v>
      </c>
      <c r="N314" s="421" t="s">
        <v>3093</v>
      </c>
      <c r="O314" s="421" t="s">
        <v>3094</v>
      </c>
      <c r="P314" s="421" t="s">
        <v>3095</v>
      </c>
      <c r="Q314" s="421" t="s">
        <v>3113</v>
      </c>
      <c r="R314" s="421" t="s">
        <v>1108</v>
      </c>
      <c r="S314" s="421" t="s">
        <v>1108</v>
      </c>
      <c r="T314" s="421" t="s">
        <v>1130</v>
      </c>
      <c r="U314" s="421" t="s">
        <v>1112</v>
      </c>
      <c r="V314" s="421" t="s">
        <v>3097</v>
      </c>
      <c r="W314" s="421" t="s">
        <v>3098</v>
      </c>
      <c r="X314" s="421" t="s">
        <v>3099</v>
      </c>
      <c r="Y314" s="421" t="s">
        <v>1117</v>
      </c>
      <c r="Z314" s="421" t="s">
        <v>1118</v>
      </c>
      <c r="AA314" s="421" t="s">
        <v>3100</v>
      </c>
      <c r="AB314" s="421" t="s">
        <v>3101</v>
      </c>
      <c r="AC314" s="421" t="s">
        <v>3102</v>
      </c>
      <c r="AD314" s="421" t="s">
        <v>3213</v>
      </c>
      <c r="AE314" s="421" t="s">
        <v>3634</v>
      </c>
      <c r="AF314" s="421" t="s">
        <v>2236</v>
      </c>
      <c r="AG314" s="421" t="s">
        <v>2237</v>
      </c>
      <c r="AH314" s="421" t="s">
        <v>3105</v>
      </c>
      <c r="AI314" s="421">
        <v>324760</v>
      </c>
      <c r="AJ314" s="421">
        <v>1073.33</v>
      </c>
      <c r="AK314" s="421">
        <v>1158.81</v>
      </c>
      <c r="AL314" s="421">
        <v>2</v>
      </c>
      <c r="AM314" s="421" t="s">
        <v>2037</v>
      </c>
      <c r="AN314" s="421" t="s">
        <v>3635</v>
      </c>
      <c r="AO314" s="421" t="s">
        <v>1121</v>
      </c>
      <c r="AP314" s="421" t="s">
        <v>1121</v>
      </c>
      <c r="AQ314" s="421" t="s">
        <v>1108</v>
      </c>
      <c r="AR314" s="421" t="s">
        <v>3627</v>
      </c>
      <c r="AS314" s="421" t="s">
        <v>3636</v>
      </c>
      <c r="AT314" s="421" t="s">
        <v>3109</v>
      </c>
      <c r="AU314" s="421" t="s">
        <v>1142</v>
      </c>
      <c r="AV314" s="421" t="s">
        <v>3130</v>
      </c>
      <c r="AW314" s="421" t="s">
        <v>3110</v>
      </c>
      <c r="AX314" s="421" t="s">
        <v>3111</v>
      </c>
      <c r="AY314" s="421" t="s">
        <v>3193</v>
      </c>
      <c r="AZ314" s="421" t="s">
        <v>3113</v>
      </c>
      <c r="BA314" s="421" t="s">
        <v>3114</v>
      </c>
      <c r="BB314" s="421" t="s">
        <v>3115</v>
      </c>
      <c r="BC314" s="421">
        <v>17534.400000000001</v>
      </c>
      <c r="BD314" s="421">
        <v>46004303.899999999</v>
      </c>
      <c r="BE314" s="421">
        <v>0</v>
      </c>
      <c r="BF314" s="421">
        <v>304.19</v>
      </c>
      <c r="BG314" s="421">
        <v>44.6</v>
      </c>
      <c r="BH314" s="421">
        <v>0</v>
      </c>
      <c r="BI314" s="421" t="s">
        <v>1149</v>
      </c>
    </row>
    <row r="315" spans="1:61" x14ac:dyDescent="0.25">
      <c r="A315" s="421">
        <v>312</v>
      </c>
      <c r="B315" s="421">
        <v>2015</v>
      </c>
      <c r="C315" s="421">
        <v>6</v>
      </c>
      <c r="D315" s="421">
        <v>9</v>
      </c>
      <c r="E315" s="421" t="s">
        <v>1475</v>
      </c>
      <c r="F315" s="421" t="s">
        <v>3360</v>
      </c>
      <c r="G315" s="421" t="s">
        <v>3132</v>
      </c>
      <c r="H315" s="421" t="s">
        <v>1107</v>
      </c>
      <c r="I315" s="421" t="s">
        <v>1998</v>
      </c>
      <c r="J315" s="421" t="s">
        <v>3633</v>
      </c>
      <c r="K315" s="421" t="s">
        <v>3093</v>
      </c>
      <c r="L315" s="421" t="s">
        <v>3094</v>
      </c>
      <c r="M315" s="421" t="s">
        <v>2667</v>
      </c>
      <c r="N315" s="421" t="s">
        <v>3093</v>
      </c>
      <c r="O315" s="421" t="s">
        <v>3094</v>
      </c>
      <c r="P315" s="421" t="s">
        <v>3095</v>
      </c>
      <c r="Q315" s="421" t="s">
        <v>3113</v>
      </c>
      <c r="R315" s="421" t="s">
        <v>1108</v>
      </c>
      <c r="S315" s="421" t="s">
        <v>1108</v>
      </c>
      <c r="T315" s="421" t="s">
        <v>1130</v>
      </c>
      <c r="U315" s="421" t="s">
        <v>1112</v>
      </c>
      <c r="V315" s="421" t="s">
        <v>3097</v>
      </c>
      <c r="W315" s="421" t="s">
        <v>3098</v>
      </c>
      <c r="X315" s="421" t="s">
        <v>3099</v>
      </c>
      <c r="Y315" s="421" t="s">
        <v>1117</v>
      </c>
      <c r="Z315" s="421" t="s">
        <v>1118</v>
      </c>
      <c r="AA315" s="421" t="s">
        <v>3100</v>
      </c>
      <c r="AB315" s="421" t="s">
        <v>3101</v>
      </c>
      <c r="AC315" s="421" t="s">
        <v>3102</v>
      </c>
      <c r="AD315" s="421" t="s">
        <v>3213</v>
      </c>
      <c r="AE315" s="421" t="s">
        <v>3634</v>
      </c>
      <c r="AF315" s="421" t="s">
        <v>2236</v>
      </c>
      <c r="AG315" s="421" t="s">
        <v>2237</v>
      </c>
      <c r="AH315" s="421" t="s">
        <v>3105</v>
      </c>
      <c r="AI315" s="421">
        <v>8640</v>
      </c>
      <c r="AJ315" s="421">
        <v>35.630000000000003</v>
      </c>
      <c r="AK315" s="421">
        <v>38.47</v>
      </c>
      <c r="AL315" s="421">
        <v>3</v>
      </c>
      <c r="AM315" s="421" t="s">
        <v>2037</v>
      </c>
      <c r="AN315" s="421" t="s">
        <v>3635</v>
      </c>
      <c r="AO315" s="421" t="s">
        <v>1121</v>
      </c>
      <c r="AP315" s="421" t="s">
        <v>1121</v>
      </c>
      <c r="AQ315" s="421" t="s">
        <v>1108</v>
      </c>
      <c r="AR315" s="421" t="s">
        <v>3627</v>
      </c>
      <c r="AS315" s="421" t="s">
        <v>3636</v>
      </c>
      <c r="AT315" s="421" t="s">
        <v>3109</v>
      </c>
      <c r="AU315" s="421" t="s">
        <v>1142</v>
      </c>
      <c r="AV315" s="421" t="s">
        <v>3130</v>
      </c>
      <c r="AW315" s="421" t="s">
        <v>3110</v>
      </c>
      <c r="AX315" s="421" t="s">
        <v>3111</v>
      </c>
      <c r="AY315" s="421" t="s">
        <v>3193</v>
      </c>
      <c r="AZ315" s="421" t="s">
        <v>3113</v>
      </c>
      <c r="BA315" s="421" t="s">
        <v>3114</v>
      </c>
      <c r="BB315" s="421" t="s">
        <v>3115</v>
      </c>
      <c r="BC315" s="421">
        <v>957.6</v>
      </c>
      <c r="BD315" s="421">
        <v>2512416.8199999998</v>
      </c>
      <c r="BE315" s="421">
        <v>0</v>
      </c>
      <c r="BF315" s="421">
        <v>16.61</v>
      </c>
      <c r="BG315" s="421">
        <v>2.44</v>
      </c>
      <c r="BH315" s="421">
        <v>0</v>
      </c>
      <c r="BI315" s="421" t="s">
        <v>1149</v>
      </c>
    </row>
    <row r="316" spans="1:61" x14ac:dyDescent="0.25">
      <c r="A316" s="421">
        <v>313</v>
      </c>
      <c r="B316" s="421">
        <v>2015</v>
      </c>
      <c r="C316" s="421">
        <v>6</v>
      </c>
      <c r="D316" s="421">
        <v>9</v>
      </c>
      <c r="E316" s="421" t="s">
        <v>1475</v>
      </c>
      <c r="F316" s="421" t="s">
        <v>3360</v>
      </c>
      <c r="G316" s="421" t="s">
        <v>3132</v>
      </c>
      <c r="H316" s="421" t="s">
        <v>1107</v>
      </c>
      <c r="I316" s="421" t="s">
        <v>1998</v>
      </c>
      <c r="J316" s="421" t="s">
        <v>3637</v>
      </c>
      <c r="K316" s="421" t="s">
        <v>3093</v>
      </c>
      <c r="L316" s="421" t="s">
        <v>3094</v>
      </c>
      <c r="M316" s="421" t="s">
        <v>2667</v>
      </c>
      <c r="N316" s="421" t="s">
        <v>3093</v>
      </c>
      <c r="O316" s="421" t="s">
        <v>3094</v>
      </c>
      <c r="P316" s="421" t="s">
        <v>3095</v>
      </c>
      <c r="Q316" s="421" t="s">
        <v>3113</v>
      </c>
      <c r="R316" s="421" t="s">
        <v>1108</v>
      </c>
      <c r="S316" s="421" t="s">
        <v>1108</v>
      </c>
      <c r="T316" s="421" t="s">
        <v>1130</v>
      </c>
      <c r="U316" s="421" t="s">
        <v>1112</v>
      </c>
      <c r="V316" s="421" t="s">
        <v>3097</v>
      </c>
      <c r="W316" s="421" t="s">
        <v>3098</v>
      </c>
      <c r="X316" s="421" t="s">
        <v>3099</v>
      </c>
      <c r="Y316" s="421" t="s">
        <v>1117</v>
      </c>
      <c r="Z316" s="421" t="s">
        <v>1118</v>
      </c>
      <c r="AA316" s="421" t="s">
        <v>3100</v>
      </c>
      <c r="AB316" s="421" t="s">
        <v>3101</v>
      </c>
      <c r="AC316" s="421" t="s">
        <v>3102</v>
      </c>
      <c r="AD316" s="421" t="s">
        <v>3125</v>
      </c>
      <c r="AE316" s="421" t="s">
        <v>3126</v>
      </c>
      <c r="AF316" s="421" t="s">
        <v>2236</v>
      </c>
      <c r="AG316" s="421" t="s">
        <v>2237</v>
      </c>
      <c r="AH316" s="421" t="s">
        <v>3105</v>
      </c>
      <c r="AI316" s="421">
        <v>28000</v>
      </c>
      <c r="AJ316" s="421">
        <v>110.69</v>
      </c>
      <c r="AK316" s="421">
        <v>128.97</v>
      </c>
      <c r="AL316" s="421">
        <v>4</v>
      </c>
      <c r="AM316" s="421" t="s">
        <v>962</v>
      </c>
      <c r="AN316" s="421" t="s">
        <v>3127</v>
      </c>
      <c r="AO316" s="421" t="s">
        <v>1121</v>
      </c>
      <c r="AP316" s="421" t="s">
        <v>1121</v>
      </c>
      <c r="AQ316" s="421" t="s">
        <v>1108</v>
      </c>
      <c r="AR316" s="421" t="s">
        <v>3627</v>
      </c>
      <c r="AS316" s="421" t="s">
        <v>3638</v>
      </c>
      <c r="AT316" s="421" t="s">
        <v>3109</v>
      </c>
      <c r="AU316" s="421" t="s">
        <v>1142</v>
      </c>
      <c r="AV316" s="421" t="s">
        <v>3130</v>
      </c>
      <c r="AW316" s="421" t="s">
        <v>3110</v>
      </c>
      <c r="AX316" s="421" t="s">
        <v>3111</v>
      </c>
      <c r="AY316" s="421" t="s">
        <v>3112</v>
      </c>
      <c r="AZ316" s="421" t="s">
        <v>3113</v>
      </c>
      <c r="BA316" s="421" t="s">
        <v>3114</v>
      </c>
      <c r="BB316" s="421" t="s">
        <v>3115</v>
      </c>
      <c r="BC316" s="421">
        <v>3192</v>
      </c>
      <c r="BD316" s="421">
        <v>8374722.7199999997</v>
      </c>
      <c r="BE316" s="421">
        <v>0</v>
      </c>
      <c r="BF316" s="421">
        <v>80.59</v>
      </c>
      <c r="BG316" s="421">
        <v>0</v>
      </c>
      <c r="BH316" s="421">
        <v>0</v>
      </c>
      <c r="BI316" s="421" t="s">
        <v>1149</v>
      </c>
    </row>
    <row r="317" spans="1:61" x14ac:dyDescent="0.25">
      <c r="A317" s="421">
        <v>314</v>
      </c>
      <c r="B317" s="421">
        <v>2015</v>
      </c>
      <c r="C317" s="421">
        <v>6</v>
      </c>
      <c r="D317" s="421">
        <v>9</v>
      </c>
      <c r="E317" s="421" t="s">
        <v>1475</v>
      </c>
      <c r="F317" s="421" t="s">
        <v>3360</v>
      </c>
      <c r="G317" s="421" t="s">
        <v>3132</v>
      </c>
      <c r="H317" s="421" t="s">
        <v>1107</v>
      </c>
      <c r="I317" s="421" t="s">
        <v>1998</v>
      </c>
      <c r="J317" s="421" t="s">
        <v>3639</v>
      </c>
      <c r="K317" s="421" t="s">
        <v>3093</v>
      </c>
      <c r="L317" s="421" t="s">
        <v>3094</v>
      </c>
      <c r="M317" s="421" t="s">
        <v>2667</v>
      </c>
      <c r="N317" s="421" t="s">
        <v>3093</v>
      </c>
      <c r="O317" s="421" t="s">
        <v>3094</v>
      </c>
      <c r="P317" s="421" t="s">
        <v>3095</v>
      </c>
      <c r="Q317" s="421" t="s">
        <v>3113</v>
      </c>
      <c r="R317" s="421" t="s">
        <v>1108</v>
      </c>
      <c r="S317" s="421" t="s">
        <v>1108</v>
      </c>
      <c r="T317" s="421" t="s">
        <v>1130</v>
      </c>
      <c r="U317" s="421" t="s">
        <v>1112</v>
      </c>
      <c r="V317" s="421" t="s">
        <v>3097</v>
      </c>
      <c r="W317" s="421" t="s">
        <v>3098</v>
      </c>
      <c r="X317" s="421" t="s">
        <v>3099</v>
      </c>
      <c r="Y317" s="421" t="s">
        <v>1117</v>
      </c>
      <c r="Z317" s="421" t="s">
        <v>1118</v>
      </c>
      <c r="AA317" s="421" t="s">
        <v>3100</v>
      </c>
      <c r="AB317" s="421" t="s">
        <v>3101</v>
      </c>
      <c r="AC317" s="421" t="s">
        <v>3102</v>
      </c>
      <c r="AD317" s="421" t="s">
        <v>3640</v>
      </c>
      <c r="AE317" s="421" t="s">
        <v>3641</v>
      </c>
      <c r="AF317" s="421" t="s">
        <v>2236</v>
      </c>
      <c r="AG317" s="421" t="s">
        <v>2237</v>
      </c>
      <c r="AH317" s="421" t="s">
        <v>3105</v>
      </c>
      <c r="AI317" s="421">
        <v>2747500</v>
      </c>
      <c r="AJ317" s="421">
        <v>6304.29</v>
      </c>
      <c r="AK317" s="421">
        <v>6825.48</v>
      </c>
      <c r="AL317" s="421">
        <v>1</v>
      </c>
      <c r="AM317" s="421" t="s">
        <v>3390</v>
      </c>
      <c r="AN317" s="421" t="s">
        <v>3642</v>
      </c>
      <c r="AO317" s="421" t="s">
        <v>1121</v>
      </c>
      <c r="AP317" s="421" t="s">
        <v>1121</v>
      </c>
      <c r="AQ317" s="421" t="s">
        <v>1108</v>
      </c>
      <c r="AR317" s="421" t="s">
        <v>3627</v>
      </c>
      <c r="AS317" s="421" t="s">
        <v>3643</v>
      </c>
      <c r="AT317" s="421" t="s">
        <v>3109</v>
      </c>
      <c r="AU317" s="421" t="s">
        <v>1142</v>
      </c>
      <c r="AV317" s="421" t="s">
        <v>3130</v>
      </c>
      <c r="AW317" s="421" t="s">
        <v>3110</v>
      </c>
      <c r="AX317" s="421" t="s">
        <v>3111</v>
      </c>
      <c r="AY317" s="421" t="s">
        <v>3112</v>
      </c>
      <c r="AZ317" s="421" t="s">
        <v>3113</v>
      </c>
      <c r="BA317" s="421" t="s">
        <v>3114</v>
      </c>
      <c r="BB317" s="421" t="s">
        <v>3115</v>
      </c>
      <c r="BC317" s="421">
        <v>77991</v>
      </c>
      <c r="BD317" s="421">
        <v>204621867.06</v>
      </c>
      <c r="BE317" s="421">
        <v>0</v>
      </c>
      <c r="BF317" s="421">
        <v>804.56</v>
      </c>
      <c r="BG317" s="421">
        <v>196.99</v>
      </c>
      <c r="BH317" s="421">
        <v>0</v>
      </c>
      <c r="BI317" s="421" t="s">
        <v>1167</v>
      </c>
    </row>
    <row r="318" spans="1:61" x14ac:dyDescent="0.25">
      <c r="A318" s="421">
        <v>315</v>
      </c>
      <c r="B318" s="421">
        <v>2015</v>
      </c>
      <c r="C318" s="421">
        <v>6</v>
      </c>
      <c r="D318" s="421">
        <v>9</v>
      </c>
      <c r="E318" s="421" t="s">
        <v>1475</v>
      </c>
      <c r="F318" s="421" t="s">
        <v>3360</v>
      </c>
      <c r="G318" s="421" t="s">
        <v>3132</v>
      </c>
      <c r="H318" s="421" t="s">
        <v>1107</v>
      </c>
      <c r="I318" s="421" t="s">
        <v>1998</v>
      </c>
      <c r="J318" s="421" t="s">
        <v>3639</v>
      </c>
      <c r="K318" s="421" t="s">
        <v>3093</v>
      </c>
      <c r="L318" s="421" t="s">
        <v>3094</v>
      </c>
      <c r="M318" s="421" t="s">
        <v>2667</v>
      </c>
      <c r="N318" s="421" t="s">
        <v>3093</v>
      </c>
      <c r="O318" s="421" t="s">
        <v>3094</v>
      </c>
      <c r="P318" s="421" t="s">
        <v>3095</v>
      </c>
      <c r="Q318" s="421" t="s">
        <v>3113</v>
      </c>
      <c r="R318" s="421" t="s">
        <v>1108</v>
      </c>
      <c r="S318" s="421" t="s">
        <v>1108</v>
      </c>
      <c r="T318" s="421" t="s">
        <v>1130</v>
      </c>
      <c r="U318" s="421" t="s">
        <v>1112</v>
      </c>
      <c r="V318" s="421" t="s">
        <v>3097</v>
      </c>
      <c r="W318" s="421" t="s">
        <v>3098</v>
      </c>
      <c r="X318" s="421" t="s">
        <v>3099</v>
      </c>
      <c r="Y318" s="421" t="s">
        <v>1117</v>
      </c>
      <c r="Z318" s="421" t="s">
        <v>1118</v>
      </c>
      <c r="AA318" s="421" t="s">
        <v>3100</v>
      </c>
      <c r="AB318" s="421" t="s">
        <v>3101</v>
      </c>
      <c r="AC318" s="421" t="s">
        <v>3102</v>
      </c>
      <c r="AD318" s="421" t="s">
        <v>3640</v>
      </c>
      <c r="AE318" s="421" t="s">
        <v>3641</v>
      </c>
      <c r="AF318" s="421" t="s">
        <v>2236</v>
      </c>
      <c r="AG318" s="421" t="s">
        <v>2237</v>
      </c>
      <c r="AH318" s="421" t="s">
        <v>3105</v>
      </c>
      <c r="AI318" s="421">
        <v>170500</v>
      </c>
      <c r="AJ318" s="421">
        <v>310.23</v>
      </c>
      <c r="AK318" s="421">
        <v>335.88</v>
      </c>
      <c r="AL318" s="421">
        <v>2</v>
      </c>
      <c r="AM318" s="421" t="s">
        <v>3390</v>
      </c>
      <c r="AN318" s="421" t="s">
        <v>3642</v>
      </c>
      <c r="AO318" s="421" t="s">
        <v>1121</v>
      </c>
      <c r="AP318" s="421" t="s">
        <v>1121</v>
      </c>
      <c r="AQ318" s="421" t="s">
        <v>1108</v>
      </c>
      <c r="AR318" s="421" t="s">
        <v>3627</v>
      </c>
      <c r="AS318" s="421" t="s">
        <v>3643</v>
      </c>
      <c r="AT318" s="421" t="s">
        <v>3109</v>
      </c>
      <c r="AU318" s="421" t="s">
        <v>1142</v>
      </c>
      <c r="AV318" s="421" t="s">
        <v>3130</v>
      </c>
      <c r="AW318" s="421" t="s">
        <v>3110</v>
      </c>
      <c r="AX318" s="421" t="s">
        <v>3111</v>
      </c>
      <c r="AY318" s="421" t="s">
        <v>3112</v>
      </c>
      <c r="AZ318" s="421" t="s">
        <v>3113</v>
      </c>
      <c r="BA318" s="421" t="s">
        <v>3114</v>
      </c>
      <c r="BB318" s="421" t="s">
        <v>3115</v>
      </c>
      <c r="BC318" s="421">
        <v>4405</v>
      </c>
      <c r="BD318" s="421">
        <v>11557222.300000001</v>
      </c>
      <c r="BE318" s="421">
        <v>0</v>
      </c>
      <c r="BF318" s="421">
        <v>45.44</v>
      </c>
      <c r="BG318" s="421">
        <v>11.13</v>
      </c>
      <c r="BH318" s="421">
        <v>0</v>
      </c>
      <c r="BI318" s="421" t="s">
        <v>1167</v>
      </c>
    </row>
    <row r="319" spans="1:61" x14ac:dyDescent="0.25">
      <c r="A319" s="421">
        <v>316</v>
      </c>
      <c r="B319" s="421">
        <v>2015</v>
      </c>
      <c r="C319" s="421">
        <v>6</v>
      </c>
      <c r="D319" s="421">
        <v>9</v>
      </c>
      <c r="E319" s="421" t="s">
        <v>1475</v>
      </c>
      <c r="F319" s="421" t="s">
        <v>3360</v>
      </c>
      <c r="G319" s="421" t="s">
        <v>3132</v>
      </c>
      <c r="H319" s="421" t="s">
        <v>1107</v>
      </c>
      <c r="I319" s="421" t="s">
        <v>1998</v>
      </c>
      <c r="J319" s="421" t="s">
        <v>3637</v>
      </c>
      <c r="K319" s="421" t="s">
        <v>3093</v>
      </c>
      <c r="L319" s="421" t="s">
        <v>3094</v>
      </c>
      <c r="M319" s="421" t="s">
        <v>2667</v>
      </c>
      <c r="N319" s="421" t="s">
        <v>3093</v>
      </c>
      <c r="O319" s="421" t="s">
        <v>3094</v>
      </c>
      <c r="P319" s="421" t="s">
        <v>3095</v>
      </c>
      <c r="Q319" s="421" t="s">
        <v>3113</v>
      </c>
      <c r="R319" s="421" t="s">
        <v>1108</v>
      </c>
      <c r="S319" s="421" t="s">
        <v>1108</v>
      </c>
      <c r="T319" s="421" t="s">
        <v>1130</v>
      </c>
      <c r="U319" s="421" t="s">
        <v>1112</v>
      </c>
      <c r="V319" s="421" t="s">
        <v>3097</v>
      </c>
      <c r="W319" s="421" t="s">
        <v>3098</v>
      </c>
      <c r="X319" s="421" t="s">
        <v>3099</v>
      </c>
      <c r="Y319" s="421" t="s">
        <v>1117</v>
      </c>
      <c r="Z319" s="421" t="s">
        <v>1118</v>
      </c>
      <c r="AA319" s="421" t="s">
        <v>3100</v>
      </c>
      <c r="AB319" s="421" t="s">
        <v>3101</v>
      </c>
      <c r="AC319" s="421" t="s">
        <v>3102</v>
      </c>
      <c r="AD319" s="421" t="s">
        <v>3125</v>
      </c>
      <c r="AE319" s="421" t="s">
        <v>3126</v>
      </c>
      <c r="AF319" s="421" t="s">
        <v>2236</v>
      </c>
      <c r="AG319" s="421" t="s">
        <v>2237</v>
      </c>
      <c r="AH319" s="421" t="s">
        <v>3105</v>
      </c>
      <c r="AI319" s="421">
        <v>215800</v>
      </c>
      <c r="AJ319" s="421">
        <v>666.87</v>
      </c>
      <c r="AK319" s="421">
        <v>777.01</v>
      </c>
      <c r="AL319" s="421">
        <v>2</v>
      </c>
      <c r="AM319" s="421" t="s">
        <v>962</v>
      </c>
      <c r="AN319" s="421" t="s">
        <v>3127</v>
      </c>
      <c r="AO319" s="421" t="s">
        <v>1121</v>
      </c>
      <c r="AP319" s="421" t="s">
        <v>1121</v>
      </c>
      <c r="AQ319" s="421" t="s">
        <v>1108</v>
      </c>
      <c r="AR319" s="421" t="s">
        <v>3627</v>
      </c>
      <c r="AS319" s="421" t="s">
        <v>3638</v>
      </c>
      <c r="AT319" s="421" t="s">
        <v>3109</v>
      </c>
      <c r="AU319" s="421" t="s">
        <v>1142</v>
      </c>
      <c r="AV319" s="421" t="s">
        <v>3130</v>
      </c>
      <c r="AW319" s="421" t="s">
        <v>3110</v>
      </c>
      <c r="AX319" s="421" t="s">
        <v>3111</v>
      </c>
      <c r="AY319" s="421" t="s">
        <v>3112</v>
      </c>
      <c r="AZ319" s="421" t="s">
        <v>3113</v>
      </c>
      <c r="BA319" s="421" t="s">
        <v>3114</v>
      </c>
      <c r="BB319" s="421" t="s">
        <v>3115</v>
      </c>
      <c r="BC319" s="421">
        <v>9868.7999999999993</v>
      </c>
      <c r="BD319" s="421">
        <v>25892375.809999999</v>
      </c>
      <c r="BE319" s="421">
        <v>0</v>
      </c>
      <c r="BF319" s="421">
        <v>249.15</v>
      </c>
      <c r="BG319" s="421">
        <v>0</v>
      </c>
      <c r="BH319" s="421">
        <v>0</v>
      </c>
      <c r="BI319" s="421" t="s">
        <v>1149</v>
      </c>
    </row>
    <row r="320" spans="1:61" x14ac:dyDescent="0.25">
      <c r="A320" s="421">
        <v>317</v>
      </c>
      <c r="B320" s="421">
        <v>2015</v>
      </c>
      <c r="C320" s="421">
        <v>6</v>
      </c>
      <c r="D320" s="421">
        <v>9</v>
      </c>
      <c r="E320" s="421" t="s">
        <v>1475</v>
      </c>
      <c r="F320" s="421" t="s">
        <v>3360</v>
      </c>
      <c r="G320" s="421" t="s">
        <v>3132</v>
      </c>
      <c r="H320" s="421" t="s">
        <v>1107</v>
      </c>
      <c r="I320" s="421" t="s">
        <v>1998</v>
      </c>
      <c r="J320" s="421" t="s">
        <v>3637</v>
      </c>
      <c r="K320" s="421" t="s">
        <v>3093</v>
      </c>
      <c r="L320" s="421" t="s">
        <v>3094</v>
      </c>
      <c r="M320" s="421" t="s">
        <v>2667</v>
      </c>
      <c r="N320" s="421" t="s">
        <v>3093</v>
      </c>
      <c r="O320" s="421" t="s">
        <v>3094</v>
      </c>
      <c r="P320" s="421" t="s">
        <v>3095</v>
      </c>
      <c r="Q320" s="421" t="s">
        <v>3113</v>
      </c>
      <c r="R320" s="421" t="s">
        <v>1108</v>
      </c>
      <c r="S320" s="421" t="s">
        <v>1108</v>
      </c>
      <c r="T320" s="421" t="s">
        <v>1130</v>
      </c>
      <c r="U320" s="421" t="s">
        <v>1112</v>
      </c>
      <c r="V320" s="421" t="s">
        <v>3097</v>
      </c>
      <c r="W320" s="421" t="s">
        <v>3098</v>
      </c>
      <c r="X320" s="421" t="s">
        <v>3099</v>
      </c>
      <c r="Y320" s="421" t="s">
        <v>1117</v>
      </c>
      <c r="Z320" s="421" t="s">
        <v>1118</v>
      </c>
      <c r="AA320" s="421" t="s">
        <v>3100</v>
      </c>
      <c r="AB320" s="421" t="s">
        <v>3101</v>
      </c>
      <c r="AC320" s="421" t="s">
        <v>3102</v>
      </c>
      <c r="AD320" s="421" t="s">
        <v>3125</v>
      </c>
      <c r="AE320" s="421" t="s">
        <v>3126</v>
      </c>
      <c r="AF320" s="421" t="s">
        <v>2236</v>
      </c>
      <c r="AG320" s="421" t="s">
        <v>2237</v>
      </c>
      <c r="AH320" s="421" t="s">
        <v>3105</v>
      </c>
      <c r="AI320" s="421">
        <v>152000</v>
      </c>
      <c r="AJ320" s="421">
        <v>552.37</v>
      </c>
      <c r="AK320" s="421">
        <v>643.6</v>
      </c>
      <c r="AL320" s="421">
        <v>3</v>
      </c>
      <c r="AM320" s="421" t="s">
        <v>962</v>
      </c>
      <c r="AN320" s="421" t="s">
        <v>3127</v>
      </c>
      <c r="AO320" s="421" t="s">
        <v>1121</v>
      </c>
      <c r="AP320" s="421" t="s">
        <v>1121</v>
      </c>
      <c r="AQ320" s="421" t="s">
        <v>1108</v>
      </c>
      <c r="AR320" s="421" t="s">
        <v>3627</v>
      </c>
      <c r="AS320" s="421" t="s">
        <v>3638</v>
      </c>
      <c r="AT320" s="421" t="s">
        <v>3109</v>
      </c>
      <c r="AU320" s="421" t="s">
        <v>1142</v>
      </c>
      <c r="AV320" s="421" t="s">
        <v>3130</v>
      </c>
      <c r="AW320" s="421" t="s">
        <v>3110</v>
      </c>
      <c r="AX320" s="421" t="s">
        <v>3111</v>
      </c>
      <c r="AY320" s="421" t="s">
        <v>3112</v>
      </c>
      <c r="AZ320" s="421" t="s">
        <v>3113</v>
      </c>
      <c r="BA320" s="421" t="s">
        <v>3114</v>
      </c>
      <c r="BB320" s="421" t="s">
        <v>3115</v>
      </c>
      <c r="BC320" s="421">
        <v>16584.8</v>
      </c>
      <c r="BD320" s="421">
        <v>43512876.369999997</v>
      </c>
      <c r="BE320" s="421">
        <v>0</v>
      </c>
      <c r="BF320" s="421">
        <v>418.71</v>
      </c>
      <c r="BG320" s="421">
        <v>0</v>
      </c>
      <c r="BH320" s="421">
        <v>0</v>
      </c>
      <c r="BI320" s="421" t="s">
        <v>1149</v>
      </c>
    </row>
    <row r="321" spans="1:61" x14ac:dyDescent="0.25">
      <c r="A321" s="421">
        <v>318</v>
      </c>
      <c r="B321" s="421">
        <v>2015</v>
      </c>
      <c r="C321" s="421">
        <v>6</v>
      </c>
      <c r="D321" s="421">
        <v>9</v>
      </c>
      <c r="E321" s="421" t="s">
        <v>1475</v>
      </c>
      <c r="F321" s="421" t="s">
        <v>3360</v>
      </c>
      <c r="G321" s="421" t="s">
        <v>3132</v>
      </c>
      <c r="H321" s="421" t="s">
        <v>1107</v>
      </c>
      <c r="I321" s="421" t="s">
        <v>1998</v>
      </c>
      <c r="J321" s="421" t="s">
        <v>3637</v>
      </c>
      <c r="K321" s="421" t="s">
        <v>3093</v>
      </c>
      <c r="L321" s="421" t="s">
        <v>3094</v>
      </c>
      <c r="M321" s="421" t="s">
        <v>2667</v>
      </c>
      <c r="N321" s="421" t="s">
        <v>3093</v>
      </c>
      <c r="O321" s="421" t="s">
        <v>3094</v>
      </c>
      <c r="P321" s="421" t="s">
        <v>3095</v>
      </c>
      <c r="Q321" s="421" t="s">
        <v>3113</v>
      </c>
      <c r="R321" s="421" t="s">
        <v>1108</v>
      </c>
      <c r="S321" s="421" t="s">
        <v>1108</v>
      </c>
      <c r="T321" s="421" t="s">
        <v>1130</v>
      </c>
      <c r="U321" s="421" t="s">
        <v>1112</v>
      </c>
      <c r="V321" s="421" t="s">
        <v>3097</v>
      </c>
      <c r="W321" s="421" t="s">
        <v>3098</v>
      </c>
      <c r="X321" s="421" t="s">
        <v>3099</v>
      </c>
      <c r="Y321" s="421" t="s">
        <v>1117</v>
      </c>
      <c r="Z321" s="421" t="s">
        <v>1118</v>
      </c>
      <c r="AA321" s="421" t="s">
        <v>3100</v>
      </c>
      <c r="AB321" s="421" t="s">
        <v>3101</v>
      </c>
      <c r="AC321" s="421" t="s">
        <v>3102</v>
      </c>
      <c r="AD321" s="421" t="s">
        <v>3125</v>
      </c>
      <c r="AE321" s="421" t="s">
        <v>3126</v>
      </c>
      <c r="AF321" s="421" t="s">
        <v>2236</v>
      </c>
      <c r="AG321" s="421" t="s">
        <v>2237</v>
      </c>
      <c r="AH321" s="421" t="s">
        <v>3105</v>
      </c>
      <c r="AI321" s="421">
        <v>1561600</v>
      </c>
      <c r="AJ321" s="421">
        <v>4569.96</v>
      </c>
      <c r="AK321" s="421">
        <v>5324.71</v>
      </c>
      <c r="AL321" s="421">
        <v>1</v>
      </c>
      <c r="AM321" s="421" t="s">
        <v>962</v>
      </c>
      <c r="AN321" s="421" t="s">
        <v>3127</v>
      </c>
      <c r="AO321" s="421" t="s">
        <v>1121</v>
      </c>
      <c r="AP321" s="421" t="s">
        <v>1121</v>
      </c>
      <c r="AQ321" s="421" t="s">
        <v>1108</v>
      </c>
      <c r="AR321" s="421" t="s">
        <v>3627</v>
      </c>
      <c r="AS321" s="421" t="s">
        <v>3638</v>
      </c>
      <c r="AT321" s="421" t="s">
        <v>3109</v>
      </c>
      <c r="AU321" s="421" t="s">
        <v>1142</v>
      </c>
      <c r="AV321" s="421" t="s">
        <v>3130</v>
      </c>
      <c r="AW321" s="421" t="s">
        <v>3110</v>
      </c>
      <c r="AX321" s="421" t="s">
        <v>3111</v>
      </c>
      <c r="AY321" s="421" t="s">
        <v>3112</v>
      </c>
      <c r="AZ321" s="421" t="s">
        <v>3113</v>
      </c>
      <c r="BA321" s="421" t="s">
        <v>3114</v>
      </c>
      <c r="BB321" s="421" t="s">
        <v>3115</v>
      </c>
      <c r="BC321" s="421">
        <v>63396.6</v>
      </c>
      <c r="BD321" s="421">
        <v>166331123.56</v>
      </c>
      <c r="BE321" s="421">
        <v>0</v>
      </c>
      <c r="BF321" s="421">
        <v>1600.55</v>
      </c>
      <c r="BG321" s="421">
        <v>0</v>
      </c>
      <c r="BH321" s="421">
        <v>0</v>
      </c>
      <c r="BI321" s="421" t="s">
        <v>1149</v>
      </c>
    </row>
    <row r="322" spans="1:61" x14ac:dyDescent="0.25">
      <c r="A322" s="421">
        <v>319</v>
      </c>
      <c r="B322" s="421">
        <v>2015</v>
      </c>
      <c r="C322" s="421">
        <v>6</v>
      </c>
      <c r="D322" s="421">
        <v>9</v>
      </c>
      <c r="E322" s="421" t="s">
        <v>1475</v>
      </c>
      <c r="F322" s="421" t="s">
        <v>3360</v>
      </c>
      <c r="G322" s="421" t="s">
        <v>3132</v>
      </c>
      <c r="H322" s="421" t="s">
        <v>1107</v>
      </c>
      <c r="I322" s="421" t="s">
        <v>1998</v>
      </c>
      <c r="J322" s="421" t="s">
        <v>3644</v>
      </c>
      <c r="K322" s="421" t="s">
        <v>3093</v>
      </c>
      <c r="L322" s="421" t="s">
        <v>3094</v>
      </c>
      <c r="M322" s="421" t="s">
        <v>2667</v>
      </c>
      <c r="N322" s="421" t="s">
        <v>3093</v>
      </c>
      <c r="O322" s="421" t="s">
        <v>3094</v>
      </c>
      <c r="P322" s="421" t="s">
        <v>3095</v>
      </c>
      <c r="Q322" s="421" t="s">
        <v>3096</v>
      </c>
      <c r="R322" s="421" t="s">
        <v>1108</v>
      </c>
      <c r="S322" s="421" t="s">
        <v>1542</v>
      </c>
      <c r="T322" s="421" t="s">
        <v>1130</v>
      </c>
      <c r="U322" s="421" t="s">
        <v>1112</v>
      </c>
      <c r="V322" s="421" t="s">
        <v>3097</v>
      </c>
      <c r="W322" s="421" t="s">
        <v>3098</v>
      </c>
      <c r="X322" s="421" t="s">
        <v>3099</v>
      </c>
      <c r="Y322" s="421" t="s">
        <v>1117</v>
      </c>
      <c r="Z322" s="421" t="s">
        <v>1118</v>
      </c>
      <c r="AA322" s="421" t="s">
        <v>3100</v>
      </c>
      <c r="AB322" s="421" t="s">
        <v>3101</v>
      </c>
      <c r="AC322" s="421" t="s">
        <v>3102</v>
      </c>
      <c r="AD322" s="421" t="s">
        <v>3585</v>
      </c>
      <c r="AE322" s="421" t="s">
        <v>3645</v>
      </c>
      <c r="AF322" s="421" t="s">
        <v>2236</v>
      </c>
      <c r="AG322" s="421" t="s">
        <v>2237</v>
      </c>
      <c r="AH322" s="421" t="s">
        <v>3105</v>
      </c>
      <c r="AI322" s="421">
        <v>1944500</v>
      </c>
      <c r="AJ322" s="421">
        <v>4493.55</v>
      </c>
      <c r="AK322" s="421">
        <v>4881.68</v>
      </c>
      <c r="AL322" s="421">
        <v>1</v>
      </c>
      <c r="AM322" s="421" t="s">
        <v>3587</v>
      </c>
      <c r="AN322" s="421" t="s">
        <v>3646</v>
      </c>
      <c r="AO322" s="421" t="s">
        <v>1121</v>
      </c>
      <c r="AP322" s="421" t="s">
        <v>1121</v>
      </c>
      <c r="AQ322" s="421" t="s">
        <v>1542</v>
      </c>
      <c r="AR322" s="421" t="s">
        <v>3627</v>
      </c>
      <c r="AS322" s="421" t="s">
        <v>3647</v>
      </c>
      <c r="AT322" s="421" t="s">
        <v>3109</v>
      </c>
      <c r="AU322" s="421" t="s">
        <v>1142</v>
      </c>
      <c r="AV322" s="421" t="s">
        <v>3139</v>
      </c>
      <c r="AW322" s="421" t="s">
        <v>3110</v>
      </c>
      <c r="AX322" s="421" t="s">
        <v>3111</v>
      </c>
      <c r="AY322" s="421" t="s">
        <v>3112</v>
      </c>
      <c r="AZ322" s="421" t="s">
        <v>3113</v>
      </c>
      <c r="BA322" s="421" t="s">
        <v>3114</v>
      </c>
      <c r="BB322" s="421" t="s">
        <v>3115</v>
      </c>
      <c r="BC322" s="421">
        <v>79127.399999999994</v>
      </c>
      <c r="BD322" s="421">
        <v>207603394.28</v>
      </c>
      <c r="BE322" s="421">
        <v>0</v>
      </c>
      <c r="BF322" s="421">
        <v>0</v>
      </c>
      <c r="BG322" s="421">
        <v>0</v>
      </c>
      <c r="BH322" s="421">
        <v>0</v>
      </c>
      <c r="BI322" s="421" t="s">
        <v>1331</v>
      </c>
    </row>
    <row r="323" spans="1:61" x14ac:dyDescent="0.25">
      <c r="A323" s="421">
        <v>320</v>
      </c>
      <c r="B323" s="421">
        <v>2015</v>
      </c>
      <c r="C323" s="421">
        <v>6</v>
      </c>
      <c r="D323" s="421">
        <v>9</v>
      </c>
      <c r="E323" s="421" t="s">
        <v>1475</v>
      </c>
      <c r="F323" s="421" t="s">
        <v>3360</v>
      </c>
      <c r="G323" s="421" t="s">
        <v>3132</v>
      </c>
      <c r="H323" s="421" t="s">
        <v>1107</v>
      </c>
      <c r="I323" s="421" t="s">
        <v>1998</v>
      </c>
      <c r="J323" s="421" t="s">
        <v>3644</v>
      </c>
      <c r="K323" s="421" t="s">
        <v>3093</v>
      </c>
      <c r="L323" s="421" t="s">
        <v>3094</v>
      </c>
      <c r="M323" s="421" t="s">
        <v>2667</v>
      </c>
      <c r="N323" s="421" t="s">
        <v>3093</v>
      </c>
      <c r="O323" s="421" t="s">
        <v>3094</v>
      </c>
      <c r="P323" s="421" t="s">
        <v>3095</v>
      </c>
      <c r="Q323" s="421" t="s">
        <v>3096</v>
      </c>
      <c r="R323" s="421" t="s">
        <v>1108</v>
      </c>
      <c r="S323" s="421" t="s">
        <v>1542</v>
      </c>
      <c r="T323" s="421" t="s">
        <v>1130</v>
      </c>
      <c r="U323" s="421" t="s">
        <v>1112</v>
      </c>
      <c r="V323" s="421" t="s">
        <v>3097</v>
      </c>
      <c r="W323" s="421" t="s">
        <v>3098</v>
      </c>
      <c r="X323" s="421" t="s">
        <v>3099</v>
      </c>
      <c r="Y323" s="421" t="s">
        <v>1117</v>
      </c>
      <c r="Z323" s="421" t="s">
        <v>1118</v>
      </c>
      <c r="AA323" s="421" t="s">
        <v>3100</v>
      </c>
      <c r="AB323" s="421" t="s">
        <v>3101</v>
      </c>
      <c r="AC323" s="421" t="s">
        <v>3102</v>
      </c>
      <c r="AD323" s="421" t="s">
        <v>3585</v>
      </c>
      <c r="AE323" s="421" t="s">
        <v>3645</v>
      </c>
      <c r="AF323" s="421" t="s">
        <v>2236</v>
      </c>
      <c r="AG323" s="421" t="s">
        <v>2237</v>
      </c>
      <c r="AH323" s="421" t="s">
        <v>3105</v>
      </c>
      <c r="AI323" s="421">
        <v>789000</v>
      </c>
      <c r="AJ323" s="421">
        <v>1945.31</v>
      </c>
      <c r="AK323" s="421">
        <v>2113.34</v>
      </c>
      <c r="AL323" s="421">
        <v>2</v>
      </c>
      <c r="AM323" s="421" t="s">
        <v>3587</v>
      </c>
      <c r="AN323" s="421" t="s">
        <v>3646</v>
      </c>
      <c r="AO323" s="421" t="s">
        <v>1121</v>
      </c>
      <c r="AP323" s="421" t="s">
        <v>1121</v>
      </c>
      <c r="AQ323" s="421" t="s">
        <v>1542</v>
      </c>
      <c r="AR323" s="421" t="s">
        <v>3627</v>
      </c>
      <c r="AS323" s="421" t="s">
        <v>3647</v>
      </c>
      <c r="AT323" s="421" t="s">
        <v>3109</v>
      </c>
      <c r="AU323" s="421" t="s">
        <v>1142</v>
      </c>
      <c r="AV323" s="421" t="s">
        <v>3139</v>
      </c>
      <c r="AW323" s="421" t="s">
        <v>3110</v>
      </c>
      <c r="AX323" s="421" t="s">
        <v>3111</v>
      </c>
      <c r="AY323" s="421" t="s">
        <v>3112</v>
      </c>
      <c r="AZ323" s="421" t="s">
        <v>3113</v>
      </c>
      <c r="BA323" s="421" t="s">
        <v>3114</v>
      </c>
      <c r="BB323" s="421" t="s">
        <v>3115</v>
      </c>
      <c r="BC323" s="421">
        <v>32462.3</v>
      </c>
      <c r="BD323" s="421">
        <v>85170038.019999996</v>
      </c>
      <c r="BE323" s="421">
        <v>0</v>
      </c>
      <c r="BF323" s="421">
        <v>0</v>
      </c>
      <c r="BG323" s="421">
        <v>0</v>
      </c>
      <c r="BH323" s="421">
        <v>0</v>
      </c>
      <c r="BI323" s="421" t="s">
        <v>1331</v>
      </c>
    </row>
    <row r="324" spans="1:61" x14ac:dyDescent="0.25">
      <c r="A324" s="421">
        <v>321</v>
      </c>
      <c r="B324" s="421">
        <v>2015</v>
      </c>
      <c r="C324" s="421">
        <v>6</v>
      </c>
      <c r="D324" s="421">
        <v>9</v>
      </c>
      <c r="E324" s="421" t="s">
        <v>1475</v>
      </c>
      <c r="F324" s="421" t="s">
        <v>3360</v>
      </c>
      <c r="G324" s="421" t="s">
        <v>3132</v>
      </c>
      <c r="H324" s="421" t="s">
        <v>1107</v>
      </c>
      <c r="I324" s="421" t="s">
        <v>1998</v>
      </c>
      <c r="J324" s="421" t="s">
        <v>3644</v>
      </c>
      <c r="K324" s="421" t="s">
        <v>3093</v>
      </c>
      <c r="L324" s="421" t="s">
        <v>3094</v>
      </c>
      <c r="M324" s="421" t="s">
        <v>2667</v>
      </c>
      <c r="N324" s="421" t="s">
        <v>3093</v>
      </c>
      <c r="O324" s="421" t="s">
        <v>3094</v>
      </c>
      <c r="P324" s="421" t="s">
        <v>3095</v>
      </c>
      <c r="Q324" s="421" t="s">
        <v>3096</v>
      </c>
      <c r="R324" s="421" t="s">
        <v>1108</v>
      </c>
      <c r="S324" s="421" t="s">
        <v>1542</v>
      </c>
      <c r="T324" s="421" t="s">
        <v>1130</v>
      </c>
      <c r="U324" s="421" t="s">
        <v>1112</v>
      </c>
      <c r="V324" s="421" t="s">
        <v>3097</v>
      </c>
      <c r="W324" s="421" t="s">
        <v>3098</v>
      </c>
      <c r="X324" s="421" t="s">
        <v>3099</v>
      </c>
      <c r="Y324" s="421" t="s">
        <v>1117</v>
      </c>
      <c r="Z324" s="421" t="s">
        <v>1118</v>
      </c>
      <c r="AA324" s="421" t="s">
        <v>3100</v>
      </c>
      <c r="AB324" s="421" t="s">
        <v>3101</v>
      </c>
      <c r="AC324" s="421" t="s">
        <v>3102</v>
      </c>
      <c r="AD324" s="421" t="s">
        <v>3585</v>
      </c>
      <c r="AE324" s="421" t="s">
        <v>3645</v>
      </c>
      <c r="AF324" s="421" t="s">
        <v>2236</v>
      </c>
      <c r="AG324" s="421" t="s">
        <v>2237</v>
      </c>
      <c r="AH324" s="421" t="s">
        <v>3105</v>
      </c>
      <c r="AI324" s="421">
        <v>400</v>
      </c>
      <c r="AJ324" s="421">
        <v>17.14</v>
      </c>
      <c r="AK324" s="421">
        <v>18.62</v>
      </c>
      <c r="AL324" s="421">
        <v>3</v>
      </c>
      <c r="AM324" s="421" t="s">
        <v>3587</v>
      </c>
      <c r="AN324" s="421" t="s">
        <v>3646</v>
      </c>
      <c r="AO324" s="421" t="s">
        <v>1121</v>
      </c>
      <c r="AP324" s="421" t="s">
        <v>1121</v>
      </c>
      <c r="AQ324" s="421" t="s">
        <v>1542</v>
      </c>
      <c r="AR324" s="421" t="s">
        <v>3627</v>
      </c>
      <c r="AS324" s="421" t="s">
        <v>3647</v>
      </c>
      <c r="AT324" s="421" t="s">
        <v>3109</v>
      </c>
      <c r="AU324" s="421" t="s">
        <v>1142</v>
      </c>
      <c r="AV324" s="421" t="s">
        <v>3139</v>
      </c>
      <c r="AW324" s="421" t="s">
        <v>3110</v>
      </c>
      <c r="AX324" s="421" t="s">
        <v>3111</v>
      </c>
      <c r="AY324" s="421" t="s">
        <v>3112</v>
      </c>
      <c r="AZ324" s="421" t="s">
        <v>3113</v>
      </c>
      <c r="BA324" s="421" t="s">
        <v>3114</v>
      </c>
      <c r="BB324" s="421" t="s">
        <v>3115</v>
      </c>
      <c r="BC324" s="421">
        <v>680</v>
      </c>
      <c r="BD324" s="421">
        <v>1784088.8</v>
      </c>
      <c r="BE324" s="421">
        <v>0</v>
      </c>
      <c r="BF324" s="421">
        <v>0</v>
      </c>
      <c r="BG324" s="421">
        <v>0</v>
      </c>
      <c r="BH324" s="421">
        <v>0</v>
      </c>
      <c r="BI324" s="421" t="s">
        <v>1331</v>
      </c>
    </row>
    <row r="325" spans="1:61" x14ac:dyDescent="0.25">
      <c r="A325" s="421">
        <v>322</v>
      </c>
      <c r="B325" s="421">
        <v>2015</v>
      </c>
      <c r="C325" s="421">
        <v>6</v>
      </c>
      <c r="D325" s="421">
        <v>10</v>
      </c>
      <c r="E325" s="421" t="s">
        <v>1475</v>
      </c>
      <c r="F325" s="421" t="s">
        <v>3360</v>
      </c>
      <c r="G325" s="421" t="s">
        <v>3480</v>
      </c>
      <c r="H325" s="421" t="s">
        <v>1107</v>
      </c>
      <c r="I325" s="421" t="s">
        <v>2010</v>
      </c>
      <c r="J325" s="421" t="s">
        <v>3648</v>
      </c>
      <c r="K325" s="421" t="s">
        <v>3627</v>
      </c>
      <c r="L325" s="421" t="s">
        <v>3649</v>
      </c>
      <c r="M325" s="421" t="s">
        <v>2667</v>
      </c>
      <c r="N325" s="421" t="s">
        <v>3093</v>
      </c>
      <c r="O325" s="421" t="s">
        <v>3094</v>
      </c>
      <c r="P325" s="421" t="s">
        <v>3095</v>
      </c>
      <c r="Q325" s="421" t="s">
        <v>3096</v>
      </c>
      <c r="R325" s="421" t="s">
        <v>1108</v>
      </c>
      <c r="S325" s="421" t="s">
        <v>1542</v>
      </c>
      <c r="T325" s="421" t="s">
        <v>1130</v>
      </c>
      <c r="U325" s="421" t="s">
        <v>1112</v>
      </c>
      <c r="V325" s="421" t="s">
        <v>3097</v>
      </c>
      <c r="W325" s="421" t="s">
        <v>3098</v>
      </c>
      <c r="X325" s="421" t="s">
        <v>3099</v>
      </c>
      <c r="Y325" s="421" t="s">
        <v>1117</v>
      </c>
      <c r="Z325" s="421" t="s">
        <v>1118</v>
      </c>
      <c r="AA325" s="421" t="s">
        <v>3100</v>
      </c>
      <c r="AB325" s="421" t="s">
        <v>3101</v>
      </c>
      <c r="AC325" s="421" t="s">
        <v>3102</v>
      </c>
      <c r="AD325" s="421" t="s">
        <v>3103</v>
      </c>
      <c r="AE325" s="421" t="s">
        <v>3104</v>
      </c>
      <c r="AF325" s="421" t="s">
        <v>1300</v>
      </c>
      <c r="AG325" s="421" t="s">
        <v>1301</v>
      </c>
      <c r="AH325" s="421" t="s">
        <v>1127</v>
      </c>
      <c r="AI325" s="421">
        <v>6.07</v>
      </c>
      <c r="AJ325" s="421">
        <v>6.07</v>
      </c>
      <c r="AK325" s="421">
        <v>7</v>
      </c>
      <c r="AL325" s="421">
        <v>1</v>
      </c>
      <c r="AM325" s="421" t="s">
        <v>959</v>
      </c>
      <c r="AN325" s="421" t="s">
        <v>3106</v>
      </c>
      <c r="AO325" s="421" t="s">
        <v>1121</v>
      </c>
      <c r="AP325" s="421" t="s">
        <v>1121</v>
      </c>
      <c r="AQ325" s="421" t="s">
        <v>1542</v>
      </c>
      <c r="AR325" s="421" t="s">
        <v>3627</v>
      </c>
      <c r="AS325" s="421" t="s">
        <v>3650</v>
      </c>
      <c r="AT325" s="421" t="s">
        <v>3109</v>
      </c>
      <c r="AU325" s="421" t="s">
        <v>1142</v>
      </c>
      <c r="AV325" s="421" t="s">
        <v>3410</v>
      </c>
      <c r="AW325" s="421" t="s">
        <v>3110</v>
      </c>
      <c r="AX325" s="421" t="s">
        <v>3229</v>
      </c>
      <c r="AY325" s="421" t="s">
        <v>3112</v>
      </c>
      <c r="AZ325" s="421" t="s">
        <v>3113</v>
      </c>
      <c r="BA325" s="421" t="s">
        <v>3114</v>
      </c>
      <c r="BB325" s="421" t="s">
        <v>3230</v>
      </c>
      <c r="BC325" s="421">
        <v>1.25</v>
      </c>
      <c r="BD325" s="421">
        <v>3211.46</v>
      </c>
      <c r="BE325" s="421">
        <v>0</v>
      </c>
      <c r="BF325" s="421">
        <v>0</v>
      </c>
      <c r="BG325" s="421">
        <v>0</v>
      </c>
      <c r="BH325" s="421">
        <v>0</v>
      </c>
      <c r="BI325" s="421" t="s">
        <v>1167</v>
      </c>
    </row>
    <row r="326" spans="1:61" x14ac:dyDescent="0.25">
      <c r="A326" s="421">
        <v>323</v>
      </c>
      <c r="B326" s="421">
        <v>2015</v>
      </c>
      <c r="C326" s="421">
        <v>6</v>
      </c>
      <c r="D326" s="421">
        <v>10</v>
      </c>
      <c r="E326" s="421" t="s">
        <v>1475</v>
      </c>
      <c r="F326" s="421" t="s">
        <v>3360</v>
      </c>
      <c r="G326" s="421" t="s">
        <v>3480</v>
      </c>
      <c r="H326" s="421" t="s">
        <v>1107</v>
      </c>
      <c r="I326" s="421" t="s">
        <v>2010</v>
      </c>
      <c r="J326" s="421" t="s">
        <v>3651</v>
      </c>
      <c r="K326" s="421" t="s">
        <v>3093</v>
      </c>
      <c r="L326" s="421" t="s">
        <v>3094</v>
      </c>
      <c r="M326" s="421" t="s">
        <v>2667</v>
      </c>
      <c r="N326" s="421" t="s">
        <v>3093</v>
      </c>
      <c r="O326" s="421" t="s">
        <v>3094</v>
      </c>
      <c r="P326" s="421" t="s">
        <v>3095</v>
      </c>
      <c r="Q326" s="421" t="s">
        <v>3113</v>
      </c>
      <c r="R326" s="421" t="s">
        <v>1108</v>
      </c>
      <c r="S326" s="421" t="s">
        <v>1108</v>
      </c>
      <c r="T326" s="421" t="s">
        <v>1130</v>
      </c>
      <c r="U326" s="421" t="s">
        <v>1112</v>
      </c>
      <c r="V326" s="421" t="s">
        <v>3097</v>
      </c>
      <c r="W326" s="421" t="s">
        <v>3098</v>
      </c>
      <c r="X326" s="421" t="s">
        <v>3099</v>
      </c>
      <c r="Y326" s="421" t="s">
        <v>1117</v>
      </c>
      <c r="Z326" s="421" t="s">
        <v>1118</v>
      </c>
      <c r="AA326" s="421" t="s">
        <v>3100</v>
      </c>
      <c r="AB326" s="421" t="s">
        <v>3101</v>
      </c>
      <c r="AC326" s="421" t="s">
        <v>3102</v>
      </c>
      <c r="AD326" s="421" t="s">
        <v>3213</v>
      </c>
      <c r="AE326" s="421" t="s">
        <v>3634</v>
      </c>
      <c r="AF326" s="421" t="s">
        <v>2236</v>
      </c>
      <c r="AG326" s="421" t="s">
        <v>2237</v>
      </c>
      <c r="AH326" s="421" t="s">
        <v>3105</v>
      </c>
      <c r="AI326" s="421">
        <v>5000</v>
      </c>
      <c r="AJ326" s="421">
        <v>15.86</v>
      </c>
      <c r="AK326" s="421">
        <v>17.72</v>
      </c>
      <c r="AL326" s="421">
        <v>1</v>
      </c>
      <c r="AM326" s="421" t="s">
        <v>2037</v>
      </c>
      <c r="AN326" s="421" t="s">
        <v>3635</v>
      </c>
      <c r="AO326" s="421" t="s">
        <v>1121</v>
      </c>
      <c r="AP326" s="421" t="s">
        <v>1121</v>
      </c>
      <c r="AQ326" s="421" t="s">
        <v>1108</v>
      </c>
      <c r="AR326" s="421" t="s">
        <v>3627</v>
      </c>
      <c r="AS326" s="421" t="s">
        <v>3652</v>
      </c>
      <c r="AT326" s="421" t="s">
        <v>3109</v>
      </c>
      <c r="AU326" s="421" t="s">
        <v>1142</v>
      </c>
      <c r="AV326" s="421" t="s">
        <v>3130</v>
      </c>
      <c r="AW326" s="421" t="s">
        <v>3110</v>
      </c>
      <c r="AX326" s="421" t="s">
        <v>3111</v>
      </c>
      <c r="AY326" s="421" t="s">
        <v>3193</v>
      </c>
      <c r="AZ326" s="421" t="s">
        <v>3113</v>
      </c>
      <c r="BA326" s="421" t="s">
        <v>3114</v>
      </c>
      <c r="BB326" s="421" t="s">
        <v>3115</v>
      </c>
      <c r="BC326" s="421">
        <v>350</v>
      </c>
      <c r="BD326" s="421">
        <v>899209.5</v>
      </c>
      <c r="BE326" s="421">
        <v>0</v>
      </c>
      <c r="BF326" s="421">
        <v>100</v>
      </c>
      <c r="BG326" s="421">
        <v>12</v>
      </c>
      <c r="BH326" s="421">
        <v>0</v>
      </c>
      <c r="BI326" s="421" t="s">
        <v>1149</v>
      </c>
    </row>
    <row r="327" spans="1:61" x14ac:dyDescent="0.25">
      <c r="A327" s="421">
        <v>324</v>
      </c>
      <c r="B327" s="421">
        <v>2015</v>
      </c>
      <c r="C327" s="421">
        <v>6</v>
      </c>
      <c r="D327" s="421">
        <v>12</v>
      </c>
      <c r="E327" s="421" t="s">
        <v>1475</v>
      </c>
      <c r="F327" s="421" t="s">
        <v>3360</v>
      </c>
      <c r="G327" s="421" t="s">
        <v>3284</v>
      </c>
      <c r="H327" s="421" t="s">
        <v>1107</v>
      </c>
      <c r="I327" s="421" t="s">
        <v>3653</v>
      </c>
      <c r="J327" s="421" t="s">
        <v>3654</v>
      </c>
      <c r="K327" s="421" t="s">
        <v>3093</v>
      </c>
      <c r="L327" s="421" t="s">
        <v>3094</v>
      </c>
      <c r="M327" s="421" t="s">
        <v>2667</v>
      </c>
      <c r="N327" s="421" t="s">
        <v>3093</v>
      </c>
      <c r="O327" s="421" t="s">
        <v>3094</v>
      </c>
      <c r="P327" s="421" t="s">
        <v>3095</v>
      </c>
      <c r="Q327" s="421" t="s">
        <v>3096</v>
      </c>
      <c r="R327" s="421" t="s">
        <v>1108</v>
      </c>
      <c r="S327" s="421" t="s">
        <v>1542</v>
      </c>
      <c r="T327" s="421" t="s">
        <v>1130</v>
      </c>
      <c r="U327" s="421" t="s">
        <v>1112</v>
      </c>
      <c r="V327" s="421" t="s">
        <v>3097</v>
      </c>
      <c r="W327" s="421" t="s">
        <v>3098</v>
      </c>
      <c r="X327" s="421" t="s">
        <v>3099</v>
      </c>
      <c r="Y327" s="421" t="s">
        <v>1117</v>
      </c>
      <c r="Z327" s="421" t="s">
        <v>1118</v>
      </c>
      <c r="AA327" s="421" t="s">
        <v>3100</v>
      </c>
      <c r="AB327" s="421" t="s">
        <v>3101</v>
      </c>
      <c r="AC327" s="421" t="s">
        <v>3102</v>
      </c>
      <c r="AD327" s="421" t="s">
        <v>3291</v>
      </c>
      <c r="AE327" s="421" t="s">
        <v>3292</v>
      </c>
      <c r="AF327" s="421" t="s">
        <v>2236</v>
      </c>
      <c r="AG327" s="421" t="s">
        <v>2237</v>
      </c>
      <c r="AH327" s="421" t="s">
        <v>3105</v>
      </c>
      <c r="AI327" s="421">
        <v>408300</v>
      </c>
      <c r="AJ327" s="421">
        <v>1461.64</v>
      </c>
      <c r="AK327" s="421">
        <v>1589.35</v>
      </c>
      <c r="AL327" s="421">
        <v>3</v>
      </c>
      <c r="AM327" s="421" t="s">
        <v>3553</v>
      </c>
      <c r="AN327" s="421" t="s">
        <v>3293</v>
      </c>
      <c r="AO327" s="421" t="s">
        <v>1121</v>
      </c>
      <c r="AP327" s="421" t="s">
        <v>1121</v>
      </c>
      <c r="AQ327" s="421" t="s">
        <v>1542</v>
      </c>
      <c r="AR327" s="421" t="s">
        <v>3627</v>
      </c>
      <c r="AS327" s="421" t="s">
        <v>3655</v>
      </c>
      <c r="AT327" s="421" t="s">
        <v>3109</v>
      </c>
      <c r="AU327" s="421" t="s">
        <v>1142</v>
      </c>
      <c r="AV327" s="421" t="s">
        <v>2520</v>
      </c>
      <c r="AW327" s="421" t="s">
        <v>3110</v>
      </c>
      <c r="AX327" s="421" t="s">
        <v>3111</v>
      </c>
      <c r="AY327" s="421" t="s">
        <v>3112</v>
      </c>
      <c r="AZ327" s="421" t="s">
        <v>3113</v>
      </c>
      <c r="BA327" s="421" t="s">
        <v>3114</v>
      </c>
      <c r="BB327" s="421" t="s">
        <v>3115</v>
      </c>
      <c r="BC327" s="421">
        <v>34343.4</v>
      </c>
      <c r="BD327" s="421">
        <v>87182438.069999993</v>
      </c>
      <c r="BE327" s="421">
        <v>0</v>
      </c>
      <c r="BF327" s="421">
        <v>485.88</v>
      </c>
      <c r="BG327" s="421">
        <v>87.07</v>
      </c>
      <c r="BH327" s="421">
        <v>0</v>
      </c>
      <c r="BI327" s="421" t="s">
        <v>1331</v>
      </c>
    </row>
    <row r="328" spans="1:61" x14ac:dyDescent="0.25">
      <c r="A328" s="421">
        <v>325</v>
      </c>
      <c r="B328" s="421">
        <v>2015</v>
      </c>
      <c r="C328" s="421">
        <v>6</v>
      </c>
      <c r="D328" s="421">
        <v>12</v>
      </c>
      <c r="E328" s="421" t="s">
        <v>1475</v>
      </c>
      <c r="F328" s="421" t="s">
        <v>3360</v>
      </c>
      <c r="G328" s="421" t="s">
        <v>3284</v>
      </c>
      <c r="H328" s="421" t="s">
        <v>1107</v>
      </c>
      <c r="I328" s="421" t="s">
        <v>3653</v>
      </c>
      <c r="J328" s="421" t="s">
        <v>3654</v>
      </c>
      <c r="K328" s="421" t="s">
        <v>3093</v>
      </c>
      <c r="L328" s="421" t="s">
        <v>3094</v>
      </c>
      <c r="M328" s="421" t="s">
        <v>2667</v>
      </c>
      <c r="N328" s="421" t="s">
        <v>3093</v>
      </c>
      <c r="O328" s="421" t="s">
        <v>3094</v>
      </c>
      <c r="P328" s="421" t="s">
        <v>3095</v>
      </c>
      <c r="Q328" s="421" t="s">
        <v>3096</v>
      </c>
      <c r="R328" s="421" t="s">
        <v>1108</v>
      </c>
      <c r="S328" s="421" t="s">
        <v>1542</v>
      </c>
      <c r="T328" s="421" t="s">
        <v>1130</v>
      </c>
      <c r="U328" s="421" t="s">
        <v>1112</v>
      </c>
      <c r="V328" s="421" t="s">
        <v>3097</v>
      </c>
      <c r="W328" s="421" t="s">
        <v>3098</v>
      </c>
      <c r="X328" s="421" t="s">
        <v>3099</v>
      </c>
      <c r="Y328" s="421" t="s">
        <v>1117</v>
      </c>
      <c r="Z328" s="421" t="s">
        <v>1118</v>
      </c>
      <c r="AA328" s="421" t="s">
        <v>3100</v>
      </c>
      <c r="AB328" s="421" t="s">
        <v>3101</v>
      </c>
      <c r="AC328" s="421" t="s">
        <v>3102</v>
      </c>
      <c r="AD328" s="421" t="s">
        <v>3291</v>
      </c>
      <c r="AE328" s="421" t="s">
        <v>3292</v>
      </c>
      <c r="AF328" s="421" t="s">
        <v>2236</v>
      </c>
      <c r="AG328" s="421" t="s">
        <v>2237</v>
      </c>
      <c r="AH328" s="421" t="s">
        <v>3105</v>
      </c>
      <c r="AI328" s="421">
        <v>6000</v>
      </c>
      <c r="AJ328" s="421">
        <v>23.02</v>
      </c>
      <c r="AK328" s="421">
        <v>25.03</v>
      </c>
      <c r="AL328" s="421">
        <v>4</v>
      </c>
      <c r="AM328" s="421" t="s">
        <v>3553</v>
      </c>
      <c r="AN328" s="421" t="s">
        <v>3293</v>
      </c>
      <c r="AO328" s="421" t="s">
        <v>1121</v>
      </c>
      <c r="AP328" s="421" t="s">
        <v>1121</v>
      </c>
      <c r="AQ328" s="421" t="s">
        <v>1542</v>
      </c>
      <c r="AR328" s="421" t="s">
        <v>3627</v>
      </c>
      <c r="AS328" s="421" t="s">
        <v>3655</v>
      </c>
      <c r="AT328" s="421" t="s">
        <v>3109</v>
      </c>
      <c r="AU328" s="421" t="s">
        <v>1142</v>
      </c>
      <c r="AV328" s="421" t="s">
        <v>2520</v>
      </c>
      <c r="AW328" s="421" t="s">
        <v>3110</v>
      </c>
      <c r="AX328" s="421" t="s">
        <v>3111</v>
      </c>
      <c r="AY328" s="421" t="s">
        <v>3112</v>
      </c>
      <c r="AZ328" s="421" t="s">
        <v>3113</v>
      </c>
      <c r="BA328" s="421" t="s">
        <v>3114</v>
      </c>
      <c r="BB328" s="421" t="s">
        <v>3115</v>
      </c>
      <c r="BC328" s="421">
        <v>504</v>
      </c>
      <c r="BD328" s="421">
        <v>1279429.2</v>
      </c>
      <c r="BE328" s="421">
        <v>0</v>
      </c>
      <c r="BF328" s="421">
        <v>7.13</v>
      </c>
      <c r="BG328" s="421">
        <v>1.28</v>
      </c>
      <c r="BH328" s="421">
        <v>0</v>
      </c>
      <c r="BI328" s="421" t="s">
        <v>1331</v>
      </c>
    </row>
    <row r="329" spans="1:61" x14ac:dyDescent="0.25">
      <c r="A329" s="421">
        <v>326</v>
      </c>
      <c r="B329" s="421">
        <v>2015</v>
      </c>
      <c r="C329" s="421">
        <v>6</v>
      </c>
      <c r="D329" s="421">
        <v>12</v>
      </c>
      <c r="E329" s="421" t="s">
        <v>1475</v>
      </c>
      <c r="F329" s="421" t="s">
        <v>3360</v>
      </c>
      <c r="G329" s="421" t="s">
        <v>3284</v>
      </c>
      <c r="H329" s="421" t="s">
        <v>1107</v>
      </c>
      <c r="I329" s="421" t="s">
        <v>3653</v>
      </c>
      <c r="J329" s="421" t="s">
        <v>3656</v>
      </c>
      <c r="K329" s="421" t="s">
        <v>3093</v>
      </c>
      <c r="L329" s="421" t="s">
        <v>3094</v>
      </c>
      <c r="M329" s="421" t="s">
        <v>2667</v>
      </c>
      <c r="N329" s="421" t="s">
        <v>3093</v>
      </c>
      <c r="O329" s="421" t="s">
        <v>3094</v>
      </c>
      <c r="P329" s="421" t="s">
        <v>3095</v>
      </c>
      <c r="Q329" s="421" t="s">
        <v>3096</v>
      </c>
      <c r="R329" s="421" t="s">
        <v>1108</v>
      </c>
      <c r="S329" s="421" t="s">
        <v>1542</v>
      </c>
      <c r="T329" s="421" t="s">
        <v>1130</v>
      </c>
      <c r="U329" s="421" t="s">
        <v>1112</v>
      </c>
      <c r="V329" s="421" t="s">
        <v>3097</v>
      </c>
      <c r="W329" s="421" t="s">
        <v>3098</v>
      </c>
      <c r="X329" s="421" t="s">
        <v>3099</v>
      </c>
      <c r="Y329" s="421" t="s">
        <v>1117</v>
      </c>
      <c r="Z329" s="421" t="s">
        <v>1118</v>
      </c>
      <c r="AA329" s="421" t="s">
        <v>3100</v>
      </c>
      <c r="AB329" s="421" t="s">
        <v>3101</v>
      </c>
      <c r="AC329" s="421" t="s">
        <v>3102</v>
      </c>
      <c r="AD329" s="421" t="s">
        <v>3291</v>
      </c>
      <c r="AE329" s="421" t="s">
        <v>3292</v>
      </c>
      <c r="AF329" s="421" t="s">
        <v>3375</v>
      </c>
      <c r="AG329" s="421" t="s">
        <v>3376</v>
      </c>
      <c r="AH329" s="421" t="s">
        <v>3105</v>
      </c>
      <c r="AI329" s="421">
        <v>150</v>
      </c>
      <c r="AJ329" s="421">
        <v>23.57</v>
      </c>
      <c r="AK329" s="421">
        <v>24.5</v>
      </c>
      <c r="AL329" s="421">
        <v>1</v>
      </c>
      <c r="AM329" s="421" t="s">
        <v>3553</v>
      </c>
      <c r="AN329" s="421" t="s">
        <v>3293</v>
      </c>
      <c r="AO329" s="421" t="s">
        <v>1121</v>
      </c>
      <c r="AP329" s="421" t="s">
        <v>1121</v>
      </c>
      <c r="AQ329" s="421" t="s">
        <v>1542</v>
      </c>
      <c r="AR329" s="421" t="s">
        <v>3627</v>
      </c>
      <c r="AS329" s="421" t="s">
        <v>3657</v>
      </c>
      <c r="AT329" s="421" t="s">
        <v>3109</v>
      </c>
      <c r="AU329" s="421" t="s">
        <v>1142</v>
      </c>
      <c r="AV329" s="421" t="s">
        <v>2520</v>
      </c>
      <c r="AW329" s="421" t="s">
        <v>3110</v>
      </c>
      <c r="AX329" s="421" t="s">
        <v>3229</v>
      </c>
      <c r="AY329" s="421" t="s">
        <v>3112</v>
      </c>
      <c r="AZ329" s="421" t="s">
        <v>3113</v>
      </c>
      <c r="BA329" s="421" t="s">
        <v>3114</v>
      </c>
      <c r="BB329" s="421" t="s">
        <v>3230</v>
      </c>
      <c r="BC329" s="421">
        <v>7.5</v>
      </c>
      <c r="BD329" s="421">
        <v>19039.13</v>
      </c>
      <c r="BE329" s="421">
        <v>0</v>
      </c>
      <c r="BF329" s="421">
        <v>0</v>
      </c>
      <c r="BG329" s="421">
        <v>0</v>
      </c>
      <c r="BH329" s="421">
        <v>0</v>
      </c>
      <c r="BI329" s="421" t="s">
        <v>1331</v>
      </c>
    </row>
    <row r="330" spans="1:61" x14ac:dyDescent="0.25">
      <c r="A330" s="421">
        <v>327</v>
      </c>
      <c r="B330" s="421">
        <v>2015</v>
      </c>
      <c r="C330" s="421">
        <v>6</v>
      </c>
      <c r="D330" s="421">
        <v>12</v>
      </c>
      <c r="E330" s="421" t="s">
        <v>1475</v>
      </c>
      <c r="F330" s="421" t="s">
        <v>3360</v>
      </c>
      <c r="G330" s="421" t="s">
        <v>3284</v>
      </c>
      <c r="H330" s="421" t="s">
        <v>1107</v>
      </c>
      <c r="I330" s="421" t="s">
        <v>3653</v>
      </c>
      <c r="J330" s="421" t="s">
        <v>3658</v>
      </c>
      <c r="K330" s="421" t="s">
        <v>3093</v>
      </c>
      <c r="L330" s="421" t="s">
        <v>3094</v>
      </c>
      <c r="M330" s="421" t="s">
        <v>2667</v>
      </c>
      <c r="N330" s="421" t="s">
        <v>3093</v>
      </c>
      <c r="O330" s="421" t="s">
        <v>3094</v>
      </c>
      <c r="P330" s="421" t="s">
        <v>3095</v>
      </c>
      <c r="Q330" s="421" t="s">
        <v>3096</v>
      </c>
      <c r="R330" s="421" t="s">
        <v>1108</v>
      </c>
      <c r="S330" s="421" t="s">
        <v>1542</v>
      </c>
      <c r="T330" s="421" t="s">
        <v>1130</v>
      </c>
      <c r="U330" s="421" t="s">
        <v>1112</v>
      </c>
      <c r="V330" s="421" t="s">
        <v>3097</v>
      </c>
      <c r="W330" s="421" t="s">
        <v>3098</v>
      </c>
      <c r="X330" s="421" t="s">
        <v>3099</v>
      </c>
      <c r="Y330" s="421" t="s">
        <v>1117</v>
      </c>
      <c r="Z330" s="421" t="s">
        <v>1118</v>
      </c>
      <c r="AA330" s="421" t="s">
        <v>3100</v>
      </c>
      <c r="AB330" s="421" t="s">
        <v>3101</v>
      </c>
      <c r="AC330" s="421" t="s">
        <v>3102</v>
      </c>
      <c r="AD330" s="421" t="s">
        <v>3291</v>
      </c>
      <c r="AE330" s="421" t="s">
        <v>3292</v>
      </c>
      <c r="AF330" s="421" t="s">
        <v>2236</v>
      </c>
      <c r="AG330" s="421" t="s">
        <v>2237</v>
      </c>
      <c r="AH330" s="421" t="s">
        <v>3105</v>
      </c>
      <c r="AI330" s="421">
        <v>6000</v>
      </c>
      <c r="AJ330" s="421">
        <v>20.7</v>
      </c>
      <c r="AK330" s="421">
        <v>22.56</v>
      </c>
      <c r="AL330" s="421">
        <v>1</v>
      </c>
      <c r="AM330" s="421" t="s">
        <v>3553</v>
      </c>
      <c r="AN330" s="421" t="s">
        <v>3293</v>
      </c>
      <c r="AO330" s="421" t="s">
        <v>1121</v>
      </c>
      <c r="AP330" s="421" t="s">
        <v>1121</v>
      </c>
      <c r="AQ330" s="421" t="s">
        <v>1542</v>
      </c>
      <c r="AR330" s="421" t="s">
        <v>3627</v>
      </c>
      <c r="AS330" s="421" t="s">
        <v>3659</v>
      </c>
      <c r="AT330" s="421" t="s">
        <v>3109</v>
      </c>
      <c r="AU330" s="421" t="s">
        <v>1142</v>
      </c>
      <c r="AV330" s="421" t="s">
        <v>2520</v>
      </c>
      <c r="AW330" s="421" t="s">
        <v>3110</v>
      </c>
      <c r="AX330" s="421" t="s">
        <v>3111</v>
      </c>
      <c r="AY330" s="421" t="s">
        <v>3112</v>
      </c>
      <c r="AZ330" s="421" t="s">
        <v>3113</v>
      </c>
      <c r="BA330" s="421" t="s">
        <v>3114</v>
      </c>
      <c r="BB330" s="421" t="s">
        <v>3115</v>
      </c>
      <c r="BC330" s="421">
        <v>492</v>
      </c>
      <c r="BD330" s="421">
        <v>1248966.6000000001</v>
      </c>
      <c r="BE330" s="421">
        <v>0</v>
      </c>
      <c r="BF330" s="421">
        <v>100</v>
      </c>
      <c r="BG330" s="421">
        <v>12</v>
      </c>
      <c r="BH330" s="421">
        <v>0</v>
      </c>
      <c r="BI330" s="421" t="s">
        <v>1331</v>
      </c>
    </row>
    <row r="331" spans="1:61" x14ac:dyDescent="0.25">
      <c r="A331" s="421">
        <v>328</v>
      </c>
      <c r="B331" s="421">
        <v>2015</v>
      </c>
      <c r="C331" s="421">
        <v>6</v>
      </c>
      <c r="D331" s="421">
        <v>12</v>
      </c>
      <c r="E331" s="421" t="s">
        <v>1475</v>
      </c>
      <c r="F331" s="421" t="s">
        <v>3360</v>
      </c>
      <c r="G331" s="421" t="s">
        <v>3284</v>
      </c>
      <c r="H331" s="421" t="s">
        <v>1107</v>
      </c>
      <c r="I331" s="421" t="s">
        <v>3653</v>
      </c>
      <c r="J331" s="421" t="s">
        <v>3654</v>
      </c>
      <c r="K331" s="421" t="s">
        <v>3093</v>
      </c>
      <c r="L331" s="421" t="s">
        <v>3094</v>
      </c>
      <c r="M331" s="421" t="s">
        <v>2667</v>
      </c>
      <c r="N331" s="421" t="s">
        <v>3093</v>
      </c>
      <c r="O331" s="421" t="s">
        <v>3094</v>
      </c>
      <c r="P331" s="421" t="s">
        <v>3095</v>
      </c>
      <c r="Q331" s="421" t="s">
        <v>3096</v>
      </c>
      <c r="R331" s="421" t="s">
        <v>1108</v>
      </c>
      <c r="S331" s="421" t="s">
        <v>1542</v>
      </c>
      <c r="T331" s="421" t="s">
        <v>1130</v>
      </c>
      <c r="U331" s="421" t="s">
        <v>1112</v>
      </c>
      <c r="V331" s="421" t="s">
        <v>3097</v>
      </c>
      <c r="W331" s="421" t="s">
        <v>3098</v>
      </c>
      <c r="X331" s="421" t="s">
        <v>3099</v>
      </c>
      <c r="Y331" s="421" t="s">
        <v>1117</v>
      </c>
      <c r="Z331" s="421" t="s">
        <v>1118</v>
      </c>
      <c r="AA331" s="421" t="s">
        <v>3100</v>
      </c>
      <c r="AB331" s="421" t="s">
        <v>3101</v>
      </c>
      <c r="AC331" s="421" t="s">
        <v>3102</v>
      </c>
      <c r="AD331" s="421" t="s">
        <v>3291</v>
      </c>
      <c r="AE331" s="421" t="s">
        <v>3292</v>
      </c>
      <c r="AF331" s="421" t="s">
        <v>2236</v>
      </c>
      <c r="AG331" s="421" t="s">
        <v>2237</v>
      </c>
      <c r="AH331" s="421" t="s">
        <v>3105</v>
      </c>
      <c r="AI331" s="421">
        <v>4721000</v>
      </c>
      <c r="AJ331" s="421">
        <v>9520.36</v>
      </c>
      <c r="AK331" s="421">
        <v>10352.17</v>
      </c>
      <c r="AL331" s="421">
        <v>1</v>
      </c>
      <c r="AM331" s="421" t="s">
        <v>3553</v>
      </c>
      <c r="AN331" s="421" t="s">
        <v>3293</v>
      </c>
      <c r="AO331" s="421" t="s">
        <v>1121</v>
      </c>
      <c r="AP331" s="421" t="s">
        <v>1121</v>
      </c>
      <c r="AQ331" s="421" t="s">
        <v>1542</v>
      </c>
      <c r="AR331" s="421" t="s">
        <v>3627</v>
      </c>
      <c r="AS331" s="421" t="s">
        <v>3655</v>
      </c>
      <c r="AT331" s="421" t="s">
        <v>3109</v>
      </c>
      <c r="AU331" s="421" t="s">
        <v>1142</v>
      </c>
      <c r="AV331" s="421" t="s">
        <v>2520</v>
      </c>
      <c r="AW331" s="421" t="s">
        <v>3110</v>
      </c>
      <c r="AX331" s="421" t="s">
        <v>3111</v>
      </c>
      <c r="AY331" s="421" t="s">
        <v>3112</v>
      </c>
      <c r="AZ331" s="421" t="s">
        <v>3113</v>
      </c>
      <c r="BA331" s="421" t="s">
        <v>3114</v>
      </c>
      <c r="BB331" s="421" t="s">
        <v>3115</v>
      </c>
      <c r="BC331" s="421">
        <v>118989.7</v>
      </c>
      <c r="BD331" s="421">
        <v>302061302.94</v>
      </c>
      <c r="BE331" s="421">
        <v>0</v>
      </c>
      <c r="BF331" s="421">
        <v>1683.43</v>
      </c>
      <c r="BG331" s="421">
        <v>301.68</v>
      </c>
      <c r="BH331" s="421">
        <v>0</v>
      </c>
      <c r="BI331" s="421" t="s">
        <v>1331</v>
      </c>
    </row>
    <row r="332" spans="1:61" x14ac:dyDescent="0.25">
      <c r="A332" s="421">
        <v>329</v>
      </c>
      <c r="B332" s="421">
        <v>2015</v>
      </c>
      <c r="C332" s="421">
        <v>6</v>
      </c>
      <c r="D332" s="421">
        <v>12</v>
      </c>
      <c r="E332" s="421" t="s">
        <v>1475</v>
      </c>
      <c r="F332" s="421" t="s">
        <v>3360</v>
      </c>
      <c r="G332" s="421" t="s">
        <v>3284</v>
      </c>
      <c r="H332" s="421" t="s">
        <v>1107</v>
      </c>
      <c r="I332" s="421" t="s">
        <v>3653</v>
      </c>
      <c r="J332" s="421" t="s">
        <v>3654</v>
      </c>
      <c r="K332" s="421" t="s">
        <v>3093</v>
      </c>
      <c r="L332" s="421" t="s">
        <v>3094</v>
      </c>
      <c r="M332" s="421" t="s">
        <v>2667</v>
      </c>
      <c r="N332" s="421" t="s">
        <v>3093</v>
      </c>
      <c r="O332" s="421" t="s">
        <v>3094</v>
      </c>
      <c r="P332" s="421" t="s">
        <v>3095</v>
      </c>
      <c r="Q332" s="421" t="s">
        <v>3096</v>
      </c>
      <c r="R332" s="421" t="s">
        <v>1108</v>
      </c>
      <c r="S332" s="421" t="s">
        <v>1542</v>
      </c>
      <c r="T332" s="421" t="s">
        <v>1130</v>
      </c>
      <c r="U332" s="421" t="s">
        <v>1112</v>
      </c>
      <c r="V332" s="421" t="s">
        <v>3097</v>
      </c>
      <c r="W332" s="421" t="s">
        <v>3098</v>
      </c>
      <c r="X332" s="421" t="s">
        <v>3099</v>
      </c>
      <c r="Y332" s="421" t="s">
        <v>1117</v>
      </c>
      <c r="Z332" s="421" t="s">
        <v>1118</v>
      </c>
      <c r="AA332" s="421" t="s">
        <v>3100</v>
      </c>
      <c r="AB332" s="421" t="s">
        <v>3101</v>
      </c>
      <c r="AC332" s="421" t="s">
        <v>3102</v>
      </c>
      <c r="AD332" s="421" t="s">
        <v>3291</v>
      </c>
      <c r="AE332" s="421" t="s">
        <v>3292</v>
      </c>
      <c r="AF332" s="421" t="s">
        <v>2236</v>
      </c>
      <c r="AG332" s="421" t="s">
        <v>2237</v>
      </c>
      <c r="AH332" s="421" t="s">
        <v>3105</v>
      </c>
      <c r="AI332" s="421">
        <v>646000</v>
      </c>
      <c r="AJ332" s="421">
        <v>1470</v>
      </c>
      <c r="AK332" s="421">
        <v>1598.44</v>
      </c>
      <c r="AL332" s="421">
        <v>2</v>
      </c>
      <c r="AM332" s="421" t="s">
        <v>3553</v>
      </c>
      <c r="AN332" s="421" t="s">
        <v>3293</v>
      </c>
      <c r="AO332" s="421" t="s">
        <v>1121</v>
      </c>
      <c r="AP332" s="421" t="s">
        <v>1121</v>
      </c>
      <c r="AQ332" s="421" t="s">
        <v>1542</v>
      </c>
      <c r="AR332" s="421" t="s">
        <v>3627</v>
      </c>
      <c r="AS332" s="421" t="s">
        <v>3655</v>
      </c>
      <c r="AT332" s="421" t="s">
        <v>3109</v>
      </c>
      <c r="AU332" s="421" t="s">
        <v>1142</v>
      </c>
      <c r="AV332" s="421" t="s">
        <v>2520</v>
      </c>
      <c r="AW332" s="421" t="s">
        <v>3110</v>
      </c>
      <c r="AX332" s="421" t="s">
        <v>3111</v>
      </c>
      <c r="AY332" s="421" t="s">
        <v>3112</v>
      </c>
      <c r="AZ332" s="421" t="s">
        <v>3113</v>
      </c>
      <c r="BA332" s="421" t="s">
        <v>3114</v>
      </c>
      <c r="BB332" s="421" t="s">
        <v>3115</v>
      </c>
      <c r="BC332" s="421">
        <v>18770.5</v>
      </c>
      <c r="BD332" s="421">
        <v>47649852.780000001</v>
      </c>
      <c r="BE332" s="421">
        <v>0</v>
      </c>
      <c r="BF332" s="421">
        <v>265.56</v>
      </c>
      <c r="BG332" s="421">
        <v>47.59</v>
      </c>
      <c r="BH332" s="421">
        <v>0</v>
      </c>
      <c r="BI332" s="421" t="s">
        <v>1331</v>
      </c>
    </row>
    <row r="333" spans="1:61" x14ac:dyDescent="0.25">
      <c r="A333" s="421">
        <v>330</v>
      </c>
      <c r="B333" s="421">
        <v>2015</v>
      </c>
      <c r="C333" s="421">
        <v>6</v>
      </c>
      <c r="D333" s="421">
        <v>17</v>
      </c>
      <c r="E333" s="421" t="s">
        <v>1475</v>
      </c>
      <c r="F333" s="421" t="s">
        <v>3360</v>
      </c>
      <c r="G333" s="421" t="s">
        <v>3161</v>
      </c>
      <c r="H333" s="421" t="s">
        <v>1107</v>
      </c>
      <c r="I333" s="421" t="s">
        <v>2044</v>
      </c>
      <c r="J333" s="421" t="s">
        <v>3660</v>
      </c>
      <c r="K333" s="421" t="s">
        <v>3093</v>
      </c>
      <c r="L333" s="421" t="s">
        <v>3094</v>
      </c>
      <c r="M333" s="421" t="s">
        <v>2667</v>
      </c>
      <c r="N333" s="421" t="s">
        <v>3093</v>
      </c>
      <c r="O333" s="421" t="s">
        <v>3094</v>
      </c>
      <c r="P333" s="421" t="s">
        <v>3095</v>
      </c>
      <c r="Q333" s="421" t="s">
        <v>3113</v>
      </c>
      <c r="R333" s="421" t="s">
        <v>1108</v>
      </c>
      <c r="S333" s="421" t="s">
        <v>1108</v>
      </c>
      <c r="T333" s="421" t="s">
        <v>1130</v>
      </c>
      <c r="U333" s="421" t="s">
        <v>1112</v>
      </c>
      <c r="V333" s="421" t="s">
        <v>3097</v>
      </c>
      <c r="W333" s="421" t="s">
        <v>3098</v>
      </c>
      <c r="X333" s="421" t="s">
        <v>3099</v>
      </c>
      <c r="Y333" s="421" t="s">
        <v>1117</v>
      </c>
      <c r="Z333" s="421" t="s">
        <v>1118</v>
      </c>
      <c r="AA333" s="421" t="s">
        <v>3100</v>
      </c>
      <c r="AB333" s="421" t="s">
        <v>3101</v>
      </c>
      <c r="AC333" s="421" t="s">
        <v>3102</v>
      </c>
      <c r="AD333" s="421" t="s">
        <v>3189</v>
      </c>
      <c r="AE333" s="421" t="s">
        <v>3190</v>
      </c>
      <c r="AF333" s="421" t="s">
        <v>2236</v>
      </c>
      <c r="AG333" s="421" t="s">
        <v>2237</v>
      </c>
      <c r="AH333" s="421" t="s">
        <v>3105</v>
      </c>
      <c r="AI333" s="421">
        <v>2648000</v>
      </c>
      <c r="AJ333" s="421">
        <v>5356.3</v>
      </c>
      <c r="AK333" s="421">
        <v>5801.04</v>
      </c>
      <c r="AL333" s="421">
        <v>1</v>
      </c>
      <c r="AM333" s="421" t="s">
        <v>961</v>
      </c>
      <c r="AN333" s="421" t="s">
        <v>3191</v>
      </c>
      <c r="AO333" s="421" t="s">
        <v>1121</v>
      </c>
      <c r="AP333" s="421" t="s">
        <v>1121</v>
      </c>
      <c r="AQ333" s="421" t="s">
        <v>1108</v>
      </c>
      <c r="AR333" s="421" t="s">
        <v>3627</v>
      </c>
      <c r="AS333" s="421" t="s">
        <v>3661</v>
      </c>
      <c r="AT333" s="421" t="s">
        <v>3109</v>
      </c>
      <c r="AU333" s="421" t="s">
        <v>1142</v>
      </c>
      <c r="AV333" s="421" t="s">
        <v>2037</v>
      </c>
      <c r="AW333" s="421" t="s">
        <v>3110</v>
      </c>
      <c r="AX333" s="421" t="s">
        <v>3111</v>
      </c>
      <c r="AY333" s="421" t="s">
        <v>3193</v>
      </c>
      <c r="AZ333" s="421" t="s">
        <v>3113</v>
      </c>
      <c r="BA333" s="421" t="s">
        <v>3114</v>
      </c>
      <c r="BB333" s="421" t="s">
        <v>3115</v>
      </c>
      <c r="BC333" s="421">
        <v>73117.2</v>
      </c>
      <c r="BD333" s="421">
        <v>185112277.58000001</v>
      </c>
      <c r="BE333" s="421">
        <v>0</v>
      </c>
      <c r="BF333" s="421">
        <v>847.95</v>
      </c>
      <c r="BG333" s="421">
        <v>184.92</v>
      </c>
      <c r="BH333" s="421">
        <v>0</v>
      </c>
      <c r="BI333" s="421" t="s">
        <v>1149</v>
      </c>
    </row>
    <row r="334" spans="1:61" x14ac:dyDescent="0.25">
      <c r="A334" s="421">
        <v>331</v>
      </c>
      <c r="B334" s="421">
        <v>2015</v>
      </c>
      <c r="C334" s="421">
        <v>6</v>
      </c>
      <c r="D334" s="421">
        <v>17</v>
      </c>
      <c r="E334" s="421" t="s">
        <v>1475</v>
      </c>
      <c r="F334" s="421" t="s">
        <v>3360</v>
      </c>
      <c r="G334" s="421" t="s">
        <v>3161</v>
      </c>
      <c r="H334" s="421" t="s">
        <v>1107</v>
      </c>
      <c r="I334" s="421" t="s">
        <v>2044</v>
      </c>
      <c r="J334" s="421" t="s">
        <v>3660</v>
      </c>
      <c r="K334" s="421" t="s">
        <v>3093</v>
      </c>
      <c r="L334" s="421" t="s">
        <v>3094</v>
      </c>
      <c r="M334" s="421" t="s">
        <v>2667</v>
      </c>
      <c r="N334" s="421" t="s">
        <v>3093</v>
      </c>
      <c r="O334" s="421" t="s">
        <v>3094</v>
      </c>
      <c r="P334" s="421" t="s">
        <v>3095</v>
      </c>
      <c r="Q334" s="421" t="s">
        <v>3113</v>
      </c>
      <c r="R334" s="421" t="s">
        <v>1108</v>
      </c>
      <c r="S334" s="421" t="s">
        <v>1108</v>
      </c>
      <c r="T334" s="421" t="s">
        <v>1130</v>
      </c>
      <c r="U334" s="421" t="s">
        <v>1112</v>
      </c>
      <c r="V334" s="421" t="s">
        <v>3097</v>
      </c>
      <c r="W334" s="421" t="s">
        <v>3098</v>
      </c>
      <c r="X334" s="421" t="s">
        <v>3099</v>
      </c>
      <c r="Y334" s="421" t="s">
        <v>1117</v>
      </c>
      <c r="Z334" s="421" t="s">
        <v>1118</v>
      </c>
      <c r="AA334" s="421" t="s">
        <v>3100</v>
      </c>
      <c r="AB334" s="421" t="s">
        <v>3101</v>
      </c>
      <c r="AC334" s="421" t="s">
        <v>3102</v>
      </c>
      <c r="AD334" s="421" t="s">
        <v>3189</v>
      </c>
      <c r="AE334" s="421" t="s">
        <v>3190</v>
      </c>
      <c r="AF334" s="421" t="s">
        <v>2236</v>
      </c>
      <c r="AG334" s="421" t="s">
        <v>2237</v>
      </c>
      <c r="AH334" s="421" t="s">
        <v>3105</v>
      </c>
      <c r="AI334" s="421">
        <v>391000</v>
      </c>
      <c r="AJ334" s="421">
        <v>868.51</v>
      </c>
      <c r="AK334" s="421">
        <v>940.62</v>
      </c>
      <c r="AL334" s="421">
        <v>2</v>
      </c>
      <c r="AM334" s="421" t="s">
        <v>961</v>
      </c>
      <c r="AN334" s="421" t="s">
        <v>3191</v>
      </c>
      <c r="AO334" s="421" t="s">
        <v>1121</v>
      </c>
      <c r="AP334" s="421" t="s">
        <v>1121</v>
      </c>
      <c r="AQ334" s="421" t="s">
        <v>1108</v>
      </c>
      <c r="AR334" s="421" t="s">
        <v>3627</v>
      </c>
      <c r="AS334" s="421" t="s">
        <v>3661</v>
      </c>
      <c r="AT334" s="421" t="s">
        <v>3109</v>
      </c>
      <c r="AU334" s="421" t="s">
        <v>1142</v>
      </c>
      <c r="AV334" s="421" t="s">
        <v>2037</v>
      </c>
      <c r="AW334" s="421" t="s">
        <v>3110</v>
      </c>
      <c r="AX334" s="421" t="s">
        <v>3111</v>
      </c>
      <c r="AY334" s="421" t="s">
        <v>3193</v>
      </c>
      <c r="AZ334" s="421" t="s">
        <v>3113</v>
      </c>
      <c r="BA334" s="421" t="s">
        <v>3114</v>
      </c>
      <c r="BB334" s="421" t="s">
        <v>3115</v>
      </c>
      <c r="BC334" s="421">
        <v>12586</v>
      </c>
      <c r="BD334" s="421">
        <v>31864227.920000002</v>
      </c>
      <c r="BE334" s="421">
        <v>0</v>
      </c>
      <c r="BF334" s="421">
        <v>145.96</v>
      </c>
      <c r="BG334" s="421">
        <v>31.83</v>
      </c>
      <c r="BH334" s="421">
        <v>0</v>
      </c>
      <c r="BI334" s="421" t="s">
        <v>1149</v>
      </c>
    </row>
    <row r="335" spans="1:61" x14ac:dyDescent="0.25">
      <c r="A335" s="421">
        <v>332</v>
      </c>
      <c r="B335" s="421">
        <v>2015</v>
      </c>
      <c r="C335" s="421">
        <v>6</v>
      </c>
      <c r="D335" s="421">
        <v>17</v>
      </c>
      <c r="E335" s="421" t="s">
        <v>1475</v>
      </c>
      <c r="F335" s="421" t="s">
        <v>3360</v>
      </c>
      <c r="G335" s="421" t="s">
        <v>3161</v>
      </c>
      <c r="H335" s="421" t="s">
        <v>1107</v>
      </c>
      <c r="I335" s="421" t="s">
        <v>2044</v>
      </c>
      <c r="J335" s="421" t="s">
        <v>3660</v>
      </c>
      <c r="K335" s="421" t="s">
        <v>3093</v>
      </c>
      <c r="L335" s="421" t="s">
        <v>3094</v>
      </c>
      <c r="M335" s="421" t="s">
        <v>2667</v>
      </c>
      <c r="N335" s="421" t="s">
        <v>3093</v>
      </c>
      <c r="O335" s="421" t="s">
        <v>3094</v>
      </c>
      <c r="P335" s="421" t="s">
        <v>3095</v>
      </c>
      <c r="Q335" s="421" t="s">
        <v>3113</v>
      </c>
      <c r="R335" s="421" t="s">
        <v>1108</v>
      </c>
      <c r="S335" s="421" t="s">
        <v>1108</v>
      </c>
      <c r="T335" s="421" t="s">
        <v>1130</v>
      </c>
      <c r="U335" s="421" t="s">
        <v>1112</v>
      </c>
      <c r="V335" s="421" t="s">
        <v>3097</v>
      </c>
      <c r="W335" s="421" t="s">
        <v>3098</v>
      </c>
      <c r="X335" s="421" t="s">
        <v>3099</v>
      </c>
      <c r="Y335" s="421" t="s">
        <v>1117</v>
      </c>
      <c r="Z335" s="421" t="s">
        <v>1118</v>
      </c>
      <c r="AA335" s="421" t="s">
        <v>3100</v>
      </c>
      <c r="AB335" s="421" t="s">
        <v>3101</v>
      </c>
      <c r="AC335" s="421" t="s">
        <v>3102</v>
      </c>
      <c r="AD335" s="421" t="s">
        <v>3189</v>
      </c>
      <c r="AE335" s="421" t="s">
        <v>3190</v>
      </c>
      <c r="AF335" s="421" t="s">
        <v>2236</v>
      </c>
      <c r="AG335" s="421" t="s">
        <v>2237</v>
      </c>
      <c r="AH335" s="421" t="s">
        <v>3105</v>
      </c>
      <c r="AI335" s="421">
        <v>75200</v>
      </c>
      <c r="AJ335" s="421">
        <v>310.87</v>
      </c>
      <c r="AK335" s="421">
        <v>336.68</v>
      </c>
      <c r="AL335" s="421">
        <v>3</v>
      </c>
      <c r="AM335" s="421" t="s">
        <v>961</v>
      </c>
      <c r="AN335" s="421" t="s">
        <v>3191</v>
      </c>
      <c r="AO335" s="421" t="s">
        <v>1121</v>
      </c>
      <c r="AP335" s="421" t="s">
        <v>1121</v>
      </c>
      <c r="AQ335" s="421" t="s">
        <v>1108</v>
      </c>
      <c r="AR335" s="421" t="s">
        <v>3627</v>
      </c>
      <c r="AS335" s="421" t="s">
        <v>3661</v>
      </c>
      <c r="AT335" s="421" t="s">
        <v>3109</v>
      </c>
      <c r="AU335" s="421" t="s">
        <v>1142</v>
      </c>
      <c r="AV335" s="421" t="s">
        <v>2037</v>
      </c>
      <c r="AW335" s="421" t="s">
        <v>3110</v>
      </c>
      <c r="AX335" s="421" t="s">
        <v>3111</v>
      </c>
      <c r="AY335" s="421" t="s">
        <v>3193</v>
      </c>
      <c r="AZ335" s="421" t="s">
        <v>3113</v>
      </c>
      <c r="BA335" s="421" t="s">
        <v>3114</v>
      </c>
      <c r="BB335" s="421" t="s">
        <v>3115</v>
      </c>
      <c r="BC335" s="421">
        <v>8330.4</v>
      </c>
      <c r="BD335" s="421">
        <v>21090240.289999999</v>
      </c>
      <c r="BE335" s="421">
        <v>0</v>
      </c>
      <c r="BF335" s="421">
        <v>96.61</v>
      </c>
      <c r="BG335" s="421">
        <v>21.07</v>
      </c>
      <c r="BH335" s="421">
        <v>0</v>
      </c>
      <c r="BI335" s="421" t="s">
        <v>1149</v>
      </c>
    </row>
    <row r="336" spans="1:61" x14ac:dyDescent="0.25">
      <c r="A336" s="421">
        <v>333</v>
      </c>
      <c r="B336" s="421">
        <v>2015</v>
      </c>
      <c r="C336" s="421">
        <v>6</v>
      </c>
      <c r="D336" s="421">
        <v>17</v>
      </c>
      <c r="E336" s="421" t="s">
        <v>1475</v>
      </c>
      <c r="F336" s="421" t="s">
        <v>3360</v>
      </c>
      <c r="G336" s="421" t="s">
        <v>3161</v>
      </c>
      <c r="H336" s="421" t="s">
        <v>1107</v>
      </c>
      <c r="I336" s="421" t="s">
        <v>2044</v>
      </c>
      <c r="J336" s="421" t="s">
        <v>3660</v>
      </c>
      <c r="K336" s="421" t="s">
        <v>3093</v>
      </c>
      <c r="L336" s="421" t="s">
        <v>3094</v>
      </c>
      <c r="M336" s="421" t="s">
        <v>2667</v>
      </c>
      <c r="N336" s="421" t="s">
        <v>3093</v>
      </c>
      <c r="O336" s="421" t="s">
        <v>3094</v>
      </c>
      <c r="P336" s="421" t="s">
        <v>3095</v>
      </c>
      <c r="Q336" s="421" t="s">
        <v>3113</v>
      </c>
      <c r="R336" s="421" t="s">
        <v>1108</v>
      </c>
      <c r="S336" s="421" t="s">
        <v>1108</v>
      </c>
      <c r="T336" s="421" t="s">
        <v>1130</v>
      </c>
      <c r="U336" s="421" t="s">
        <v>1112</v>
      </c>
      <c r="V336" s="421" t="s">
        <v>3097</v>
      </c>
      <c r="W336" s="421" t="s">
        <v>3098</v>
      </c>
      <c r="X336" s="421" t="s">
        <v>3099</v>
      </c>
      <c r="Y336" s="421" t="s">
        <v>1117</v>
      </c>
      <c r="Z336" s="421" t="s">
        <v>1118</v>
      </c>
      <c r="AA336" s="421" t="s">
        <v>3100</v>
      </c>
      <c r="AB336" s="421" t="s">
        <v>3101</v>
      </c>
      <c r="AC336" s="421" t="s">
        <v>3102</v>
      </c>
      <c r="AD336" s="421" t="s">
        <v>3189</v>
      </c>
      <c r="AE336" s="421" t="s">
        <v>3190</v>
      </c>
      <c r="AF336" s="421" t="s">
        <v>2236</v>
      </c>
      <c r="AG336" s="421" t="s">
        <v>2237</v>
      </c>
      <c r="AH336" s="421" t="s">
        <v>3105</v>
      </c>
      <c r="AI336" s="421">
        <v>11520</v>
      </c>
      <c r="AJ336" s="421">
        <v>50.26</v>
      </c>
      <c r="AK336" s="421">
        <v>54.43</v>
      </c>
      <c r="AL336" s="421">
        <v>4</v>
      </c>
      <c r="AM336" s="421" t="s">
        <v>961</v>
      </c>
      <c r="AN336" s="421" t="s">
        <v>3191</v>
      </c>
      <c r="AO336" s="421" t="s">
        <v>1121</v>
      </c>
      <c r="AP336" s="421" t="s">
        <v>1121</v>
      </c>
      <c r="AQ336" s="421" t="s">
        <v>1108</v>
      </c>
      <c r="AR336" s="421" t="s">
        <v>3627</v>
      </c>
      <c r="AS336" s="421" t="s">
        <v>3661</v>
      </c>
      <c r="AT336" s="421" t="s">
        <v>3109</v>
      </c>
      <c r="AU336" s="421" t="s">
        <v>1142</v>
      </c>
      <c r="AV336" s="421" t="s">
        <v>2037</v>
      </c>
      <c r="AW336" s="421" t="s">
        <v>3110</v>
      </c>
      <c r="AX336" s="421" t="s">
        <v>3111</v>
      </c>
      <c r="AY336" s="421" t="s">
        <v>3193</v>
      </c>
      <c r="AZ336" s="421" t="s">
        <v>3113</v>
      </c>
      <c r="BA336" s="421" t="s">
        <v>3114</v>
      </c>
      <c r="BB336" s="421" t="s">
        <v>3115</v>
      </c>
      <c r="BC336" s="421">
        <v>1248</v>
      </c>
      <c r="BD336" s="421">
        <v>3159586.56</v>
      </c>
      <c r="BE336" s="421">
        <v>0</v>
      </c>
      <c r="BF336" s="421">
        <v>14.47</v>
      </c>
      <c r="BG336" s="421">
        <v>3.16</v>
      </c>
      <c r="BH336" s="421">
        <v>0</v>
      </c>
      <c r="BI336" s="421" t="s">
        <v>1149</v>
      </c>
    </row>
    <row r="337" spans="1:61" x14ac:dyDescent="0.25">
      <c r="A337" s="421">
        <v>334</v>
      </c>
      <c r="B337" s="421">
        <v>2015</v>
      </c>
      <c r="C337" s="421">
        <v>6</v>
      </c>
      <c r="D337" s="421">
        <v>20</v>
      </c>
      <c r="E337" s="421" t="s">
        <v>1475</v>
      </c>
      <c r="F337" s="421" t="s">
        <v>3360</v>
      </c>
      <c r="G337" s="421" t="s">
        <v>3194</v>
      </c>
      <c r="H337" s="421" t="s">
        <v>1107</v>
      </c>
      <c r="I337" s="421" t="s">
        <v>3662</v>
      </c>
      <c r="J337" s="421" t="s">
        <v>3663</v>
      </c>
      <c r="K337" s="421" t="s">
        <v>3093</v>
      </c>
      <c r="L337" s="421" t="s">
        <v>3094</v>
      </c>
      <c r="M337" s="421" t="s">
        <v>2667</v>
      </c>
      <c r="N337" s="421" t="s">
        <v>3093</v>
      </c>
      <c r="O337" s="421" t="s">
        <v>3094</v>
      </c>
      <c r="P337" s="421" t="s">
        <v>3095</v>
      </c>
      <c r="Q337" s="421" t="s">
        <v>3096</v>
      </c>
      <c r="R337" s="421" t="s">
        <v>1108</v>
      </c>
      <c r="S337" s="421" t="s">
        <v>1542</v>
      </c>
      <c r="T337" s="421" t="s">
        <v>1130</v>
      </c>
      <c r="U337" s="421" t="s">
        <v>1112</v>
      </c>
      <c r="V337" s="421" t="s">
        <v>3097</v>
      </c>
      <c r="W337" s="421" t="s">
        <v>3098</v>
      </c>
      <c r="X337" s="421" t="s">
        <v>3099</v>
      </c>
      <c r="Y337" s="421" t="s">
        <v>1117</v>
      </c>
      <c r="Z337" s="421" t="s">
        <v>1118</v>
      </c>
      <c r="AA337" s="421" t="s">
        <v>3100</v>
      </c>
      <c r="AB337" s="421" t="s">
        <v>3101</v>
      </c>
      <c r="AC337" s="421" t="s">
        <v>3102</v>
      </c>
      <c r="AD337" s="421" t="s">
        <v>3312</v>
      </c>
      <c r="AE337" s="421" t="s">
        <v>3313</v>
      </c>
      <c r="AF337" s="421" t="s">
        <v>2236</v>
      </c>
      <c r="AG337" s="421" t="s">
        <v>2237</v>
      </c>
      <c r="AH337" s="421" t="s">
        <v>3105</v>
      </c>
      <c r="AI337" s="421">
        <v>67440</v>
      </c>
      <c r="AJ337" s="421">
        <v>339.51</v>
      </c>
      <c r="AK337" s="421">
        <v>372.55</v>
      </c>
      <c r="AL337" s="421">
        <v>2</v>
      </c>
      <c r="AM337" s="421" t="s">
        <v>3314</v>
      </c>
      <c r="AN337" s="421" t="s">
        <v>3314</v>
      </c>
      <c r="AO337" s="421" t="s">
        <v>1121</v>
      </c>
      <c r="AP337" s="421" t="s">
        <v>1121</v>
      </c>
      <c r="AQ337" s="421" t="s">
        <v>1542</v>
      </c>
      <c r="AR337" s="421" t="s">
        <v>3627</v>
      </c>
      <c r="AS337" s="421" t="s">
        <v>3664</v>
      </c>
      <c r="AT337" s="421" t="s">
        <v>3109</v>
      </c>
      <c r="AU337" s="421" t="s">
        <v>1142</v>
      </c>
      <c r="AV337" s="421" t="s">
        <v>2520</v>
      </c>
      <c r="AW337" s="421" t="s">
        <v>3110</v>
      </c>
      <c r="AX337" s="421" t="s">
        <v>3111</v>
      </c>
      <c r="AY337" s="421" t="s">
        <v>3112</v>
      </c>
      <c r="AZ337" s="421" t="s">
        <v>3113</v>
      </c>
      <c r="BA337" s="421" t="s">
        <v>3114</v>
      </c>
      <c r="BB337" s="421" t="s">
        <v>3115</v>
      </c>
      <c r="BC337" s="421">
        <v>5490</v>
      </c>
      <c r="BD337" s="421">
        <v>13989618</v>
      </c>
      <c r="BE337" s="421">
        <v>0</v>
      </c>
      <c r="BF337" s="421">
        <v>150.53</v>
      </c>
      <c r="BG337" s="421">
        <v>14.1</v>
      </c>
      <c r="BH337" s="421">
        <v>0</v>
      </c>
      <c r="BI337" s="421" t="s">
        <v>1331</v>
      </c>
    </row>
    <row r="338" spans="1:61" x14ac:dyDescent="0.25">
      <c r="A338" s="421">
        <v>335</v>
      </c>
      <c r="B338" s="421">
        <v>2015</v>
      </c>
      <c r="C338" s="421">
        <v>6</v>
      </c>
      <c r="D338" s="421">
        <v>20</v>
      </c>
      <c r="E338" s="421" t="s">
        <v>1475</v>
      </c>
      <c r="F338" s="421" t="s">
        <v>3360</v>
      </c>
      <c r="G338" s="421" t="s">
        <v>3194</v>
      </c>
      <c r="H338" s="421" t="s">
        <v>1107</v>
      </c>
      <c r="I338" s="421" t="s">
        <v>3662</v>
      </c>
      <c r="J338" s="421" t="s">
        <v>3663</v>
      </c>
      <c r="K338" s="421" t="s">
        <v>3093</v>
      </c>
      <c r="L338" s="421" t="s">
        <v>3094</v>
      </c>
      <c r="M338" s="421" t="s">
        <v>2667</v>
      </c>
      <c r="N338" s="421" t="s">
        <v>3093</v>
      </c>
      <c r="O338" s="421" t="s">
        <v>3094</v>
      </c>
      <c r="P338" s="421" t="s">
        <v>3095</v>
      </c>
      <c r="Q338" s="421" t="s">
        <v>3096</v>
      </c>
      <c r="R338" s="421" t="s">
        <v>1108</v>
      </c>
      <c r="S338" s="421" t="s">
        <v>1542</v>
      </c>
      <c r="T338" s="421" t="s">
        <v>1130</v>
      </c>
      <c r="U338" s="421" t="s">
        <v>1112</v>
      </c>
      <c r="V338" s="421" t="s">
        <v>3097</v>
      </c>
      <c r="W338" s="421" t="s">
        <v>3098</v>
      </c>
      <c r="X338" s="421" t="s">
        <v>3099</v>
      </c>
      <c r="Y338" s="421" t="s">
        <v>1117</v>
      </c>
      <c r="Z338" s="421" t="s">
        <v>1118</v>
      </c>
      <c r="AA338" s="421" t="s">
        <v>3100</v>
      </c>
      <c r="AB338" s="421" t="s">
        <v>3101</v>
      </c>
      <c r="AC338" s="421" t="s">
        <v>3102</v>
      </c>
      <c r="AD338" s="421" t="s">
        <v>3312</v>
      </c>
      <c r="AE338" s="421" t="s">
        <v>3313</v>
      </c>
      <c r="AF338" s="421" t="s">
        <v>2236</v>
      </c>
      <c r="AG338" s="421" t="s">
        <v>2237</v>
      </c>
      <c r="AH338" s="421" t="s">
        <v>3105</v>
      </c>
      <c r="AI338" s="421">
        <v>224000</v>
      </c>
      <c r="AJ338" s="421">
        <v>1079.5</v>
      </c>
      <c r="AK338" s="421">
        <v>1184.54</v>
      </c>
      <c r="AL338" s="421">
        <v>3</v>
      </c>
      <c r="AM338" s="421" t="s">
        <v>3314</v>
      </c>
      <c r="AN338" s="421" t="s">
        <v>3314</v>
      </c>
      <c r="AO338" s="421" t="s">
        <v>1121</v>
      </c>
      <c r="AP338" s="421" t="s">
        <v>1121</v>
      </c>
      <c r="AQ338" s="421" t="s">
        <v>1542</v>
      </c>
      <c r="AR338" s="421" t="s">
        <v>3627</v>
      </c>
      <c r="AS338" s="421" t="s">
        <v>3664</v>
      </c>
      <c r="AT338" s="421" t="s">
        <v>3109</v>
      </c>
      <c r="AU338" s="421" t="s">
        <v>1142</v>
      </c>
      <c r="AV338" s="421" t="s">
        <v>2520</v>
      </c>
      <c r="AW338" s="421" t="s">
        <v>3110</v>
      </c>
      <c r="AX338" s="421" t="s">
        <v>3111</v>
      </c>
      <c r="AY338" s="421" t="s">
        <v>3112</v>
      </c>
      <c r="AZ338" s="421" t="s">
        <v>3113</v>
      </c>
      <c r="BA338" s="421" t="s">
        <v>3114</v>
      </c>
      <c r="BB338" s="421" t="s">
        <v>3115</v>
      </c>
      <c r="BC338" s="421">
        <v>29250</v>
      </c>
      <c r="BD338" s="421">
        <v>74534850</v>
      </c>
      <c r="BE338" s="421">
        <v>0</v>
      </c>
      <c r="BF338" s="421">
        <v>801.99</v>
      </c>
      <c r="BG338" s="421">
        <v>75.13</v>
      </c>
      <c r="BH338" s="421">
        <v>0</v>
      </c>
      <c r="BI338" s="421" t="s">
        <v>1331</v>
      </c>
    </row>
    <row r="339" spans="1:61" x14ac:dyDescent="0.25">
      <c r="A339" s="421">
        <v>336</v>
      </c>
      <c r="B339" s="421">
        <v>2015</v>
      </c>
      <c r="C339" s="421">
        <v>6</v>
      </c>
      <c r="D339" s="421">
        <v>20</v>
      </c>
      <c r="E339" s="421" t="s">
        <v>1475</v>
      </c>
      <c r="F339" s="421" t="s">
        <v>3360</v>
      </c>
      <c r="G339" s="421" t="s">
        <v>3194</v>
      </c>
      <c r="H339" s="421" t="s">
        <v>1107</v>
      </c>
      <c r="I339" s="421" t="s">
        <v>3662</v>
      </c>
      <c r="J339" s="421" t="s">
        <v>3663</v>
      </c>
      <c r="K339" s="421" t="s">
        <v>3093</v>
      </c>
      <c r="L339" s="421" t="s">
        <v>3094</v>
      </c>
      <c r="M339" s="421" t="s">
        <v>2667</v>
      </c>
      <c r="N339" s="421" t="s">
        <v>3093</v>
      </c>
      <c r="O339" s="421" t="s">
        <v>3094</v>
      </c>
      <c r="P339" s="421" t="s">
        <v>3095</v>
      </c>
      <c r="Q339" s="421" t="s">
        <v>3096</v>
      </c>
      <c r="R339" s="421" t="s">
        <v>1108</v>
      </c>
      <c r="S339" s="421" t="s">
        <v>1542</v>
      </c>
      <c r="T339" s="421" t="s">
        <v>1130</v>
      </c>
      <c r="U339" s="421" t="s">
        <v>1112</v>
      </c>
      <c r="V339" s="421" t="s">
        <v>3097</v>
      </c>
      <c r="W339" s="421" t="s">
        <v>3098</v>
      </c>
      <c r="X339" s="421" t="s">
        <v>3099</v>
      </c>
      <c r="Y339" s="421" t="s">
        <v>1117</v>
      </c>
      <c r="Z339" s="421" t="s">
        <v>1118</v>
      </c>
      <c r="AA339" s="421" t="s">
        <v>3100</v>
      </c>
      <c r="AB339" s="421" t="s">
        <v>3101</v>
      </c>
      <c r="AC339" s="421" t="s">
        <v>3102</v>
      </c>
      <c r="AD339" s="421" t="s">
        <v>3312</v>
      </c>
      <c r="AE339" s="421" t="s">
        <v>3313</v>
      </c>
      <c r="AF339" s="421" t="s">
        <v>2236</v>
      </c>
      <c r="AG339" s="421" t="s">
        <v>2237</v>
      </c>
      <c r="AH339" s="421" t="s">
        <v>3105</v>
      </c>
      <c r="AI339" s="421">
        <v>29400</v>
      </c>
      <c r="AJ339" s="421">
        <v>157.19</v>
      </c>
      <c r="AK339" s="421">
        <v>172.48</v>
      </c>
      <c r="AL339" s="421">
        <v>4</v>
      </c>
      <c r="AM339" s="421" t="s">
        <v>3314</v>
      </c>
      <c r="AN339" s="421" t="s">
        <v>3314</v>
      </c>
      <c r="AO339" s="421" t="s">
        <v>1121</v>
      </c>
      <c r="AP339" s="421" t="s">
        <v>1121</v>
      </c>
      <c r="AQ339" s="421" t="s">
        <v>1542</v>
      </c>
      <c r="AR339" s="421" t="s">
        <v>3627</v>
      </c>
      <c r="AS339" s="421" t="s">
        <v>3664</v>
      </c>
      <c r="AT339" s="421" t="s">
        <v>3109</v>
      </c>
      <c r="AU339" s="421" t="s">
        <v>1142</v>
      </c>
      <c r="AV339" s="421" t="s">
        <v>2520</v>
      </c>
      <c r="AW339" s="421" t="s">
        <v>3110</v>
      </c>
      <c r="AX339" s="421" t="s">
        <v>3111</v>
      </c>
      <c r="AY339" s="421" t="s">
        <v>3112</v>
      </c>
      <c r="AZ339" s="421" t="s">
        <v>3113</v>
      </c>
      <c r="BA339" s="421" t="s">
        <v>3114</v>
      </c>
      <c r="BB339" s="421" t="s">
        <v>3115</v>
      </c>
      <c r="BC339" s="421">
        <v>4150</v>
      </c>
      <c r="BD339" s="421">
        <v>10575030</v>
      </c>
      <c r="BE339" s="421">
        <v>0</v>
      </c>
      <c r="BF339" s="421">
        <v>113.79</v>
      </c>
      <c r="BG339" s="421">
        <v>10.66</v>
      </c>
      <c r="BH339" s="421">
        <v>0</v>
      </c>
      <c r="BI339" s="421" t="s">
        <v>1331</v>
      </c>
    </row>
    <row r="340" spans="1:61" x14ac:dyDescent="0.25">
      <c r="A340" s="421">
        <v>337</v>
      </c>
      <c r="B340" s="421">
        <v>2015</v>
      </c>
      <c r="C340" s="421">
        <v>6</v>
      </c>
      <c r="D340" s="421">
        <v>20</v>
      </c>
      <c r="E340" s="421" t="s">
        <v>1475</v>
      </c>
      <c r="F340" s="421" t="s">
        <v>3360</v>
      </c>
      <c r="G340" s="421" t="s">
        <v>3194</v>
      </c>
      <c r="H340" s="421" t="s">
        <v>1107</v>
      </c>
      <c r="I340" s="421" t="s">
        <v>3662</v>
      </c>
      <c r="J340" s="421" t="s">
        <v>3663</v>
      </c>
      <c r="K340" s="421" t="s">
        <v>3093</v>
      </c>
      <c r="L340" s="421" t="s">
        <v>3094</v>
      </c>
      <c r="M340" s="421" t="s">
        <v>2667</v>
      </c>
      <c r="N340" s="421" t="s">
        <v>3093</v>
      </c>
      <c r="O340" s="421" t="s">
        <v>3094</v>
      </c>
      <c r="P340" s="421" t="s">
        <v>3095</v>
      </c>
      <c r="Q340" s="421" t="s">
        <v>3096</v>
      </c>
      <c r="R340" s="421" t="s">
        <v>1108</v>
      </c>
      <c r="S340" s="421" t="s">
        <v>1542</v>
      </c>
      <c r="T340" s="421" t="s">
        <v>1130</v>
      </c>
      <c r="U340" s="421" t="s">
        <v>1112</v>
      </c>
      <c r="V340" s="421" t="s">
        <v>3097</v>
      </c>
      <c r="W340" s="421" t="s">
        <v>3098</v>
      </c>
      <c r="X340" s="421" t="s">
        <v>3099</v>
      </c>
      <c r="Y340" s="421" t="s">
        <v>1117</v>
      </c>
      <c r="Z340" s="421" t="s">
        <v>1118</v>
      </c>
      <c r="AA340" s="421" t="s">
        <v>3100</v>
      </c>
      <c r="AB340" s="421" t="s">
        <v>3101</v>
      </c>
      <c r="AC340" s="421" t="s">
        <v>3102</v>
      </c>
      <c r="AD340" s="421" t="s">
        <v>3312</v>
      </c>
      <c r="AE340" s="421" t="s">
        <v>3313</v>
      </c>
      <c r="AF340" s="421" t="s">
        <v>2236</v>
      </c>
      <c r="AG340" s="421" t="s">
        <v>2237</v>
      </c>
      <c r="AH340" s="421" t="s">
        <v>3105</v>
      </c>
      <c r="AI340" s="421">
        <v>830350</v>
      </c>
      <c r="AJ340" s="421">
        <v>2352.0700000000002</v>
      </c>
      <c r="AK340" s="421">
        <v>2580.9299999999998</v>
      </c>
      <c r="AL340" s="421">
        <v>1</v>
      </c>
      <c r="AM340" s="421" t="s">
        <v>3314</v>
      </c>
      <c r="AN340" s="421" t="s">
        <v>3314</v>
      </c>
      <c r="AO340" s="421" t="s">
        <v>1121</v>
      </c>
      <c r="AP340" s="421" t="s">
        <v>1121</v>
      </c>
      <c r="AQ340" s="421" t="s">
        <v>1542</v>
      </c>
      <c r="AR340" s="421" t="s">
        <v>3627</v>
      </c>
      <c r="AS340" s="421" t="s">
        <v>3664</v>
      </c>
      <c r="AT340" s="421" t="s">
        <v>3109</v>
      </c>
      <c r="AU340" s="421" t="s">
        <v>1142</v>
      </c>
      <c r="AV340" s="421" t="s">
        <v>2520</v>
      </c>
      <c r="AW340" s="421" t="s">
        <v>3110</v>
      </c>
      <c r="AX340" s="421" t="s">
        <v>3111</v>
      </c>
      <c r="AY340" s="421" t="s">
        <v>3112</v>
      </c>
      <c r="AZ340" s="421" t="s">
        <v>3113</v>
      </c>
      <c r="BA340" s="421" t="s">
        <v>3114</v>
      </c>
      <c r="BB340" s="421" t="s">
        <v>3115</v>
      </c>
      <c r="BC340" s="421">
        <v>34053.199999999997</v>
      </c>
      <c r="BD340" s="421">
        <v>86774364.239999995</v>
      </c>
      <c r="BE340" s="421">
        <v>0</v>
      </c>
      <c r="BF340" s="421">
        <v>933.69</v>
      </c>
      <c r="BG340" s="421">
        <v>87.47</v>
      </c>
      <c r="BH340" s="421">
        <v>0</v>
      </c>
      <c r="BI340" s="421" t="s">
        <v>1331</v>
      </c>
    </row>
    <row r="341" spans="1:61" x14ac:dyDescent="0.25">
      <c r="A341" s="421">
        <v>338</v>
      </c>
      <c r="B341" s="421">
        <v>2015</v>
      </c>
      <c r="C341" s="421">
        <v>6</v>
      </c>
      <c r="D341" s="421">
        <v>22</v>
      </c>
      <c r="E341" s="421" t="s">
        <v>1475</v>
      </c>
      <c r="F341" s="421" t="s">
        <v>3360</v>
      </c>
      <c r="G341" s="421" t="s">
        <v>3507</v>
      </c>
      <c r="H341" s="421" t="s">
        <v>1107</v>
      </c>
      <c r="I341" s="421" t="s">
        <v>2100</v>
      </c>
      <c r="J341" s="421" t="s">
        <v>3665</v>
      </c>
      <c r="K341" s="421" t="s">
        <v>3093</v>
      </c>
      <c r="L341" s="421" t="s">
        <v>3094</v>
      </c>
      <c r="M341" s="421" t="s">
        <v>2667</v>
      </c>
      <c r="N341" s="421" t="s">
        <v>3093</v>
      </c>
      <c r="O341" s="421" t="s">
        <v>3094</v>
      </c>
      <c r="P341" s="421" t="s">
        <v>3095</v>
      </c>
      <c r="Q341" s="421" t="s">
        <v>3096</v>
      </c>
      <c r="R341" s="421" t="s">
        <v>1108</v>
      </c>
      <c r="S341" s="421" t="s">
        <v>1542</v>
      </c>
      <c r="T341" s="421" t="s">
        <v>1130</v>
      </c>
      <c r="U341" s="421" t="s">
        <v>1112</v>
      </c>
      <c r="V341" s="421" t="s">
        <v>3097</v>
      </c>
      <c r="W341" s="421" t="s">
        <v>3098</v>
      </c>
      <c r="X341" s="421" t="s">
        <v>3099</v>
      </c>
      <c r="Y341" s="421" t="s">
        <v>1117</v>
      </c>
      <c r="Z341" s="421" t="s">
        <v>1118</v>
      </c>
      <c r="AA341" s="421" t="s">
        <v>3100</v>
      </c>
      <c r="AB341" s="421" t="s">
        <v>3101</v>
      </c>
      <c r="AC341" s="421" t="s">
        <v>3102</v>
      </c>
      <c r="AD341" s="421" t="s">
        <v>3103</v>
      </c>
      <c r="AE341" s="421" t="s">
        <v>3104</v>
      </c>
      <c r="AF341" s="421" t="s">
        <v>2236</v>
      </c>
      <c r="AG341" s="421" t="s">
        <v>2237</v>
      </c>
      <c r="AH341" s="421" t="s">
        <v>3105</v>
      </c>
      <c r="AI341" s="421">
        <v>5900000</v>
      </c>
      <c r="AJ341" s="421">
        <v>13467.8</v>
      </c>
      <c r="AK341" s="421">
        <v>14586.26</v>
      </c>
      <c r="AL341" s="421">
        <v>1</v>
      </c>
      <c r="AM341" s="421" t="s">
        <v>959</v>
      </c>
      <c r="AN341" s="421" t="s">
        <v>3106</v>
      </c>
      <c r="AO341" s="421" t="s">
        <v>1121</v>
      </c>
      <c r="AP341" s="421" t="s">
        <v>1121</v>
      </c>
      <c r="AQ341" s="421" t="s">
        <v>1542</v>
      </c>
      <c r="AR341" s="421" t="s">
        <v>3627</v>
      </c>
      <c r="AS341" s="421" t="s">
        <v>3666</v>
      </c>
      <c r="AT341" s="421" t="s">
        <v>3109</v>
      </c>
      <c r="AU341" s="421" t="s">
        <v>1142</v>
      </c>
      <c r="AV341" s="421" t="s">
        <v>2520</v>
      </c>
      <c r="AW341" s="421" t="s">
        <v>3110</v>
      </c>
      <c r="AX341" s="421" t="s">
        <v>3111</v>
      </c>
      <c r="AY341" s="421" t="s">
        <v>3112</v>
      </c>
      <c r="AZ341" s="421" t="s">
        <v>3113</v>
      </c>
      <c r="BA341" s="421" t="s">
        <v>3114</v>
      </c>
      <c r="BB341" s="421" t="s">
        <v>3115</v>
      </c>
      <c r="BC341" s="421">
        <v>173249.5</v>
      </c>
      <c r="BD341" s="421">
        <v>441474375.89999998</v>
      </c>
      <c r="BE341" s="421">
        <v>0</v>
      </c>
      <c r="BF341" s="421">
        <v>0</v>
      </c>
      <c r="BG341" s="421">
        <v>0</v>
      </c>
      <c r="BH341" s="421">
        <v>0</v>
      </c>
      <c r="BI341" s="421" t="s">
        <v>1167</v>
      </c>
    </row>
    <row r="342" spans="1:61" x14ac:dyDescent="0.25">
      <c r="A342" s="421">
        <v>339</v>
      </c>
      <c r="B342" s="421">
        <v>2015</v>
      </c>
      <c r="C342" s="421">
        <v>6</v>
      </c>
      <c r="D342" s="421">
        <v>22</v>
      </c>
      <c r="E342" s="421" t="s">
        <v>1475</v>
      </c>
      <c r="F342" s="421" t="s">
        <v>3360</v>
      </c>
      <c r="G342" s="421" t="s">
        <v>3507</v>
      </c>
      <c r="H342" s="421" t="s">
        <v>1107</v>
      </c>
      <c r="I342" s="421" t="s">
        <v>2100</v>
      </c>
      <c r="J342" s="421" t="s">
        <v>3665</v>
      </c>
      <c r="K342" s="421" t="s">
        <v>3093</v>
      </c>
      <c r="L342" s="421" t="s">
        <v>3094</v>
      </c>
      <c r="M342" s="421" t="s">
        <v>2667</v>
      </c>
      <c r="N342" s="421" t="s">
        <v>3093</v>
      </c>
      <c r="O342" s="421" t="s">
        <v>3094</v>
      </c>
      <c r="P342" s="421" t="s">
        <v>3095</v>
      </c>
      <c r="Q342" s="421" t="s">
        <v>3096</v>
      </c>
      <c r="R342" s="421" t="s">
        <v>1108</v>
      </c>
      <c r="S342" s="421" t="s">
        <v>1542</v>
      </c>
      <c r="T342" s="421" t="s">
        <v>1130</v>
      </c>
      <c r="U342" s="421" t="s">
        <v>1112</v>
      </c>
      <c r="V342" s="421" t="s">
        <v>3097</v>
      </c>
      <c r="W342" s="421" t="s">
        <v>3098</v>
      </c>
      <c r="X342" s="421" t="s">
        <v>3099</v>
      </c>
      <c r="Y342" s="421" t="s">
        <v>1117</v>
      </c>
      <c r="Z342" s="421" t="s">
        <v>1118</v>
      </c>
      <c r="AA342" s="421" t="s">
        <v>3100</v>
      </c>
      <c r="AB342" s="421" t="s">
        <v>3101</v>
      </c>
      <c r="AC342" s="421" t="s">
        <v>3102</v>
      </c>
      <c r="AD342" s="421" t="s">
        <v>3103</v>
      </c>
      <c r="AE342" s="421" t="s">
        <v>3104</v>
      </c>
      <c r="AF342" s="421" t="s">
        <v>2236</v>
      </c>
      <c r="AG342" s="421" t="s">
        <v>2237</v>
      </c>
      <c r="AH342" s="421" t="s">
        <v>3105</v>
      </c>
      <c r="AI342" s="421">
        <v>141000</v>
      </c>
      <c r="AJ342" s="421">
        <v>294.86</v>
      </c>
      <c r="AK342" s="421">
        <v>319.35000000000002</v>
      </c>
      <c r="AL342" s="421">
        <v>2</v>
      </c>
      <c r="AM342" s="421" t="s">
        <v>959</v>
      </c>
      <c r="AN342" s="421" t="s">
        <v>3106</v>
      </c>
      <c r="AO342" s="421" t="s">
        <v>1121</v>
      </c>
      <c r="AP342" s="421" t="s">
        <v>1121</v>
      </c>
      <c r="AQ342" s="421" t="s">
        <v>1542</v>
      </c>
      <c r="AR342" s="421" t="s">
        <v>3627</v>
      </c>
      <c r="AS342" s="421" t="s">
        <v>3666</v>
      </c>
      <c r="AT342" s="421" t="s">
        <v>3109</v>
      </c>
      <c r="AU342" s="421" t="s">
        <v>1142</v>
      </c>
      <c r="AV342" s="421" t="s">
        <v>2520</v>
      </c>
      <c r="AW342" s="421" t="s">
        <v>3110</v>
      </c>
      <c r="AX342" s="421" t="s">
        <v>3111</v>
      </c>
      <c r="AY342" s="421" t="s">
        <v>3112</v>
      </c>
      <c r="AZ342" s="421" t="s">
        <v>3113</v>
      </c>
      <c r="BA342" s="421" t="s">
        <v>3114</v>
      </c>
      <c r="BB342" s="421" t="s">
        <v>3115</v>
      </c>
      <c r="BC342" s="421">
        <v>3735</v>
      </c>
      <c r="BD342" s="421">
        <v>9517527</v>
      </c>
      <c r="BE342" s="421">
        <v>0</v>
      </c>
      <c r="BF342" s="421">
        <v>0</v>
      </c>
      <c r="BG342" s="421">
        <v>0</v>
      </c>
      <c r="BH342" s="421">
        <v>0</v>
      </c>
      <c r="BI342" s="421" t="s">
        <v>1167</v>
      </c>
    </row>
    <row r="343" spans="1:61" x14ac:dyDescent="0.25">
      <c r="A343" s="421">
        <v>340</v>
      </c>
      <c r="B343" s="421">
        <v>2015</v>
      </c>
      <c r="C343" s="421">
        <v>6</v>
      </c>
      <c r="D343" s="421">
        <v>22</v>
      </c>
      <c r="E343" s="421" t="s">
        <v>1475</v>
      </c>
      <c r="F343" s="421" t="s">
        <v>3360</v>
      </c>
      <c r="G343" s="421" t="s">
        <v>3507</v>
      </c>
      <c r="H343" s="421" t="s">
        <v>1107</v>
      </c>
      <c r="I343" s="421" t="s">
        <v>2100</v>
      </c>
      <c r="J343" s="421" t="s">
        <v>3665</v>
      </c>
      <c r="K343" s="421" t="s">
        <v>3093</v>
      </c>
      <c r="L343" s="421" t="s">
        <v>3094</v>
      </c>
      <c r="M343" s="421" t="s">
        <v>2667</v>
      </c>
      <c r="N343" s="421" t="s">
        <v>3093</v>
      </c>
      <c r="O343" s="421" t="s">
        <v>3094</v>
      </c>
      <c r="P343" s="421" t="s">
        <v>3095</v>
      </c>
      <c r="Q343" s="421" t="s">
        <v>3096</v>
      </c>
      <c r="R343" s="421" t="s">
        <v>1108</v>
      </c>
      <c r="S343" s="421" t="s">
        <v>1542</v>
      </c>
      <c r="T343" s="421" t="s">
        <v>1130</v>
      </c>
      <c r="U343" s="421" t="s">
        <v>1112</v>
      </c>
      <c r="V343" s="421" t="s">
        <v>3097</v>
      </c>
      <c r="W343" s="421" t="s">
        <v>3098</v>
      </c>
      <c r="X343" s="421" t="s">
        <v>3099</v>
      </c>
      <c r="Y343" s="421" t="s">
        <v>1117</v>
      </c>
      <c r="Z343" s="421" t="s">
        <v>1118</v>
      </c>
      <c r="AA343" s="421" t="s">
        <v>3100</v>
      </c>
      <c r="AB343" s="421" t="s">
        <v>3101</v>
      </c>
      <c r="AC343" s="421" t="s">
        <v>3102</v>
      </c>
      <c r="AD343" s="421" t="s">
        <v>3103</v>
      </c>
      <c r="AE343" s="421" t="s">
        <v>3104</v>
      </c>
      <c r="AF343" s="421" t="s">
        <v>2236</v>
      </c>
      <c r="AG343" s="421" t="s">
        <v>2237</v>
      </c>
      <c r="AH343" s="421" t="s">
        <v>3105</v>
      </c>
      <c r="AI343" s="421">
        <v>348000</v>
      </c>
      <c r="AJ343" s="421">
        <v>1276.95</v>
      </c>
      <c r="AK343" s="421">
        <v>1383</v>
      </c>
      <c r="AL343" s="421">
        <v>3</v>
      </c>
      <c r="AM343" s="421" t="s">
        <v>959</v>
      </c>
      <c r="AN343" s="421" t="s">
        <v>3106</v>
      </c>
      <c r="AO343" s="421" t="s">
        <v>1121</v>
      </c>
      <c r="AP343" s="421" t="s">
        <v>1121</v>
      </c>
      <c r="AQ343" s="421" t="s">
        <v>1542</v>
      </c>
      <c r="AR343" s="421" t="s">
        <v>3627</v>
      </c>
      <c r="AS343" s="421" t="s">
        <v>3666</v>
      </c>
      <c r="AT343" s="421" t="s">
        <v>3109</v>
      </c>
      <c r="AU343" s="421" t="s">
        <v>1142</v>
      </c>
      <c r="AV343" s="421" t="s">
        <v>2520</v>
      </c>
      <c r="AW343" s="421" t="s">
        <v>3110</v>
      </c>
      <c r="AX343" s="421" t="s">
        <v>3111</v>
      </c>
      <c r="AY343" s="421" t="s">
        <v>3112</v>
      </c>
      <c r="AZ343" s="421" t="s">
        <v>3113</v>
      </c>
      <c r="BA343" s="421" t="s">
        <v>3114</v>
      </c>
      <c r="BB343" s="421" t="s">
        <v>3115</v>
      </c>
      <c r="BC343" s="421">
        <v>30482</v>
      </c>
      <c r="BD343" s="421">
        <v>77674232.400000006</v>
      </c>
      <c r="BE343" s="421">
        <v>0</v>
      </c>
      <c r="BF343" s="421">
        <v>0</v>
      </c>
      <c r="BG343" s="421">
        <v>0</v>
      </c>
      <c r="BH343" s="421">
        <v>0</v>
      </c>
      <c r="BI343" s="421" t="s">
        <v>1167</v>
      </c>
    </row>
    <row r="344" spans="1:61" x14ac:dyDescent="0.25">
      <c r="A344" s="421">
        <v>341</v>
      </c>
      <c r="B344" s="421">
        <v>2015</v>
      </c>
      <c r="C344" s="421">
        <v>6</v>
      </c>
      <c r="D344" s="421">
        <v>22</v>
      </c>
      <c r="E344" s="421" t="s">
        <v>1475</v>
      </c>
      <c r="F344" s="421" t="s">
        <v>3360</v>
      </c>
      <c r="G344" s="421" t="s">
        <v>3507</v>
      </c>
      <c r="H344" s="421" t="s">
        <v>1107</v>
      </c>
      <c r="I344" s="421" t="s">
        <v>2100</v>
      </c>
      <c r="J344" s="421" t="s">
        <v>3667</v>
      </c>
      <c r="K344" s="421" t="s">
        <v>3093</v>
      </c>
      <c r="L344" s="421" t="s">
        <v>3094</v>
      </c>
      <c r="M344" s="421" t="s">
        <v>2667</v>
      </c>
      <c r="N344" s="421" t="s">
        <v>3093</v>
      </c>
      <c r="O344" s="421" t="s">
        <v>3094</v>
      </c>
      <c r="P344" s="421" t="s">
        <v>3095</v>
      </c>
      <c r="Q344" s="421" t="s">
        <v>3096</v>
      </c>
      <c r="R344" s="421" t="s">
        <v>1108</v>
      </c>
      <c r="S344" s="421" t="s">
        <v>1542</v>
      </c>
      <c r="T344" s="421" t="s">
        <v>1130</v>
      </c>
      <c r="U344" s="421" t="s">
        <v>1112</v>
      </c>
      <c r="V344" s="421" t="s">
        <v>3097</v>
      </c>
      <c r="W344" s="421" t="s">
        <v>3098</v>
      </c>
      <c r="X344" s="421" t="s">
        <v>3099</v>
      </c>
      <c r="Y344" s="421" t="s">
        <v>1117</v>
      </c>
      <c r="Z344" s="421" t="s">
        <v>1118</v>
      </c>
      <c r="AA344" s="421" t="s">
        <v>3100</v>
      </c>
      <c r="AB344" s="421" t="s">
        <v>3101</v>
      </c>
      <c r="AC344" s="421" t="s">
        <v>3102</v>
      </c>
      <c r="AD344" s="421" t="s">
        <v>3103</v>
      </c>
      <c r="AE344" s="421" t="s">
        <v>3104</v>
      </c>
      <c r="AF344" s="421" t="s">
        <v>3375</v>
      </c>
      <c r="AG344" s="421" t="s">
        <v>3376</v>
      </c>
      <c r="AH344" s="421" t="s">
        <v>3105</v>
      </c>
      <c r="AI344" s="421">
        <v>150</v>
      </c>
      <c r="AJ344" s="421">
        <v>23.57</v>
      </c>
      <c r="AK344" s="421">
        <v>24.5</v>
      </c>
      <c r="AL344" s="421">
        <v>1</v>
      </c>
      <c r="AM344" s="421" t="s">
        <v>959</v>
      </c>
      <c r="AN344" s="421" t="s">
        <v>3106</v>
      </c>
      <c r="AO344" s="421" t="s">
        <v>1121</v>
      </c>
      <c r="AP344" s="421" t="s">
        <v>1121</v>
      </c>
      <c r="AQ344" s="421" t="s">
        <v>1542</v>
      </c>
      <c r="AR344" s="421" t="s">
        <v>3627</v>
      </c>
      <c r="AS344" s="421" t="s">
        <v>3668</v>
      </c>
      <c r="AT344" s="421" t="s">
        <v>3109</v>
      </c>
      <c r="AU344" s="421" t="s">
        <v>1142</v>
      </c>
      <c r="AV344" s="421" t="s">
        <v>2520</v>
      </c>
      <c r="AW344" s="421" t="s">
        <v>3110</v>
      </c>
      <c r="AX344" s="421" t="s">
        <v>3229</v>
      </c>
      <c r="AY344" s="421" t="s">
        <v>3112</v>
      </c>
      <c r="AZ344" s="421" t="s">
        <v>3113</v>
      </c>
      <c r="BA344" s="421" t="s">
        <v>3114</v>
      </c>
      <c r="BB344" s="421" t="s">
        <v>3230</v>
      </c>
      <c r="BC344" s="421">
        <v>7.5</v>
      </c>
      <c r="BD344" s="421">
        <v>19111.5</v>
      </c>
      <c r="BE344" s="421">
        <v>0</v>
      </c>
      <c r="BF344" s="421">
        <v>0</v>
      </c>
      <c r="BG344" s="421">
        <v>0</v>
      </c>
      <c r="BH344" s="421">
        <v>0</v>
      </c>
      <c r="BI344" s="421" t="s">
        <v>1167</v>
      </c>
    </row>
    <row r="345" spans="1:61" x14ac:dyDescent="0.25">
      <c r="A345" s="421">
        <v>342</v>
      </c>
      <c r="B345" s="421">
        <v>2015</v>
      </c>
      <c r="C345" s="421">
        <v>6</v>
      </c>
      <c r="D345" s="421">
        <v>22</v>
      </c>
      <c r="E345" s="421" t="s">
        <v>1475</v>
      </c>
      <c r="F345" s="421" t="s">
        <v>3360</v>
      </c>
      <c r="G345" s="421" t="s">
        <v>3507</v>
      </c>
      <c r="H345" s="421" t="s">
        <v>1107</v>
      </c>
      <c r="I345" s="421" t="s">
        <v>2100</v>
      </c>
      <c r="J345" s="421" t="s">
        <v>3669</v>
      </c>
      <c r="K345" s="421" t="s">
        <v>3093</v>
      </c>
      <c r="L345" s="421" t="s">
        <v>3094</v>
      </c>
      <c r="M345" s="421" t="s">
        <v>2667</v>
      </c>
      <c r="N345" s="421" t="s">
        <v>3093</v>
      </c>
      <c r="O345" s="421" t="s">
        <v>3094</v>
      </c>
      <c r="P345" s="421" t="s">
        <v>3095</v>
      </c>
      <c r="Q345" s="421" t="s">
        <v>3113</v>
      </c>
      <c r="R345" s="421" t="s">
        <v>1108</v>
      </c>
      <c r="S345" s="421" t="s">
        <v>1108</v>
      </c>
      <c r="T345" s="421" t="s">
        <v>1130</v>
      </c>
      <c r="U345" s="421" t="s">
        <v>1112</v>
      </c>
      <c r="V345" s="421" t="s">
        <v>3097</v>
      </c>
      <c r="W345" s="421" t="s">
        <v>3098</v>
      </c>
      <c r="X345" s="421" t="s">
        <v>3099</v>
      </c>
      <c r="Y345" s="421" t="s">
        <v>1117</v>
      </c>
      <c r="Z345" s="421" t="s">
        <v>1118</v>
      </c>
      <c r="AA345" s="421" t="s">
        <v>3100</v>
      </c>
      <c r="AB345" s="421" t="s">
        <v>3101</v>
      </c>
      <c r="AC345" s="421" t="s">
        <v>3102</v>
      </c>
      <c r="AD345" s="421" t="s">
        <v>3559</v>
      </c>
      <c r="AE345" s="421" t="s">
        <v>3560</v>
      </c>
      <c r="AF345" s="421" t="s">
        <v>2236</v>
      </c>
      <c r="AG345" s="421" t="s">
        <v>2237</v>
      </c>
      <c r="AH345" s="421" t="s">
        <v>3105</v>
      </c>
      <c r="AI345" s="421">
        <v>6922500</v>
      </c>
      <c r="AJ345" s="421">
        <v>12918.05</v>
      </c>
      <c r="AK345" s="421">
        <v>15307.22</v>
      </c>
      <c r="AL345" s="421">
        <v>1</v>
      </c>
      <c r="AM345" s="421" t="s">
        <v>961</v>
      </c>
      <c r="AN345" s="421" t="s">
        <v>3191</v>
      </c>
      <c r="AO345" s="421" t="s">
        <v>1121</v>
      </c>
      <c r="AP345" s="421" t="s">
        <v>1121</v>
      </c>
      <c r="AQ345" s="421" t="s">
        <v>1108</v>
      </c>
      <c r="AR345" s="421" t="s">
        <v>3627</v>
      </c>
      <c r="AS345" s="421" t="s">
        <v>3670</v>
      </c>
      <c r="AT345" s="421" t="s">
        <v>3109</v>
      </c>
      <c r="AU345" s="421" t="s">
        <v>1142</v>
      </c>
      <c r="AV345" s="421" t="s">
        <v>3130</v>
      </c>
      <c r="AW345" s="421" t="s">
        <v>3110</v>
      </c>
      <c r="AX345" s="421" t="s">
        <v>3111</v>
      </c>
      <c r="AY345" s="421" t="s">
        <v>3193</v>
      </c>
      <c r="AZ345" s="421" t="s">
        <v>3113</v>
      </c>
      <c r="BA345" s="421" t="s">
        <v>3114</v>
      </c>
      <c r="BB345" s="421" t="s">
        <v>3115</v>
      </c>
      <c r="BC345" s="421">
        <v>173985</v>
      </c>
      <c r="BD345" s="421">
        <v>443348577</v>
      </c>
      <c r="BE345" s="421">
        <v>0</v>
      </c>
      <c r="BF345" s="421">
        <v>0</v>
      </c>
      <c r="BG345" s="421">
        <v>0</v>
      </c>
      <c r="BH345" s="421">
        <v>0</v>
      </c>
      <c r="BI345" s="421" t="s">
        <v>1149</v>
      </c>
    </row>
    <row r="346" spans="1:61" x14ac:dyDescent="0.25">
      <c r="A346" s="421">
        <v>343</v>
      </c>
      <c r="B346" s="421">
        <v>2015</v>
      </c>
      <c r="C346" s="421">
        <v>6</v>
      </c>
      <c r="D346" s="421">
        <v>22</v>
      </c>
      <c r="E346" s="421" t="s">
        <v>1475</v>
      </c>
      <c r="F346" s="421" t="s">
        <v>3360</v>
      </c>
      <c r="G346" s="421" t="s">
        <v>3507</v>
      </c>
      <c r="H346" s="421" t="s">
        <v>1107</v>
      </c>
      <c r="I346" s="421" t="s">
        <v>2100</v>
      </c>
      <c r="J346" s="421" t="s">
        <v>3671</v>
      </c>
      <c r="K346" s="421" t="s">
        <v>3093</v>
      </c>
      <c r="L346" s="421" t="s">
        <v>3094</v>
      </c>
      <c r="M346" s="421" t="s">
        <v>2667</v>
      </c>
      <c r="N346" s="421" t="s">
        <v>3093</v>
      </c>
      <c r="O346" s="421" t="s">
        <v>3094</v>
      </c>
      <c r="P346" s="421" t="s">
        <v>3095</v>
      </c>
      <c r="Q346" s="421" t="s">
        <v>3113</v>
      </c>
      <c r="R346" s="421" t="s">
        <v>1108</v>
      </c>
      <c r="S346" s="421" t="s">
        <v>1108</v>
      </c>
      <c r="T346" s="421" t="s">
        <v>1130</v>
      </c>
      <c r="U346" s="421" t="s">
        <v>1112</v>
      </c>
      <c r="V346" s="421" t="s">
        <v>3097</v>
      </c>
      <c r="W346" s="421" t="s">
        <v>3098</v>
      </c>
      <c r="X346" s="421" t="s">
        <v>3099</v>
      </c>
      <c r="Y346" s="421" t="s">
        <v>1117</v>
      </c>
      <c r="Z346" s="421" t="s">
        <v>1118</v>
      </c>
      <c r="AA346" s="421" t="s">
        <v>3100</v>
      </c>
      <c r="AB346" s="421" t="s">
        <v>3101</v>
      </c>
      <c r="AC346" s="421" t="s">
        <v>3102</v>
      </c>
      <c r="AD346" s="421" t="s">
        <v>3125</v>
      </c>
      <c r="AE346" s="421" t="s">
        <v>3126</v>
      </c>
      <c r="AF346" s="421" t="s">
        <v>2236</v>
      </c>
      <c r="AG346" s="421" t="s">
        <v>2237</v>
      </c>
      <c r="AH346" s="421" t="s">
        <v>3105</v>
      </c>
      <c r="AI346" s="421">
        <v>1689500</v>
      </c>
      <c r="AJ346" s="421">
        <v>3909.19</v>
      </c>
      <c r="AK346" s="421">
        <v>4556.3500000000004</v>
      </c>
      <c r="AL346" s="421">
        <v>1</v>
      </c>
      <c r="AM346" s="421" t="s">
        <v>962</v>
      </c>
      <c r="AN346" s="421" t="s">
        <v>3127</v>
      </c>
      <c r="AO346" s="421" t="s">
        <v>1121</v>
      </c>
      <c r="AP346" s="421" t="s">
        <v>1121</v>
      </c>
      <c r="AQ346" s="421" t="s">
        <v>1108</v>
      </c>
      <c r="AR346" s="421" t="s">
        <v>3627</v>
      </c>
      <c r="AS346" s="421" t="s">
        <v>3672</v>
      </c>
      <c r="AT346" s="421" t="s">
        <v>3109</v>
      </c>
      <c r="AU346" s="421" t="s">
        <v>1142</v>
      </c>
      <c r="AV346" s="421" t="s">
        <v>3130</v>
      </c>
      <c r="AW346" s="421" t="s">
        <v>3110</v>
      </c>
      <c r="AX346" s="421" t="s">
        <v>3111</v>
      </c>
      <c r="AY346" s="421" t="s">
        <v>3112</v>
      </c>
      <c r="AZ346" s="421" t="s">
        <v>3113</v>
      </c>
      <c r="BA346" s="421" t="s">
        <v>3114</v>
      </c>
      <c r="BB346" s="421" t="s">
        <v>3115</v>
      </c>
      <c r="BC346" s="421">
        <v>47197.2</v>
      </c>
      <c r="BD346" s="421">
        <v>120267905.04000001</v>
      </c>
      <c r="BE346" s="421">
        <v>0</v>
      </c>
      <c r="BF346" s="421">
        <v>2476</v>
      </c>
      <c r="BG346" s="421">
        <v>0</v>
      </c>
      <c r="BH346" s="421">
        <v>0</v>
      </c>
      <c r="BI346" s="421" t="s">
        <v>1149</v>
      </c>
    </row>
    <row r="347" spans="1:61" x14ac:dyDescent="0.25">
      <c r="A347" s="421">
        <v>344</v>
      </c>
      <c r="B347" s="421">
        <v>2015</v>
      </c>
      <c r="C347" s="421">
        <v>6</v>
      </c>
      <c r="D347" s="421">
        <v>22</v>
      </c>
      <c r="E347" s="421" t="s">
        <v>1475</v>
      </c>
      <c r="F347" s="421" t="s">
        <v>3360</v>
      </c>
      <c r="G347" s="421" t="s">
        <v>3507</v>
      </c>
      <c r="H347" s="421" t="s">
        <v>1107</v>
      </c>
      <c r="I347" s="421" t="s">
        <v>2100</v>
      </c>
      <c r="J347" s="421" t="s">
        <v>3671</v>
      </c>
      <c r="K347" s="421" t="s">
        <v>3093</v>
      </c>
      <c r="L347" s="421" t="s">
        <v>3094</v>
      </c>
      <c r="M347" s="421" t="s">
        <v>2667</v>
      </c>
      <c r="N347" s="421" t="s">
        <v>3093</v>
      </c>
      <c r="O347" s="421" t="s">
        <v>3094</v>
      </c>
      <c r="P347" s="421" t="s">
        <v>3095</v>
      </c>
      <c r="Q347" s="421" t="s">
        <v>3113</v>
      </c>
      <c r="R347" s="421" t="s">
        <v>1108</v>
      </c>
      <c r="S347" s="421" t="s">
        <v>1108</v>
      </c>
      <c r="T347" s="421" t="s">
        <v>1130</v>
      </c>
      <c r="U347" s="421" t="s">
        <v>1112</v>
      </c>
      <c r="V347" s="421" t="s">
        <v>3097</v>
      </c>
      <c r="W347" s="421" t="s">
        <v>3098</v>
      </c>
      <c r="X347" s="421" t="s">
        <v>3099</v>
      </c>
      <c r="Y347" s="421" t="s">
        <v>1117</v>
      </c>
      <c r="Z347" s="421" t="s">
        <v>1118</v>
      </c>
      <c r="AA347" s="421" t="s">
        <v>3100</v>
      </c>
      <c r="AB347" s="421" t="s">
        <v>3101</v>
      </c>
      <c r="AC347" s="421" t="s">
        <v>3102</v>
      </c>
      <c r="AD347" s="421" t="s">
        <v>3125</v>
      </c>
      <c r="AE347" s="421" t="s">
        <v>3126</v>
      </c>
      <c r="AF347" s="421" t="s">
        <v>2236</v>
      </c>
      <c r="AG347" s="421" t="s">
        <v>2237</v>
      </c>
      <c r="AH347" s="421" t="s">
        <v>3105</v>
      </c>
      <c r="AI347" s="421">
        <v>8000</v>
      </c>
      <c r="AJ347" s="421">
        <v>7.46</v>
      </c>
      <c r="AK347" s="421">
        <v>8.69</v>
      </c>
      <c r="AL347" s="421">
        <v>4</v>
      </c>
      <c r="AM347" s="421" t="s">
        <v>962</v>
      </c>
      <c r="AN347" s="421" t="s">
        <v>3127</v>
      </c>
      <c r="AO347" s="421" t="s">
        <v>1121</v>
      </c>
      <c r="AP347" s="421" t="s">
        <v>1121</v>
      </c>
      <c r="AQ347" s="421" t="s">
        <v>1108</v>
      </c>
      <c r="AR347" s="421" t="s">
        <v>3627</v>
      </c>
      <c r="AS347" s="421" t="s">
        <v>3672</v>
      </c>
      <c r="AT347" s="421" t="s">
        <v>3109</v>
      </c>
      <c r="AU347" s="421" t="s">
        <v>1142</v>
      </c>
      <c r="AV347" s="421" t="s">
        <v>3130</v>
      </c>
      <c r="AW347" s="421" t="s">
        <v>3110</v>
      </c>
      <c r="AX347" s="421" t="s">
        <v>3111</v>
      </c>
      <c r="AY347" s="421" t="s">
        <v>3112</v>
      </c>
      <c r="AZ347" s="421" t="s">
        <v>3113</v>
      </c>
      <c r="BA347" s="421" t="s">
        <v>3114</v>
      </c>
      <c r="BB347" s="421" t="s">
        <v>3115</v>
      </c>
      <c r="BC347" s="421">
        <v>418.4</v>
      </c>
      <c r="BD347" s="421">
        <v>1066166.8799999999</v>
      </c>
      <c r="BE347" s="421">
        <v>0</v>
      </c>
      <c r="BF347" s="421">
        <v>21.95</v>
      </c>
      <c r="BG347" s="421">
        <v>0</v>
      </c>
      <c r="BH347" s="421">
        <v>0</v>
      </c>
      <c r="BI347" s="421" t="s">
        <v>1149</v>
      </c>
    </row>
    <row r="348" spans="1:61" x14ac:dyDescent="0.25">
      <c r="A348" s="421">
        <v>345</v>
      </c>
      <c r="B348" s="421">
        <v>2015</v>
      </c>
      <c r="C348" s="421">
        <v>6</v>
      </c>
      <c r="D348" s="421">
        <v>22</v>
      </c>
      <c r="E348" s="421" t="s">
        <v>1475</v>
      </c>
      <c r="F348" s="421" t="s">
        <v>3360</v>
      </c>
      <c r="G348" s="421" t="s">
        <v>3507</v>
      </c>
      <c r="H348" s="421" t="s">
        <v>1107</v>
      </c>
      <c r="I348" s="421" t="s">
        <v>2100</v>
      </c>
      <c r="J348" s="421" t="s">
        <v>3671</v>
      </c>
      <c r="K348" s="421" t="s">
        <v>3093</v>
      </c>
      <c r="L348" s="421" t="s">
        <v>3094</v>
      </c>
      <c r="M348" s="421" t="s">
        <v>2667</v>
      </c>
      <c r="N348" s="421" t="s">
        <v>3093</v>
      </c>
      <c r="O348" s="421" t="s">
        <v>3094</v>
      </c>
      <c r="P348" s="421" t="s">
        <v>3095</v>
      </c>
      <c r="Q348" s="421" t="s">
        <v>3113</v>
      </c>
      <c r="R348" s="421" t="s">
        <v>1108</v>
      </c>
      <c r="S348" s="421" t="s">
        <v>1108</v>
      </c>
      <c r="T348" s="421" t="s">
        <v>1130</v>
      </c>
      <c r="U348" s="421" t="s">
        <v>1112</v>
      </c>
      <c r="V348" s="421" t="s">
        <v>3097</v>
      </c>
      <c r="W348" s="421" t="s">
        <v>3098</v>
      </c>
      <c r="X348" s="421" t="s">
        <v>3099</v>
      </c>
      <c r="Y348" s="421" t="s">
        <v>1117</v>
      </c>
      <c r="Z348" s="421" t="s">
        <v>1118</v>
      </c>
      <c r="AA348" s="421" t="s">
        <v>3100</v>
      </c>
      <c r="AB348" s="421" t="s">
        <v>3101</v>
      </c>
      <c r="AC348" s="421" t="s">
        <v>3102</v>
      </c>
      <c r="AD348" s="421" t="s">
        <v>3125</v>
      </c>
      <c r="AE348" s="421" t="s">
        <v>3126</v>
      </c>
      <c r="AF348" s="421" t="s">
        <v>2236</v>
      </c>
      <c r="AG348" s="421" t="s">
        <v>2237</v>
      </c>
      <c r="AH348" s="421" t="s">
        <v>3105</v>
      </c>
      <c r="AI348" s="421">
        <v>44000</v>
      </c>
      <c r="AJ348" s="421">
        <v>88.36</v>
      </c>
      <c r="AK348" s="421">
        <v>102.99</v>
      </c>
      <c r="AL348" s="421">
        <v>2</v>
      </c>
      <c r="AM348" s="421" t="s">
        <v>962</v>
      </c>
      <c r="AN348" s="421" t="s">
        <v>3127</v>
      </c>
      <c r="AO348" s="421" t="s">
        <v>1121</v>
      </c>
      <c r="AP348" s="421" t="s">
        <v>1121</v>
      </c>
      <c r="AQ348" s="421" t="s">
        <v>1108</v>
      </c>
      <c r="AR348" s="421" t="s">
        <v>3627</v>
      </c>
      <c r="AS348" s="421" t="s">
        <v>3672</v>
      </c>
      <c r="AT348" s="421" t="s">
        <v>3109</v>
      </c>
      <c r="AU348" s="421" t="s">
        <v>1142</v>
      </c>
      <c r="AV348" s="421" t="s">
        <v>3130</v>
      </c>
      <c r="AW348" s="421" t="s">
        <v>3110</v>
      </c>
      <c r="AX348" s="421" t="s">
        <v>3111</v>
      </c>
      <c r="AY348" s="421" t="s">
        <v>3112</v>
      </c>
      <c r="AZ348" s="421" t="s">
        <v>3113</v>
      </c>
      <c r="BA348" s="421" t="s">
        <v>3114</v>
      </c>
      <c r="BB348" s="421" t="s">
        <v>3115</v>
      </c>
      <c r="BC348" s="421">
        <v>1144.4000000000001</v>
      </c>
      <c r="BD348" s="421">
        <v>2916160.08</v>
      </c>
      <c r="BE348" s="421">
        <v>0</v>
      </c>
      <c r="BF348" s="421">
        <v>60.04</v>
      </c>
      <c r="BG348" s="421">
        <v>0</v>
      </c>
      <c r="BH348" s="421">
        <v>0</v>
      </c>
      <c r="BI348" s="421" t="s">
        <v>1149</v>
      </c>
    </row>
    <row r="349" spans="1:61" x14ac:dyDescent="0.25">
      <c r="A349" s="421">
        <v>346</v>
      </c>
      <c r="B349" s="421">
        <v>2015</v>
      </c>
      <c r="C349" s="421">
        <v>6</v>
      </c>
      <c r="D349" s="421">
        <v>22</v>
      </c>
      <c r="E349" s="421" t="s">
        <v>1475</v>
      </c>
      <c r="F349" s="421" t="s">
        <v>3360</v>
      </c>
      <c r="G349" s="421" t="s">
        <v>3507</v>
      </c>
      <c r="H349" s="421" t="s">
        <v>1107</v>
      </c>
      <c r="I349" s="421" t="s">
        <v>2100</v>
      </c>
      <c r="J349" s="421" t="s">
        <v>3671</v>
      </c>
      <c r="K349" s="421" t="s">
        <v>3093</v>
      </c>
      <c r="L349" s="421" t="s">
        <v>3094</v>
      </c>
      <c r="M349" s="421" t="s">
        <v>2667</v>
      </c>
      <c r="N349" s="421" t="s">
        <v>3093</v>
      </c>
      <c r="O349" s="421" t="s">
        <v>3094</v>
      </c>
      <c r="P349" s="421" t="s">
        <v>3095</v>
      </c>
      <c r="Q349" s="421" t="s">
        <v>3113</v>
      </c>
      <c r="R349" s="421" t="s">
        <v>1108</v>
      </c>
      <c r="S349" s="421" t="s">
        <v>1108</v>
      </c>
      <c r="T349" s="421" t="s">
        <v>1130</v>
      </c>
      <c r="U349" s="421" t="s">
        <v>1112</v>
      </c>
      <c r="V349" s="421" t="s">
        <v>3097</v>
      </c>
      <c r="W349" s="421" t="s">
        <v>3098</v>
      </c>
      <c r="X349" s="421" t="s">
        <v>3099</v>
      </c>
      <c r="Y349" s="421" t="s">
        <v>1117</v>
      </c>
      <c r="Z349" s="421" t="s">
        <v>1118</v>
      </c>
      <c r="AA349" s="421" t="s">
        <v>3100</v>
      </c>
      <c r="AB349" s="421" t="s">
        <v>3101</v>
      </c>
      <c r="AC349" s="421" t="s">
        <v>3102</v>
      </c>
      <c r="AD349" s="421" t="s">
        <v>3125</v>
      </c>
      <c r="AE349" s="421" t="s">
        <v>3126</v>
      </c>
      <c r="AF349" s="421" t="s">
        <v>2236</v>
      </c>
      <c r="AG349" s="421" t="s">
        <v>2237</v>
      </c>
      <c r="AH349" s="421" t="s">
        <v>3105</v>
      </c>
      <c r="AI349" s="421">
        <v>12000</v>
      </c>
      <c r="AJ349" s="421">
        <v>28.78</v>
      </c>
      <c r="AK349" s="421">
        <v>33.54</v>
      </c>
      <c r="AL349" s="421">
        <v>3</v>
      </c>
      <c r="AM349" s="421" t="s">
        <v>962</v>
      </c>
      <c r="AN349" s="421" t="s">
        <v>3127</v>
      </c>
      <c r="AO349" s="421" t="s">
        <v>1121</v>
      </c>
      <c r="AP349" s="421" t="s">
        <v>1121</v>
      </c>
      <c r="AQ349" s="421" t="s">
        <v>1108</v>
      </c>
      <c r="AR349" s="421" t="s">
        <v>3627</v>
      </c>
      <c r="AS349" s="421" t="s">
        <v>3672</v>
      </c>
      <c r="AT349" s="421" t="s">
        <v>3109</v>
      </c>
      <c r="AU349" s="421" t="s">
        <v>1142</v>
      </c>
      <c r="AV349" s="421" t="s">
        <v>3130</v>
      </c>
      <c r="AW349" s="421" t="s">
        <v>3110</v>
      </c>
      <c r="AX349" s="421" t="s">
        <v>3111</v>
      </c>
      <c r="AY349" s="421" t="s">
        <v>3112</v>
      </c>
      <c r="AZ349" s="421" t="s">
        <v>3113</v>
      </c>
      <c r="BA349" s="421" t="s">
        <v>3114</v>
      </c>
      <c r="BB349" s="421" t="s">
        <v>3115</v>
      </c>
      <c r="BC349" s="421">
        <v>1353.6</v>
      </c>
      <c r="BD349" s="421">
        <v>3449243.52</v>
      </c>
      <c r="BE349" s="421">
        <v>0</v>
      </c>
      <c r="BF349" s="421">
        <v>71.010000000000005</v>
      </c>
      <c r="BG349" s="421">
        <v>0</v>
      </c>
      <c r="BH349" s="421">
        <v>0</v>
      </c>
      <c r="BI349" s="421" t="s">
        <v>1149</v>
      </c>
    </row>
    <row r="350" spans="1:61" x14ac:dyDescent="0.25">
      <c r="A350" s="421">
        <v>347</v>
      </c>
      <c r="B350" s="421">
        <v>2015</v>
      </c>
      <c r="C350" s="421">
        <v>6</v>
      </c>
      <c r="D350" s="421">
        <v>23</v>
      </c>
      <c r="E350" s="421" t="s">
        <v>1475</v>
      </c>
      <c r="F350" s="421" t="s">
        <v>3360</v>
      </c>
      <c r="G350" s="421" t="s">
        <v>1116</v>
      </c>
      <c r="H350" s="421" t="s">
        <v>1107</v>
      </c>
      <c r="I350" s="421" t="s">
        <v>2146</v>
      </c>
      <c r="J350" s="421" t="s">
        <v>3673</v>
      </c>
      <c r="K350" s="421" t="s">
        <v>3093</v>
      </c>
      <c r="L350" s="421" t="s">
        <v>3094</v>
      </c>
      <c r="M350" s="421" t="s">
        <v>2667</v>
      </c>
      <c r="N350" s="421" t="s">
        <v>3093</v>
      </c>
      <c r="O350" s="421" t="s">
        <v>3094</v>
      </c>
      <c r="P350" s="421" t="s">
        <v>3095</v>
      </c>
      <c r="Q350" s="421" t="s">
        <v>3096</v>
      </c>
      <c r="R350" s="421" t="s">
        <v>1108</v>
      </c>
      <c r="S350" s="421" t="s">
        <v>1476</v>
      </c>
      <c r="T350" s="421" t="s">
        <v>1130</v>
      </c>
      <c r="U350" s="421" t="s">
        <v>3144</v>
      </c>
      <c r="V350" s="421" t="s">
        <v>3145</v>
      </c>
      <c r="W350" s="421" t="s">
        <v>3098</v>
      </c>
      <c r="X350" s="421" t="s">
        <v>3099</v>
      </c>
      <c r="Y350" s="421" t="s">
        <v>1117</v>
      </c>
      <c r="Z350" s="421" t="s">
        <v>1118</v>
      </c>
      <c r="AA350" s="421" t="s">
        <v>3100</v>
      </c>
      <c r="AB350" s="421" t="s">
        <v>3146</v>
      </c>
      <c r="AC350" s="421" t="s">
        <v>3102</v>
      </c>
      <c r="AD350" s="421" t="s">
        <v>3515</v>
      </c>
      <c r="AE350" s="421" t="s">
        <v>3516</v>
      </c>
      <c r="AF350" s="421" t="s">
        <v>2236</v>
      </c>
      <c r="AG350" s="421" t="s">
        <v>2237</v>
      </c>
      <c r="AH350" s="421" t="s">
        <v>3105</v>
      </c>
      <c r="AI350" s="421">
        <v>258000</v>
      </c>
      <c r="AJ350" s="421">
        <v>630.51</v>
      </c>
      <c r="AK350" s="421">
        <v>678</v>
      </c>
      <c r="AL350" s="421">
        <v>1</v>
      </c>
      <c r="AM350" s="421" t="s">
        <v>2135</v>
      </c>
      <c r="AN350" s="421" t="s">
        <v>2135</v>
      </c>
      <c r="AO350" s="421" t="s">
        <v>1121</v>
      </c>
      <c r="AP350" s="421" t="s">
        <v>1121</v>
      </c>
      <c r="AQ350" s="421" t="s">
        <v>1476</v>
      </c>
      <c r="AR350" s="421" t="s">
        <v>3627</v>
      </c>
      <c r="AS350" s="421" t="s">
        <v>3674</v>
      </c>
      <c r="AT350" s="421" t="s">
        <v>3109</v>
      </c>
      <c r="AU350" s="421" t="s">
        <v>1341</v>
      </c>
      <c r="AV350" s="421" t="s">
        <v>962</v>
      </c>
      <c r="AW350" s="421" t="s">
        <v>3110</v>
      </c>
      <c r="AX350" s="421" t="s">
        <v>3111</v>
      </c>
      <c r="AY350" s="421" t="s">
        <v>3112</v>
      </c>
      <c r="AZ350" s="421" t="s">
        <v>3113</v>
      </c>
      <c r="BA350" s="421" t="s">
        <v>3114</v>
      </c>
      <c r="BB350" s="421" t="s">
        <v>3115</v>
      </c>
      <c r="BC350" s="421">
        <v>8503.7000000000007</v>
      </c>
      <c r="BD350" s="421">
        <v>21579669.420000002</v>
      </c>
      <c r="BE350" s="421">
        <v>0</v>
      </c>
      <c r="BF350" s="421">
        <v>1838.23</v>
      </c>
      <c r="BG350" s="421">
        <v>25.85</v>
      </c>
      <c r="BH350" s="421">
        <v>0</v>
      </c>
      <c r="BI350" s="421" t="s">
        <v>1167</v>
      </c>
    </row>
    <row r="351" spans="1:61" x14ac:dyDescent="0.25">
      <c r="A351" s="421">
        <v>348</v>
      </c>
      <c r="B351" s="421">
        <v>2015</v>
      </c>
      <c r="C351" s="421">
        <v>6</v>
      </c>
      <c r="D351" s="421">
        <v>23</v>
      </c>
      <c r="E351" s="421" t="s">
        <v>1475</v>
      </c>
      <c r="F351" s="421" t="s">
        <v>3360</v>
      </c>
      <c r="G351" s="421" t="s">
        <v>1116</v>
      </c>
      <c r="H351" s="421" t="s">
        <v>1107</v>
      </c>
      <c r="I351" s="421" t="s">
        <v>2146</v>
      </c>
      <c r="J351" s="421" t="s">
        <v>3675</v>
      </c>
      <c r="K351" s="421" t="s">
        <v>3093</v>
      </c>
      <c r="L351" s="421" t="s">
        <v>3094</v>
      </c>
      <c r="M351" s="421" t="s">
        <v>2667</v>
      </c>
      <c r="N351" s="421" t="s">
        <v>3093</v>
      </c>
      <c r="O351" s="421" t="s">
        <v>3094</v>
      </c>
      <c r="P351" s="421" t="s">
        <v>3095</v>
      </c>
      <c r="Q351" s="421" t="s">
        <v>3096</v>
      </c>
      <c r="R351" s="421" t="s">
        <v>1108</v>
      </c>
      <c r="S351" s="421" t="s">
        <v>1476</v>
      </c>
      <c r="T351" s="421" t="s">
        <v>1130</v>
      </c>
      <c r="U351" s="421" t="s">
        <v>3144</v>
      </c>
      <c r="V351" s="421" t="s">
        <v>3145</v>
      </c>
      <c r="W351" s="421" t="s">
        <v>3098</v>
      </c>
      <c r="X351" s="421" t="s">
        <v>3099</v>
      </c>
      <c r="Y351" s="421" t="s">
        <v>1117</v>
      </c>
      <c r="Z351" s="421" t="s">
        <v>1118</v>
      </c>
      <c r="AA351" s="421" t="s">
        <v>3100</v>
      </c>
      <c r="AB351" s="421" t="s">
        <v>3146</v>
      </c>
      <c r="AC351" s="421" t="s">
        <v>3102</v>
      </c>
      <c r="AD351" s="421" t="s">
        <v>3269</v>
      </c>
      <c r="AE351" s="421" t="s">
        <v>3333</v>
      </c>
      <c r="AF351" s="421" t="s">
        <v>2236</v>
      </c>
      <c r="AG351" s="421" t="s">
        <v>2237</v>
      </c>
      <c r="AH351" s="421" t="s">
        <v>3105</v>
      </c>
      <c r="AI351" s="421">
        <v>18000</v>
      </c>
      <c r="AJ351" s="421">
        <v>68.38</v>
      </c>
      <c r="AK351" s="421">
        <v>75</v>
      </c>
      <c r="AL351" s="421">
        <v>1</v>
      </c>
      <c r="AM351" s="421" t="s">
        <v>966</v>
      </c>
      <c r="AN351" s="421" t="s">
        <v>3271</v>
      </c>
      <c r="AO351" s="421" t="s">
        <v>1121</v>
      </c>
      <c r="AP351" s="421" t="s">
        <v>1121</v>
      </c>
      <c r="AQ351" s="421" t="s">
        <v>1476</v>
      </c>
      <c r="AR351" s="421" t="s">
        <v>3627</v>
      </c>
      <c r="AS351" s="421" t="s">
        <v>3676</v>
      </c>
      <c r="AT351" s="421" t="s">
        <v>3109</v>
      </c>
      <c r="AU351" s="421" t="s">
        <v>1341</v>
      </c>
      <c r="AV351" s="421" t="s">
        <v>962</v>
      </c>
      <c r="AW351" s="421" t="s">
        <v>3110</v>
      </c>
      <c r="AX351" s="421" t="s">
        <v>3111</v>
      </c>
      <c r="AY351" s="421" t="s">
        <v>3112</v>
      </c>
      <c r="AZ351" s="421" t="s">
        <v>3113</v>
      </c>
      <c r="BA351" s="421" t="s">
        <v>3114</v>
      </c>
      <c r="BB351" s="421" t="s">
        <v>3115</v>
      </c>
      <c r="BC351" s="421">
        <v>942</v>
      </c>
      <c r="BD351" s="421">
        <v>2390494.56</v>
      </c>
      <c r="BE351" s="421">
        <v>0</v>
      </c>
      <c r="BF351" s="421">
        <v>455</v>
      </c>
      <c r="BG351" s="421">
        <v>12</v>
      </c>
      <c r="BH351" s="421">
        <v>0</v>
      </c>
      <c r="BI351" s="421" t="s">
        <v>1167</v>
      </c>
    </row>
    <row r="352" spans="1:61" x14ac:dyDescent="0.25">
      <c r="A352" s="421">
        <v>349</v>
      </c>
      <c r="B352" s="421">
        <v>2015</v>
      </c>
      <c r="C352" s="421">
        <v>6</v>
      </c>
      <c r="D352" s="421">
        <v>23</v>
      </c>
      <c r="E352" s="421" t="s">
        <v>1475</v>
      </c>
      <c r="F352" s="421" t="s">
        <v>3360</v>
      </c>
      <c r="G352" s="421" t="s">
        <v>1116</v>
      </c>
      <c r="H352" s="421" t="s">
        <v>1107</v>
      </c>
      <c r="I352" s="421" t="s">
        <v>2146</v>
      </c>
      <c r="J352" s="421" t="s">
        <v>3677</v>
      </c>
      <c r="K352" s="421" t="s">
        <v>3093</v>
      </c>
      <c r="L352" s="421" t="s">
        <v>3094</v>
      </c>
      <c r="M352" s="421" t="s">
        <v>2667</v>
      </c>
      <c r="N352" s="421" t="s">
        <v>3093</v>
      </c>
      <c r="O352" s="421" t="s">
        <v>3094</v>
      </c>
      <c r="P352" s="421" t="s">
        <v>3095</v>
      </c>
      <c r="Q352" s="421" t="s">
        <v>3096</v>
      </c>
      <c r="R352" s="421" t="s">
        <v>1108</v>
      </c>
      <c r="S352" s="421" t="s">
        <v>1476</v>
      </c>
      <c r="T352" s="421" t="s">
        <v>1130</v>
      </c>
      <c r="U352" s="421" t="s">
        <v>3144</v>
      </c>
      <c r="V352" s="421" t="s">
        <v>3145</v>
      </c>
      <c r="W352" s="421" t="s">
        <v>3098</v>
      </c>
      <c r="X352" s="421" t="s">
        <v>3099</v>
      </c>
      <c r="Y352" s="421" t="s">
        <v>1117</v>
      </c>
      <c r="Z352" s="421" t="s">
        <v>1118</v>
      </c>
      <c r="AA352" s="421" t="s">
        <v>3100</v>
      </c>
      <c r="AB352" s="421" t="s">
        <v>3146</v>
      </c>
      <c r="AC352" s="421" t="s">
        <v>3102</v>
      </c>
      <c r="AD352" s="421" t="s">
        <v>3678</v>
      </c>
      <c r="AE352" s="421" t="s">
        <v>3679</v>
      </c>
      <c r="AF352" s="421" t="s">
        <v>2236</v>
      </c>
      <c r="AG352" s="421" t="s">
        <v>2237</v>
      </c>
      <c r="AH352" s="421" t="s">
        <v>3105</v>
      </c>
      <c r="AI352" s="421">
        <v>153250</v>
      </c>
      <c r="AJ352" s="421">
        <v>546.48</v>
      </c>
      <c r="AK352" s="421">
        <v>583</v>
      </c>
      <c r="AL352" s="421">
        <v>1</v>
      </c>
      <c r="AM352" s="421" t="s">
        <v>3680</v>
      </c>
      <c r="AN352" s="421" t="s">
        <v>3681</v>
      </c>
      <c r="AO352" s="421" t="s">
        <v>1121</v>
      </c>
      <c r="AP352" s="421" t="s">
        <v>1121</v>
      </c>
      <c r="AQ352" s="421" t="s">
        <v>1476</v>
      </c>
      <c r="AR352" s="421" t="s">
        <v>3627</v>
      </c>
      <c r="AS352" s="421" t="s">
        <v>3682</v>
      </c>
      <c r="AT352" s="421" t="s">
        <v>3109</v>
      </c>
      <c r="AU352" s="421" t="s">
        <v>1341</v>
      </c>
      <c r="AV352" s="421" t="s">
        <v>962</v>
      </c>
      <c r="AW352" s="421" t="s">
        <v>3110</v>
      </c>
      <c r="AX352" s="421" t="s">
        <v>3111</v>
      </c>
      <c r="AY352" s="421" t="s">
        <v>3112</v>
      </c>
      <c r="AZ352" s="421" t="s">
        <v>3113</v>
      </c>
      <c r="BA352" s="421" t="s">
        <v>3114</v>
      </c>
      <c r="BB352" s="421" t="s">
        <v>3115</v>
      </c>
      <c r="BC352" s="421">
        <v>10508.1</v>
      </c>
      <c r="BD352" s="421">
        <v>26666195.210000001</v>
      </c>
      <c r="BE352" s="421">
        <v>0</v>
      </c>
      <c r="BF352" s="421">
        <v>2492.0300000000002</v>
      </c>
      <c r="BG352" s="421">
        <v>40.770000000000003</v>
      </c>
      <c r="BH352" s="421">
        <v>0</v>
      </c>
      <c r="BI352" s="421" t="s">
        <v>1331</v>
      </c>
    </row>
    <row r="353" spans="1:61" x14ac:dyDescent="0.25">
      <c r="A353" s="421">
        <v>350</v>
      </c>
      <c r="B353" s="421">
        <v>2015</v>
      </c>
      <c r="C353" s="421">
        <v>6</v>
      </c>
      <c r="D353" s="421">
        <v>23</v>
      </c>
      <c r="E353" s="421" t="s">
        <v>1475</v>
      </c>
      <c r="F353" s="421" t="s">
        <v>3360</v>
      </c>
      <c r="G353" s="421" t="s">
        <v>1116</v>
      </c>
      <c r="H353" s="421" t="s">
        <v>1107</v>
      </c>
      <c r="I353" s="421" t="s">
        <v>2146</v>
      </c>
      <c r="J353" s="421" t="s">
        <v>3683</v>
      </c>
      <c r="K353" s="421" t="s">
        <v>3093</v>
      </c>
      <c r="L353" s="421" t="s">
        <v>3094</v>
      </c>
      <c r="M353" s="421" t="s">
        <v>2667</v>
      </c>
      <c r="N353" s="421" t="s">
        <v>3093</v>
      </c>
      <c r="O353" s="421" t="s">
        <v>3094</v>
      </c>
      <c r="P353" s="421" t="s">
        <v>3095</v>
      </c>
      <c r="Q353" s="421" t="s">
        <v>3096</v>
      </c>
      <c r="R353" s="421" t="s">
        <v>1108</v>
      </c>
      <c r="S353" s="421" t="s">
        <v>1476</v>
      </c>
      <c r="T353" s="421" t="s">
        <v>1130</v>
      </c>
      <c r="U353" s="421" t="s">
        <v>3144</v>
      </c>
      <c r="V353" s="421" t="s">
        <v>3145</v>
      </c>
      <c r="W353" s="421" t="s">
        <v>3098</v>
      </c>
      <c r="X353" s="421" t="s">
        <v>3099</v>
      </c>
      <c r="Y353" s="421" t="s">
        <v>1117</v>
      </c>
      <c r="Z353" s="421" t="s">
        <v>1118</v>
      </c>
      <c r="AA353" s="421" t="s">
        <v>3100</v>
      </c>
      <c r="AB353" s="421" t="s">
        <v>3146</v>
      </c>
      <c r="AC353" s="421" t="s">
        <v>3102</v>
      </c>
      <c r="AD353" s="421" t="s">
        <v>3420</v>
      </c>
      <c r="AE353" s="421" t="s">
        <v>3684</v>
      </c>
      <c r="AF353" s="421" t="s">
        <v>2236</v>
      </c>
      <c r="AG353" s="421" t="s">
        <v>2237</v>
      </c>
      <c r="AH353" s="421" t="s">
        <v>3105</v>
      </c>
      <c r="AI353" s="421">
        <v>299940</v>
      </c>
      <c r="AJ353" s="421">
        <v>697.76</v>
      </c>
      <c r="AK353" s="421">
        <v>759</v>
      </c>
      <c r="AL353" s="421">
        <v>1</v>
      </c>
      <c r="AM353" s="421" t="s">
        <v>3277</v>
      </c>
      <c r="AN353" s="421" t="s">
        <v>3277</v>
      </c>
      <c r="AO353" s="421" t="s">
        <v>1121</v>
      </c>
      <c r="AP353" s="421" t="s">
        <v>1121</v>
      </c>
      <c r="AQ353" s="421" t="s">
        <v>1476</v>
      </c>
      <c r="AR353" s="421" t="s">
        <v>3627</v>
      </c>
      <c r="AS353" s="421" t="s">
        <v>3685</v>
      </c>
      <c r="AT353" s="421" t="s">
        <v>3109</v>
      </c>
      <c r="AU353" s="421" t="s">
        <v>1341</v>
      </c>
      <c r="AV353" s="421" t="s">
        <v>3322</v>
      </c>
      <c r="AW353" s="421" t="s">
        <v>3110</v>
      </c>
      <c r="AX353" s="421" t="s">
        <v>3111</v>
      </c>
      <c r="AY353" s="421" t="s">
        <v>3112</v>
      </c>
      <c r="AZ353" s="421" t="s">
        <v>3113</v>
      </c>
      <c r="BA353" s="421" t="s">
        <v>3114</v>
      </c>
      <c r="BB353" s="421" t="s">
        <v>3115</v>
      </c>
      <c r="BC353" s="421">
        <v>13025.4</v>
      </c>
      <c r="BD353" s="421">
        <v>33054297.07</v>
      </c>
      <c r="BE353" s="421">
        <v>0</v>
      </c>
      <c r="BF353" s="421">
        <v>0</v>
      </c>
      <c r="BG353" s="421">
        <v>0</v>
      </c>
      <c r="BH353" s="421">
        <v>0</v>
      </c>
      <c r="BI353" s="421" t="s">
        <v>1331</v>
      </c>
    </row>
    <row r="354" spans="1:61" x14ac:dyDescent="0.25">
      <c r="A354" s="421">
        <v>351</v>
      </c>
      <c r="B354" s="421">
        <v>2015</v>
      </c>
      <c r="C354" s="421">
        <v>6</v>
      </c>
      <c r="D354" s="421">
        <v>23</v>
      </c>
      <c r="E354" s="421" t="s">
        <v>1475</v>
      </c>
      <c r="F354" s="421" t="s">
        <v>3360</v>
      </c>
      <c r="G354" s="421" t="s">
        <v>1116</v>
      </c>
      <c r="H354" s="421" t="s">
        <v>1107</v>
      </c>
      <c r="I354" s="421" t="s">
        <v>2146</v>
      </c>
      <c r="J354" s="421" t="s">
        <v>3686</v>
      </c>
      <c r="K354" s="421" t="s">
        <v>3093</v>
      </c>
      <c r="L354" s="421" t="s">
        <v>3094</v>
      </c>
      <c r="M354" s="421" t="s">
        <v>2667</v>
      </c>
      <c r="N354" s="421" t="s">
        <v>3093</v>
      </c>
      <c r="O354" s="421" t="s">
        <v>3094</v>
      </c>
      <c r="P354" s="421" t="s">
        <v>3095</v>
      </c>
      <c r="Q354" s="421" t="s">
        <v>3113</v>
      </c>
      <c r="R354" s="421" t="s">
        <v>1108</v>
      </c>
      <c r="S354" s="421" t="s">
        <v>1108</v>
      </c>
      <c r="T354" s="421" t="s">
        <v>1130</v>
      </c>
      <c r="U354" s="421" t="s">
        <v>3144</v>
      </c>
      <c r="V354" s="421" t="s">
        <v>3145</v>
      </c>
      <c r="W354" s="421" t="s">
        <v>3098</v>
      </c>
      <c r="X354" s="421" t="s">
        <v>3099</v>
      </c>
      <c r="Y354" s="421" t="s">
        <v>1117</v>
      </c>
      <c r="Z354" s="421" t="s">
        <v>1118</v>
      </c>
      <c r="AA354" s="421" t="s">
        <v>3100</v>
      </c>
      <c r="AB354" s="421" t="s">
        <v>3146</v>
      </c>
      <c r="AC354" s="421" t="s">
        <v>3102</v>
      </c>
      <c r="AD354" s="421" t="s">
        <v>3340</v>
      </c>
      <c r="AE354" s="421" t="s">
        <v>3341</v>
      </c>
      <c r="AF354" s="421" t="s">
        <v>2236</v>
      </c>
      <c r="AG354" s="421" t="s">
        <v>2237</v>
      </c>
      <c r="AH354" s="421" t="s">
        <v>3105</v>
      </c>
      <c r="AI354" s="421">
        <v>995500</v>
      </c>
      <c r="AJ354" s="421">
        <v>2343.7600000000002</v>
      </c>
      <c r="AK354" s="421">
        <v>2573</v>
      </c>
      <c r="AL354" s="421">
        <v>1</v>
      </c>
      <c r="AM354" s="421" t="s">
        <v>3342</v>
      </c>
      <c r="AN354" s="421" t="s">
        <v>3343</v>
      </c>
      <c r="AO354" s="421" t="s">
        <v>1121</v>
      </c>
      <c r="AP354" s="421" t="s">
        <v>1121</v>
      </c>
      <c r="AQ354" s="421" t="s">
        <v>1476</v>
      </c>
      <c r="AR354" s="421" t="s">
        <v>3627</v>
      </c>
      <c r="AS354" s="421" t="s">
        <v>3687</v>
      </c>
      <c r="AT354" s="421" t="s">
        <v>3109</v>
      </c>
      <c r="AU354" s="421" t="s">
        <v>1341</v>
      </c>
      <c r="AV354" s="421" t="s">
        <v>3157</v>
      </c>
      <c r="AW354" s="421" t="s">
        <v>3110</v>
      </c>
      <c r="AX354" s="421" t="s">
        <v>3111</v>
      </c>
      <c r="AY354" s="421" t="s">
        <v>3112</v>
      </c>
      <c r="AZ354" s="421" t="s">
        <v>3113</v>
      </c>
      <c r="BA354" s="421" t="s">
        <v>3114</v>
      </c>
      <c r="BB354" s="421" t="s">
        <v>3115</v>
      </c>
      <c r="BC354" s="421">
        <v>41026.65</v>
      </c>
      <c r="BD354" s="421">
        <v>104112509.17</v>
      </c>
      <c r="BE354" s="421">
        <v>0</v>
      </c>
      <c r="BF354" s="421">
        <v>2656.5</v>
      </c>
      <c r="BG354" s="421">
        <v>109.21</v>
      </c>
      <c r="BH354" s="421">
        <v>0</v>
      </c>
      <c r="BI354" s="421" t="s">
        <v>1149</v>
      </c>
    </row>
    <row r="355" spans="1:61" x14ac:dyDescent="0.25">
      <c r="A355" s="421">
        <v>352</v>
      </c>
      <c r="B355" s="421">
        <v>2015</v>
      </c>
      <c r="C355" s="421">
        <v>6</v>
      </c>
      <c r="D355" s="421">
        <v>23</v>
      </c>
      <c r="E355" s="421" t="s">
        <v>1475</v>
      </c>
      <c r="F355" s="421" t="s">
        <v>3360</v>
      </c>
      <c r="G355" s="421" t="s">
        <v>1116</v>
      </c>
      <c r="H355" s="421" t="s">
        <v>1107</v>
      </c>
      <c r="I355" s="421" t="s">
        <v>2146</v>
      </c>
      <c r="J355" s="421" t="s">
        <v>3688</v>
      </c>
      <c r="K355" s="421" t="s">
        <v>3093</v>
      </c>
      <c r="L355" s="421" t="s">
        <v>3094</v>
      </c>
      <c r="M355" s="421" t="s">
        <v>2667</v>
      </c>
      <c r="N355" s="421" t="s">
        <v>3093</v>
      </c>
      <c r="O355" s="421" t="s">
        <v>3094</v>
      </c>
      <c r="P355" s="421" t="s">
        <v>3095</v>
      </c>
      <c r="Q355" s="421" t="s">
        <v>3096</v>
      </c>
      <c r="R355" s="421" t="s">
        <v>1108</v>
      </c>
      <c r="S355" s="421" t="s">
        <v>1476</v>
      </c>
      <c r="T355" s="421" t="s">
        <v>1130</v>
      </c>
      <c r="U355" s="421" t="s">
        <v>3144</v>
      </c>
      <c r="V355" s="421" t="s">
        <v>3145</v>
      </c>
      <c r="W355" s="421" t="s">
        <v>3098</v>
      </c>
      <c r="X355" s="421" t="s">
        <v>3099</v>
      </c>
      <c r="Y355" s="421" t="s">
        <v>1117</v>
      </c>
      <c r="Z355" s="421" t="s">
        <v>1118</v>
      </c>
      <c r="AA355" s="421" t="s">
        <v>3100</v>
      </c>
      <c r="AB355" s="421" t="s">
        <v>3146</v>
      </c>
      <c r="AC355" s="421" t="s">
        <v>3102</v>
      </c>
      <c r="AD355" s="421" t="s">
        <v>3327</v>
      </c>
      <c r="AE355" s="421" t="s">
        <v>3328</v>
      </c>
      <c r="AF355" s="421" t="s">
        <v>2236</v>
      </c>
      <c r="AG355" s="421" t="s">
        <v>2237</v>
      </c>
      <c r="AH355" s="421" t="s">
        <v>3105</v>
      </c>
      <c r="AI355" s="421">
        <v>50000</v>
      </c>
      <c r="AJ355" s="421">
        <v>145.34</v>
      </c>
      <c r="AK355" s="421">
        <v>160</v>
      </c>
      <c r="AL355" s="421">
        <v>1</v>
      </c>
      <c r="AM355" s="421" t="s">
        <v>3329</v>
      </c>
      <c r="AN355" s="421" t="s">
        <v>3330</v>
      </c>
      <c r="AO355" s="421" t="s">
        <v>1121</v>
      </c>
      <c r="AP355" s="421" t="s">
        <v>1121</v>
      </c>
      <c r="AQ355" s="421" t="s">
        <v>1476</v>
      </c>
      <c r="AR355" s="421" t="s">
        <v>3627</v>
      </c>
      <c r="AS355" s="421" t="s">
        <v>3689</v>
      </c>
      <c r="AT355" s="421" t="s">
        <v>3109</v>
      </c>
      <c r="AU355" s="421" t="s">
        <v>1341</v>
      </c>
      <c r="AV355" s="421" t="s">
        <v>961</v>
      </c>
      <c r="AW355" s="421" t="s">
        <v>3110</v>
      </c>
      <c r="AX355" s="421" t="s">
        <v>3111</v>
      </c>
      <c r="AY355" s="421" t="s">
        <v>3112</v>
      </c>
      <c r="AZ355" s="421" t="s">
        <v>3113</v>
      </c>
      <c r="BA355" s="421" t="s">
        <v>3114</v>
      </c>
      <c r="BB355" s="421" t="s">
        <v>3115</v>
      </c>
      <c r="BC355" s="421">
        <v>3050</v>
      </c>
      <c r="BD355" s="421">
        <v>7739924</v>
      </c>
      <c r="BE355" s="421">
        <v>0</v>
      </c>
      <c r="BF355" s="421">
        <v>499.6</v>
      </c>
      <c r="BG355" s="421">
        <v>0</v>
      </c>
      <c r="BH355" s="421">
        <v>0</v>
      </c>
      <c r="BI355" s="421" t="s">
        <v>1149</v>
      </c>
    </row>
    <row r="356" spans="1:61" x14ac:dyDescent="0.25">
      <c r="A356" s="421">
        <v>353</v>
      </c>
      <c r="B356" s="421">
        <v>2015</v>
      </c>
      <c r="C356" s="421">
        <v>6</v>
      </c>
      <c r="D356" s="421">
        <v>25</v>
      </c>
      <c r="E356" s="421" t="s">
        <v>1475</v>
      </c>
      <c r="F356" s="421" t="s">
        <v>3360</v>
      </c>
      <c r="G356" s="421" t="s">
        <v>3307</v>
      </c>
      <c r="H356" s="421" t="s">
        <v>1107</v>
      </c>
      <c r="I356" s="421" t="s">
        <v>3690</v>
      </c>
      <c r="J356" s="421" t="s">
        <v>3691</v>
      </c>
      <c r="K356" s="421" t="s">
        <v>3093</v>
      </c>
      <c r="L356" s="421" t="s">
        <v>3094</v>
      </c>
      <c r="M356" s="421" t="s">
        <v>2667</v>
      </c>
      <c r="N356" s="421" t="s">
        <v>3093</v>
      </c>
      <c r="O356" s="421" t="s">
        <v>3094</v>
      </c>
      <c r="P356" s="421" t="s">
        <v>3095</v>
      </c>
      <c r="Q356" s="421" t="s">
        <v>3113</v>
      </c>
      <c r="R356" s="421" t="s">
        <v>1108</v>
      </c>
      <c r="S356" s="421" t="s">
        <v>1108</v>
      </c>
      <c r="T356" s="421" t="s">
        <v>1130</v>
      </c>
      <c r="U356" s="421" t="s">
        <v>1112</v>
      </c>
      <c r="V356" s="421" t="s">
        <v>3097</v>
      </c>
      <c r="W356" s="421" t="s">
        <v>3098</v>
      </c>
      <c r="X356" s="421" t="s">
        <v>3099</v>
      </c>
      <c r="Y356" s="421" t="s">
        <v>1117</v>
      </c>
      <c r="Z356" s="421" t="s">
        <v>1118</v>
      </c>
      <c r="AA356" s="421" t="s">
        <v>3100</v>
      </c>
      <c r="AB356" s="421" t="s">
        <v>3101</v>
      </c>
      <c r="AC356" s="421" t="s">
        <v>3102</v>
      </c>
      <c r="AD356" s="421" t="s">
        <v>3304</v>
      </c>
      <c r="AE356" s="421" t="s">
        <v>3305</v>
      </c>
      <c r="AF356" s="421" t="s">
        <v>2236</v>
      </c>
      <c r="AG356" s="421" t="s">
        <v>2237</v>
      </c>
      <c r="AH356" s="421" t="s">
        <v>3105</v>
      </c>
      <c r="AI356" s="421">
        <v>2897975</v>
      </c>
      <c r="AJ356" s="421">
        <v>5882.23</v>
      </c>
      <c r="AK356" s="421">
        <v>6413.25</v>
      </c>
      <c r="AL356" s="421">
        <v>1</v>
      </c>
      <c r="AM356" s="421" t="s">
        <v>963</v>
      </c>
      <c r="AN356" s="421" t="s">
        <v>3210</v>
      </c>
      <c r="AO356" s="421" t="s">
        <v>1121</v>
      </c>
      <c r="AP356" s="421" t="s">
        <v>1121</v>
      </c>
      <c r="AQ356" s="421" t="s">
        <v>1108</v>
      </c>
      <c r="AR356" s="421" t="s">
        <v>3627</v>
      </c>
      <c r="AS356" s="421" t="s">
        <v>3692</v>
      </c>
      <c r="AT356" s="421" t="s">
        <v>3109</v>
      </c>
      <c r="AU356" s="421" t="s">
        <v>1142</v>
      </c>
      <c r="AV356" s="421" t="s">
        <v>2037</v>
      </c>
      <c r="AW356" s="421" t="s">
        <v>3110</v>
      </c>
      <c r="AX356" s="421" t="s">
        <v>3111</v>
      </c>
      <c r="AY356" s="421" t="s">
        <v>3112</v>
      </c>
      <c r="AZ356" s="421" t="s">
        <v>3113</v>
      </c>
      <c r="BA356" s="421" t="s">
        <v>3114</v>
      </c>
      <c r="BB356" s="421" t="s">
        <v>3115</v>
      </c>
      <c r="BC356" s="421">
        <v>97681.8</v>
      </c>
      <c r="BD356" s="421">
        <v>250715968.78999999</v>
      </c>
      <c r="BE356" s="421">
        <v>0</v>
      </c>
      <c r="BF356" s="421">
        <v>1057.27</v>
      </c>
      <c r="BG356" s="421">
        <v>246.85</v>
      </c>
      <c r="BH356" s="421">
        <v>0</v>
      </c>
      <c r="BI356" s="421" t="s">
        <v>1167</v>
      </c>
    </row>
    <row r="357" spans="1:61" x14ac:dyDescent="0.25">
      <c r="A357" s="421">
        <v>354</v>
      </c>
      <c r="B357" s="421">
        <v>2015</v>
      </c>
      <c r="C357" s="421">
        <v>6</v>
      </c>
      <c r="D357" s="421">
        <v>25</v>
      </c>
      <c r="E357" s="421" t="s">
        <v>1475</v>
      </c>
      <c r="F357" s="421" t="s">
        <v>3360</v>
      </c>
      <c r="G357" s="421" t="s">
        <v>3307</v>
      </c>
      <c r="H357" s="421" t="s">
        <v>1107</v>
      </c>
      <c r="I357" s="421" t="s">
        <v>3690</v>
      </c>
      <c r="J357" s="421" t="s">
        <v>3691</v>
      </c>
      <c r="K357" s="421" t="s">
        <v>3093</v>
      </c>
      <c r="L357" s="421" t="s">
        <v>3094</v>
      </c>
      <c r="M357" s="421" t="s">
        <v>2667</v>
      </c>
      <c r="N357" s="421" t="s">
        <v>3093</v>
      </c>
      <c r="O357" s="421" t="s">
        <v>3094</v>
      </c>
      <c r="P357" s="421" t="s">
        <v>3095</v>
      </c>
      <c r="Q357" s="421" t="s">
        <v>3113</v>
      </c>
      <c r="R357" s="421" t="s">
        <v>1108</v>
      </c>
      <c r="S357" s="421" t="s">
        <v>1108</v>
      </c>
      <c r="T357" s="421" t="s">
        <v>1130</v>
      </c>
      <c r="U357" s="421" t="s">
        <v>1112</v>
      </c>
      <c r="V357" s="421" t="s">
        <v>3097</v>
      </c>
      <c r="W357" s="421" t="s">
        <v>3098</v>
      </c>
      <c r="X357" s="421" t="s">
        <v>3099</v>
      </c>
      <c r="Y357" s="421" t="s">
        <v>1117</v>
      </c>
      <c r="Z357" s="421" t="s">
        <v>1118</v>
      </c>
      <c r="AA357" s="421" t="s">
        <v>3100</v>
      </c>
      <c r="AB357" s="421" t="s">
        <v>3101</v>
      </c>
      <c r="AC357" s="421" t="s">
        <v>3102</v>
      </c>
      <c r="AD357" s="421" t="s">
        <v>3304</v>
      </c>
      <c r="AE357" s="421" t="s">
        <v>3305</v>
      </c>
      <c r="AF357" s="421" t="s">
        <v>2236</v>
      </c>
      <c r="AG357" s="421" t="s">
        <v>2237</v>
      </c>
      <c r="AH357" s="421" t="s">
        <v>3105</v>
      </c>
      <c r="AI357" s="421">
        <v>1060530</v>
      </c>
      <c r="AJ357" s="421">
        <v>1918.65</v>
      </c>
      <c r="AK357" s="421">
        <v>2091.86</v>
      </c>
      <c r="AL357" s="421">
        <v>2</v>
      </c>
      <c r="AM357" s="421" t="s">
        <v>963</v>
      </c>
      <c r="AN357" s="421" t="s">
        <v>3210</v>
      </c>
      <c r="AO357" s="421" t="s">
        <v>1121</v>
      </c>
      <c r="AP357" s="421" t="s">
        <v>1121</v>
      </c>
      <c r="AQ357" s="421" t="s">
        <v>1108</v>
      </c>
      <c r="AR357" s="421" t="s">
        <v>3627</v>
      </c>
      <c r="AS357" s="421" t="s">
        <v>3692</v>
      </c>
      <c r="AT357" s="421" t="s">
        <v>3109</v>
      </c>
      <c r="AU357" s="421" t="s">
        <v>1142</v>
      </c>
      <c r="AV357" s="421" t="s">
        <v>2037</v>
      </c>
      <c r="AW357" s="421" t="s">
        <v>3110</v>
      </c>
      <c r="AX357" s="421" t="s">
        <v>3111</v>
      </c>
      <c r="AY357" s="421" t="s">
        <v>3112</v>
      </c>
      <c r="AZ357" s="421" t="s">
        <v>3113</v>
      </c>
      <c r="BA357" s="421" t="s">
        <v>3114</v>
      </c>
      <c r="BB357" s="421" t="s">
        <v>3115</v>
      </c>
      <c r="BC357" s="421">
        <v>36435.25</v>
      </c>
      <c r="BD357" s="421">
        <v>93516898.769999996</v>
      </c>
      <c r="BE357" s="421">
        <v>0</v>
      </c>
      <c r="BF357" s="421">
        <v>394.36</v>
      </c>
      <c r="BG357" s="421">
        <v>92.07</v>
      </c>
      <c r="BH357" s="421">
        <v>0</v>
      </c>
      <c r="BI357" s="421" t="s">
        <v>1167</v>
      </c>
    </row>
    <row r="358" spans="1:61" x14ac:dyDescent="0.25">
      <c r="A358" s="421">
        <v>355</v>
      </c>
      <c r="B358" s="421">
        <v>2015</v>
      </c>
      <c r="C358" s="421">
        <v>6</v>
      </c>
      <c r="D358" s="421">
        <v>25</v>
      </c>
      <c r="E358" s="421" t="s">
        <v>1475</v>
      </c>
      <c r="F358" s="421" t="s">
        <v>3360</v>
      </c>
      <c r="G358" s="421" t="s">
        <v>3307</v>
      </c>
      <c r="H358" s="421" t="s">
        <v>1107</v>
      </c>
      <c r="I358" s="421" t="s">
        <v>3690</v>
      </c>
      <c r="J358" s="421" t="s">
        <v>3691</v>
      </c>
      <c r="K358" s="421" t="s">
        <v>3093</v>
      </c>
      <c r="L358" s="421" t="s">
        <v>3094</v>
      </c>
      <c r="M358" s="421" t="s">
        <v>2667</v>
      </c>
      <c r="N358" s="421" t="s">
        <v>3093</v>
      </c>
      <c r="O358" s="421" t="s">
        <v>3094</v>
      </c>
      <c r="P358" s="421" t="s">
        <v>3095</v>
      </c>
      <c r="Q358" s="421" t="s">
        <v>3113</v>
      </c>
      <c r="R358" s="421" t="s">
        <v>1108</v>
      </c>
      <c r="S358" s="421" t="s">
        <v>1108</v>
      </c>
      <c r="T358" s="421" t="s">
        <v>1130</v>
      </c>
      <c r="U358" s="421" t="s">
        <v>1112</v>
      </c>
      <c r="V358" s="421" t="s">
        <v>3097</v>
      </c>
      <c r="W358" s="421" t="s">
        <v>3098</v>
      </c>
      <c r="X358" s="421" t="s">
        <v>3099</v>
      </c>
      <c r="Y358" s="421" t="s">
        <v>1117</v>
      </c>
      <c r="Z358" s="421" t="s">
        <v>1118</v>
      </c>
      <c r="AA358" s="421" t="s">
        <v>3100</v>
      </c>
      <c r="AB358" s="421" t="s">
        <v>3101</v>
      </c>
      <c r="AC358" s="421" t="s">
        <v>3102</v>
      </c>
      <c r="AD358" s="421" t="s">
        <v>3304</v>
      </c>
      <c r="AE358" s="421" t="s">
        <v>3305</v>
      </c>
      <c r="AF358" s="421" t="s">
        <v>2236</v>
      </c>
      <c r="AG358" s="421" t="s">
        <v>2237</v>
      </c>
      <c r="AH358" s="421" t="s">
        <v>3105</v>
      </c>
      <c r="AI358" s="421">
        <v>44875</v>
      </c>
      <c r="AJ358" s="421">
        <v>125.47</v>
      </c>
      <c r="AK358" s="421">
        <v>136.80000000000001</v>
      </c>
      <c r="AL358" s="421">
        <v>3</v>
      </c>
      <c r="AM358" s="421" t="s">
        <v>963</v>
      </c>
      <c r="AN358" s="421" t="s">
        <v>3210</v>
      </c>
      <c r="AO358" s="421" t="s">
        <v>1121</v>
      </c>
      <c r="AP358" s="421" t="s">
        <v>1121</v>
      </c>
      <c r="AQ358" s="421" t="s">
        <v>1108</v>
      </c>
      <c r="AR358" s="421" t="s">
        <v>3627</v>
      </c>
      <c r="AS358" s="421" t="s">
        <v>3692</v>
      </c>
      <c r="AT358" s="421" t="s">
        <v>3109</v>
      </c>
      <c r="AU358" s="421" t="s">
        <v>1142</v>
      </c>
      <c r="AV358" s="421" t="s">
        <v>2037</v>
      </c>
      <c r="AW358" s="421" t="s">
        <v>3110</v>
      </c>
      <c r="AX358" s="421" t="s">
        <v>3111</v>
      </c>
      <c r="AY358" s="421" t="s">
        <v>3112</v>
      </c>
      <c r="AZ358" s="421" t="s">
        <v>3113</v>
      </c>
      <c r="BA358" s="421" t="s">
        <v>3114</v>
      </c>
      <c r="BB358" s="421" t="s">
        <v>3115</v>
      </c>
      <c r="BC358" s="421">
        <v>3671.1</v>
      </c>
      <c r="BD358" s="421">
        <v>9422465.5299999993</v>
      </c>
      <c r="BE358" s="421">
        <v>0</v>
      </c>
      <c r="BF358" s="421">
        <v>39.729999999999997</v>
      </c>
      <c r="BG358" s="421">
        <v>9.2799999999999994</v>
      </c>
      <c r="BH358" s="421">
        <v>0</v>
      </c>
      <c r="BI358" s="421" t="s">
        <v>1167</v>
      </c>
    </row>
    <row r="359" spans="1:61" x14ac:dyDescent="0.25">
      <c r="A359" s="421">
        <v>356</v>
      </c>
      <c r="B359" s="421">
        <v>2015</v>
      </c>
      <c r="C359" s="421">
        <v>6</v>
      </c>
      <c r="D359" s="421">
        <v>25</v>
      </c>
      <c r="E359" s="421" t="s">
        <v>1475</v>
      </c>
      <c r="F359" s="421" t="s">
        <v>3360</v>
      </c>
      <c r="G359" s="421" t="s">
        <v>3307</v>
      </c>
      <c r="H359" s="421" t="s">
        <v>1107</v>
      </c>
      <c r="I359" s="421" t="s">
        <v>3690</v>
      </c>
      <c r="J359" s="421" t="s">
        <v>3693</v>
      </c>
      <c r="K359" s="421" t="s">
        <v>3093</v>
      </c>
      <c r="L359" s="421" t="s">
        <v>3094</v>
      </c>
      <c r="M359" s="421" t="s">
        <v>2667</v>
      </c>
      <c r="N359" s="421" t="s">
        <v>3093</v>
      </c>
      <c r="O359" s="421" t="s">
        <v>3094</v>
      </c>
      <c r="P359" s="421" t="s">
        <v>3095</v>
      </c>
      <c r="Q359" s="421" t="s">
        <v>3113</v>
      </c>
      <c r="R359" s="421" t="s">
        <v>1108</v>
      </c>
      <c r="S359" s="421" t="s">
        <v>1108</v>
      </c>
      <c r="T359" s="421" t="s">
        <v>1130</v>
      </c>
      <c r="U359" s="421" t="s">
        <v>1112</v>
      </c>
      <c r="V359" s="421" t="s">
        <v>3097</v>
      </c>
      <c r="W359" s="421" t="s">
        <v>3098</v>
      </c>
      <c r="X359" s="421" t="s">
        <v>3099</v>
      </c>
      <c r="Y359" s="421" t="s">
        <v>1117</v>
      </c>
      <c r="Z359" s="421" t="s">
        <v>1118</v>
      </c>
      <c r="AA359" s="421" t="s">
        <v>3100</v>
      </c>
      <c r="AB359" s="421" t="s">
        <v>3101</v>
      </c>
      <c r="AC359" s="421" t="s">
        <v>3102</v>
      </c>
      <c r="AD359" s="421" t="s">
        <v>3388</v>
      </c>
      <c r="AE359" s="421" t="s">
        <v>3389</v>
      </c>
      <c r="AF359" s="421" t="s">
        <v>2236</v>
      </c>
      <c r="AG359" s="421" t="s">
        <v>2237</v>
      </c>
      <c r="AH359" s="421" t="s">
        <v>3105</v>
      </c>
      <c r="AI359" s="421">
        <v>1594000</v>
      </c>
      <c r="AJ359" s="421">
        <v>3610.54</v>
      </c>
      <c r="AK359" s="421">
        <v>3934.31</v>
      </c>
      <c r="AL359" s="421">
        <v>1</v>
      </c>
      <c r="AM359" s="421" t="s">
        <v>3390</v>
      </c>
      <c r="AN359" s="421" t="s">
        <v>3391</v>
      </c>
      <c r="AO359" s="421" t="s">
        <v>1121</v>
      </c>
      <c r="AP359" s="421" t="s">
        <v>1121</v>
      </c>
      <c r="AQ359" s="421" t="s">
        <v>1108</v>
      </c>
      <c r="AR359" s="421" t="s">
        <v>3627</v>
      </c>
      <c r="AS359" s="421" t="s">
        <v>3694</v>
      </c>
      <c r="AT359" s="421" t="s">
        <v>3109</v>
      </c>
      <c r="AU359" s="421" t="s">
        <v>1142</v>
      </c>
      <c r="AV359" s="421" t="s">
        <v>2037</v>
      </c>
      <c r="AW359" s="421" t="s">
        <v>3110</v>
      </c>
      <c r="AX359" s="421" t="s">
        <v>3111</v>
      </c>
      <c r="AY359" s="421" t="s">
        <v>3112</v>
      </c>
      <c r="AZ359" s="421" t="s">
        <v>3113</v>
      </c>
      <c r="BA359" s="421" t="s">
        <v>3114</v>
      </c>
      <c r="BB359" s="421" t="s">
        <v>3115</v>
      </c>
      <c r="BC359" s="421">
        <v>57483.4</v>
      </c>
      <c r="BD359" s="421">
        <v>147540343.44</v>
      </c>
      <c r="BE359" s="421">
        <v>0</v>
      </c>
      <c r="BF359" s="421">
        <v>784.67</v>
      </c>
      <c r="BG359" s="421">
        <v>0</v>
      </c>
      <c r="BH359" s="421">
        <v>0</v>
      </c>
      <c r="BI359" s="421" t="s">
        <v>1167</v>
      </c>
    </row>
    <row r="360" spans="1:61" x14ac:dyDescent="0.25">
      <c r="A360" s="421">
        <v>357</v>
      </c>
      <c r="B360" s="421">
        <v>2015</v>
      </c>
      <c r="C360" s="421">
        <v>6</v>
      </c>
      <c r="D360" s="421">
        <v>25</v>
      </c>
      <c r="E360" s="421" t="s">
        <v>1475</v>
      </c>
      <c r="F360" s="421" t="s">
        <v>3360</v>
      </c>
      <c r="G360" s="421" t="s">
        <v>3307</v>
      </c>
      <c r="H360" s="421" t="s">
        <v>1107</v>
      </c>
      <c r="I360" s="421" t="s">
        <v>3690</v>
      </c>
      <c r="J360" s="421" t="s">
        <v>3693</v>
      </c>
      <c r="K360" s="421" t="s">
        <v>3093</v>
      </c>
      <c r="L360" s="421" t="s">
        <v>3094</v>
      </c>
      <c r="M360" s="421" t="s">
        <v>2667</v>
      </c>
      <c r="N360" s="421" t="s">
        <v>3093</v>
      </c>
      <c r="O360" s="421" t="s">
        <v>3094</v>
      </c>
      <c r="P360" s="421" t="s">
        <v>3095</v>
      </c>
      <c r="Q360" s="421" t="s">
        <v>3113</v>
      </c>
      <c r="R360" s="421" t="s">
        <v>1108</v>
      </c>
      <c r="S360" s="421" t="s">
        <v>1108</v>
      </c>
      <c r="T360" s="421" t="s">
        <v>1130</v>
      </c>
      <c r="U360" s="421" t="s">
        <v>1112</v>
      </c>
      <c r="V360" s="421" t="s">
        <v>3097</v>
      </c>
      <c r="W360" s="421" t="s">
        <v>3098</v>
      </c>
      <c r="X360" s="421" t="s">
        <v>3099</v>
      </c>
      <c r="Y360" s="421" t="s">
        <v>1117</v>
      </c>
      <c r="Z360" s="421" t="s">
        <v>1118</v>
      </c>
      <c r="AA360" s="421" t="s">
        <v>3100</v>
      </c>
      <c r="AB360" s="421" t="s">
        <v>3101</v>
      </c>
      <c r="AC360" s="421" t="s">
        <v>3102</v>
      </c>
      <c r="AD360" s="421" t="s">
        <v>3388</v>
      </c>
      <c r="AE360" s="421" t="s">
        <v>3389</v>
      </c>
      <c r="AF360" s="421" t="s">
        <v>2236</v>
      </c>
      <c r="AG360" s="421" t="s">
        <v>2237</v>
      </c>
      <c r="AH360" s="421" t="s">
        <v>3105</v>
      </c>
      <c r="AI360" s="421">
        <v>1588000</v>
      </c>
      <c r="AJ360" s="421">
        <v>2466.91</v>
      </c>
      <c r="AK360" s="421">
        <v>2688.12</v>
      </c>
      <c r="AL360" s="421">
        <v>2</v>
      </c>
      <c r="AM360" s="421" t="s">
        <v>3390</v>
      </c>
      <c r="AN360" s="421" t="s">
        <v>3391</v>
      </c>
      <c r="AO360" s="421" t="s">
        <v>1121</v>
      </c>
      <c r="AP360" s="421" t="s">
        <v>1121</v>
      </c>
      <c r="AQ360" s="421" t="s">
        <v>1108</v>
      </c>
      <c r="AR360" s="421" t="s">
        <v>3627</v>
      </c>
      <c r="AS360" s="421" t="s">
        <v>3694</v>
      </c>
      <c r="AT360" s="421" t="s">
        <v>3109</v>
      </c>
      <c r="AU360" s="421" t="s">
        <v>1142</v>
      </c>
      <c r="AV360" s="421" t="s">
        <v>2037</v>
      </c>
      <c r="AW360" s="421" t="s">
        <v>3110</v>
      </c>
      <c r="AX360" s="421" t="s">
        <v>3111</v>
      </c>
      <c r="AY360" s="421" t="s">
        <v>3112</v>
      </c>
      <c r="AZ360" s="421" t="s">
        <v>3113</v>
      </c>
      <c r="BA360" s="421" t="s">
        <v>3114</v>
      </c>
      <c r="BB360" s="421" t="s">
        <v>3115</v>
      </c>
      <c r="BC360" s="421">
        <v>39510.199999999997</v>
      </c>
      <c r="BD360" s="421">
        <v>101409249.93000001</v>
      </c>
      <c r="BE360" s="421">
        <v>0</v>
      </c>
      <c r="BF360" s="421">
        <v>539.33000000000004</v>
      </c>
      <c r="BG360" s="421">
        <v>0</v>
      </c>
      <c r="BH360" s="421">
        <v>0</v>
      </c>
      <c r="BI360" s="421" t="s">
        <v>1167</v>
      </c>
    </row>
    <row r="361" spans="1:61" x14ac:dyDescent="0.25">
      <c r="A361" s="421">
        <v>358</v>
      </c>
      <c r="B361" s="421">
        <v>2015</v>
      </c>
      <c r="C361" s="421">
        <v>7</v>
      </c>
      <c r="D361" s="421">
        <v>1</v>
      </c>
      <c r="E361" s="421" t="s">
        <v>1475</v>
      </c>
      <c r="F361" s="421" t="s">
        <v>3695</v>
      </c>
      <c r="G361" s="421" t="s">
        <v>3089</v>
      </c>
      <c r="H361" s="421" t="s">
        <v>1901</v>
      </c>
      <c r="I361" s="421" t="s">
        <v>2471</v>
      </c>
      <c r="J361" s="421" t="s">
        <v>3696</v>
      </c>
      <c r="K361" s="421" t="s">
        <v>3697</v>
      </c>
      <c r="L361" s="421" t="s">
        <v>3698</v>
      </c>
      <c r="M361" s="421" t="s">
        <v>2667</v>
      </c>
      <c r="N361" s="421" t="s">
        <v>3093</v>
      </c>
      <c r="O361" s="421" t="s">
        <v>3094</v>
      </c>
      <c r="P361" s="421" t="s">
        <v>3095</v>
      </c>
      <c r="Q361" s="421" t="s">
        <v>3113</v>
      </c>
      <c r="R361" s="421" t="s">
        <v>1108</v>
      </c>
      <c r="S361" s="421" t="s">
        <v>1108</v>
      </c>
      <c r="T361" s="421" t="s">
        <v>1130</v>
      </c>
      <c r="U361" s="421" t="s">
        <v>3144</v>
      </c>
      <c r="V361" s="421" t="s">
        <v>3145</v>
      </c>
      <c r="W361" s="421" t="s">
        <v>3098</v>
      </c>
      <c r="X361" s="421" t="s">
        <v>3099</v>
      </c>
      <c r="Y361" s="421" t="s">
        <v>1117</v>
      </c>
      <c r="Z361" s="421" t="s">
        <v>1118</v>
      </c>
      <c r="AA361" s="421" t="s">
        <v>3100</v>
      </c>
      <c r="AB361" s="421" t="s">
        <v>3146</v>
      </c>
      <c r="AC361" s="421" t="s">
        <v>3102</v>
      </c>
      <c r="AD361" s="421" t="s">
        <v>3699</v>
      </c>
      <c r="AE361" s="421" t="s">
        <v>3700</v>
      </c>
      <c r="AF361" s="421" t="s">
        <v>2236</v>
      </c>
      <c r="AG361" s="421" t="s">
        <v>2237</v>
      </c>
      <c r="AH361" s="421" t="s">
        <v>3105</v>
      </c>
      <c r="AI361" s="421">
        <v>440125</v>
      </c>
      <c r="AJ361" s="421">
        <v>934.62</v>
      </c>
      <c r="AK361" s="421">
        <v>1013</v>
      </c>
      <c r="AL361" s="421">
        <v>1</v>
      </c>
      <c r="AM361" s="421" t="s">
        <v>3701</v>
      </c>
      <c r="AN361" s="421" t="s">
        <v>3702</v>
      </c>
      <c r="AO361" s="421" t="s">
        <v>1121</v>
      </c>
      <c r="AP361" s="421" t="s">
        <v>1121</v>
      </c>
      <c r="AQ361" s="421" t="s">
        <v>1476</v>
      </c>
      <c r="AR361" s="421" t="s">
        <v>3627</v>
      </c>
      <c r="AS361" s="421" t="s">
        <v>3703</v>
      </c>
      <c r="AT361" s="421" t="s">
        <v>3109</v>
      </c>
      <c r="AU361" s="421" t="s">
        <v>1341</v>
      </c>
      <c r="AV361" s="421" t="s">
        <v>3157</v>
      </c>
      <c r="AW361" s="421" t="s">
        <v>3110</v>
      </c>
      <c r="AX361" s="421" t="s">
        <v>3111</v>
      </c>
      <c r="AY361" s="421" t="s">
        <v>3112</v>
      </c>
      <c r="AZ361" s="421" t="s">
        <v>3113</v>
      </c>
      <c r="BA361" s="421" t="s">
        <v>3114</v>
      </c>
      <c r="BB361" s="421" t="s">
        <v>3115</v>
      </c>
      <c r="BC361" s="421">
        <v>15355.35</v>
      </c>
      <c r="BD361" s="421">
        <v>39903640.939999998</v>
      </c>
      <c r="BE361" s="421">
        <v>0</v>
      </c>
      <c r="BF361" s="421">
        <v>3380.15</v>
      </c>
      <c r="BG361" s="421">
        <v>46.84</v>
      </c>
      <c r="BH361" s="421">
        <v>0</v>
      </c>
      <c r="BI361" s="421" t="s">
        <v>1149</v>
      </c>
    </row>
    <row r="362" spans="1:61" x14ac:dyDescent="0.25">
      <c r="A362" s="421">
        <v>359</v>
      </c>
      <c r="B362" s="421">
        <v>2015</v>
      </c>
      <c r="C362" s="421">
        <v>7</v>
      </c>
      <c r="D362" s="421">
        <v>3</v>
      </c>
      <c r="E362" s="421" t="s">
        <v>1475</v>
      </c>
      <c r="F362" s="421" t="s">
        <v>3695</v>
      </c>
      <c r="G362" s="421" t="s">
        <v>3325</v>
      </c>
      <c r="H362" s="421" t="s">
        <v>1107</v>
      </c>
      <c r="I362" s="421" t="s">
        <v>2623</v>
      </c>
      <c r="J362" s="421" t="s">
        <v>3704</v>
      </c>
      <c r="K362" s="421" t="s">
        <v>3093</v>
      </c>
      <c r="L362" s="421" t="s">
        <v>3094</v>
      </c>
      <c r="M362" s="421" t="s">
        <v>2667</v>
      </c>
      <c r="N362" s="421" t="s">
        <v>3093</v>
      </c>
      <c r="O362" s="421" t="s">
        <v>3094</v>
      </c>
      <c r="P362" s="421" t="s">
        <v>3095</v>
      </c>
      <c r="Q362" s="421" t="s">
        <v>3113</v>
      </c>
      <c r="R362" s="421" t="s">
        <v>1108</v>
      </c>
      <c r="S362" s="421" t="s">
        <v>1108</v>
      </c>
      <c r="T362" s="421" t="s">
        <v>1130</v>
      </c>
      <c r="U362" s="421" t="s">
        <v>1112</v>
      </c>
      <c r="V362" s="421" t="s">
        <v>3097</v>
      </c>
      <c r="W362" s="421" t="s">
        <v>3098</v>
      </c>
      <c r="X362" s="421" t="s">
        <v>3099</v>
      </c>
      <c r="Y362" s="421" t="s">
        <v>1117</v>
      </c>
      <c r="Z362" s="421" t="s">
        <v>1118</v>
      </c>
      <c r="AA362" s="421" t="s">
        <v>3100</v>
      </c>
      <c r="AB362" s="421" t="s">
        <v>3101</v>
      </c>
      <c r="AC362" s="421" t="s">
        <v>3102</v>
      </c>
      <c r="AD362" s="421" t="s">
        <v>3189</v>
      </c>
      <c r="AE362" s="421" t="s">
        <v>3190</v>
      </c>
      <c r="AF362" s="421" t="s">
        <v>2236</v>
      </c>
      <c r="AG362" s="421" t="s">
        <v>2237</v>
      </c>
      <c r="AH362" s="421" t="s">
        <v>3105</v>
      </c>
      <c r="AI362" s="421">
        <v>2849404</v>
      </c>
      <c r="AJ362" s="421">
        <v>5188.46</v>
      </c>
      <c r="AK362" s="421">
        <v>5629.08</v>
      </c>
      <c r="AL362" s="421">
        <v>1</v>
      </c>
      <c r="AM362" s="421" t="s">
        <v>961</v>
      </c>
      <c r="AN362" s="421" t="s">
        <v>3191</v>
      </c>
      <c r="AO362" s="421" t="s">
        <v>1121</v>
      </c>
      <c r="AP362" s="421" t="s">
        <v>1121</v>
      </c>
      <c r="AQ362" s="421" t="s">
        <v>1108</v>
      </c>
      <c r="AR362" s="421" t="s">
        <v>3561</v>
      </c>
      <c r="AS362" s="421" t="s">
        <v>3705</v>
      </c>
      <c r="AT362" s="421" t="s">
        <v>3109</v>
      </c>
      <c r="AU362" s="421" t="s">
        <v>1142</v>
      </c>
      <c r="AV362" s="421" t="s">
        <v>2520</v>
      </c>
      <c r="AW362" s="421" t="s">
        <v>3110</v>
      </c>
      <c r="AX362" s="421" t="s">
        <v>3111</v>
      </c>
      <c r="AY362" s="421" t="s">
        <v>3193</v>
      </c>
      <c r="AZ362" s="421" t="s">
        <v>3113</v>
      </c>
      <c r="BA362" s="421" t="s">
        <v>3114</v>
      </c>
      <c r="BB362" s="421" t="s">
        <v>3115</v>
      </c>
      <c r="BC362" s="421">
        <v>76035.48</v>
      </c>
      <c r="BD362" s="421">
        <v>199510256.33000001</v>
      </c>
      <c r="BE362" s="421">
        <v>0</v>
      </c>
      <c r="BF362" s="421">
        <v>859.93</v>
      </c>
      <c r="BG362" s="421">
        <v>192.24</v>
      </c>
      <c r="BH362" s="421">
        <v>0</v>
      </c>
      <c r="BI362" s="421" t="s">
        <v>1149</v>
      </c>
    </row>
    <row r="363" spans="1:61" x14ac:dyDescent="0.25">
      <c r="A363" s="421">
        <v>360</v>
      </c>
      <c r="B363" s="421">
        <v>2015</v>
      </c>
      <c r="C363" s="421">
        <v>7</v>
      </c>
      <c r="D363" s="421">
        <v>3</v>
      </c>
      <c r="E363" s="421" t="s">
        <v>1475</v>
      </c>
      <c r="F363" s="421" t="s">
        <v>3695</v>
      </c>
      <c r="G363" s="421" t="s">
        <v>3325</v>
      </c>
      <c r="H363" s="421" t="s">
        <v>1107</v>
      </c>
      <c r="I363" s="421" t="s">
        <v>2623</v>
      </c>
      <c r="J363" s="421" t="s">
        <v>3704</v>
      </c>
      <c r="K363" s="421" t="s">
        <v>3093</v>
      </c>
      <c r="L363" s="421" t="s">
        <v>3094</v>
      </c>
      <c r="M363" s="421" t="s">
        <v>2667</v>
      </c>
      <c r="N363" s="421" t="s">
        <v>3093</v>
      </c>
      <c r="O363" s="421" t="s">
        <v>3094</v>
      </c>
      <c r="P363" s="421" t="s">
        <v>3095</v>
      </c>
      <c r="Q363" s="421" t="s">
        <v>3113</v>
      </c>
      <c r="R363" s="421" t="s">
        <v>1108</v>
      </c>
      <c r="S363" s="421" t="s">
        <v>1108</v>
      </c>
      <c r="T363" s="421" t="s">
        <v>1130</v>
      </c>
      <c r="U363" s="421" t="s">
        <v>1112</v>
      </c>
      <c r="V363" s="421" t="s">
        <v>3097</v>
      </c>
      <c r="W363" s="421" t="s">
        <v>3098</v>
      </c>
      <c r="X363" s="421" t="s">
        <v>3099</v>
      </c>
      <c r="Y363" s="421" t="s">
        <v>1117</v>
      </c>
      <c r="Z363" s="421" t="s">
        <v>1118</v>
      </c>
      <c r="AA363" s="421" t="s">
        <v>3100</v>
      </c>
      <c r="AB363" s="421" t="s">
        <v>3101</v>
      </c>
      <c r="AC363" s="421" t="s">
        <v>3102</v>
      </c>
      <c r="AD363" s="421" t="s">
        <v>3189</v>
      </c>
      <c r="AE363" s="421" t="s">
        <v>3190</v>
      </c>
      <c r="AF363" s="421" t="s">
        <v>2236</v>
      </c>
      <c r="AG363" s="421" t="s">
        <v>2237</v>
      </c>
      <c r="AH363" s="421" t="s">
        <v>3105</v>
      </c>
      <c r="AI363" s="421">
        <v>454416</v>
      </c>
      <c r="AJ363" s="421">
        <v>965.2</v>
      </c>
      <c r="AK363" s="421">
        <v>1047.17</v>
      </c>
      <c r="AL363" s="421">
        <v>2</v>
      </c>
      <c r="AM363" s="421" t="s">
        <v>961</v>
      </c>
      <c r="AN363" s="421" t="s">
        <v>3191</v>
      </c>
      <c r="AO363" s="421" t="s">
        <v>1121</v>
      </c>
      <c r="AP363" s="421" t="s">
        <v>1121</v>
      </c>
      <c r="AQ363" s="421" t="s">
        <v>1108</v>
      </c>
      <c r="AR363" s="421" t="s">
        <v>3561</v>
      </c>
      <c r="AS363" s="421" t="s">
        <v>3705</v>
      </c>
      <c r="AT363" s="421" t="s">
        <v>3109</v>
      </c>
      <c r="AU363" s="421" t="s">
        <v>1142</v>
      </c>
      <c r="AV363" s="421" t="s">
        <v>2520</v>
      </c>
      <c r="AW363" s="421" t="s">
        <v>3110</v>
      </c>
      <c r="AX363" s="421" t="s">
        <v>3111</v>
      </c>
      <c r="AY363" s="421" t="s">
        <v>3193</v>
      </c>
      <c r="AZ363" s="421" t="s">
        <v>3113</v>
      </c>
      <c r="BA363" s="421" t="s">
        <v>3114</v>
      </c>
      <c r="BB363" s="421" t="s">
        <v>3115</v>
      </c>
      <c r="BC363" s="421">
        <v>14401.68</v>
      </c>
      <c r="BD363" s="421">
        <v>37788712.170000002</v>
      </c>
      <c r="BE363" s="421">
        <v>0</v>
      </c>
      <c r="BF363" s="421">
        <v>162.88</v>
      </c>
      <c r="BG363" s="421">
        <v>36.409999999999997</v>
      </c>
      <c r="BH363" s="421">
        <v>0</v>
      </c>
      <c r="BI363" s="421" t="s">
        <v>1149</v>
      </c>
    </row>
    <row r="364" spans="1:61" x14ac:dyDescent="0.25">
      <c r="A364" s="421">
        <v>361</v>
      </c>
      <c r="B364" s="421">
        <v>2015</v>
      </c>
      <c r="C364" s="421">
        <v>7</v>
      </c>
      <c r="D364" s="421">
        <v>3</v>
      </c>
      <c r="E364" s="421" t="s">
        <v>1475</v>
      </c>
      <c r="F364" s="421" t="s">
        <v>3695</v>
      </c>
      <c r="G364" s="421" t="s">
        <v>3325</v>
      </c>
      <c r="H364" s="421" t="s">
        <v>1107</v>
      </c>
      <c r="I364" s="421" t="s">
        <v>2623</v>
      </c>
      <c r="J364" s="421" t="s">
        <v>3704</v>
      </c>
      <c r="K364" s="421" t="s">
        <v>3093</v>
      </c>
      <c r="L364" s="421" t="s">
        <v>3094</v>
      </c>
      <c r="M364" s="421" t="s">
        <v>2667</v>
      </c>
      <c r="N364" s="421" t="s">
        <v>3093</v>
      </c>
      <c r="O364" s="421" t="s">
        <v>3094</v>
      </c>
      <c r="P364" s="421" t="s">
        <v>3095</v>
      </c>
      <c r="Q364" s="421" t="s">
        <v>3113</v>
      </c>
      <c r="R364" s="421" t="s">
        <v>1108</v>
      </c>
      <c r="S364" s="421" t="s">
        <v>1108</v>
      </c>
      <c r="T364" s="421" t="s">
        <v>1130</v>
      </c>
      <c r="U364" s="421" t="s">
        <v>1112</v>
      </c>
      <c r="V364" s="421" t="s">
        <v>3097</v>
      </c>
      <c r="W364" s="421" t="s">
        <v>3098</v>
      </c>
      <c r="X364" s="421" t="s">
        <v>3099</v>
      </c>
      <c r="Y364" s="421" t="s">
        <v>1117</v>
      </c>
      <c r="Z364" s="421" t="s">
        <v>1118</v>
      </c>
      <c r="AA364" s="421" t="s">
        <v>3100</v>
      </c>
      <c r="AB364" s="421" t="s">
        <v>3101</v>
      </c>
      <c r="AC364" s="421" t="s">
        <v>3102</v>
      </c>
      <c r="AD364" s="421" t="s">
        <v>3189</v>
      </c>
      <c r="AE364" s="421" t="s">
        <v>3190</v>
      </c>
      <c r="AF364" s="421" t="s">
        <v>2236</v>
      </c>
      <c r="AG364" s="421" t="s">
        <v>2237</v>
      </c>
      <c r="AH364" s="421" t="s">
        <v>3105</v>
      </c>
      <c r="AI364" s="421">
        <v>63840</v>
      </c>
      <c r="AJ364" s="421">
        <v>260.76</v>
      </c>
      <c r="AK364" s="421">
        <v>282.89999999999998</v>
      </c>
      <c r="AL364" s="421">
        <v>3</v>
      </c>
      <c r="AM364" s="421" t="s">
        <v>961</v>
      </c>
      <c r="AN364" s="421" t="s">
        <v>3191</v>
      </c>
      <c r="AO364" s="421" t="s">
        <v>1121</v>
      </c>
      <c r="AP364" s="421" t="s">
        <v>1121</v>
      </c>
      <c r="AQ364" s="421" t="s">
        <v>1108</v>
      </c>
      <c r="AR364" s="421" t="s">
        <v>3561</v>
      </c>
      <c r="AS364" s="421" t="s">
        <v>3705</v>
      </c>
      <c r="AT364" s="421" t="s">
        <v>3109</v>
      </c>
      <c r="AU364" s="421" t="s">
        <v>1142</v>
      </c>
      <c r="AV364" s="421" t="s">
        <v>2520</v>
      </c>
      <c r="AW364" s="421" t="s">
        <v>3110</v>
      </c>
      <c r="AX364" s="421" t="s">
        <v>3111</v>
      </c>
      <c r="AY364" s="421" t="s">
        <v>3193</v>
      </c>
      <c r="AZ364" s="421" t="s">
        <v>3113</v>
      </c>
      <c r="BA364" s="421" t="s">
        <v>3114</v>
      </c>
      <c r="BB364" s="421" t="s">
        <v>3115</v>
      </c>
      <c r="BC364" s="421">
        <v>6643.2</v>
      </c>
      <c r="BD364" s="421">
        <v>17431158.91</v>
      </c>
      <c r="BE364" s="421">
        <v>0</v>
      </c>
      <c r="BF364" s="421">
        <v>75.13</v>
      </c>
      <c r="BG364" s="421">
        <v>16.8</v>
      </c>
      <c r="BH364" s="421">
        <v>0</v>
      </c>
      <c r="BI364" s="421" t="s">
        <v>1149</v>
      </c>
    </row>
    <row r="365" spans="1:61" x14ac:dyDescent="0.25">
      <c r="A365" s="421">
        <v>362</v>
      </c>
      <c r="B365" s="421">
        <v>2015</v>
      </c>
      <c r="C365" s="421">
        <v>7</v>
      </c>
      <c r="D365" s="421">
        <v>3</v>
      </c>
      <c r="E365" s="421" t="s">
        <v>1475</v>
      </c>
      <c r="F365" s="421" t="s">
        <v>3695</v>
      </c>
      <c r="G365" s="421" t="s">
        <v>3325</v>
      </c>
      <c r="H365" s="421" t="s">
        <v>1107</v>
      </c>
      <c r="I365" s="421" t="s">
        <v>2623</v>
      </c>
      <c r="J365" s="421" t="s">
        <v>3704</v>
      </c>
      <c r="K365" s="421" t="s">
        <v>3093</v>
      </c>
      <c r="L365" s="421" t="s">
        <v>3094</v>
      </c>
      <c r="M365" s="421" t="s">
        <v>2667</v>
      </c>
      <c r="N365" s="421" t="s">
        <v>3093</v>
      </c>
      <c r="O365" s="421" t="s">
        <v>3094</v>
      </c>
      <c r="P365" s="421" t="s">
        <v>3095</v>
      </c>
      <c r="Q365" s="421" t="s">
        <v>3113</v>
      </c>
      <c r="R365" s="421" t="s">
        <v>1108</v>
      </c>
      <c r="S365" s="421" t="s">
        <v>1108</v>
      </c>
      <c r="T365" s="421" t="s">
        <v>1130</v>
      </c>
      <c r="U365" s="421" t="s">
        <v>1112</v>
      </c>
      <c r="V365" s="421" t="s">
        <v>3097</v>
      </c>
      <c r="W365" s="421" t="s">
        <v>3098</v>
      </c>
      <c r="X365" s="421" t="s">
        <v>3099</v>
      </c>
      <c r="Y365" s="421" t="s">
        <v>1117</v>
      </c>
      <c r="Z365" s="421" t="s">
        <v>1118</v>
      </c>
      <c r="AA365" s="421" t="s">
        <v>3100</v>
      </c>
      <c r="AB365" s="421" t="s">
        <v>3101</v>
      </c>
      <c r="AC365" s="421" t="s">
        <v>3102</v>
      </c>
      <c r="AD365" s="421" t="s">
        <v>3189</v>
      </c>
      <c r="AE365" s="421" t="s">
        <v>3190</v>
      </c>
      <c r="AF365" s="421" t="s">
        <v>2236</v>
      </c>
      <c r="AG365" s="421" t="s">
        <v>2237</v>
      </c>
      <c r="AH365" s="421" t="s">
        <v>3105</v>
      </c>
      <c r="AI365" s="421">
        <v>5760</v>
      </c>
      <c r="AJ365" s="421">
        <v>24.82</v>
      </c>
      <c r="AK365" s="421">
        <v>26.93</v>
      </c>
      <c r="AL365" s="421">
        <v>4</v>
      </c>
      <c r="AM365" s="421" t="s">
        <v>961</v>
      </c>
      <c r="AN365" s="421" t="s">
        <v>3191</v>
      </c>
      <c r="AO365" s="421" t="s">
        <v>1121</v>
      </c>
      <c r="AP365" s="421" t="s">
        <v>1121</v>
      </c>
      <c r="AQ365" s="421" t="s">
        <v>1108</v>
      </c>
      <c r="AR365" s="421" t="s">
        <v>3561</v>
      </c>
      <c r="AS365" s="421" t="s">
        <v>3705</v>
      </c>
      <c r="AT365" s="421" t="s">
        <v>3109</v>
      </c>
      <c r="AU365" s="421" t="s">
        <v>1142</v>
      </c>
      <c r="AV365" s="421" t="s">
        <v>2520</v>
      </c>
      <c r="AW365" s="421" t="s">
        <v>3110</v>
      </c>
      <c r="AX365" s="421" t="s">
        <v>3111</v>
      </c>
      <c r="AY365" s="421" t="s">
        <v>3193</v>
      </c>
      <c r="AZ365" s="421" t="s">
        <v>3113</v>
      </c>
      <c r="BA365" s="421" t="s">
        <v>3114</v>
      </c>
      <c r="BB365" s="421" t="s">
        <v>3115</v>
      </c>
      <c r="BC365" s="421">
        <v>624</v>
      </c>
      <c r="BD365" s="421">
        <v>1637319.84</v>
      </c>
      <c r="BE365" s="421">
        <v>0</v>
      </c>
      <c r="BF365" s="421">
        <v>7.06</v>
      </c>
      <c r="BG365" s="421">
        <v>1.58</v>
      </c>
      <c r="BH365" s="421">
        <v>0</v>
      </c>
      <c r="BI365" s="421" t="s">
        <v>1149</v>
      </c>
    </row>
    <row r="366" spans="1:61" x14ac:dyDescent="0.25">
      <c r="A366" s="421">
        <v>363</v>
      </c>
      <c r="B366" s="421">
        <v>2015</v>
      </c>
      <c r="C366" s="421">
        <v>7</v>
      </c>
      <c r="D366" s="421">
        <v>8</v>
      </c>
      <c r="E366" s="421" t="s">
        <v>1475</v>
      </c>
      <c r="F366" s="421" t="s">
        <v>3695</v>
      </c>
      <c r="G366" s="421" t="s">
        <v>3557</v>
      </c>
      <c r="H366" s="421" t="s">
        <v>1901</v>
      </c>
      <c r="I366" s="421" t="s">
        <v>2433</v>
      </c>
      <c r="J366" s="421" t="s">
        <v>3706</v>
      </c>
      <c r="K366" s="421" t="s">
        <v>3697</v>
      </c>
      <c r="L366" s="421" t="s">
        <v>3707</v>
      </c>
      <c r="M366" s="421" t="s">
        <v>2667</v>
      </c>
      <c r="N366" s="421" t="s">
        <v>3093</v>
      </c>
      <c r="O366" s="421" t="s">
        <v>3094</v>
      </c>
      <c r="P366" s="421" t="s">
        <v>3095</v>
      </c>
      <c r="Q366" s="421" t="s">
        <v>3096</v>
      </c>
      <c r="R366" s="421" t="s">
        <v>1108</v>
      </c>
      <c r="S366" s="421" t="s">
        <v>1476</v>
      </c>
      <c r="T366" s="421" t="s">
        <v>1130</v>
      </c>
      <c r="U366" s="421" t="s">
        <v>3144</v>
      </c>
      <c r="V366" s="421" t="s">
        <v>3145</v>
      </c>
      <c r="W366" s="421" t="s">
        <v>3098</v>
      </c>
      <c r="X366" s="421" t="s">
        <v>3099</v>
      </c>
      <c r="Y366" s="421" t="s">
        <v>1117</v>
      </c>
      <c r="Z366" s="421" t="s">
        <v>1118</v>
      </c>
      <c r="AA366" s="421" t="s">
        <v>3100</v>
      </c>
      <c r="AB366" s="421" t="s">
        <v>3146</v>
      </c>
      <c r="AC366" s="421" t="s">
        <v>3102</v>
      </c>
      <c r="AD366" s="421" t="s">
        <v>3125</v>
      </c>
      <c r="AE366" s="421" t="s">
        <v>3147</v>
      </c>
      <c r="AF366" s="421" t="s">
        <v>2236</v>
      </c>
      <c r="AG366" s="421" t="s">
        <v>2237</v>
      </c>
      <c r="AH366" s="421" t="s">
        <v>3105</v>
      </c>
      <c r="AI366" s="421">
        <v>62260</v>
      </c>
      <c r="AJ366" s="421">
        <v>154.03</v>
      </c>
      <c r="AK366" s="421">
        <v>177</v>
      </c>
      <c r="AL366" s="421">
        <v>1</v>
      </c>
      <c r="AM366" s="421" t="s">
        <v>962</v>
      </c>
      <c r="AN366" s="421" t="s">
        <v>3127</v>
      </c>
      <c r="AO366" s="421" t="s">
        <v>1121</v>
      </c>
      <c r="AP366" s="421" t="s">
        <v>1121</v>
      </c>
      <c r="AQ366" s="421" t="s">
        <v>1476</v>
      </c>
      <c r="AR366" s="421" t="s">
        <v>3627</v>
      </c>
      <c r="AS366" s="421" t="s">
        <v>3708</v>
      </c>
      <c r="AT366" s="421" t="s">
        <v>3109</v>
      </c>
      <c r="AU366" s="421" t="s">
        <v>1341</v>
      </c>
      <c r="AV366" s="421" t="s">
        <v>962</v>
      </c>
      <c r="AW366" s="421" t="s">
        <v>3110</v>
      </c>
      <c r="AX366" s="421" t="s">
        <v>3131</v>
      </c>
      <c r="AY366" s="421" t="s">
        <v>3112</v>
      </c>
      <c r="AZ366" s="421" t="s">
        <v>3113</v>
      </c>
      <c r="BA366" s="421" t="s">
        <v>3114</v>
      </c>
      <c r="BB366" s="421" t="s">
        <v>3115</v>
      </c>
      <c r="BC366" s="421">
        <v>2693.2</v>
      </c>
      <c r="BD366" s="421">
        <v>7245111.9800000004</v>
      </c>
      <c r="BE366" s="421">
        <v>0</v>
      </c>
      <c r="BF366" s="421">
        <v>521.4</v>
      </c>
      <c r="BG366" s="421">
        <v>0</v>
      </c>
      <c r="BH366" s="421">
        <v>0</v>
      </c>
      <c r="BI366" s="421" t="s">
        <v>1149</v>
      </c>
    </row>
    <row r="367" spans="1:61" x14ac:dyDescent="0.25">
      <c r="A367" s="421">
        <v>364</v>
      </c>
      <c r="B367" s="421">
        <v>2015</v>
      </c>
      <c r="C367" s="421">
        <v>7</v>
      </c>
      <c r="D367" s="421">
        <v>8</v>
      </c>
      <c r="E367" s="421" t="s">
        <v>1475</v>
      </c>
      <c r="F367" s="421" t="s">
        <v>3695</v>
      </c>
      <c r="G367" s="421" t="s">
        <v>3557</v>
      </c>
      <c r="H367" s="421" t="s">
        <v>1107</v>
      </c>
      <c r="I367" s="421" t="s">
        <v>2433</v>
      </c>
      <c r="J367" s="421" t="s">
        <v>3709</v>
      </c>
      <c r="K367" s="421" t="s">
        <v>3093</v>
      </c>
      <c r="L367" s="421" t="s">
        <v>3094</v>
      </c>
      <c r="M367" s="421" t="s">
        <v>2667</v>
      </c>
      <c r="N367" s="421" t="s">
        <v>3093</v>
      </c>
      <c r="O367" s="421" t="s">
        <v>3094</v>
      </c>
      <c r="P367" s="421" t="s">
        <v>3095</v>
      </c>
      <c r="Q367" s="421" t="s">
        <v>3113</v>
      </c>
      <c r="R367" s="421" t="s">
        <v>1108</v>
      </c>
      <c r="S367" s="421" t="s">
        <v>1108</v>
      </c>
      <c r="T367" s="421" t="s">
        <v>1130</v>
      </c>
      <c r="U367" s="421" t="s">
        <v>1112</v>
      </c>
      <c r="V367" s="421" t="s">
        <v>3097</v>
      </c>
      <c r="W367" s="421" t="s">
        <v>3098</v>
      </c>
      <c r="X367" s="421" t="s">
        <v>3099</v>
      </c>
      <c r="Y367" s="421" t="s">
        <v>1117</v>
      </c>
      <c r="Z367" s="421" t="s">
        <v>1118</v>
      </c>
      <c r="AA367" s="421" t="s">
        <v>3100</v>
      </c>
      <c r="AB367" s="421" t="s">
        <v>3101</v>
      </c>
      <c r="AC367" s="421" t="s">
        <v>3102</v>
      </c>
      <c r="AD367" s="421" t="s">
        <v>3537</v>
      </c>
      <c r="AE367" s="421" t="s">
        <v>3239</v>
      </c>
      <c r="AF367" s="421" t="s">
        <v>2236</v>
      </c>
      <c r="AG367" s="421" t="s">
        <v>2237</v>
      </c>
      <c r="AH367" s="421" t="s">
        <v>3105</v>
      </c>
      <c r="AI367" s="421">
        <v>165500</v>
      </c>
      <c r="AJ367" s="421">
        <v>595.05999999999995</v>
      </c>
      <c r="AK367" s="421">
        <v>646.71</v>
      </c>
      <c r="AL367" s="421">
        <v>3</v>
      </c>
      <c r="AM367" s="421" t="s">
        <v>960</v>
      </c>
      <c r="AN367" s="421" t="s">
        <v>3240</v>
      </c>
      <c r="AO367" s="421" t="s">
        <v>1121</v>
      </c>
      <c r="AP367" s="421" t="s">
        <v>1121</v>
      </c>
      <c r="AQ367" s="421" t="s">
        <v>1108</v>
      </c>
      <c r="AR367" s="421" t="s">
        <v>3697</v>
      </c>
      <c r="AS367" s="421" t="s">
        <v>3710</v>
      </c>
      <c r="AT367" s="421" t="s">
        <v>3109</v>
      </c>
      <c r="AU367" s="421" t="s">
        <v>1142</v>
      </c>
      <c r="AV367" s="421" t="s">
        <v>3130</v>
      </c>
      <c r="AW367" s="421" t="s">
        <v>3110</v>
      </c>
      <c r="AX367" s="421" t="s">
        <v>3131</v>
      </c>
      <c r="AY367" s="421" t="s">
        <v>3112</v>
      </c>
      <c r="AZ367" s="421" t="s">
        <v>3113</v>
      </c>
      <c r="BA367" s="421" t="s">
        <v>3114</v>
      </c>
      <c r="BB367" s="421" t="s">
        <v>3115</v>
      </c>
      <c r="BC367" s="421">
        <v>13389</v>
      </c>
      <c r="BD367" s="421">
        <v>36018418.350000001</v>
      </c>
      <c r="BE367" s="421">
        <v>0</v>
      </c>
      <c r="BF367" s="421">
        <v>61.95</v>
      </c>
      <c r="BG367" s="421">
        <v>33.630000000000003</v>
      </c>
      <c r="BH367" s="421">
        <v>0</v>
      </c>
      <c r="BI367" s="421" t="s">
        <v>1167</v>
      </c>
    </row>
    <row r="368" spans="1:61" x14ac:dyDescent="0.25">
      <c r="A368" s="421">
        <v>365</v>
      </c>
      <c r="B368" s="421">
        <v>2015</v>
      </c>
      <c r="C368" s="421">
        <v>7</v>
      </c>
      <c r="D368" s="421">
        <v>8</v>
      </c>
      <c r="E368" s="421" t="s">
        <v>1475</v>
      </c>
      <c r="F368" s="421" t="s">
        <v>3695</v>
      </c>
      <c r="G368" s="421" t="s">
        <v>3557</v>
      </c>
      <c r="H368" s="421" t="s">
        <v>1107</v>
      </c>
      <c r="I368" s="421" t="s">
        <v>2433</v>
      </c>
      <c r="J368" s="421" t="s">
        <v>3709</v>
      </c>
      <c r="K368" s="421" t="s">
        <v>3093</v>
      </c>
      <c r="L368" s="421" t="s">
        <v>3094</v>
      </c>
      <c r="M368" s="421" t="s">
        <v>2667</v>
      </c>
      <c r="N368" s="421" t="s">
        <v>3093</v>
      </c>
      <c r="O368" s="421" t="s">
        <v>3094</v>
      </c>
      <c r="P368" s="421" t="s">
        <v>3095</v>
      </c>
      <c r="Q368" s="421" t="s">
        <v>3113</v>
      </c>
      <c r="R368" s="421" t="s">
        <v>1108</v>
      </c>
      <c r="S368" s="421" t="s">
        <v>1108</v>
      </c>
      <c r="T368" s="421" t="s">
        <v>1130</v>
      </c>
      <c r="U368" s="421" t="s">
        <v>1112</v>
      </c>
      <c r="V368" s="421" t="s">
        <v>3097</v>
      </c>
      <c r="W368" s="421" t="s">
        <v>3098</v>
      </c>
      <c r="X368" s="421" t="s">
        <v>3099</v>
      </c>
      <c r="Y368" s="421" t="s">
        <v>1117</v>
      </c>
      <c r="Z368" s="421" t="s">
        <v>1118</v>
      </c>
      <c r="AA368" s="421" t="s">
        <v>3100</v>
      </c>
      <c r="AB368" s="421" t="s">
        <v>3101</v>
      </c>
      <c r="AC368" s="421" t="s">
        <v>3102</v>
      </c>
      <c r="AD368" s="421" t="s">
        <v>3537</v>
      </c>
      <c r="AE368" s="421" t="s">
        <v>3239</v>
      </c>
      <c r="AF368" s="421" t="s">
        <v>2236</v>
      </c>
      <c r="AG368" s="421" t="s">
        <v>2237</v>
      </c>
      <c r="AH368" s="421" t="s">
        <v>3105</v>
      </c>
      <c r="AI368" s="421">
        <v>779500</v>
      </c>
      <c r="AJ368" s="421">
        <v>1210.48</v>
      </c>
      <c r="AK368" s="421">
        <v>1315.55</v>
      </c>
      <c r="AL368" s="421">
        <v>2</v>
      </c>
      <c r="AM368" s="421" t="s">
        <v>960</v>
      </c>
      <c r="AN368" s="421" t="s">
        <v>3240</v>
      </c>
      <c r="AO368" s="421" t="s">
        <v>1121</v>
      </c>
      <c r="AP368" s="421" t="s">
        <v>1121</v>
      </c>
      <c r="AQ368" s="421" t="s">
        <v>1108</v>
      </c>
      <c r="AR368" s="421" t="s">
        <v>3697</v>
      </c>
      <c r="AS368" s="421" t="s">
        <v>3710</v>
      </c>
      <c r="AT368" s="421" t="s">
        <v>3109</v>
      </c>
      <c r="AU368" s="421" t="s">
        <v>1142</v>
      </c>
      <c r="AV368" s="421" t="s">
        <v>3130</v>
      </c>
      <c r="AW368" s="421" t="s">
        <v>3110</v>
      </c>
      <c r="AX368" s="421" t="s">
        <v>3131</v>
      </c>
      <c r="AY368" s="421" t="s">
        <v>3112</v>
      </c>
      <c r="AZ368" s="421" t="s">
        <v>3113</v>
      </c>
      <c r="BA368" s="421" t="s">
        <v>3114</v>
      </c>
      <c r="BB368" s="421" t="s">
        <v>3115</v>
      </c>
      <c r="BC368" s="421">
        <v>17369.5</v>
      </c>
      <c r="BD368" s="421">
        <v>46726560.43</v>
      </c>
      <c r="BE368" s="421">
        <v>0</v>
      </c>
      <c r="BF368" s="421">
        <v>80.36</v>
      </c>
      <c r="BG368" s="421">
        <v>43.62</v>
      </c>
      <c r="BH368" s="421">
        <v>0</v>
      </c>
      <c r="BI368" s="421" t="s">
        <v>1167</v>
      </c>
    </row>
    <row r="369" spans="1:61" x14ac:dyDescent="0.25">
      <c r="A369" s="421">
        <v>366</v>
      </c>
      <c r="B369" s="421">
        <v>2015</v>
      </c>
      <c r="C369" s="421">
        <v>7</v>
      </c>
      <c r="D369" s="421">
        <v>8</v>
      </c>
      <c r="E369" s="421" t="s">
        <v>1475</v>
      </c>
      <c r="F369" s="421" t="s">
        <v>3695</v>
      </c>
      <c r="G369" s="421" t="s">
        <v>3557</v>
      </c>
      <c r="H369" s="421" t="s">
        <v>1107</v>
      </c>
      <c r="I369" s="421" t="s">
        <v>2433</v>
      </c>
      <c r="J369" s="421" t="s">
        <v>3709</v>
      </c>
      <c r="K369" s="421" t="s">
        <v>3093</v>
      </c>
      <c r="L369" s="421" t="s">
        <v>3094</v>
      </c>
      <c r="M369" s="421" t="s">
        <v>2667</v>
      </c>
      <c r="N369" s="421" t="s">
        <v>3093</v>
      </c>
      <c r="O369" s="421" t="s">
        <v>3094</v>
      </c>
      <c r="P369" s="421" t="s">
        <v>3095</v>
      </c>
      <c r="Q369" s="421" t="s">
        <v>3113</v>
      </c>
      <c r="R369" s="421" t="s">
        <v>1108</v>
      </c>
      <c r="S369" s="421" t="s">
        <v>1108</v>
      </c>
      <c r="T369" s="421" t="s">
        <v>1130</v>
      </c>
      <c r="U369" s="421" t="s">
        <v>1112</v>
      </c>
      <c r="V369" s="421" t="s">
        <v>3097</v>
      </c>
      <c r="W369" s="421" t="s">
        <v>3098</v>
      </c>
      <c r="X369" s="421" t="s">
        <v>3099</v>
      </c>
      <c r="Y369" s="421" t="s">
        <v>1117</v>
      </c>
      <c r="Z369" s="421" t="s">
        <v>1118</v>
      </c>
      <c r="AA369" s="421" t="s">
        <v>3100</v>
      </c>
      <c r="AB369" s="421" t="s">
        <v>3101</v>
      </c>
      <c r="AC369" s="421" t="s">
        <v>3102</v>
      </c>
      <c r="AD369" s="421" t="s">
        <v>3537</v>
      </c>
      <c r="AE369" s="421" t="s">
        <v>3239</v>
      </c>
      <c r="AF369" s="421" t="s">
        <v>2236</v>
      </c>
      <c r="AG369" s="421" t="s">
        <v>2237</v>
      </c>
      <c r="AH369" s="421" t="s">
        <v>3105</v>
      </c>
      <c r="AI369" s="421">
        <v>5556000</v>
      </c>
      <c r="AJ369" s="421">
        <v>12595.08</v>
      </c>
      <c r="AK369" s="421">
        <v>13688.29</v>
      </c>
      <c r="AL369" s="421">
        <v>1</v>
      </c>
      <c r="AM369" s="421" t="s">
        <v>960</v>
      </c>
      <c r="AN369" s="421" t="s">
        <v>3240</v>
      </c>
      <c r="AO369" s="421" t="s">
        <v>1121</v>
      </c>
      <c r="AP369" s="421" t="s">
        <v>1121</v>
      </c>
      <c r="AQ369" s="421" t="s">
        <v>1108</v>
      </c>
      <c r="AR369" s="421" t="s">
        <v>3697</v>
      </c>
      <c r="AS369" s="421" t="s">
        <v>3710</v>
      </c>
      <c r="AT369" s="421" t="s">
        <v>3109</v>
      </c>
      <c r="AU369" s="421" t="s">
        <v>1142</v>
      </c>
      <c r="AV369" s="421" t="s">
        <v>3130</v>
      </c>
      <c r="AW369" s="421" t="s">
        <v>3110</v>
      </c>
      <c r="AX369" s="421" t="s">
        <v>3131</v>
      </c>
      <c r="AY369" s="421" t="s">
        <v>3112</v>
      </c>
      <c r="AZ369" s="421" t="s">
        <v>3113</v>
      </c>
      <c r="BA369" s="421" t="s">
        <v>3114</v>
      </c>
      <c r="BB369" s="421" t="s">
        <v>3115</v>
      </c>
      <c r="BC369" s="421">
        <v>170254.5</v>
      </c>
      <c r="BD369" s="421">
        <v>458010143.18000001</v>
      </c>
      <c r="BE369" s="421">
        <v>0</v>
      </c>
      <c r="BF369" s="421">
        <v>787.69</v>
      </c>
      <c r="BG369" s="421">
        <v>427.61</v>
      </c>
      <c r="BH369" s="421">
        <v>0</v>
      </c>
      <c r="BI369" s="421" t="s">
        <v>1167</v>
      </c>
    </row>
    <row r="370" spans="1:61" x14ac:dyDescent="0.25">
      <c r="A370" s="421">
        <v>367</v>
      </c>
      <c r="B370" s="421">
        <v>2015</v>
      </c>
      <c r="C370" s="421">
        <v>7</v>
      </c>
      <c r="D370" s="421">
        <v>9</v>
      </c>
      <c r="E370" s="421" t="s">
        <v>1475</v>
      </c>
      <c r="F370" s="421" t="s">
        <v>3695</v>
      </c>
      <c r="G370" s="421" t="s">
        <v>3132</v>
      </c>
      <c r="H370" s="421" t="s">
        <v>1107</v>
      </c>
      <c r="I370" s="421" t="s">
        <v>3711</v>
      </c>
      <c r="J370" s="421" t="s">
        <v>3712</v>
      </c>
      <c r="K370" s="421" t="s">
        <v>3093</v>
      </c>
      <c r="L370" s="421" t="s">
        <v>3094</v>
      </c>
      <c r="M370" s="421" t="s">
        <v>2667</v>
      </c>
      <c r="N370" s="421" t="s">
        <v>3093</v>
      </c>
      <c r="O370" s="421" t="s">
        <v>3094</v>
      </c>
      <c r="P370" s="421" t="s">
        <v>3095</v>
      </c>
      <c r="Q370" s="421" t="s">
        <v>3096</v>
      </c>
      <c r="R370" s="421" t="s">
        <v>1108</v>
      </c>
      <c r="S370" s="421" t="s">
        <v>1542</v>
      </c>
      <c r="T370" s="421" t="s">
        <v>1130</v>
      </c>
      <c r="U370" s="421" t="s">
        <v>1112</v>
      </c>
      <c r="V370" s="421" t="s">
        <v>3097</v>
      </c>
      <c r="W370" s="421" t="s">
        <v>3098</v>
      </c>
      <c r="X370" s="421" t="s">
        <v>3099</v>
      </c>
      <c r="Y370" s="421" t="s">
        <v>1117</v>
      </c>
      <c r="Z370" s="421" t="s">
        <v>1118</v>
      </c>
      <c r="AA370" s="421" t="s">
        <v>3100</v>
      </c>
      <c r="AB370" s="421" t="s">
        <v>3101</v>
      </c>
      <c r="AC370" s="421" t="s">
        <v>3102</v>
      </c>
      <c r="AD370" s="421" t="s">
        <v>3291</v>
      </c>
      <c r="AE370" s="421" t="s">
        <v>3292</v>
      </c>
      <c r="AF370" s="421" t="s">
        <v>3375</v>
      </c>
      <c r="AG370" s="421" t="s">
        <v>3376</v>
      </c>
      <c r="AH370" s="421" t="s">
        <v>3105</v>
      </c>
      <c r="AI370" s="421">
        <v>150</v>
      </c>
      <c r="AJ370" s="421">
        <v>23.21</v>
      </c>
      <c r="AK370" s="421">
        <v>24.14</v>
      </c>
      <c r="AL370" s="421">
        <v>1</v>
      </c>
      <c r="AM370" s="421" t="s">
        <v>965</v>
      </c>
      <c r="AN370" s="421" t="s">
        <v>3293</v>
      </c>
      <c r="AO370" s="421" t="s">
        <v>1121</v>
      </c>
      <c r="AP370" s="421" t="s">
        <v>1121</v>
      </c>
      <c r="AQ370" s="421" t="s">
        <v>1542</v>
      </c>
      <c r="AR370" s="421" t="s">
        <v>3697</v>
      </c>
      <c r="AS370" s="421" t="s">
        <v>3713</v>
      </c>
      <c r="AT370" s="421" t="s">
        <v>3109</v>
      </c>
      <c r="AU370" s="421" t="s">
        <v>1142</v>
      </c>
      <c r="AV370" s="421" t="s">
        <v>2520</v>
      </c>
      <c r="AW370" s="421" t="s">
        <v>3110</v>
      </c>
      <c r="AX370" s="421" t="s">
        <v>3229</v>
      </c>
      <c r="AY370" s="421" t="s">
        <v>3112</v>
      </c>
      <c r="AZ370" s="421" t="s">
        <v>3113</v>
      </c>
      <c r="BA370" s="421" t="s">
        <v>3114</v>
      </c>
      <c r="BB370" s="421" t="s">
        <v>3230</v>
      </c>
      <c r="BC370" s="421">
        <v>7.5</v>
      </c>
      <c r="BD370" s="421">
        <v>20180.93</v>
      </c>
      <c r="BE370" s="421">
        <v>0</v>
      </c>
      <c r="BF370" s="421">
        <v>0</v>
      </c>
      <c r="BG370" s="421">
        <v>0</v>
      </c>
      <c r="BH370" s="421">
        <v>0</v>
      </c>
      <c r="BI370" s="421" t="s">
        <v>1331</v>
      </c>
    </row>
    <row r="371" spans="1:61" x14ac:dyDescent="0.25">
      <c r="A371" s="421">
        <v>368</v>
      </c>
      <c r="B371" s="421">
        <v>2015</v>
      </c>
      <c r="C371" s="421">
        <v>7</v>
      </c>
      <c r="D371" s="421">
        <v>9</v>
      </c>
      <c r="E371" s="421" t="s">
        <v>1475</v>
      </c>
      <c r="F371" s="421" t="s">
        <v>3695</v>
      </c>
      <c r="G371" s="421" t="s">
        <v>3132</v>
      </c>
      <c r="H371" s="421" t="s">
        <v>1107</v>
      </c>
      <c r="I371" s="421" t="s">
        <v>3711</v>
      </c>
      <c r="J371" s="421" t="s">
        <v>3714</v>
      </c>
      <c r="K371" s="421" t="s">
        <v>3093</v>
      </c>
      <c r="L371" s="421" t="s">
        <v>3094</v>
      </c>
      <c r="M371" s="421" t="s">
        <v>2667</v>
      </c>
      <c r="N371" s="421" t="s">
        <v>3093</v>
      </c>
      <c r="O371" s="421" t="s">
        <v>3094</v>
      </c>
      <c r="P371" s="421" t="s">
        <v>3095</v>
      </c>
      <c r="Q371" s="421" t="s">
        <v>3096</v>
      </c>
      <c r="R371" s="421" t="s">
        <v>1108</v>
      </c>
      <c r="S371" s="421" t="s">
        <v>1542</v>
      </c>
      <c r="T371" s="421" t="s">
        <v>1130</v>
      </c>
      <c r="U371" s="421" t="s">
        <v>1112</v>
      </c>
      <c r="V371" s="421" t="s">
        <v>3097</v>
      </c>
      <c r="W371" s="421" t="s">
        <v>3098</v>
      </c>
      <c r="X371" s="421" t="s">
        <v>3099</v>
      </c>
      <c r="Y371" s="421" t="s">
        <v>1117</v>
      </c>
      <c r="Z371" s="421" t="s">
        <v>1118</v>
      </c>
      <c r="AA371" s="421" t="s">
        <v>3100</v>
      </c>
      <c r="AB371" s="421" t="s">
        <v>3101</v>
      </c>
      <c r="AC371" s="421" t="s">
        <v>3102</v>
      </c>
      <c r="AD371" s="421" t="s">
        <v>3291</v>
      </c>
      <c r="AE371" s="421" t="s">
        <v>3292</v>
      </c>
      <c r="AF371" s="421" t="s">
        <v>2236</v>
      </c>
      <c r="AG371" s="421" t="s">
        <v>2237</v>
      </c>
      <c r="AH371" s="421" t="s">
        <v>3105</v>
      </c>
      <c r="AI371" s="421">
        <v>4934500</v>
      </c>
      <c r="AJ371" s="421">
        <v>11261.6</v>
      </c>
      <c r="AK371" s="421">
        <v>12206.21</v>
      </c>
      <c r="AL371" s="421">
        <v>1</v>
      </c>
      <c r="AM371" s="421" t="s">
        <v>965</v>
      </c>
      <c r="AN371" s="421" t="s">
        <v>3293</v>
      </c>
      <c r="AO371" s="421" t="s">
        <v>1121</v>
      </c>
      <c r="AP371" s="421" t="s">
        <v>1121</v>
      </c>
      <c r="AQ371" s="421" t="s">
        <v>1542</v>
      </c>
      <c r="AR371" s="421" t="s">
        <v>3697</v>
      </c>
      <c r="AS371" s="421" t="s">
        <v>3715</v>
      </c>
      <c r="AT371" s="421" t="s">
        <v>3109</v>
      </c>
      <c r="AU371" s="421" t="s">
        <v>1142</v>
      </c>
      <c r="AV371" s="421" t="s">
        <v>2520</v>
      </c>
      <c r="AW371" s="421" t="s">
        <v>3110</v>
      </c>
      <c r="AX371" s="421" t="s">
        <v>3111</v>
      </c>
      <c r="AY371" s="421" t="s">
        <v>3112</v>
      </c>
      <c r="AZ371" s="421" t="s">
        <v>3113</v>
      </c>
      <c r="BA371" s="421" t="s">
        <v>3114</v>
      </c>
      <c r="BB371" s="421" t="s">
        <v>3115</v>
      </c>
      <c r="BC371" s="421">
        <v>137773</v>
      </c>
      <c r="BD371" s="421">
        <v>370718210.67000002</v>
      </c>
      <c r="BE371" s="421">
        <v>0</v>
      </c>
      <c r="BF371" s="421">
        <v>2094.6799999999998</v>
      </c>
      <c r="BG371" s="421">
        <v>349.67</v>
      </c>
      <c r="BH371" s="421">
        <v>0</v>
      </c>
      <c r="BI371" s="421" t="s">
        <v>1331</v>
      </c>
    </row>
    <row r="372" spans="1:61" x14ac:dyDescent="0.25">
      <c r="A372" s="421">
        <v>369</v>
      </c>
      <c r="B372" s="421">
        <v>2015</v>
      </c>
      <c r="C372" s="421">
        <v>7</v>
      </c>
      <c r="D372" s="421">
        <v>9</v>
      </c>
      <c r="E372" s="421" t="s">
        <v>1475</v>
      </c>
      <c r="F372" s="421" t="s">
        <v>3695</v>
      </c>
      <c r="G372" s="421" t="s">
        <v>3132</v>
      </c>
      <c r="H372" s="421" t="s">
        <v>1107</v>
      </c>
      <c r="I372" s="421" t="s">
        <v>3711</v>
      </c>
      <c r="J372" s="421" t="s">
        <v>3714</v>
      </c>
      <c r="K372" s="421" t="s">
        <v>3093</v>
      </c>
      <c r="L372" s="421" t="s">
        <v>3094</v>
      </c>
      <c r="M372" s="421" t="s">
        <v>2667</v>
      </c>
      <c r="N372" s="421" t="s">
        <v>3093</v>
      </c>
      <c r="O372" s="421" t="s">
        <v>3094</v>
      </c>
      <c r="P372" s="421" t="s">
        <v>3095</v>
      </c>
      <c r="Q372" s="421" t="s">
        <v>3096</v>
      </c>
      <c r="R372" s="421" t="s">
        <v>1108</v>
      </c>
      <c r="S372" s="421" t="s">
        <v>1542</v>
      </c>
      <c r="T372" s="421" t="s">
        <v>1130</v>
      </c>
      <c r="U372" s="421" t="s">
        <v>1112</v>
      </c>
      <c r="V372" s="421" t="s">
        <v>3097</v>
      </c>
      <c r="W372" s="421" t="s">
        <v>3098</v>
      </c>
      <c r="X372" s="421" t="s">
        <v>3099</v>
      </c>
      <c r="Y372" s="421" t="s">
        <v>1117</v>
      </c>
      <c r="Z372" s="421" t="s">
        <v>1118</v>
      </c>
      <c r="AA372" s="421" t="s">
        <v>3100</v>
      </c>
      <c r="AB372" s="421" t="s">
        <v>3101</v>
      </c>
      <c r="AC372" s="421" t="s">
        <v>3102</v>
      </c>
      <c r="AD372" s="421" t="s">
        <v>3291</v>
      </c>
      <c r="AE372" s="421" t="s">
        <v>3292</v>
      </c>
      <c r="AF372" s="421" t="s">
        <v>2236</v>
      </c>
      <c r="AG372" s="421" t="s">
        <v>2237</v>
      </c>
      <c r="AH372" s="421" t="s">
        <v>3105</v>
      </c>
      <c r="AI372" s="421">
        <v>601000</v>
      </c>
      <c r="AJ372" s="421">
        <v>1748.04</v>
      </c>
      <c r="AK372" s="421">
        <v>1894.66</v>
      </c>
      <c r="AL372" s="421">
        <v>2</v>
      </c>
      <c r="AM372" s="421" t="s">
        <v>965</v>
      </c>
      <c r="AN372" s="421" t="s">
        <v>3293</v>
      </c>
      <c r="AO372" s="421" t="s">
        <v>1121</v>
      </c>
      <c r="AP372" s="421" t="s">
        <v>1121</v>
      </c>
      <c r="AQ372" s="421" t="s">
        <v>1542</v>
      </c>
      <c r="AR372" s="421" t="s">
        <v>3697</v>
      </c>
      <c r="AS372" s="421" t="s">
        <v>3715</v>
      </c>
      <c r="AT372" s="421" t="s">
        <v>3109</v>
      </c>
      <c r="AU372" s="421" t="s">
        <v>1142</v>
      </c>
      <c r="AV372" s="421" t="s">
        <v>2520</v>
      </c>
      <c r="AW372" s="421" t="s">
        <v>3110</v>
      </c>
      <c r="AX372" s="421" t="s">
        <v>3111</v>
      </c>
      <c r="AY372" s="421" t="s">
        <v>3112</v>
      </c>
      <c r="AZ372" s="421" t="s">
        <v>3113</v>
      </c>
      <c r="BA372" s="421" t="s">
        <v>3114</v>
      </c>
      <c r="BB372" s="421" t="s">
        <v>3115</v>
      </c>
      <c r="BC372" s="421">
        <v>22212.5</v>
      </c>
      <c r="BD372" s="421">
        <v>59769172.880000003</v>
      </c>
      <c r="BE372" s="421">
        <v>0</v>
      </c>
      <c r="BF372" s="421">
        <v>337.72</v>
      </c>
      <c r="BG372" s="421">
        <v>56.38</v>
      </c>
      <c r="BH372" s="421">
        <v>0</v>
      </c>
      <c r="BI372" s="421" t="s">
        <v>1331</v>
      </c>
    </row>
    <row r="373" spans="1:61" x14ac:dyDescent="0.25">
      <c r="A373" s="421">
        <v>370</v>
      </c>
      <c r="B373" s="421">
        <v>2015</v>
      </c>
      <c r="C373" s="421">
        <v>7</v>
      </c>
      <c r="D373" s="421">
        <v>9</v>
      </c>
      <c r="E373" s="421" t="s">
        <v>1475</v>
      </c>
      <c r="F373" s="421" t="s">
        <v>3695</v>
      </c>
      <c r="G373" s="421" t="s">
        <v>3132</v>
      </c>
      <c r="H373" s="421" t="s">
        <v>1107</v>
      </c>
      <c r="I373" s="421" t="s">
        <v>3711</v>
      </c>
      <c r="J373" s="421" t="s">
        <v>3714</v>
      </c>
      <c r="K373" s="421" t="s">
        <v>3093</v>
      </c>
      <c r="L373" s="421" t="s">
        <v>3094</v>
      </c>
      <c r="M373" s="421" t="s">
        <v>2667</v>
      </c>
      <c r="N373" s="421" t="s">
        <v>3093</v>
      </c>
      <c r="O373" s="421" t="s">
        <v>3094</v>
      </c>
      <c r="P373" s="421" t="s">
        <v>3095</v>
      </c>
      <c r="Q373" s="421" t="s">
        <v>3096</v>
      </c>
      <c r="R373" s="421" t="s">
        <v>1108</v>
      </c>
      <c r="S373" s="421" t="s">
        <v>1542</v>
      </c>
      <c r="T373" s="421" t="s">
        <v>1130</v>
      </c>
      <c r="U373" s="421" t="s">
        <v>1112</v>
      </c>
      <c r="V373" s="421" t="s">
        <v>3097</v>
      </c>
      <c r="W373" s="421" t="s">
        <v>3098</v>
      </c>
      <c r="X373" s="421" t="s">
        <v>3099</v>
      </c>
      <c r="Y373" s="421" t="s">
        <v>1117</v>
      </c>
      <c r="Z373" s="421" t="s">
        <v>1118</v>
      </c>
      <c r="AA373" s="421" t="s">
        <v>3100</v>
      </c>
      <c r="AB373" s="421" t="s">
        <v>3101</v>
      </c>
      <c r="AC373" s="421" t="s">
        <v>3102</v>
      </c>
      <c r="AD373" s="421" t="s">
        <v>3291</v>
      </c>
      <c r="AE373" s="421" t="s">
        <v>3292</v>
      </c>
      <c r="AF373" s="421" t="s">
        <v>2236</v>
      </c>
      <c r="AG373" s="421" t="s">
        <v>2237</v>
      </c>
      <c r="AH373" s="421" t="s">
        <v>3105</v>
      </c>
      <c r="AI373" s="421">
        <v>500</v>
      </c>
      <c r="AJ373" s="421">
        <v>18.07</v>
      </c>
      <c r="AK373" s="421">
        <v>19.59</v>
      </c>
      <c r="AL373" s="421">
        <v>3</v>
      </c>
      <c r="AM373" s="421" t="s">
        <v>965</v>
      </c>
      <c r="AN373" s="421" t="s">
        <v>3293</v>
      </c>
      <c r="AO373" s="421" t="s">
        <v>1121</v>
      </c>
      <c r="AP373" s="421" t="s">
        <v>1121</v>
      </c>
      <c r="AQ373" s="421" t="s">
        <v>1542</v>
      </c>
      <c r="AR373" s="421" t="s">
        <v>3697</v>
      </c>
      <c r="AS373" s="421" t="s">
        <v>3715</v>
      </c>
      <c r="AT373" s="421" t="s">
        <v>3109</v>
      </c>
      <c r="AU373" s="421" t="s">
        <v>1142</v>
      </c>
      <c r="AV373" s="421" t="s">
        <v>2520</v>
      </c>
      <c r="AW373" s="421" t="s">
        <v>3110</v>
      </c>
      <c r="AX373" s="421" t="s">
        <v>3111</v>
      </c>
      <c r="AY373" s="421" t="s">
        <v>3112</v>
      </c>
      <c r="AZ373" s="421" t="s">
        <v>3113</v>
      </c>
      <c r="BA373" s="421" t="s">
        <v>3114</v>
      </c>
      <c r="BB373" s="421" t="s">
        <v>3115</v>
      </c>
      <c r="BC373" s="421">
        <v>500</v>
      </c>
      <c r="BD373" s="421">
        <v>1345395</v>
      </c>
      <c r="BE373" s="421">
        <v>0</v>
      </c>
      <c r="BF373" s="421">
        <v>7.6</v>
      </c>
      <c r="BG373" s="421">
        <v>1.27</v>
      </c>
      <c r="BH373" s="421">
        <v>0</v>
      </c>
      <c r="BI373" s="421" t="s">
        <v>1331</v>
      </c>
    </row>
    <row r="374" spans="1:61" x14ac:dyDescent="0.25">
      <c r="A374" s="421">
        <v>371</v>
      </c>
      <c r="B374" s="421">
        <v>2015</v>
      </c>
      <c r="C374" s="421">
        <v>7</v>
      </c>
      <c r="D374" s="421">
        <v>9</v>
      </c>
      <c r="E374" s="421" t="s">
        <v>1475</v>
      </c>
      <c r="F374" s="421" t="s">
        <v>3695</v>
      </c>
      <c r="G374" s="421" t="s">
        <v>3132</v>
      </c>
      <c r="H374" s="421" t="s">
        <v>1107</v>
      </c>
      <c r="I374" s="421" t="s">
        <v>3711</v>
      </c>
      <c r="J374" s="421" t="s">
        <v>3716</v>
      </c>
      <c r="K374" s="421" t="s">
        <v>3093</v>
      </c>
      <c r="L374" s="421" t="s">
        <v>3094</v>
      </c>
      <c r="M374" s="421" t="s">
        <v>2667</v>
      </c>
      <c r="N374" s="421" t="s">
        <v>3093</v>
      </c>
      <c r="O374" s="421" t="s">
        <v>3094</v>
      </c>
      <c r="P374" s="421" t="s">
        <v>3095</v>
      </c>
      <c r="Q374" s="421" t="s">
        <v>3096</v>
      </c>
      <c r="R374" s="421" t="s">
        <v>1108</v>
      </c>
      <c r="S374" s="421" t="s">
        <v>1476</v>
      </c>
      <c r="T374" s="421" t="s">
        <v>1130</v>
      </c>
      <c r="U374" s="421" t="s">
        <v>3144</v>
      </c>
      <c r="V374" s="421" t="s">
        <v>3145</v>
      </c>
      <c r="W374" s="421" t="s">
        <v>3098</v>
      </c>
      <c r="X374" s="421" t="s">
        <v>3099</v>
      </c>
      <c r="Y374" s="421" t="s">
        <v>1117</v>
      </c>
      <c r="Z374" s="421" t="s">
        <v>1118</v>
      </c>
      <c r="AA374" s="421" t="s">
        <v>3100</v>
      </c>
      <c r="AB374" s="421" t="s">
        <v>3146</v>
      </c>
      <c r="AC374" s="421" t="s">
        <v>3102</v>
      </c>
      <c r="AD374" s="421" t="s">
        <v>3717</v>
      </c>
      <c r="AE374" s="421" t="s">
        <v>3718</v>
      </c>
      <c r="AF374" s="421" t="s">
        <v>2236</v>
      </c>
      <c r="AG374" s="421" t="s">
        <v>2237</v>
      </c>
      <c r="AH374" s="421" t="s">
        <v>3105</v>
      </c>
      <c r="AI374" s="421">
        <v>8300</v>
      </c>
      <c r="AJ374" s="421">
        <v>294.39</v>
      </c>
      <c r="AK374" s="421">
        <v>307</v>
      </c>
      <c r="AL374" s="421">
        <v>1</v>
      </c>
      <c r="AM374" s="421" t="s">
        <v>3154</v>
      </c>
      <c r="AN374" s="421" t="s">
        <v>3719</v>
      </c>
      <c r="AO374" s="421" t="s">
        <v>1121</v>
      </c>
      <c r="AP374" s="421" t="s">
        <v>1121</v>
      </c>
      <c r="AQ374" s="421" t="s">
        <v>1476</v>
      </c>
      <c r="AR374" s="421" t="s">
        <v>3697</v>
      </c>
      <c r="AS374" s="421" t="s">
        <v>3720</v>
      </c>
      <c r="AT374" s="421" t="s">
        <v>3109</v>
      </c>
      <c r="AU374" s="421" t="s">
        <v>1341</v>
      </c>
      <c r="AV374" s="421" t="s">
        <v>3721</v>
      </c>
      <c r="AW374" s="421" t="s">
        <v>3110</v>
      </c>
      <c r="AX374" s="421" t="s">
        <v>3111</v>
      </c>
      <c r="AY374" s="421" t="s">
        <v>3112</v>
      </c>
      <c r="AZ374" s="421" t="s">
        <v>3113</v>
      </c>
      <c r="BA374" s="421" t="s">
        <v>3114</v>
      </c>
      <c r="BB374" s="421" t="s">
        <v>3115</v>
      </c>
      <c r="BC374" s="421">
        <v>6508</v>
      </c>
      <c r="BD374" s="421">
        <v>17511661.32</v>
      </c>
      <c r="BE374" s="421">
        <v>0</v>
      </c>
      <c r="BF374" s="421">
        <v>1139.17</v>
      </c>
      <c r="BG374" s="421">
        <v>0</v>
      </c>
      <c r="BH374" s="421">
        <v>0</v>
      </c>
      <c r="BI374" s="421" t="s">
        <v>1167</v>
      </c>
    </row>
    <row r="375" spans="1:61" x14ac:dyDescent="0.25">
      <c r="A375" s="421">
        <v>372</v>
      </c>
      <c r="B375" s="421">
        <v>2015</v>
      </c>
      <c r="C375" s="421">
        <v>7</v>
      </c>
      <c r="D375" s="421">
        <v>9</v>
      </c>
      <c r="E375" s="421" t="s">
        <v>1475</v>
      </c>
      <c r="F375" s="421" t="s">
        <v>3695</v>
      </c>
      <c r="G375" s="421" t="s">
        <v>3132</v>
      </c>
      <c r="H375" s="421" t="s">
        <v>1107</v>
      </c>
      <c r="I375" s="421" t="s">
        <v>3711</v>
      </c>
      <c r="J375" s="421" t="s">
        <v>3722</v>
      </c>
      <c r="K375" s="421" t="s">
        <v>3093</v>
      </c>
      <c r="L375" s="421" t="s">
        <v>3094</v>
      </c>
      <c r="M375" s="421" t="s">
        <v>2667</v>
      </c>
      <c r="N375" s="421" t="s">
        <v>3093</v>
      </c>
      <c r="O375" s="421" t="s">
        <v>3094</v>
      </c>
      <c r="P375" s="421" t="s">
        <v>3095</v>
      </c>
      <c r="Q375" s="421" t="s">
        <v>3096</v>
      </c>
      <c r="R375" s="421" t="s">
        <v>1108</v>
      </c>
      <c r="S375" s="421" t="s">
        <v>1476</v>
      </c>
      <c r="T375" s="421" t="s">
        <v>1130</v>
      </c>
      <c r="U375" s="421" t="s">
        <v>3144</v>
      </c>
      <c r="V375" s="421" t="s">
        <v>3145</v>
      </c>
      <c r="W375" s="421" t="s">
        <v>3098</v>
      </c>
      <c r="X375" s="421" t="s">
        <v>3099</v>
      </c>
      <c r="Y375" s="421" t="s">
        <v>1117</v>
      </c>
      <c r="Z375" s="421" t="s">
        <v>1118</v>
      </c>
      <c r="AA375" s="421" t="s">
        <v>3100</v>
      </c>
      <c r="AB375" s="421" t="s">
        <v>3146</v>
      </c>
      <c r="AC375" s="421" t="s">
        <v>3102</v>
      </c>
      <c r="AD375" s="421" t="s">
        <v>3269</v>
      </c>
      <c r="AE375" s="421" t="s">
        <v>3333</v>
      </c>
      <c r="AF375" s="421" t="s">
        <v>2236</v>
      </c>
      <c r="AG375" s="421" t="s">
        <v>2237</v>
      </c>
      <c r="AH375" s="421" t="s">
        <v>3105</v>
      </c>
      <c r="AI375" s="421">
        <v>129000</v>
      </c>
      <c r="AJ375" s="421">
        <v>376.69</v>
      </c>
      <c r="AK375" s="421">
        <v>400</v>
      </c>
      <c r="AL375" s="421">
        <v>1</v>
      </c>
      <c r="AM375" s="421" t="s">
        <v>966</v>
      </c>
      <c r="AN375" s="421" t="s">
        <v>3271</v>
      </c>
      <c r="AO375" s="421" t="s">
        <v>1121</v>
      </c>
      <c r="AP375" s="421" t="s">
        <v>1121</v>
      </c>
      <c r="AQ375" s="421" t="s">
        <v>1476</v>
      </c>
      <c r="AR375" s="421" t="s">
        <v>3697</v>
      </c>
      <c r="AS375" s="421" t="s">
        <v>3723</v>
      </c>
      <c r="AT375" s="421" t="s">
        <v>3109</v>
      </c>
      <c r="AU375" s="421" t="s">
        <v>1341</v>
      </c>
      <c r="AV375" s="421" t="s">
        <v>962</v>
      </c>
      <c r="AW375" s="421" t="s">
        <v>3110</v>
      </c>
      <c r="AX375" s="421" t="s">
        <v>3111</v>
      </c>
      <c r="AY375" s="421" t="s">
        <v>3112</v>
      </c>
      <c r="AZ375" s="421" t="s">
        <v>3113</v>
      </c>
      <c r="BA375" s="421" t="s">
        <v>3114</v>
      </c>
      <c r="BB375" s="421" t="s">
        <v>3115</v>
      </c>
      <c r="BC375" s="421">
        <v>6897</v>
      </c>
      <c r="BD375" s="421">
        <v>18558378.629999999</v>
      </c>
      <c r="BE375" s="421">
        <v>0</v>
      </c>
      <c r="BF375" s="421">
        <v>1138.82</v>
      </c>
      <c r="BG375" s="421">
        <v>20.09</v>
      </c>
      <c r="BH375" s="421">
        <v>0</v>
      </c>
      <c r="BI375" s="421" t="s">
        <v>1167</v>
      </c>
    </row>
    <row r="376" spans="1:61" x14ac:dyDescent="0.25">
      <c r="A376" s="421">
        <v>373</v>
      </c>
      <c r="B376" s="421">
        <v>2015</v>
      </c>
      <c r="C376" s="421">
        <v>7</v>
      </c>
      <c r="D376" s="421">
        <v>13</v>
      </c>
      <c r="E376" s="421" t="s">
        <v>1475</v>
      </c>
      <c r="F376" s="421" t="s">
        <v>3695</v>
      </c>
      <c r="G376" s="421" t="s">
        <v>3142</v>
      </c>
      <c r="H376" s="421" t="s">
        <v>1107</v>
      </c>
      <c r="I376" s="421" t="s">
        <v>2145</v>
      </c>
      <c r="J376" s="421" t="s">
        <v>3724</v>
      </c>
      <c r="K376" s="421" t="s">
        <v>3093</v>
      </c>
      <c r="L376" s="421" t="s">
        <v>3094</v>
      </c>
      <c r="M376" s="421" t="s">
        <v>2667</v>
      </c>
      <c r="N376" s="421" t="s">
        <v>3093</v>
      </c>
      <c r="O376" s="421" t="s">
        <v>3094</v>
      </c>
      <c r="P376" s="421" t="s">
        <v>3095</v>
      </c>
      <c r="Q376" s="421" t="s">
        <v>3113</v>
      </c>
      <c r="R376" s="421" t="s">
        <v>1108</v>
      </c>
      <c r="S376" s="421" t="s">
        <v>1108</v>
      </c>
      <c r="T376" s="421" t="s">
        <v>1130</v>
      </c>
      <c r="U376" s="421" t="s">
        <v>1112</v>
      </c>
      <c r="V376" s="421" t="s">
        <v>3097</v>
      </c>
      <c r="W376" s="421" t="s">
        <v>3098</v>
      </c>
      <c r="X376" s="421" t="s">
        <v>3099</v>
      </c>
      <c r="Y376" s="421" t="s">
        <v>1117</v>
      </c>
      <c r="Z376" s="421" t="s">
        <v>1118</v>
      </c>
      <c r="AA376" s="421" t="s">
        <v>3100</v>
      </c>
      <c r="AB376" s="421" t="s">
        <v>3101</v>
      </c>
      <c r="AC376" s="421" t="s">
        <v>3102</v>
      </c>
      <c r="AD376" s="421" t="s">
        <v>3269</v>
      </c>
      <c r="AE376" s="421" t="s">
        <v>3378</v>
      </c>
      <c r="AF376" s="421" t="s">
        <v>2236</v>
      </c>
      <c r="AG376" s="421" t="s">
        <v>2237</v>
      </c>
      <c r="AH376" s="421" t="s">
        <v>3105</v>
      </c>
      <c r="AI376" s="421">
        <v>474000</v>
      </c>
      <c r="AJ376" s="421">
        <v>833.86</v>
      </c>
      <c r="AK376" s="421">
        <v>904.37</v>
      </c>
      <c r="AL376" s="421">
        <v>2</v>
      </c>
      <c r="AM376" s="421" t="s">
        <v>966</v>
      </c>
      <c r="AN376" s="421" t="s">
        <v>3271</v>
      </c>
      <c r="AO376" s="421" t="s">
        <v>1121</v>
      </c>
      <c r="AP376" s="421" t="s">
        <v>1121</v>
      </c>
      <c r="AQ376" s="421" t="s">
        <v>1108</v>
      </c>
      <c r="AR376" s="421" t="s">
        <v>3697</v>
      </c>
      <c r="AS376" s="421" t="s">
        <v>3725</v>
      </c>
      <c r="AT376" s="421" t="s">
        <v>3109</v>
      </c>
      <c r="AU376" s="421" t="s">
        <v>1142</v>
      </c>
      <c r="AV376" s="421" t="s">
        <v>3130</v>
      </c>
      <c r="AW376" s="421" t="s">
        <v>3110</v>
      </c>
      <c r="AX376" s="421" t="s">
        <v>3111</v>
      </c>
      <c r="AY376" s="421" t="s">
        <v>3112</v>
      </c>
      <c r="AZ376" s="421" t="s">
        <v>3113</v>
      </c>
      <c r="BA376" s="421" t="s">
        <v>3114</v>
      </c>
      <c r="BB376" s="421" t="s">
        <v>3115</v>
      </c>
      <c r="BC376" s="421">
        <v>11487.8</v>
      </c>
      <c r="BD376" s="421">
        <v>30642213.09</v>
      </c>
      <c r="BE376" s="421">
        <v>0</v>
      </c>
      <c r="BF376" s="421">
        <v>222.22</v>
      </c>
      <c r="BG376" s="421">
        <v>29.28</v>
      </c>
      <c r="BH376" s="421">
        <v>18.03</v>
      </c>
      <c r="BI376" s="421" t="s">
        <v>1167</v>
      </c>
    </row>
    <row r="377" spans="1:61" x14ac:dyDescent="0.25">
      <c r="A377" s="421">
        <v>374</v>
      </c>
      <c r="B377" s="421">
        <v>2015</v>
      </c>
      <c r="C377" s="421">
        <v>7</v>
      </c>
      <c r="D377" s="421">
        <v>13</v>
      </c>
      <c r="E377" s="421" t="s">
        <v>1475</v>
      </c>
      <c r="F377" s="421" t="s">
        <v>3695</v>
      </c>
      <c r="G377" s="421" t="s">
        <v>3142</v>
      </c>
      <c r="H377" s="421" t="s">
        <v>1107</v>
      </c>
      <c r="I377" s="421" t="s">
        <v>2145</v>
      </c>
      <c r="J377" s="421" t="s">
        <v>3724</v>
      </c>
      <c r="K377" s="421" t="s">
        <v>3093</v>
      </c>
      <c r="L377" s="421" t="s">
        <v>3094</v>
      </c>
      <c r="M377" s="421" t="s">
        <v>2667</v>
      </c>
      <c r="N377" s="421" t="s">
        <v>3093</v>
      </c>
      <c r="O377" s="421" t="s">
        <v>3094</v>
      </c>
      <c r="P377" s="421" t="s">
        <v>3095</v>
      </c>
      <c r="Q377" s="421" t="s">
        <v>3113</v>
      </c>
      <c r="R377" s="421" t="s">
        <v>1108</v>
      </c>
      <c r="S377" s="421" t="s">
        <v>1108</v>
      </c>
      <c r="T377" s="421" t="s">
        <v>1130</v>
      </c>
      <c r="U377" s="421" t="s">
        <v>1112</v>
      </c>
      <c r="V377" s="421" t="s">
        <v>3097</v>
      </c>
      <c r="W377" s="421" t="s">
        <v>3098</v>
      </c>
      <c r="X377" s="421" t="s">
        <v>3099</v>
      </c>
      <c r="Y377" s="421" t="s">
        <v>1117</v>
      </c>
      <c r="Z377" s="421" t="s">
        <v>1118</v>
      </c>
      <c r="AA377" s="421" t="s">
        <v>3100</v>
      </c>
      <c r="AB377" s="421" t="s">
        <v>3101</v>
      </c>
      <c r="AC377" s="421" t="s">
        <v>3102</v>
      </c>
      <c r="AD377" s="421" t="s">
        <v>3269</v>
      </c>
      <c r="AE377" s="421" t="s">
        <v>3378</v>
      </c>
      <c r="AF377" s="421" t="s">
        <v>2236</v>
      </c>
      <c r="AG377" s="421" t="s">
        <v>2237</v>
      </c>
      <c r="AH377" s="421" t="s">
        <v>3105</v>
      </c>
      <c r="AI377" s="421">
        <v>65500</v>
      </c>
      <c r="AJ377" s="421">
        <v>266.58999999999997</v>
      </c>
      <c r="AK377" s="421">
        <v>289.13</v>
      </c>
      <c r="AL377" s="421">
        <v>3</v>
      </c>
      <c r="AM377" s="421" t="s">
        <v>966</v>
      </c>
      <c r="AN377" s="421" t="s">
        <v>3271</v>
      </c>
      <c r="AO377" s="421" t="s">
        <v>1121</v>
      </c>
      <c r="AP377" s="421" t="s">
        <v>1121</v>
      </c>
      <c r="AQ377" s="421" t="s">
        <v>1108</v>
      </c>
      <c r="AR377" s="421" t="s">
        <v>3697</v>
      </c>
      <c r="AS377" s="421" t="s">
        <v>3725</v>
      </c>
      <c r="AT377" s="421" t="s">
        <v>3109</v>
      </c>
      <c r="AU377" s="421" t="s">
        <v>1142</v>
      </c>
      <c r="AV377" s="421" t="s">
        <v>3130</v>
      </c>
      <c r="AW377" s="421" t="s">
        <v>3110</v>
      </c>
      <c r="AX377" s="421" t="s">
        <v>3111</v>
      </c>
      <c r="AY377" s="421" t="s">
        <v>3112</v>
      </c>
      <c r="AZ377" s="421" t="s">
        <v>3113</v>
      </c>
      <c r="BA377" s="421" t="s">
        <v>3114</v>
      </c>
      <c r="BB377" s="421" t="s">
        <v>3115</v>
      </c>
      <c r="BC377" s="421">
        <v>7392</v>
      </c>
      <c r="BD377" s="421">
        <v>19717199.039999999</v>
      </c>
      <c r="BE377" s="421">
        <v>0</v>
      </c>
      <c r="BF377" s="421">
        <v>142.99</v>
      </c>
      <c r="BG377" s="421">
        <v>18.84</v>
      </c>
      <c r="BH377" s="421">
        <v>11.6</v>
      </c>
      <c r="BI377" s="421" t="s">
        <v>1167</v>
      </c>
    </row>
    <row r="378" spans="1:61" x14ac:dyDescent="0.25">
      <c r="A378" s="421">
        <v>375</v>
      </c>
      <c r="B378" s="421">
        <v>2015</v>
      </c>
      <c r="C378" s="421">
        <v>7</v>
      </c>
      <c r="D378" s="421">
        <v>13</v>
      </c>
      <c r="E378" s="421" t="s">
        <v>1475</v>
      </c>
      <c r="F378" s="421" t="s">
        <v>3695</v>
      </c>
      <c r="G378" s="421" t="s">
        <v>3142</v>
      </c>
      <c r="H378" s="421" t="s">
        <v>1107</v>
      </c>
      <c r="I378" s="421" t="s">
        <v>2145</v>
      </c>
      <c r="J378" s="421" t="s">
        <v>3724</v>
      </c>
      <c r="K378" s="421" t="s">
        <v>3093</v>
      </c>
      <c r="L378" s="421" t="s">
        <v>3094</v>
      </c>
      <c r="M378" s="421" t="s">
        <v>2667</v>
      </c>
      <c r="N378" s="421" t="s">
        <v>3093</v>
      </c>
      <c r="O378" s="421" t="s">
        <v>3094</v>
      </c>
      <c r="P378" s="421" t="s">
        <v>3095</v>
      </c>
      <c r="Q378" s="421" t="s">
        <v>3113</v>
      </c>
      <c r="R378" s="421" t="s">
        <v>1108</v>
      </c>
      <c r="S378" s="421" t="s">
        <v>1108</v>
      </c>
      <c r="T378" s="421" t="s">
        <v>1130</v>
      </c>
      <c r="U378" s="421" t="s">
        <v>1112</v>
      </c>
      <c r="V378" s="421" t="s">
        <v>3097</v>
      </c>
      <c r="W378" s="421" t="s">
        <v>3098</v>
      </c>
      <c r="X378" s="421" t="s">
        <v>3099</v>
      </c>
      <c r="Y378" s="421" t="s">
        <v>1117</v>
      </c>
      <c r="Z378" s="421" t="s">
        <v>1118</v>
      </c>
      <c r="AA378" s="421" t="s">
        <v>3100</v>
      </c>
      <c r="AB378" s="421" t="s">
        <v>3101</v>
      </c>
      <c r="AC378" s="421" t="s">
        <v>3102</v>
      </c>
      <c r="AD378" s="421" t="s">
        <v>3269</v>
      </c>
      <c r="AE378" s="421" t="s">
        <v>3378</v>
      </c>
      <c r="AF378" s="421" t="s">
        <v>2236</v>
      </c>
      <c r="AG378" s="421" t="s">
        <v>2237</v>
      </c>
      <c r="AH378" s="421" t="s">
        <v>3105</v>
      </c>
      <c r="AI378" s="421">
        <v>25500</v>
      </c>
      <c r="AJ378" s="421">
        <v>148.62</v>
      </c>
      <c r="AK378" s="421">
        <v>161.19</v>
      </c>
      <c r="AL378" s="421">
        <v>4</v>
      </c>
      <c r="AM378" s="421" t="s">
        <v>966</v>
      </c>
      <c r="AN378" s="421" t="s">
        <v>3271</v>
      </c>
      <c r="AO378" s="421" t="s">
        <v>1121</v>
      </c>
      <c r="AP378" s="421" t="s">
        <v>1121</v>
      </c>
      <c r="AQ378" s="421" t="s">
        <v>1108</v>
      </c>
      <c r="AR378" s="421" t="s">
        <v>3697</v>
      </c>
      <c r="AS378" s="421" t="s">
        <v>3725</v>
      </c>
      <c r="AT378" s="421" t="s">
        <v>3109</v>
      </c>
      <c r="AU378" s="421" t="s">
        <v>1142</v>
      </c>
      <c r="AV378" s="421" t="s">
        <v>3130</v>
      </c>
      <c r="AW378" s="421" t="s">
        <v>3110</v>
      </c>
      <c r="AX378" s="421" t="s">
        <v>3111</v>
      </c>
      <c r="AY378" s="421" t="s">
        <v>3112</v>
      </c>
      <c r="AZ378" s="421" t="s">
        <v>3113</v>
      </c>
      <c r="BA378" s="421" t="s">
        <v>3114</v>
      </c>
      <c r="BB378" s="421" t="s">
        <v>3115</v>
      </c>
      <c r="BC378" s="421">
        <v>4158</v>
      </c>
      <c r="BD378" s="421">
        <v>11090924.460000001</v>
      </c>
      <c r="BE378" s="421">
        <v>0</v>
      </c>
      <c r="BF378" s="421">
        <v>80.430000000000007</v>
      </c>
      <c r="BG378" s="421">
        <v>10.6</v>
      </c>
      <c r="BH378" s="421">
        <v>6.53</v>
      </c>
      <c r="BI378" s="421" t="s">
        <v>1167</v>
      </c>
    </row>
    <row r="379" spans="1:61" x14ac:dyDescent="0.25">
      <c r="A379" s="421">
        <v>376</v>
      </c>
      <c r="B379" s="421">
        <v>2015</v>
      </c>
      <c r="C379" s="421">
        <v>7</v>
      </c>
      <c r="D379" s="421">
        <v>13</v>
      </c>
      <c r="E379" s="421" t="s">
        <v>1475</v>
      </c>
      <c r="F379" s="421" t="s">
        <v>3695</v>
      </c>
      <c r="G379" s="421" t="s">
        <v>3142</v>
      </c>
      <c r="H379" s="421" t="s">
        <v>1107</v>
      </c>
      <c r="I379" s="421" t="s">
        <v>2145</v>
      </c>
      <c r="J379" s="421" t="s">
        <v>3726</v>
      </c>
      <c r="K379" s="421" t="s">
        <v>3093</v>
      </c>
      <c r="L379" s="421" t="s">
        <v>3094</v>
      </c>
      <c r="M379" s="421" t="s">
        <v>2667</v>
      </c>
      <c r="N379" s="421" t="s">
        <v>3093</v>
      </c>
      <c r="O379" s="421" t="s">
        <v>3094</v>
      </c>
      <c r="P379" s="421" t="s">
        <v>3095</v>
      </c>
      <c r="Q379" s="421" t="s">
        <v>3096</v>
      </c>
      <c r="R379" s="421" t="s">
        <v>1108</v>
      </c>
      <c r="S379" s="421" t="s">
        <v>1542</v>
      </c>
      <c r="T379" s="421" t="s">
        <v>1130</v>
      </c>
      <c r="U379" s="421" t="s">
        <v>1112</v>
      </c>
      <c r="V379" s="421" t="s">
        <v>3097</v>
      </c>
      <c r="W379" s="421" t="s">
        <v>3098</v>
      </c>
      <c r="X379" s="421" t="s">
        <v>3099</v>
      </c>
      <c r="Y379" s="421" t="s">
        <v>1117</v>
      </c>
      <c r="Z379" s="421" t="s">
        <v>1118</v>
      </c>
      <c r="AA379" s="421" t="s">
        <v>3100</v>
      </c>
      <c r="AB379" s="421" t="s">
        <v>3101</v>
      </c>
      <c r="AC379" s="421" t="s">
        <v>3102</v>
      </c>
      <c r="AD379" s="421" t="s">
        <v>3496</v>
      </c>
      <c r="AE379" s="421" t="s">
        <v>3497</v>
      </c>
      <c r="AF379" s="421" t="s">
        <v>2236</v>
      </c>
      <c r="AG379" s="421" t="s">
        <v>2237</v>
      </c>
      <c r="AH379" s="421" t="s">
        <v>3105</v>
      </c>
      <c r="AI379" s="421">
        <v>100000</v>
      </c>
      <c r="AJ379" s="421">
        <v>213.8</v>
      </c>
      <c r="AK379" s="421">
        <v>232.05</v>
      </c>
      <c r="AL379" s="421">
        <v>1</v>
      </c>
      <c r="AM379" s="421" t="s">
        <v>3498</v>
      </c>
      <c r="AN379" s="421" t="s">
        <v>3499</v>
      </c>
      <c r="AO379" s="421" t="s">
        <v>1121</v>
      </c>
      <c r="AP379" s="421" t="s">
        <v>1121</v>
      </c>
      <c r="AQ379" s="421" t="s">
        <v>1542</v>
      </c>
      <c r="AR379" s="421" t="s">
        <v>3697</v>
      </c>
      <c r="AS379" s="421" t="s">
        <v>3727</v>
      </c>
      <c r="AT379" s="421" t="s">
        <v>3109</v>
      </c>
      <c r="AU379" s="421" t="s">
        <v>1142</v>
      </c>
      <c r="AV379" s="421" t="s">
        <v>2135</v>
      </c>
      <c r="AW379" s="421" t="s">
        <v>3110</v>
      </c>
      <c r="AX379" s="421" t="s">
        <v>3111</v>
      </c>
      <c r="AY379" s="421" t="s">
        <v>3112</v>
      </c>
      <c r="AZ379" s="421" t="s">
        <v>3113</v>
      </c>
      <c r="BA379" s="421" t="s">
        <v>3114</v>
      </c>
      <c r="BB379" s="421" t="s">
        <v>3115</v>
      </c>
      <c r="BC379" s="421">
        <v>3150</v>
      </c>
      <c r="BD379" s="421">
        <v>8402215.5</v>
      </c>
      <c r="BE379" s="421">
        <v>0</v>
      </c>
      <c r="BF379" s="421">
        <v>137.55000000000001</v>
      </c>
      <c r="BG379" s="421">
        <v>0</v>
      </c>
      <c r="BH379" s="421">
        <v>0</v>
      </c>
      <c r="BI379" s="421" t="s">
        <v>1167</v>
      </c>
    </row>
    <row r="380" spans="1:61" x14ac:dyDescent="0.25">
      <c r="A380" s="421">
        <v>377</v>
      </c>
      <c r="B380" s="421">
        <v>2015</v>
      </c>
      <c r="C380" s="421">
        <v>7</v>
      </c>
      <c r="D380" s="421">
        <v>13</v>
      </c>
      <c r="E380" s="421" t="s">
        <v>1475</v>
      </c>
      <c r="F380" s="421" t="s">
        <v>3695</v>
      </c>
      <c r="G380" s="421" t="s">
        <v>3142</v>
      </c>
      <c r="H380" s="421" t="s">
        <v>1107</v>
      </c>
      <c r="I380" s="421" t="s">
        <v>2145</v>
      </c>
      <c r="J380" s="421" t="s">
        <v>3726</v>
      </c>
      <c r="K380" s="421" t="s">
        <v>3093</v>
      </c>
      <c r="L380" s="421" t="s">
        <v>3094</v>
      </c>
      <c r="M380" s="421" t="s">
        <v>2667</v>
      </c>
      <c r="N380" s="421" t="s">
        <v>3093</v>
      </c>
      <c r="O380" s="421" t="s">
        <v>3094</v>
      </c>
      <c r="P380" s="421" t="s">
        <v>3095</v>
      </c>
      <c r="Q380" s="421" t="s">
        <v>3096</v>
      </c>
      <c r="R380" s="421" t="s">
        <v>1108</v>
      </c>
      <c r="S380" s="421" t="s">
        <v>1542</v>
      </c>
      <c r="T380" s="421" t="s">
        <v>1130</v>
      </c>
      <c r="U380" s="421" t="s">
        <v>1112</v>
      </c>
      <c r="V380" s="421" t="s">
        <v>3097</v>
      </c>
      <c r="W380" s="421" t="s">
        <v>3098</v>
      </c>
      <c r="X380" s="421" t="s">
        <v>3099</v>
      </c>
      <c r="Y380" s="421" t="s">
        <v>1117</v>
      </c>
      <c r="Z380" s="421" t="s">
        <v>1118</v>
      </c>
      <c r="AA380" s="421" t="s">
        <v>3100</v>
      </c>
      <c r="AB380" s="421" t="s">
        <v>3101</v>
      </c>
      <c r="AC380" s="421" t="s">
        <v>3102</v>
      </c>
      <c r="AD380" s="421" t="s">
        <v>3496</v>
      </c>
      <c r="AE380" s="421" t="s">
        <v>3497</v>
      </c>
      <c r="AF380" s="421" t="s">
        <v>2236</v>
      </c>
      <c r="AG380" s="421" t="s">
        <v>2237</v>
      </c>
      <c r="AH380" s="421" t="s">
        <v>3105</v>
      </c>
      <c r="AI380" s="421">
        <v>600000</v>
      </c>
      <c r="AJ380" s="421">
        <v>2183.12</v>
      </c>
      <c r="AK380" s="421">
        <v>2369.4699999999998</v>
      </c>
      <c r="AL380" s="421">
        <v>2</v>
      </c>
      <c r="AM380" s="421" t="s">
        <v>3498</v>
      </c>
      <c r="AN380" s="421" t="s">
        <v>3499</v>
      </c>
      <c r="AO380" s="421" t="s">
        <v>1121</v>
      </c>
      <c r="AP380" s="421" t="s">
        <v>1121</v>
      </c>
      <c r="AQ380" s="421" t="s">
        <v>1542</v>
      </c>
      <c r="AR380" s="421" t="s">
        <v>3697</v>
      </c>
      <c r="AS380" s="421" t="s">
        <v>3727</v>
      </c>
      <c r="AT380" s="421" t="s">
        <v>3109</v>
      </c>
      <c r="AU380" s="421" t="s">
        <v>1142</v>
      </c>
      <c r="AV380" s="421" t="s">
        <v>2135</v>
      </c>
      <c r="AW380" s="421" t="s">
        <v>3110</v>
      </c>
      <c r="AX380" s="421" t="s">
        <v>3111</v>
      </c>
      <c r="AY380" s="421" t="s">
        <v>3112</v>
      </c>
      <c r="AZ380" s="421" t="s">
        <v>3113</v>
      </c>
      <c r="BA380" s="421" t="s">
        <v>3114</v>
      </c>
      <c r="BB380" s="421" t="s">
        <v>3115</v>
      </c>
      <c r="BC380" s="421">
        <v>31200</v>
      </c>
      <c r="BD380" s="421">
        <v>83221944</v>
      </c>
      <c r="BE380" s="421">
        <v>0</v>
      </c>
      <c r="BF380" s="421">
        <v>1362.45</v>
      </c>
      <c r="BG380" s="421">
        <v>0</v>
      </c>
      <c r="BH380" s="421">
        <v>0</v>
      </c>
      <c r="BI380" s="421" t="s">
        <v>1167</v>
      </c>
    </row>
    <row r="381" spans="1:61" x14ac:dyDescent="0.25">
      <c r="A381" s="421">
        <v>378</v>
      </c>
      <c r="B381" s="421">
        <v>2015</v>
      </c>
      <c r="C381" s="421">
        <v>7</v>
      </c>
      <c r="D381" s="421">
        <v>13</v>
      </c>
      <c r="E381" s="421" t="s">
        <v>1475</v>
      </c>
      <c r="F381" s="421" t="s">
        <v>3695</v>
      </c>
      <c r="G381" s="421" t="s">
        <v>3142</v>
      </c>
      <c r="H381" s="421" t="s">
        <v>1107</v>
      </c>
      <c r="I381" s="421" t="s">
        <v>2145</v>
      </c>
      <c r="J381" s="421" t="s">
        <v>3724</v>
      </c>
      <c r="K381" s="421" t="s">
        <v>3093</v>
      </c>
      <c r="L381" s="421" t="s">
        <v>3094</v>
      </c>
      <c r="M381" s="421" t="s">
        <v>2667</v>
      </c>
      <c r="N381" s="421" t="s">
        <v>3093</v>
      </c>
      <c r="O381" s="421" t="s">
        <v>3094</v>
      </c>
      <c r="P381" s="421" t="s">
        <v>3095</v>
      </c>
      <c r="Q381" s="421" t="s">
        <v>3113</v>
      </c>
      <c r="R381" s="421" t="s">
        <v>1108</v>
      </c>
      <c r="S381" s="421" t="s">
        <v>1108</v>
      </c>
      <c r="T381" s="421" t="s">
        <v>1130</v>
      </c>
      <c r="U381" s="421" t="s">
        <v>1112</v>
      </c>
      <c r="V381" s="421" t="s">
        <v>3097</v>
      </c>
      <c r="W381" s="421" t="s">
        <v>3098</v>
      </c>
      <c r="X381" s="421" t="s">
        <v>3099</v>
      </c>
      <c r="Y381" s="421" t="s">
        <v>1117</v>
      </c>
      <c r="Z381" s="421" t="s">
        <v>1118</v>
      </c>
      <c r="AA381" s="421" t="s">
        <v>3100</v>
      </c>
      <c r="AB381" s="421" t="s">
        <v>3101</v>
      </c>
      <c r="AC381" s="421" t="s">
        <v>3102</v>
      </c>
      <c r="AD381" s="421" t="s">
        <v>3269</v>
      </c>
      <c r="AE381" s="421" t="s">
        <v>3378</v>
      </c>
      <c r="AF381" s="421" t="s">
        <v>2236</v>
      </c>
      <c r="AG381" s="421" t="s">
        <v>2237</v>
      </c>
      <c r="AH381" s="421" t="s">
        <v>3105</v>
      </c>
      <c r="AI381" s="421">
        <v>797500</v>
      </c>
      <c r="AJ381" s="421">
        <v>2019.97</v>
      </c>
      <c r="AK381" s="421">
        <v>2190.7800000000002</v>
      </c>
      <c r="AL381" s="421">
        <v>1</v>
      </c>
      <c r="AM381" s="421" t="s">
        <v>966</v>
      </c>
      <c r="AN381" s="421" t="s">
        <v>3271</v>
      </c>
      <c r="AO381" s="421" t="s">
        <v>1121</v>
      </c>
      <c r="AP381" s="421" t="s">
        <v>1121</v>
      </c>
      <c r="AQ381" s="421" t="s">
        <v>1108</v>
      </c>
      <c r="AR381" s="421" t="s">
        <v>3697</v>
      </c>
      <c r="AS381" s="421" t="s">
        <v>3725</v>
      </c>
      <c r="AT381" s="421" t="s">
        <v>3109</v>
      </c>
      <c r="AU381" s="421" t="s">
        <v>1142</v>
      </c>
      <c r="AV381" s="421" t="s">
        <v>3130</v>
      </c>
      <c r="AW381" s="421" t="s">
        <v>3110</v>
      </c>
      <c r="AX381" s="421" t="s">
        <v>3111</v>
      </c>
      <c r="AY381" s="421" t="s">
        <v>3112</v>
      </c>
      <c r="AZ381" s="421" t="s">
        <v>3113</v>
      </c>
      <c r="BA381" s="421" t="s">
        <v>3114</v>
      </c>
      <c r="BB381" s="421" t="s">
        <v>3115</v>
      </c>
      <c r="BC381" s="421">
        <v>28657.1</v>
      </c>
      <c r="BD381" s="421">
        <v>76439088.829999998</v>
      </c>
      <c r="BE381" s="421">
        <v>0</v>
      </c>
      <c r="BF381" s="421">
        <v>554.35</v>
      </c>
      <c r="BG381" s="421">
        <v>73.03</v>
      </c>
      <c r="BH381" s="421">
        <v>44.99</v>
      </c>
      <c r="BI381" s="421" t="s">
        <v>1167</v>
      </c>
    </row>
    <row r="382" spans="1:61" x14ac:dyDescent="0.25">
      <c r="A382" s="421">
        <v>379</v>
      </c>
      <c r="B382" s="421">
        <v>2015</v>
      </c>
      <c r="C382" s="421">
        <v>7</v>
      </c>
      <c r="D382" s="421">
        <v>13</v>
      </c>
      <c r="E382" s="421" t="s">
        <v>1475</v>
      </c>
      <c r="F382" s="421" t="s">
        <v>3695</v>
      </c>
      <c r="G382" s="421" t="s">
        <v>3142</v>
      </c>
      <c r="H382" s="421" t="s">
        <v>1107</v>
      </c>
      <c r="I382" s="421" t="s">
        <v>2145</v>
      </c>
      <c r="J382" s="421" t="s">
        <v>3728</v>
      </c>
      <c r="K382" s="421" t="s">
        <v>3093</v>
      </c>
      <c r="L382" s="421" t="s">
        <v>3094</v>
      </c>
      <c r="M382" s="421" t="s">
        <v>2667</v>
      </c>
      <c r="N382" s="421" t="s">
        <v>3093</v>
      </c>
      <c r="O382" s="421" t="s">
        <v>3094</v>
      </c>
      <c r="P382" s="421" t="s">
        <v>3095</v>
      </c>
      <c r="Q382" s="421" t="s">
        <v>3113</v>
      </c>
      <c r="R382" s="421" t="s">
        <v>1108</v>
      </c>
      <c r="S382" s="421" t="s">
        <v>1108</v>
      </c>
      <c r="T382" s="421" t="s">
        <v>1130</v>
      </c>
      <c r="U382" s="421" t="s">
        <v>1112</v>
      </c>
      <c r="V382" s="421" t="s">
        <v>3097</v>
      </c>
      <c r="W382" s="421" t="s">
        <v>3098</v>
      </c>
      <c r="X382" s="421" t="s">
        <v>3099</v>
      </c>
      <c r="Y382" s="421" t="s">
        <v>1117</v>
      </c>
      <c r="Z382" s="421" t="s">
        <v>1118</v>
      </c>
      <c r="AA382" s="421" t="s">
        <v>3100</v>
      </c>
      <c r="AB382" s="421" t="s">
        <v>3101</v>
      </c>
      <c r="AC382" s="421" t="s">
        <v>3102</v>
      </c>
      <c r="AD382" s="421" t="s">
        <v>3125</v>
      </c>
      <c r="AE382" s="421" t="s">
        <v>3126</v>
      </c>
      <c r="AF382" s="421" t="s">
        <v>2236</v>
      </c>
      <c r="AG382" s="421" t="s">
        <v>2237</v>
      </c>
      <c r="AH382" s="421" t="s">
        <v>3105</v>
      </c>
      <c r="AI382" s="421">
        <v>196000</v>
      </c>
      <c r="AJ382" s="421">
        <v>747.84</v>
      </c>
      <c r="AK382" s="421">
        <v>869.15</v>
      </c>
      <c r="AL382" s="421">
        <v>3</v>
      </c>
      <c r="AM382" s="421" t="s">
        <v>962</v>
      </c>
      <c r="AN382" s="421" t="s">
        <v>3127</v>
      </c>
      <c r="AO382" s="421" t="s">
        <v>1121</v>
      </c>
      <c r="AP382" s="421" t="s">
        <v>1121</v>
      </c>
      <c r="AQ382" s="421" t="s">
        <v>1108</v>
      </c>
      <c r="AR382" s="421" t="s">
        <v>3697</v>
      </c>
      <c r="AS382" s="421" t="s">
        <v>3729</v>
      </c>
      <c r="AT382" s="421" t="s">
        <v>3109</v>
      </c>
      <c r="AU382" s="421" t="s">
        <v>1142</v>
      </c>
      <c r="AV382" s="421" t="s">
        <v>3130</v>
      </c>
      <c r="AW382" s="421" t="s">
        <v>3110</v>
      </c>
      <c r="AX382" s="421" t="s">
        <v>3111</v>
      </c>
      <c r="AY382" s="421" t="s">
        <v>3112</v>
      </c>
      <c r="AZ382" s="421" t="s">
        <v>3113</v>
      </c>
      <c r="BA382" s="421" t="s">
        <v>3114</v>
      </c>
      <c r="BB382" s="421" t="s">
        <v>3115</v>
      </c>
      <c r="BC382" s="421">
        <v>22358.400000000001</v>
      </c>
      <c r="BD382" s="421">
        <v>59638125.409999996</v>
      </c>
      <c r="BE382" s="421">
        <v>0</v>
      </c>
      <c r="BF382" s="421">
        <v>478.86</v>
      </c>
      <c r="BG382" s="421">
        <v>0</v>
      </c>
      <c r="BH382" s="421">
        <v>0</v>
      </c>
      <c r="BI382" s="421" t="s">
        <v>1149</v>
      </c>
    </row>
    <row r="383" spans="1:61" x14ac:dyDescent="0.25">
      <c r="A383" s="421">
        <v>380</v>
      </c>
      <c r="B383" s="421">
        <v>2015</v>
      </c>
      <c r="C383" s="421">
        <v>7</v>
      </c>
      <c r="D383" s="421">
        <v>13</v>
      </c>
      <c r="E383" s="421" t="s">
        <v>1475</v>
      </c>
      <c r="F383" s="421" t="s">
        <v>3695</v>
      </c>
      <c r="G383" s="421" t="s">
        <v>3142</v>
      </c>
      <c r="H383" s="421" t="s">
        <v>1107</v>
      </c>
      <c r="I383" s="421" t="s">
        <v>2145</v>
      </c>
      <c r="J383" s="421" t="s">
        <v>3728</v>
      </c>
      <c r="K383" s="421" t="s">
        <v>3093</v>
      </c>
      <c r="L383" s="421" t="s">
        <v>3094</v>
      </c>
      <c r="M383" s="421" t="s">
        <v>2667</v>
      </c>
      <c r="N383" s="421" t="s">
        <v>3093</v>
      </c>
      <c r="O383" s="421" t="s">
        <v>3094</v>
      </c>
      <c r="P383" s="421" t="s">
        <v>3095</v>
      </c>
      <c r="Q383" s="421" t="s">
        <v>3113</v>
      </c>
      <c r="R383" s="421" t="s">
        <v>1108</v>
      </c>
      <c r="S383" s="421" t="s">
        <v>1108</v>
      </c>
      <c r="T383" s="421" t="s">
        <v>1130</v>
      </c>
      <c r="U383" s="421" t="s">
        <v>1112</v>
      </c>
      <c r="V383" s="421" t="s">
        <v>3097</v>
      </c>
      <c r="W383" s="421" t="s">
        <v>3098</v>
      </c>
      <c r="X383" s="421" t="s">
        <v>3099</v>
      </c>
      <c r="Y383" s="421" t="s">
        <v>1117</v>
      </c>
      <c r="Z383" s="421" t="s">
        <v>1118</v>
      </c>
      <c r="AA383" s="421" t="s">
        <v>3100</v>
      </c>
      <c r="AB383" s="421" t="s">
        <v>3101</v>
      </c>
      <c r="AC383" s="421" t="s">
        <v>3102</v>
      </c>
      <c r="AD383" s="421" t="s">
        <v>3125</v>
      </c>
      <c r="AE383" s="421" t="s">
        <v>3126</v>
      </c>
      <c r="AF383" s="421" t="s">
        <v>2236</v>
      </c>
      <c r="AG383" s="421" t="s">
        <v>2237</v>
      </c>
      <c r="AH383" s="421" t="s">
        <v>3105</v>
      </c>
      <c r="AI383" s="421">
        <v>36000</v>
      </c>
      <c r="AJ383" s="421">
        <v>142.16999999999999</v>
      </c>
      <c r="AK383" s="421">
        <v>165.23</v>
      </c>
      <c r="AL383" s="421">
        <v>4</v>
      </c>
      <c r="AM383" s="421" t="s">
        <v>962</v>
      </c>
      <c r="AN383" s="421" t="s">
        <v>3127</v>
      </c>
      <c r="AO383" s="421" t="s">
        <v>1121</v>
      </c>
      <c r="AP383" s="421" t="s">
        <v>1121</v>
      </c>
      <c r="AQ383" s="421" t="s">
        <v>1108</v>
      </c>
      <c r="AR383" s="421" t="s">
        <v>3697</v>
      </c>
      <c r="AS383" s="421" t="s">
        <v>3729</v>
      </c>
      <c r="AT383" s="421" t="s">
        <v>3109</v>
      </c>
      <c r="AU383" s="421" t="s">
        <v>1142</v>
      </c>
      <c r="AV383" s="421" t="s">
        <v>3130</v>
      </c>
      <c r="AW383" s="421" t="s">
        <v>3110</v>
      </c>
      <c r="AX383" s="421" t="s">
        <v>3111</v>
      </c>
      <c r="AY383" s="421" t="s">
        <v>3112</v>
      </c>
      <c r="AZ383" s="421" t="s">
        <v>3113</v>
      </c>
      <c r="BA383" s="421" t="s">
        <v>3114</v>
      </c>
      <c r="BB383" s="421" t="s">
        <v>3115</v>
      </c>
      <c r="BC383" s="421">
        <v>4104</v>
      </c>
      <c r="BD383" s="421">
        <v>10946886.48</v>
      </c>
      <c r="BE383" s="421">
        <v>0</v>
      </c>
      <c r="BF383" s="421">
        <v>87.9</v>
      </c>
      <c r="BG383" s="421">
        <v>0</v>
      </c>
      <c r="BH383" s="421">
        <v>0</v>
      </c>
      <c r="BI383" s="421" t="s">
        <v>1149</v>
      </c>
    </row>
    <row r="384" spans="1:61" x14ac:dyDescent="0.25">
      <c r="A384" s="421">
        <v>381</v>
      </c>
      <c r="B384" s="421">
        <v>2015</v>
      </c>
      <c r="C384" s="421">
        <v>7</v>
      </c>
      <c r="D384" s="421">
        <v>13</v>
      </c>
      <c r="E384" s="421" t="s">
        <v>1475</v>
      </c>
      <c r="F384" s="421" t="s">
        <v>3695</v>
      </c>
      <c r="G384" s="421" t="s">
        <v>3142</v>
      </c>
      <c r="H384" s="421" t="s">
        <v>1107</v>
      </c>
      <c r="I384" s="421" t="s">
        <v>2145</v>
      </c>
      <c r="J384" s="421" t="s">
        <v>3728</v>
      </c>
      <c r="K384" s="421" t="s">
        <v>3093</v>
      </c>
      <c r="L384" s="421" t="s">
        <v>3094</v>
      </c>
      <c r="M384" s="421" t="s">
        <v>2667</v>
      </c>
      <c r="N384" s="421" t="s">
        <v>3093</v>
      </c>
      <c r="O384" s="421" t="s">
        <v>3094</v>
      </c>
      <c r="P384" s="421" t="s">
        <v>3095</v>
      </c>
      <c r="Q384" s="421" t="s">
        <v>3113</v>
      </c>
      <c r="R384" s="421" t="s">
        <v>1108</v>
      </c>
      <c r="S384" s="421" t="s">
        <v>1108</v>
      </c>
      <c r="T384" s="421" t="s">
        <v>1130</v>
      </c>
      <c r="U384" s="421" t="s">
        <v>1112</v>
      </c>
      <c r="V384" s="421" t="s">
        <v>3097</v>
      </c>
      <c r="W384" s="421" t="s">
        <v>3098</v>
      </c>
      <c r="X384" s="421" t="s">
        <v>3099</v>
      </c>
      <c r="Y384" s="421" t="s">
        <v>1117</v>
      </c>
      <c r="Z384" s="421" t="s">
        <v>1118</v>
      </c>
      <c r="AA384" s="421" t="s">
        <v>3100</v>
      </c>
      <c r="AB384" s="421" t="s">
        <v>3101</v>
      </c>
      <c r="AC384" s="421" t="s">
        <v>3102</v>
      </c>
      <c r="AD384" s="421" t="s">
        <v>3125</v>
      </c>
      <c r="AE384" s="421" t="s">
        <v>3126</v>
      </c>
      <c r="AF384" s="421" t="s">
        <v>2236</v>
      </c>
      <c r="AG384" s="421" t="s">
        <v>2237</v>
      </c>
      <c r="AH384" s="421" t="s">
        <v>3105</v>
      </c>
      <c r="AI384" s="421">
        <v>2085680</v>
      </c>
      <c r="AJ384" s="421">
        <v>6085.12</v>
      </c>
      <c r="AK384" s="421">
        <v>7072.21</v>
      </c>
      <c r="AL384" s="421">
        <v>1</v>
      </c>
      <c r="AM384" s="421" t="s">
        <v>962</v>
      </c>
      <c r="AN384" s="421" t="s">
        <v>3127</v>
      </c>
      <c r="AO384" s="421" t="s">
        <v>1121</v>
      </c>
      <c r="AP384" s="421" t="s">
        <v>1121</v>
      </c>
      <c r="AQ384" s="421" t="s">
        <v>1108</v>
      </c>
      <c r="AR384" s="421" t="s">
        <v>3697</v>
      </c>
      <c r="AS384" s="421" t="s">
        <v>3729</v>
      </c>
      <c r="AT384" s="421" t="s">
        <v>3109</v>
      </c>
      <c r="AU384" s="421" t="s">
        <v>1142</v>
      </c>
      <c r="AV384" s="421" t="s">
        <v>3130</v>
      </c>
      <c r="AW384" s="421" t="s">
        <v>3110</v>
      </c>
      <c r="AX384" s="421" t="s">
        <v>3111</v>
      </c>
      <c r="AY384" s="421" t="s">
        <v>3112</v>
      </c>
      <c r="AZ384" s="421" t="s">
        <v>3113</v>
      </c>
      <c r="BA384" s="421" t="s">
        <v>3114</v>
      </c>
      <c r="BB384" s="421" t="s">
        <v>3115</v>
      </c>
      <c r="BC384" s="421">
        <v>84011.8</v>
      </c>
      <c r="BD384" s="421">
        <v>224090554.97</v>
      </c>
      <c r="BE384" s="421">
        <v>0</v>
      </c>
      <c r="BF384" s="421">
        <v>1799.32</v>
      </c>
      <c r="BG384" s="421">
        <v>0</v>
      </c>
      <c r="BH384" s="421">
        <v>0</v>
      </c>
      <c r="BI384" s="421" t="s">
        <v>1149</v>
      </c>
    </row>
    <row r="385" spans="1:61" x14ac:dyDescent="0.25">
      <c r="A385" s="421">
        <v>382</v>
      </c>
      <c r="B385" s="421">
        <v>2015</v>
      </c>
      <c r="C385" s="421">
        <v>7</v>
      </c>
      <c r="D385" s="421">
        <v>13</v>
      </c>
      <c r="E385" s="421" t="s">
        <v>1475</v>
      </c>
      <c r="F385" s="421" t="s">
        <v>3695</v>
      </c>
      <c r="G385" s="421" t="s">
        <v>3142</v>
      </c>
      <c r="H385" s="421" t="s">
        <v>1107</v>
      </c>
      <c r="I385" s="421" t="s">
        <v>2145</v>
      </c>
      <c r="J385" s="421" t="s">
        <v>3728</v>
      </c>
      <c r="K385" s="421" t="s">
        <v>3093</v>
      </c>
      <c r="L385" s="421" t="s">
        <v>3094</v>
      </c>
      <c r="M385" s="421" t="s">
        <v>2667</v>
      </c>
      <c r="N385" s="421" t="s">
        <v>3093</v>
      </c>
      <c r="O385" s="421" t="s">
        <v>3094</v>
      </c>
      <c r="P385" s="421" t="s">
        <v>3095</v>
      </c>
      <c r="Q385" s="421" t="s">
        <v>3113</v>
      </c>
      <c r="R385" s="421" t="s">
        <v>1108</v>
      </c>
      <c r="S385" s="421" t="s">
        <v>1108</v>
      </c>
      <c r="T385" s="421" t="s">
        <v>1130</v>
      </c>
      <c r="U385" s="421" t="s">
        <v>1112</v>
      </c>
      <c r="V385" s="421" t="s">
        <v>3097</v>
      </c>
      <c r="W385" s="421" t="s">
        <v>3098</v>
      </c>
      <c r="X385" s="421" t="s">
        <v>3099</v>
      </c>
      <c r="Y385" s="421" t="s">
        <v>1117</v>
      </c>
      <c r="Z385" s="421" t="s">
        <v>1118</v>
      </c>
      <c r="AA385" s="421" t="s">
        <v>3100</v>
      </c>
      <c r="AB385" s="421" t="s">
        <v>3101</v>
      </c>
      <c r="AC385" s="421" t="s">
        <v>3102</v>
      </c>
      <c r="AD385" s="421" t="s">
        <v>3125</v>
      </c>
      <c r="AE385" s="421" t="s">
        <v>3126</v>
      </c>
      <c r="AF385" s="421" t="s">
        <v>2236</v>
      </c>
      <c r="AG385" s="421" t="s">
        <v>2237</v>
      </c>
      <c r="AH385" s="421" t="s">
        <v>3105</v>
      </c>
      <c r="AI385" s="421">
        <v>270200</v>
      </c>
      <c r="AJ385" s="421">
        <v>820.56</v>
      </c>
      <c r="AK385" s="421">
        <v>953.67</v>
      </c>
      <c r="AL385" s="421">
        <v>2</v>
      </c>
      <c r="AM385" s="421" t="s">
        <v>962</v>
      </c>
      <c r="AN385" s="421" t="s">
        <v>3127</v>
      </c>
      <c r="AO385" s="421" t="s">
        <v>1121</v>
      </c>
      <c r="AP385" s="421" t="s">
        <v>1121</v>
      </c>
      <c r="AQ385" s="421" t="s">
        <v>1108</v>
      </c>
      <c r="AR385" s="421" t="s">
        <v>3697</v>
      </c>
      <c r="AS385" s="421" t="s">
        <v>3729</v>
      </c>
      <c r="AT385" s="421" t="s">
        <v>3109</v>
      </c>
      <c r="AU385" s="421" t="s">
        <v>1142</v>
      </c>
      <c r="AV385" s="421" t="s">
        <v>3130</v>
      </c>
      <c r="AW385" s="421" t="s">
        <v>3110</v>
      </c>
      <c r="AX385" s="421" t="s">
        <v>3111</v>
      </c>
      <c r="AY385" s="421" t="s">
        <v>3112</v>
      </c>
      <c r="AZ385" s="421" t="s">
        <v>3113</v>
      </c>
      <c r="BA385" s="421" t="s">
        <v>3114</v>
      </c>
      <c r="BB385" s="421" t="s">
        <v>3115</v>
      </c>
      <c r="BC385" s="421">
        <v>12276.4</v>
      </c>
      <c r="BD385" s="421">
        <v>32745701.07</v>
      </c>
      <c r="BE385" s="421">
        <v>0</v>
      </c>
      <c r="BF385" s="421">
        <v>262.93</v>
      </c>
      <c r="BG385" s="421">
        <v>0</v>
      </c>
      <c r="BH385" s="421">
        <v>0</v>
      </c>
      <c r="BI385" s="421" t="s">
        <v>1149</v>
      </c>
    </row>
    <row r="386" spans="1:61" x14ac:dyDescent="0.25">
      <c r="A386" s="421">
        <v>383</v>
      </c>
      <c r="B386" s="421">
        <v>2015</v>
      </c>
      <c r="C386" s="421">
        <v>7</v>
      </c>
      <c r="D386" s="421">
        <v>21</v>
      </c>
      <c r="E386" s="421" t="s">
        <v>1475</v>
      </c>
      <c r="F386" s="421" t="s">
        <v>3695</v>
      </c>
      <c r="G386" s="421" t="s">
        <v>3201</v>
      </c>
      <c r="H386" s="421" t="s">
        <v>1107</v>
      </c>
      <c r="I386" s="421" t="s">
        <v>2231</v>
      </c>
      <c r="J386" s="421" t="s">
        <v>3730</v>
      </c>
      <c r="K386" s="421" t="s">
        <v>3093</v>
      </c>
      <c r="L386" s="421" t="s">
        <v>3094</v>
      </c>
      <c r="M386" s="421" t="s">
        <v>2667</v>
      </c>
      <c r="N386" s="421" t="s">
        <v>3093</v>
      </c>
      <c r="O386" s="421" t="s">
        <v>3094</v>
      </c>
      <c r="P386" s="421" t="s">
        <v>3095</v>
      </c>
      <c r="Q386" s="421" t="s">
        <v>3113</v>
      </c>
      <c r="R386" s="421" t="s">
        <v>1542</v>
      </c>
      <c r="S386" s="421" t="s">
        <v>1542</v>
      </c>
      <c r="T386" s="421" t="s">
        <v>1130</v>
      </c>
      <c r="U386" s="421" t="s">
        <v>1112</v>
      </c>
      <c r="V386" s="421" t="s">
        <v>3097</v>
      </c>
      <c r="W386" s="421" t="s">
        <v>3098</v>
      </c>
      <c r="X386" s="421" t="s">
        <v>3099</v>
      </c>
      <c r="Y386" s="421" t="s">
        <v>1117</v>
      </c>
      <c r="Z386" s="421" t="s">
        <v>1118</v>
      </c>
      <c r="AA386" s="421" t="s">
        <v>3100</v>
      </c>
      <c r="AB386" s="421" t="s">
        <v>3101</v>
      </c>
      <c r="AC386" s="421" t="s">
        <v>3102</v>
      </c>
      <c r="AD386" s="421" t="s">
        <v>3320</v>
      </c>
      <c r="AE386" s="421" t="s">
        <v>3370</v>
      </c>
      <c r="AF386" s="421" t="s">
        <v>2236</v>
      </c>
      <c r="AG386" s="421" t="s">
        <v>2237</v>
      </c>
      <c r="AH386" s="421" t="s">
        <v>3105</v>
      </c>
      <c r="AI386" s="421">
        <v>16800</v>
      </c>
      <c r="AJ386" s="421">
        <v>70.69</v>
      </c>
      <c r="AK386" s="421">
        <v>76.72</v>
      </c>
      <c r="AL386" s="421">
        <v>4</v>
      </c>
      <c r="AM386" s="421" t="s">
        <v>3322</v>
      </c>
      <c r="AN386" s="421" t="s">
        <v>3371</v>
      </c>
      <c r="AO386" s="421" t="s">
        <v>1121</v>
      </c>
      <c r="AP386" s="421" t="s">
        <v>1121</v>
      </c>
      <c r="AQ386" s="421" t="s">
        <v>1542</v>
      </c>
      <c r="AR386" s="421" t="s">
        <v>3697</v>
      </c>
      <c r="AS386" s="421" t="s">
        <v>3731</v>
      </c>
      <c r="AT386" s="421" t="s">
        <v>3109</v>
      </c>
      <c r="AU386" s="421" t="s">
        <v>1142</v>
      </c>
      <c r="AV386" s="421" t="s">
        <v>3174</v>
      </c>
      <c r="AW386" s="421" t="s">
        <v>3110</v>
      </c>
      <c r="AX386" s="421" t="s">
        <v>3111</v>
      </c>
      <c r="AY386" s="421" t="s">
        <v>3112</v>
      </c>
      <c r="AZ386" s="421" t="s">
        <v>3113</v>
      </c>
      <c r="BA386" s="421" t="s">
        <v>3114</v>
      </c>
      <c r="BB386" s="421" t="s">
        <v>3115</v>
      </c>
      <c r="BC386" s="421">
        <v>1922.15</v>
      </c>
      <c r="BD386" s="421">
        <v>5289526.1399999997</v>
      </c>
      <c r="BE386" s="421">
        <v>0</v>
      </c>
      <c r="BF386" s="421">
        <v>0</v>
      </c>
      <c r="BG386" s="421">
        <v>0</v>
      </c>
      <c r="BH386" s="421">
        <v>0</v>
      </c>
      <c r="BI386" s="421" t="s">
        <v>1331</v>
      </c>
    </row>
    <row r="387" spans="1:61" x14ac:dyDescent="0.25">
      <c r="A387" s="421">
        <v>384</v>
      </c>
      <c r="B387" s="421">
        <v>2015</v>
      </c>
      <c r="C387" s="421">
        <v>7</v>
      </c>
      <c r="D387" s="421">
        <v>21</v>
      </c>
      <c r="E387" s="421" t="s">
        <v>1475</v>
      </c>
      <c r="F387" s="421" t="s">
        <v>3695</v>
      </c>
      <c r="G387" s="421" t="s">
        <v>3201</v>
      </c>
      <c r="H387" s="421" t="s">
        <v>1107</v>
      </c>
      <c r="I387" s="421" t="s">
        <v>2231</v>
      </c>
      <c r="J387" s="421" t="s">
        <v>3732</v>
      </c>
      <c r="K387" s="421" t="s">
        <v>3093</v>
      </c>
      <c r="L387" s="421" t="s">
        <v>3094</v>
      </c>
      <c r="M387" s="421" t="s">
        <v>2667</v>
      </c>
      <c r="N387" s="421" t="s">
        <v>3093</v>
      </c>
      <c r="O387" s="421" t="s">
        <v>3094</v>
      </c>
      <c r="P387" s="421" t="s">
        <v>3095</v>
      </c>
      <c r="Q387" s="421" t="s">
        <v>3113</v>
      </c>
      <c r="R387" s="421" t="s">
        <v>1542</v>
      </c>
      <c r="S387" s="421" t="s">
        <v>1542</v>
      </c>
      <c r="T387" s="421" t="s">
        <v>1130</v>
      </c>
      <c r="U387" s="421" t="s">
        <v>1112</v>
      </c>
      <c r="V387" s="421" t="s">
        <v>3097</v>
      </c>
      <c r="W387" s="421" t="s">
        <v>3098</v>
      </c>
      <c r="X387" s="421" t="s">
        <v>3099</v>
      </c>
      <c r="Y387" s="421" t="s">
        <v>1117</v>
      </c>
      <c r="Z387" s="421" t="s">
        <v>1118</v>
      </c>
      <c r="AA387" s="421" t="s">
        <v>3100</v>
      </c>
      <c r="AB387" s="421" t="s">
        <v>3101</v>
      </c>
      <c r="AC387" s="421" t="s">
        <v>3102</v>
      </c>
      <c r="AD387" s="421" t="s">
        <v>3320</v>
      </c>
      <c r="AE387" s="421" t="s">
        <v>3370</v>
      </c>
      <c r="AF387" s="421" t="s">
        <v>3375</v>
      </c>
      <c r="AG387" s="421" t="s">
        <v>3376</v>
      </c>
      <c r="AH387" s="421" t="s">
        <v>3105</v>
      </c>
      <c r="AI387" s="421">
        <v>150</v>
      </c>
      <c r="AJ387" s="421">
        <v>22.57</v>
      </c>
      <c r="AK387" s="421">
        <v>23.5</v>
      </c>
      <c r="AL387" s="421">
        <v>1</v>
      </c>
      <c r="AM387" s="421" t="s">
        <v>3322</v>
      </c>
      <c r="AN387" s="421" t="s">
        <v>3371</v>
      </c>
      <c r="AO387" s="421" t="s">
        <v>1121</v>
      </c>
      <c r="AP387" s="421" t="s">
        <v>1121</v>
      </c>
      <c r="AQ387" s="421" t="s">
        <v>1542</v>
      </c>
      <c r="AR387" s="421" t="s">
        <v>3697</v>
      </c>
      <c r="AS387" s="421" t="s">
        <v>3733</v>
      </c>
      <c r="AT387" s="421" t="s">
        <v>3109</v>
      </c>
      <c r="AU387" s="421" t="s">
        <v>1142</v>
      </c>
      <c r="AV387" s="421" t="s">
        <v>3174</v>
      </c>
      <c r="AW387" s="421" t="s">
        <v>3110</v>
      </c>
      <c r="AX387" s="421" t="s">
        <v>3229</v>
      </c>
      <c r="AY387" s="421" t="s">
        <v>3112</v>
      </c>
      <c r="AZ387" s="421" t="s">
        <v>3113</v>
      </c>
      <c r="BA387" s="421" t="s">
        <v>3114</v>
      </c>
      <c r="BB387" s="421" t="s">
        <v>3230</v>
      </c>
      <c r="BC387" s="421">
        <v>6</v>
      </c>
      <c r="BD387" s="421">
        <v>16511.28</v>
      </c>
      <c r="BE387" s="421">
        <v>0</v>
      </c>
      <c r="BF387" s="421">
        <v>0</v>
      </c>
      <c r="BG387" s="421">
        <v>0</v>
      </c>
      <c r="BH387" s="421">
        <v>0</v>
      </c>
      <c r="BI387" s="421" t="s">
        <v>1331</v>
      </c>
    </row>
    <row r="388" spans="1:61" x14ac:dyDescent="0.25">
      <c r="A388" s="421">
        <v>385</v>
      </c>
      <c r="B388" s="421">
        <v>2015</v>
      </c>
      <c r="C388" s="421">
        <v>7</v>
      </c>
      <c r="D388" s="421">
        <v>21</v>
      </c>
      <c r="E388" s="421" t="s">
        <v>1475</v>
      </c>
      <c r="F388" s="421" t="s">
        <v>3695</v>
      </c>
      <c r="G388" s="421" t="s">
        <v>3201</v>
      </c>
      <c r="H388" s="421" t="s">
        <v>1107</v>
      </c>
      <c r="I388" s="421" t="s">
        <v>2231</v>
      </c>
      <c r="J388" s="421" t="s">
        <v>3730</v>
      </c>
      <c r="K388" s="421" t="s">
        <v>3093</v>
      </c>
      <c r="L388" s="421" t="s">
        <v>3094</v>
      </c>
      <c r="M388" s="421" t="s">
        <v>2667</v>
      </c>
      <c r="N388" s="421" t="s">
        <v>3093</v>
      </c>
      <c r="O388" s="421" t="s">
        <v>3094</v>
      </c>
      <c r="P388" s="421" t="s">
        <v>3095</v>
      </c>
      <c r="Q388" s="421" t="s">
        <v>3113</v>
      </c>
      <c r="R388" s="421" t="s">
        <v>1542</v>
      </c>
      <c r="S388" s="421" t="s">
        <v>1542</v>
      </c>
      <c r="T388" s="421" t="s">
        <v>1130</v>
      </c>
      <c r="U388" s="421" t="s">
        <v>1112</v>
      </c>
      <c r="V388" s="421" t="s">
        <v>3097</v>
      </c>
      <c r="W388" s="421" t="s">
        <v>3098</v>
      </c>
      <c r="X388" s="421" t="s">
        <v>3099</v>
      </c>
      <c r="Y388" s="421" t="s">
        <v>1117</v>
      </c>
      <c r="Z388" s="421" t="s">
        <v>1118</v>
      </c>
      <c r="AA388" s="421" t="s">
        <v>3100</v>
      </c>
      <c r="AB388" s="421" t="s">
        <v>3101</v>
      </c>
      <c r="AC388" s="421" t="s">
        <v>3102</v>
      </c>
      <c r="AD388" s="421" t="s">
        <v>3320</v>
      </c>
      <c r="AE388" s="421" t="s">
        <v>3370</v>
      </c>
      <c r="AF388" s="421" t="s">
        <v>2236</v>
      </c>
      <c r="AG388" s="421" t="s">
        <v>2237</v>
      </c>
      <c r="AH388" s="421" t="s">
        <v>3105</v>
      </c>
      <c r="AI388" s="421">
        <v>3462300</v>
      </c>
      <c r="AJ388" s="421">
        <v>8310.85</v>
      </c>
      <c r="AK388" s="421">
        <v>9019.35</v>
      </c>
      <c r="AL388" s="421">
        <v>1</v>
      </c>
      <c r="AM388" s="421" t="s">
        <v>3322</v>
      </c>
      <c r="AN388" s="421" t="s">
        <v>3371</v>
      </c>
      <c r="AO388" s="421" t="s">
        <v>1121</v>
      </c>
      <c r="AP388" s="421" t="s">
        <v>1121</v>
      </c>
      <c r="AQ388" s="421" t="s">
        <v>1542</v>
      </c>
      <c r="AR388" s="421" t="s">
        <v>3697</v>
      </c>
      <c r="AS388" s="421" t="s">
        <v>3731</v>
      </c>
      <c r="AT388" s="421" t="s">
        <v>3109</v>
      </c>
      <c r="AU388" s="421" t="s">
        <v>1142</v>
      </c>
      <c r="AV388" s="421" t="s">
        <v>3174</v>
      </c>
      <c r="AW388" s="421" t="s">
        <v>3110</v>
      </c>
      <c r="AX388" s="421" t="s">
        <v>3111</v>
      </c>
      <c r="AY388" s="421" t="s">
        <v>3112</v>
      </c>
      <c r="AZ388" s="421" t="s">
        <v>3113</v>
      </c>
      <c r="BA388" s="421" t="s">
        <v>3114</v>
      </c>
      <c r="BB388" s="421" t="s">
        <v>3115</v>
      </c>
      <c r="BC388" s="421">
        <v>110535.55</v>
      </c>
      <c r="BD388" s="421">
        <v>304180569.32999998</v>
      </c>
      <c r="BE388" s="421">
        <v>0</v>
      </c>
      <c r="BF388" s="421">
        <v>0</v>
      </c>
      <c r="BG388" s="421">
        <v>0</v>
      </c>
      <c r="BH388" s="421">
        <v>0</v>
      </c>
      <c r="BI388" s="421" t="s">
        <v>1331</v>
      </c>
    </row>
    <row r="389" spans="1:61" x14ac:dyDescent="0.25">
      <c r="A389" s="421">
        <v>386</v>
      </c>
      <c r="B389" s="421">
        <v>2015</v>
      </c>
      <c r="C389" s="421">
        <v>7</v>
      </c>
      <c r="D389" s="421">
        <v>21</v>
      </c>
      <c r="E389" s="421" t="s">
        <v>1475</v>
      </c>
      <c r="F389" s="421" t="s">
        <v>3695</v>
      </c>
      <c r="G389" s="421" t="s">
        <v>3201</v>
      </c>
      <c r="H389" s="421" t="s">
        <v>1107</v>
      </c>
      <c r="I389" s="421" t="s">
        <v>2231</v>
      </c>
      <c r="J389" s="421" t="s">
        <v>3730</v>
      </c>
      <c r="K389" s="421" t="s">
        <v>3093</v>
      </c>
      <c r="L389" s="421" t="s">
        <v>3094</v>
      </c>
      <c r="M389" s="421" t="s">
        <v>2667</v>
      </c>
      <c r="N389" s="421" t="s">
        <v>3093</v>
      </c>
      <c r="O389" s="421" t="s">
        <v>3094</v>
      </c>
      <c r="P389" s="421" t="s">
        <v>3095</v>
      </c>
      <c r="Q389" s="421" t="s">
        <v>3113</v>
      </c>
      <c r="R389" s="421" t="s">
        <v>1542</v>
      </c>
      <c r="S389" s="421" t="s">
        <v>1542</v>
      </c>
      <c r="T389" s="421" t="s">
        <v>1130</v>
      </c>
      <c r="U389" s="421" t="s">
        <v>1112</v>
      </c>
      <c r="V389" s="421" t="s">
        <v>3097</v>
      </c>
      <c r="W389" s="421" t="s">
        <v>3098</v>
      </c>
      <c r="X389" s="421" t="s">
        <v>3099</v>
      </c>
      <c r="Y389" s="421" t="s">
        <v>1117</v>
      </c>
      <c r="Z389" s="421" t="s">
        <v>1118</v>
      </c>
      <c r="AA389" s="421" t="s">
        <v>3100</v>
      </c>
      <c r="AB389" s="421" t="s">
        <v>3101</v>
      </c>
      <c r="AC389" s="421" t="s">
        <v>3102</v>
      </c>
      <c r="AD389" s="421" t="s">
        <v>3320</v>
      </c>
      <c r="AE389" s="421" t="s">
        <v>3370</v>
      </c>
      <c r="AF389" s="421" t="s">
        <v>2236</v>
      </c>
      <c r="AG389" s="421" t="s">
        <v>2237</v>
      </c>
      <c r="AH389" s="421" t="s">
        <v>3105</v>
      </c>
      <c r="AI389" s="421">
        <v>1696500</v>
      </c>
      <c r="AJ389" s="421">
        <v>4483.47</v>
      </c>
      <c r="AK389" s="421">
        <v>4865.6899999999996</v>
      </c>
      <c r="AL389" s="421">
        <v>2</v>
      </c>
      <c r="AM389" s="421" t="s">
        <v>3322</v>
      </c>
      <c r="AN389" s="421" t="s">
        <v>3371</v>
      </c>
      <c r="AO389" s="421" t="s">
        <v>1121</v>
      </c>
      <c r="AP389" s="421" t="s">
        <v>1121</v>
      </c>
      <c r="AQ389" s="421" t="s">
        <v>1542</v>
      </c>
      <c r="AR389" s="421" t="s">
        <v>3697</v>
      </c>
      <c r="AS389" s="421" t="s">
        <v>3731</v>
      </c>
      <c r="AT389" s="421" t="s">
        <v>3109</v>
      </c>
      <c r="AU389" s="421" t="s">
        <v>1142</v>
      </c>
      <c r="AV389" s="421" t="s">
        <v>3174</v>
      </c>
      <c r="AW389" s="421" t="s">
        <v>3110</v>
      </c>
      <c r="AX389" s="421" t="s">
        <v>3111</v>
      </c>
      <c r="AY389" s="421" t="s">
        <v>3112</v>
      </c>
      <c r="AZ389" s="421" t="s">
        <v>3113</v>
      </c>
      <c r="BA389" s="421" t="s">
        <v>3114</v>
      </c>
      <c r="BB389" s="421" t="s">
        <v>3115</v>
      </c>
      <c r="BC389" s="421">
        <v>58119.25</v>
      </c>
      <c r="BD389" s="421">
        <v>159937201.69</v>
      </c>
      <c r="BE389" s="421">
        <v>0</v>
      </c>
      <c r="BF389" s="421">
        <v>0</v>
      </c>
      <c r="BG389" s="421">
        <v>0</v>
      </c>
      <c r="BH389" s="421">
        <v>0</v>
      </c>
      <c r="BI389" s="421" t="s">
        <v>1331</v>
      </c>
    </row>
    <row r="390" spans="1:61" x14ac:dyDescent="0.25">
      <c r="A390" s="421">
        <v>387</v>
      </c>
      <c r="B390" s="421">
        <v>2015</v>
      </c>
      <c r="C390" s="421">
        <v>7</v>
      </c>
      <c r="D390" s="421">
        <v>21</v>
      </c>
      <c r="E390" s="421" t="s">
        <v>1475</v>
      </c>
      <c r="F390" s="421" t="s">
        <v>3695</v>
      </c>
      <c r="G390" s="421" t="s">
        <v>3201</v>
      </c>
      <c r="H390" s="421" t="s">
        <v>1107</v>
      </c>
      <c r="I390" s="421" t="s">
        <v>2231</v>
      </c>
      <c r="J390" s="421" t="s">
        <v>3730</v>
      </c>
      <c r="K390" s="421" t="s">
        <v>3093</v>
      </c>
      <c r="L390" s="421" t="s">
        <v>3094</v>
      </c>
      <c r="M390" s="421" t="s">
        <v>2667</v>
      </c>
      <c r="N390" s="421" t="s">
        <v>3093</v>
      </c>
      <c r="O390" s="421" t="s">
        <v>3094</v>
      </c>
      <c r="P390" s="421" t="s">
        <v>3095</v>
      </c>
      <c r="Q390" s="421" t="s">
        <v>3113</v>
      </c>
      <c r="R390" s="421" t="s">
        <v>1542</v>
      </c>
      <c r="S390" s="421" t="s">
        <v>1542</v>
      </c>
      <c r="T390" s="421" t="s">
        <v>1130</v>
      </c>
      <c r="U390" s="421" t="s">
        <v>1112</v>
      </c>
      <c r="V390" s="421" t="s">
        <v>3097</v>
      </c>
      <c r="W390" s="421" t="s">
        <v>3098</v>
      </c>
      <c r="X390" s="421" t="s">
        <v>3099</v>
      </c>
      <c r="Y390" s="421" t="s">
        <v>1117</v>
      </c>
      <c r="Z390" s="421" t="s">
        <v>1118</v>
      </c>
      <c r="AA390" s="421" t="s">
        <v>3100</v>
      </c>
      <c r="AB390" s="421" t="s">
        <v>3101</v>
      </c>
      <c r="AC390" s="421" t="s">
        <v>3102</v>
      </c>
      <c r="AD390" s="421" t="s">
        <v>3320</v>
      </c>
      <c r="AE390" s="421" t="s">
        <v>3370</v>
      </c>
      <c r="AF390" s="421" t="s">
        <v>2236</v>
      </c>
      <c r="AG390" s="421" t="s">
        <v>2237</v>
      </c>
      <c r="AH390" s="421" t="s">
        <v>3105</v>
      </c>
      <c r="AI390" s="421">
        <v>464240</v>
      </c>
      <c r="AJ390" s="421">
        <v>1785.9</v>
      </c>
      <c r="AK390" s="421">
        <v>1938.15</v>
      </c>
      <c r="AL390" s="421">
        <v>3</v>
      </c>
      <c r="AM390" s="421" t="s">
        <v>3322</v>
      </c>
      <c r="AN390" s="421" t="s">
        <v>3371</v>
      </c>
      <c r="AO390" s="421" t="s">
        <v>1121</v>
      </c>
      <c r="AP390" s="421" t="s">
        <v>1121</v>
      </c>
      <c r="AQ390" s="421" t="s">
        <v>1542</v>
      </c>
      <c r="AR390" s="421" t="s">
        <v>3697</v>
      </c>
      <c r="AS390" s="421" t="s">
        <v>3731</v>
      </c>
      <c r="AT390" s="421" t="s">
        <v>3109</v>
      </c>
      <c r="AU390" s="421" t="s">
        <v>1142</v>
      </c>
      <c r="AV390" s="421" t="s">
        <v>3174</v>
      </c>
      <c r="AW390" s="421" t="s">
        <v>3110</v>
      </c>
      <c r="AX390" s="421" t="s">
        <v>3111</v>
      </c>
      <c r="AY390" s="421" t="s">
        <v>3112</v>
      </c>
      <c r="AZ390" s="421" t="s">
        <v>3113</v>
      </c>
      <c r="BA390" s="421" t="s">
        <v>3114</v>
      </c>
      <c r="BB390" s="421" t="s">
        <v>3115</v>
      </c>
      <c r="BC390" s="421">
        <v>48860.87</v>
      </c>
      <c r="BD390" s="421">
        <v>134459250.94</v>
      </c>
      <c r="BE390" s="421">
        <v>0</v>
      </c>
      <c r="BF390" s="421">
        <v>0</v>
      </c>
      <c r="BG390" s="421">
        <v>0</v>
      </c>
      <c r="BH390" s="421">
        <v>0</v>
      </c>
      <c r="BI390" s="421" t="s">
        <v>1331</v>
      </c>
    </row>
    <row r="391" spans="1:61" x14ac:dyDescent="0.25">
      <c r="A391" s="421">
        <v>388</v>
      </c>
      <c r="B391" s="421">
        <v>2015</v>
      </c>
      <c r="C391" s="421">
        <v>7</v>
      </c>
      <c r="D391" s="421">
        <v>22</v>
      </c>
      <c r="E391" s="421" t="s">
        <v>1475</v>
      </c>
      <c r="F391" s="421" t="s">
        <v>3695</v>
      </c>
      <c r="G391" s="421" t="s">
        <v>3507</v>
      </c>
      <c r="H391" s="421" t="s">
        <v>1107</v>
      </c>
      <c r="I391" s="421" t="s">
        <v>2225</v>
      </c>
      <c r="J391" s="421" t="s">
        <v>3734</v>
      </c>
      <c r="K391" s="421" t="s">
        <v>3093</v>
      </c>
      <c r="L391" s="421" t="s">
        <v>3094</v>
      </c>
      <c r="M391" s="421" t="s">
        <v>2667</v>
      </c>
      <c r="N391" s="421" t="s">
        <v>3093</v>
      </c>
      <c r="O391" s="421" t="s">
        <v>3094</v>
      </c>
      <c r="P391" s="421" t="s">
        <v>3095</v>
      </c>
      <c r="Q391" s="421" t="s">
        <v>3096</v>
      </c>
      <c r="R391" s="421" t="s">
        <v>1108</v>
      </c>
      <c r="S391" s="421" t="s">
        <v>1542</v>
      </c>
      <c r="T391" s="421" t="s">
        <v>1130</v>
      </c>
      <c r="U391" s="421" t="s">
        <v>1112</v>
      </c>
      <c r="V391" s="421" t="s">
        <v>3097</v>
      </c>
      <c r="W391" s="421" t="s">
        <v>3098</v>
      </c>
      <c r="X391" s="421" t="s">
        <v>3099</v>
      </c>
      <c r="Y391" s="421" t="s">
        <v>1117</v>
      </c>
      <c r="Z391" s="421" t="s">
        <v>1118</v>
      </c>
      <c r="AA391" s="421" t="s">
        <v>3100</v>
      </c>
      <c r="AB391" s="421" t="s">
        <v>3101</v>
      </c>
      <c r="AC391" s="421" t="s">
        <v>3102</v>
      </c>
      <c r="AD391" s="421" t="s">
        <v>3275</v>
      </c>
      <c r="AE391" s="421" t="s">
        <v>3276</v>
      </c>
      <c r="AF391" s="421" t="s">
        <v>2236</v>
      </c>
      <c r="AG391" s="421" t="s">
        <v>2237</v>
      </c>
      <c r="AH391" s="421" t="s">
        <v>3105</v>
      </c>
      <c r="AI391" s="421">
        <v>2148000</v>
      </c>
      <c r="AJ391" s="421">
        <v>6584.02</v>
      </c>
      <c r="AK391" s="421">
        <v>7074.69</v>
      </c>
      <c r="AL391" s="421">
        <v>1</v>
      </c>
      <c r="AM391" s="421" t="s">
        <v>3277</v>
      </c>
      <c r="AN391" s="421" t="s">
        <v>3278</v>
      </c>
      <c r="AO391" s="421" t="s">
        <v>1121</v>
      </c>
      <c r="AP391" s="421" t="s">
        <v>1121</v>
      </c>
      <c r="AQ391" s="421" t="s">
        <v>1542</v>
      </c>
      <c r="AR391" s="421" t="s">
        <v>3697</v>
      </c>
      <c r="AS391" s="421" t="s">
        <v>3735</v>
      </c>
      <c r="AT391" s="421" t="s">
        <v>3109</v>
      </c>
      <c r="AU391" s="421" t="s">
        <v>1142</v>
      </c>
      <c r="AV391" s="421" t="s">
        <v>2520</v>
      </c>
      <c r="AW391" s="421" t="s">
        <v>3110</v>
      </c>
      <c r="AX391" s="421" t="s">
        <v>3111</v>
      </c>
      <c r="AY391" s="421" t="s">
        <v>3112</v>
      </c>
      <c r="AZ391" s="421" t="s">
        <v>3113</v>
      </c>
      <c r="BA391" s="421" t="s">
        <v>3114</v>
      </c>
      <c r="BB391" s="421" t="s">
        <v>3115</v>
      </c>
      <c r="BC391" s="421">
        <v>93755.4</v>
      </c>
      <c r="BD391" s="421">
        <v>259243056.53999999</v>
      </c>
      <c r="BE391" s="421">
        <v>0</v>
      </c>
      <c r="BF391" s="421">
        <v>1537.47</v>
      </c>
      <c r="BG391" s="421">
        <v>238.23</v>
      </c>
      <c r="BH391" s="421">
        <v>0</v>
      </c>
      <c r="BI391" s="421" t="s">
        <v>1331</v>
      </c>
    </row>
    <row r="392" spans="1:61" x14ac:dyDescent="0.25">
      <c r="A392" s="421">
        <v>389</v>
      </c>
      <c r="B392" s="421">
        <v>2015</v>
      </c>
      <c r="C392" s="421">
        <v>7</v>
      </c>
      <c r="D392" s="421">
        <v>22</v>
      </c>
      <c r="E392" s="421" t="s">
        <v>1475</v>
      </c>
      <c r="F392" s="421" t="s">
        <v>3695</v>
      </c>
      <c r="G392" s="421" t="s">
        <v>3507</v>
      </c>
      <c r="H392" s="421" t="s">
        <v>1107</v>
      </c>
      <c r="I392" s="421" t="s">
        <v>2225</v>
      </c>
      <c r="J392" s="421" t="s">
        <v>3734</v>
      </c>
      <c r="K392" s="421" t="s">
        <v>3093</v>
      </c>
      <c r="L392" s="421" t="s">
        <v>3094</v>
      </c>
      <c r="M392" s="421" t="s">
        <v>2667</v>
      </c>
      <c r="N392" s="421" t="s">
        <v>3093</v>
      </c>
      <c r="O392" s="421" t="s">
        <v>3094</v>
      </c>
      <c r="P392" s="421" t="s">
        <v>3095</v>
      </c>
      <c r="Q392" s="421" t="s">
        <v>3096</v>
      </c>
      <c r="R392" s="421" t="s">
        <v>1108</v>
      </c>
      <c r="S392" s="421" t="s">
        <v>1542</v>
      </c>
      <c r="T392" s="421" t="s">
        <v>1130</v>
      </c>
      <c r="U392" s="421" t="s">
        <v>1112</v>
      </c>
      <c r="V392" s="421" t="s">
        <v>3097</v>
      </c>
      <c r="W392" s="421" t="s">
        <v>3098</v>
      </c>
      <c r="X392" s="421" t="s">
        <v>3099</v>
      </c>
      <c r="Y392" s="421" t="s">
        <v>1117</v>
      </c>
      <c r="Z392" s="421" t="s">
        <v>1118</v>
      </c>
      <c r="AA392" s="421" t="s">
        <v>3100</v>
      </c>
      <c r="AB392" s="421" t="s">
        <v>3101</v>
      </c>
      <c r="AC392" s="421" t="s">
        <v>3102</v>
      </c>
      <c r="AD392" s="421" t="s">
        <v>3275</v>
      </c>
      <c r="AE392" s="421" t="s">
        <v>3276</v>
      </c>
      <c r="AF392" s="421" t="s">
        <v>2236</v>
      </c>
      <c r="AG392" s="421" t="s">
        <v>2237</v>
      </c>
      <c r="AH392" s="421" t="s">
        <v>3105</v>
      </c>
      <c r="AI392" s="421">
        <v>214000</v>
      </c>
      <c r="AJ392" s="421">
        <v>753.78</v>
      </c>
      <c r="AK392" s="421">
        <v>809.95</v>
      </c>
      <c r="AL392" s="421">
        <v>2</v>
      </c>
      <c r="AM392" s="421" t="s">
        <v>3277</v>
      </c>
      <c r="AN392" s="421" t="s">
        <v>3278</v>
      </c>
      <c r="AO392" s="421" t="s">
        <v>1121</v>
      </c>
      <c r="AP392" s="421" t="s">
        <v>1121</v>
      </c>
      <c r="AQ392" s="421" t="s">
        <v>1542</v>
      </c>
      <c r="AR392" s="421" t="s">
        <v>3697</v>
      </c>
      <c r="AS392" s="421" t="s">
        <v>3735</v>
      </c>
      <c r="AT392" s="421" t="s">
        <v>3109</v>
      </c>
      <c r="AU392" s="421" t="s">
        <v>1142</v>
      </c>
      <c r="AV392" s="421" t="s">
        <v>2520</v>
      </c>
      <c r="AW392" s="421" t="s">
        <v>3110</v>
      </c>
      <c r="AX392" s="421" t="s">
        <v>3111</v>
      </c>
      <c r="AY392" s="421" t="s">
        <v>3112</v>
      </c>
      <c r="AZ392" s="421" t="s">
        <v>3113</v>
      </c>
      <c r="BA392" s="421" t="s">
        <v>3114</v>
      </c>
      <c r="BB392" s="421" t="s">
        <v>3115</v>
      </c>
      <c r="BC392" s="421">
        <v>11130.5</v>
      </c>
      <c r="BD392" s="421">
        <v>30776945.550000001</v>
      </c>
      <c r="BE392" s="421">
        <v>0</v>
      </c>
      <c r="BF392" s="421">
        <v>182.53</v>
      </c>
      <c r="BG392" s="421">
        <v>28.28</v>
      </c>
      <c r="BH392" s="421">
        <v>0</v>
      </c>
      <c r="BI392" s="421" t="s">
        <v>1331</v>
      </c>
    </row>
    <row r="393" spans="1:61" x14ac:dyDescent="0.25">
      <c r="A393" s="421">
        <v>390</v>
      </c>
      <c r="B393" s="421">
        <v>2015</v>
      </c>
      <c r="C393" s="421">
        <v>7</v>
      </c>
      <c r="D393" s="421">
        <v>22</v>
      </c>
      <c r="E393" s="421" t="s">
        <v>1475</v>
      </c>
      <c r="F393" s="421" t="s">
        <v>3695</v>
      </c>
      <c r="G393" s="421" t="s">
        <v>3507</v>
      </c>
      <c r="H393" s="421" t="s">
        <v>1107</v>
      </c>
      <c r="I393" s="421" t="s">
        <v>2225</v>
      </c>
      <c r="J393" s="421" t="s">
        <v>3736</v>
      </c>
      <c r="K393" s="421" t="s">
        <v>3093</v>
      </c>
      <c r="L393" s="421" t="s">
        <v>3094</v>
      </c>
      <c r="M393" s="421" t="s">
        <v>2667</v>
      </c>
      <c r="N393" s="421" t="s">
        <v>3093</v>
      </c>
      <c r="O393" s="421" t="s">
        <v>3094</v>
      </c>
      <c r="P393" s="421" t="s">
        <v>3095</v>
      </c>
      <c r="Q393" s="421" t="s">
        <v>3096</v>
      </c>
      <c r="R393" s="421" t="s">
        <v>1108</v>
      </c>
      <c r="S393" s="421" t="s">
        <v>1476</v>
      </c>
      <c r="T393" s="421" t="s">
        <v>1130</v>
      </c>
      <c r="U393" s="421" t="s">
        <v>3144</v>
      </c>
      <c r="V393" s="421" t="s">
        <v>3145</v>
      </c>
      <c r="W393" s="421" t="s">
        <v>3098</v>
      </c>
      <c r="X393" s="421" t="s">
        <v>3099</v>
      </c>
      <c r="Y393" s="421" t="s">
        <v>1117</v>
      </c>
      <c r="Z393" s="421" t="s">
        <v>1118</v>
      </c>
      <c r="AA393" s="421" t="s">
        <v>3100</v>
      </c>
      <c r="AB393" s="421" t="s">
        <v>3146</v>
      </c>
      <c r="AC393" s="421" t="s">
        <v>3102</v>
      </c>
      <c r="AD393" s="421" t="s">
        <v>3406</v>
      </c>
      <c r="AE393" s="421" t="s">
        <v>3424</v>
      </c>
      <c r="AF393" s="421" t="s">
        <v>2236</v>
      </c>
      <c r="AG393" s="421" t="s">
        <v>2237</v>
      </c>
      <c r="AH393" s="421" t="s">
        <v>3105</v>
      </c>
      <c r="AI393" s="421">
        <v>446664</v>
      </c>
      <c r="AJ393" s="421">
        <v>1581.65</v>
      </c>
      <c r="AK393" s="421">
        <v>1729</v>
      </c>
      <c r="AL393" s="421">
        <v>1</v>
      </c>
      <c r="AM393" s="421" t="s">
        <v>964</v>
      </c>
      <c r="AN393" s="421" t="s">
        <v>3425</v>
      </c>
      <c r="AO393" s="421" t="s">
        <v>1121</v>
      </c>
      <c r="AP393" s="421" t="s">
        <v>1121</v>
      </c>
      <c r="AQ393" s="421" t="s">
        <v>1476</v>
      </c>
      <c r="AR393" s="421" t="s">
        <v>3697</v>
      </c>
      <c r="AS393" s="421" t="s">
        <v>3737</v>
      </c>
      <c r="AT393" s="421" t="s">
        <v>3109</v>
      </c>
      <c r="AU393" s="421" t="s">
        <v>1341</v>
      </c>
      <c r="AV393" s="421" t="s">
        <v>3427</v>
      </c>
      <c r="AW393" s="421" t="s">
        <v>3110</v>
      </c>
      <c r="AX393" s="421" t="s">
        <v>3131</v>
      </c>
      <c r="AY393" s="421" t="s">
        <v>3112</v>
      </c>
      <c r="AZ393" s="421" t="s">
        <v>3113</v>
      </c>
      <c r="BA393" s="421" t="s">
        <v>3114</v>
      </c>
      <c r="BB393" s="421" t="s">
        <v>3115</v>
      </c>
      <c r="BC393" s="421">
        <v>35374.36</v>
      </c>
      <c r="BD393" s="421">
        <v>97813642.840000004</v>
      </c>
      <c r="BE393" s="421">
        <v>0</v>
      </c>
      <c r="BF393" s="421">
        <v>0</v>
      </c>
      <c r="BG393" s="421">
        <v>0</v>
      </c>
      <c r="BH393" s="421">
        <v>0</v>
      </c>
      <c r="BI393" s="421" t="s">
        <v>1278</v>
      </c>
    </row>
    <row r="394" spans="1:61" x14ac:dyDescent="0.25">
      <c r="A394" s="421">
        <v>391</v>
      </c>
      <c r="B394" s="421">
        <v>2015</v>
      </c>
      <c r="C394" s="421">
        <v>7</v>
      </c>
      <c r="D394" s="421">
        <v>28</v>
      </c>
      <c r="E394" s="421" t="s">
        <v>1475</v>
      </c>
      <c r="F394" s="421" t="s">
        <v>3695</v>
      </c>
      <c r="G394" s="421" t="s">
        <v>3206</v>
      </c>
      <c r="H394" s="421" t="s">
        <v>1107</v>
      </c>
      <c r="I394" s="421" t="s">
        <v>2263</v>
      </c>
      <c r="J394" s="421" t="s">
        <v>3738</v>
      </c>
      <c r="K394" s="421" t="s">
        <v>3093</v>
      </c>
      <c r="L394" s="421" t="s">
        <v>3094</v>
      </c>
      <c r="M394" s="421" t="s">
        <v>2667</v>
      </c>
      <c r="N394" s="421" t="s">
        <v>3093</v>
      </c>
      <c r="O394" s="421" t="s">
        <v>3094</v>
      </c>
      <c r="P394" s="421" t="s">
        <v>3095</v>
      </c>
      <c r="Q394" s="421" t="s">
        <v>3096</v>
      </c>
      <c r="R394" s="421" t="s">
        <v>1108</v>
      </c>
      <c r="S394" s="421" t="s">
        <v>1476</v>
      </c>
      <c r="T394" s="421" t="s">
        <v>1130</v>
      </c>
      <c r="U394" s="421" t="s">
        <v>3144</v>
      </c>
      <c r="V394" s="421" t="s">
        <v>3145</v>
      </c>
      <c r="W394" s="421" t="s">
        <v>3098</v>
      </c>
      <c r="X394" s="421" t="s">
        <v>3099</v>
      </c>
      <c r="Y394" s="421" t="s">
        <v>1117</v>
      </c>
      <c r="Z394" s="421" t="s">
        <v>1118</v>
      </c>
      <c r="AA394" s="421" t="s">
        <v>3100</v>
      </c>
      <c r="AB394" s="421" t="s">
        <v>3146</v>
      </c>
      <c r="AC394" s="421" t="s">
        <v>3102</v>
      </c>
      <c r="AD394" s="421" t="s">
        <v>3269</v>
      </c>
      <c r="AE394" s="421" t="s">
        <v>3333</v>
      </c>
      <c r="AF394" s="421" t="s">
        <v>2236</v>
      </c>
      <c r="AG394" s="421" t="s">
        <v>2237</v>
      </c>
      <c r="AH394" s="421" t="s">
        <v>3105</v>
      </c>
      <c r="AI394" s="421">
        <v>28000</v>
      </c>
      <c r="AJ394" s="421">
        <v>112.78</v>
      </c>
      <c r="AK394" s="421">
        <v>121</v>
      </c>
      <c r="AL394" s="421">
        <v>1</v>
      </c>
      <c r="AM394" s="421" t="s">
        <v>966</v>
      </c>
      <c r="AN394" s="421" t="s">
        <v>3271</v>
      </c>
      <c r="AO394" s="421" t="s">
        <v>1121</v>
      </c>
      <c r="AP394" s="421" t="s">
        <v>1121</v>
      </c>
      <c r="AQ394" s="421" t="s">
        <v>1476</v>
      </c>
      <c r="AR394" s="421" t="s">
        <v>3697</v>
      </c>
      <c r="AS394" s="421" t="s">
        <v>3739</v>
      </c>
      <c r="AT394" s="421" t="s">
        <v>3109</v>
      </c>
      <c r="AU394" s="421" t="s">
        <v>1341</v>
      </c>
      <c r="AV394" s="421" t="s">
        <v>962</v>
      </c>
      <c r="AW394" s="421" t="s">
        <v>3110</v>
      </c>
      <c r="AX394" s="421" t="s">
        <v>3111</v>
      </c>
      <c r="AY394" s="421" t="s">
        <v>3112</v>
      </c>
      <c r="AZ394" s="421" t="s">
        <v>3113</v>
      </c>
      <c r="BA394" s="421" t="s">
        <v>3114</v>
      </c>
      <c r="BB394" s="421" t="s">
        <v>3115</v>
      </c>
      <c r="BC394" s="421">
        <v>2054</v>
      </c>
      <c r="BD394" s="421">
        <v>5862383.0199999996</v>
      </c>
      <c r="BE394" s="421">
        <v>0</v>
      </c>
      <c r="BF394" s="421">
        <v>464</v>
      </c>
      <c r="BG394" s="421">
        <v>24</v>
      </c>
      <c r="BH394" s="421">
        <v>0</v>
      </c>
      <c r="BI394" s="421" t="s">
        <v>1167</v>
      </c>
    </row>
    <row r="395" spans="1:61" x14ac:dyDescent="0.25">
      <c r="A395" s="421">
        <v>392</v>
      </c>
      <c r="B395" s="421">
        <v>2015</v>
      </c>
      <c r="C395" s="421">
        <v>7</v>
      </c>
      <c r="D395" s="421">
        <v>31</v>
      </c>
      <c r="E395" s="421" t="s">
        <v>1475</v>
      </c>
      <c r="F395" s="421" t="s">
        <v>3695</v>
      </c>
      <c r="G395" s="421" t="s">
        <v>3216</v>
      </c>
      <c r="H395" s="421" t="s">
        <v>1107</v>
      </c>
      <c r="I395" s="421" t="s">
        <v>2278</v>
      </c>
      <c r="J395" s="421" t="s">
        <v>3740</v>
      </c>
      <c r="K395" s="421" t="s">
        <v>3093</v>
      </c>
      <c r="L395" s="421" t="s">
        <v>3094</v>
      </c>
      <c r="M395" s="421" t="s">
        <v>2667</v>
      </c>
      <c r="N395" s="421" t="s">
        <v>3093</v>
      </c>
      <c r="O395" s="421" t="s">
        <v>3094</v>
      </c>
      <c r="P395" s="421" t="s">
        <v>3095</v>
      </c>
      <c r="Q395" s="421" t="s">
        <v>3113</v>
      </c>
      <c r="R395" s="421" t="s">
        <v>1108</v>
      </c>
      <c r="S395" s="421" t="s">
        <v>1108</v>
      </c>
      <c r="T395" s="421" t="s">
        <v>1130</v>
      </c>
      <c r="U395" s="421" t="s">
        <v>1112</v>
      </c>
      <c r="V395" s="421" t="s">
        <v>3097</v>
      </c>
      <c r="W395" s="421" t="s">
        <v>3098</v>
      </c>
      <c r="X395" s="421" t="s">
        <v>3099</v>
      </c>
      <c r="Y395" s="421" t="s">
        <v>1117</v>
      </c>
      <c r="Z395" s="421" t="s">
        <v>1118</v>
      </c>
      <c r="AA395" s="421" t="s">
        <v>3100</v>
      </c>
      <c r="AB395" s="421" t="s">
        <v>3101</v>
      </c>
      <c r="AC395" s="421" t="s">
        <v>3102</v>
      </c>
      <c r="AD395" s="421" t="s">
        <v>3134</v>
      </c>
      <c r="AE395" s="421" t="s">
        <v>3741</v>
      </c>
      <c r="AF395" s="421" t="s">
        <v>1387</v>
      </c>
      <c r="AG395" s="421" t="s">
        <v>1388</v>
      </c>
      <c r="AH395" s="421" t="s">
        <v>3105</v>
      </c>
      <c r="AI395" s="421">
        <v>3504</v>
      </c>
      <c r="AJ395" s="421">
        <v>364.7</v>
      </c>
      <c r="AK395" s="421">
        <v>429.17</v>
      </c>
      <c r="AL395" s="421">
        <v>1</v>
      </c>
      <c r="AM395" s="421" t="s">
        <v>3136</v>
      </c>
      <c r="AN395" s="421" t="s">
        <v>3742</v>
      </c>
      <c r="AO395" s="421" t="s">
        <v>1121</v>
      </c>
      <c r="AP395" s="421" t="s">
        <v>1121</v>
      </c>
      <c r="AQ395" s="421" t="s">
        <v>1108</v>
      </c>
      <c r="AR395" s="421" t="s">
        <v>3697</v>
      </c>
      <c r="AS395" s="421" t="s">
        <v>3743</v>
      </c>
      <c r="AT395" s="421" t="s">
        <v>3109</v>
      </c>
      <c r="AU395" s="421" t="s">
        <v>1142</v>
      </c>
      <c r="AV395" s="421" t="s">
        <v>3174</v>
      </c>
      <c r="AW395" s="421" t="s">
        <v>3110</v>
      </c>
      <c r="AX395" s="421" t="s">
        <v>3111</v>
      </c>
      <c r="AY395" s="421" t="s">
        <v>3193</v>
      </c>
      <c r="AZ395" s="421" t="s">
        <v>3113</v>
      </c>
      <c r="BA395" s="421" t="s">
        <v>3114</v>
      </c>
      <c r="BB395" s="421" t="s">
        <v>3115</v>
      </c>
      <c r="BC395" s="421">
        <v>4380</v>
      </c>
      <c r="BD395" s="421">
        <v>12553255.199999999</v>
      </c>
      <c r="BE395" s="421">
        <v>0</v>
      </c>
      <c r="BF395" s="421">
        <v>0</v>
      </c>
      <c r="BG395" s="421">
        <v>0</v>
      </c>
      <c r="BH395" s="421">
        <v>0</v>
      </c>
      <c r="BI395" s="421" t="s">
        <v>1149</v>
      </c>
    </row>
    <row r="396" spans="1:61" x14ac:dyDescent="0.25">
      <c r="A396" s="421">
        <v>393</v>
      </c>
      <c r="B396" s="421">
        <v>2015</v>
      </c>
      <c r="C396" s="421">
        <v>7</v>
      </c>
      <c r="D396" s="421">
        <v>31</v>
      </c>
      <c r="E396" s="421" t="s">
        <v>1475</v>
      </c>
      <c r="F396" s="421" t="s">
        <v>3695</v>
      </c>
      <c r="G396" s="421" t="s">
        <v>3216</v>
      </c>
      <c r="H396" s="421" t="s">
        <v>1107</v>
      </c>
      <c r="I396" s="421" t="s">
        <v>2278</v>
      </c>
      <c r="J396" s="421" t="s">
        <v>3740</v>
      </c>
      <c r="K396" s="421" t="s">
        <v>3093</v>
      </c>
      <c r="L396" s="421" t="s">
        <v>3094</v>
      </c>
      <c r="M396" s="421" t="s">
        <v>2667</v>
      </c>
      <c r="N396" s="421" t="s">
        <v>3093</v>
      </c>
      <c r="O396" s="421" t="s">
        <v>3094</v>
      </c>
      <c r="P396" s="421" t="s">
        <v>3095</v>
      </c>
      <c r="Q396" s="421" t="s">
        <v>3113</v>
      </c>
      <c r="R396" s="421" t="s">
        <v>1108</v>
      </c>
      <c r="S396" s="421" t="s">
        <v>1108</v>
      </c>
      <c r="T396" s="421" t="s">
        <v>1130</v>
      </c>
      <c r="U396" s="421" t="s">
        <v>1112</v>
      </c>
      <c r="V396" s="421" t="s">
        <v>3097</v>
      </c>
      <c r="W396" s="421" t="s">
        <v>3098</v>
      </c>
      <c r="X396" s="421" t="s">
        <v>3099</v>
      </c>
      <c r="Y396" s="421" t="s">
        <v>1117</v>
      </c>
      <c r="Z396" s="421" t="s">
        <v>1118</v>
      </c>
      <c r="AA396" s="421" t="s">
        <v>3100</v>
      </c>
      <c r="AB396" s="421" t="s">
        <v>3101</v>
      </c>
      <c r="AC396" s="421" t="s">
        <v>3102</v>
      </c>
      <c r="AD396" s="421" t="s">
        <v>3134</v>
      </c>
      <c r="AE396" s="421" t="s">
        <v>3741</v>
      </c>
      <c r="AF396" s="421" t="s">
        <v>1402</v>
      </c>
      <c r="AG396" s="421" t="s">
        <v>1403</v>
      </c>
      <c r="AH396" s="421" t="s">
        <v>3105</v>
      </c>
      <c r="AI396" s="421">
        <v>300</v>
      </c>
      <c r="AJ396" s="421">
        <v>2.85</v>
      </c>
      <c r="AK396" s="421">
        <v>3.35</v>
      </c>
      <c r="AL396" s="421">
        <v>2</v>
      </c>
      <c r="AM396" s="421" t="s">
        <v>3136</v>
      </c>
      <c r="AN396" s="421" t="s">
        <v>3742</v>
      </c>
      <c r="AO396" s="421" t="s">
        <v>1121</v>
      </c>
      <c r="AP396" s="421" t="s">
        <v>1121</v>
      </c>
      <c r="AQ396" s="421" t="s">
        <v>1108</v>
      </c>
      <c r="AR396" s="421" t="s">
        <v>3697</v>
      </c>
      <c r="AS396" s="421" t="s">
        <v>3743</v>
      </c>
      <c r="AT396" s="421" t="s">
        <v>3109</v>
      </c>
      <c r="AU396" s="421" t="s">
        <v>1142</v>
      </c>
      <c r="AV396" s="421" t="s">
        <v>3174</v>
      </c>
      <c r="AW396" s="421" t="s">
        <v>3110</v>
      </c>
      <c r="AX396" s="421" t="s">
        <v>3111</v>
      </c>
      <c r="AY396" s="421" t="s">
        <v>3193</v>
      </c>
      <c r="AZ396" s="421" t="s">
        <v>3113</v>
      </c>
      <c r="BA396" s="421" t="s">
        <v>3114</v>
      </c>
      <c r="BB396" s="421" t="s">
        <v>3115</v>
      </c>
      <c r="BC396" s="421">
        <v>69</v>
      </c>
      <c r="BD396" s="421">
        <v>197756.76</v>
      </c>
      <c r="BE396" s="421">
        <v>0</v>
      </c>
      <c r="BF396" s="421">
        <v>0</v>
      </c>
      <c r="BG396" s="421">
        <v>0</v>
      </c>
      <c r="BH396" s="421">
        <v>0</v>
      </c>
      <c r="BI396" s="421" t="s">
        <v>1149</v>
      </c>
    </row>
    <row r="397" spans="1:61" x14ac:dyDescent="0.25">
      <c r="A397" s="421">
        <v>394</v>
      </c>
      <c r="B397" s="421">
        <v>2015</v>
      </c>
      <c r="C397" s="421">
        <v>7</v>
      </c>
      <c r="D397" s="421">
        <v>31</v>
      </c>
      <c r="E397" s="421" t="s">
        <v>1475</v>
      </c>
      <c r="F397" s="421" t="s">
        <v>3695</v>
      </c>
      <c r="G397" s="421" t="s">
        <v>3216</v>
      </c>
      <c r="H397" s="421" t="s">
        <v>1107</v>
      </c>
      <c r="I397" s="421" t="s">
        <v>2278</v>
      </c>
      <c r="J397" s="421" t="s">
        <v>3740</v>
      </c>
      <c r="K397" s="421" t="s">
        <v>3093</v>
      </c>
      <c r="L397" s="421" t="s">
        <v>3094</v>
      </c>
      <c r="M397" s="421" t="s">
        <v>2667</v>
      </c>
      <c r="N397" s="421" t="s">
        <v>3093</v>
      </c>
      <c r="O397" s="421" t="s">
        <v>3094</v>
      </c>
      <c r="P397" s="421" t="s">
        <v>3095</v>
      </c>
      <c r="Q397" s="421" t="s">
        <v>3113</v>
      </c>
      <c r="R397" s="421" t="s">
        <v>1108</v>
      </c>
      <c r="S397" s="421" t="s">
        <v>1108</v>
      </c>
      <c r="T397" s="421" t="s">
        <v>1130</v>
      </c>
      <c r="U397" s="421" t="s">
        <v>1112</v>
      </c>
      <c r="V397" s="421" t="s">
        <v>3097</v>
      </c>
      <c r="W397" s="421" t="s">
        <v>3098</v>
      </c>
      <c r="X397" s="421" t="s">
        <v>3099</v>
      </c>
      <c r="Y397" s="421" t="s">
        <v>1117</v>
      </c>
      <c r="Z397" s="421" t="s">
        <v>1118</v>
      </c>
      <c r="AA397" s="421" t="s">
        <v>3100</v>
      </c>
      <c r="AB397" s="421" t="s">
        <v>3101</v>
      </c>
      <c r="AC397" s="421" t="s">
        <v>3102</v>
      </c>
      <c r="AD397" s="421" t="s">
        <v>3134</v>
      </c>
      <c r="AE397" s="421" t="s">
        <v>3741</v>
      </c>
      <c r="AF397" s="421" t="s">
        <v>1512</v>
      </c>
      <c r="AG397" s="421" t="s">
        <v>1513</v>
      </c>
      <c r="AH397" s="421" t="s">
        <v>3105</v>
      </c>
      <c r="AI397" s="421">
        <v>1200</v>
      </c>
      <c r="AJ397" s="421">
        <v>4.09</v>
      </c>
      <c r="AK397" s="421">
        <v>4.8099999999999996</v>
      </c>
      <c r="AL397" s="421">
        <v>3</v>
      </c>
      <c r="AM397" s="421" t="s">
        <v>3136</v>
      </c>
      <c r="AN397" s="421" t="s">
        <v>3742</v>
      </c>
      <c r="AO397" s="421" t="s">
        <v>1121</v>
      </c>
      <c r="AP397" s="421" t="s">
        <v>1121</v>
      </c>
      <c r="AQ397" s="421" t="s">
        <v>1108</v>
      </c>
      <c r="AR397" s="421" t="s">
        <v>3697</v>
      </c>
      <c r="AS397" s="421" t="s">
        <v>3743</v>
      </c>
      <c r="AT397" s="421" t="s">
        <v>3109</v>
      </c>
      <c r="AU397" s="421" t="s">
        <v>1142</v>
      </c>
      <c r="AV397" s="421" t="s">
        <v>3174</v>
      </c>
      <c r="AW397" s="421" t="s">
        <v>3110</v>
      </c>
      <c r="AX397" s="421" t="s">
        <v>3111</v>
      </c>
      <c r="AY397" s="421" t="s">
        <v>3193</v>
      </c>
      <c r="AZ397" s="421" t="s">
        <v>3113</v>
      </c>
      <c r="BA397" s="421" t="s">
        <v>3114</v>
      </c>
      <c r="BB397" s="421" t="s">
        <v>3115</v>
      </c>
      <c r="BC397" s="421">
        <v>40</v>
      </c>
      <c r="BD397" s="421">
        <v>114641.60000000001</v>
      </c>
      <c r="BE397" s="421">
        <v>0</v>
      </c>
      <c r="BF397" s="421">
        <v>0</v>
      </c>
      <c r="BG397" s="421">
        <v>0</v>
      </c>
      <c r="BH397" s="421">
        <v>0</v>
      </c>
      <c r="BI397" s="421" t="s">
        <v>1149</v>
      </c>
    </row>
    <row r="398" spans="1:61" x14ac:dyDescent="0.25">
      <c r="A398" s="421">
        <v>395</v>
      </c>
      <c r="B398" s="421">
        <v>2015</v>
      </c>
      <c r="C398" s="421">
        <v>7</v>
      </c>
      <c r="D398" s="421">
        <v>31</v>
      </c>
      <c r="E398" s="421" t="s">
        <v>1475</v>
      </c>
      <c r="F398" s="421" t="s">
        <v>3695</v>
      </c>
      <c r="G398" s="421" t="s">
        <v>3216</v>
      </c>
      <c r="H398" s="421" t="s">
        <v>1107</v>
      </c>
      <c r="I398" s="421" t="s">
        <v>2278</v>
      </c>
      <c r="J398" s="421" t="s">
        <v>3744</v>
      </c>
      <c r="K398" s="421" t="s">
        <v>3093</v>
      </c>
      <c r="L398" s="421" t="s">
        <v>3094</v>
      </c>
      <c r="M398" s="421" t="s">
        <v>2667</v>
      </c>
      <c r="N398" s="421" t="s">
        <v>3093</v>
      </c>
      <c r="O398" s="421" t="s">
        <v>3094</v>
      </c>
      <c r="P398" s="421" t="s">
        <v>3095</v>
      </c>
      <c r="Q398" s="421" t="s">
        <v>3096</v>
      </c>
      <c r="R398" s="421" t="s">
        <v>1108</v>
      </c>
      <c r="S398" s="421" t="s">
        <v>1542</v>
      </c>
      <c r="T398" s="421" t="s">
        <v>1130</v>
      </c>
      <c r="U398" s="421" t="s">
        <v>1112</v>
      </c>
      <c r="V398" s="421" t="s">
        <v>3097</v>
      </c>
      <c r="W398" s="421" t="s">
        <v>3098</v>
      </c>
      <c r="X398" s="421" t="s">
        <v>3099</v>
      </c>
      <c r="Y398" s="421" t="s">
        <v>1117</v>
      </c>
      <c r="Z398" s="421" t="s">
        <v>1118</v>
      </c>
      <c r="AA398" s="421" t="s">
        <v>3100</v>
      </c>
      <c r="AB398" s="421" t="s">
        <v>3101</v>
      </c>
      <c r="AC398" s="421" t="s">
        <v>3102</v>
      </c>
      <c r="AD398" s="421" t="s">
        <v>3170</v>
      </c>
      <c r="AE398" s="421" t="s">
        <v>3171</v>
      </c>
      <c r="AF398" s="421" t="s">
        <v>2236</v>
      </c>
      <c r="AG398" s="421" t="s">
        <v>2237</v>
      </c>
      <c r="AH398" s="421" t="s">
        <v>3105</v>
      </c>
      <c r="AI398" s="421">
        <v>263000</v>
      </c>
      <c r="AJ398" s="421">
        <v>611.5</v>
      </c>
      <c r="AK398" s="421">
        <v>663.66</v>
      </c>
      <c r="AL398" s="421">
        <v>2</v>
      </c>
      <c r="AM398" s="421" t="s">
        <v>2429</v>
      </c>
      <c r="AN398" s="421" t="s">
        <v>3172</v>
      </c>
      <c r="AO398" s="421" t="s">
        <v>1121</v>
      </c>
      <c r="AP398" s="421" t="s">
        <v>1121</v>
      </c>
      <c r="AQ398" s="421" t="s">
        <v>1542</v>
      </c>
      <c r="AR398" s="421" t="s">
        <v>3697</v>
      </c>
      <c r="AS398" s="421" t="s">
        <v>3745</v>
      </c>
      <c r="AT398" s="421" t="s">
        <v>3109</v>
      </c>
      <c r="AU398" s="421" t="s">
        <v>1142</v>
      </c>
      <c r="AV398" s="421" t="s">
        <v>2520</v>
      </c>
      <c r="AW398" s="421" t="s">
        <v>3110</v>
      </c>
      <c r="AX398" s="421" t="s">
        <v>3111</v>
      </c>
      <c r="AY398" s="421" t="s">
        <v>3112</v>
      </c>
      <c r="AZ398" s="421" t="s">
        <v>3113</v>
      </c>
      <c r="BA398" s="421" t="s">
        <v>3114</v>
      </c>
      <c r="BB398" s="421" t="s">
        <v>3115</v>
      </c>
      <c r="BC398" s="421">
        <v>9277</v>
      </c>
      <c r="BD398" s="421">
        <v>26588253.079999998</v>
      </c>
      <c r="BE398" s="421">
        <v>0</v>
      </c>
      <c r="BF398" s="421">
        <v>297.56</v>
      </c>
      <c r="BG398" s="421">
        <v>23.94</v>
      </c>
      <c r="BH398" s="421">
        <v>0</v>
      </c>
      <c r="BI398" s="421" t="s">
        <v>1331</v>
      </c>
    </row>
    <row r="399" spans="1:61" x14ac:dyDescent="0.25">
      <c r="A399" s="421">
        <v>396</v>
      </c>
      <c r="B399" s="421">
        <v>2015</v>
      </c>
      <c r="C399" s="421">
        <v>7</v>
      </c>
      <c r="D399" s="421">
        <v>31</v>
      </c>
      <c r="E399" s="421" t="s">
        <v>1475</v>
      </c>
      <c r="F399" s="421" t="s">
        <v>3695</v>
      </c>
      <c r="G399" s="421" t="s">
        <v>3216</v>
      </c>
      <c r="H399" s="421" t="s">
        <v>1107</v>
      </c>
      <c r="I399" s="421" t="s">
        <v>2278</v>
      </c>
      <c r="J399" s="421" t="s">
        <v>3744</v>
      </c>
      <c r="K399" s="421" t="s">
        <v>3093</v>
      </c>
      <c r="L399" s="421" t="s">
        <v>3094</v>
      </c>
      <c r="M399" s="421" t="s">
        <v>2667</v>
      </c>
      <c r="N399" s="421" t="s">
        <v>3093</v>
      </c>
      <c r="O399" s="421" t="s">
        <v>3094</v>
      </c>
      <c r="P399" s="421" t="s">
        <v>3095</v>
      </c>
      <c r="Q399" s="421" t="s">
        <v>3096</v>
      </c>
      <c r="R399" s="421" t="s">
        <v>1108</v>
      </c>
      <c r="S399" s="421" t="s">
        <v>1542</v>
      </c>
      <c r="T399" s="421" t="s">
        <v>1130</v>
      </c>
      <c r="U399" s="421" t="s">
        <v>1112</v>
      </c>
      <c r="V399" s="421" t="s">
        <v>3097</v>
      </c>
      <c r="W399" s="421" t="s">
        <v>3098</v>
      </c>
      <c r="X399" s="421" t="s">
        <v>3099</v>
      </c>
      <c r="Y399" s="421" t="s">
        <v>1117</v>
      </c>
      <c r="Z399" s="421" t="s">
        <v>1118</v>
      </c>
      <c r="AA399" s="421" t="s">
        <v>3100</v>
      </c>
      <c r="AB399" s="421" t="s">
        <v>3101</v>
      </c>
      <c r="AC399" s="421" t="s">
        <v>3102</v>
      </c>
      <c r="AD399" s="421" t="s">
        <v>3170</v>
      </c>
      <c r="AE399" s="421" t="s">
        <v>3171</v>
      </c>
      <c r="AF399" s="421" t="s">
        <v>2236</v>
      </c>
      <c r="AG399" s="421" t="s">
        <v>2237</v>
      </c>
      <c r="AH399" s="421" t="s">
        <v>3105</v>
      </c>
      <c r="AI399" s="421">
        <v>9250</v>
      </c>
      <c r="AJ399" s="421">
        <v>43.82</v>
      </c>
      <c r="AK399" s="421">
        <v>47.56</v>
      </c>
      <c r="AL399" s="421">
        <v>3</v>
      </c>
      <c r="AM399" s="421" t="s">
        <v>2429</v>
      </c>
      <c r="AN399" s="421" t="s">
        <v>3172</v>
      </c>
      <c r="AO399" s="421" t="s">
        <v>1121</v>
      </c>
      <c r="AP399" s="421" t="s">
        <v>1121</v>
      </c>
      <c r="AQ399" s="421" t="s">
        <v>1542</v>
      </c>
      <c r="AR399" s="421" t="s">
        <v>3697</v>
      </c>
      <c r="AS399" s="421" t="s">
        <v>3745</v>
      </c>
      <c r="AT399" s="421" t="s">
        <v>3109</v>
      </c>
      <c r="AU399" s="421" t="s">
        <v>1142</v>
      </c>
      <c r="AV399" s="421" t="s">
        <v>2520</v>
      </c>
      <c r="AW399" s="421" t="s">
        <v>3110</v>
      </c>
      <c r="AX399" s="421" t="s">
        <v>3111</v>
      </c>
      <c r="AY399" s="421" t="s">
        <v>3112</v>
      </c>
      <c r="AZ399" s="421" t="s">
        <v>3113</v>
      </c>
      <c r="BA399" s="421" t="s">
        <v>3114</v>
      </c>
      <c r="BB399" s="421" t="s">
        <v>3115</v>
      </c>
      <c r="BC399" s="421">
        <v>1208.5</v>
      </c>
      <c r="BD399" s="421">
        <v>3463609.34</v>
      </c>
      <c r="BE399" s="421">
        <v>0</v>
      </c>
      <c r="BF399" s="421">
        <v>38.76</v>
      </c>
      <c r="BG399" s="421">
        <v>3.12</v>
      </c>
      <c r="BH399" s="421">
        <v>0</v>
      </c>
      <c r="BI399" s="421" t="s">
        <v>1331</v>
      </c>
    </row>
    <row r="400" spans="1:61" x14ac:dyDescent="0.25">
      <c r="A400" s="421">
        <v>397</v>
      </c>
      <c r="B400" s="421">
        <v>2015</v>
      </c>
      <c r="C400" s="421">
        <v>7</v>
      </c>
      <c r="D400" s="421">
        <v>31</v>
      </c>
      <c r="E400" s="421" t="s">
        <v>1475</v>
      </c>
      <c r="F400" s="421" t="s">
        <v>3695</v>
      </c>
      <c r="G400" s="421" t="s">
        <v>3216</v>
      </c>
      <c r="H400" s="421" t="s">
        <v>1107</v>
      </c>
      <c r="I400" s="421" t="s">
        <v>2278</v>
      </c>
      <c r="J400" s="421" t="s">
        <v>3744</v>
      </c>
      <c r="K400" s="421" t="s">
        <v>3093</v>
      </c>
      <c r="L400" s="421" t="s">
        <v>3094</v>
      </c>
      <c r="M400" s="421" t="s">
        <v>2667</v>
      </c>
      <c r="N400" s="421" t="s">
        <v>3093</v>
      </c>
      <c r="O400" s="421" t="s">
        <v>3094</v>
      </c>
      <c r="P400" s="421" t="s">
        <v>3095</v>
      </c>
      <c r="Q400" s="421" t="s">
        <v>3096</v>
      </c>
      <c r="R400" s="421" t="s">
        <v>1108</v>
      </c>
      <c r="S400" s="421" t="s">
        <v>1542</v>
      </c>
      <c r="T400" s="421" t="s">
        <v>1130</v>
      </c>
      <c r="U400" s="421" t="s">
        <v>1112</v>
      </c>
      <c r="V400" s="421" t="s">
        <v>3097</v>
      </c>
      <c r="W400" s="421" t="s">
        <v>3098</v>
      </c>
      <c r="X400" s="421" t="s">
        <v>3099</v>
      </c>
      <c r="Y400" s="421" t="s">
        <v>1117</v>
      </c>
      <c r="Z400" s="421" t="s">
        <v>1118</v>
      </c>
      <c r="AA400" s="421" t="s">
        <v>3100</v>
      </c>
      <c r="AB400" s="421" t="s">
        <v>3101</v>
      </c>
      <c r="AC400" s="421" t="s">
        <v>3102</v>
      </c>
      <c r="AD400" s="421" t="s">
        <v>3170</v>
      </c>
      <c r="AE400" s="421" t="s">
        <v>3171</v>
      </c>
      <c r="AF400" s="421" t="s">
        <v>2236</v>
      </c>
      <c r="AG400" s="421" t="s">
        <v>2237</v>
      </c>
      <c r="AH400" s="421" t="s">
        <v>3105</v>
      </c>
      <c r="AI400" s="421">
        <v>12400</v>
      </c>
      <c r="AJ400" s="421">
        <v>59.89</v>
      </c>
      <c r="AK400" s="421">
        <v>65</v>
      </c>
      <c r="AL400" s="421">
        <v>4</v>
      </c>
      <c r="AM400" s="421" t="s">
        <v>2429</v>
      </c>
      <c r="AN400" s="421" t="s">
        <v>3172</v>
      </c>
      <c r="AO400" s="421" t="s">
        <v>1121</v>
      </c>
      <c r="AP400" s="421" t="s">
        <v>1121</v>
      </c>
      <c r="AQ400" s="421" t="s">
        <v>1542</v>
      </c>
      <c r="AR400" s="421" t="s">
        <v>3697</v>
      </c>
      <c r="AS400" s="421" t="s">
        <v>3745</v>
      </c>
      <c r="AT400" s="421" t="s">
        <v>3109</v>
      </c>
      <c r="AU400" s="421" t="s">
        <v>1142</v>
      </c>
      <c r="AV400" s="421" t="s">
        <v>2520</v>
      </c>
      <c r="AW400" s="421" t="s">
        <v>3110</v>
      </c>
      <c r="AX400" s="421" t="s">
        <v>3111</v>
      </c>
      <c r="AY400" s="421" t="s">
        <v>3112</v>
      </c>
      <c r="AZ400" s="421" t="s">
        <v>3113</v>
      </c>
      <c r="BA400" s="421" t="s">
        <v>3114</v>
      </c>
      <c r="BB400" s="421" t="s">
        <v>3115</v>
      </c>
      <c r="BC400" s="421">
        <v>1804</v>
      </c>
      <c r="BD400" s="421">
        <v>5170336.16</v>
      </c>
      <c r="BE400" s="421">
        <v>0</v>
      </c>
      <c r="BF400" s="421">
        <v>57.86</v>
      </c>
      <c r="BG400" s="421">
        <v>4.6500000000000004</v>
      </c>
      <c r="BH400" s="421">
        <v>0</v>
      </c>
      <c r="BI400" s="421" t="s">
        <v>1331</v>
      </c>
    </row>
    <row r="401" spans="1:61" x14ac:dyDescent="0.25">
      <c r="A401" s="421">
        <v>398</v>
      </c>
      <c r="B401" s="421">
        <v>2015</v>
      </c>
      <c r="C401" s="421">
        <v>7</v>
      </c>
      <c r="D401" s="421">
        <v>31</v>
      </c>
      <c r="E401" s="421" t="s">
        <v>1475</v>
      </c>
      <c r="F401" s="421" t="s">
        <v>3695</v>
      </c>
      <c r="G401" s="421" t="s">
        <v>3216</v>
      </c>
      <c r="H401" s="421" t="s">
        <v>1107</v>
      </c>
      <c r="I401" s="421" t="s">
        <v>2278</v>
      </c>
      <c r="J401" s="421" t="s">
        <v>3744</v>
      </c>
      <c r="K401" s="421" t="s">
        <v>3093</v>
      </c>
      <c r="L401" s="421" t="s">
        <v>3094</v>
      </c>
      <c r="M401" s="421" t="s">
        <v>2667</v>
      </c>
      <c r="N401" s="421" t="s">
        <v>3093</v>
      </c>
      <c r="O401" s="421" t="s">
        <v>3094</v>
      </c>
      <c r="P401" s="421" t="s">
        <v>3095</v>
      </c>
      <c r="Q401" s="421" t="s">
        <v>3096</v>
      </c>
      <c r="R401" s="421" t="s">
        <v>1108</v>
      </c>
      <c r="S401" s="421" t="s">
        <v>1542</v>
      </c>
      <c r="T401" s="421" t="s">
        <v>1130</v>
      </c>
      <c r="U401" s="421" t="s">
        <v>1112</v>
      </c>
      <c r="V401" s="421" t="s">
        <v>3097</v>
      </c>
      <c r="W401" s="421" t="s">
        <v>3098</v>
      </c>
      <c r="X401" s="421" t="s">
        <v>3099</v>
      </c>
      <c r="Y401" s="421" t="s">
        <v>1117</v>
      </c>
      <c r="Z401" s="421" t="s">
        <v>1118</v>
      </c>
      <c r="AA401" s="421" t="s">
        <v>3100</v>
      </c>
      <c r="AB401" s="421" t="s">
        <v>3101</v>
      </c>
      <c r="AC401" s="421" t="s">
        <v>3102</v>
      </c>
      <c r="AD401" s="421" t="s">
        <v>3170</v>
      </c>
      <c r="AE401" s="421" t="s">
        <v>3171</v>
      </c>
      <c r="AF401" s="421" t="s">
        <v>2236</v>
      </c>
      <c r="AG401" s="421" t="s">
        <v>2237</v>
      </c>
      <c r="AH401" s="421" t="s">
        <v>3105</v>
      </c>
      <c r="AI401" s="421">
        <v>750400</v>
      </c>
      <c r="AJ401" s="421">
        <v>1585.25</v>
      </c>
      <c r="AK401" s="421">
        <v>1720.47</v>
      </c>
      <c r="AL401" s="421">
        <v>1</v>
      </c>
      <c r="AM401" s="421" t="s">
        <v>2429</v>
      </c>
      <c r="AN401" s="421" t="s">
        <v>3172</v>
      </c>
      <c r="AO401" s="421" t="s">
        <v>1121</v>
      </c>
      <c r="AP401" s="421" t="s">
        <v>1121</v>
      </c>
      <c r="AQ401" s="421" t="s">
        <v>1542</v>
      </c>
      <c r="AR401" s="421" t="s">
        <v>3697</v>
      </c>
      <c r="AS401" s="421" t="s">
        <v>3745</v>
      </c>
      <c r="AT401" s="421" t="s">
        <v>3109</v>
      </c>
      <c r="AU401" s="421" t="s">
        <v>1142</v>
      </c>
      <c r="AV401" s="421" t="s">
        <v>2520</v>
      </c>
      <c r="AW401" s="421" t="s">
        <v>3110</v>
      </c>
      <c r="AX401" s="421" t="s">
        <v>3111</v>
      </c>
      <c r="AY401" s="421" t="s">
        <v>3112</v>
      </c>
      <c r="AZ401" s="421" t="s">
        <v>3113</v>
      </c>
      <c r="BA401" s="421" t="s">
        <v>3114</v>
      </c>
      <c r="BB401" s="421" t="s">
        <v>3115</v>
      </c>
      <c r="BC401" s="421">
        <v>23564.2</v>
      </c>
      <c r="BD401" s="421">
        <v>67535939.769999996</v>
      </c>
      <c r="BE401" s="421">
        <v>0</v>
      </c>
      <c r="BF401" s="421">
        <v>755.82</v>
      </c>
      <c r="BG401" s="421">
        <v>60.8</v>
      </c>
      <c r="BH401" s="421">
        <v>0</v>
      </c>
      <c r="BI401" s="421" t="s">
        <v>1331</v>
      </c>
    </row>
    <row r="402" spans="1:61" x14ac:dyDescent="0.25">
      <c r="A402" s="421">
        <v>399</v>
      </c>
      <c r="B402" s="421">
        <v>2015</v>
      </c>
      <c r="C402" s="421">
        <v>7</v>
      </c>
      <c r="D402" s="421">
        <v>31</v>
      </c>
      <c r="E402" s="421" t="s">
        <v>1475</v>
      </c>
      <c r="F402" s="421" t="s">
        <v>3695</v>
      </c>
      <c r="G402" s="421" t="s">
        <v>3216</v>
      </c>
      <c r="H402" s="421" t="s">
        <v>1107</v>
      </c>
      <c r="I402" s="421" t="s">
        <v>2278</v>
      </c>
      <c r="J402" s="421" t="s">
        <v>3746</v>
      </c>
      <c r="K402" s="421" t="s">
        <v>3093</v>
      </c>
      <c r="L402" s="421" t="s">
        <v>3094</v>
      </c>
      <c r="M402" s="421" t="s">
        <v>2667</v>
      </c>
      <c r="N402" s="421" t="s">
        <v>3093</v>
      </c>
      <c r="O402" s="421" t="s">
        <v>3094</v>
      </c>
      <c r="P402" s="421" t="s">
        <v>3095</v>
      </c>
      <c r="Q402" s="421" t="s">
        <v>3113</v>
      </c>
      <c r="R402" s="421" t="s">
        <v>1542</v>
      </c>
      <c r="S402" s="421" t="s">
        <v>1542</v>
      </c>
      <c r="T402" s="421" t="s">
        <v>1130</v>
      </c>
      <c r="U402" s="421" t="s">
        <v>1112</v>
      </c>
      <c r="V402" s="421" t="s">
        <v>3097</v>
      </c>
      <c r="W402" s="421" t="s">
        <v>3098</v>
      </c>
      <c r="X402" s="421" t="s">
        <v>3099</v>
      </c>
      <c r="Y402" s="421" t="s">
        <v>1117</v>
      </c>
      <c r="Z402" s="421" t="s">
        <v>1118</v>
      </c>
      <c r="AA402" s="421" t="s">
        <v>3100</v>
      </c>
      <c r="AB402" s="421" t="s">
        <v>3101</v>
      </c>
      <c r="AC402" s="421" t="s">
        <v>3102</v>
      </c>
      <c r="AD402" s="421" t="s">
        <v>3439</v>
      </c>
      <c r="AE402" s="421" t="s">
        <v>3440</v>
      </c>
      <c r="AF402" s="421" t="s">
        <v>2236</v>
      </c>
      <c r="AG402" s="421" t="s">
        <v>2237</v>
      </c>
      <c r="AH402" s="421" t="s">
        <v>3105</v>
      </c>
      <c r="AI402" s="421">
        <v>699750</v>
      </c>
      <c r="AJ402" s="421">
        <v>1459.34</v>
      </c>
      <c r="AK402" s="421">
        <v>1585.32</v>
      </c>
      <c r="AL402" s="421">
        <v>1</v>
      </c>
      <c r="AM402" s="421" t="s">
        <v>3441</v>
      </c>
      <c r="AN402" s="421" t="s">
        <v>3442</v>
      </c>
      <c r="AO402" s="421" t="s">
        <v>1121</v>
      </c>
      <c r="AP402" s="421" t="s">
        <v>1121</v>
      </c>
      <c r="AQ402" s="421" t="s">
        <v>1542</v>
      </c>
      <c r="AR402" s="421" t="s">
        <v>3697</v>
      </c>
      <c r="AS402" s="421" t="s">
        <v>3747</v>
      </c>
      <c r="AT402" s="421" t="s">
        <v>3109</v>
      </c>
      <c r="AU402" s="421" t="s">
        <v>1142</v>
      </c>
      <c r="AV402" s="421" t="s">
        <v>2520</v>
      </c>
      <c r="AW402" s="421" t="s">
        <v>3110</v>
      </c>
      <c r="AX402" s="421" t="s">
        <v>3111</v>
      </c>
      <c r="AY402" s="421" t="s">
        <v>3112</v>
      </c>
      <c r="AZ402" s="421" t="s">
        <v>3113</v>
      </c>
      <c r="BA402" s="421" t="s">
        <v>3114</v>
      </c>
      <c r="BB402" s="421" t="s">
        <v>3115</v>
      </c>
      <c r="BC402" s="421">
        <v>22911.5</v>
      </c>
      <c r="BD402" s="421">
        <v>65665275.460000001</v>
      </c>
      <c r="BE402" s="421">
        <v>0</v>
      </c>
      <c r="BF402" s="421">
        <v>2731.37</v>
      </c>
      <c r="BG402" s="421">
        <v>0</v>
      </c>
      <c r="BH402" s="421">
        <v>0</v>
      </c>
      <c r="BI402" s="421" t="s">
        <v>1167</v>
      </c>
    </row>
    <row r="403" spans="1:61" x14ac:dyDescent="0.25">
      <c r="A403" s="421">
        <v>400</v>
      </c>
      <c r="B403" s="421">
        <v>2015</v>
      </c>
      <c r="C403" s="421">
        <v>7</v>
      </c>
      <c r="D403" s="421">
        <v>31</v>
      </c>
      <c r="E403" s="421" t="s">
        <v>1475</v>
      </c>
      <c r="F403" s="421" t="s">
        <v>3695</v>
      </c>
      <c r="G403" s="421" t="s">
        <v>3216</v>
      </c>
      <c r="H403" s="421" t="s">
        <v>1107</v>
      </c>
      <c r="I403" s="421" t="s">
        <v>2278</v>
      </c>
      <c r="J403" s="421" t="s">
        <v>3746</v>
      </c>
      <c r="K403" s="421" t="s">
        <v>3093</v>
      </c>
      <c r="L403" s="421" t="s">
        <v>3094</v>
      </c>
      <c r="M403" s="421" t="s">
        <v>2667</v>
      </c>
      <c r="N403" s="421" t="s">
        <v>3093</v>
      </c>
      <c r="O403" s="421" t="s">
        <v>3094</v>
      </c>
      <c r="P403" s="421" t="s">
        <v>3095</v>
      </c>
      <c r="Q403" s="421" t="s">
        <v>3113</v>
      </c>
      <c r="R403" s="421" t="s">
        <v>1542</v>
      </c>
      <c r="S403" s="421" t="s">
        <v>1542</v>
      </c>
      <c r="T403" s="421" t="s">
        <v>1130</v>
      </c>
      <c r="U403" s="421" t="s">
        <v>1112</v>
      </c>
      <c r="V403" s="421" t="s">
        <v>3097</v>
      </c>
      <c r="W403" s="421" t="s">
        <v>3098</v>
      </c>
      <c r="X403" s="421" t="s">
        <v>3099</v>
      </c>
      <c r="Y403" s="421" t="s">
        <v>1117</v>
      </c>
      <c r="Z403" s="421" t="s">
        <v>1118</v>
      </c>
      <c r="AA403" s="421" t="s">
        <v>3100</v>
      </c>
      <c r="AB403" s="421" t="s">
        <v>3101</v>
      </c>
      <c r="AC403" s="421" t="s">
        <v>3102</v>
      </c>
      <c r="AD403" s="421" t="s">
        <v>3439</v>
      </c>
      <c r="AE403" s="421" t="s">
        <v>3440</v>
      </c>
      <c r="AF403" s="421" t="s">
        <v>2236</v>
      </c>
      <c r="AG403" s="421" t="s">
        <v>2237</v>
      </c>
      <c r="AH403" s="421" t="s">
        <v>3105</v>
      </c>
      <c r="AI403" s="421">
        <v>32500</v>
      </c>
      <c r="AJ403" s="421">
        <v>39.72</v>
      </c>
      <c r="AK403" s="421">
        <v>43.15</v>
      </c>
      <c r="AL403" s="421">
        <v>2</v>
      </c>
      <c r="AM403" s="421" t="s">
        <v>3441</v>
      </c>
      <c r="AN403" s="421" t="s">
        <v>3442</v>
      </c>
      <c r="AO403" s="421" t="s">
        <v>1121</v>
      </c>
      <c r="AP403" s="421" t="s">
        <v>1121</v>
      </c>
      <c r="AQ403" s="421" t="s">
        <v>1542</v>
      </c>
      <c r="AR403" s="421" t="s">
        <v>3697</v>
      </c>
      <c r="AS403" s="421" t="s">
        <v>3747</v>
      </c>
      <c r="AT403" s="421" t="s">
        <v>3109</v>
      </c>
      <c r="AU403" s="421" t="s">
        <v>1142</v>
      </c>
      <c r="AV403" s="421" t="s">
        <v>2520</v>
      </c>
      <c r="AW403" s="421" t="s">
        <v>3110</v>
      </c>
      <c r="AX403" s="421" t="s">
        <v>3111</v>
      </c>
      <c r="AY403" s="421" t="s">
        <v>3112</v>
      </c>
      <c r="AZ403" s="421" t="s">
        <v>3113</v>
      </c>
      <c r="BA403" s="421" t="s">
        <v>3114</v>
      </c>
      <c r="BB403" s="421" t="s">
        <v>3115</v>
      </c>
      <c r="BC403" s="421">
        <v>806</v>
      </c>
      <c r="BD403" s="421">
        <v>2310028.2400000002</v>
      </c>
      <c r="BE403" s="421">
        <v>0</v>
      </c>
      <c r="BF403" s="421">
        <v>96.09</v>
      </c>
      <c r="BG403" s="421">
        <v>0</v>
      </c>
      <c r="BH403" s="421">
        <v>0</v>
      </c>
      <c r="BI403" s="421" t="s">
        <v>1167</v>
      </c>
    </row>
    <row r="404" spans="1:61" x14ac:dyDescent="0.25">
      <c r="A404" s="421">
        <v>401</v>
      </c>
      <c r="B404" s="421">
        <v>2015</v>
      </c>
      <c r="C404" s="421">
        <v>7</v>
      </c>
      <c r="D404" s="421">
        <v>31</v>
      </c>
      <c r="E404" s="421" t="s">
        <v>1475</v>
      </c>
      <c r="F404" s="421" t="s">
        <v>3695</v>
      </c>
      <c r="G404" s="421" t="s">
        <v>3216</v>
      </c>
      <c r="H404" s="421" t="s">
        <v>1107</v>
      </c>
      <c r="I404" s="421" t="s">
        <v>2278</v>
      </c>
      <c r="J404" s="421" t="s">
        <v>3746</v>
      </c>
      <c r="K404" s="421" t="s">
        <v>3093</v>
      </c>
      <c r="L404" s="421" t="s">
        <v>3094</v>
      </c>
      <c r="M404" s="421" t="s">
        <v>2667</v>
      </c>
      <c r="N404" s="421" t="s">
        <v>3093</v>
      </c>
      <c r="O404" s="421" t="s">
        <v>3094</v>
      </c>
      <c r="P404" s="421" t="s">
        <v>3095</v>
      </c>
      <c r="Q404" s="421" t="s">
        <v>3113</v>
      </c>
      <c r="R404" s="421" t="s">
        <v>1542</v>
      </c>
      <c r="S404" s="421" t="s">
        <v>1542</v>
      </c>
      <c r="T404" s="421" t="s">
        <v>1130</v>
      </c>
      <c r="U404" s="421" t="s">
        <v>1112</v>
      </c>
      <c r="V404" s="421" t="s">
        <v>3097</v>
      </c>
      <c r="W404" s="421" t="s">
        <v>3098</v>
      </c>
      <c r="X404" s="421" t="s">
        <v>3099</v>
      </c>
      <c r="Y404" s="421" t="s">
        <v>1117</v>
      </c>
      <c r="Z404" s="421" t="s">
        <v>1118</v>
      </c>
      <c r="AA404" s="421" t="s">
        <v>3100</v>
      </c>
      <c r="AB404" s="421" t="s">
        <v>3101</v>
      </c>
      <c r="AC404" s="421" t="s">
        <v>3102</v>
      </c>
      <c r="AD404" s="421" t="s">
        <v>3439</v>
      </c>
      <c r="AE404" s="421" t="s">
        <v>3440</v>
      </c>
      <c r="AF404" s="421" t="s">
        <v>2236</v>
      </c>
      <c r="AG404" s="421" t="s">
        <v>2237</v>
      </c>
      <c r="AH404" s="421" t="s">
        <v>3105</v>
      </c>
      <c r="AI404" s="421">
        <v>28000</v>
      </c>
      <c r="AJ404" s="421">
        <v>73.849999999999994</v>
      </c>
      <c r="AK404" s="421">
        <v>80.23</v>
      </c>
      <c r="AL404" s="421">
        <v>3</v>
      </c>
      <c r="AM404" s="421" t="s">
        <v>3441</v>
      </c>
      <c r="AN404" s="421" t="s">
        <v>3442</v>
      </c>
      <c r="AO404" s="421" t="s">
        <v>1121</v>
      </c>
      <c r="AP404" s="421" t="s">
        <v>1121</v>
      </c>
      <c r="AQ404" s="421" t="s">
        <v>1542</v>
      </c>
      <c r="AR404" s="421" t="s">
        <v>3697</v>
      </c>
      <c r="AS404" s="421" t="s">
        <v>3747</v>
      </c>
      <c r="AT404" s="421" t="s">
        <v>3109</v>
      </c>
      <c r="AU404" s="421" t="s">
        <v>1142</v>
      </c>
      <c r="AV404" s="421" t="s">
        <v>2520</v>
      </c>
      <c r="AW404" s="421" t="s">
        <v>3110</v>
      </c>
      <c r="AX404" s="421" t="s">
        <v>3111</v>
      </c>
      <c r="AY404" s="421" t="s">
        <v>3112</v>
      </c>
      <c r="AZ404" s="421" t="s">
        <v>3113</v>
      </c>
      <c r="BA404" s="421" t="s">
        <v>3114</v>
      </c>
      <c r="BB404" s="421" t="s">
        <v>3115</v>
      </c>
      <c r="BC404" s="421">
        <v>2286.1999999999998</v>
      </c>
      <c r="BD404" s="421">
        <v>6552340.6500000004</v>
      </c>
      <c r="BE404" s="421">
        <v>0</v>
      </c>
      <c r="BF404" s="421">
        <v>272.55</v>
      </c>
      <c r="BG404" s="421">
        <v>0</v>
      </c>
      <c r="BH404" s="421">
        <v>0</v>
      </c>
      <c r="BI404" s="421" t="s">
        <v>1167</v>
      </c>
    </row>
    <row r="405" spans="1:61" x14ac:dyDescent="0.25">
      <c r="A405" s="421">
        <v>402</v>
      </c>
      <c r="B405" s="421">
        <v>2015</v>
      </c>
      <c r="C405" s="421">
        <v>7</v>
      </c>
      <c r="D405" s="421">
        <v>31</v>
      </c>
      <c r="E405" s="421" t="s">
        <v>1475</v>
      </c>
      <c r="F405" s="421" t="s">
        <v>3695</v>
      </c>
      <c r="G405" s="421" t="s">
        <v>3216</v>
      </c>
      <c r="H405" s="421" t="s">
        <v>1107</v>
      </c>
      <c r="I405" s="421" t="s">
        <v>2278</v>
      </c>
      <c r="J405" s="421" t="s">
        <v>3748</v>
      </c>
      <c r="K405" s="421" t="s">
        <v>3093</v>
      </c>
      <c r="L405" s="421" t="s">
        <v>3094</v>
      </c>
      <c r="M405" s="421" t="s">
        <v>2667</v>
      </c>
      <c r="N405" s="421" t="s">
        <v>3093</v>
      </c>
      <c r="O405" s="421" t="s">
        <v>3094</v>
      </c>
      <c r="P405" s="421" t="s">
        <v>3095</v>
      </c>
      <c r="Q405" s="421" t="s">
        <v>3113</v>
      </c>
      <c r="R405" s="421" t="s">
        <v>1542</v>
      </c>
      <c r="S405" s="421" t="s">
        <v>1542</v>
      </c>
      <c r="T405" s="421" t="s">
        <v>1130</v>
      </c>
      <c r="U405" s="421" t="s">
        <v>1112</v>
      </c>
      <c r="V405" s="421" t="s">
        <v>3097</v>
      </c>
      <c r="W405" s="421" t="s">
        <v>3098</v>
      </c>
      <c r="X405" s="421" t="s">
        <v>3099</v>
      </c>
      <c r="Y405" s="421" t="s">
        <v>1117</v>
      </c>
      <c r="Z405" s="421" t="s">
        <v>1118</v>
      </c>
      <c r="AA405" s="421" t="s">
        <v>3100</v>
      </c>
      <c r="AB405" s="421" t="s">
        <v>3101</v>
      </c>
      <c r="AC405" s="421" t="s">
        <v>3102</v>
      </c>
      <c r="AD405" s="421" t="s">
        <v>3439</v>
      </c>
      <c r="AE405" s="421" t="s">
        <v>3440</v>
      </c>
      <c r="AF405" s="421" t="s">
        <v>3375</v>
      </c>
      <c r="AG405" s="421" t="s">
        <v>3376</v>
      </c>
      <c r="AH405" s="421" t="s">
        <v>3105</v>
      </c>
      <c r="AI405" s="421">
        <v>150</v>
      </c>
      <c r="AJ405" s="421">
        <v>23.19</v>
      </c>
      <c r="AK405" s="421">
        <v>24.12</v>
      </c>
      <c r="AL405" s="421">
        <v>1</v>
      </c>
      <c r="AM405" s="421" t="s">
        <v>3441</v>
      </c>
      <c r="AN405" s="421" t="s">
        <v>3442</v>
      </c>
      <c r="AO405" s="421" t="s">
        <v>1121</v>
      </c>
      <c r="AP405" s="421" t="s">
        <v>1121</v>
      </c>
      <c r="AQ405" s="421" t="s">
        <v>1542</v>
      </c>
      <c r="AR405" s="421" t="s">
        <v>3697</v>
      </c>
      <c r="AS405" s="421" t="s">
        <v>3749</v>
      </c>
      <c r="AT405" s="421" t="s">
        <v>3109</v>
      </c>
      <c r="AU405" s="421" t="s">
        <v>1142</v>
      </c>
      <c r="AV405" s="421" t="s">
        <v>2520</v>
      </c>
      <c r="AW405" s="421" t="s">
        <v>3110</v>
      </c>
      <c r="AX405" s="421" t="s">
        <v>3229</v>
      </c>
      <c r="AY405" s="421" t="s">
        <v>3112</v>
      </c>
      <c r="AZ405" s="421" t="s">
        <v>3113</v>
      </c>
      <c r="BA405" s="421" t="s">
        <v>3114</v>
      </c>
      <c r="BB405" s="421" t="s">
        <v>3230</v>
      </c>
      <c r="BC405" s="421">
        <v>4.5</v>
      </c>
      <c r="BD405" s="421">
        <v>12897.18</v>
      </c>
      <c r="BE405" s="421">
        <v>0</v>
      </c>
      <c r="BF405" s="421">
        <v>0</v>
      </c>
      <c r="BG405" s="421">
        <v>0</v>
      </c>
      <c r="BH405" s="421">
        <v>0</v>
      </c>
      <c r="BI405" s="421" t="s">
        <v>1167</v>
      </c>
    </row>
    <row r="406" spans="1:61" x14ac:dyDescent="0.25">
      <c r="A406" s="421">
        <v>403</v>
      </c>
      <c r="B406" s="421">
        <v>2015</v>
      </c>
      <c r="C406" s="421">
        <v>7</v>
      </c>
      <c r="D406" s="421">
        <v>31</v>
      </c>
      <c r="E406" s="421" t="s">
        <v>1475</v>
      </c>
      <c r="F406" s="421" t="s">
        <v>3695</v>
      </c>
      <c r="G406" s="421" t="s">
        <v>3216</v>
      </c>
      <c r="H406" s="421" t="s">
        <v>1107</v>
      </c>
      <c r="I406" s="421" t="s">
        <v>2278</v>
      </c>
      <c r="J406" s="421" t="s">
        <v>3750</v>
      </c>
      <c r="K406" s="421" t="s">
        <v>3093</v>
      </c>
      <c r="L406" s="421" t="s">
        <v>3094</v>
      </c>
      <c r="M406" s="421" t="s">
        <v>2667</v>
      </c>
      <c r="N406" s="421" t="s">
        <v>3093</v>
      </c>
      <c r="O406" s="421" t="s">
        <v>3094</v>
      </c>
      <c r="P406" s="421" t="s">
        <v>3095</v>
      </c>
      <c r="Q406" s="421" t="s">
        <v>3113</v>
      </c>
      <c r="R406" s="421" t="s">
        <v>1108</v>
      </c>
      <c r="S406" s="421" t="s">
        <v>1108</v>
      </c>
      <c r="T406" s="421" t="s">
        <v>1130</v>
      </c>
      <c r="U406" s="421" t="s">
        <v>1112</v>
      </c>
      <c r="V406" s="421" t="s">
        <v>3097</v>
      </c>
      <c r="W406" s="421" t="s">
        <v>3098</v>
      </c>
      <c r="X406" s="421" t="s">
        <v>3099</v>
      </c>
      <c r="Y406" s="421" t="s">
        <v>1117</v>
      </c>
      <c r="Z406" s="421" t="s">
        <v>1118</v>
      </c>
      <c r="AA406" s="421" t="s">
        <v>3100</v>
      </c>
      <c r="AB406" s="421" t="s">
        <v>3101</v>
      </c>
      <c r="AC406" s="421" t="s">
        <v>3102</v>
      </c>
      <c r="AD406" s="421" t="s">
        <v>3134</v>
      </c>
      <c r="AE406" s="421" t="s">
        <v>3741</v>
      </c>
      <c r="AF406" s="421" t="s">
        <v>2236</v>
      </c>
      <c r="AG406" s="421" t="s">
        <v>2237</v>
      </c>
      <c r="AH406" s="421" t="s">
        <v>3105</v>
      </c>
      <c r="AI406" s="421">
        <v>969510</v>
      </c>
      <c r="AJ406" s="421">
        <v>1931.57</v>
      </c>
      <c r="AK406" s="421">
        <v>2097.4699999999998</v>
      </c>
      <c r="AL406" s="421">
        <v>1</v>
      </c>
      <c r="AM406" s="421" t="s">
        <v>3136</v>
      </c>
      <c r="AN406" s="421" t="s">
        <v>3742</v>
      </c>
      <c r="AO406" s="421" t="s">
        <v>1121</v>
      </c>
      <c r="AP406" s="421" t="s">
        <v>1121</v>
      </c>
      <c r="AQ406" s="421" t="s">
        <v>1108</v>
      </c>
      <c r="AR406" s="421" t="s">
        <v>3697</v>
      </c>
      <c r="AS406" s="421" t="s">
        <v>3751</v>
      </c>
      <c r="AT406" s="421" t="s">
        <v>3109</v>
      </c>
      <c r="AU406" s="421" t="s">
        <v>1142</v>
      </c>
      <c r="AV406" s="421" t="s">
        <v>3174</v>
      </c>
      <c r="AW406" s="421" t="s">
        <v>3110</v>
      </c>
      <c r="AX406" s="421" t="s">
        <v>3131</v>
      </c>
      <c r="AY406" s="421" t="s">
        <v>3193</v>
      </c>
      <c r="AZ406" s="421" t="s">
        <v>3113</v>
      </c>
      <c r="BA406" s="421" t="s">
        <v>3114</v>
      </c>
      <c r="BB406" s="421" t="s">
        <v>3115</v>
      </c>
      <c r="BC406" s="421">
        <v>30645.5</v>
      </c>
      <c r="BD406" s="421">
        <v>87831228.819999993</v>
      </c>
      <c r="BE406" s="421">
        <v>0</v>
      </c>
      <c r="BF406" s="421">
        <v>0</v>
      </c>
      <c r="BG406" s="421">
        <v>0</v>
      </c>
      <c r="BH406" s="421">
        <v>0</v>
      </c>
      <c r="BI406" s="421" t="s">
        <v>1149</v>
      </c>
    </row>
    <row r="407" spans="1:61" x14ac:dyDescent="0.25">
      <c r="A407" s="421">
        <v>404</v>
      </c>
      <c r="B407" s="421">
        <v>2015</v>
      </c>
      <c r="C407" s="421">
        <v>7</v>
      </c>
      <c r="D407" s="421">
        <v>31</v>
      </c>
      <c r="E407" s="421" t="s">
        <v>1475</v>
      </c>
      <c r="F407" s="421" t="s">
        <v>3695</v>
      </c>
      <c r="G407" s="421" t="s">
        <v>3216</v>
      </c>
      <c r="H407" s="421" t="s">
        <v>1107</v>
      </c>
      <c r="I407" s="421" t="s">
        <v>2278</v>
      </c>
      <c r="J407" s="421" t="s">
        <v>3750</v>
      </c>
      <c r="K407" s="421" t="s">
        <v>3093</v>
      </c>
      <c r="L407" s="421" t="s">
        <v>3094</v>
      </c>
      <c r="M407" s="421" t="s">
        <v>2667</v>
      </c>
      <c r="N407" s="421" t="s">
        <v>3093</v>
      </c>
      <c r="O407" s="421" t="s">
        <v>3094</v>
      </c>
      <c r="P407" s="421" t="s">
        <v>3095</v>
      </c>
      <c r="Q407" s="421" t="s">
        <v>3113</v>
      </c>
      <c r="R407" s="421" t="s">
        <v>1108</v>
      </c>
      <c r="S407" s="421" t="s">
        <v>1108</v>
      </c>
      <c r="T407" s="421" t="s">
        <v>1130</v>
      </c>
      <c r="U407" s="421" t="s">
        <v>1112</v>
      </c>
      <c r="V407" s="421" t="s">
        <v>3097</v>
      </c>
      <c r="W407" s="421" t="s">
        <v>3098</v>
      </c>
      <c r="X407" s="421" t="s">
        <v>3099</v>
      </c>
      <c r="Y407" s="421" t="s">
        <v>1117</v>
      </c>
      <c r="Z407" s="421" t="s">
        <v>1118</v>
      </c>
      <c r="AA407" s="421" t="s">
        <v>3100</v>
      </c>
      <c r="AB407" s="421" t="s">
        <v>3101</v>
      </c>
      <c r="AC407" s="421" t="s">
        <v>3102</v>
      </c>
      <c r="AD407" s="421" t="s">
        <v>3134</v>
      </c>
      <c r="AE407" s="421" t="s">
        <v>3741</v>
      </c>
      <c r="AF407" s="421" t="s">
        <v>2236</v>
      </c>
      <c r="AG407" s="421" t="s">
        <v>2237</v>
      </c>
      <c r="AH407" s="421" t="s">
        <v>3105</v>
      </c>
      <c r="AI407" s="421">
        <v>70100</v>
      </c>
      <c r="AJ407" s="421">
        <v>169.95</v>
      </c>
      <c r="AK407" s="421">
        <v>184.55</v>
      </c>
      <c r="AL407" s="421">
        <v>2</v>
      </c>
      <c r="AM407" s="421" t="s">
        <v>3136</v>
      </c>
      <c r="AN407" s="421" t="s">
        <v>3742</v>
      </c>
      <c r="AO407" s="421" t="s">
        <v>1121</v>
      </c>
      <c r="AP407" s="421" t="s">
        <v>1121</v>
      </c>
      <c r="AQ407" s="421" t="s">
        <v>1108</v>
      </c>
      <c r="AR407" s="421" t="s">
        <v>3697</v>
      </c>
      <c r="AS407" s="421" t="s">
        <v>3751</v>
      </c>
      <c r="AT407" s="421" t="s">
        <v>3109</v>
      </c>
      <c r="AU407" s="421" t="s">
        <v>1142</v>
      </c>
      <c r="AV407" s="421" t="s">
        <v>3174</v>
      </c>
      <c r="AW407" s="421" t="s">
        <v>3110</v>
      </c>
      <c r="AX407" s="421" t="s">
        <v>3131</v>
      </c>
      <c r="AY407" s="421" t="s">
        <v>3193</v>
      </c>
      <c r="AZ407" s="421" t="s">
        <v>3113</v>
      </c>
      <c r="BA407" s="421" t="s">
        <v>3114</v>
      </c>
      <c r="BB407" s="421" t="s">
        <v>3115</v>
      </c>
      <c r="BC407" s="421">
        <v>2685.6</v>
      </c>
      <c r="BD407" s="421">
        <v>7697037.0199999996</v>
      </c>
      <c r="BE407" s="421">
        <v>0</v>
      </c>
      <c r="BF407" s="421">
        <v>0</v>
      </c>
      <c r="BG407" s="421">
        <v>0</v>
      </c>
      <c r="BH407" s="421">
        <v>0</v>
      </c>
      <c r="BI407" s="421" t="s">
        <v>1149</v>
      </c>
    </row>
    <row r="408" spans="1:61" x14ac:dyDescent="0.25">
      <c r="A408" s="421">
        <v>405</v>
      </c>
      <c r="B408" s="421">
        <v>2015</v>
      </c>
      <c r="C408" s="421">
        <v>7</v>
      </c>
      <c r="D408" s="421">
        <v>31</v>
      </c>
      <c r="E408" s="421" t="s">
        <v>1475</v>
      </c>
      <c r="F408" s="421" t="s">
        <v>3695</v>
      </c>
      <c r="G408" s="421" t="s">
        <v>3216</v>
      </c>
      <c r="H408" s="421" t="s">
        <v>1107</v>
      </c>
      <c r="I408" s="421" t="s">
        <v>2278</v>
      </c>
      <c r="J408" s="421" t="s">
        <v>3750</v>
      </c>
      <c r="K408" s="421" t="s">
        <v>3093</v>
      </c>
      <c r="L408" s="421" t="s">
        <v>3094</v>
      </c>
      <c r="M408" s="421" t="s">
        <v>2667</v>
      </c>
      <c r="N408" s="421" t="s">
        <v>3093</v>
      </c>
      <c r="O408" s="421" t="s">
        <v>3094</v>
      </c>
      <c r="P408" s="421" t="s">
        <v>3095</v>
      </c>
      <c r="Q408" s="421" t="s">
        <v>3113</v>
      </c>
      <c r="R408" s="421" t="s">
        <v>1108</v>
      </c>
      <c r="S408" s="421" t="s">
        <v>1108</v>
      </c>
      <c r="T408" s="421" t="s">
        <v>1130</v>
      </c>
      <c r="U408" s="421" t="s">
        <v>1112</v>
      </c>
      <c r="V408" s="421" t="s">
        <v>3097</v>
      </c>
      <c r="W408" s="421" t="s">
        <v>3098</v>
      </c>
      <c r="X408" s="421" t="s">
        <v>3099</v>
      </c>
      <c r="Y408" s="421" t="s">
        <v>1117</v>
      </c>
      <c r="Z408" s="421" t="s">
        <v>1118</v>
      </c>
      <c r="AA408" s="421" t="s">
        <v>3100</v>
      </c>
      <c r="AB408" s="421" t="s">
        <v>3101</v>
      </c>
      <c r="AC408" s="421" t="s">
        <v>3102</v>
      </c>
      <c r="AD408" s="421" t="s">
        <v>3134</v>
      </c>
      <c r="AE408" s="421" t="s">
        <v>3741</v>
      </c>
      <c r="AF408" s="421" t="s">
        <v>2236</v>
      </c>
      <c r="AG408" s="421" t="s">
        <v>2237</v>
      </c>
      <c r="AH408" s="421" t="s">
        <v>3105</v>
      </c>
      <c r="AI408" s="421">
        <v>170090</v>
      </c>
      <c r="AJ408" s="421">
        <v>682.79</v>
      </c>
      <c r="AK408" s="421">
        <v>741.43</v>
      </c>
      <c r="AL408" s="421">
        <v>3</v>
      </c>
      <c r="AM408" s="421" t="s">
        <v>3136</v>
      </c>
      <c r="AN408" s="421" t="s">
        <v>3742</v>
      </c>
      <c r="AO408" s="421" t="s">
        <v>1121</v>
      </c>
      <c r="AP408" s="421" t="s">
        <v>1121</v>
      </c>
      <c r="AQ408" s="421" t="s">
        <v>1108</v>
      </c>
      <c r="AR408" s="421" t="s">
        <v>3697</v>
      </c>
      <c r="AS408" s="421" t="s">
        <v>3751</v>
      </c>
      <c r="AT408" s="421" t="s">
        <v>3109</v>
      </c>
      <c r="AU408" s="421" t="s">
        <v>1142</v>
      </c>
      <c r="AV408" s="421" t="s">
        <v>3174</v>
      </c>
      <c r="AW408" s="421" t="s">
        <v>3110</v>
      </c>
      <c r="AX408" s="421" t="s">
        <v>3131</v>
      </c>
      <c r="AY408" s="421" t="s">
        <v>3193</v>
      </c>
      <c r="AZ408" s="421" t="s">
        <v>3113</v>
      </c>
      <c r="BA408" s="421" t="s">
        <v>3114</v>
      </c>
      <c r="BB408" s="421" t="s">
        <v>3115</v>
      </c>
      <c r="BC408" s="421">
        <v>18265.900000000001</v>
      </c>
      <c r="BD408" s="421">
        <v>52350800.039999999</v>
      </c>
      <c r="BE408" s="421">
        <v>0</v>
      </c>
      <c r="BF408" s="421">
        <v>0</v>
      </c>
      <c r="BG408" s="421">
        <v>0</v>
      </c>
      <c r="BH408" s="421">
        <v>0</v>
      </c>
      <c r="BI408" s="421" t="s">
        <v>1149</v>
      </c>
    </row>
    <row r="409" spans="1:61" x14ac:dyDescent="0.25">
      <c r="A409" s="421">
        <v>406</v>
      </c>
      <c r="B409" s="421">
        <v>2015</v>
      </c>
      <c r="C409" s="421">
        <v>7</v>
      </c>
      <c r="D409" s="421">
        <v>31</v>
      </c>
      <c r="E409" s="421" t="s">
        <v>1475</v>
      </c>
      <c r="F409" s="421" t="s">
        <v>3695</v>
      </c>
      <c r="G409" s="421" t="s">
        <v>3216</v>
      </c>
      <c r="H409" s="421" t="s">
        <v>1107</v>
      </c>
      <c r="I409" s="421" t="s">
        <v>2278</v>
      </c>
      <c r="J409" s="421" t="s">
        <v>3750</v>
      </c>
      <c r="K409" s="421" t="s">
        <v>3093</v>
      </c>
      <c r="L409" s="421" t="s">
        <v>3094</v>
      </c>
      <c r="M409" s="421" t="s">
        <v>2667</v>
      </c>
      <c r="N409" s="421" t="s">
        <v>3093</v>
      </c>
      <c r="O409" s="421" t="s">
        <v>3094</v>
      </c>
      <c r="P409" s="421" t="s">
        <v>3095</v>
      </c>
      <c r="Q409" s="421" t="s">
        <v>3113</v>
      </c>
      <c r="R409" s="421" t="s">
        <v>1108</v>
      </c>
      <c r="S409" s="421" t="s">
        <v>1108</v>
      </c>
      <c r="T409" s="421" t="s">
        <v>1130</v>
      </c>
      <c r="U409" s="421" t="s">
        <v>1112</v>
      </c>
      <c r="V409" s="421" t="s">
        <v>3097</v>
      </c>
      <c r="W409" s="421" t="s">
        <v>3098</v>
      </c>
      <c r="X409" s="421" t="s">
        <v>3099</v>
      </c>
      <c r="Y409" s="421" t="s">
        <v>1117</v>
      </c>
      <c r="Z409" s="421" t="s">
        <v>1118</v>
      </c>
      <c r="AA409" s="421" t="s">
        <v>3100</v>
      </c>
      <c r="AB409" s="421" t="s">
        <v>3101</v>
      </c>
      <c r="AC409" s="421" t="s">
        <v>3102</v>
      </c>
      <c r="AD409" s="421" t="s">
        <v>3134</v>
      </c>
      <c r="AE409" s="421" t="s">
        <v>3741</v>
      </c>
      <c r="AF409" s="421" t="s">
        <v>2236</v>
      </c>
      <c r="AG409" s="421" t="s">
        <v>2237</v>
      </c>
      <c r="AH409" s="421" t="s">
        <v>3105</v>
      </c>
      <c r="AI409" s="421">
        <v>13680</v>
      </c>
      <c r="AJ409" s="421">
        <v>58.93</v>
      </c>
      <c r="AK409" s="421">
        <v>63.99</v>
      </c>
      <c r="AL409" s="421">
        <v>4</v>
      </c>
      <c r="AM409" s="421" t="s">
        <v>3136</v>
      </c>
      <c r="AN409" s="421" t="s">
        <v>3742</v>
      </c>
      <c r="AO409" s="421" t="s">
        <v>1121</v>
      </c>
      <c r="AP409" s="421" t="s">
        <v>1121</v>
      </c>
      <c r="AQ409" s="421" t="s">
        <v>1108</v>
      </c>
      <c r="AR409" s="421" t="s">
        <v>3697</v>
      </c>
      <c r="AS409" s="421" t="s">
        <v>3751</v>
      </c>
      <c r="AT409" s="421" t="s">
        <v>3109</v>
      </c>
      <c r="AU409" s="421" t="s">
        <v>1142</v>
      </c>
      <c r="AV409" s="421" t="s">
        <v>3174</v>
      </c>
      <c r="AW409" s="421" t="s">
        <v>3110</v>
      </c>
      <c r="AX409" s="421" t="s">
        <v>3131</v>
      </c>
      <c r="AY409" s="421" t="s">
        <v>3193</v>
      </c>
      <c r="AZ409" s="421" t="s">
        <v>3113</v>
      </c>
      <c r="BA409" s="421" t="s">
        <v>3114</v>
      </c>
      <c r="BB409" s="421" t="s">
        <v>3115</v>
      </c>
      <c r="BC409" s="421">
        <v>1539</v>
      </c>
      <c r="BD409" s="421">
        <v>4410835.5599999996</v>
      </c>
      <c r="BE409" s="421">
        <v>0</v>
      </c>
      <c r="BF409" s="421">
        <v>0</v>
      </c>
      <c r="BG409" s="421">
        <v>0</v>
      </c>
      <c r="BH409" s="421">
        <v>0</v>
      </c>
      <c r="BI409" s="421" t="s">
        <v>1149</v>
      </c>
    </row>
    <row r="410" spans="1:61" x14ac:dyDescent="0.25">
      <c r="A410" s="421">
        <v>407</v>
      </c>
      <c r="B410" s="421">
        <v>2015</v>
      </c>
      <c r="C410" s="421">
        <v>8</v>
      </c>
      <c r="D410" s="421">
        <v>3</v>
      </c>
      <c r="E410" s="421" t="s">
        <v>1475</v>
      </c>
      <c r="F410" s="421" t="s">
        <v>3557</v>
      </c>
      <c r="G410" s="421" t="s">
        <v>3325</v>
      </c>
      <c r="H410" s="421" t="s">
        <v>1107</v>
      </c>
      <c r="I410" s="421" t="s">
        <v>2333</v>
      </c>
      <c r="J410" s="421" t="s">
        <v>3752</v>
      </c>
      <c r="K410" s="421" t="s">
        <v>3093</v>
      </c>
      <c r="L410" s="421" t="s">
        <v>3094</v>
      </c>
      <c r="M410" s="421" t="s">
        <v>2667</v>
      </c>
      <c r="N410" s="421" t="s">
        <v>3093</v>
      </c>
      <c r="O410" s="421" t="s">
        <v>3094</v>
      </c>
      <c r="P410" s="421" t="s">
        <v>3095</v>
      </c>
      <c r="Q410" s="421" t="s">
        <v>3113</v>
      </c>
      <c r="R410" s="421" t="s">
        <v>1108</v>
      </c>
      <c r="S410" s="421" t="s">
        <v>1108</v>
      </c>
      <c r="T410" s="421" t="s">
        <v>1130</v>
      </c>
      <c r="U410" s="421" t="s">
        <v>1112</v>
      </c>
      <c r="V410" s="421" t="s">
        <v>3097</v>
      </c>
      <c r="W410" s="421" t="s">
        <v>3098</v>
      </c>
      <c r="X410" s="421" t="s">
        <v>3099</v>
      </c>
      <c r="Y410" s="421" t="s">
        <v>1117</v>
      </c>
      <c r="Z410" s="421" t="s">
        <v>1118</v>
      </c>
      <c r="AA410" s="421" t="s">
        <v>3100</v>
      </c>
      <c r="AB410" s="421" t="s">
        <v>3101</v>
      </c>
      <c r="AC410" s="421" t="s">
        <v>3102</v>
      </c>
      <c r="AD410" s="421" t="s">
        <v>3189</v>
      </c>
      <c r="AE410" s="421" t="s">
        <v>3190</v>
      </c>
      <c r="AF410" s="421" t="s">
        <v>3375</v>
      </c>
      <c r="AG410" s="421" t="s">
        <v>3376</v>
      </c>
      <c r="AH410" s="421" t="s">
        <v>3105</v>
      </c>
      <c r="AI410" s="421">
        <v>150</v>
      </c>
      <c r="AJ410" s="421">
        <v>23.57</v>
      </c>
      <c r="AK410" s="421">
        <v>24.5</v>
      </c>
      <c r="AL410" s="421">
        <v>1</v>
      </c>
      <c r="AM410" s="421" t="s">
        <v>961</v>
      </c>
      <c r="AN410" s="421" t="s">
        <v>3191</v>
      </c>
      <c r="AO410" s="421" t="s">
        <v>1121</v>
      </c>
      <c r="AP410" s="421" t="s">
        <v>1121</v>
      </c>
      <c r="AQ410" s="421" t="s">
        <v>1108</v>
      </c>
      <c r="AR410" s="421" t="s">
        <v>3753</v>
      </c>
      <c r="AS410" s="421" t="s">
        <v>3754</v>
      </c>
      <c r="AT410" s="421" t="s">
        <v>3109</v>
      </c>
      <c r="AU410" s="421" t="s">
        <v>1142</v>
      </c>
      <c r="AV410" s="421" t="s">
        <v>2037</v>
      </c>
      <c r="AW410" s="421" t="s">
        <v>3110</v>
      </c>
      <c r="AX410" s="421" t="s">
        <v>3229</v>
      </c>
      <c r="AY410" s="421" t="s">
        <v>3112</v>
      </c>
      <c r="AZ410" s="421" t="s">
        <v>3113</v>
      </c>
      <c r="BA410" s="421" t="s">
        <v>3114</v>
      </c>
      <c r="BB410" s="421" t="s">
        <v>3230</v>
      </c>
      <c r="BC410" s="421">
        <v>7.5</v>
      </c>
      <c r="BD410" s="421">
        <v>21468.82</v>
      </c>
      <c r="BE410" s="421">
        <v>0</v>
      </c>
      <c r="BF410" s="421">
        <v>0</v>
      </c>
      <c r="BG410" s="421">
        <v>0</v>
      </c>
      <c r="BH410" s="421">
        <v>0</v>
      </c>
      <c r="BI410" s="421" t="s">
        <v>1149</v>
      </c>
    </row>
    <row r="411" spans="1:61" x14ac:dyDescent="0.25">
      <c r="A411" s="421">
        <v>408</v>
      </c>
      <c r="B411" s="421">
        <v>2015</v>
      </c>
      <c r="C411" s="421">
        <v>8</v>
      </c>
      <c r="D411" s="421">
        <v>3</v>
      </c>
      <c r="E411" s="421" t="s">
        <v>1475</v>
      </c>
      <c r="F411" s="421" t="s">
        <v>3557</v>
      </c>
      <c r="G411" s="421" t="s">
        <v>3325</v>
      </c>
      <c r="H411" s="421" t="s">
        <v>1107</v>
      </c>
      <c r="I411" s="421" t="s">
        <v>2333</v>
      </c>
      <c r="J411" s="421" t="s">
        <v>3755</v>
      </c>
      <c r="K411" s="421" t="s">
        <v>3093</v>
      </c>
      <c r="L411" s="421" t="s">
        <v>3094</v>
      </c>
      <c r="M411" s="421" t="s">
        <v>2667</v>
      </c>
      <c r="N411" s="421" t="s">
        <v>3093</v>
      </c>
      <c r="O411" s="421" t="s">
        <v>3094</v>
      </c>
      <c r="P411" s="421" t="s">
        <v>3095</v>
      </c>
      <c r="Q411" s="421" t="s">
        <v>3096</v>
      </c>
      <c r="R411" s="421" t="s">
        <v>1108</v>
      </c>
      <c r="S411" s="421" t="s">
        <v>1542</v>
      </c>
      <c r="T411" s="421" t="s">
        <v>1130</v>
      </c>
      <c r="U411" s="421" t="s">
        <v>1112</v>
      </c>
      <c r="V411" s="421" t="s">
        <v>3097</v>
      </c>
      <c r="W411" s="421" t="s">
        <v>3098</v>
      </c>
      <c r="X411" s="421" t="s">
        <v>3099</v>
      </c>
      <c r="Y411" s="421" t="s">
        <v>1117</v>
      </c>
      <c r="Z411" s="421" t="s">
        <v>1118</v>
      </c>
      <c r="AA411" s="421" t="s">
        <v>3100</v>
      </c>
      <c r="AB411" s="421" t="s">
        <v>3101</v>
      </c>
      <c r="AC411" s="421" t="s">
        <v>3102</v>
      </c>
      <c r="AD411" s="421" t="s">
        <v>3103</v>
      </c>
      <c r="AE411" s="421" t="s">
        <v>3104</v>
      </c>
      <c r="AF411" s="421" t="s">
        <v>3375</v>
      </c>
      <c r="AG411" s="421" t="s">
        <v>3376</v>
      </c>
      <c r="AH411" s="421" t="s">
        <v>3105</v>
      </c>
      <c r="AI411" s="421">
        <v>150</v>
      </c>
      <c r="AJ411" s="421">
        <v>23.57</v>
      </c>
      <c r="AK411" s="421">
        <v>24.5</v>
      </c>
      <c r="AL411" s="421">
        <v>1</v>
      </c>
      <c r="AM411" s="421" t="s">
        <v>959</v>
      </c>
      <c r="AN411" s="421" t="s">
        <v>3106</v>
      </c>
      <c r="AO411" s="421" t="s">
        <v>1121</v>
      </c>
      <c r="AP411" s="421" t="s">
        <v>1121</v>
      </c>
      <c r="AQ411" s="421" t="s">
        <v>1542</v>
      </c>
      <c r="AR411" s="421" t="s">
        <v>3697</v>
      </c>
      <c r="AS411" s="421" t="s">
        <v>3756</v>
      </c>
      <c r="AT411" s="421" t="s">
        <v>3109</v>
      </c>
      <c r="AU411" s="421" t="s">
        <v>1142</v>
      </c>
      <c r="AV411" s="421" t="s">
        <v>3410</v>
      </c>
      <c r="AW411" s="421" t="s">
        <v>3110</v>
      </c>
      <c r="AX411" s="421" t="s">
        <v>3229</v>
      </c>
      <c r="AY411" s="421" t="s">
        <v>3112</v>
      </c>
      <c r="AZ411" s="421" t="s">
        <v>3113</v>
      </c>
      <c r="BA411" s="421" t="s">
        <v>3114</v>
      </c>
      <c r="BB411" s="421" t="s">
        <v>3230</v>
      </c>
      <c r="BC411" s="421">
        <v>7.5</v>
      </c>
      <c r="BD411" s="421">
        <v>21468.82</v>
      </c>
      <c r="BE411" s="421">
        <v>0</v>
      </c>
      <c r="BF411" s="421">
        <v>0</v>
      </c>
      <c r="BG411" s="421">
        <v>0</v>
      </c>
      <c r="BH411" s="421">
        <v>0</v>
      </c>
      <c r="BI411" s="421" t="s">
        <v>1167</v>
      </c>
    </row>
    <row r="412" spans="1:61" x14ac:dyDescent="0.25">
      <c r="A412" s="421">
        <v>409</v>
      </c>
      <c r="B412" s="421">
        <v>2015</v>
      </c>
      <c r="C412" s="421">
        <v>8</v>
      </c>
      <c r="D412" s="421">
        <v>3</v>
      </c>
      <c r="E412" s="421" t="s">
        <v>1475</v>
      </c>
      <c r="F412" s="421" t="s">
        <v>3557</v>
      </c>
      <c r="G412" s="421" t="s">
        <v>3325</v>
      </c>
      <c r="H412" s="421" t="s">
        <v>1107</v>
      </c>
      <c r="I412" s="421" t="s">
        <v>2333</v>
      </c>
      <c r="J412" s="421" t="s">
        <v>3757</v>
      </c>
      <c r="K412" s="421" t="s">
        <v>3093</v>
      </c>
      <c r="L412" s="421" t="s">
        <v>3094</v>
      </c>
      <c r="M412" s="421" t="s">
        <v>2667</v>
      </c>
      <c r="N412" s="421" t="s">
        <v>3093</v>
      </c>
      <c r="O412" s="421" t="s">
        <v>3094</v>
      </c>
      <c r="P412" s="421" t="s">
        <v>3095</v>
      </c>
      <c r="Q412" s="421" t="s">
        <v>3113</v>
      </c>
      <c r="R412" s="421" t="s">
        <v>1108</v>
      </c>
      <c r="S412" s="421" t="s">
        <v>1108</v>
      </c>
      <c r="T412" s="421" t="s">
        <v>1130</v>
      </c>
      <c r="U412" s="421" t="s">
        <v>1112</v>
      </c>
      <c r="V412" s="421" t="s">
        <v>3097</v>
      </c>
      <c r="W412" s="421" t="s">
        <v>3098</v>
      </c>
      <c r="X412" s="421" t="s">
        <v>3099</v>
      </c>
      <c r="Y412" s="421" t="s">
        <v>1117</v>
      </c>
      <c r="Z412" s="421" t="s">
        <v>1118</v>
      </c>
      <c r="AA412" s="421" t="s">
        <v>3100</v>
      </c>
      <c r="AB412" s="421" t="s">
        <v>3101</v>
      </c>
      <c r="AC412" s="421" t="s">
        <v>3102</v>
      </c>
      <c r="AD412" s="421" t="s">
        <v>3189</v>
      </c>
      <c r="AE412" s="421" t="s">
        <v>3190</v>
      </c>
      <c r="AF412" s="421" t="s">
        <v>2236</v>
      </c>
      <c r="AG412" s="421" t="s">
        <v>2237</v>
      </c>
      <c r="AH412" s="421" t="s">
        <v>3105</v>
      </c>
      <c r="AI412" s="421">
        <v>2669416</v>
      </c>
      <c r="AJ412" s="421">
        <v>5555.4</v>
      </c>
      <c r="AK412" s="421">
        <v>6009.98</v>
      </c>
      <c r="AL412" s="421">
        <v>1</v>
      </c>
      <c r="AM412" s="421" t="s">
        <v>961</v>
      </c>
      <c r="AN412" s="421" t="s">
        <v>3191</v>
      </c>
      <c r="AO412" s="421" t="s">
        <v>1121</v>
      </c>
      <c r="AP412" s="421" t="s">
        <v>1121</v>
      </c>
      <c r="AQ412" s="421" t="s">
        <v>1108</v>
      </c>
      <c r="AR412" s="421" t="s">
        <v>3753</v>
      </c>
      <c r="AS412" s="421" t="s">
        <v>3758</v>
      </c>
      <c r="AT412" s="421" t="s">
        <v>3109</v>
      </c>
      <c r="AU412" s="421" t="s">
        <v>1142</v>
      </c>
      <c r="AV412" s="421" t="s">
        <v>2037</v>
      </c>
      <c r="AW412" s="421" t="s">
        <v>3110</v>
      </c>
      <c r="AX412" s="421" t="s">
        <v>3111</v>
      </c>
      <c r="AY412" s="421" t="s">
        <v>3193</v>
      </c>
      <c r="AZ412" s="421" t="s">
        <v>3113</v>
      </c>
      <c r="BA412" s="421" t="s">
        <v>3114</v>
      </c>
      <c r="BB412" s="421" t="s">
        <v>3115</v>
      </c>
      <c r="BC412" s="421">
        <v>77052.92</v>
      </c>
      <c r="BD412" s="421">
        <v>220564754.02000001</v>
      </c>
      <c r="BE412" s="421">
        <v>0</v>
      </c>
      <c r="BF412" s="421">
        <v>918.28</v>
      </c>
      <c r="BG412" s="421">
        <v>194.93</v>
      </c>
      <c r="BH412" s="421">
        <v>0</v>
      </c>
      <c r="BI412" s="421" t="s">
        <v>1149</v>
      </c>
    </row>
    <row r="413" spans="1:61" x14ac:dyDescent="0.25">
      <c r="A413" s="421">
        <v>410</v>
      </c>
      <c r="B413" s="421">
        <v>2015</v>
      </c>
      <c r="C413" s="421">
        <v>8</v>
      </c>
      <c r="D413" s="421">
        <v>3</v>
      </c>
      <c r="E413" s="421" t="s">
        <v>1475</v>
      </c>
      <c r="F413" s="421" t="s">
        <v>3557</v>
      </c>
      <c r="G413" s="421" t="s">
        <v>3325</v>
      </c>
      <c r="H413" s="421" t="s">
        <v>1107</v>
      </c>
      <c r="I413" s="421" t="s">
        <v>2333</v>
      </c>
      <c r="J413" s="421" t="s">
        <v>3757</v>
      </c>
      <c r="K413" s="421" t="s">
        <v>3093</v>
      </c>
      <c r="L413" s="421" t="s">
        <v>3094</v>
      </c>
      <c r="M413" s="421" t="s">
        <v>2667</v>
      </c>
      <c r="N413" s="421" t="s">
        <v>3093</v>
      </c>
      <c r="O413" s="421" t="s">
        <v>3094</v>
      </c>
      <c r="P413" s="421" t="s">
        <v>3095</v>
      </c>
      <c r="Q413" s="421" t="s">
        <v>3113</v>
      </c>
      <c r="R413" s="421" t="s">
        <v>1108</v>
      </c>
      <c r="S413" s="421" t="s">
        <v>1108</v>
      </c>
      <c r="T413" s="421" t="s">
        <v>1130</v>
      </c>
      <c r="U413" s="421" t="s">
        <v>1112</v>
      </c>
      <c r="V413" s="421" t="s">
        <v>3097</v>
      </c>
      <c r="W413" s="421" t="s">
        <v>3098</v>
      </c>
      <c r="X413" s="421" t="s">
        <v>3099</v>
      </c>
      <c r="Y413" s="421" t="s">
        <v>1117</v>
      </c>
      <c r="Z413" s="421" t="s">
        <v>1118</v>
      </c>
      <c r="AA413" s="421" t="s">
        <v>3100</v>
      </c>
      <c r="AB413" s="421" t="s">
        <v>3101</v>
      </c>
      <c r="AC413" s="421" t="s">
        <v>3102</v>
      </c>
      <c r="AD413" s="421" t="s">
        <v>3189</v>
      </c>
      <c r="AE413" s="421" t="s">
        <v>3190</v>
      </c>
      <c r="AF413" s="421" t="s">
        <v>2236</v>
      </c>
      <c r="AG413" s="421" t="s">
        <v>2237</v>
      </c>
      <c r="AH413" s="421" t="s">
        <v>3105</v>
      </c>
      <c r="AI413" s="421">
        <v>406000</v>
      </c>
      <c r="AJ413" s="421">
        <v>829.62</v>
      </c>
      <c r="AK413" s="421">
        <v>897.5</v>
      </c>
      <c r="AL413" s="421">
        <v>2</v>
      </c>
      <c r="AM413" s="421" t="s">
        <v>961</v>
      </c>
      <c r="AN413" s="421" t="s">
        <v>3191</v>
      </c>
      <c r="AO413" s="421" t="s">
        <v>1121</v>
      </c>
      <c r="AP413" s="421" t="s">
        <v>1121</v>
      </c>
      <c r="AQ413" s="421" t="s">
        <v>1108</v>
      </c>
      <c r="AR413" s="421" t="s">
        <v>3753</v>
      </c>
      <c r="AS413" s="421" t="s">
        <v>3758</v>
      </c>
      <c r="AT413" s="421" t="s">
        <v>3109</v>
      </c>
      <c r="AU413" s="421" t="s">
        <v>1142</v>
      </c>
      <c r="AV413" s="421" t="s">
        <v>2037</v>
      </c>
      <c r="AW413" s="421" t="s">
        <v>3110</v>
      </c>
      <c r="AX413" s="421" t="s">
        <v>3111</v>
      </c>
      <c r="AY413" s="421" t="s">
        <v>3193</v>
      </c>
      <c r="AZ413" s="421" t="s">
        <v>3113</v>
      </c>
      <c r="BA413" s="421" t="s">
        <v>3114</v>
      </c>
      <c r="BB413" s="421" t="s">
        <v>3115</v>
      </c>
      <c r="BC413" s="421">
        <v>12346</v>
      </c>
      <c r="BD413" s="421">
        <v>35340548.460000001</v>
      </c>
      <c r="BE413" s="421">
        <v>0</v>
      </c>
      <c r="BF413" s="421">
        <v>147.13</v>
      </c>
      <c r="BG413" s="421">
        <v>31.23</v>
      </c>
      <c r="BH413" s="421">
        <v>0</v>
      </c>
      <c r="BI413" s="421" t="s">
        <v>1149</v>
      </c>
    </row>
    <row r="414" spans="1:61" x14ac:dyDescent="0.25">
      <c r="A414" s="421">
        <v>411</v>
      </c>
      <c r="B414" s="421">
        <v>2015</v>
      </c>
      <c r="C414" s="421">
        <v>8</v>
      </c>
      <c r="D414" s="421">
        <v>3</v>
      </c>
      <c r="E414" s="421" t="s">
        <v>1475</v>
      </c>
      <c r="F414" s="421" t="s">
        <v>3557</v>
      </c>
      <c r="G414" s="421" t="s">
        <v>3325</v>
      </c>
      <c r="H414" s="421" t="s">
        <v>1107</v>
      </c>
      <c r="I414" s="421" t="s">
        <v>2333</v>
      </c>
      <c r="J414" s="421" t="s">
        <v>3757</v>
      </c>
      <c r="K414" s="421" t="s">
        <v>3093</v>
      </c>
      <c r="L414" s="421" t="s">
        <v>3094</v>
      </c>
      <c r="M414" s="421" t="s">
        <v>2667</v>
      </c>
      <c r="N414" s="421" t="s">
        <v>3093</v>
      </c>
      <c r="O414" s="421" t="s">
        <v>3094</v>
      </c>
      <c r="P414" s="421" t="s">
        <v>3095</v>
      </c>
      <c r="Q414" s="421" t="s">
        <v>3113</v>
      </c>
      <c r="R414" s="421" t="s">
        <v>1108</v>
      </c>
      <c r="S414" s="421" t="s">
        <v>1108</v>
      </c>
      <c r="T414" s="421" t="s">
        <v>1130</v>
      </c>
      <c r="U414" s="421" t="s">
        <v>1112</v>
      </c>
      <c r="V414" s="421" t="s">
        <v>3097</v>
      </c>
      <c r="W414" s="421" t="s">
        <v>3098</v>
      </c>
      <c r="X414" s="421" t="s">
        <v>3099</v>
      </c>
      <c r="Y414" s="421" t="s">
        <v>1117</v>
      </c>
      <c r="Z414" s="421" t="s">
        <v>1118</v>
      </c>
      <c r="AA414" s="421" t="s">
        <v>3100</v>
      </c>
      <c r="AB414" s="421" t="s">
        <v>3101</v>
      </c>
      <c r="AC414" s="421" t="s">
        <v>3102</v>
      </c>
      <c r="AD414" s="421" t="s">
        <v>3189</v>
      </c>
      <c r="AE414" s="421" t="s">
        <v>3190</v>
      </c>
      <c r="AF414" s="421" t="s">
        <v>2236</v>
      </c>
      <c r="AG414" s="421" t="s">
        <v>2237</v>
      </c>
      <c r="AH414" s="421" t="s">
        <v>3105</v>
      </c>
      <c r="AI414" s="421">
        <v>60680</v>
      </c>
      <c r="AJ414" s="421">
        <v>251.34</v>
      </c>
      <c r="AK414" s="421">
        <v>271.89999999999998</v>
      </c>
      <c r="AL414" s="421">
        <v>3</v>
      </c>
      <c r="AM414" s="421" t="s">
        <v>961</v>
      </c>
      <c r="AN414" s="421" t="s">
        <v>3191</v>
      </c>
      <c r="AO414" s="421" t="s">
        <v>1121</v>
      </c>
      <c r="AP414" s="421" t="s">
        <v>1121</v>
      </c>
      <c r="AQ414" s="421" t="s">
        <v>1108</v>
      </c>
      <c r="AR414" s="421" t="s">
        <v>3753</v>
      </c>
      <c r="AS414" s="421" t="s">
        <v>3758</v>
      </c>
      <c r="AT414" s="421" t="s">
        <v>3109</v>
      </c>
      <c r="AU414" s="421" t="s">
        <v>1142</v>
      </c>
      <c r="AV414" s="421" t="s">
        <v>2037</v>
      </c>
      <c r="AW414" s="421" t="s">
        <v>3110</v>
      </c>
      <c r="AX414" s="421" t="s">
        <v>3111</v>
      </c>
      <c r="AY414" s="421" t="s">
        <v>3193</v>
      </c>
      <c r="AZ414" s="421" t="s">
        <v>3113</v>
      </c>
      <c r="BA414" s="421" t="s">
        <v>3114</v>
      </c>
      <c r="BB414" s="421" t="s">
        <v>3115</v>
      </c>
      <c r="BC414" s="421">
        <v>6786</v>
      </c>
      <c r="BD414" s="421">
        <v>19424992.859999999</v>
      </c>
      <c r="BE414" s="421">
        <v>0</v>
      </c>
      <c r="BF414" s="421">
        <v>80.87</v>
      </c>
      <c r="BG414" s="421">
        <v>17.170000000000002</v>
      </c>
      <c r="BH414" s="421">
        <v>0</v>
      </c>
      <c r="BI414" s="421" t="s">
        <v>1149</v>
      </c>
    </row>
    <row r="415" spans="1:61" x14ac:dyDescent="0.25">
      <c r="A415" s="421">
        <v>412</v>
      </c>
      <c r="B415" s="421">
        <v>2015</v>
      </c>
      <c r="C415" s="421">
        <v>8</v>
      </c>
      <c r="D415" s="421">
        <v>3</v>
      </c>
      <c r="E415" s="421" t="s">
        <v>1475</v>
      </c>
      <c r="F415" s="421" t="s">
        <v>3557</v>
      </c>
      <c r="G415" s="421" t="s">
        <v>3325</v>
      </c>
      <c r="H415" s="421" t="s">
        <v>1107</v>
      </c>
      <c r="I415" s="421" t="s">
        <v>2333</v>
      </c>
      <c r="J415" s="421" t="s">
        <v>3757</v>
      </c>
      <c r="K415" s="421" t="s">
        <v>3093</v>
      </c>
      <c r="L415" s="421" t="s">
        <v>3094</v>
      </c>
      <c r="M415" s="421" t="s">
        <v>2667</v>
      </c>
      <c r="N415" s="421" t="s">
        <v>3093</v>
      </c>
      <c r="O415" s="421" t="s">
        <v>3094</v>
      </c>
      <c r="P415" s="421" t="s">
        <v>3095</v>
      </c>
      <c r="Q415" s="421" t="s">
        <v>3113</v>
      </c>
      <c r="R415" s="421" t="s">
        <v>1108</v>
      </c>
      <c r="S415" s="421" t="s">
        <v>1108</v>
      </c>
      <c r="T415" s="421" t="s">
        <v>1130</v>
      </c>
      <c r="U415" s="421" t="s">
        <v>1112</v>
      </c>
      <c r="V415" s="421" t="s">
        <v>3097</v>
      </c>
      <c r="W415" s="421" t="s">
        <v>3098</v>
      </c>
      <c r="X415" s="421" t="s">
        <v>3099</v>
      </c>
      <c r="Y415" s="421" t="s">
        <v>1117</v>
      </c>
      <c r="Z415" s="421" t="s">
        <v>1118</v>
      </c>
      <c r="AA415" s="421" t="s">
        <v>3100</v>
      </c>
      <c r="AB415" s="421" t="s">
        <v>3101</v>
      </c>
      <c r="AC415" s="421" t="s">
        <v>3102</v>
      </c>
      <c r="AD415" s="421" t="s">
        <v>3189</v>
      </c>
      <c r="AE415" s="421" t="s">
        <v>3190</v>
      </c>
      <c r="AF415" s="421" t="s">
        <v>2236</v>
      </c>
      <c r="AG415" s="421" t="s">
        <v>2237</v>
      </c>
      <c r="AH415" s="421" t="s">
        <v>3105</v>
      </c>
      <c r="AI415" s="421">
        <v>2880</v>
      </c>
      <c r="AJ415" s="421">
        <v>12.31</v>
      </c>
      <c r="AK415" s="421">
        <v>13.31</v>
      </c>
      <c r="AL415" s="421">
        <v>4</v>
      </c>
      <c r="AM415" s="421" t="s">
        <v>961</v>
      </c>
      <c r="AN415" s="421" t="s">
        <v>3191</v>
      </c>
      <c r="AO415" s="421" t="s">
        <v>1121</v>
      </c>
      <c r="AP415" s="421" t="s">
        <v>1121</v>
      </c>
      <c r="AQ415" s="421" t="s">
        <v>1108</v>
      </c>
      <c r="AR415" s="421" t="s">
        <v>3753</v>
      </c>
      <c r="AS415" s="421" t="s">
        <v>3758</v>
      </c>
      <c r="AT415" s="421" t="s">
        <v>3109</v>
      </c>
      <c r="AU415" s="421" t="s">
        <v>1142</v>
      </c>
      <c r="AV415" s="421" t="s">
        <v>2037</v>
      </c>
      <c r="AW415" s="421" t="s">
        <v>3110</v>
      </c>
      <c r="AX415" s="421" t="s">
        <v>3111</v>
      </c>
      <c r="AY415" s="421" t="s">
        <v>3193</v>
      </c>
      <c r="AZ415" s="421" t="s">
        <v>3113</v>
      </c>
      <c r="BA415" s="421" t="s">
        <v>3114</v>
      </c>
      <c r="BB415" s="421" t="s">
        <v>3115</v>
      </c>
      <c r="BC415" s="421">
        <v>312</v>
      </c>
      <c r="BD415" s="421">
        <v>893103.12</v>
      </c>
      <c r="BE415" s="421">
        <v>0</v>
      </c>
      <c r="BF415" s="421">
        <v>3.72</v>
      </c>
      <c r="BG415" s="421">
        <v>0.79</v>
      </c>
      <c r="BH415" s="421">
        <v>0</v>
      </c>
      <c r="BI415" s="421" t="s">
        <v>1149</v>
      </c>
    </row>
    <row r="416" spans="1:61" x14ac:dyDescent="0.25">
      <c r="A416" s="421">
        <v>413</v>
      </c>
      <c r="B416" s="421">
        <v>2015</v>
      </c>
      <c r="C416" s="421">
        <v>8</v>
      </c>
      <c r="D416" s="421">
        <v>3</v>
      </c>
      <c r="E416" s="421" t="s">
        <v>1475</v>
      </c>
      <c r="F416" s="421" t="s">
        <v>3557</v>
      </c>
      <c r="G416" s="421" t="s">
        <v>3325</v>
      </c>
      <c r="H416" s="421" t="s">
        <v>1107</v>
      </c>
      <c r="I416" s="421" t="s">
        <v>2333</v>
      </c>
      <c r="J416" s="421" t="s">
        <v>3759</v>
      </c>
      <c r="K416" s="421" t="s">
        <v>3093</v>
      </c>
      <c r="L416" s="421" t="s">
        <v>3094</v>
      </c>
      <c r="M416" s="421" t="s">
        <v>2667</v>
      </c>
      <c r="N416" s="421" t="s">
        <v>3093</v>
      </c>
      <c r="O416" s="421" t="s">
        <v>3094</v>
      </c>
      <c r="P416" s="421" t="s">
        <v>3095</v>
      </c>
      <c r="Q416" s="421" t="s">
        <v>3113</v>
      </c>
      <c r="R416" s="421" t="s">
        <v>1108</v>
      </c>
      <c r="S416" s="421" t="s">
        <v>1108</v>
      </c>
      <c r="T416" s="421" t="s">
        <v>1130</v>
      </c>
      <c r="U416" s="421" t="s">
        <v>1112</v>
      </c>
      <c r="V416" s="421" t="s">
        <v>3097</v>
      </c>
      <c r="W416" s="421" t="s">
        <v>3098</v>
      </c>
      <c r="X416" s="421" t="s">
        <v>3099</v>
      </c>
      <c r="Y416" s="421" t="s">
        <v>1117</v>
      </c>
      <c r="Z416" s="421" t="s">
        <v>1118</v>
      </c>
      <c r="AA416" s="421" t="s">
        <v>3100</v>
      </c>
      <c r="AB416" s="421" t="s">
        <v>3101</v>
      </c>
      <c r="AC416" s="421" t="s">
        <v>3102</v>
      </c>
      <c r="AD416" s="421" t="s">
        <v>3251</v>
      </c>
      <c r="AE416" s="421" t="s">
        <v>3252</v>
      </c>
      <c r="AF416" s="421" t="s">
        <v>2236</v>
      </c>
      <c r="AG416" s="421" t="s">
        <v>2237</v>
      </c>
      <c r="AH416" s="421" t="s">
        <v>3105</v>
      </c>
      <c r="AI416" s="421">
        <v>6000</v>
      </c>
      <c r="AJ416" s="421">
        <v>23.22</v>
      </c>
      <c r="AK416" s="421">
        <v>25.06</v>
      </c>
      <c r="AL416" s="421">
        <v>4</v>
      </c>
      <c r="AM416" s="421" t="s">
        <v>3253</v>
      </c>
      <c r="AN416" s="421" t="s">
        <v>3254</v>
      </c>
      <c r="AO416" s="421" t="s">
        <v>1121</v>
      </c>
      <c r="AP416" s="421" t="s">
        <v>1121</v>
      </c>
      <c r="AQ416" s="421" t="s">
        <v>1108</v>
      </c>
      <c r="AR416" s="421" t="s">
        <v>3753</v>
      </c>
      <c r="AS416" s="421" t="s">
        <v>3760</v>
      </c>
      <c r="AT416" s="421" t="s">
        <v>3109</v>
      </c>
      <c r="AU416" s="421" t="s">
        <v>1142</v>
      </c>
      <c r="AV416" s="421" t="s">
        <v>2037</v>
      </c>
      <c r="AW416" s="421" t="s">
        <v>3110</v>
      </c>
      <c r="AX416" s="421" t="s">
        <v>3111</v>
      </c>
      <c r="AY416" s="421" t="s">
        <v>3112</v>
      </c>
      <c r="AZ416" s="421" t="s">
        <v>3113</v>
      </c>
      <c r="BA416" s="421" t="s">
        <v>3114</v>
      </c>
      <c r="BB416" s="421" t="s">
        <v>3115</v>
      </c>
      <c r="BC416" s="421">
        <v>579.6</v>
      </c>
      <c r="BD416" s="421">
        <v>1659110.79</v>
      </c>
      <c r="BE416" s="421">
        <v>0</v>
      </c>
      <c r="BF416" s="421">
        <v>30.61</v>
      </c>
      <c r="BG416" s="421">
        <v>1.53</v>
      </c>
      <c r="BH416" s="421">
        <v>0</v>
      </c>
      <c r="BI416" s="421" t="s">
        <v>3256</v>
      </c>
    </row>
    <row r="417" spans="1:61" x14ac:dyDescent="0.25">
      <c r="A417" s="421">
        <v>414</v>
      </c>
      <c r="B417" s="421">
        <v>2015</v>
      </c>
      <c r="C417" s="421">
        <v>8</v>
      </c>
      <c r="D417" s="421">
        <v>3</v>
      </c>
      <c r="E417" s="421" t="s">
        <v>1475</v>
      </c>
      <c r="F417" s="421" t="s">
        <v>3557</v>
      </c>
      <c r="G417" s="421" t="s">
        <v>3325</v>
      </c>
      <c r="H417" s="421" t="s">
        <v>1107</v>
      </c>
      <c r="I417" s="421" t="s">
        <v>2333</v>
      </c>
      <c r="J417" s="421" t="s">
        <v>3759</v>
      </c>
      <c r="K417" s="421" t="s">
        <v>3093</v>
      </c>
      <c r="L417" s="421" t="s">
        <v>3094</v>
      </c>
      <c r="M417" s="421" t="s">
        <v>2667</v>
      </c>
      <c r="N417" s="421" t="s">
        <v>3093</v>
      </c>
      <c r="O417" s="421" t="s">
        <v>3094</v>
      </c>
      <c r="P417" s="421" t="s">
        <v>3095</v>
      </c>
      <c r="Q417" s="421" t="s">
        <v>3113</v>
      </c>
      <c r="R417" s="421" t="s">
        <v>1108</v>
      </c>
      <c r="S417" s="421" t="s">
        <v>1108</v>
      </c>
      <c r="T417" s="421" t="s">
        <v>1130</v>
      </c>
      <c r="U417" s="421" t="s">
        <v>1112</v>
      </c>
      <c r="V417" s="421" t="s">
        <v>3097</v>
      </c>
      <c r="W417" s="421" t="s">
        <v>3098</v>
      </c>
      <c r="X417" s="421" t="s">
        <v>3099</v>
      </c>
      <c r="Y417" s="421" t="s">
        <v>1117</v>
      </c>
      <c r="Z417" s="421" t="s">
        <v>1118</v>
      </c>
      <c r="AA417" s="421" t="s">
        <v>3100</v>
      </c>
      <c r="AB417" s="421" t="s">
        <v>3101</v>
      </c>
      <c r="AC417" s="421" t="s">
        <v>3102</v>
      </c>
      <c r="AD417" s="421" t="s">
        <v>3251</v>
      </c>
      <c r="AE417" s="421" t="s">
        <v>3252</v>
      </c>
      <c r="AF417" s="421" t="s">
        <v>2236</v>
      </c>
      <c r="AG417" s="421" t="s">
        <v>2237</v>
      </c>
      <c r="AH417" s="421" t="s">
        <v>3105</v>
      </c>
      <c r="AI417" s="421">
        <v>153000</v>
      </c>
      <c r="AJ417" s="421">
        <v>556.92999999999995</v>
      </c>
      <c r="AK417" s="421">
        <v>601.15</v>
      </c>
      <c r="AL417" s="421">
        <v>3</v>
      </c>
      <c r="AM417" s="421" t="s">
        <v>3253</v>
      </c>
      <c r="AN417" s="421" t="s">
        <v>3254</v>
      </c>
      <c r="AO417" s="421" t="s">
        <v>1121</v>
      </c>
      <c r="AP417" s="421" t="s">
        <v>1121</v>
      </c>
      <c r="AQ417" s="421" t="s">
        <v>1108</v>
      </c>
      <c r="AR417" s="421" t="s">
        <v>3753</v>
      </c>
      <c r="AS417" s="421" t="s">
        <v>3760</v>
      </c>
      <c r="AT417" s="421" t="s">
        <v>3109</v>
      </c>
      <c r="AU417" s="421" t="s">
        <v>1142</v>
      </c>
      <c r="AV417" s="421" t="s">
        <v>2037</v>
      </c>
      <c r="AW417" s="421" t="s">
        <v>3110</v>
      </c>
      <c r="AX417" s="421" t="s">
        <v>3111</v>
      </c>
      <c r="AY417" s="421" t="s">
        <v>3112</v>
      </c>
      <c r="AZ417" s="421" t="s">
        <v>3113</v>
      </c>
      <c r="BA417" s="421" t="s">
        <v>3114</v>
      </c>
      <c r="BB417" s="421" t="s">
        <v>3115</v>
      </c>
      <c r="BC417" s="421">
        <v>14581.8</v>
      </c>
      <c r="BD417" s="421">
        <v>41740548.310000002</v>
      </c>
      <c r="BE417" s="421">
        <v>0</v>
      </c>
      <c r="BF417" s="421">
        <v>769.98</v>
      </c>
      <c r="BG417" s="421">
        <v>38.380000000000003</v>
      </c>
      <c r="BH417" s="421">
        <v>0</v>
      </c>
      <c r="BI417" s="421" t="s">
        <v>3256</v>
      </c>
    </row>
    <row r="418" spans="1:61" x14ac:dyDescent="0.25">
      <c r="A418" s="421">
        <v>415</v>
      </c>
      <c r="B418" s="421">
        <v>2015</v>
      </c>
      <c r="C418" s="421">
        <v>8</v>
      </c>
      <c r="D418" s="421">
        <v>3</v>
      </c>
      <c r="E418" s="421" t="s">
        <v>1475</v>
      </c>
      <c r="F418" s="421" t="s">
        <v>3557</v>
      </c>
      <c r="G418" s="421" t="s">
        <v>3325</v>
      </c>
      <c r="H418" s="421" t="s">
        <v>1107</v>
      </c>
      <c r="I418" s="421" t="s">
        <v>2333</v>
      </c>
      <c r="J418" s="421" t="s">
        <v>3759</v>
      </c>
      <c r="K418" s="421" t="s">
        <v>3093</v>
      </c>
      <c r="L418" s="421" t="s">
        <v>3094</v>
      </c>
      <c r="M418" s="421" t="s">
        <v>2667</v>
      </c>
      <c r="N418" s="421" t="s">
        <v>3093</v>
      </c>
      <c r="O418" s="421" t="s">
        <v>3094</v>
      </c>
      <c r="P418" s="421" t="s">
        <v>3095</v>
      </c>
      <c r="Q418" s="421" t="s">
        <v>3113</v>
      </c>
      <c r="R418" s="421" t="s">
        <v>1108</v>
      </c>
      <c r="S418" s="421" t="s">
        <v>1108</v>
      </c>
      <c r="T418" s="421" t="s">
        <v>1130</v>
      </c>
      <c r="U418" s="421" t="s">
        <v>1112</v>
      </c>
      <c r="V418" s="421" t="s">
        <v>3097</v>
      </c>
      <c r="W418" s="421" t="s">
        <v>3098</v>
      </c>
      <c r="X418" s="421" t="s">
        <v>3099</v>
      </c>
      <c r="Y418" s="421" t="s">
        <v>1117</v>
      </c>
      <c r="Z418" s="421" t="s">
        <v>1118</v>
      </c>
      <c r="AA418" s="421" t="s">
        <v>3100</v>
      </c>
      <c r="AB418" s="421" t="s">
        <v>3101</v>
      </c>
      <c r="AC418" s="421" t="s">
        <v>3102</v>
      </c>
      <c r="AD418" s="421" t="s">
        <v>3251</v>
      </c>
      <c r="AE418" s="421" t="s">
        <v>3252</v>
      </c>
      <c r="AF418" s="421" t="s">
        <v>2236</v>
      </c>
      <c r="AG418" s="421" t="s">
        <v>2237</v>
      </c>
      <c r="AH418" s="421" t="s">
        <v>3105</v>
      </c>
      <c r="AI418" s="421">
        <v>166000</v>
      </c>
      <c r="AJ418" s="421">
        <v>484.16</v>
      </c>
      <c r="AK418" s="421">
        <v>522.6</v>
      </c>
      <c r="AL418" s="421">
        <v>2</v>
      </c>
      <c r="AM418" s="421" t="s">
        <v>3253</v>
      </c>
      <c r="AN418" s="421" t="s">
        <v>3254</v>
      </c>
      <c r="AO418" s="421" t="s">
        <v>1121</v>
      </c>
      <c r="AP418" s="421" t="s">
        <v>1121</v>
      </c>
      <c r="AQ418" s="421" t="s">
        <v>1108</v>
      </c>
      <c r="AR418" s="421" t="s">
        <v>3753</v>
      </c>
      <c r="AS418" s="421" t="s">
        <v>3760</v>
      </c>
      <c r="AT418" s="421" t="s">
        <v>3109</v>
      </c>
      <c r="AU418" s="421" t="s">
        <v>1142</v>
      </c>
      <c r="AV418" s="421" t="s">
        <v>2037</v>
      </c>
      <c r="AW418" s="421" t="s">
        <v>3110</v>
      </c>
      <c r="AX418" s="421" t="s">
        <v>3111</v>
      </c>
      <c r="AY418" s="421" t="s">
        <v>3112</v>
      </c>
      <c r="AZ418" s="421" t="s">
        <v>3113</v>
      </c>
      <c r="BA418" s="421" t="s">
        <v>3114</v>
      </c>
      <c r="BB418" s="421" t="s">
        <v>3115</v>
      </c>
      <c r="BC418" s="421">
        <v>7367.6</v>
      </c>
      <c r="BD418" s="421">
        <v>21089828.670000002</v>
      </c>
      <c r="BE418" s="421">
        <v>0</v>
      </c>
      <c r="BF418" s="421">
        <v>389.04</v>
      </c>
      <c r="BG418" s="421">
        <v>19.39</v>
      </c>
      <c r="BH418" s="421">
        <v>0</v>
      </c>
      <c r="BI418" s="421" t="s">
        <v>3256</v>
      </c>
    </row>
    <row r="419" spans="1:61" x14ac:dyDescent="0.25">
      <c r="A419" s="421">
        <v>416</v>
      </c>
      <c r="B419" s="421">
        <v>2015</v>
      </c>
      <c r="C419" s="421">
        <v>8</v>
      </c>
      <c r="D419" s="421">
        <v>3</v>
      </c>
      <c r="E419" s="421" t="s">
        <v>1475</v>
      </c>
      <c r="F419" s="421" t="s">
        <v>3557</v>
      </c>
      <c r="G419" s="421" t="s">
        <v>3325</v>
      </c>
      <c r="H419" s="421" t="s">
        <v>1107</v>
      </c>
      <c r="I419" s="421" t="s">
        <v>2333</v>
      </c>
      <c r="J419" s="421" t="s">
        <v>3759</v>
      </c>
      <c r="K419" s="421" t="s">
        <v>3093</v>
      </c>
      <c r="L419" s="421" t="s">
        <v>3094</v>
      </c>
      <c r="M419" s="421" t="s">
        <v>2667</v>
      </c>
      <c r="N419" s="421" t="s">
        <v>3093</v>
      </c>
      <c r="O419" s="421" t="s">
        <v>3094</v>
      </c>
      <c r="P419" s="421" t="s">
        <v>3095</v>
      </c>
      <c r="Q419" s="421" t="s">
        <v>3113</v>
      </c>
      <c r="R419" s="421" t="s">
        <v>1108</v>
      </c>
      <c r="S419" s="421" t="s">
        <v>1108</v>
      </c>
      <c r="T419" s="421" t="s">
        <v>1130</v>
      </c>
      <c r="U419" s="421" t="s">
        <v>1112</v>
      </c>
      <c r="V419" s="421" t="s">
        <v>3097</v>
      </c>
      <c r="W419" s="421" t="s">
        <v>3098</v>
      </c>
      <c r="X419" s="421" t="s">
        <v>3099</v>
      </c>
      <c r="Y419" s="421" t="s">
        <v>1117</v>
      </c>
      <c r="Z419" s="421" t="s">
        <v>1118</v>
      </c>
      <c r="AA419" s="421" t="s">
        <v>3100</v>
      </c>
      <c r="AB419" s="421" t="s">
        <v>3101</v>
      </c>
      <c r="AC419" s="421" t="s">
        <v>3102</v>
      </c>
      <c r="AD419" s="421" t="s">
        <v>3251</v>
      </c>
      <c r="AE419" s="421" t="s">
        <v>3252</v>
      </c>
      <c r="AF419" s="421" t="s">
        <v>2236</v>
      </c>
      <c r="AG419" s="421" t="s">
        <v>2237</v>
      </c>
      <c r="AH419" s="421" t="s">
        <v>3105</v>
      </c>
      <c r="AI419" s="421">
        <v>649000</v>
      </c>
      <c r="AJ419" s="421">
        <v>1898.96</v>
      </c>
      <c r="AK419" s="421">
        <v>2049.7399999999998</v>
      </c>
      <c r="AL419" s="421">
        <v>1</v>
      </c>
      <c r="AM419" s="421" t="s">
        <v>3253</v>
      </c>
      <c r="AN419" s="421" t="s">
        <v>3254</v>
      </c>
      <c r="AO419" s="421" t="s">
        <v>1121</v>
      </c>
      <c r="AP419" s="421" t="s">
        <v>1121</v>
      </c>
      <c r="AQ419" s="421" t="s">
        <v>1108</v>
      </c>
      <c r="AR419" s="421" t="s">
        <v>3753</v>
      </c>
      <c r="AS419" s="421" t="s">
        <v>3760</v>
      </c>
      <c r="AT419" s="421" t="s">
        <v>3109</v>
      </c>
      <c r="AU419" s="421" t="s">
        <v>1142</v>
      </c>
      <c r="AV419" s="421" t="s">
        <v>2037</v>
      </c>
      <c r="AW419" s="421" t="s">
        <v>3110</v>
      </c>
      <c r="AX419" s="421" t="s">
        <v>3111</v>
      </c>
      <c r="AY419" s="421" t="s">
        <v>3112</v>
      </c>
      <c r="AZ419" s="421" t="s">
        <v>3113</v>
      </c>
      <c r="BA419" s="421" t="s">
        <v>3114</v>
      </c>
      <c r="BB419" s="421" t="s">
        <v>3115</v>
      </c>
      <c r="BC419" s="421">
        <v>28603</v>
      </c>
      <c r="BD419" s="421">
        <v>81876373.530000001</v>
      </c>
      <c r="BE419" s="421">
        <v>0</v>
      </c>
      <c r="BF419" s="421">
        <v>1510.37</v>
      </c>
      <c r="BG419" s="421">
        <v>75.28</v>
      </c>
      <c r="BH419" s="421">
        <v>0</v>
      </c>
      <c r="BI419" s="421" t="s">
        <v>3256</v>
      </c>
    </row>
    <row r="420" spans="1:61" x14ac:dyDescent="0.25">
      <c r="A420" s="421">
        <v>417</v>
      </c>
      <c r="B420" s="421">
        <v>2015</v>
      </c>
      <c r="C420" s="421">
        <v>8</v>
      </c>
      <c r="D420" s="421">
        <v>3</v>
      </c>
      <c r="E420" s="421" t="s">
        <v>1475</v>
      </c>
      <c r="F420" s="421" t="s">
        <v>3557</v>
      </c>
      <c r="G420" s="421" t="s">
        <v>3325</v>
      </c>
      <c r="H420" s="421" t="s">
        <v>1107</v>
      </c>
      <c r="I420" s="421" t="s">
        <v>2333</v>
      </c>
      <c r="J420" s="421" t="s">
        <v>3761</v>
      </c>
      <c r="K420" s="421" t="s">
        <v>3093</v>
      </c>
      <c r="L420" s="421" t="s">
        <v>3094</v>
      </c>
      <c r="M420" s="421" t="s">
        <v>2667</v>
      </c>
      <c r="N420" s="421" t="s">
        <v>3093</v>
      </c>
      <c r="O420" s="421" t="s">
        <v>3094</v>
      </c>
      <c r="P420" s="421" t="s">
        <v>3095</v>
      </c>
      <c r="Q420" s="421" t="s">
        <v>3096</v>
      </c>
      <c r="R420" s="421" t="s">
        <v>1108</v>
      </c>
      <c r="S420" s="421" t="s">
        <v>1542</v>
      </c>
      <c r="T420" s="421" t="s">
        <v>1130</v>
      </c>
      <c r="U420" s="421" t="s">
        <v>1112</v>
      </c>
      <c r="V420" s="421" t="s">
        <v>3097</v>
      </c>
      <c r="W420" s="421" t="s">
        <v>3098</v>
      </c>
      <c r="X420" s="421" t="s">
        <v>3099</v>
      </c>
      <c r="Y420" s="421" t="s">
        <v>1117</v>
      </c>
      <c r="Z420" s="421" t="s">
        <v>1118</v>
      </c>
      <c r="AA420" s="421" t="s">
        <v>3100</v>
      </c>
      <c r="AB420" s="421" t="s">
        <v>3101</v>
      </c>
      <c r="AC420" s="421" t="s">
        <v>3102</v>
      </c>
      <c r="AD420" s="421" t="s">
        <v>3103</v>
      </c>
      <c r="AE420" s="421" t="s">
        <v>3104</v>
      </c>
      <c r="AF420" s="421" t="s">
        <v>2236</v>
      </c>
      <c r="AG420" s="421" t="s">
        <v>2237</v>
      </c>
      <c r="AH420" s="421" t="s">
        <v>3105</v>
      </c>
      <c r="AI420" s="421">
        <v>999000</v>
      </c>
      <c r="AJ420" s="421">
        <v>3622.45</v>
      </c>
      <c r="AK420" s="421">
        <v>3934.21</v>
      </c>
      <c r="AL420" s="421">
        <v>3</v>
      </c>
      <c r="AM420" s="421" t="s">
        <v>959</v>
      </c>
      <c r="AN420" s="421" t="s">
        <v>3106</v>
      </c>
      <c r="AO420" s="421" t="s">
        <v>1121</v>
      </c>
      <c r="AP420" s="421" t="s">
        <v>1121</v>
      </c>
      <c r="AQ420" s="421" t="s">
        <v>1542</v>
      </c>
      <c r="AR420" s="421" t="s">
        <v>3697</v>
      </c>
      <c r="AS420" s="421" t="s">
        <v>3762</v>
      </c>
      <c r="AT420" s="421" t="s">
        <v>3109</v>
      </c>
      <c r="AU420" s="421" t="s">
        <v>1142</v>
      </c>
      <c r="AV420" s="421" t="s">
        <v>3410</v>
      </c>
      <c r="AW420" s="421" t="s">
        <v>3110</v>
      </c>
      <c r="AX420" s="421" t="s">
        <v>3111</v>
      </c>
      <c r="AY420" s="421" t="s">
        <v>3112</v>
      </c>
      <c r="AZ420" s="421" t="s">
        <v>3113</v>
      </c>
      <c r="BA420" s="421" t="s">
        <v>3114</v>
      </c>
      <c r="BB420" s="421" t="s">
        <v>3115</v>
      </c>
      <c r="BC420" s="421">
        <v>84747.6</v>
      </c>
      <c r="BD420" s="421">
        <v>242590852.47</v>
      </c>
      <c r="BE420" s="421">
        <v>0</v>
      </c>
      <c r="BF420" s="421">
        <v>0</v>
      </c>
      <c r="BG420" s="421">
        <v>0</v>
      </c>
      <c r="BH420" s="421">
        <v>0</v>
      </c>
      <c r="BI420" s="421" t="s">
        <v>1167</v>
      </c>
    </row>
    <row r="421" spans="1:61" x14ac:dyDescent="0.25">
      <c r="A421" s="421">
        <v>418</v>
      </c>
      <c r="B421" s="421">
        <v>2015</v>
      </c>
      <c r="C421" s="421">
        <v>8</v>
      </c>
      <c r="D421" s="421">
        <v>3</v>
      </c>
      <c r="E421" s="421" t="s">
        <v>1475</v>
      </c>
      <c r="F421" s="421" t="s">
        <v>3557</v>
      </c>
      <c r="G421" s="421" t="s">
        <v>3325</v>
      </c>
      <c r="H421" s="421" t="s">
        <v>1107</v>
      </c>
      <c r="I421" s="421" t="s">
        <v>2333</v>
      </c>
      <c r="J421" s="421" t="s">
        <v>3761</v>
      </c>
      <c r="K421" s="421" t="s">
        <v>3093</v>
      </c>
      <c r="L421" s="421" t="s">
        <v>3094</v>
      </c>
      <c r="M421" s="421" t="s">
        <v>2667</v>
      </c>
      <c r="N421" s="421" t="s">
        <v>3093</v>
      </c>
      <c r="O421" s="421" t="s">
        <v>3094</v>
      </c>
      <c r="P421" s="421" t="s">
        <v>3095</v>
      </c>
      <c r="Q421" s="421" t="s">
        <v>3096</v>
      </c>
      <c r="R421" s="421" t="s">
        <v>1108</v>
      </c>
      <c r="S421" s="421" t="s">
        <v>1542</v>
      </c>
      <c r="T421" s="421" t="s">
        <v>1130</v>
      </c>
      <c r="U421" s="421" t="s">
        <v>1112</v>
      </c>
      <c r="V421" s="421" t="s">
        <v>3097</v>
      </c>
      <c r="W421" s="421" t="s">
        <v>3098</v>
      </c>
      <c r="X421" s="421" t="s">
        <v>3099</v>
      </c>
      <c r="Y421" s="421" t="s">
        <v>1117</v>
      </c>
      <c r="Z421" s="421" t="s">
        <v>1118</v>
      </c>
      <c r="AA421" s="421" t="s">
        <v>3100</v>
      </c>
      <c r="AB421" s="421" t="s">
        <v>3101</v>
      </c>
      <c r="AC421" s="421" t="s">
        <v>3102</v>
      </c>
      <c r="AD421" s="421" t="s">
        <v>3103</v>
      </c>
      <c r="AE421" s="421" t="s">
        <v>3104</v>
      </c>
      <c r="AF421" s="421" t="s">
        <v>2236</v>
      </c>
      <c r="AG421" s="421" t="s">
        <v>2237</v>
      </c>
      <c r="AH421" s="421" t="s">
        <v>3105</v>
      </c>
      <c r="AI421" s="421">
        <v>264000</v>
      </c>
      <c r="AJ421" s="421">
        <v>982.52</v>
      </c>
      <c r="AK421" s="421">
        <v>1067.08</v>
      </c>
      <c r="AL421" s="421">
        <v>4</v>
      </c>
      <c r="AM421" s="421" t="s">
        <v>959</v>
      </c>
      <c r="AN421" s="421" t="s">
        <v>3106</v>
      </c>
      <c r="AO421" s="421" t="s">
        <v>1121</v>
      </c>
      <c r="AP421" s="421" t="s">
        <v>1121</v>
      </c>
      <c r="AQ421" s="421" t="s">
        <v>1542</v>
      </c>
      <c r="AR421" s="421" t="s">
        <v>3697</v>
      </c>
      <c r="AS421" s="421" t="s">
        <v>3762</v>
      </c>
      <c r="AT421" s="421" t="s">
        <v>3109</v>
      </c>
      <c r="AU421" s="421" t="s">
        <v>1142</v>
      </c>
      <c r="AV421" s="421" t="s">
        <v>3410</v>
      </c>
      <c r="AW421" s="421" t="s">
        <v>3110</v>
      </c>
      <c r="AX421" s="421" t="s">
        <v>3111</v>
      </c>
      <c r="AY421" s="421" t="s">
        <v>3112</v>
      </c>
      <c r="AZ421" s="421" t="s">
        <v>3113</v>
      </c>
      <c r="BA421" s="421" t="s">
        <v>3114</v>
      </c>
      <c r="BB421" s="421" t="s">
        <v>3115</v>
      </c>
      <c r="BC421" s="421">
        <v>22176</v>
      </c>
      <c r="BD421" s="421">
        <v>63479021.759999998</v>
      </c>
      <c r="BE421" s="421">
        <v>0</v>
      </c>
      <c r="BF421" s="421">
        <v>0</v>
      </c>
      <c r="BG421" s="421">
        <v>0</v>
      </c>
      <c r="BH421" s="421">
        <v>0</v>
      </c>
      <c r="BI421" s="421" t="s">
        <v>1167</v>
      </c>
    </row>
    <row r="422" spans="1:61" x14ac:dyDescent="0.25">
      <c r="A422" s="421">
        <v>419</v>
      </c>
      <c r="B422" s="421">
        <v>2015</v>
      </c>
      <c r="C422" s="421">
        <v>8</v>
      </c>
      <c r="D422" s="421">
        <v>3</v>
      </c>
      <c r="E422" s="421" t="s">
        <v>1475</v>
      </c>
      <c r="F422" s="421" t="s">
        <v>3557</v>
      </c>
      <c r="G422" s="421" t="s">
        <v>3325</v>
      </c>
      <c r="H422" s="421" t="s">
        <v>1107</v>
      </c>
      <c r="I422" s="421" t="s">
        <v>2333</v>
      </c>
      <c r="J422" s="421" t="s">
        <v>3761</v>
      </c>
      <c r="K422" s="421" t="s">
        <v>3093</v>
      </c>
      <c r="L422" s="421" t="s">
        <v>3094</v>
      </c>
      <c r="M422" s="421" t="s">
        <v>2667</v>
      </c>
      <c r="N422" s="421" t="s">
        <v>3093</v>
      </c>
      <c r="O422" s="421" t="s">
        <v>3094</v>
      </c>
      <c r="P422" s="421" t="s">
        <v>3095</v>
      </c>
      <c r="Q422" s="421" t="s">
        <v>3096</v>
      </c>
      <c r="R422" s="421" t="s">
        <v>1108</v>
      </c>
      <c r="S422" s="421" t="s">
        <v>1542</v>
      </c>
      <c r="T422" s="421" t="s">
        <v>1130</v>
      </c>
      <c r="U422" s="421" t="s">
        <v>1112</v>
      </c>
      <c r="V422" s="421" t="s">
        <v>3097</v>
      </c>
      <c r="W422" s="421" t="s">
        <v>3098</v>
      </c>
      <c r="X422" s="421" t="s">
        <v>3099</v>
      </c>
      <c r="Y422" s="421" t="s">
        <v>1117</v>
      </c>
      <c r="Z422" s="421" t="s">
        <v>1118</v>
      </c>
      <c r="AA422" s="421" t="s">
        <v>3100</v>
      </c>
      <c r="AB422" s="421" t="s">
        <v>3101</v>
      </c>
      <c r="AC422" s="421" t="s">
        <v>3102</v>
      </c>
      <c r="AD422" s="421" t="s">
        <v>3103</v>
      </c>
      <c r="AE422" s="421" t="s">
        <v>3104</v>
      </c>
      <c r="AF422" s="421" t="s">
        <v>2236</v>
      </c>
      <c r="AG422" s="421" t="s">
        <v>2237</v>
      </c>
      <c r="AH422" s="421" t="s">
        <v>3105</v>
      </c>
      <c r="AI422" s="421">
        <v>4048500</v>
      </c>
      <c r="AJ422" s="421">
        <v>8397.08</v>
      </c>
      <c r="AK422" s="421">
        <v>9119.76</v>
      </c>
      <c r="AL422" s="421">
        <v>1</v>
      </c>
      <c r="AM422" s="421" t="s">
        <v>959</v>
      </c>
      <c r="AN422" s="421" t="s">
        <v>3106</v>
      </c>
      <c r="AO422" s="421" t="s">
        <v>1121</v>
      </c>
      <c r="AP422" s="421" t="s">
        <v>1121</v>
      </c>
      <c r="AQ422" s="421" t="s">
        <v>1542</v>
      </c>
      <c r="AR422" s="421" t="s">
        <v>3697</v>
      </c>
      <c r="AS422" s="421" t="s">
        <v>3762</v>
      </c>
      <c r="AT422" s="421" t="s">
        <v>3109</v>
      </c>
      <c r="AU422" s="421" t="s">
        <v>1142</v>
      </c>
      <c r="AV422" s="421" t="s">
        <v>3410</v>
      </c>
      <c r="AW422" s="421" t="s">
        <v>3110</v>
      </c>
      <c r="AX422" s="421" t="s">
        <v>3111</v>
      </c>
      <c r="AY422" s="421" t="s">
        <v>3112</v>
      </c>
      <c r="AZ422" s="421" t="s">
        <v>3113</v>
      </c>
      <c r="BA422" s="421" t="s">
        <v>3114</v>
      </c>
      <c r="BB422" s="421" t="s">
        <v>3115</v>
      </c>
      <c r="BC422" s="421">
        <v>112131</v>
      </c>
      <c r="BD422" s="421">
        <v>320976108.81</v>
      </c>
      <c r="BE422" s="421">
        <v>0</v>
      </c>
      <c r="BF422" s="421">
        <v>0</v>
      </c>
      <c r="BG422" s="421">
        <v>0</v>
      </c>
      <c r="BH422" s="421">
        <v>0</v>
      </c>
      <c r="BI422" s="421" t="s">
        <v>1167</v>
      </c>
    </row>
    <row r="423" spans="1:61" x14ac:dyDescent="0.25">
      <c r="A423" s="421">
        <v>420</v>
      </c>
      <c r="B423" s="421">
        <v>2015</v>
      </c>
      <c r="C423" s="421">
        <v>8</v>
      </c>
      <c r="D423" s="421">
        <v>3</v>
      </c>
      <c r="E423" s="421" t="s">
        <v>1475</v>
      </c>
      <c r="F423" s="421" t="s">
        <v>3557</v>
      </c>
      <c r="G423" s="421" t="s">
        <v>3325</v>
      </c>
      <c r="H423" s="421" t="s">
        <v>1107</v>
      </c>
      <c r="I423" s="421" t="s">
        <v>2333</v>
      </c>
      <c r="J423" s="421" t="s">
        <v>3761</v>
      </c>
      <c r="K423" s="421" t="s">
        <v>3093</v>
      </c>
      <c r="L423" s="421" t="s">
        <v>3094</v>
      </c>
      <c r="M423" s="421" t="s">
        <v>2667</v>
      </c>
      <c r="N423" s="421" t="s">
        <v>3093</v>
      </c>
      <c r="O423" s="421" t="s">
        <v>3094</v>
      </c>
      <c r="P423" s="421" t="s">
        <v>3095</v>
      </c>
      <c r="Q423" s="421" t="s">
        <v>3096</v>
      </c>
      <c r="R423" s="421" t="s">
        <v>1108</v>
      </c>
      <c r="S423" s="421" t="s">
        <v>1542</v>
      </c>
      <c r="T423" s="421" t="s">
        <v>1130</v>
      </c>
      <c r="U423" s="421" t="s">
        <v>1112</v>
      </c>
      <c r="V423" s="421" t="s">
        <v>3097</v>
      </c>
      <c r="W423" s="421" t="s">
        <v>3098</v>
      </c>
      <c r="X423" s="421" t="s">
        <v>3099</v>
      </c>
      <c r="Y423" s="421" t="s">
        <v>1117</v>
      </c>
      <c r="Z423" s="421" t="s">
        <v>1118</v>
      </c>
      <c r="AA423" s="421" t="s">
        <v>3100</v>
      </c>
      <c r="AB423" s="421" t="s">
        <v>3101</v>
      </c>
      <c r="AC423" s="421" t="s">
        <v>3102</v>
      </c>
      <c r="AD423" s="421" t="s">
        <v>3103</v>
      </c>
      <c r="AE423" s="421" t="s">
        <v>3104</v>
      </c>
      <c r="AF423" s="421" t="s">
        <v>2236</v>
      </c>
      <c r="AG423" s="421" t="s">
        <v>2237</v>
      </c>
      <c r="AH423" s="421" t="s">
        <v>3105</v>
      </c>
      <c r="AI423" s="421">
        <v>691000</v>
      </c>
      <c r="AJ423" s="421">
        <v>1510.22</v>
      </c>
      <c r="AK423" s="421">
        <v>1640.19</v>
      </c>
      <c r="AL423" s="421">
        <v>2</v>
      </c>
      <c r="AM423" s="421" t="s">
        <v>959</v>
      </c>
      <c r="AN423" s="421" t="s">
        <v>3106</v>
      </c>
      <c r="AO423" s="421" t="s">
        <v>1121</v>
      </c>
      <c r="AP423" s="421" t="s">
        <v>1121</v>
      </c>
      <c r="AQ423" s="421" t="s">
        <v>1542</v>
      </c>
      <c r="AR423" s="421" t="s">
        <v>3697</v>
      </c>
      <c r="AS423" s="421" t="s">
        <v>3762</v>
      </c>
      <c r="AT423" s="421" t="s">
        <v>3109</v>
      </c>
      <c r="AU423" s="421" t="s">
        <v>1142</v>
      </c>
      <c r="AV423" s="421" t="s">
        <v>3410</v>
      </c>
      <c r="AW423" s="421" t="s">
        <v>3110</v>
      </c>
      <c r="AX423" s="421" t="s">
        <v>3111</v>
      </c>
      <c r="AY423" s="421" t="s">
        <v>3112</v>
      </c>
      <c r="AZ423" s="421" t="s">
        <v>3113</v>
      </c>
      <c r="BA423" s="421" t="s">
        <v>3114</v>
      </c>
      <c r="BB423" s="421" t="s">
        <v>3115</v>
      </c>
      <c r="BC423" s="421">
        <v>20607.5</v>
      </c>
      <c r="BD423" s="421">
        <v>58989174.82</v>
      </c>
      <c r="BE423" s="421">
        <v>0</v>
      </c>
      <c r="BF423" s="421">
        <v>0</v>
      </c>
      <c r="BG423" s="421">
        <v>0</v>
      </c>
      <c r="BH423" s="421">
        <v>0</v>
      </c>
      <c r="BI423" s="421" t="s">
        <v>1167</v>
      </c>
    </row>
    <row r="424" spans="1:61" x14ac:dyDescent="0.25">
      <c r="A424" s="421">
        <v>421</v>
      </c>
      <c r="B424" s="421">
        <v>2015</v>
      </c>
      <c r="C424" s="421">
        <v>8</v>
      </c>
      <c r="D424" s="421">
        <v>4</v>
      </c>
      <c r="E424" s="421" t="s">
        <v>1475</v>
      </c>
      <c r="F424" s="421" t="s">
        <v>3557</v>
      </c>
      <c r="G424" s="421" t="s">
        <v>3477</v>
      </c>
      <c r="H424" s="421" t="s">
        <v>1107</v>
      </c>
      <c r="I424" s="421" t="s">
        <v>2292</v>
      </c>
      <c r="J424" s="421" t="s">
        <v>3763</v>
      </c>
      <c r="K424" s="421" t="s">
        <v>3093</v>
      </c>
      <c r="L424" s="421" t="s">
        <v>3094</v>
      </c>
      <c r="M424" s="421" t="s">
        <v>2667</v>
      </c>
      <c r="N424" s="421" t="s">
        <v>3093</v>
      </c>
      <c r="O424" s="421" t="s">
        <v>3094</v>
      </c>
      <c r="P424" s="421" t="s">
        <v>3095</v>
      </c>
      <c r="Q424" s="421" t="s">
        <v>3096</v>
      </c>
      <c r="R424" s="421" t="s">
        <v>1108</v>
      </c>
      <c r="S424" s="421" t="s">
        <v>1542</v>
      </c>
      <c r="T424" s="421" t="s">
        <v>1130</v>
      </c>
      <c r="U424" s="421" t="s">
        <v>1112</v>
      </c>
      <c r="V424" s="421" t="s">
        <v>3097</v>
      </c>
      <c r="W424" s="421" t="s">
        <v>3098</v>
      </c>
      <c r="X424" s="421" t="s">
        <v>3099</v>
      </c>
      <c r="Y424" s="421" t="s">
        <v>1117</v>
      </c>
      <c r="Z424" s="421" t="s">
        <v>1118</v>
      </c>
      <c r="AA424" s="421" t="s">
        <v>3100</v>
      </c>
      <c r="AB424" s="421" t="s">
        <v>3101</v>
      </c>
      <c r="AC424" s="421" t="s">
        <v>3102</v>
      </c>
      <c r="AD424" s="421" t="s">
        <v>3170</v>
      </c>
      <c r="AE424" s="421" t="s">
        <v>3171</v>
      </c>
      <c r="AF424" s="421" t="s">
        <v>3375</v>
      </c>
      <c r="AG424" s="421" t="s">
        <v>3376</v>
      </c>
      <c r="AH424" s="421" t="s">
        <v>3105</v>
      </c>
      <c r="AI424" s="421">
        <v>300</v>
      </c>
      <c r="AJ424" s="421">
        <v>46.3</v>
      </c>
      <c r="AK424" s="421">
        <v>48.46</v>
      </c>
      <c r="AL424" s="421">
        <v>1</v>
      </c>
      <c r="AM424" s="421" t="s">
        <v>2429</v>
      </c>
      <c r="AN424" s="421" t="s">
        <v>3172</v>
      </c>
      <c r="AO424" s="421" t="s">
        <v>1121</v>
      </c>
      <c r="AP424" s="421" t="s">
        <v>1121</v>
      </c>
      <c r="AQ424" s="421" t="s">
        <v>1542</v>
      </c>
      <c r="AR424" s="421" t="s">
        <v>3697</v>
      </c>
      <c r="AS424" s="421" t="s">
        <v>3764</v>
      </c>
      <c r="AT424" s="421" t="s">
        <v>3109</v>
      </c>
      <c r="AU424" s="421" t="s">
        <v>1142</v>
      </c>
      <c r="AV424" s="421" t="s">
        <v>2520</v>
      </c>
      <c r="AW424" s="421" t="s">
        <v>3110</v>
      </c>
      <c r="AX424" s="421" t="s">
        <v>3229</v>
      </c>
      <c r="AY424" s="421" t="s">
        <v>3112</v>
      </c>
      <c r="AZ424" s="421" t="s">
        <v>3113</v>
      </c>
      <c r="BA424" s="421" t="s">
        <v>3114</v>
      </c>
      <c r="BB424" s="421" t="s">
        <v>3230</v>
      </c>
      <c r="BC424" s="421">
        <v>6</v>
      </c>
      <c r="BD424" s="421">
        <v>17417.88</v>
      </c>
      <c r="BE424" s="421">
        <v>0</v>
      </c>
      <c r="BF424" s="421">
        <v>0</v>
      </c>
      <c r="BG424" s="421">
        <v>0</v>
      </c>
      <c r="BH424" s="421">
        <v>0</v>
      </c>
      <c r="BI424" s="421" t="s">
        <v>1331</v>
      </c>
    </row>
    <row r="425" spans="1:61" x14ac:dyDescent="0.25">
      <c r="A425" s="421">
        <v>422</v>
      </c>
      <c r="B425" s="421">
        <v>2015</v>
      </c>
      <c r="C425" s="421">
        <v>8</v>
      </c>
      <c r="D425" s="421">
        <v>4</v>
      </c>
      <c r="E425" s="421" t="s">
        <v>1475</v>
      </c>
      <c r="F425" s="421" t="s">
        <v>3557</v>
      </c>
      <c r="G425" s="421" t="s">
        <v>3477</v>
      </c>
      <c r="H425" s="421" t="s">
        <v>1107</v>
      </c>
      <c r="I425" s="421" t="s">
        <v>2292</v>
      </c>
      <c r="J425" s="421" t="s">
        <v>3763</v>
      </c>
      <c r="K425" s="421" t="s">
        <v>3093</v>
      </c>
      <c r="L425" s="421" t="s">
        <v>3094</v>
      </c>
      <c r="M425" s="421" t="s">
        <v>2667</v>
      </c>
      <c r="N425" s="421" t="s">
        <v>3093</v>
      </c>
      <c r="O425" s="421" t="s">
        <v>3094</v>
      </c>
      <c r="P425" s="421" t="s">
        <v>3095</v>
      </c>
      <c r="Q425" s="421" t="s">
        <v>3096</v>
      </c>
      <c r="R425" s="421" t="s">
        <v>1108</v>
      </c>
      <c r="S425" s="421" t="s">
        <v>1542</v>
      </c>
      <c r="T425" s="421" t="s">
        <v>1130</v>
      </c>
      <c r="U425" s="421" t="s">
        <v>1112</v>
      </c>
      <c r="V425" s="421" t="s">
        <v>3097</v>
      </c>
      <c r="W425" s="421" t="s">
        <v>3098</v>
      </c>
      <c r="X425" s="421" t="s">
        <v>3099</v>
      </c>
      <c r="Y425" s="421" t="s">
        <v>1117</v>
      </c>
      <c r="Z425" s="421" t="s">
        <v>1118</v>
      </c>
      <c r="AA425" s="421" t="s">
        <v>3100</v>
      </c>
      <c r="AB425" s="421" t="s">
        <v>3101</v>
      </c>
      <c r="AC425" s="421" t="s">
        <v>3102</v>
      </c>
      <c r="AD425" s="421" t="s">
        <v>3170</v>
      </c>
      <c r="AE425" s="421" t="s">
        <v>3171</v>
      </c>
      <c r="AF425" s="421" t="s">
        <v>1512</v>
      </c>
      <c r="AG425" s="421" t="s">
        <v>1513</v>
      </c>
      <c r="AH425" s="421" t="s">
        <v>3105</v>
      </c>
      <c r="AI425" s="421">
        <v>1000</v>
      </c>
      <c r="AJ425" s="421">
        <v>4.9400000000000004</v>
      </c>
      <c r="AK425" s="421">
        <v>5.17</v>
      </c>
      <c r="AL425" s="421">
        <v>2</v>
      </c>
      <c r="AM425" s="421" t="s">
        <v>2429</v>
      </c>
      <c r="AN425" s="421" t="s">
        <v>3172</v>
      </c>
      <c r="AO425" s="421" t="s">
        <v>1121</v>
      </c>
      <c r="AP425" s="421" t="s">
        <v>1121</v>
      </c>
      <c r="AQ425" s="421" t="s">
        <v>1542</v>
      </c>
      <c r="AR425" s="421" t="s">
        <v>3697</v>
      </c>
      <c r="AS425" s="421" t="s">
        <v>3764</v>
      </c>
      <c r="AT425" s="421" t="s">
        <v>3109</v>
      </c>
      <c r="AU425" s="421" t="s">
        <v>1142</v>
      </c>
      <c r="AV425" s="421" t="s">
        <v>2520</v>
      </c>
      <c r="AW425" s="421" t="s">
        <v>3110</v>
      </c>
      <c r="AX425" s="421" t="s">
        <v>3229</v>
      </c>
      <c r="AY425" s="421" t="s">
        <v>3112</v>
      </c>
      <c r="AZ425" s="421" t="s">
        <v>3113</v>
      </c>
      <c r="BA425" s="421" t="s">
        <v>3114</v>
      </c>
      <c r="BB425" s="421" t="s">
        <v>3230</v>
      </c>
      <c r="BC425" s="421">
        <v>10</v>
      </c>
      <c r="BD425" s="421">
        <v>29029.8</v>
      </c>
      <c r="BE425" s="421">
        <v>0</v>
      </c>
      <c r="BF425" s="421">
        <v>0</v>
      </c>
      <c r="BG425" s="421">
        <v>0</v>
      </c>
      <c r="BH425" s="421">
        <v>0</v>
      </c>
      <c r="BI425" s="421" t="s">
        <v>1331</v>
      </c>
    </row>
    <row r="426" spans="1:61" x14ac:dyDescent="0.25">
      <c r="A426" s="421">
        <v>423</v>
      </c>
      <c r="B426" s="421">
        <v>2015</v>
      </c>
      <c r="C426" s="421">
        <v>8</v>
      </c>
      <c r="D426" s="421">
        <v>5</v>
      </c>
      <c r="E426" s="421" t="s">
        <v>1475</v>
      </c>
      <c r="F426" s="421" t="s">
        <v>3557</v>
      </c>
      <c r="G426" s="421" t="s">
        <v>3090</v>
      </c>
      <c r="H426" s="421" t="s">
        <v>1107</v>
      </c>
      <c r="I426" s="421" t="s">
        <v>3765</v>
      </c>
      <c r="J426" s="421" t="s">
        <v>3766</v>
      </c>
      <c r="K426" s="421" t="s">
        <v>3093</v>
      </c>
      <c r="L426" s="421" t="s">
        <v>3094</v>
      </c>
      <c r="M426" s="421" t="s">
        <v>2667</v>
      </c>
      <c r="N426" s="421" t="s">
        <v>3093</v>
      </c>
      <c r="O426" s="421" t="s">
        <v>3094</v>
      </c>
      <c r="P426" s="421" t="s">
        <v>3095</v>
      </c>
      <c r="Q426" s="421" t="s">
        <v>3113</v>
      </c>
      <c r="R426" s="421" t="s">
        <v>1108</v>
      </c>
      <c r="S426" s="421" t="s">
        <v>1108</v>
      </c>
      <c r="T426" s="421" t="s">
        <v>1130</v>
      </c>
      <c r="U426" s="421" t="s">
        <v>3144</v>
      </c>
      <c r="V426" s="421" t="s">
        <v>3145</v>
      </c>
      <c r="W426" s="421" t="s">
        <v>3098</v>
      </c>
      <c r="X426" s="421" t="s">
        <v>3099</v>
      </c>
      <c r="Y426" s="421" t="s">
        <v>1117</v>
      </c>
      <c r="Z426" s="421" t="s">
        <v>1118</v>
      </c>
      <c r="AA426" s="421" t="s">
        <v>3100</v>
      </c>
      <c r="AB426" s="421" t="s">
        <v>3146</v>
      </c>
      <c r="AC426" s="421" t="s">
        <v>3102</v>
      </c>
      <c r="AD426" s="421" t="s">
        <v>3327</v>
      </c>
      <c r="AE426" s="421" t="s">
        <v>3328</v>
      </c>
      <c r="AF426" s="421" t="s">
        <v>1896</v>
      </c>
      <c r="AG426" s="421" t="s">
        <v>1897</v>
      </c>
      <c r="AH426" s="421" t="s">
        <v>3105</v>
      </c>
      <c r="AI426" s="421">
        <v>153</v>
      </c>
      <c r="AJ426" s="421">
        <v>21.66</v>
      </c>
      <c r="AK426" s="421">
        <v>23.55</v>
      </c>
      <c r="AL426" s="421">
        <v>9</v>
      </c>
      <c r="AM426" s="421" t="s">
        <v>3329</v>
      </c>
      <c r="AN426" s="421" t="s">
        <v>3330</v>
      </c>
      <c r="AO426" s="421" t="s">
        <v>1121</v>
      </c>
      <c r="AP426" s="421" t="s">
        <v>1121</v>
      </c>
      <c r="AQ426" s="421" t="s">
        <v>1108</v>
      </c>
      <c r="AR426" s="421" t="s">
        <v>3753</v>
      </c>
      <c r="AS426" s="421" t="s">
        <v>3767</v>
      </c>
      <c r="AT426" s="421" t="s">
        <v>3109</v>
      </c>
      <c r="AU426" s="421" t="s">
        <v>1341</v>
      </c>
      <c r="AV426" s="421" t="s">
        <v>3157</v>
      </c>
      <c r="AW426" s="421" t="s">
        <v>3110</v>
      </c>
      <c r="AX426" s="421" t="s">
        <v>3111</v>
      </c>
      <c r="AY426" s="421" t="s">
        <v>3112</v>
      </c>
      <c r="AZ426" s="421" t="s">
        <v>3113</v>
      </c>
      <c r="BA426" s="421" t="s">
        <v>3114</v>
      </c>
      <c r="BB426" s="421" t="s">
        <v>3115</v>
      </c>
      <c r="BC426" s="421">
        <v>102</v>
      </c>
      <c r="BD426" s="421">
        <v>296508.90000000002</v>
      </c>
      <c r="BE426" s="421">
        <v>0</v>
      </c>
      <c r="BF426" s="421">
        <v>14.9</v>
      </c>
      <c r="BG426" s="421">
        <v>0.28999999999999998</v>
      </c>
      <c r="BH426" s="421">
        <v>0</v>
      </c>
      <c r="BI426" s="421" t="s">
        <v>1149</v>
      </c>
    </row>
    <row r="427" spans="1:61" x14ac:dyDescent="0.25">
      <c r="A427" s="421">
        <v>424</v>
      </c>
      <c r="B427" s="421">
        <v>2015</v>
      </c>
      <c r="C427" s="421">
        <v>8</v>
      </c>
      <c r="D427" s="421">
        <v>5</v>
      </c>
      <c r="E427" s="421" t="s">
        <v>1475</v>
      </c>
      <c r="F427" s="421" t="s">
        <v>3557</v>
      </c>
      <c r="G427" s="421" t="s">
        <v>3090</v>
      </c>
      <c r="H427" s="421" t="s">
        <v>1107</v>
      </c>
      <c r="I427" s="421" t="s">
        <v>3765</v>
      </c>
      <c r="J427" s="421" t="s">
        <v>3766</v>
      </c>
      <c r="K427" s="421" t="s">
        <v>3093</v>
      </c>
      <c r="L427" s="421" t="s">
        <v>3094</v>
      </c>
      <c r="M427" s="421" t="s">
        <v>2667</v>
      </c>
      <c r="N427" s="421" t="s">
        <v>3093</v>
      </c>
      <c r="O427" s="421" t="s">
        <v>3094</v>
      </c>
      <c r="P427" s="421" t="s">
        <v>3095</v>
      </c>
      <c r="Q427" s="421" t="s">
        <v>3113</v>
      </c>
      <c r="R427" s="421" t="s">
        <v>1108</v>
      </c>
      <c r="S427" s="421" t="s">
        <v>1108</v>
      </c>
      <c r="T427" s="421" t="s">
        <v>1130</v>
      </c>
      <c r="U427" s="421" t="s">
        <v>3144</v>
      </c>
      <c r="V427" s="421" t="s">
        <v>3145</v>
      </c>
      <c r="W427" s="421" t="s">
        <v>3098</v>
      </c>
      <c r="X427" s="421" t="s">
        <v>3099</v>
      </c>
      <c r="Y427" s="421" t="s">
        <v>1117</v>
      </c>
      <c r="Z427" s="421" t="s">
        <v>1118</v>
      </c>
      <c r="AA427" s="421" t="s">
        <v>3100</v>
      </c>
      <c r="AB427" s="421" t="s">
        <v>3146</v>
      </c>
      <c r="AC427" s="421" t="s">
        <v>3102</v>
      </c>
      <c r="AD427" s="421" t="s">
        <v>3327</v>
      </c>
      <c r="AE427" s="421" t="s">
        <v>3328</v>
      </c>
      <c r="AF427" s="421" t="s">
        <v>1249</v>
      </c>
      <c r="AG427" s="421" t="s">
        <v>1250</v>
      </c>
      <c r="AH427" s="421" t="s">
        <v>3105</v>
      </c>
      <c r="AI427" s="421">
        <v>456</v>
      </c>
      <c r="AJ427" s="421">
        <v>59.5</v>
      </c>
      <c r="AK427" s="421">
        <v>64.709999999999994</v>
      </c>
      <c r="AL427" s="421">
        <v>5</v>
      </c>
      <c r="AM427" s="421" t="s">
        <v>3329</v>
      </c>
      <c r="AN427" s="421" t="s">
        <v>3330</v>
      </c>
      <c r="AO427" s="421" t="s">
        <v>1121</v>
      </c>
      <c r="AP427" s="421" t="s">
        <v>1121</v>
      </c>
      <c r="AQ427" s="421" t="s">
        <v>1108</v>
      </c>
      <c r="AR427" s="421" t="s">
        <v>3753</v>
      </c>
      <c r="AS427" s="421" t="s">
        <v>3767</v>
      </c>
      <c r="AT427" s="421" t="s">
        <v>3109</v>
      </c>
      <c r="AU427" s="421" t="s">
        <v>1341</v>
      </c>
      <c r="AV427" s="421" t="s">
        <v>3157</v>
      </c>
      <c r="AW427" s="421" t="s">
        <v>3110</v>
      </c>
      <c r="AX427" s="421" t="s">
        <v>3111</v>
      </c>
      <c r="AY427" s="421" t="s">
        <v>3112</v>
      </c>
      <c r="AZ427" s="421" t="s">
        <v>3113</v>
      </c>
      <c r="BA427" s="421" t="s">
        <v>3114</v>
      </c>
      <c r="BB427" s="421" t="s">
        <v>3115</v>
      </c>
      <c r="BC427" s="421">
        <v>561.17999999999995</v>
      </c>
      <c r="BD427" s="421">
        <v>1631322.2</v>
      </c>
      <c r="BE427" s="421">
        <v>0</v>
      </c>
      <c r="BF427" s="421">
        <v>81.95</v>
      </c>
      <c r="BG427" s="421">
        <v>1.61</v>
      </c>
      <c r="BH427" s="421">
        <v>0</v>
      </c>
      <c r="BI427" s="421" t="s">
        <v>1149</v>
      </c>
    </row>
    <row r="428" spans="1:61" x14ac:dyDescent="0.25">
      <c r="A428" s="421">
        <v>425</v>
      </c>
      <c r="B428" s="421">
        <v>2015</v>
      </c>
      <c r="C428" s="421">
        <v>8</v>
      </c>
      <c r="D428" s="421">
        <v>5</v>
      </c>
      <c r="E428" s="421" t="s">
        <v>1475</v>
      </c>
      <c r="F428" s="421" t="s">
        <v>3557</v>
      </c>
      <c r="G428" s="421" t="s">
        <v>3090</v>
      </c>
      <c r="H428" s="421" t="s">
        <v>1107</v>
      </c>
      <c r="I428" s="421" t="s">
        <v>3765</v>
      </c>
      <c r="J428" s="421" t="s">
        <v>3766</v>
      </c>
      <c r="K428" s="421" t="s">
        <v>3093</v>
      </c>
      <c r="L428" s="421" t="s">
        <v>3094</v>
      </c>
      <c r="M428" s="421" t="s">
        <v>2667</v>
      </c>
      <c r="N428" s="421" t="s">
        <v>3093</v>
      </c>
      <c r="O428" s="421" t="s">
        <v>3094</v>
      </c>
      <c r="P428" s="421" t="s">
        <v>3095</v>
      </c>
      <c r="Q428" s="421" t="s">
        <v>3113</v>
      </c>
      <c r="R428" s="421" t="s">
        <v>1108</v>
      </c>
      <c r="S428" s="421" t="s">
        <v>1108</v>
      </c>
      <c r="T428" s="421" t="s">
        <v>1130</v>
      </c>
      <c r="U428" s="421" t="s">
        <v>3144</v>
      </c>
      <c r="V428" s="421" t="s">
        <v>3145</v>
      </c>
      <c r="W428" s="421" t="s">
        <v>3098</v>
      </c>
      <c r="X428" s="421" t="s">
        <v>3099</v>
      </c>
      <c r="Y428" s="421" t="s">
        <v>1117</v>
      </c>
      <c r="Z428" s="421" t="s">
        <v>1118</v>
      </c>
      <c r="AA428" s="421" t="s">
        <v>3100</v>
      </c>
      <c r="AB428" s="421" t="s">
        <v>3146</v>
      </c>
      <c r="AC428" s="421" t="s">
        <v>3102</v>
      </c>
      <c r="AD428" s="421" t="s">
        <v>3327</v>
      </c>
      <c r="AE428" s="421" t="s">
        <v>3328</v>
      </c>
      <c r="AF428" s="421" t="s">
        <v>1233</v>
      </c>
      <c r="AG428" s="421" t="s">
        <v>1234</v>
      </c>
      <c r="AH428" s="421" t="s">
        <v>3105</v>
      </c>
      <c r="AI428" s="421">
        <v>399</v>
      </c>
      <c r="AJ428" s="421">
        <v>28.58</v>
      </c>
      <c r="AK428" s="421">
        <v>31.08</v>
      </c>
      <c r="AL428" s="421">
        <v>4</v>
      </c>
      <c r="AM428" s="421" t="s">
        <v>3329</v>
      </c>
      <c r="AN428" s="421" t="s">
        <v>3330</v>
      </c>
      <c r="AO428" s="421" t="s">
        <v>1121</v>
      </c>
      <c r="AP428" s="421" t="s">
        <v>1121</v>
      </c>
      <c r="AQ428" s="421" t="s">
        <v>1108</v>
      </c>
      <c r="AR428" s="421" t="s">
        <v>3753</v>
      </c>
      <c r="AS428" s="421" t="s">
        <v>3767</v>
      </c>
      <c r="AT428" s="421" t="s">
        <v>3109</v>
      </c>
      <c r="AU428" s="421" t="s">
        <v>1341</v>
      </c>
      <c r="AV428" s="421" t="s">
        <v>3157</v>
      </c>
      <c r="AW428" s="421" t="s">
        <v>3110</v>
      </c>
      <c r="AX428" s="421" t="s">
        <v>3111</v>
      </c>
      <c r="AY428" s="421" t="s">
        <v>3112</v>
      </c>
      <c r="AZ428" s="421" t="s">
        <v>3113</v>
      </c>
      <c r="BA428" s="421" t="s">
        <v>3114</v>
      </c>
      <c r="BB428" s="421" t="s">
        <v>3115</v>
      </c>
      <c r="BC428" s="421">
        <v>263.13</v>
      </c>
      <c r="BD428" s="421">
        <v>764905.75</v>
      </c>
      <c r="BE428" s="421">
        <v>0</v>
      </c>
      <c r="BF428" s="421">
        <v>38.43</v>
      </c>
      <c r="BG428" s="421">
        <v>0.75</v>
      </c>
      <c r="BH428" s="421">
        <v>0</v>
      </c>
      <c r="BI428" s="421" t="s">
        <v>1149</v>
      </c>
    </row>
    <row r="429" spans="1:61" x14ac:dyDescent="0.25">
      <c r="A429" s="421">
        <v>426</v>
      </c>
      <c r="B429" s="421">
        <v>2015</v>
      </c>
      <c r="C429" s="421">
        <v>8</v>
      </c>
      <c r="D429" s="421">
        <v>5</v>
      </c>
      <c r="E429" s="421" t="s">
        <v>1475</v>
      </c>
      <c r="F429" s="421" t="s">
        <v>3557</v>
      </c>
      <c r="G429" s="421" t="s">
        <v>3090</v>
      </c>
      <c r="H429" s="421" t="s">
        <v>1107</v>
      </c>
      <c r="I429" s="421" t="s">
        <v>3765</v>
      </c>
      <c r="J429" s="421" t="s">
        <v>3766</v>
      </c>
      <c r="K429" s="421" t="s">
        <v>3093</v>
      </c>
      <c r="L429" s="421" t="s">
        <v>3094</v>
      </c>
      <c r="M429" s="421" t="s">
        <v>2667</v>
      </c>
      <c r="N429" s="421" t="s">
        <v>3093</v>
      </c>
      <c r="O429" s="421" t="s">
        <v>3094</v>
      </c>
      <c r="P429" s="421" t="s">
        <v>3095</v>
      </c>
      <c r="Q429" s="421" t="s">
        <v>3113</v>
      </c>
      <c r="R429" s="421" t="s">
        <v>1108</v>
      </c>
      <c r="S429" s="421" t="s">
        <v>1108</v>
      </c>
      <c r="T429" s="421" t="s">
        <v>1130</v>
      </c>
      <c r="U429" s="421" t="s">
        <v>3144</v>
      </c>
      <c r="V429" s="421" t="s">
        <v>3145</v>
      </c>
      <c r="W429" s="421" t="s">
        <v>3098</v>
      </c>
      <c r="X429" s="421" t="s">
        <v>3099</v>
      </c>
      <c r="Y429" s="421" t="s">
        <v>1117</v>
      </c>
      <c r="Z429" s="421" t="s">
        <v>1118</v>
      </c>
      <c r="AA429" s="421" t="s">
        <v>3100</v>
      </c>
      <c r="AB429" s="421" t="s">
        <v>3146</v>
      </c>
      <c r="AC429" s="421" t="s">
        <v>3102</v>
      </c>
      <c r="AD429" s="421" t="s">
        <v>3327</v>
      </c>
      <c r="AE429" s="421" t="s">
        <v>3328</v>
      </c>
      <c r="AF429" s="421" t="s">
        <v>3337</v>
      </c>
      <c r="AG429" s="421" t="s">
        <v>3338</v>
      </c>
      <c r="AH429" s="421" t="s">
        <v>3105</v>
      </c>
      <c r="AI429" s="421">
        <v>42</v>
      </c>
      <c r="AJ429" s="421">
        <v>0.7</v>
      </c>
      <c r="AK429" s="421">
        <v>0.76</v>
      </c>
      <c r="AL429" s="421">
        <v>3</v>
      </c>
      <c r="AM429" s="421" t="s">
        <v>3329</v>
      </c>
      <c r="AN429" s="421" t="s">
        <v>3330</v>
      </c>
      <c r="AO429" s="421" t="s">
        <v>1121</v>
      </c>
      <c r="AP429" s="421" t="s">
        <v>1121</v>
      </c>
      <c r="AQ429" s="421" t="s">
        <v>1108</v>
      </c>
      <c r="AR429" s="421" t="s">
        <v>3753</v>
      </c>
      <c r="AS429" s="421" t="s">
        <v>3767</v>
      </c>
      <c r="AT429" s="421" t="s">
        <v>3109</v>
      </c>
      <c r="AU429" s="421" t="s">
        <v>1341</v>
      </c>
      <c r="AV429" s="421" t="s">
        <v>3157</v>
      </c>
      <c r="AW429" s="421" t="s">
        <v>3110</v>
      </c>
      <c r="AX429" s="421" t="s">
        <v>3111</v>
      </c>
      <c r="AY429" s="421" t="s">
        <v>3112</v>
      </c>
      <c r="AZ429" s="421" t="s">
        <v>3113</v>
      </c>
      <c r="BA429" s="421" t="s">
        <v>3114</v>
      </c>
      <c r="BB429" s="421" t="s">
        <v>3115</v>
      </c>
      <c r="BC429" s="421">
        <v>27.3</v>
      </c>
      <c r="BD429" s="421">
        <v>79359.73</v>
      </c>
      <c r="BE429" s="421">
        <v>0</v>
      </c>
      <c r="BF429" s="421">
        <v>3.99</v>
      </c>
      <c r="BG429" s="421">
        <v>0.08</v>
      </c>
      <c r="BH429" s="421">
        <v>0</v>
      </c>
      <c r="BI429" s="421" t="s">
        <v>1149</v>
      </c>
    </row>
    <row r="430" spans="1:61" x14ac:dyDescent="0.25">
      <c r="A430" s="421">
        <v>427</v>
      </c>
      <c r="B430" s="421">
        <v>2015</v>
      </c>
      <c r="C430" s="421">
        <v>8</v>
      </c>
      <c r="D430" s="421">
        <v>5</v>
      </c>
      <c r="E430" s="421" t="s">
        <v>1475</v>
      </c>
      <c r="F430" s="421" t="s">
        <v>3557</v>
      </c>
      <c r="G430" s="421" t="s">
        <v>3090</v>
      </c>
      <c r="H430" s="421" t="s">
        <v>1107</v>
      </c>
      <c r="I430" s="421" t="s">
        <v>3765</v>
      </c>
      <c r="J430" s="421" t="s">
        <v>3766</v>
      </c>
      <c r="K430" s="421" t="s">
        <v>3093</v>
      </c>
      <c r="L430" s="421" t="s">
        <v>3094</v>
      </c>
      <c r="M430" s="421" t="s">
        <v>2667</v>
      </c>
      <c r="N430" s="421" t="s">
        <v>3093</v>
      </c>
      <c r="O430" s="421" t="s">
        <v>3094</v>
      </c>
      <c r="P430" s="421" t="s">
        <v>3095</v>
      </c>
      <c r="Q430" s="421" t="s">
        <v>3113</v>
      </c>
      <c r="R430" s="421" t="s">
        <v>1108</v>
      </c>
      <c r="S430" s="421" t="s">
        <v>1108</v>
      </c>
      <c r="T430" s="421" t="s">
        <v>1130</v>
      </c>
      <c r="U430" s="421" t="s">
        <v>3144</v>
      </c>
      <c r="V430" s="421" t="s">
        <v>3145</v>
      </c>
      <c r="W430" s="421" t="s">
        <v>3098</v>
      </c>
      <c r="X430" s="421" t="s">
        <v>3099</v>
      </c>
      <c r="Y430" s="421" t="s">
        <v>1117</v>
      </c>
      <c r="Z430" s="421" t="s">
        <v>1118</v>
      </c>
      <c r="AA430" s="421" t="s">
        <v>3100</v>
      </c>
      <c r="AB430" s="421" t="s">
        <v>3146</v>
      </c>
      <c r="AC430" s="421" t="s">
        <v>3102</v>
      </c>
      <c r="AD430" s="421" t="s">
        <v>3327</v>
      </c>
      <c r="AE430" s="421" t="s">
        <v>3328</v>
      </c>
      <c r="AF430" s="421" t="s">
        <v>2236</v>
      </c>
      <c r="AG430" s="421" t="s">
        <v>2237</v>
      </c>
      <c r="AH430" s="421" t="s">
        <v>3105</v>
      </c>
      <c r="AI430" s="421">
        <v>315500</v>
      </c>
      <c r="AJ430" s="421">
        <v>796.91</v>
      </c>
      <c r="AK430" s="421">
        <v>866.69</v>
      </c>
      <c r="AL430" s="421">
        <v>1</v>
      </c>
      <c r="AM430" s="421" t="s">
        <v>3329</v>
      </c>
      <c r="AN430" s="421" t="s">
        <v>3330</v>
      </c>
      <c r="AO430" s="421" t="s">
        <v>1121</v>
      </c>
      <c r="AP430" s="421" t="s">
        <v>1121</v>
      </c>
      <c r="AQ430" s="421" t="s">
        <v>1108</v>
      </c>
      <c r="AR430" s="421" t="s">
        <v>3753</v>
      </c>
      <c r="AS430" s="421" t="s">
        <v>3767</v>
      </c>
      <c r="AT430" s="421" t="s">
        <v>3109</v>
      </c>
      <c r="AU430" s="421" t="s">
        <v>1341</v>
      </c>
      <c r="AV430" s="421" t="s">
        <v>3157</v>
      </c>
      <c r="AW430" s="421" t="s">
        <v>3110</v>
      </c>
      <c r="AX430" s="421" t="s">
        <v>3111</v>
      </c>
      <c r="AY430" s="421" t="s">
        <v>3112</v>
      </c>
      <c r="AZ430" s="421" t="s">
        <v>3113</v>
      </c>
      <c r="BA430" s="421" t="s">
        <v>3114</v>
      </c>
      <c r="BB430" s="421" t="s">
        <v>3115</v>
      </c>
      <c r="BC430" s="421">
        <v>16963.400000000001</v>
      </c>
      <c r="BD430" s="421">
        <v>49311755.630000003</v>
      </c>
      <c r="BE430" s="421">
        <v>0</v>
      </c>
      <c r="BF430" s="421">
        <v>2477.3000000000002</v>
      </c>
      <c r="BG430" s="421">
        <v>48.6</v>
      </c>
      <c r="BH430" s="421">
        <v>0</v>
      </c>
      <c r="BI430" s="421" t="s">
        <v>1149</v>
      </c>
    </row>
    <row r="431" spans="1:61" x14ac:dyDescent="0.25">
      <c r="A431" s="421">
        <v>428</v>
      </c>
      <c r="B431" s="421">
        <v>2015</v>
      </c>
      <c r="C431" s="421">
        <v>8</v>
      </c>
      <c r="D431" s="421">
        <v>5</v>
      </c>
      <c r="E431" s="421" t="s">
        <v>1475</v>
      </c>
      <c r="F431" s="421" t="s">
        <v>3557</v>
      </c>
      <c r="G431" s="421" t="s">
        <v>3090</v>
      </c>
      <c r="H431" s="421" t="s">
        <v>1107</v>
      </c>
      <c r="I431" s="421" t="s">
        <v>3765</v>
      </c>
      <c r="J431" s="421" t="s">
        <v>3766</v>
      </c>
      <c r="K431" s="421" t="s">
        <v>3093</v>
      </c>
      <c r="L431" s="421" t="s">
        <v>3094</v>
      </c>
      <c r="M431" s="421" t="s">
        <v>2667</v>
      </c>
      <c r="N431" s="421" t="s">
        <v>3093</v>
      </c>
      <c r="O431" s="421" t="s">
        <v>3094</v>
      </c>
      <c r="P431" s="421" t="s">
        <v>3095</v>
      </c>
      <c r="Q431" s="421" t="s">
        <v>3113</v>
      </c>
      <c r="R431" s="421" t="s">
        <v>1108</v>
      </c>
      <c r="S431" s="421" t="s">
        <v>1108</v>
      </c>
      <c r="T431" s="421" t="s">
        <v>1130</v>
      </c>
      <c r="U431" s="421" t="s">
        <v>3144</v>
      </c>
      <c r="V431" s="421" t="s">
        <v>3145</v>
      </c>
      <c r="W431" s="421" t="s">
        <v>3098</v>
      </c>
      <c r="X431" s="421" t="s">
        <v>3099</v>
      </c>
      <c r="Y431" s="421" t="s">
        <v>1117</v>
      </c>
      <c r="Z431" s="421" t="s">
        <v>1118</v>
      </c>
      <c r="AA431" s="421" t="s">
        <v>3100</v>
      </c>
      <c r="AB431" s="421" t="s">
        <v>3146</v>
      </c>
      <c r="AC431" s="421" t="s">
        <v>3102</v>
      </c>
      <c r="AD431" s="421" t="s">
        <v>3327</v>
      </c>
      <c r="AE431" s="421" t="s">
        <v>3328</v>
      </c>
      <c r="AF431" s="421" t="s">
        <v>1471</v>
      </c>
      <c r="AG431" s="421" t="s">
        <v>1472</v>
      </c>
      <c r="AH431" s="421" t="s">
        <v>3105</v>
      </c>
      <c r="AI431" s="421">
        <v>2096</v>
      </c>
      <c r="AJ431" s="421">
        <v>125.26</v>
      </c>
      <c r="AK431" s="421">
        <v>136.22</v>
      </c>
      <c r="AL431" s="421">
        <v>11</v>
      </c>
      <c r="AM431" s="421" t="s">
        <v>3329</v>
      </c>
      <c r="AN431" s="421" t="s">
        <v>3330</v>
      </c>
      <c r="AO431" s="421" t="s">
        <v>1121</v>
      </c>
      <c r="AP431" s="421" t="s">
        <v>1121</v>
      </c>
      <c r="AQ431" s="421" t="s">
        <v>1108</v>
      </c>
      <c r="AR431" s="421" t="s">
        <v>3753</v>
      </c>
      <c r="AS431" s="421" t="s">
        <v>3767</v>
      </c>
      <c r="AT431" s="421" t="s">
        <v>3109</v>
      </c>
      <c r="AU431" s="421" t="s">
        <v>1341</v>
      </c>
      <c r="AV431" s="421" t="s">
        <v>3157</v>
      </c>
      <c r="AW431" s="421" t="s">
        <v>3110</v>
      </c>
      <c r="AX431" s="421" t="s">
        <v>3111</v>
      </c>
      <c r="AY431" s="421" t="s">
        <v>3112</v>
      </c>
      <c r="AZ431" s="421" t="s">
        <v>3113</v>
      </c>
      <c r="BA431" s="421" t="s">
        <v>3114</v>
      </c>
      <c r="BB431" s="421" t="s">
        <v>3115</v>
      </c>
      <c r="BC431" s="421">
        <v>1861.14</v>
      </c>
      <c r="BD431" s="421">
        <v>5410240.9199999999</v>
      </c>
      <c r="BE431" s="421">
        <v>0</v>
      </c>
      <c r="BF431" s="421">
        <v>271.8</v>
      </c>
      <c r="BG431" s="421">
        <v>5.33</v>
      </c>
      <c r="BH431" s="421">
        <v>0</v>
      </c>
      <c r="BI431" s="421" t="s">
        <v>1149</v>
      </c>
    </row>
    <row r="432" spans="1:61" x14ac:dyDescent="0.25">
      <c r="A432" s="421">
        <v>429</v>
      </c>
      <c r="B432" s="421">
        <v>2015</v>
      </c>
      <c r="C432" s="421">
        <v>8</v>
      </c>
      <c r="D432" s="421">
        <v>5</v>
      </c>
      <c r="E432" s="421" t="s">
        <v>1475</v>
      </c>
      <c r="F432" s="421" t="s">
        <v>3557</v>
      </c>
      <c r="G432" s="421" t="s">
        <v>3090</v>
      </c>
      <c r="H432" s="421" t="s">
        <v>1107</v>
      </c>
      <c r="I432" s="421" t="s">
        <v>3765</v>
      </c>
      <c r="J432" s="421" t="s">
        <v>3766</v>
      </c>
      <c r="K432" s="421" t="s">
        <v>3093</v>
      </c>
      <c r="L432" s="421" t="s">
        <v>3094</v>
      </c>
      <c r="M432" s="421" t="s">
        <v>2667</v>
      </c>
      <c r="N432" s="421" t="s">
        <v>3093</v>
      </c>
      <c r="O432" s="421" t="s">
        <v>3094</v>
      </c>
      <c r="P432" s="421" t="s">
        <v>3095</v>
      </c>
      <c r="Q432" s="421" t="s">
        <v>3113</v>
      </c>
      <c r="R432" s="421" t="s">
        <v>1108</v>
      </c>
      <c r="S432" s="421" t="s">
        <v>1108</v>
      </c>
      <c r="T432" s="421" t="s">
        <v>1130</v>
      </c>
      <c r="U432" s="421" t="s">
        <v>3144</v>
      </c>
      <c r="V432" s="421" t="s">
        <v>3145</v>
      </c>
      <c r="W432" s="421" t="s">
        <v>3098</v>
      </c>
      <c r="X432" s="421" t="s">
        <v>3099</v>
      </c>
      <c r="Y432" s="421" t="s">
        <v>1117</v>
      </c>
      <c r="Z432" s="421" t="s">
        <v>1118</v>
      </c>
      <c r="AA432" s="421" t="s">
        <v>3100</v>
      </c>
      <c r="AB432" s="421" t="s">
        <v>3146</v>
      </c>
      <c r="AC432" s="421" t="s">
        <v>3102</v>
      </c>
      <c r="AD432" s="421" t="s">
        <v>3327</v>
      </c>
      <c r="AE432" s="421" t="s">
        <v>3328</v>
      </c>
      <c r="AF432" s="421" t="s">
        <v>1387</v>
      </c>
      <c r="AG432" s="421" t="s">
        <v>1388</v>
      </c>
      <c r="AH432" s="421" t="s">
        <v>3105</v>
      </c>
      <c r="AI432" s="421">
        <v>300</v>
      </c>
      <c r="AJ432" s="421">
        <v>31.38</v>
      </c>
      <c r="AK432" s="421">
        <v>34.119999999999997</v>
      </c>
      <c r="AL432" s="421">
        <v>10</v>
      </c>
      <c r="AM432" s="421" t="s">
        <v>3329</v>
      </c>
      <c r="AN432" s="421" t="s">
        <v>3330</v>
      </c>
      <c r="AO432" s="421" t="s">
        <v>1121</v>
      </c>
      <c r="AP432" s="421" t="s">
        <v>1121</v>
      </c>
      <c r="AQ432" s="421" t="s">
        <v>1108</v>
      </c>
      <c r="AR432" s="421" t="s">
        <v>3753</v>
      </c>
      <c r="AS432" s="421" t="s">
        <v>3767</v>
      </c>
      <c r="AT432" s="421" t="s">
        <v>3109</v>
      </c>
      <c r="AU432" s="421" t="s">
        <v>1341</v>
      </c>
      <c r="AV432" s="421" t="s">
        <v>3157</v>
      </c>
      <c r="AW432" s="421" t="s">
        <v>3110</v>
      </c>
      <c r="AX432" s="421" t="s">
        <v>3111</v>
      </c>
      <c r="AY432" s="421" t="s">
        <v>3112</v>
      </c>
      <c r="AZ432" s="421" t="s">
        <v>3113</v>
      </c>
      <c r="BA432" s="421" t="s">
        <v>3114</v>
      </c>
      <c r="BB432" s="421" t="s">
        <v>3115</v>
      </c>
      <c r="BC432" s="421">
        <v>375</v>
      </c>
      <c r="BD432" s="421">
        <v>1090106.25</v>
      </c>
      <c r="BE432" s="421">
        <v>0</v>
      </c>
      <c r="BF432" s="421">
        <v>54.76</v>
      </c>
      <c r="BG432" s="421">
        <v>1.07</v>
      </c>
      <c r="BH432" s="421">
        <v>0</v>
      </c>
      <c r="BI432" s="421" t="s">
        <v>1149</v>
      </c>
    </row>
    <row r="433" spans="1:61" x14ac:dyDescent="0.25">
      <c r="A433" s="421">
        <v>430</v>
      </c>
      <c r="B433" s="421">
        <v>2015</v>
      </c>
      <c r="C433" s="421">
        <v>8</v>
      </c>
      <c r="D433" s="421">
        <v>5</v>
      </c>
      <c r="E433" s="421" t="s">
        <v>1475</v>
      </c>
      <c r="F433" s="421" t="s">
        <v>3557</v>
      </c>
      <c r="G433" s="421" t="s">
        <v>3090</v>
      </c>
      <c r="H433" s="421" t="s">
        <v>1107</v>
      </c>
      <c r="I433" s="421" t="s">
        <v>3765</v>
      </c>
      <c r="J433" s="421" t="s">
        <v>3766</v>
      </c>
      <c r="K433" s="421" t="s">
        <v>3093</v>
      </c>
      <c r="L433" s="421" t="s">
        <v>3094</v>
      </c>
      <c r="M433" s="421" t="s">
        <v>2667</v>
      </c>
      <c r="N433" s="421" t="s">
        <v>3093</v>
      </c>
      <c r="O433" s="421" t="s">
        <v>3094</v>
      </c>
      <c r="P433" s="421" t="s">
        <v>3095</v>
      </c>
      <c r="Q433" s="421" t="s">
        <v>3113</v>
      </c>
      <c r="R433" s="421" t="s">
        <v>1108</v>
      </c>
      <c r="S433" s="421" t="s">
        <v>1108</v>
      </c>
      <c r="T433" s="421" t="s">
        <v>1130</v>
      </c>
      <c r="U433" s="421" t="s">
        <v>3144</v>
      </c>
      <c r="V433" s="421" t="s">
        <v>3145</v>
      </c>
      <c r="W433" s="421" t="s">
        <v>3098</v>
      </c>
      <c r="X433" s="421" t="s">
        <v>3099</v>
      </c>
      <c r="Y433" s="421" t="s">
        <v>1117</v>
      </c>
      <c r="Z433" s="421" t="s">
        <v>1118</v>
      </c>
      <c r="AA433" s="421" t="s">
        <v>3100</v>
      </c>
      <c r="AB433" s="421" t="s">
        <v>3146</v>
      </c>
      <c r="AC433" s="421" t="s">
        <v>3102</v>
      </c>
      <c r="AD433" s="421" t="s">
        <v>3327</v>
      </c>
      <c r="AE433" s="421" t="s">
        <v>3328</v>
      </c>
      <c r="AF433" s="421" t="s">
        <v>1620</v>
      </c>
      <c r="AG433" s="421" t="s">
        <v>1621</v>
      </c>
      <c r="AH433" s="421" t="s">
        <v>1127</v>
      </c>
      <c r="AI433" s="421">
        <v>48.6</v>
      </c>
      <c r="AJ433" s="421">
        <v>48.6</v>
      </c>
      <c r="AK433" s="421">
        <v>52.85</v>
      </c>
      <c r="AL433" s="421">
        <v>6</v>
      </c>
      <c r="AM433" s="421" t="s">
        <v>3329</v>
      </c>
      <c r="AN433" s="421" t="s">
        <v>3330</v>
      </c>
      <c r="AO433" s="421" t="s">
        <v>1121</v>
      </c>
      <c r="AP433" s="421" t="s">
        <v>1121</v>
      </c>
      <c r="AQ433" s="421" t="s">
        <v>1108</v>
      </c>
      <c r="AR433" s="421" t="s">
        <v>3753</v>
      </c>
      <c r="AS433" s="421" t="s">
        <v>3767</v>
      </c>
      <c r="AT433" s="421" t="s">
        <v>3109</v>
      </c>
      <c r="AU433" s="421" t="s">
        <v>1341</v>
      </c>
      <c r="AV433" s="421" t="s">
        <v>3157</v>
      </c>
      <c r="AW433" s="421" t="s">
        <v>3110</v>
      </c>
      <c r="AX433" s="421" t="s">
        <v>3111</v>
      </c>
      <c r="AY433" s="421" t="s">
        <v>3112</v>
      </c>
      <c r="AZ433" s="421" t="s">
        <v>3113</v>
      </c>
      <c r="BA433" s="421" t="s">
        <v>3114</v>
      </c>
      <c r="BB433" s="421" t="s">
        <v>3115</v>
      </c>
      <c r="BC433" s="421">
        <v>224.4</v>
      </c>
      <c r="BD433" s="421">
        <v>652319.57999999996</v>
      </c>
      <c r="BE433" s="421">
        <v>0</v>
      </c>
      <c r="BF433" s="421">
        <v>32.770000000000003</v>
      </c>
      <c r="BG433" s="421">
        <v>0.64</v>
      </c>
      <c r="BH433" s="421">
        <v>0</v>
      </c>
      <c r="BI433" s="421" t="s">
        <v>1149</v>
      </c>
    </row>
    <row r="434" spans="1:61" x14ac:dyDescent="0.25">
      <c r="A434" s="421">
        <v>431</v>
      </c>
      <c r="B434" s="421">
        <v>2015</v>
      </c>
      <c r="C434" s="421">
        <v>8</v>
      </c>
      <c r="D434" s="421">
        <v>5</v>
      </c>
      <c r="E434" s="421" t="s">
        <v>1475</v>
      </c>
      <c r="F434" s="421" t="s">
        <v>3557</v>
      </c>
      <c r="G434" s="421" t="s">
        <v>3090</v>
      </c>
      <c r="H434" s="421" t="s">
        <v>1107</v>
      </c>
      <c r="I434" s="421" t="s">
        <v>3765</v>
      </c>
      <c r="J434" s="421" t="s">
        <v>3766</v>
      </c>
      <c r="K434" s="421" t="s">
        <v>3093</v>
      </c>
      <c r="L434" s="421" t="s">
        <v>3094</v>
      </c>
      <c r="M434" s="421" t="s">
        <v>2667</v>
      </c>
      <c r="N434" s="421" t="s">
        <v>3093</v>
      </c>
      <c r="O434" s="421" t="s">
        <v>3094</v>
      </c>
      <c r="P434" s="421" t="s">
        <v>3095</v>
      </c>
      <c r="Q434" s="421" t="s">
        <v>3113</v>
      </c>
      <c r="R434" s="421" t="s">
        <v>1108</v>
      </c>
      <c r="S434" s="421" t="s">
        <v>1108</v>
      </c>
      <c r="T434" s="421" t="s">
        <v>1130</v>
      </c>
      <c r="U434" s="421" t="s">
        <v>3144</v>
      </c>
      <c r="V434" s="421" t="s">
        <v>3145</v>
      </c>
      <c r="W434" s="421" t="s">
        <v>3098</v>
      </c>
      <c r="X434" s="421" t="s">
        <v>3099</v>
      </c>
      <c r="Y434" s="421" t="s">
        <v>1117</v>
      </c>
      <c r="Z434" s="421" t="s">
        <v>1118</v>
      </c>
      <c r="AA434" s="421" t="s">
        <v>3100</v>
      </c>
      <c r="AB434" s="421" t="s">
        <v>3146</v>
      </c>
      <c r="AC434" s="421" t="s">
        <v>3102</v>
      </c>
      <c r="AD434" s="421" t="s">
        <v>3327</v>
      </c>
      <c r="AE434" s="421" t="s">
        <v>3328</v>
      </c>
      <c r="AF434" s="421" t="s">
        <v>1170</v>
      </c>
      <c r="AG434" s="421" t="s">
        <v>1171</v>
      </c>
      <c r="AH434" s="421" t="s">
        <v>1127</v>
      </c>
      <c r="AI434" s="421">
        <v>10.32</v>
      </c>
      <c r="AJ434" s="421">
        <v>10.32</v>
      </c>
      <c r="AK434" s="421">
        <v>11.22</v>
      </c>
      <c r="AL434" s="421">
        <v>2</v>
      </c>
      <c r="AM434" s="421" t="s">
        <v>3329</v>
      </c>
      <c r="AN434" s="421" t="s">
        <v>3330</v>
      </c>
      <c r="AO434" s="421" t="s">
        <v>1121</v>
      </c>
      <c r="AP434" s="421" t="s">
        <v>1121</v>
      </c>
      <c r="AQ434" s="421" t="s">
        <v>1108</v>
      </c>
      <c r="AR434" s="421" t="s">
        <v>3753</v>
      </c>
      <c r="AS434" s="421" t="s">
        <v>3767</v>
      </c>
      <c r="AT434" s="421" t="s">
        <v>3109</v>
      </c>
      <c r="AU434" s="421" t="s">
        <v>1341</v>
      </c>
      <c r="AV434" s="421" t="s">
        <v>3157</v>
      </c>
      <c r="AW434" s="421" t="s">
        <v>3110</v>
      </c>
      <c r="AX434" s="421" t="s">
        <v>3111</v>
      </c>
      <c r="AY434" s="421" t="s">
        <v>3112</v>
      </c>
      <c r="AZ434" s="421" t="s">
        <v>3113</v>
      </c>
      <c r="BA434" s="421" t="s">
        <v>3114</v>
      </c>
      <c r="BB434" s="421" t="s">
        <v>3115</v>
      </c>
      <c r="BC434" s="421">
        <v>213.06</v>
      </c>
      <c r="BD434" s="421">
        <v>619354.76</v>
      </c>
      <c r="BE434" s="421">
        <v>0</v>
      </c>
      <c r="BF434" s="421">
        <v>31.11</v>
      </c>
      <c r="BG434" s="421">
        <v>0.61</v>
      </c>
      <c r="BH434" s="421">
        <v>0</v>
      </c>
      <c r="BI434" s="421" t="s">
        <v>1149</v>
      </c>
    </row>
    <row r="435" spans="1:61" x14ac:dyDescent="0.25">
      <c r="A435" s="421">
        <v>432</v>
      </c>
      <c r="B435" s="421">
        <v>2015</v>
      </c>
      <c r="C435" s="421">
        <v>8</v>
      </c>
      <c r="D435" s="421">
        <v>5</v>
      </c>
      <c r="E435" s="421" t="s">
        <v>1475</v>
      </c>
      <c r="F435" s="421" t="s">
        <v>3557</v>
      </c>
      <c r="G435" s="421" t="s">
        <v>3090</v>
      </c>
      <c r="H435" s="421" t="s">
        <v>1107</v>
      </c>
      <c r="I435" s="421" t="s">
        <v>3765</v>
      </c>
      <c r="J435" s="421" t="s">
        <v>3766</v>
      </c>
      <c r="K435" s="421" t="s">
        <v>3093</v>
      </c>
      <c r="L435" s="421" t="s">
        <v>3094</v>
      </c>
      <c r="M435" s="421" t="s">
        <v>2667</v>
      </c>
      <c r="N435" s="421" t="s">
        <v>3093</v>
      </c>
      <c r="O435" s="421" t="s">
        <v>3094</v>
      </c>
      <c r="P435" s="421" t="s">
        <v>3095</v>
      </c>
      <c r="Q435" s="421" t="s">
        <v>3113</v>
      </c>
      <c r="R435" s="421" t="s">
        <v>1108</v>
      </c>
      <c r="S435" s="421" t="s">
        <v>1108</v>
      </c>
      <c r="T435" s="421" t="s">
        <v>1130</v>
      </c>
      <c r="U435" s="421" t="s">
        <v>3144</v>
      </c>
      <c r="V435" s="421" t="s">
        <v>3145</v>
      </c>
      <c r="W435" s="421" t="s">
        <v>3098</v>
      </c>
      <c r="X435" s="421" t="s">
        <v>3099</v>
      </c>
      <c r="Y435" s="421" t="s">
        <v>1117</v>
      </c>
      <c r="Z435" s="421" t="s">
        <v>1118</v>
      </c>
      <c r="AA435" s="421" t="s">
        <v>3100</v>
      </c>
      <c r="AB435" s="421" t="s">
        <v>3146</v>
      </c>
      <c r="AC435" s="421" t="s">
        <v>3102</v>
      </c>
      <c r="AD435" s="421" t="s">
        <v>3327</v>
      </c>
      <c r="AE435" s="421" t="s">
        <v>3328</v>
      </c>
      <c r="AF435" s="421" t="s">
        <v>1865</v>
      </c>
      <c r="AG435" s="421" t="s">
        <v>1866</v>
      </c>
      <c r="AH435" s="421" t="s">
        <v>1127</v>
      </c>
      <c r="AI435" s="421">
        <v>38.619999999999997</v>
      </c>
      <c r="AJ435" s="421">
        <v>38.619999999999997</v>
      </c>
      <c r="AK435" s="421">
        <v>42</v>
      </c>
      <c r="AL435" s="421">
        <v>8</v>
      </c>
      <c r="AM435" s="421" t="s">
        <v>3329</v>
      </c>
      <c r="AN435" s="421" t="s">
        <v>3330</v>
      </c>
      <c r="AO435" s="421" t="s">
        <v>1121</v>
      </c>
      <c r="AP435" s="421" t="s">
        <v>1121</v>
      </c>
      <c r="AQ435" s="421" t="s">
        <v>1108</v>
      </c>
      <c r="AR435" s="421" t="s">
        <v>3753</v>
      </c>
      <c r="AS435" s="421" t="s">
        <v>3767</v>
      </c>
      <c r="AT435" s="421" t="s">
        <v>3109</v>
      </c>
      <c r="AU435" s="421" t="s">
        <v>1341</v>
      </c>
      <c r="AV435" s="421" t="s">
        <v>3157</v>
      </c>
      <c r="AW435" s="421" t="s">
        <v>3110</v>
      </c>
      <c r="AX435" s="421" t="s">
        <v>3111</v>
      </c>
      <c r="AY435" s="421" t="s">
        <v>3112</v>
      </c>
      <c r="AZ435" s="421" t="s">
        <v>3113</v>
      </c>
      <c r="BA435" s="421" t="s">
        <v>3114</v>
      </c>
      <c r="BB435" s="421" t="s">
        <v>3115</v>
      </c>
      <c r="BC435" s="421">
        <v>541.62</v>
      </c>
      <c r="BD435" s="421">
        <v>1574462.25</v>
      </c>
      <c r="BE435" s="421">
        <v>0</v>
      </c>
      <c r="BF435" s="421">
        <v>79.099999999999994</v>
      </c>
      <c r="BG435" s="421">
        <v>1.55</v>
      </c>
      <c r="BH435" s="421">
        <v>0</v>
      </c>
      <c r="BI435" s="421" t="s">
        <v>1149</v>
      </c>
    </row>
    <row r="436" spans="1:61" x14ac:dyDescent="0.25">
      <c r="A436" s="421">
        <v>433</v>
      </c>
      <c r="B436" s="421">
        <v>2015</v>
      </c>
      <c r="C436" s="421">
        <v>8</v>
      </c>
      <c r="D436" s="421">
        <v>5</v>
      </c>
      <c r="E436" s="421" t="s">
        <v>1475</v>
      </c>
      <c r="F436" s="421" t="s">
        <v>3557</v>
      </c>
      <c r="G436" s="421" t="s">
        <v>3090</v>
      </c>
      <c r="H436" s="421" t="s">
        <v>1107</v>
      </c>
      <c r="I436" s="421" t="s">
        <v>3765</v>
      </c>
      <c r="J436" s="421" t="s">
        <v>3766</v>
      </c>
      <c r="K436" s="421" t="s">
        <v>3093</v>
      </c>
      <c r="L436" s="421" t="s">
        <v>3094</v>
      </c>
      <c r="M436" s="421" t="s">
        <v>2667</v>
      </c>
      <c r="N436" s="421" t="s">
        <v>3093</v>
      </c>
      <c r="O436" s="421" t="s">
        <v>3094</v>
      </c>
      <c r="P436" s="421" t="s">
        <v>3095</v>
      </c>
      <c r="Q436" s="421" t="s">
        <v>3113</v>
      </c>
      <c r="R436" s="421" t="s">
        <v>1108</v>
      </c>
      <c r="S436" s="421" t="s">
        <v>1108</v>
      </c>
      <c r="T436" s="421" t="s">
        <v>1130</v>
      </c>
      <c r="U436" s="421" t="s">
        <v>3144</v>
      </c>
      <c r="V436" s="421" t="s">
        <v>3145</v>
      </c>
      <c r="W436" s="421" t="s">
        <v>3098</v>
      </c>
      <c r="X436" s="421" t="s">
        <v>3099</v>
      </c>
      <c r="Y436" s="421" t="s">
        <v>1117</v>
      </c>
      <c r="Z436" s="421" t="s">
        <v>1118</v>
      </c>
      <c r="AA436" s="421" t="s">
        <v>3100</v>
      </c>
      <c r="AB436" s="421" t="s">
        <v>3146</v>
      </c>
      <c r="AC436" s="421" t="s">
        <v>3102</v>
      </c>
      <c r="AD436" s="421" t="s">
        <v>3327</v>
      </c>
      <c r="AE436" s="421" t="s">
        <v>3328</v>
      </c>
      <c r="AF436" s="421" t="s">
        <v>1632</v>
      </c>
      <c r="AG436" s="421" t="s">
        <v>1633</v>
      </c>
      <c r="AH436" s="421" t="s">
        <v>1127</v>
      </c>
      <c r="AI436" s="421">
        <v>36.56</v>
      </c>
      <c r="AJ436" s="421">
        <v>36.56</v>
      </c>
      <c r="AK436" s="421">
        <v>39.76</v>
      </c>
      <c r="AL436" s="421">
        <v>7</v>
      </c>
      <c r="AM436" s="421" t="s">
        <v>3329</v>
      </c>
      <c r="AN436" s="421" t="s">
        <v>3330</v>
      </c>
      <c r="AO436" s="421" t="s">
        <v>1121</v>
      </c>
      <c r="AP436" s="421" t="s">
        <v>1121</v>
      </c>
      <c r="AQ436" s="421" t="s">
        <v>1108</v>
      </c>
      <c r="AR436" s="421" t="s">
        <v>3753</v>
      </c>
      <c r="AS436" s="421" t="s">
        <v>3767</v>
      </c>
      <c r="AT436" s="421" t="s">
        <v>3109</v>
      </c>
      <c r="AU436" s="421" t="s">
        <v>1341</v>
      </c>
      <c r="AV436" s="421" t="s">
        <v>3157</v>
      </c>
      <c r="AW436" s="421" t="s">
        <v>3110</v>
      </c>
      <c r="AX436" s="421" t="s">
        <v>3111</v>
      </c>
      <c r="AY436" s="421" t="s">
        <v>3112</v>
      </c>
      <c r="AZ436" s="421" t="s">
        <v>3113</v>
      </c>
      <c r="BA436" s="421" t="s">
        <v>3114</v>
      </c>
      <c r="BB436" s="421" t="s">
        <v>3115</v>
      </c>
      <c r="BC436" s="421">
        <v>459</v>
      </c>
      <c r="BD436" s="421">
        <v>1334290.05</v>
      </c>
      <c r="BE436" s="421">
        <v>0</v>
      </c>
      <c r="BF436" s="421">
        <v>67.03</v>
      </c>
      <c r="BG436" s="421">
        <v>1.32</v>
      </c>
      <c r="BH436" s="421">
        <v>0</v>
      </c>
      <c r="BI436" s="421" t="s">
        <v>1149</v>
      </c>
    </row>
    <row r="437" spans="1:61" x14ac:dyDescent="0.25">
      <c r="A437" s="421">
        <v>434</v>
      </c>
      <c r="B437" s="421">
        <v>2015</v>
      </c>
      <c r="C437" s="421">
        <v>8</v>
      </c>
      <c r="D437" s="421">
        <v>12</v>
      </c>
      <c r="E437" s="421" t="s">
        <v>1475</v>
      </c>
      <c r="F437" s="421" t="s">
        <v>3557</v>
      </c>
      <c r="G437" s="421" t="s">
        <v>3284</v>
      </c>
      <c r="H437" s="421" t="s">
        <v>1107</v>
      </c>
      <c r="I437" s="421" t="s">
        <v>3768</v>
      </c>
      <c r="J437" s="421" t="s">
        <v>3769</v>
      </c>
      <c r="K437" s="421" t="s">
        <v>3093</v>
      </c>
      <c r="L437" s="421" t="s">
        <v>3094</v>
      </c>
      <c r="M437" s="421" t="s">
        <v>2667</v>
      </c>
      <c r="N437" s="421" t="s">
        <v>3093</v>
      </c>
      <c r="O437" s="421" t="s">
        <v>3094</v>
      </c>
      <c r="P437" s="421" t="s">
        <v>3095</v>
      </c>
      <c r="Q437" s="421" t="s">
        <v>3113</v>
      </c>
      <c r="R437" s="421" t="s">
        <v>1108</v>
      </c>
      <c r="S437" s="421" t="s">
        <v>1108</v>
      </c>
      <c r="T437" s="421" t="s">
        <v>1130</v>
      </c>
      <c r="U437" s="421" t="s">
        <v>1112</v>
      </c>
      <c r="V437" s="421" t="s">
        <v>3097</v>
      </c>
      <c r="W437" s="421" t="s">
        <v>3098</v>
      </c>
      <c r="X437" s="421" t="s">
        <v>3099</v>
      </c>
      <c r="Y437" s="421" t="s">
        <v>1117</v>
      </c>
      <c r="Z437" s="421" t="s">
        <v>1118</v>
      </c>
      <c r="AA437" s="421" t="s">
        <v>3100</v>
      </c>
      <c r="AB437" s="421" t="s">
        <v>3101</v>
      </c>
      <c r="AC437" s="421" t="s">
        <v>3102</v>
      </c>
      <c r="AD437" s="421" t="s">
        <v>3269</v>
      </c>
      <c r="AE437" s="421" t="s">
        <v>3378</v>
      </c>
      <c r="AF437" s="421" t="s">
        <v>1512</v>
      </c>
      <c r="AG437" s="421" t="s">
        <v>1513</v>
      </c>
      <c r="AH437" s="421" t="s">
        <v>3105</v>
      </c>
      <c r="AI437" s="421">
        <v>2000</v>
      </c>
      <c r="AJ437" s="421">
        <v>17.57</v>
      </c>
      <c r="AK437" s="421">
        <v>18.5</v>
      </c>
      <c r="AL437" s="421">
        <v>1</v>
      </c>
      <c r="AM437" s="421" t="s">
        <v>966</v>
      </c>
      <c r="AN437" s="421" t="s">
        <v>3271</v>
      </c>
      <c r="AO437" s="421" t="s">
        <v>1121</v>
      </c>
      <c r="AP437" s="421" t="s">
        <v>1121</v>
      </c>
      <c r="AQ437" s="421" t="s">
        <v>1108</v>
      </c>
      <c r="AR437" s="421" t="s">
        <v>3753</v>
      </c>
      <c r="AS437" s="421" t="s">
        <v>3770</v>
      </c>
      <c r="AT437" s="421" t="s">
        <v>3109</v>
      </c>
      <c r="AU437" s="421" t="s">
        <v>1142</v>
      </c>
      <c r="AV437" s="421" t="s">
        <v>2037</v>
      </c>
      <c r="AW437" s="421" t="s">
        <v>3110</v>
      </c>
      <c r="AX437" s="421" t="s">
        <v>3111</v>
      </c>
      <c r="AY437" s="421" t="s">
        <v>3112</v>
      </c>
      <c r="AZ437" s="421" t="s">
        <v>3113</v>
      </c>
      <c r="BA437" s="421" t="s">
        <v>3114</v>
      </c>
      <c r="BB437" s="421" t="s">
        <v>3115</v>
      </c>
      <c r="BC437" s="421">
        <v>120</v>
      </c>
      <c r="BD437" s="421">
        <v>353276.4</v>
      </c>
      <c r="BE437" s="421">
        <v>0</v>
      </c>
      <c r="BF437" s="421">
        <v>50</v>
      </c>
      <c r="BG437" s="421">
        <v>12</v>
      </c>
      <c r="BH437" s="421">
        <v>0</v>
      </c>
      <c r="BI437" s="421" t="s">
        <v>1167</v>
      </c>
    </row>
    <row r="438" spans="1:61" x14ac:dyDescent="0.25">
      <c r="A438" s="421">
        <v>435</v>
      </c>
      <c r="B438" s="421">
        <v>2015</v>
      </c>
      <c r="C438" s="421">
        <v>8</v>
      </c>
      <c r="D438" s="421">
        <v>12</v>
      </c>
      <c r="E438" s="421" t="s">
        <v>1475</v>
      </c>
      <c r="F438" s="421" t="s">
        <v>3557</v>
      </c>
      <c r="G438" s="421" t="s">
        <v>3284</v>
      </c>
      <c r="H438" s="421" t="s">
        <v>1107</v>
      </c>
      <c r="I438" s="421" t="s">
        <v>3768</v>
      </c>
      <c r="J438" s="421" t="s">
        <v>3771</v>
      </c>
      <c r="K438" s="421" t="s">
        <v>3093</v>
      </c>
      <c r="L438" s="421" t="s">
        <v>3094</v>
      </c>
      <c r="M438" s="421" t="s">
        <v>2667</v>
      </c>
      <c r="N438" s="421" t="s">
        <v>3093</v>
      </c>
      <c r="O438" s="421" t="s">
        <v>3094</v>
      </c>
      <c r="P438" s="421" t="s">
        <v>3095</v>
      </c>
      <c r="Q438" s="421" t="s">
        <v>3113</v>
      </c>
      <c r="R438" s="421" t="s">
        <v>1108</v>
      </c>
      <c r="S438" s="421" t="s">
        <v>1108</v>
      </c>
      <c r="T438" s="421" t="s">
        <v>1130</v>
      </c>
      <c r="U438" s="421" t="s">
        <v>1112</v>
      </c>
      <c r="V438" s="421" t="s">
        <v>3097</v>
      </c>
      <c r="W438" s="421" t="s">
        <v>3098</v>
      </c>
      <c r="X438" s="421" t="s">
        <v>3099</v>
      </c>
      <c r="Y438" s="421" t="s">
        <v>1117</v>
      </c>
      <c r="Z438" s="421" t="s">
        <v>1118</v>
      </c>
      <c r="AA438" s="421" t="s">
        <v>3100</v>
      </c>
      <c r="AB438" s="421" t="s">
        <v>3101</v>
      </c>
      <c r="AC438" s="421" t="s">
        <v>3102</v>
      </c>
      <c r="AD438" s="421" t="s">
        <v>3269</v>
      </c>
      <c r="AE438" s="421" t="s">
        <v>3378</v>
      </c>
      <c r="AF438" s="421" t="s">
        <v>2236</v>
      </c>
      <c r="AG438" s="421" t="s">
        <v>2237</v>
      </c>
      <c r="AH438" s="421" t="s">
        <v>3105</v>
      </c>
      <c r="AI438" s="421">
        <v>27000</v>
      </c>
      <c r="AJ438" s="421">
        <v>103.71</v>
      </c>
      <c r="AK438" s="421">
        <v>112.48</v>
      </c>
      <c r="AL438" s="421">
        <v>4</v>
      </c>
      <c r="AM438" s="421" t="s">
        <v>966</v>
      </c>
      <c r="AN438" s="421" t="s">
        <v>3271</v>
      </c>
      <c r="AO438" s="421" t="s">
        <v>1121</v>
      </c>
      <c r="AP438" s="421" t="s">
        <v>1121</v>
      </c>
      <c r="AQ438" s="421" t="s">
        <v>1108</v>
      </c>
      <c r="AR438" s="421" t="s">
        <v>3753</v>
      </c>
      <c r="AS438" s="421" t="s">
        <v>3772</v>
      </c>
      <c r="AT438" s="421" t="s">
        <v>3109</v>
      </c>
      <c r="AU438" s="421" t="s">
        <v>1142</v>
      </c>
      <c r="AV438" s="421" t="s">
        <v>2037</v>
      </c>
      <c r="AW438" s="421" t="s">
        <v>3110</v>
      </c>
      <c r="AX438" s="421" t="s">
        <v>3111</v>
      </c>
      <c r="AY438" s="421" t="s">
        <v>3112</v>
      </c>
      <c r="AZ438" s="421" t="s">
        <v>3113</v>
      </c>
      <c r="BA438" s="421" t="s">
        <v>3114</v>
      </c>
      <c r="BB438" s="421" t="s">
        <v>3115</v>
      </c>
      <c r="BC438" s="421">
        <v>2214</v>
      </c>
      <c r="BD438" s="421">
        <v>6517949.5800000001</v>
      </c>
      <c r="BE438" s="421">
        <v>0</v>
      </c>
      <c r="BF438" s="421">
        <v>35.380000000000003</v>
      </c>
      <c r="BG438" s="421">
        <v>5.62</v>
      </c>
      <c r="BH438" s="421">
        <v>6</v>
      </c>
      <c r="BI438" s="421" t="s">
        <v>1167</v>
      </c>
    </row>
    <row r="439" spans="1:61" x14ac:dyDescent="0.25">
      <c r="A439" s="421">
        <v>436</v>
      </c>
      <c r="B439" s="421">
        <v>2015</v>
      </c>
      <c r="C439" s="421">
        <v>8</v>
      </c>
      <c r="D439" s="421">
        <v>12</v>
      </c>
      <c r="E439" s="421" t="s">
        <v>1475</v>
      </c>
      <c r="F439" s="421" t="s">
        <v>3557</v>
      </c>
      <c r="G439" s="421" t="s">
        <v>3284</v>
      </c>
      <c r="H439" s="421" t="s">
        <v>1107</v>
      </c>
      <c r="I439" s="421" t="s">
        <v>3768</v>
      </c>
      <c r="J439" s="421" t="s">
        <v>3771</v>
      </c>
      <c r="K439" s="421" t="s">
        <v>3093</v>
      </c>
      <c r="L439" s="421" t="s">
        <v>3094</v>
      </c>
      <c r="M439" s="421" t="s">
        <v>2667</v>
      </c>
      <c r="N439" s="421" t="s">
        <v>3093</v>
      </c>
      <c r="O439" s="421" t="s">
        <v>3094</v>
      </c>
      <c r="P439" s="421" t="s">
        <v>3095</v>
      </c>
      <c r="Q439" s="421" t="s">
        <v>3113</v>
      </c>
      <c r="R439" s="421" t="s">
        <v>1108</v>
      </c>
      <c r="S439" s="421" t="s">
        <v>1108</v>
      </c>
      <c r="T439" s="421" t="s">
        <v>1130</v>
      </c>
      <c r="U439" s="421" t="s">
        <v>1112</v>
      </c>
      <c r="V439" s="421" t="s">
        <v>3097</v>
      </c>
      <c r="W439" s="421" t="s">
        <v>3098</v>
      </c>
      <c r="X439" s="421" t="s">
        <v>3099</v>
      </c>
      <c r="Y439" s="421" t="s">
        <v>1117</v>
      </c>
      <c r="Z439" s="421" t="s">
        <v>1118</v>
      </c>
      <c r="AA439" s="421" t="s">
        <v>3100</v>
      </c>
      <c r="AB439" s="421" t="s">
        <v>3101</v>
      </c>
      <c r="AC439" s="421" t="s">
        <v>3102</v>
      </c>
      <c r="AD439" s="421" t="s">
        <v>3269</v>
      </c>
      <c r="AE439" s="421" t="s">
        <v>3378</v>
      </c>
      <c r="AF439" s="421" t="s">
        <v>2236</v>
      </c>
      <c r="AG439" s="421" t="s">
        <v>2237</v>
      </c>
      <c r="AH439" s="421" t="s">
        <v>3105</v>
      </c>
      <c r="AI439" s="421">
        <v>58200</v>
      </c>
      <c r="AJ439" s="421">
        <v>246.38</v>
      </c>
      <c r="AK439" s="421">
        <v>267.22000000000003</v>
      </c>
      <c r="AL439" s="421">
        <v>3</v>
      </c>
      <c r="AM439" s="421" t="s">
        <v>966</v>
      </c>
      <c r="AN439" s="421" t="s">
        <v>3271</v>
      </c>
      <c r="AO439" s="421" t="s">
        <v>1121</v>
      </c>
      <c r="AP439" s="421" t="s">
        <v>1121</v>
      </c>
      <c r="AQ439" s="421" t="s">
        <v>1108</v>
      </c>
      <c r="AR439" s="421" t="s">
        <v>3753</v>
      </c>
      <c r="AS439" s="421" t="s">
        <v>3772</v>
      </c>
      <c r="AT439" s="421" t="s">
        <v>3109</v>
      </c>
      <c r="AU439" s="421" t="s">
        <v>1142</v>
      </c>
      <c r="AV439" s="421" t="s">
        <v>2037</v>
      </c>
      <c r="AW439" s="421" t="s">
        <v>3110</v>
      </c>
      <c r="AX439" s="421" t="s">
        <v>3111</v>
      </c>
      <c r="AY439" s="421" t="s">
        <v>3112</v>
      </c>
      <c r="AZ439" s="421" t="s">
        <v>3113</v>
      </c>
      <c r="BA439" s="421" t="s">
        <v>3114</v>
      </c>
      <c r="BB439" s="421" t="s">
        <v>3115</v>
      </c>
      <c r="BC439" s="421">
        <v>5609.4</v>
      </c>
      <c r="BD439" s="421">
        <v>16513905.310000001</v>
      </c>
      <c r="BE439" s="421">
        <v>0</v>
      </c>
      <c r="BF439" s="421">
        <v>89.65</v>
      </c>
      <c r="BG439" s="421">
        <v>14.25</v>
      </c>
      <c r="BH439" s="421">
        <v>15.2</v>
      </c>
      <c r="BI439" s="421" t="s">
        <v>1167</v>
      </c>
    </row>
    <row r="440" spans="1:61" x14ac:dyDescent="0.25">
      <c r="A440" s="421">
        <v>437</v>
      </c>
      <c r="B440" s="421">
        <v>2015</v>
      </c>
      <c r="C440" s="421">
        <v>8</v>
      </c>
      <c r="D440" s="421">
        <v>12</v>
      </c>
      <c r="E440" s="421" t="s">
        <v>1475</v>
      </c>
      <c r="F440" s="421" t="s">
        <v>3557</v>
      </c>
      <c r="G440" s="421" t="s">
        <v>3284</v>
      </c>
      <c r="H440" s="421" t="s">
        <v>1107</v>
      </c>
      <c r="I440" s="421" t="s">
        <v>3768</v>
      </c>
      <c r="J440" s="421" t="s">
        <v>3771</v>
      </c>
      <c r="K440" s="421" t="s">
        <v>3093</v>
      </c>
      <c r="L440" s="421" t="s">
        <v>3094</v>
      </c>
      <c r="M440" s="421" t="s">
        <v>2667</v>
      </c>
      <c r="N440" s="421" t="s">
        <v>3093</v>
      </c>
      <c r="O440" s="421" t="s">
        <v>3094</v>
      </c>
      <c r="P440" s="421" t="s">
        <v>3095</v>
      </c>
      <c r="Q440" s="421" t="s">
        <v>3113</v>
      </c>
      <c r="R440" s="421" t="s">
        <v>1108</v>
      </c>
      <c r="S440" s="421" t="s">
        <v>1108</v>
      </c>
      <c r="T440" s="421" t="s">
        <v>1130</v>
      </c>
      <c r="U440" s="421" t="s">
        <v>1112</v>
      </c>
      <c r="V440" s="421" t="s">
        <v>3097</v>
      </c>
      <c r="W440" s="421" t="s">
        <v>3098</v>
      </c>
      <c r="X440" s="421" t="s">
        <v>3099</v>
      </c>
      <c r="Y440" s="421" t="s">
        <v>1117</v>
      </c>
      <c r="Z440" s="421" t="s">
        <v>1118</v>
      </c>
      <c r="AA440" s="421" t="s">
        <v>3100</v>
      </c>
      <c r="AB440" s="421" t="s">
        <v>3101</v>
      </c>
      <c r="AC440" s="421" t="s">
        <v>3102</v>
      </c>
      <c r="AD440" s="421" t="s">
        <v>3269</v>
      </c>
      <c r="AE440" s="421" t="s">
        <v>3378</v>
      </c>
      <c r="AF440" s="421" t="s">
        <v>2236</v>
      </c>
      <c r="AG440" s="421" t="s">
        <v>2237</v>
      </c>
      <c r="AH440" s="421" t="s">
        <v>3105</v>
      </c>
      <c r="AI440" s="421">
        <v>504000</v>
      </c>
      <c r="AJ440" s="421">
        <v>1449.32</v>
      </c>
      <c r="AK440" s="421">
        <v>1571.91</v>
      </c>
      <c r="AL440" s="421">
        <v>2</v>
      </c>
      <c r="AM440" s="421" t="s">
        <v>966</v>
      </c>
      <c r="AN440" s="421" t="s">
        <v>3271</v>
      </c>
      <c r="AO440" s="421" t="s">
        <v>1121</v>
      </c>
      <c r="AP440" s="421" t="s">
        <v>1121</v>
      </c>
      <c r="AQ440" s="421" t="s">
        <v>1108</v>
      </c>
      <c r="AR440" s="421" t="s">
        <v>3753</v>
      </c>
      <c r="AS440" s="421" t="s">
        <v>3772</v>
      </c>
      <c r="AT440" s="421" t="s">
        <v>3109</v>
      </c>
      <c r="AU440" s="421" t="s">
        <v>1142</v>
      </c>
      <c r="AV440" s="421" t="s">
        <v>2037</v>
      </c>
      <c r="AW440" s="421" t="s">
        <v>3110</v>
      </c>
      <c r="AX440" s="421" t="s">
        <v>3111</v>
      </c>
      <c r="AY440" s="421" t="s">
        <v>3112</v>
      </c>
      <c r="AZ440" s="421" t="s">
        <v>3113</v>
      </c>
      <c r="BA440" s="421" t="s">
        <v>3114</v>
      </c>
      <c r="BB440" s="421" t="s">
        <v>3115</v>
      </c>
      <c r="BC440" s="421">
        <v>17799.2</v>
      </c>
      <c r="BD440" s="421">
        <v>52400310.82</v>
      </c>
      <c r="BE440" s="421">
        <v>0</v>
      </c>
      <c r="BF440" s="421">
        <v>284.45999999999998</v>
      </c>
      <c r="BG440" s="421">
        <v>45.21</v>
      </c>
      <c r="BH440" s="421">
        <v>48.22</v>
      </c>
      <c r="BI440" s="421" t="s">
        <v>1167</v>
      </c>
    </row>
    <row r="441" spans="1:61" x14ac:dyDescent="0.25">
      <c r="A441" s="421">
        <v>438</v>
      </c>
      <c r="B441" s="421">
        <v>2015</v>
      </c>
      <c r="C441" s="421">
        <v>8</v>
      </c>
      <c r="D441" s="421">
        <v>12</v>
      </c>
      <c r="E441" s="421" t="s">
        <v>1475</v>
      </c>
      <c r="F441" s="421" t="s">
        <v>3557</v>
      </c>
      <c r="G441" s="421" t="s">
        <v>3284</v>
      </c>
      <c r="H441" s="421" t="s">
        <v>1107</v>
      </c>
      <c r="I441" s="421" t="s">
        <v>3768</v>
      </c>
      <c r="J441" s="421" t="s">
        <v>3773</v>
      </c>
      <c r="K441" s="421" t="s">
        <v>3093</v>
      </c>
      <c r="L441" s="421" t="s">
        <v>3094</v>
      </c>
      <c r="M441" s="421" t="s">
        <v>2667</v>
      </c>
      <c r="N441" s="421" t="s">
        <v>3093</v>
      </c>
      <c r="O441" s="421" t="s">
        <v>3094</v>
      </c>
      <c r="P441" s="421" t="s">
        <v>3095</v>
      </c>
      <c r="Q441" s="421" t="s">
        <v>3113</v>
      </c>
      <c r="R441" s="421" t="s">
        <v>1108</v>
      </c>
      <c r="S441" s="421" t="s">
        <v>1108</v>
      </c>
      <c r="T441" s="421" t="s">
        <v>1130</v>
      </c>
      <c r="U441" s="421" t="s">
        <v>1112</v>
      </c>
      <c r="V441" s="421" t="s">
        <v>3097</v>
      </c>
      <c r="W441" s="421" t="s">
        <v>3098</v>
      </c>
      <c r="X441" s="421" t="s">
        <v>3099</v>
      </c>
      <c r="Y441" s="421" t="s">
        <v>1117</v>
      </c>
      <c r="Z441" s="421" t="s">
        <v>1118</v>
      </c>
      <c r="AA441" s="421" t="s">
        <v>3100</v>
      </c>
      <c r="AB441" s="421" t="s">
        <v>3101</v>
      </c>
      <c r="AC441" s="421" t="s">
        <v>3102</v>
      </c>
      <c r="AD441" s="421" t="s">
        <v>3559</v>
      </c>
      <c r="AE441" s="421" t="s">
        <v>3560</v>
      </c>
      <c r="AF441" s="421" t="s">
        <v>2236</v>
      </c>
      <c r="AG441" s="421" t="s">
        <v>2237</v>
      </c>
      <c r="AH441" s="421" t="s">
        <v>3105</v>
      </c>
      <c r="AI441" s="421">
        <v>7017500</v>
      </c>
      <c r="AJ441" s="421">
        <v>12958.13</v>
      </c>
      <c r="AK441" s="421">
        <v>15347.3</v>
      </c>
      <c r="AL441" s="421">
        <v>1</v>
      </c>
      <c r="AM441" s="421" t="s">
        <v>961</v>
      </c>
      <c r="AN441" s="421" t="s">
        <v>3191</v>
      </c>
      <c r="AO441" s="421" t="s">
        <v>1121</v>
      </c>
      <c r="AP441" s="421" t="s">
        <v>1121</v>
      </c>
      <c r="AQ441" s="421" t="s">
        <v>1108</v>
      </c>
      <c r="AR441" s="421" t="s">
        <v>3753</v>
      </c>
      <c r="AS441" s="421" t="s">
        <v>3774</v>
      </c>
      <c r="AT441" s="421" t="s">
        <v>3109</v>
      </c>
      <c r="AU441" s="421" t="s">
        <v>1142</v>
      </c>
      <c r="AV441" s="421" t="s">
        <v>2037</v>
      </c>
      <c r="AW441" s="421" t="s">
        <v>3110</v>
      </c>
      <c r="AX441" s="421" t="s">
        <v>3111</v>
      </c>
      <c r="AY441" s="421" t="s">
        <v>3193</v>
      </c>
      <c r="AZ441" s="421" t="s">
        <v>3113</v>
      </c>
      <c r="BA441" s="421" t="s">
        <v>3114</v>
      </c>
      <c r="BB441" s="421" t="s">
        <v>3115</v>
      </c>
      <c r="BC441" s="421">
        <v>175315</v>
      </c>
      <c r="BD441" s="421">
        <v>516122100.55000001</v>
      </c>
      <c r="BE441" s="421">
        <v>0</v>
      </c>
      <c r="BF441" s="421">
        <v>0</v>
      </c>
      <c r="BG441" s="421">
        <v>0</v>
      </c>
      <c r="BH441" s="421">
        <v>0</v>
      </c>
      <c r="BI441" s="421" t="s">
        <v>1149</v>
      </c>
    </row>
    <row r="442" spans="1:61" x14ac:dyDescent="0.25">
      <c r="A442" s="421">
        <v>439</v>
      </c>
      <c r="B442" s="421">
        <v>2015</v>
      </c>
      <c r="C442" s="421">
        <v>8</v>
      </c>
      <c r="D442" s="421">
        <v>12</v>
      </c>
      <c r="E442" s="421" t="s">
        <v>1475</v>
      </c>
      <c r="F442" s="421" t="s">
        <v>3557</v>
      </c>
      <c r="G442" s="421" t="s">
        <v>3284</v>
      </c>
      <c r="H442" s="421" t="s">
        <v>1107</v>
      </c>
      <c r="I442" s="421" t="s">
        <v>3768</v>
      </c>
      <c r="J442" s="421" t="s">
        <v>3775</v>
      </c>
      <c r="K442" s="421" t="s">
        <v>3093</v>
      </c>
      <c r="L442" s="421" t="s">
        <v>3094</v>
      </c>
      <c r="M442" s="421" t="s">
        <v>2667</v>
      </c>
      <c r="N442" s="421" t="s">
        <v>3093</v>
      </c>
      <c r="O442" s="421" t="s">
        <v>3094</v>
      </c>
      <c r="P442" s="421" t="s">
        <v>3095</v>
      </c>
      <c r="Q442" s="421" t="s">
        <v>3113</v>
      </c>
      <c r="R442" s="421" t="s">
        <v>1108</v>
      </c>
      <c r="S442" s="421" t="s">
        <v>1108</v>
      </c>
      <c r="T442" s="421" t="s">
        <v>1130</v>
      </c>
      <c r="U442" s="421" t="s">
        <v>1112</v>
      </c>
      <c r="V442" s="421" t="s">
        <v>3097</v>
      </c>
      <c r="W442" s="421" t="s">
        <v>3098</v>
      </c>
      <c r="X442" s="421" t="s">
        <v>3099</v>
      </c>
      <c r="Y442" s="421" t="s">
        <v>1117</v>
      </c>
      <c r="Z442" s="421" t="s">
        <v>1118</v>
      </c>
      <c r="AA442" s="421" t="s">
        <v>3100</v>
      </c>
      <c r="AB442" s="421" t="s">
        <v>3101</v>
      </c>
      <c r="AC442" s="421" t="s">
        <v>3102</v>
      </c>
      <c r="AD442" s="421" t="s">
        <v>3196</v>
      </c>
      <c r="AE442" s="421" t="s">
        <v>3197</v>
      </c>
      <c r="AF442" s="421" t="s">
        <v>2236</v>
      </c>
      <c r="AG442" s="421" t="s">
        <v>2237</v>
      </c>
      <c r="AH442" s="421" t="s">
        <v>3105</v>
      </c>
      <c r="AI442" s="421">
        <v>15000</v>
      </c>
      <c r="AJ442" s="421">
        <v>55.15</v>
      </c>
      <c r="AK442" s="421">
        <v>60.01</v>
      </c>
      <c r="AL442" s="421">
        <v>4</v>
      </c>
      <c r="AM442" s="421" t="s">
        <v>967</v>
      </c>
      <c r="AN442" s="421" t="s">
        <v>3198</v>
      </c>
      <c r="AO442" s="421" t="s">
        <v>1121</v>
      </c>
      <c r="AP442" s="421" t="s">
        <v>1121</v>
      </c>
      <c r="AQ442" s="421" t="s">
        <v>1108</v>
      </c>
      <c r="AR442" s="421" t="s">
        <v>3753</v>
      </c>
      <c r="AS442" s="421" t="s">
        <v>3776</v>
      </c>
      <c r="AT442" s="421" t="s">
        <v>3109</v>
      </c>
      <c r="AU442" s="421" t="s">
        <v>1142</v>
      </c>
      <c r="AV442" s="421" t="s">
        <v>2037</v>
      </c>
      <c r="AW442" s="421" t="s">
        <v>3110</v>
      </c>
      <c r="AX442" s="421" t="s">
        <v>3111</v>
      </c>
      <c r="AY442" s="421" t="s">
        <v>3200</v>
      </c>
      <c r="AZ442" s="421" t="s">
        <v>3113</v>
      </c>
      <c r="BA442" s="421" t="s">
        <v>3114</v>
      </c>
      <c r="BB442" s="421" t="s">
        <v>3115</v>
      </c>
      <c r="BC442" s="421">
        <v>1290</v>
      </c>
      <c r="BD442" s="421">
        <v>3797721.3</v>
      </c>
      <c r="BE442" s="421">
        <v>0</v>
      </c>
      <c r="BF442" s="421">
        <v>0</v>
      </c>
      <c r="BG442" s="421">
        <v>0</v>
      </c>
      <c r="BH442" s="421">
        <v>0</v>
      </c>
      <c r="BI442" s="421" t="s">
        <v>1149</v>
      </c>
    </row>
    <row r="443" spans="1:61" x14ac:dyDescent="0.25">
      <c r="A443" s="421">
        <v>440</v>
      </c>
      <c r="B443" s="421">
        <v>2015</v>
      </c>
      <c r="C443" s="421">
        <v>8</v>
      </c>
      <c r="D443" s="421">
        <v>12</v>
      </c>
      <c r="E443" s="421" t="s">
        <v>1475</v>
      </c>
      <c r="F443" s="421" t="s">
        <v>3557</v>
      </c>
      <c r="G443" s="421" t="s">
        <v>3284</v>
      </c>
      <c r="H443" s="421" t="s">
        <v>1107</v>
      </c>
      <c r="I443" s="421" t="s">
        <v>3768</v>
      </c>
      <c r="J443" s="421" t="s">
        <v>3775</v>
      </c>
      <c r="K443" s="421" t="s">
        <v>3093</v>
      </c>
      <c r="L443" s="421" t="s">
        <v>3094</v>
      </c>
      <c r="M443" s="421" t="s">
        <v>2667</v>
      </c>
      <c r="N443" s="421" t="s">
        <v>3093</v>
      </c>
      <c r="O443" s="421" t="s">
        <v>3094</v>
      </c>
      <c r="P443" s="421" t="s">
        <v>3095</v>
      </c>
      <c r="Q443" s="421" t="s">
        <v>3113</v>
      </c>
      <c r="R443" s="421" t="s">
        <v>1108</v>
      </c>
      <c r="S443" s="421" t="s">
        <v>1108</v>
      </c>
      <c r="T443" s="421" t="s">
        <v>1130</v>
      </c>
      <c r="U443" s="421" t="s">
        <v>1112</v>
      </c>
      <c r="V443" s="421" t="s">
        <v>3097</v>
      </c>
      <c r="W443" s="421" t="s">
        <v>3098</v>
      </c>
      <c r="X443" s="421" t="s">
        <v>3099</v>
      </c>
      <c r="Y443" s="421" t="s">
        <v>1117</v>
      </c>
      <c r="Z443" s="421" t="s">
        <v>1118</v>
      </c>
      <c r="AA443" s="421" t="s">
        <v>3100</v>
      </c>
      <c r="AB443" s="421" t="s">
        <v>3101</v>
      </c>
      <c r="AC443" s="421" t="s">
        <v>3102</v>
      </c>
      <c r="AD443" s="421" t="s">
        <v>3196</v>
      </c>
      <c r="AE443" s="421" t="s">
        <v>3197</v>
      </c>
      <c r="AF443" s="421" t="s">
        <v>2236</v>
      </c>
      <c r="AG443" s="421" t="s">
        <v>2237</v>
      </c>
      <c r="AH443" s="421" t="s">
        <v>3105</v>
      </c>
      <c r="AI443" s="421">
        <v>685500</v>
      </c>
      <c r="AJ443" s="421">
        <v>2547.79</v>
      </c>
      <c r="AK443" s="421">
        <v>2772.73</v>
      </c>
      <c r="AL443" s="421">
        <v>3</v>
      </c>
      <c r="AM443" s="421" t="s">
        <v>967</v>
      </c>
      <c r="AN443" s="421" t="s">
        <v>3198</v>
      </c>
      <c r="AO443" s="421" t="s">
        <v>1121</v>
      </c>
      <c r="AP443" s="421" t="s">
        <v>1121</v>
      </c>
      <c r="AQ443" s="421" t="s">
        <v>1108</v>
      </c>
      <c r="AR443" s="421" t="s">
        <v>3753</v>
      </c>
      <c r="AS443" s="421" t="s">
        <v>3776</v>
      </c>
      <c r="AT443" s="421" t="s">
        <v>3109</v>
      </c>
      <c r="AU443" s="421" t="s">
        <v>1142</v>
      </c>
      <c r="AV443" s="421" t="s">
        <v>2037</v>
      </c>
      <c r="AW443" s="421" t="s">
        <v>3110</v>
      </c>
      <c r="AX443" s="421" t="s">
        <v>3111</v>
      </c>
      <c r="AY443" s="421" t="s">
        <v>3200</v>
      </c>
      <c r="AZ443" s="421" t="s">
        <v>3113</v>
      </c>
      <c r="BA443" s="421" t="s">
        <v>3114</v>
      </c>
      <c r="BB443" s="421" t="s">
        <v>3115</v>
      </c>
      <c r="BC443" s="421">
        <v>63312</v>
      </c>
      <c r="BD443" s="421">
        <v>186388628.63999999</v>
      </c>
      <c r="BE443" s="421">
        <v>0</v>
      </c>
      <c r="BF443" s="421">
        <v>0</v>
      </c>
      <c r="BG443" s="421">
        <v>0</v>
      </c>
      <c r="BH443" s="421">
        <v>0</v>
      </c>
      <c r="BI443" s="421" t="s">
        <v>1149</v>
      </c>
    </row>
    <row r="444" spans="1:61" x14ac:dyDescent="0.25">
      <c r="A444" s="421">
        <v>441</v>
      </c>
      <c r="B444" s="421">
        <v>2015</v>
      </c>
      <c r="C444" s="421">
        <v>8</v>
      </c>
      <c r="D444" s="421">
        <v>12</v>
      </c>
      <c r="E444" s="421" t="s">
        <v>1475</v>
      </c>
      <c r="F444" s="421" t="s">
        <v>3557</v>
      </c>
      <c r="G444" s="421" t="s">
        <v>3284</v>
      </c>
      <c r="H444" s="421" t="s">
        <v>1107</v>
      </c>
      <c r="I444" s="421" t="s">
        <v>3768</v>
      </c>
      <c r="J444" s="421" t="s">
        <v>3775</v>
      </c>
      <c r="K444" s="421" t="s">
        <v>3093</v>
      </c>
      <c r="L444" s="421" t="s">
        <v>3094</v>
      </c>
      <c r="M444" s="421" t="s">
        <v>2667</v>
      </c>
      <c r="N444" s="421" t="s">
        <v>3093</v>
      </c>
      <c r="O444" s="421" t="s">
        <v>3094</v>
      </c>
      <c r="P444" s="421" t="s">
        <v>3095</v>
      </c>
      <c r="Q444" s="421" t="s">
        <v>3113</v>
      </c>
      <c r="R444" s="421" t="s">
        <v>1108</v>
      </c>
      <c r="S444" s="421" t="s">
        <v>1108</v>
      </c>
      <c r="T444" s="421" t="s">
        <v>1130</v>
      </c>
      <c r="U444" s="421" t="s">
        <v>1112</v>
      </c>
      <c r="V444" s="421" t="s">
        <v>3097</v>
      </c>
      <c r="W444" s="421" t="s">
        <v>3098</v>
      </c>
      <c r="X444" s="421" t="s">
        <v>3099</v>
      </c>
      <c r="Y444" s="421" t="s">
        <v>1117</v>
      </c>
      <c r="Z444" s="421" t="s">
        <v>1118</v>
      </c>
      <c r="AA444" s="421" t="s">
        <v>3100</v>
      </c>
      <c r="AB444" s="421" t="s">
        <v>3101</v>
      </c>
      <c r="AC444" s="421" t="s">
        <v>3102</v>
      </c>
      <c r="AD444" s="421" t="s">
        <v>3196</v>
      </c>
      <c r="AE444" s="421" t="s">
        <v>3197</v>
      </c>
      <c r="AF444" s="421" t="s">
        <v>2236</v>
      </c>
      <c r="AG444" s="421" t="s">
        <v>2237</v>
      </c>
      <c r="AH444" s="421" t="s">
        <v>3105</v>
      </c>
      <c r="AI444" s="421">
        <v>1586000</v>
      </c>
      <c r="AJ444" s="421">
        <v>3030.43</v>
      </c>
      <c r="AK444" s="421">
        <v>3297.98</v>
      </c>
      <c r="AL444" s="421">
        <v>2</v>
      </c>
      <c r="AM444" s="421" t="s">
        <v>967</v>
      </c>
      <c r="AN444" s="421" t="s">
        <v>3198</v>
      </c>
      <c r="AO444" s="421" t="s">
        <v>1121</v>
      </c>
      <c r="AP444" s="421" t="s">
        <v>1121</v>
      </c>
      <c r="AQ444" s="421" t="s">
        <v>1108</v>
      </c>
      <c r="AR444" s="421" t="s">
        <v>3753</v>
      </c>
      <c r="AS444" s="421" t="s">
        <v>3776</v>
      </c>
      <c r="AT444" s="421" t="s">
        <v>3109</v>
      </c>
      <c r="AU444" s="421" t="s">
        <v>1142</v>
      </c>
      <c r="AV444" s="421" t="s">
        <v>2037</v>
      </c>
      <c r="AW444" s="421" t="s">
        <v>3110</v>
      </c>
      <c r="AX444" s="421" t="s">
        <v>3111</v>
      </c>
      <c r="AY444" s="421" t="s">
        <v>3200</v>
      </c>
      <c r="AZ444" s="421" t="s">
        <v>3113</v>
      </c>
      <c r="BA444" s="421" t="s">
        <v>3114</v>
      </c>
      <c r="BB444" s="421" t="s">
        <v>3115</v>
      </c>
      <c r="BC444" s="421">
        <v>38152</v>
      </c>
      <c r="BD444" s="421">
        <v>112318343.44</v>
      </c>
      <c r="BE444" s="421">
        <v>0</v>
      </c>
      <c r="BF444" s="421">
        <v>0</v>
      </c>
      <c r="BG444" s="421">
        <v>0</v>
      </c>
      <c r="BH444" s="421">
        <v>0</v>
      </c>
      <c r="BI444" s="421" t="s">
        <v>1149</v>
      </c>
    </row>
    <row r="445" spans="1:61" x14ac:dyDescent="0.25">
      <c r="A445" s="421">
        <v>442</v>
      </c>
      <c r="B445" s="421">
        <v>2015</v>
      </c>
      <c r="C445" s="421">
        <v>8</v>
      </c>
      <c r="D445" s="421">
        <v>12</v>
      </c>
      <c r="E445" s="421" t="s">
        <v>1475</v>
      </c>
      <c r="F445" s="421" t="s">
        <v>3557</v>
      </c>
      <c r="G445" s="421" t="s">
        <v>3284</v>
      </c>
      <c r="H445" s="421" t="s">
        <v>1107</v>
      </c>
      <c r="I445" s="421" t="s">
        <v>3768</v>
      </c>
      <c r="J445" s="421" t="s">
        <v>3775</v>
      </c>
      <c r="K445" s="421" t="s">
        <v>3093</v>
      </c>
      <c r="L445" s="421" t="s">
        <v>3094</v>
      </c>
      <c r="M445" s="421" t="s">
        <v>2667</v>
      </c>
      <c r="N445" s="421" t="s">
        <v>3093</v>
      </c>
      <c r="O445" s="421" t="s">
        <v>3094</v>
      </c>
      <c r="P445" s="421" t="s">
        <v>3095</v>
      </c>
      <c r="Q445" s="421" t="s">
        <v>3113</v>
      </c>
      <c r="R445" s="421" t="s">
        <v>1108</v>
      </c>
      <c r="S445" s="421" t="s">
        <v>1108</v>
      </c>
      <c r="T445" s="421" t="s">
        <v>1130</v>
      </c>
      <c r="U445" s="421" t="s">
        <v>1112</v>
      </c>
      <c r="V445" s="421" t="s">
        <v>3097</v>
      </c>
      <c r="W445" s="421" t="s">
        <v>3098</v>
      </c>
      <c r="X445" s="421" t="s">
        <v>3099</v>
      </c>
      <c r="Y445" s="421" t="s">
        <v>1117</v>
      </c>
      <c r="Z445" s="421" t="s">
        <v>1118</v>
      </c>
      <c r="AA445" s="421" t="s">
        <v>3100</v>
      </c>
      <c r="AB445" s="421" t="s">
        <v>3101</v>
      </c>
      <c r="AC445" s="421" t="s">
        <v>3102</v>
      </c>
      <c r="AD445" s="421" t="s">
        <v>3196</v>
      </c>
      <c r="AE445" s="421" t="s">
        <v>3197</v>
      </c>
      <c r="AF445" s="421" t="s">
        <v>2236</v>
      </c>
      <c r="AG445" s="421" t="s">
        <v>2237</v>
      </c>
      <c r="AH445" s="421" t="s">
        <v>3105</v>
      </c>
      <c r="AI445" s="421">
        <v>4244600</v>
      </c>
      <c r="AJ445" s="421">
        <v>8460.57</v>
      </c>
      <c r="AK445" s="421">
        <v>9207.5400000000009</v>
      </c>
      <c r="AL445" s="421">
        <v>1</v>
      </c>
      <c r="AM445" s="421" t="s">
        <v>967</v>
      </c>
      <c r="AN445" s="421" t="s">
        <v>3198</v>
      </c>
      <c r="AO445" s="421" t="s">
        <v>1121</v>
      </c>
      <c r="AP445" s="421" t="s">
        <v>1121</v>
      </c>
      <c r="AQ445" s="421" t="s">
        <v>1108</v>
      </c>
      <c r="AR445" s="421" t="s">
        <v>3753</v>
      </c>
      <c r="AS445" s="421" t="s">
        <v>3776</v>
      </c>
      <c r="AT445" s="421" t="s">
        <v>3109</v>
      </c>
      <c r="AU445" s="421" t="s">
        <v>1142</v>
      </c>
      <c r="AV445" s="421" t="s">
        <v>2037</v>
      </c>
      <c r="AW445" s="421" t="s">
        <v>3110</v>
      </c>
      <c r="AX445" s="421" t="s">
        <v>3111</v>
      </c>
      <c r="AY445" s="421" t="s">
        <v>3200</v>
      </c>
      <c r="AZ445" s="421" t="s">
        <v>3113</v>
      </c>
      <c r="BA445" s="421" t="s">
        <v>3114</v>
      </c>
      <c r="BB445" s="421" t="s">
        <v>3115</v>
      </c>
      <c r="BC445" s="421">
        <v>99531.199999999997</v>
      </c>
      <c r="BD445" s="421">
        <v>293016866.86000001</v>
      </c>
      <c r="BE445" s="421">
        <v>0</v>
      </c>
      <c r="BF445" s="421">
        <v>0</v>
      </c>
      <c r="BG445" s="421">
        <v>0</v>
      </c>
      <c r="BH445" s="421">
        <v>0</v>
      </c>
      <c r="BI445" s="421" t="s">
        <v>1149</v>
      </c>
    </row>
    <row r="446" spans="1:61" x14ac:dyDescent="0.25">
      <c r="A446" s="421">
        <v>443</v>
      </c>
      <c r="B446" s="421">
        <v>2015</v>
      </c>
      <c r="C446" s="421">
        <v>8</v>
      </c>
      <c r="D446" s="421">
        <v>12</v>
      </c>
      <c r="E446" s="421" t="s">
        <v>1475</v>
      </c>
      <c r="F446" s="421" t="s">
        <v>3557</v>
      </c>
      <c r="G446" s="421" t="s">
        <v>3284</v>
      </c>
      <c r="H446" s="421" t="s">
        <v>1107</v>
      </c>
      <c r="I446" s="421" t="s">
        <v>3768</v>
      </c>
      <c r="J446" s="421" t="s">
        <v>3771</v>
      </c>
      <c r="K446" s="421" t="s">
        <v>3093</v>
      </c>
      <c r="L446" s="421" t="s">
        <v>3094</v>
      </c>
      <c r="M446" s="421" t="s">
        <v>2667</v>
      </c>
      <c r="N446" s="421" t="s">
        <v>3093</v>
      </c>
      <c r="O446" s="421" t="s">
        <v>3094</v>
      </c>
      <c r="P446" s="421" t="s">
        <v>3095</v>
      </c>
      <c r="Q446" s="421" t="s">
        <v>3113</v>
      </c>
      <c r="R446" s="421" t="s">
        <v>1108</v>
      </c>
      <c r="S446" s="421" t="s">
        <v>1108</v>
      </c>
      <c r="T446" s="421" t="s">
        <v>1130</v>
      </c>
      <c r="U446" s="421" t="s">
        <v>1112</v>
      </c>
      <c r="V446" s="421" t="s">
        <v>3097</v>
      </c>
      <c r="W446" s="421" t="s">
        <v>3098</v>
      </c>
      <c r="X446" s="421" t="s">
        <v>3099</v>
      </c>
      <c r="Y446" s="421" t="s">
        <v>1117</v>
      </c>
      <c r="Z446" s="421" t="s">
        <v>1118</v>
      </c>
      <c r="AA446" s="421" t="s">
        <v>3100</v>
      </c>
      <c r="AB446" s="421" t="s">
        <v>3101</v>
      </c>
      <c r="AC446" s="421" t="s">
        <v>3102</v>
      </c>
      <c r="AD446" s="421" t="s">
        <v>3269</v>
      </c>
      <c r="AE446" s="421" t="s">
        <v>3378</v>
      </c>
      <c r="AF446" s="421" t="s">
        <v>2236</v>
      </c>
      <c r="AG446" s="421" t="s">
        <v>2237</v>
      </c>
      <c r="AH446" s="421" t="s">
        <v>3105</v>
      </c>
      <c r="AI446" s="421">
        <v>993000</v>
      </c>
      <c r="AJ446" s="421">
        <v>2697.38</v>
      </c>
      <c r="AK446" s="421">
        <v>2925.54</v>
      </c>
      <c r="AL446" s="421">
        <v>1</v>
      </c>
      <c r="AM446" s="421" t="s">
        <v>966</v>
      </c>
      <c r="AN446" s="421" t="s">
        <v>3271</v>
      </c>
      <c r="AO446" s="421" t="s">
        <v>1121</v>
      </c>
      <c r="AP446" s="421" t="s">
        <v>1121</v>
      </c>
      <c r="AQ446" s="421" t="s">
        <v>1108</v>
      </c>
      <c r="AR446" s="421" t="s">
        <v>3753</v>
      </c>
      <c r="AS446" s="421" t="s">
        <v>3772</v>
      </c>
      <c r="AT446" s="421" t="s">
        <v>3109</v>
      </c>
      <c r="AU446" s="421" t="s">
        <v>1142</v>
      </c>
      <c r="AV446" s="421" t="s">
        <v>2037</v>
      </c>
      <c r="AW446" s="421" t="s">
        <v>3110</v>
      </c>
      <c r="AX446" s="421" t="s">
        <v>3111</v>
      </c>
      <c r="AY446" s="421" t="s">
        <v>3112</v>
      </c>
      <c r="AZ446" s="421" t="s">
        <v>3113</v>
      </c>
      <c r="BA446" s="421" t="s">
        <v>3114</v>
      </c>
      <c r="BB446" s="421" t="s">
        <v>3115</v>
      </c>
      <c r="BC446" s="421">
        <v>36949.800000000003</v>
      </c>
      <c r="BD446" s="421">
        <v>108779102.7</v>
      </c>
      <c r="BE446" s="421">
        <v>0</v>
      </c>
      <c r="BF446" s="421">
        <v>590.51</v>
      </c>
      <c r="BG446" s="421">
        <v>93.85</v>
      </c>
      <c r="BH446" s="421">
        <v>100.11</v>
      </c>
      <c r="BI446" s="421" t="s">
        <v>1167</v>
      </c>
    </row>
    <row r="447" spans="1:61" x14ac:dyDescent="0.25">
      <c r="A447" s="421">
        <v>444</v>
      </c>
      <c r="B447" s="421">
        <v>2015</v>
      </c>
      <c r="C447" s="421">
        <v>8</v>
      </c>
      <c r="D447" s="421">
        <v>12</v>
      </c>
      <c r="E447" s="421" t="s">
        <v>1475</v>
      </c>
      <c r="F447" s="421" t="s">
        <v>3557</v>
      </c>
      <c r="G447" s="421" t="s">
        <v>3284</v>
      </c>
      <c r="H447" s="421" t="s">
        <v>1107</v>
      </c>
      <c r="I447" s="421" t="s">
        <v>3768</v>
      </c>
      <c r="J447" s="421" t="s">
        <v>3777</v>
      </c>
      <c r="K447" s="421" t="s">
        <v>3093</v>
      </c>
      <c r="L447" s="421" t="s">
        <v>3094</v>
      </c>
      <c r="M447" s="421" t="s">
        <v>2667</v>
      </c>
      <c r="N447" s="421" t="s">
        <v>3093</v>
      </c>
      <c r="O447" s="421" t="s">
        <v>3094</v>
      </c>
      <c r="P447" s="421" t="s">
        <v>3095</v>
      </c>
      <c r="Q447" s="421" t="s">
        <v>3096</v>
      </c>
      <c r="R447" s="421" t="s">
        <v>1108</v>
      </c>
      <c r="S447" s="421" t="s">
        <v>1542</v>
      </c>
      <c r="T447" s="421" t="s">
        <v>1130</v>
      </c>
      <c r="U447" s="421" t="s">
        <v>1112</v>
      </c>
      <c r="V447" s="421" t="s">
        <v>3097</v>
      </c>
      <c r="W447" s="421" t="s">
        <v>3098</v>
      </c>
      <c r="X447" s="421" t="s">
        <v>3099</v>
      </c>
      <c r="Y447" s="421" t="s">
        <v>1117</v>
      </c>
      <c r="Z447" s="421" t="s">
        <v>1118</v>
      </c>
      <c r="AA447" s="421" t="s">
        <v>3100</v>
      </c>
      <c r="AB447" s="421" t="s">
        <v>3101</v>
      </c>
      <c r="AC447" s="421" t="s">
        <v>3102</v>
      </c>
      <c r="AD447" s="421" t="s">
        <v>3406</v>
      </c>
      <c r="AE447" s="421" t="s">
        <v>3407</v>
      </c>
      <c r="AF447" s="421" t="s">
        <v>2236</v>
      </c>
      <c r="AG447" s="421" t="s">
        <v>2237</v>
      </c>
      <c r="AH447" s="421" t="s">
        <v>3105</v>
      </c>
      <c r="AI447" s="421">
        <v>82500</v>
      </c>
      <c r="AJ447" s="421">
        <v>310.26</v>
      </c>
      <c r="AK447" s="421">
        <v>344.99</v>
      </c>
      <c r="AL447" s="421">
        <v>4</v>
      </c>
      <c r="AM447" s="421" t="s">
        <v>964</v>
      </c>
      <c r="AN447" s="421" t="s">
        <v>3425</v>
      </c>
      <c r="AO447" s="421" t="s">
        <v>1121</v>
      </c>
      <c r="AP447" s="421" t="s">
        <v>1121</v>
      </c>
      <c r="AQ447" s="421" t="s">
        <v>1542</v>
      </c>
      <c r="AR447" s="421" t="s">
        <v>3753</v>
      </c>
      <c r="AS447" s="421" t="s">
        <v>3778</v>
      </c>
      <c r="AT447" s="421" t="s">
        <v>3109</v>
      </c>
      <c r="AU447" s="421" t="s">
        <v>1142</v>
      </c>
      <c r="AV447" s="421" t="s">
        <v>3410</v>
      </c>
      <c r="AW447" s="421" t="s">
        <v>3110</v>
      </c>
      <c r="AX447" s="421" t="s">
        <v>3111</v>
      </c>
      <c r="AY447" s="421" t="s">
        <v>3112</v>
      </c>
      <c r="AZ447" s="421" t="s">
        <v>3113</v>
      </c>
      <c r="BA447" s="421" t="s">
        <v>3114</v>
      </c>
      <c r="BB447" s="421" t="s">
        <v>3115</v>
      </c>
      <c r="BC447" s="421">
        <v>9075</v>
      </c>
      <c r="BD447" s="421">
        <v>26716527.75</v>
      </c>
      <c r="BE447" s="421">
        <v>0</v>
      </c>
      <c r="BF447" s="421">
        <v>0</v>
      </c>
      <c r="BG447" s="421">
        <v>0</v>
      </c>
      <c r="BH447" s="421">
        <v>0</v>
      </c>
      <c r="BI447" s="421" t="s">
        <v>1278</v>
      </c>
    </row>
    <row r="448" spans="1:61" x14ac:dyDescent="0.25">
      <c r="A448" s="421">
        <v>445</v>
      </c>
      <c r="B448" s="421">
        <v>2015</v>
      </c>
      <c r="C448" s="421">
        <v>8</v>
      </c>
      <c r="D448" s="421">
        <v>12</v>
      </c>
      <c r="E448" s="421" t="s">
        <v>1475</v>
      </c>
      <c r="F448" s="421" t="s">
        <v>3557</v>
      </c>
      <c r="G448" s="421" t="s">
        <v>3284</v>
      </c>
      <c r="H448" s="421" t="s">
        <v>1107</v>
      </c>
      <c r="I448" s="421" t="s">
        <v>3768</v>
      </c>
      <c r="J448" s="421" t="s">
        <v>3777</v>
      </c>
      <c r="K448" s="421" t="s">
        <v>3093</v>
      </c>
      <c r="L448" s="421" t="s">
        <v>3094</v>
      </c>
      <c r="M448" s="421" t="s">
        <v>2667</v>
      </c>
      <c r="N448" s="421" t="s">
        <v>3093</v>
      </c>
      <c r="O448" s="421" t="s">
        <v>3094</v>
      </c>
      <c r="P448" s="421" t="s">
        <v>3095</v>
      </c>
      <c r="Q448" s="421" t="s">
        <v>3096</v>
      </c>
      <c r="R448" s="421" t="s">
        <v>1108</v>
      </c>
      <c r="S448" s="421" t="s">
        <v>1542</v>
      </c>
      <c r="T448" s="421" t="s">
        <v>1130</v>
      </c>
      <c r="U448" s="421" t="s">
        <v>1112</v>
      </c>
      <c r="V448" s="421" t="s">
        <v>3097</v>
      </c>
      <c r="W448" s="421" t="s">
        <v>3098</v>
      </c>
      <c r="X448" s="421" t="s">
        <v>3099</v>
      </c>
      <c r="Y448" s="421" t="s">
        <v>1117</v>
      </c>
      <c r="Z448" s="421" t="s">
        <v>1118</v>
      </c>
      <c r="AA448" s="421" t="s">
        <v>3100</v>
      </c>
      <c r="AB448" s="421" t="s">
        <v>3101</v>
      </c>
      <c r="AC448" s="421" t="s">
        <v>3102</v>
      </c>
      <c r="AD448" s="421" t="s">
        <v>3406</v>
      </c>
      <c r="AE448" s="421" t="s">
        <v>3407</v>
      </c>
      <c r="AF448" s="421" t="s">
        <v>2236</v>
      </c>
      <c r="AG448" s="421" t="s">
        <v>2237</v>
      </c>
      <c r="AH448" s="421" t="s">
        <v>3105</v>
      </c>
      <c r="AI448" s="421">
        <v>886600</v>
      </c>
      <c r="AJ448" s="421">
        <v>2762.02</v>
      </c>
      <c r="AK448" s="421">
        <v>3071.25</v>
      </c>
      <c r="AL448" s="421">
        <v>2</v>
      </c>
      <c r="AM448" s="421" t="s">
        <v>964</v>
      </c>
      <c r="AN448" s="421" t="s">
        <v>3425</v>
      </c>
      <c r="AO448" s="421" t="s">
        <v>1121</v>
      </c>
      <c r="AP448" s="421" t="s">
        <v>1121</v>
      </c>
      <c r="AQ448" s="421" t="s">
        <v>1542</v>
      </c>
      <c r="AR448" s="421" t="s">
        <v>3753</v>
      </c>
      <c r="AS448" s="421" t="s">
        <v>3778</v>
      </c>
      <c r="AT448" s="421" t="s">
        <v>3109</v>
      </c>
      <c r="AU448" s="421" t="s">
        <v>1142</v>
      </c>
      <c r="AV448" s="421" t="s">
        <v>3410</v>
      </c>
      <c r="AW448" s="421" t="s">
        <v>3110</v>
      </c>
      <c r="AX448" s="421" t="s">
        <v>3111</v>
      </c>
      <c r="AY448" s="421" t="s">
        <v>3112</v>
      </c>
      <c r="AZ448" s="421" t="s">
        <v>3113</v>
      </c>
      <c r="BA448" s="421" t="s">
        <v>3114</v>
      </c>
      <c r="BB448" s="421" t="s">
        <v>3115</v>
      </c>
      <c r="BC448" s="421">
        <v>44822</v>
      </c>
      <c r="BD448" s="421">
        <v>131954623.34</v>
      </c>
      <c r="BE448" s="421">
        <v>0</v>
      </c>
      <c r="BF448" s="421">
        <v>0</v>
      </c>
      <c r="BG448" s="421">
        <v>0</v>
      </c>
      <c r="BH448" s="421">
        <v>0</v>
      </c>
      <c r="BI448" s="421" t="s">
        <v>1278</v>
      </c>
    </row>
    <row r="449" spans="1:61" x14ac:dyDescent="0.25">
      <c r="A449" s="421">
        <v>446</v>
      </c>
      <c r="B449" s="421">
        <v>2015</v>
      </c>
      <c r="C449" s="421">
        <v>8</v>
      </c>
      <c r="D449" s="421">
        <v>12</v>
      </c>
      <c r="E449" s="421" t="s">
        <v>1475</v>
      </c>
      <c r="F449" s="421" t="s">
        <v>3557</v>
      </c>
      <c r="G449" s="421" t="s">
        <v>3284</v>
      </c>
      <c r="H449" s="421" t="s">
        <v>1107</v>
      </c>
      <c r="I449" s="421" t="s">
        <v>3768</v>
      </c>
      <c r="J449" s="421" t="s">
        <v>3777</v>
      </c>
      <c r="K449" s="421" t="s">
        <v>3093</v>
      </c>
      <c r="L449" s="421" t="s">
        <v>3094</v>
      </c>
      <c r="M449" s="421" t="s">
        <v>2667</v>
      </c>
      <c r="N449" s="421" t="s">
        <v>3093</v>
      </c>
      <c r="O449" s="421" t="s">
        <v>3094</v>
      </c>
      <c r="P449" s="421" t="s">
        <v>3095</v>
      </c>
      <c r="Q449" s="421" t="s">
        <v>3096</v>
      </c>
      <c r="R449" s="421" t="s">
        <v>1108</v>
      </c>
      <c r="S449" s="421" t="s">
        <v>1542</v>
      </c>
      <c r="T449" s="421" t="s">
        <v>1130</v>
      </c>
      <c r="U449" s="421" t="s">
        <v>1112</v>
      </c>
      <c r="V449" s="421" t="s">
        <v>3097</v>
      </c>
      <c r="W449" s="421" t="s">
        <v>3098</v>
      </c>
      <c r="X449" s="421" t="s">
        <v>3099</v>
      </c>
      <c r="Y449" s="421" t="s">
        <v>1117</v>
      </c>
      <c r="Z449" s="421" t="s">
        <v>1118</v>
      </c>
      <c r="AA449" s="421" t="s">
        <v>3100</v>
      </c>
      <c r="AB449" s="421" t="s">
        <v>3101</v>
      </c>
      <c r="AC449" s="421" t="s">
        <v>3102</v>
      </c>
      <c r="AD449" s="421" t="s">
        <v>3406</v>
      </c>
      <c r="AE449" s="421" t="s">
        <v>3407</v>
      </c>
      <c r="AF449" s="421" t="s">
        <v>2236</v>
      </c>
      <c r="AG449" s="421" t="s">
        <v>2237</v>
      </c>
      <c r="AH449" s="421" t="s">
        <v>3105</v>
      </c>
      <c r="AI449" s="421">
        <v>348900</v>
      </c>
      <c r="AJ449" s="421">
        <v>1095.33</v>
      </c>
      <c r="AK449" s="421">
        <v>1217.96</v>
      </c>
      <c r="AL449" s="421">
        <v>1</v>
      </c>
      <c r="AM449" s="421" t="s">
        <v>964</v>
      </c>
      <c r="AN449" s="421" t="s">
        <v>3425</v>
      </c>
      <c r="AO449" s="421" t="s">
        <v>1121</v>
      </c>
      <c r="AP449" s="421" t="s">
        <v>1121</v>
      </c>
      <c r="AQ449" s="421" t="s">
        <v>1542</v>
      </c>
      <c r="AR449" s="421" t="s">
        <v>3753</v>
      </c>
      <c r="AS449" s="421" t="s">
        <v>3778</v>
      </c>
      <c r="AT449" s="421" t="s">
        <v>3109</v>
      </c>
      <c r="AU449" s="421" t="s">
        <v>1142</v>
      </c>
      <c r="AV449" s="421" t="s">
        <v>3410</v>
      </c>
      <c r="AW449" s="421" t="s">
        <v>3110</v>
      </c>
      <c r="AX449" s="421" t="s">
        <v>3111</v>
      </c>
      <c r="AY449" s="421" t="s">
        <v>3112</v>
      </c>
      <c r="AZ449" s="421" t="s">
        <v>3113</v>
      </c>
      <c r="BA449" s="421" t="s">
        <v>3114</v>
      </c>
      <c r="BB449" s="421" t="s">
        <v>3115</v>
      </c>
      <c r="BC449" s="421">
        <v>17727.2</v>
      </c>
      <c r="BD449" s="421">
        <v>52188344.979999997</v>
      </c>
      <c r="BE449" s="421">
        <v>0</v>
      </c>
      <c r="BF449" s="421">
        <v>0</v>
      </c>
      <c r="BG449" s="421">
        <v>0</v>
      </c>
      <c r="BH449" s="421">
        <v>0</v>
      </c>
      <c r="BI449" s="421" t="s">
        <v>1278</v>
      </c>
    </row>
    <row r="450" spans="1:61" x14ac:dyDescent="0.25">
      <c r="A450" s="421">
        <v>447</v>
      </c>
      <c r="B450" s="421">
        <v>2015</v>
      </c>
      <c r="C450" s="421">
        <v>8</v>
      </c>
      <c r="D450" s="421">
        <v>12</v>
      </c>
      <c r="E450" s="421" t="s">
        <v>1475</v>
      </c>
      <c r="F450" s="421" t="s">
        <v>3557</v>
      </c>
      <c r="G450" s="421" t="s">
        <v>3284</v>
      </c>
      <c r="H450" s="421" t="s">
        <v>1107</v>
      </c>
      <c r="I450" s="421" t="s">
        <v>3768</v>
      </c>
      <c r="J450" s="421" t="s">
        <v>3777</v>
      </c>
      <c r="K450" s="421" t="s">
        <v>3093</v>
      </c>
      <c r="L450" s="421" t="s">
        <v>3094</v>
      </c>
      <c r="M450" s="421" t="s">
        <v>2667</v>
      </c>
      <c r="N450" s="421" t="s">
        <v>3093</v>
      </c>
      <c r="O450" s="421" t="s">
        <v>3094</v>
      </c>
      <c r="P450" s="421" t="s">
        <v>3095</v>
      </c>
      <c r="Q450" s="421" t="s">
        <v>3096</v>
      </c>
      <c r="R450" s="421" t="s">
        <v>1108</v>
      </c>
      <c r="S450" s="421" t="s">
        <v>1542</v>
      </c>
      <c r="T450" s="421" t="s">
        <v>1130</v>
      </c>
      <c r="U450" s="421" t="s">
        <v>1112</v>
      </c>
      <c r="V450" s="421" t="s">
        <v>3097</v>
      </c>
      <c r="W450" s="421" t="s">
        <v>3098</v>
      </c>
      <c r="X450" s="421" t="s">
        <v>3099</v>
      </c>
      <c r="Y450" s="421" t="s">
        <v>1117</v>
      </c>
      <c r="Z450" s="421" t="s">
        <v>1118</v>
      </c>
      <c r="AA450" s="421" t="s">
        <v>3100</v>
      </c>
      <c r="AB450" s="421" t="s">
        <v>3101</v>
      </c>
      <c r="AC450" s="421" t="s">
        <v>3102</v>
      </c>
      <c r="AD450" s="421" t="s">
        <v>3406</v>
      </c>
      <c r="AE450" s="421" t="s">
        <v>3407</v>
      </c>
      <c r="AF450" s="421" t="s">
        <v>2236</v>
      </c>
      <c r="AG450" s="421" t="s">
        <v>2237</v>
      </c>
      <c r="AH450" s="421" t="s">
        <v>3105</v>
      </c>
      <c r="AI450" s="421">
        <v>37440</v>
      </c>
      <c r="AJ450" s="421">
        <v>139.41</v>
      </c>
      <c r="AK450" s="421">
        <v>155.01</v>
      </c>
      <c r="AL450" s="421">
        <v>3</v>
      </c>
      <c r="AM450" s="421" t="s">
        <v>964</v>
      </c>
      <c r="AN450" s="421" t="s">
        <v>3425</v>
      </c>
      <c r="AO450" s="421" t="s">
        <v>1121</v>
      </c>
      <c r="AP450" s="421" t="s">
        <v>1121</v>
      </c>
      <c r="AQ450" s="421" t="s">
        <v>1542</v>
      </c>
      <c r="AR450" s="421" t="s">
        <v>3753</v>
      </c>
      <c r="AS450" s="421" t="s">
        <v>3778</v>
      </c>
      <c r="AT450" s="421" t="s">
        <v>3109</v>
      </c>
      <c r="AU450" s="421" t="s">
        <v>1142</v>
      </c>
      <c r="AV450" s="421" t="s">
        <v>3410</v>
      </c>
      <c r="AW450" s="421" t="s">
        <v>3110</v>
      </c>
      <c r="AX450" s="421" t="s">
        <v>3111</v>
      </c>
      <c r="AY450" s="421" t="s">
        <v>3112</v>
      </c>
      <c r="AZ450" s="421" t="s">
        <v>3113</v>
      </c>
      <c r="BA450" s="421" t="s">
        <v>3114</v>
      </c>
      <c r="BB450" s="421" t="s">
        <v>3115</v>
      </c>
      <c r="BC450" s="421">
        <v>4207.2</v>
      </c>
      <c r="BD450" s="421">
        <v>12385870.58</v>
      </c>
      <c r="BE450" s="421">
        <v>0</v>
      </c>
      <c r="BF450" s="421">
        <v>0</v>
      </c>
      <c r="BG450" s="421">
        <v>0</v>
      </c>
      <c r="BH450" s="421">
        <v>0</v>
      </c>
      <c r="BI450" s="421" t="s">
        <v>1278</v>
      </c>
    </row>
    <row r="451" spans="1:61" x14ac:dyDescent="0.25">
      <c r="A451" s="421">
        <v>448</v>
      </c>
      <c r="B451" s="421">
        <v>2015</v>
      </c>
      <c r="C451" s="421">
        <v>8</v>
      </c>
      <c r="D451" s="421">
        <v>12</v>
      </c>
      <c r="E451" s="421" t="s">
        <v>1475</v>
      </c>
      <c r="F451" s="421" t="s">
        <v>3557</v>
      </c>
      <c r="G451" s="421" t="s">
        <v>3284</v>
      </c>
      <c r="H451" s="421" t="s">
        <v>1107</v>
      </c>
      <c r="I451" s="421" t="s">
        <v>3768</v>
      </c>
      <c r="J451" s="421" t="s">
        <v>3779</v>
      </c>
      <c r="K451" s="421" t="s">
        <v>3093</v>
      </c>
      <c r="L451" s="421" t="s">
        <v>3094</v>
      </c>
      <c r="M451" s="421" t="s">
        <v>2667</v>
      </c>
      <c r="N451" s="421" t="s">
        <v>3093</v>
      </c>
      <c r="O451" s="421" t="s">
        <v>3094</v>
      </c>
      <c r="P451" s="421" t="s">
        <v>3095</v>
      </c>
      <c r="Q451" s="421" t="s">
        <v>3113</v>
      </c>
      <c r="R451" s="421" t="s">
        <v>1108</v>
      </c>
      <c r="S451" s="421" t="s">
        <v>1108</v>
      </c>
      <c r="T451" s="421" t="s">
        <v>1130</v>
      </c>
      <c r="U451" s="421" t="s">
        <v>1112</v>
      </c>
      <c r="V451" s="421" t="s">
        <v>3097</v>
      </c>
      <c r="W451" s="421" t="s">
        <v>3098</v>
      </c>
      <c r="X451" s="421" t="s">
        <v>3099</v>
      </c>
      <c r="Y451" s="421" t="s">
        <v>1117</v>
      </c>
      <c r="Z451" s="421" t="s">
        <v>1118</v>
      </c>
      <c r="AA451" s="421" t="s">
        <v>3100</v>
      </c>
      <c r="AB451" s="421" t="s">
        <v>3101</v>
      </c>
      <c r="AC451" s="421" t="s">
        <v>3102</v>
      </c>
      <c r="AD451" s="421" t="s">
        <v>3232</v>
      </c>
      <c r="AE451" s="421" t="s">
        <v>3233</v>
      </c>
      <c r="AF451" s="421" t="s">
        <v>2236</v>
      </c>
      <c r="AG451" s="421" t="s">
        <v>2237</v>
      </c>
      <c r="AH451" s="421" t="s">
        <v>3105</v>
      </c>
      <c r="AI451" s="421">
        <v>67000</v>
      </c>
      <c r="AJ451" s="421">
        <v>207.21</v>
      </c>
      <c r="AK451" s="421">
        <v>224.66</v>
      </c>
      <c r="AL451" s="421">
        <v>3</v>
      </c>
      <c r="AM451" s="421" t="s">
        <v>3234</v>
      </c>
      <c r="AN451" s="421" t="s">
        <v>3235</v>
      </c>
      <c r="AO451" s="421" t="s">
        <v>1121</v>
      </c>
      <c r="AP451" s="421" t="s">
        <v>1121</v>
      </c>
      <c r="AQ451" s="421" t="s">
        <v>1108</v>
      </c>
      <c r="AR451" s="421" t="s">
        <v>3753</v>
      </c>
      <c r="AS451" s="421" t="s">
        <v>3780</v>
      </c>
      <c r="AT451" s="421" t="s">
        <v>3109</v>
      </c>
      <c r="AU451" s="421" t="s">
        <v>1142</v>
      </c>
      <c r="AV451" s="421" t="s">
        <v>2037</v>
      </c>
      <c r="AW451" s="421" t="s">
        <v>3110</v>
      </c>
      <c r="AX451" s="421" t="s">
        <v>3111</v>
      </c>
      <c r="AY451" s="421" t="s">
        <v>3112</v>
      </c>
      <c r="AZ451" s="421" t="s">
        <v>3113</v>
      </c>
      <c r="BA451" s="421" t="s">
        <v>3114</v>
      </c>
      <c r="BB451" s="421" t="s">
        <v>3115</v>
      </c>
      <c r="BC451" s="421">
        <v>5121</v>
      </c>
      <c r="BD451" s="421">
        <v>15076070.369999999</v>
      </c>
      <c r="BE451" s="421">
        <v>0</v>
      </c>
      <c r="BF451" s="421">
        <v>100.03</v>
      </c>
      <c r="BG451" s="421">
        <v>13.05</v>
      </c>
      <c r="BH451" s="421">
        <v>0</v>
      </c>
      <c r="BI451" s="421" t="s">
        <v>1167</v>
      </c>
    </row>
    <row r="452" spans="1:61" x14ac:dyDescent="0.25">
      <c r="A452" s="421">
        <v>449</v>
      </c>
      <c r="B452" s="421">
        <v>2015</v>
      </c>
      <c r="C452" s="421">
        <v>8</v>
      </c>
      <c r="D452" s="421">
        <v>12</v>
      </c>
      <c r="E452" s="421" t="s">
        <v>1475</v>
      </c>
      <c r="F452" s="421" t="s">
        <v>3557</v>
      </c>
      <c r="G452" s="421" t="s">
        <v>3284</v>
      </c>
      <c r="H452" s="421" t="s">
        <v>1107</v>
      </c>
      <c r="I452" s="421" t="s">
        <v>3768</v>
      </c>
      <c r="J452" s="421" t="s">
        <v>3779</v>
      </c>
      <c r="K452" s="421" t="s">
        <v>3093</v>
      </c>
      <c r="L452" s="421" t="s">
        <v>3094</v>
      </c>
      <c r="M452" s="421" t="s">
        <v>2667</v>
      </c>
      <c r="N452" s="421" t="s">
        <v>3093</v>
      </c>
      <c r="O452" s="421" t="s">
        <v>3094</v>
      </c>
      <c r="P452" s="421" t="s">
        <v>3095</v>
      </c>
      <c r="Q452" s="421" t="s">
        <v>3113</v>
      </c>
      <c r="R452" s="421" t="s">
        <v>1108</v>
      </c>
      <c r="S452" s="421" t="s">
        <v>1108</v>
      </c>
      <c r="T452" s="421" t="s">
        <v>1130</v>
      </c>
      <c r="U452" s="421" t="s">
        <v>1112</v>
      </c>
      <c r="V452" s="421" t="s">
        <v>3097</v>
      </c>
      <c r="W452" s="421" t="s">
        <v>3098</v>
      </c>
      <c r="X452" s="421" t="s">
        <v>3099</v>
      </c>
      <c r="Y452" s="421" t="s">
        <v>1117</v>
      </c>
      <c r="Z452" s="421" t="s">
        <v>1118</v>
      </c>
      <c r="AA452" s="421" t="s">
        <v>3100</v>
      </c>
      <c r="AB452" s="421" t="s">
        <v>3101</v>
      </c>
      <c r="AC452" s="421" t="s">
        <v>3102</v>
      </c>
      <c r="AD452" s="421" t="s">
        <v>3232</v>
      </c>
      <c r="AE452" s="421" t="s">
        <v>3233</v>
      </c>
      <c r="AF452" s="421" t="s">
        <v>2236</v>
      </c>
      <c r="AG452" s="421" t="s">
        <v>2237</v>
      </c>
      <c r="AH452" s="421" t="s">
        <v>3105</v>
      </c>
      <c r="AI452" s="421">
        <v>755250</v>
      </c>
      <c r="AJ452" s="421">
        <v>2214.67</v>
      </c>
      <c r="AK452" s="421">
        <v>2401.25</v>
      </c>
      <c r="AL452" s="421">
        <v>1</v>
      </c>
      <c r="AM452" s="421" t="s">
        <v>3234</v>
      </c>
      <c r="AN452" s="421" t="s">
        <v>3235</v>
      </c>
      <c r="AO452" s="421" t="s">
        <v>1121</v>
      </c>
      <c r="AP452" s="421" t="s">
        <v>1121</v>
      </c>
      <c r="AQ452" s="421" t="s">
        <v>1108</v>
      </c>
      <c r="AR452" s="421" t="s">
        <v>3753</v>
      </c>
      <c r="AS452" s="421" t="s">
        <v>3780</v>
      </c>
      <c r="AT452" s="421" t="s">
        <v>3109</v>
      </c>
      <c r="AU452" s="421" t="s">
        <v>1142</v>
      </c>
      <c r="AV452" s="421" t="s">
        <v>2037</v>
      </c>
      <c r="AW452" s="421" t="s">
        <v>3110</v>
      </c>
      <c r="AX452" s="421" t="s">
        <v>3111</v>
      </c>
      <c r="AY452" s="421" t="s">
        <v>3112</v>
      </c>
      <c r="AZ452" s="421" t="s">
        <v>3113</v>
      </c>
      <c r="BA452" s="421" t="s">
        <v>3114</v>
      </c>
      <c r="BB452" s="421" t="s">
        <v>3115</v>
      </c>
      <c r="BC452" s="421">
        <v>32787</v>
      </c>
      <c r="BD452" s="421">
        <v>96523944.390000001</v>
      </c>
      <c r="BE452" s="421">
        <v>0</v>
      </c>
      <c r="BF452" s="421">
        <v>640.45000000000005</v>
      </c>
      <c r="BG452" s="421">
        <v>83.57</v>
      </c>
      <c r="BH452" s="421">
        <v>0</v>
      </c>
      <c r="BI452" s="421" t="s">
        <v>1167</v>
      </c>
    </row>
    <row r="453" spans="1:61" x14ac:dyDescent="0.25">
      <c r="A453" s="421">
        <v>450</v>
      </c>
      <c r="B453" s="421">
        <v>2015</v>
      </c>
      <c r="C453" s="421">
        <v>8</v>
      </c>
      <c r="D453" s="421">
        <v>12</v>
      </c>
      <c r="E453" s="421" t="s">
        <v>1475</v>
      </c>
      <c r="F453" s="421" t="s">
        <v>3557</v>
      </c>
      <c r="G453" s="421" t="s">
        <v>3284</v>
      </c>
      <c r="H453" s="421" t="s">
        <v>1107</v>
      </c>
      <c r="I453" s="421" t="s">
        <v>3768</v>
      </c>
      <c r="J453" s="421" t="s">
        <v>3779</v>
      </c>
      <c r="K453" s="421" t="s">
        <v>3093</v>
      </c>
      <c r="L453" s="421" t="s">
        <v>3094</v>
      </c>
      <c r="M453" s="421" t="s">
        <v>2667</v>
      </c>
      <c r="N453" s="421" t="s">
        <v>3093</v>
      </c>
      <c r="O453" s="421" t="s">
        <v>3094</v>
      </c>
      <c r="P453" s="421" t="s">
        <v>3095</v>
      </c>
      <c r="Q453" s="421" t="s">
        <v>3113</v>
      </c>
      <c r="R453" s="421" t="s">
        <v>1108</v>
      </c>
      <c r="S453" s="421" t="s">
        <v>1108</v>
      </c>
      <c r="T453" s="421" t="s">
        <v>1130</v>
      </c>
      <c r="U453" s="421" t="s">
        <v>1112</v>
      </c>
      <c r="V453" s="421" t="s">
        <v>3097</v>
      </c>
      <c r="W453" s="421" t="s">
        <v>3098</v>
      </c>
      <c r="X453" s="421" t="s">
        <v>3099</v>
      </c>
      <c r="Y453" s="421" t="s">
        <v>1117</v>
      </c>
      <c r="Z453" s="421" t="s">
        <v>1118</v>
      </c>
      <c r="AA453" s="421" t="s">
        <v>3100</v>
      </c>
      <c r="AB453" s="421" t="s">
        <v>3101</v>
      </c>
      <c r="AC453" s="421" t="s">
        <v>3102</v>
      </c>
      <c r="AD453" s="421" t="s">
        <v>3232</v>
      </c>
      <c r="AE453" s="421" t="s">
        <v>3233</v>
      </c>
      <c r="AF453" s="421" t="s">
        <v>2236</v>
      </c>
      <c r="AG453" s="421" t="s">
        <v>2237</v>
      </c>
      <c r="AH453" s="421" t="s">
        <v>3105</v>
      </c>
      <c r="AI453" s="421">
        <v>1391750</v>
      </c>
      <c r="AJ453" s="421">
        <v>4040.81</v>
      </c>
      <c r="AK453" s="421">
        <v>4381.24</v>
      </c>
      <c r="AL453" s="421">
        <v>2</v>
      </c>
      <c r="AM453" s="421" t="s">
        <v>3234</v>
      </c>
      <c r="AN453" s="421" t="s">
        <v>3235</v>
      </c>
      <c r="AO453" s="421" t="s">
        <v>1121</v>
      </c>
      <c r="AP453" s="421" t="s">
        <v>1121</v>
      </c>
      <c r="AQ453" s="421" t="s">
        <v>1108</v>
      </c>
      <c r="AR453" s="421" t="s">
        <v>3753</v>
      </c>
      <c r="AS453" s="421" t="s">
        <v>3780</v>
      </c>
      <c r="AT453" s="421" t="s">
        <v>3109</v>
      </c>
      <c r="AU453" s="421" t="s">
        <v>1142</v>
      </c>
      <c r="AV453" s="421" t="s">
        <v>2037</v>
      </c>
      <c r="AW453" s="421" t="s">
        <v>3110</v>
      </c>
      <c r="AX453" s="421" t="s">
        <v>3111</v>
      </c>
      <c r="AY453" s="421" t="s">
        <v>3112</v>
      </c>
      <c r="AZ453" s="421" t="s">
        <v>3113</v>
      </c>
      <c r="BA453" s="421" t="s">
        <v>3114</v>
      </c>
      <c r="BB453" s="421" t="s">
        <v>3115</v>
      </c>
      <c r="BC453" s="421">
        <v>53718.5</v>
      </c>
      <c r="BD453" s="421">
        <v>158145652.44</v>
      </c>
      <c r="BE453" s="421">
        <v>0</v>
      </c>
      <c r="BF453" s="421">
        <v>1049.32</v>
      </c>
      <c r="BG453" s="421">
        <v>136.91999999999999</v>
      </c>
      <c r="BH453" s="421">
        <v>0</v>
      </c>
      <c r="BI453" s="421" t="s">
        <v>1167</v>
      </c>
    </row>
    <row r="454" spans="1:61" x14ac:dyDescent="0.25">
      <c r="A454" s="421">
        <v>451</v>
      </c>
      <c r="B454" s="421">
        <v>2015</v>
      </c>
      <c r="C454" s="421">
        <v>8</v>
      </c>
      <c r="D454" s="421">
        <v>12</v>
      </c>
      <c r="E454" s="421" t="s">
        <v>1475</v>
      </c>
      <c r="F454" s="421" t="s">
        <v>3557</v>
      </c>
      <c r="G454" s="421" t="s">
        <v>3284</v>
      </c>
      <c r="H454" s="421" t="s">
        <v>1107</v>
      </c>
      <c r="I454" s="421" t="s">
        <v>3768</v>
      </c>
      <c r="J454" s="421" t="s">
        <v>3779</v>
      </c>
      <c r="K454" s="421" t="s">
        <v>3093</v>
      </c>
      <c r="L454" s="421" t="s">
        <v>3094</v>
      </c>
      <c r="M454" s="421" t="s">
        <v>2667</v>
      </c>
      <c r="N454" s="421" t="s">
        <v>3093</v>
      </c>
      <c r="O454" s="421" t="s">
        <v>3094</v>
      </c>
      <c r="P454" s="421" t="s">
        <v>3095</v>
      </c>
      <c r="Q454" s="421" t="s">
        <v>3113</v>
      </c>
      <c r="R454" s="421" t="s">
        <v>1108</v>
      </c>
      <c r="S454" s="421" t="s">
        <v>1108</v>
      </c>
      <c r="T454" s="421" t="s">
        <v>1130</v>
      </c>
      <c r="U454" s="421" t="s">
        <v>1112</v>
      </c>
      <c r="V454" s="421" t="s">
        <v>3097</v>
      </c>
      <c r="W454" s="421" t="s">
        <v>3098</v>
      </c>
      <c r="X454" s="421" t="s">
        <v>3099</v>
      </c>
      <c r="Y454" s="421" t="s">
        <v>1117</v>
      </c>
      <c r="Z454" s="421" t="s">
        <v>1118</v>
      </c>
      <c r="AA454" s="421" t="s">
        <v>3100</v>
      </c>
      <c r="AB454" s="421" t="s">
        <v>3101</v>
      </c>
      <c r="AC454" s="421" t="s">
        <v>3102</v>
      </c>
      <c r="AD454" s="421" t="s">
        <v>3232</v>
      </c>
      <c r="AE454" s="421" t="s">
        <v>3233</v>
      </c>
      <c r="AF454" s="421" t="s">
        <v>2236</v>
      </c>
      <c r="AG454" s="421" t="s">
        <v>2237</v>
      </c>
      <c r="AH454" s="421" t="s">
        <v>3105</v>
      </c>
      <c r="AI454" s="421">
        <v>6000</v>
      </c>
      <c r="AJ454" s="421">
        <v>23.34</v>
      </c>
      <c r="AK454" s="421">
        <v>25.3</v>
      </c>
      <c r="AL454" s="421">
        <v>4</v>
      </c>
      <c r="AM454" s="421" t="s">
        <v>3234</v>
      </c>
      <c r="AN454" s="421" t="s">
        <v>3235</v>
      </c>
      <c r="AO454" s="421" t="s">
        <v>1121</v>
      </c>
      <c r="AP454" s="421" t="s">
        <v>1121</v>
      </c>
      <c r="AQ454" s="421" t="s">
        <v>1108</v>
      </c>
      <c r="AR454" s="421" t="s">
        <v>3753</v>
      </c>
      <c r="AS454" s="421" t="s">
        <v>3780</v>
      </c>
      <c r="AT454" s="421" t="s">
        <v>3109</v>
      </c>
      <c r="AU454" s="421" t="s">
        <v>1142</v>
      </c>
      <c r="AV454" s="421" t="s">
        <v>2037</v>
      </c>
      <c r="AW454" s="421" t="s">
        <v>3110</v>
      </c>
      <c r="AX454" s="421" t="s">
        <v>3111</v>
      </c>
      <c r="AY454" s="421" t="s">
        <v>3112</v>
      </c>
      <c r="AZ454" s="421" t="s">
        <v>3113</v>
      </c>
      <c r="BA454" s="421" t="s">
        <v>3114</v>
      </c>
      <c r="BB454" s="421" t="s">
        <v>3115</v>
      </c>
      <c r="BC454" s="421">
        <v>522</v>
      </c>
      <c r="BD454" s="421">
        <v>1536752.34</v>
      </c>
      <c r="BE454" s="421">
        <v>0</v>
      </c>
      <c r="BF454" s="421">
        <v>10.199999999999999</v>
      </c>
      <c r="BG454" s="421">
        <v>1.33</v>
      </c>
      <c r="BH454" s="421">
        <v>0</v>
      </c>
      <c r="BI454" s="421" t="s">
        <v>1167</v>
      </c>
    </row>
    <row r="455" spans="1:61" x14ac:dyDescent="0.25">
      <c r="A455" s="421">
        <v>452</v>
      </c>
      <c r="B455" s="421">
        <v>2015</v>
      </c>
      <c r="C455" s="421">
        <v>8</v>
      </c>
      <c r="D455" s="421">
        <v>12</v>
      </c>
      <c r="E455" s="421" t="s">
        <v>1475</v>
      </c>
      <c r="F455" s="421" t="s">
        <v>3557</v>
      </c>
      <c r="G455" s="421" t="s">
        <v>3284</v>
      </c>
      <c r="H455" s="421" t="s">
        <v>1107</v>
      </c>
      <c r="I455" s="421" t="s">
        <v>3768</v>
      </c>
      <c r="J455" s="421" t="s">
        <v>3781</v>
      </c>
      <c r="K455" s="421" t="s">
        <v>3093</v>
      </c>
      <c r="L455" s="421" t="s">
        <v>3094</v>
      </c>
      <c r="M455" s="421" t="s">
        <v>2667</v>
      </c>
      <c r="N455" s="421" t="s">
        <v>3093</v>
      </c>
      <c r="O455" s="421" t="s">
        <v>3094</v>
      </c>
      <c r="P455" s="421" t="s">
        <v>3095</v>
      </c>
      <c r="Q455" s="421" t="s">
        <v>3096</v>
      </c>
      <c r="R455" s="421" t="s">
        <v>1108</v>
      </c>
      <c r="S455" s="421" t="s">
        <v>1542</v>
      </c>
      <c r="T455" s="421" t="s">
        <v>1130</v>
      </c>
      <c r="U455" s="421" t="s">
        <v>1112</v>
      </c>
      <c r="V455" s="421" t="s">
        <v>3097</v>
      </c>
      <c r="W455" s="421" t="s">
        <v>3098</v>
      </c>
      <c r="X455" s="421" t="s">
        <v>3099</v>
      </c>
      <c r="Y455" s="421" t="s">
        <v>1117</v>
      </c>
      <c r="Z455" s="421" t="s">
        <v>1118</v>
      </c>
      <c r="AA455" s="421" t="s">
        <v>3100</v>
      </c>
      <c r="AB455" s="421" t="s">
        <v>3101</v>
      </c>
      <c r="AC455" s="421" t="s">
        <v>3102</v>
      </c>
      <c r="AD455" s="421" t="s">
        <v>3782</v>
      </c>
      <c r="AE455" s="421" t="s">
        <v>3783</v>
      </c>
      <c r="AF455" s="421" t="s">
        <v>2236</v>
      </c>
      <c r="AG455" s="421" t="s">
        <v>2237</v>
      </c>
      <c r="AH455" s="421" t="s">
        <v>3105</v>
      </c>
      <c r="AI455" s="421">
        <v>603900</v>
      </c>
      <c r="AJ455" s="421">
        <v>1625.46</v>
      </c>
      <c r="AK455" s="421">
        <v>1750.16</v>
      </c>
      <c r="AL455" s="421">
        <v>1</v>
      </c>
      <c r="AM455" s="421" t="s">
        <v>3784</v>
      </c>
      <c r="AN455" s="421" t="s">
        <v>3785</v>
      </c>
      <c r="AO455" s="421" t="s">
        <v>1121</v>
      </c>
      <c r="AP455" s="421" t="s">
        <v>1121</v>
      </c>
      <c r="AQ455" s="421" t="s">
        <v>1542</v>
      </c>
      <c r="AR455" s="421" t="s">
        <v>3753</v>
      </c>
      <c r="AS455" s="421" t="s">
        <v>3786</v>
      </c>
      <c r="AT455" s="421" t="s">
        <v>3109</v>
      </c>
      <c r="AU455" s="421" t="s">
        <v>1142</v>
      </c>
      <c r="AV455" s="421" t="s">
        <v>2135</v>
      </c>
      <c r="AW455" s="421" t="s">
        <v>3110</v>
      </c>
      <c r="AX455" s="421" t="s">
        <v>3111</v>
      </c>
      <c r="AY455" s="421" t="s">
        <v>3112</v>
      </c>
      <c r="AZ455" s="421" t="s">
        <v>3113</v>
      </c>
      <c r="BA455" s="421" t="s">
        <v>3114</v>
      </c>
      <c r="BB455" s="421" t="s">
        <v>3115</v>
      </c>
      <c r="BC455" s="421">
        <v>26451.75</v>
      </c>
      <c r="BD455" s="421">
        <v>77873158.439999998</v>
      </c>
      <c r="BE455" s="421">
        <v>0</v>
      </c>
      <c r="BF455" s="421">
        <v>0</v>
      </c>
      <c r="BG455" s="421">
        <v>0</v>
      </c>
      <c r="BH455" s="421">
        <v>0</v>
      </c>
      <c r="BI455" s="421" t="s">
        <v>1167</v>
      </c>
    </row>
    <row r="456" spans="1:61" x14ac:dyDescent="0.25">
      <c r="A456" s="421">
        <v>453</v>
      </c>
      <c r="B456" s="421">
        <v>2015</v>
      </c>
      <c r="C456" s="421">
        <v>8</v>
      </c>
      <c r="D456" s="421">
        <v>12</v>
      </c>
      <c r="E456" s="421" t="s">
        <v>1475</v>
      </c>
      <c r="F456" s="421" t="s">
        <v>3557</v>
      </c>
      <c r="G456" s="421" t="s">
        <v>3284</v>
      </c>
      <c r="H456" s="421" t="s">
        <v>1107</v>
      </c>
      <c r="I456" s="421" t="s">
        <v>3768</v>
      </c>
      <c r="J456" s="421" t="s">
        <v>3781</v>
      </c>
      <c r="K456" s="421" t="s">
        <v>3093</v>
      </c>
      <c r="L456" s="421" t="s">
        <v>3094</v>
      </c>
      <c r="M456" s="421" t="s">
        <v>2667</v>
      </c>
      <c r="N456" s="421" t="s">
        <v>3093</v>
      </c>
      <c r="O456" s="421" t="s">
        <v>3094</v>
      </c>
      <c r="P456" s="421" t="s">
        <v>3095</v>
      </c>
      <c r="Q456" s="421" t="s">
        <v>3096</v>
      </c>
      <c r="R456" s="421" t="s">
        <v>1108</v>
      </c>
      <c r="S456" s="421" t="s">
        <v>1542</v>
      </c>
      <c r="T456" s="421" t="s">
        <v>1130</v>
      </c>
      <c r="U456" s="421" t="s">
        <v>1112</v>
      </c>
      <c r="V456" s="421" t="s">
        <v>3097</v>
      </c>
      <c r="W456" s="421" t="s">
        <v>3098</v>
      </c>
      <c r="X456" s="421" t="s">
        <v>3099</v>
      </c>
      <c r="Y456" s="421" t="s">
        <v>1117</v>
      </c>
      <c r="Z456" s="421" t="s">
        <v>1118</v>
      </c>
      <c r="AA456" s="421" t="s">
        <v>3100</v>
      </c>
      <c r="AB456" s="421" t="s">
        <v>3101</v>
      </c>
      <c r="AC456" s="421" t="s">
        <v>3102</v>
      </c>
      <c r="AD456" s="421" t="s">
        <v>3782</v>
      </c>
      <c r="AE456" s="421" t="s">
        <v>3783</v>
      </c>
      <c r="AF456" s="421" t="s">
        <v>2236</v>
      </c>
      <c r="AG456" s="421" t="s">
        <v>2237</v>
      </c>
      <c r="AH456" s="421" t="s">
        <v>3105</v>
      </c>
      <c r="AI456" s="421">
        <v>83900</v>
      </c>
      <c r="AJ456" s="421">
        <v>424.31</v>
      </c>
      <c r="AK456" s="421">
        <v>456.86</v>
      </c>
      <c r="AL456" s="421">
        <v>3</v>
      </c>
      <c r="AM456" s="421" t="s">
        <v>3784</v>
      </c>
      <c r="AN456" s="421" t="s">
        <v>3785</v>
      </c>
      <c r="AO456" s="421" t="s">
        <v>1121</v>
      </c>
      <c r="AP456" s="421" t="s">
        <v>1121</v>
      </c>
      <c r="AQ456" s="421" t="s">
        <v>1542</v>
      </c>
      <c r="AR456" s="421" t="s">
        <v>3753</v>
      </c>
      <c r="AS456" s="421" t="s">
        <v>3786</v>
      </c>
      <c r="AT456" s="421" t="s">
        <v>3109</v>
      </c>
      <c r="AU456" s="421" t="s">
        <v>1142</v>
      </c>
      <c r="AV456" s="421" t="s">
        <v>2135</v>
      </c>
      <c r="AW456" s="421" t="s">
        <v>3110</v>
      </c>
      <c r="AX456" s="421" t="s">
        <v>3111</v>
      </c>
      <c r="AY456" s="421" t="s">
        <v>3112</v>
      </c>
      <c r="AZ456" s="421" t="s">
        <v>3113</v>
      </c>
      <c r="BA456" s="421" t="s">
        <v>3114</v>
      </c>
      <c r="BB456" s="421" t="s">
        <v>3115</v>
      </c>
      <c r="BC456" s="421">
        <v>13255</v>
      </c>
      <c r="BD456" s="421">
        <v>39022322.350000001</v>
      </c>
      <c r="BE456" s="421">
        <v>0</v>
      </c>
      <c r="BF456" s="421">
        <v>0</v>
      </c>
      <c r="BG456" s="421">
        <v>0</v>
      </c>
      <c r="BH456" s="421">
        <v>0</v>
      </c>
      <c r="BI456" s="421" t="s">
        <v>1167</v>
      </c>
    </row>
    <row r="457" spans="1:61" x14ac:dyDescent="0.25">
      <c r="A457" s="421">
        <v>454</v>
      </c>
      <c r="B457" s="421">
        <v>2015</v>
      </c>
      <c r="C457" s="421">
        <v>8</v>
      </c>
      <c r="D457" s="421">
        <v>12</v>
      </c>
      <c r="E457" s="421" t="s">
        <v>1475</v>
      </c>
      <c r="F457" s="421" t="s">
        <v>3557</v>
      </c>
      <c r="G457" s="421" t="s">
        <v>3284</v>
      </c>
      <c r="H457" s="421" t="s">
        <v>1107</v>
      </c>
      <c r="I457" s="421" t="s">
        <v>3768</v>
      </c>
      <c r="J457" s="421" t="s">
        <v>3781</v>
      </c>
      <c r="K457" s="421" t="s">
        <v>3093</v>
      </c>
      <c r="L457" s="421" t="s">
        <v>3094</v>
      </c>
      <c r="M457" s="421" t="s">
        <v>2667</v>
      </c>
      <c r="N457" s="421" t="s">
        <v>3093</v>
      </c>
      <c r="O457" s="421" t="s">
        <v>3094</v>
      </c>
      <c r="P457" s="421" t="s">
        <v>3095</v>
      </c>
      <c r="Q457" s="421" t="s">
        <v>3096</v>
      </c>
      <c r="R457" s="421" t="s">
        <v>1108</v>
      </c>
      <c r="S457" s="421" t="s">
        <v>1542</v>
      </c>
      <c r="T457" s="421" t="s">
        <v>1130</v>
      </c>
      <c r="U457" s="421" t="s">
        <v>1112</v>
      </c>
      <c r="V457" s="421" t="s">
        <v>3097</v>
      </c>
      <c r="W457" s="421" t="s">
        <v>3098</v>
      </c>
      <c r="X457" s="421" t="s">
        <v>3099</v>
      </c>
      <c r="Y457" s="421" t="s">
        <v>1117</v>
      </c>
      <c r="Z457" s="421" t="s">
        <v>1118</v>
      </c>
      <c r="AA457" s="421" t="s">
        <v>3100</v>
      </c>
      <c r="AB457" s="421" t="s">
        <v>3101</v>
      </c>
      <c r="AC457" s="421" t="s">
        <v>3102</v>
      </c>
      <c r="AD457" s="421" t="s">
        <v>3782</v>
      </c>
      <c r="AE457" s="421" t="s">
        <v>3783</v>
      </c>
      <c r="AF457" s="421" t="s">
        <v>2236</v>
      </c>
      <c r="AG457" s="421" t="s">
        <v>2237</v>
      </c>
      <c r="AH457" s="421" t="s">
        <v>3105</v>
      </c>
      <c r="AI457" s="421">
        <v>54800</v>
      </c>
      <c r="AJ457" s="421">
        <v>168.59</v>
      </c>
      <c r="AK457" s="421">
        <v>181.52</v>
      </c>
      <c r="AL457" s="421">
        <v>2</v>
      </c>
      <c r="AM457" s="421" t="s">
        <v>3784</v>
      </c>
      <c r="AN457" s="421" t="s">
        <v>3785</v>
      </c>
      <c r="AO457" s="421" t="s">
        <v>1121</v>
      </c>
      <c r="AP457" s="421" t="s">
        <v>1121</v>
      </c>
      <c r="AQ457" s="421" t="s">
        <v>1542</v>
      </c>
      <c r="AR457" s="421" t="s">
        <v>3753</v>
      </c>
      <c r="AS457" s="421" t="s">
        <v>3786</v>
      </c>
      <c r="AT457" s="421" t="s">
        <v>3109</v>
      </c>
      <c r="AU457" s="421" t="s">
        <v>1142</v>
      </c>
      <c r="AV457" s="421" t="s">
        <v>2135</v>
      </c>
      <c r="AW457" s="421" t="s">
        <v>3110</v>
      </c>
      <c r="AX457" s="421" t="s">
        <v>3111</v>
      </c>
      <c r="AY457" s="421" t="s">
        <v>3112</v>
      </c>
      <c r="AZ457" s="421" t="s">
        <v>3113</v>
      </c>
      <c r="BA457" s="421" t="s">
        <v>3114</v>
      </c>
      <c r="BB457" s="421" t="s">
        <v>3115</v>
      </c>
      <c r="BC457" s="421">
        <v>2995</v>
      </c>
      <c r="BD457" s="421">
        <v>8817190.1500000004</v>
      </c>
      <c r="BE457" s="421">
        <v>0</v>
      </c>
      <c r="BF457" s="421">
        <v>0</v>
      </c>
      <c r="BG457" s="421">
        <v>0</v>
      </c>
      <c r="BH457" s="421">
        <v>0</v>
      </c>
      <c r="BI457" s="421" t="s">
        <v>1167</v>
      </c>
    </row>
    <row r="458" spans="1:61" x14ac:dyDescent="0.25">
      <c r="A458" s="421">
        <v>455</v>
      </c>
      <c r="B458" s="421">
        <v>2015</v>
      </c>
      <c r="C458" s="421">
        <v>8</v>
      </c>
      <c r="D458" s="421">
        <v>12</v>
      </c>
      <c r="E458" s="421" t="s">
        <v>1475</v>
      </c>
      <c r="F458" s="421" t="s">
        <v>3557</v>
      </c>
      <c r="G458" s="421" t="s">
        <v>3284</v>
      </c>
      <c r="H458" s="421" t="s">
        <v>1107</v>
      </c>
      <c r="I458" s="421" t="s">
        <v>3768</v>
      </c>
      <c r="J458" s="421" t="s">
        <v>3787</v>
      </c>
      <c r="K458" s="421" t="s">
        <v>3093</v>
      </c>
      <c r="L458" s="421" t="s">
        <v>3094</v>
      </c>
      <c r="M458" s="421" t="s">
        <v>2667</v>
      </c>
      <c r="N458" s="421" t="s">
        <v>3093</v>
      </c>
      <c r="O458" s="421" t="s">
        <v>3094</v>
      </c>
      <c r="P458" s="421" t="s">
        <v>3095</v>
      </c>
      <c r="Q458" s="421" t="s">
        <v>3113</v>
      </c>
      <c r="R458" s="421" t="s">
        <v>1108</v>
      </c>
      <c r="S458" s="421" t="s">
        <v>1108</v>
      </c>
      <c r="T458" s="421" t="s">
        <v>1130</v>
      </c>
      <c r="U458" s="421" t="s">
        <v>1112</v>
      </c>
      <c r="V458" s="421" t="s">
        <v>3097</v>
      </c>
      <c r="W458" s="421" t="s">
        <v>3098</v>
      </c>
      <c r="X458" s="421" t="s">
        <v>3099</v>
      </c>
      <c r="Y458" s="421" t="s">
        <v>1117</v>
      </c>
      <c r="Z458" s="421" t="s">
        <v>1118</v>
      </c>
      <c r="AA458" s="421" t="s">
        <v>3100</v>
      </c>
      <c r="AB458" s="421" t="s">
        <v>3101</v>
      </c>
      <c r="AC458" s="421" t="s">
        <v>3102</v>
      </c>
      <c r="AD458" s="421" t="s">
        <v>3183</v>
      </c>
      <c r="AE458" s="421" t="s">
        <v>3184</v>
      </c>
      <c r="AF458" s="421" t="s">
        <v>2236</v>
      </c>
      <c r="AG458" s="421" t="s">
        <v>2237</v>
      </c>
      <c r="AH458" s="421" t="s">
        <v>3105</v>
      </c>
      <c r="AI458" s="421">
        <v>2898500</v>
      </c>
      <c r="AJ458" s="421">
        <v>6099</v>
      </c>
      <c r="AK458" s="421">
        <v>6645.84</v>
      </c>
      <c r="AL458" s="421">
        <v>1</v>
      </c>
      <c r="AM458" s="421" t="s">
        <v>963</v>
      </c>
      <c r="AN458" s="421" t="s">
        <v>3185</v>
      </c>
      <c r="AO458" s="421" t="s">
        <v>1121</v>
      </c>
      <c r="AP458" s="421" t="s">
        <v>1121</v>
      </c>
      <c r="AQ458" s="421" t="s">
        <v>1108</v>
      </c>
      <c r="AR458" s="421" t="s">
        <v>3753</v>
      </c>
      <c r="AS458" s="421" t="s">
        <v>3788</v>
      </c>
      <c r="AT458" s="421" t="s">
        <v>3109</v>
      </c>
      <c r="AU458" s="421" t="s">
        <v>1142</v>
      </c>
      <c r="AV458" s="421" t="s">
        <v>2520</v>
      </c>
      <c r="AW458" s="421" t="s">
        <v>3110</v>
      </c>
      <c r="AX458" s="421" t="s">
        <v>3111</v>
      </c>
      <c r="AY458" s="421" t="s">
        <v>3112</v>
      </c>
      <c r="AZ458" s="421" t="s">
        <v>3113</v>
      </c>
      <c r="BA458" s="421" t="s">
        <v>3114</v>
      </c>
      <c r="BB458" s="421" t="s">
        <v>3115</v>
      </c>
      <c r="BC458" s="421">
        <v>96758.7</v>
      </c>
      <c r="BD458" s="421">
        <v>284854710.02999997</v>
      </c>
      <c r="BE458" s="421">
        <v>0</v>
      </c>
      <c r="BF458" s="421">
        <v>900</v>
      </c>
      <c r="BG458" s="421">
        <v>244.15</v>
      </c>
      <c r="BH458" s="421">
        <v>0</v>
      </c>
      <c r="BI458" s="421" t="s">
        <v>1167</v>
      </c>
    </row>
    <row r="459" spans="1:61" x14ac:dyDescent="0.25">
      <c r="A459" s="421">
        <v>456</v>
      </c>
      <c r="B459" s="421">
        <v>2015</v>
      </c>
      <c r="C459" s="421">
        <v>8</v>
      </c>
      <c r="D459" s="421">
        <v>12</v>
      </c>
      <c r="E459" s="421" t="s">
        <v>1475</v>
      </c>
      <c r="F459" s="421" t="s">
        <v>3557</v>
      </c>
      <c r="G459" s="421" t="s">
        <v>3284</v>
      </c>
      <c r="H459" s="421" t="s">
        <v>1107</v>
      </c>
      <c r="I459" s="421" t="s">
        <v>3768</v>
      </c>
      <c r="J459" s="421" t="s">
        <v>3789</v>
      </c>
      <c r="K459" s="421" t="s">
        <v>3093</v>
      </c>
      <c r="L459" s="421" t="s">
        <v>3094</v>
      </c>
      <c r="M459" s="421" t="s">
        <v>2667</v>
      </c>
      <c r="N459" s="421" t="s">
        <v>3093</v>
      </c>
      <c r="O459" s="421" t="s">
        <v>3094</v>
      </c>
      <c r="P459" s="421" t="s">
        <v>3095</v>
      </c>
      <c r="Q459" s="421" t="s">
        <v>3113</v>
      </c>
      <c r="R459" s="421" t="s">
        <v>1108</v>
      </c>
      <c r="S459" s="421" t="s">
        <v>1108</v>
      </c>
      <c r="T459" s="421" t="s">
        <v>1130</v>
      </c>
      <c r="U459" s="421" t="s">
        <v>1112</v>
      </c>
      <c r="V459" s="421" t="s">
        <v>3097</v>
      </c>
      <c r="W459" s="421" t="s">
        <v>3098</v>
      </c>
      <c r="X459" s="421" t="s">
        <v>3099</v>
      </c>
      <c r="Y459" s="421" t="s">
        <v>1117</v>
      </c>
      <c r="Z459" s="421" t="s">
        <v>1118</v>
      </c>
      <c r="AA459" s="421" t="s">
        <v>3100</v>
      </c>
      <c r="AB459" s="421" t="s">
        <v>3101</v>
      </c>
      <c r="AC459" s="421" t="s">
        <v>3102</v>
      </c>
      <c r="AD459" s="421" t="s">
        <v>3414</v>
      </c>
      <c r="AE459" s="421" t="s">
        <v>3261</v>
      </c>
      <c r="AF459" s="421" t="s">
        <v>2236</v>
      </c>
      <c r="AG459" s="421" t="s">
        <v>2237</v>
      </c>
      <c r="AH459" s="421" t="s">
        <v>3105</v>
      </c>
      <c r="AI459" s="421">
        <v>1581500</v>
      </c>
      <c r="AJ459" s="421">
        <v>8560.66</v>
      </c>
      <c r="AK459" s="421">
        <v>9107.5</v>
      </c>
      <c r="AL459" s="421">
        <v>1</v>
      </c>
      <c r="AM459" s="421" t="s">
        <v>963</v>
      </c>
      <c r="AN459" s="421" t="s">
        <v>3262</v>
      </c>
      <c r="AO459" s="421" t="s">
        <v>1121</v>
      </c>
      <c r="AP459" s="421" t="s">
        <v>1121</v>
      </c>
      <c r="AQ459" s="421" t="s">
        <v>1108</v>
      </c>
      <c r="AR459" s="421" t="s">
        <v>3753</v>
      </c>
      <c r="AS459" s="421" t="s">
        <v>3790</v>
      </c>
      <c r="AT459" s="421" t="s">
        <v>3109</v>
      </c>
      <c r="AU459" s="421" t="s">
        <v>1142</v>
      </c>
      <c r="AV459" s="421" t="s">
        <v>2037</v>
      </c>
      <c r="AW459" s="421" t="s">
        <v>3110</v>
      </c>
      <c r="AX459" s="421" t="s">
        <v>3111</v>
      </c>
      <c r="AY459" s="421" t="s">
        <v>3112</v>
      </c>
      <c r="AZ459" s="421" t="s">
        <v>3113</v>
      </c>
      <c r="BA459" s="421" t="s">
        <v>3114</v>
      </c>
      <c r="BB459" s="421" t="s">
        <v>3115</v>
      </c>
      <c r="BC459" s="421">
        <v>191560</v>
      </c>
      <c r="BD459" s="421">
        <v>563946893.20000005</v>
      </c>
      <c r="BE459" s="421">
        <v>0</v>
      </c>
      <c r="BF459" s="421">
        <v>1100</v>
      </c>
      <c r="BG459" s="421">
        <v>481.65</v>
      </c>
      <c r="BH459" s="421">
        <v>0</v>
      </c>
      <c r="BI459" s="421" t="s">
        <v>1167</v>
      </c>
    </row>
    <row r="460" spans="1:61" x14ac:dyDescent="0.25">
      <c r="A460" s="421">
        <v>457</v>
      </c>
      <c r="B460" s="421">
        <v>2015</v>
      </c>
      <c r="C460" s="421">
        <v>8</v>
      </c>
      <c r="D460" s="421">
        <v>12</v>
      </c>
      <c r="E460" s="421" t="s">
        <v>1475</v>
      </c>
      <c r="F460" s="421" t="s">
        <v>3557</v>
      </c>
      <c r="G460" s="421" t="s">
        <v>3284</v>
      </c>
      <c r="H460" s="421" t="s">
        <v>1107</v>
      </c>
      <c r="I460" s="421" t="s">
        <v>3768</v>
      </c>
      <c r="J460" s="421" t="s">
        <v>3791</v>
      </c>
      <c r="K460" s="421" t="s">
        <v>3093</v>
      </c>
      <c r="L460" s="421" t="s">
        <v>3094</v>
      </c>
      <c r="M460" s="421" t="s">
        <v>2667</v>
      </c>
      <c r="N460" s="421" t="s">
        <v>3093</v>
      </c>
      <c r="O460" s="421" t="s">
        <v>3094</v>
      </c>
      <c r="P460" s="421" t="s">
        <v>3095</v>
      </c>
      <c r="Q460" s="421" t="s">
        <v>3113</v>
      </c>
      <c r="R460" s="421" t="s">
        <v>1108</v>
      </c>
      <c r="S460" s="421" t="s">
        <v>1108</v>
      </c>
      <c r="T460" s="421" t="s">
        <v>1130</v>
      </c>
      <c r="U460" s="421" t="s">
        <v>1112</v>
      </c>
      <c r="V460" s="421" t="s">
        <v>3097</v>
      </c>
      <c r="W460" s="421" t="s">
        <v>3098</v>
      </c>
      <c r="X460" s="421" t="s">
        <v>3099</v>
      </c>
      <c r="Y460" s="421" t="s">
        <v>1117</v>
      </c>
      <c r="Z460" s="421" t="s">
        <v>1118</v>
      </c>
      <c r="AA460" s="421" t="s">
        <v>3100</v>
      </c>
      <c r="AB460" s="421" t="s">
        <v>3101</v>
      </c>
      <c r="AC460" s="421" t="s">
        <v>3102</v>
      </c>
      <c r="AD460" s="421" t="s">
        <v>3304</v>
      </c>
      <c r="AE460" s="421" t="s">
        <v>3305</v>
      </c>
      <c r="AF460" s="421" t="s">
        <v>2236</v>
      </c>
      <c r="AG460" s="421" t="s">
        <v>2237</v>
      </c>
      <c r="AH460" s="421" t="s">
        <v>3105</v>
      </c>
      <c r="AI460" s="421">
        <v>45000</v>
      </c>
      <c r="AJ460" s="421">
        <v>87.22</v>
      </c>
      <c r="AK460" s="421">
        <v>95.4</v>
      </c>
      <c r="AL460" s="421">
        <v>3</v>
      </c>
      <c r="AM460" s="421" t="s">
        <v>963</v>
      </c>
      <c r="AN460" s="421" t="s">
        <v>3210</v>
      </c>
      <c r="AO460" s="421" t="s">
        <v>1121</v>
      </c>
      <c r="AP460" s="421" t="s">
        <v>1121</v>
      </c>
      <c r="AQ460" s="421" t="s">
        <v>1108</v>
      </c>
      <c r="AR460" s="421" t="s">
        <v>3753</v>
      </c>
      <c r="AS460" s="421" t="s">
        <v>3792</v>
      </c>
      <c r="AT460" s="421" t="s">
        <v>3109</v>
      </c>
      <c r="AU460" s="421" t="s">
        <v>1142</v>
      </c>
      <c r="AV460" s="421" t="s">
        <v>2037</v>
      </c>
      <c r="AW460" s="421" t="s">
        <v>3110</v>
      </c>
      <c r="AX460" s="421" t="s">
        <v>3111</v>
      </c>
      <c r="AY460" s="421" t="s">
        <v>3112</v>
      </c>
      <c r="AZ460" s="421" t="s">
        <v>3113</v>
      </c>
      <c r="BA460" s="421" t="s">
        <v>3114</v>
      </c>
      <c r="BB460" s="421" t="s">
        <v>3115</v>
      </c>
      <c r="BC460" s="421">
        <v>3298.5</v>
      </c>
      <c r="BD460" s="421">
        <v>9710685.0399999991</v>
      </c>
      <c r="BE460" s="421">
        <v>0</v>
      </c>
      <c r="BF460" s="421">
        <v>76.63</v>
      </c>
      <c r="BG460" s="421">
        <v>8.44</v>
      </c>
      <c r="BH460" s="421">
        <v>0</v>
      </c>
      <c r="BI460" s="421" t="s">
        <v>1167</v>
      </c>
    </row>
    <row r="461" spans="1:61" x14ac:dyDescent="0.25">
      <c r="A461" s="421">
        <v>458</v>
      </c>
      <c r="B461" s="421">
        <v>2015</v>
      </c>
      <c r="C461" s="421">
        <v>8</v>
      </c>
      <c r="D461" s="421">
        <v>12</v>
      </c>
      <c r="E461" s="421" t="s">
        <v>1475</v>
      </c>
      <c r="F461" s="421" t="s">
        <v>3557</v>
      </c>
      <c r="G461" s="421" t="s">
        <v>3284</v>
      </c>
      <c r="H461" s="421" t="s">
        <v>1107</v>
      </c>
      <c r="I461" s="421" t="s">
        <v>3768</v>
      </c>
      <c r="J461" s="421" t="s">
        <v>3791</v>
      </c>
      <c r="K461" s="421" t="s">
        <v>3093</v>
      </c>
      <c r="L461" s="421" t="s">
        <v>3094</v>
      </c>
      <c r="M461" s="421" t="s">
        <v>2667</v>
      </c>
      <c r="N461" s="421" t="s">
        <v>3093</v>
      </c>
      <c r="O461" s="421" t="s">
        <v>3094</v>
      </c>
      <c r="P461" s="421" t="s">
        <v>3095</v>
      </c>
      <c r="Q461" s="421" t="s">
        <v>3113</v>
      </c>
      <c r="R461" s="421" t="s">
        <v>1108</v>
      </c>
      <c r="S461" s="421" t="s">
        <v>1108</v>
      </c>
      <c r="T461" s="421" t="s">
        <v>1130</v>
      </c>
      <c r="U461" s="421" t="s">
        <v>1112</v>
      </c>
      <c r="V461" s="421" t="s">
        <v>3097</v>
      </c>
      <c r="W461" s="421" t="s">
        <v>3098</v>
      </c>
      <c r="X461" s="421" t="s">
        <v>3099</v>
      </c>
      <c r="Y461" s="421" t="s">
        <v>1117</v>
      </c>
      <c r="Z461" s="421" t="s">
        <v>1118</v>
      </c>
      <c r="AA461" s="421" t="s">
        <v>3100</v>
      </c>
      <c r="AB461" s="421" t="s">
        <v>3101</v>
      </c>
      <c r="AC461" s="421" t="s">
        <v>3102</v>
      </c>
      <c r="AD461" s="421" t="s">
        <v>3304</v>
      </c>
      <c r="AE461" s="421" t="s">
        <v>3305</v>
      </c>
      <c r="AF461" s="421" t="s">
        <v>2236</v>
      </c>
      <c r="AG461" s="421" t="s">
        <v>2237</v>
      </c>
      <c r="AH461" s="421" t="s">
        <v>3105</v>
      </c>
      <c r="AI461" s="421">
        <v>455620</v>
      </c>
      <c r="AJ461" s="421">
        <v>680.6</v>
      </c>
      <c r="AK461" s="421">
        <v>744.45</v>
      </c>
      <c r="AL461" s="421">
        <v>2</v>
      </c>
      <c r="AM461" s="421" t="s">
        <v>963</v>
      </c>
      <c r="AN461" s="421" t="s">
        <v>3210</v>
      </c>
      <c r="AO461" s="421" t="s">
        <v>1121</v>
      </c>
      <c r="AP461" s="421" t="s">
        <v>1121</v>
      </c>
      <c r="AQ461" s="421" t="s">
        <v>1108</v>
      </c>
      <c r="AR461" s="421" t="s">
        <v>3753</v>
      </c>
      <c r="AS461" s="421" t="s">
        <v>3792</v>
      </c>
      <c r="AT461" s="421" t="s">
        <v>3109</v>
      </c>
      <c r="AU461" s="421" t="s">
        <v>1142</v>
      </c>
      <c r="AV461" s="421" t="s">
        <v>2037</v>
      </c>
      <c r="AW461" s="421" t="s">
        <v>3110</v>
      </c>
      <c r="AX461" s="421" t="s">
        <v>3111</v>
      </c>
      <c r="AY461" s="421" t="s">
        <v>3112</v>
      </c>
      <c r="AZ461" s="421" t="s">
        <v>3113</v>
      </c>
      <c r="BA461" s="421" t="s">
        <v>3114</v>
      </c>
      <c r="BB461" s="421" t="s">
        <v>3115</v>
      </c>
      <c r="BC461" s="421">
        <v>13293.22</v>
      </c>
      <c r="BD461" s="421">
        <v>39134840.880000003</v>
      </c>
      <c r="BE461" s="421">
        <v>0</v>
      </c>
      <c r="BF461" s="421">
        <v>308.81</v>
      </c>
      <c r="BG461" s="421">
        <v>34.01</v>
      </c>
      <c r="BH461" s="421">
        <v>0</v>
      </c>
      <c r="BI461" s="421" t="s">
        <v>1167</v>
      </c>
    </row>
    <row r="462" spans="1:61" x14ac:dyDescent="0.25">
      <c r="A462" s="421">
        <v>459</v>
      </c>
      <c r="B462" s="421">
        <v>2015</v>
      </c>
      <c r="C462" s="421">
        <v>8</v>
      </c>
      <c r="D462" s="421">
        <v>12</v>
      </c>
      <c r="E462" s="421" t="s">
        <v>1475</v>
      </c>
      <c r="F462" s="421" t="s">
        <v>3557</v>
      </c>
      <c r="G462" s="421" t="s">
        <v>3284</v>
      </c>
      <c r="H462" s="421" t="s">
        <v>1107</v>
      </c>
      <c r="I462" s="421" t="s">
        <v>3768</v>
      </c>
      <c r="J462" s="421" t="s">
        <v>3791</v>
      </c>
      <c r="K462" s="421" t="s">
        <v>3093</v>
      </c>
      <c r="L462" s="421" t="s">
        <v>3094</v>
      </c>
      <c r="M462" s="421" t="s">
        <v>2667</v>
      </c>
      <c r="N462" s="421" t="s">
        <v>3093</v>
      </c>
      <c r="O462" s="421" t="s">
        <v>3094</v>
      </c>
      <c r="P462" s="421" t="s">
        <v>3095</v>
      </c>
      <c r="Q462" s="421" t="s">
        <v>3113</v>
      </c>
      <c r="R462" s="421" t="s">
        <v>1108</v>
      </c>
      <c r="S462" s="421" t="s">
        <v>1108</v>
      </c>
      <c r="T462" s="421" t="s">
        <v>1130</v>
      </c>
      <c r="U462" s="421" t="s">
        <v>1112</v>
      </c>
      <c r="V462" s="421" t="s">
        <v>3097</v>
      </c>
      <c r="W462" s="421" t="s">
        <v>3098</v>
      </c>
      <c r="X462" s="421" t="s">
        <v>3099</v>
      </c>
      <c r="Y462" s="421" t="s">
        <v>1117</v>
      </c>
      <c r="Z462" s="421" t="s">
        <v>1118</v>
      </c>
      <c r="AA462" s="421" t="s">
        <v>3100</v>
      </c>
      <c r="AB462" s="421" t="s">
        <v>3101</v>
      </c>
      <c r="AC462" s="421" t="s">
        <v>3102</v>
      </c>
      <c r="AD462" s="421" t="s">
        <v>3304</v>
      </c>
      <c r="AE462" s="421" t="s">
        <v>3305</v>
      </c>
      <c r="AF462" s="421" t="s">
        <v>2236</v>
      </c>
      <c r="AG462" s="421" t="s">
        <v>2237</v>
      </c>
      <c r="AH462" s="421" t="s">
        <v>3105</v>
      </c>
      <c r="AI462" s="421">
        <v>1323950</v>
      </c>
      <c r="AJ462" s="421">
        <v>2446.6799999999998</v>
      </c>
      <c r="AK462" s="421">
        <v>2676.22</v>
      </c>
      <c r="AL462" s="421">
        <v>1</v>
      </c>
      <c r="AM462" s="421" t="s">
        <v>963</v>
      </c>
      <c r="AN462" s="421" t="s">
        <v>3210</v>
      </c>
      <c r="AO462" s="421" t="s">
        <v>1121</v>
      </c>
      <c r="AP462" s="421" t="s">
        <v>1121</v>
      </c>
      <c r="AQ462" s="421" t="s">
        <v>1108</v>
      </c>
      <c r="AR462" s="421" t="s">
        <v>3753</v>
      </c>
      <c r="AS462" s="421" t="s">
        <v>3792</v>
      </c>
      <c r="AT462" s="421" t="s">
        <v>3109</v>
      </c>
      <c r="AU462" s="421" t="s">
        <v>1142</v>
      </c>
      <c r="AV462" s="421" t="s">
        <v>2037</v>
      </c>
      <c r="AW462" s="421" t="s">
        <v>3110</v>
      </c>
      <c r="AX462" s="421" t="s">
        <v>3111</v>
      </c>
      <c r="AY462" s="421" t="s">
        <v>3112</v>
      </c>
      <c r="AZ462" s="421" t="s">
        <v>3113</v>
      </c>
      <c r="BA462" s="421" t="s">
        <v>3114</v>
      </c>
      <c r="BB462" s="421" t="s">
        <v>3115</v>
      </c>
      <c r="BC462" s="421">
        <v>41521.65</v>
      </c>
      <c r="BD462" s="421">
        <v>122238491.95</v>
      </c>
      <c r="BE462" s="421">
        <v>0</v>
      </c>
      <c r="BF462" s="421">
        <v>964.57</v>
      </c>
      <c r="BG462" s="421">
        <v>106.22</v>
      </c>
      <c r="BH462" s="421">
        <v>0</v>
      </c>
      <c r="BI462" s="421" t="s">
        <v>1167</v>
      </c>
    </row>
    <row r="463" spans="1:61" x14ac:dyDescent="0.25">
      <c r="A463" s="421">
        <v>460</v>
      </c>
      <c r="B463" s="421">
        <v>2015</v>
      </c>
      <c r="C463" s="421">
        <v>8</v>
      </c>
      <c r="D463" s="421">
        <v>12</v>
      </c>
      <c r="E463" s="421" t="s">
        <v>1475</v>
      </c>
      <c r="F463" s="421" t="s">
        <v>3557</v>
      </c>
      <c r="G463" s="421" t="s">
        <v>3284</v>
      </c>
      <c r="H463" s="421" t="s">
        <v>1107</v>
      </c>
      <c r="I463" s="421" t="s">
        <v>3768</v>
      </c>
      <c r="J463" s="421" t="s">
        <v>3793</v>
      </c>
      <c r="K463" s="421" t="s">
        <v>3093</v>
      </c>
      <c r="L463" s="421" t="s">
        <v>3094</v>
      </c>
      <c r="M463" s="421" t="s">
        <v>2667</v>
      </c>
      <c r="N463" s="421" t="s">
        <v>3093</v>
      </c>
      <c r="O463" s="421" t="s">
        <v>3094</v>
      </c>
      <c r="P463" s="421" t="s">
        <v>3095</v>
      </c>
      <c r="Q463" s="421" t="s">
        <v>3096</v>
      </c>
      <c r="R463" s="421" t="s">
        <v>1108</v>
      </c>
      <c r="S463" s="421" t="s">
        <v>1542</v>
      </c>
      <c r="T463" s="421" t="s">
        <v>1130</v>
      </c>
      <c r="U463" s="421" t="s">
        <v>1112</v>
      </c>
      <c r="V463" s="421" t="s">
        <v>3097</v>
      </c>
      <c r="W463" s="421" t="s">
        <v>3098</v>
      </c>
      <c r="X463" s="421" t="s">
        <v>3099</v>
      </c>
      <c r="Y463" s="421" t="s">
        <v>1117</v>
      </c>
      <c r="Z463" s="421" t="s">
        <v>1118</v>
      </c>
      <c r="AA463" s="421" t="s">
        <v>3100</v>
      </c>
      <c r="AB463" s="421" t="s">
        <v>3101</v>
      </c>
      <c r="AC463" s="421" t="s">
        <v>3102</v>
      </c>
      <c r="AD463" s="421" t="s">
        <v>3782</v>
      </c>
      <c r="AE463" s="421" t="s">
        <v>3783</v>
      </c>
      <c r="AF463" s="421" t="s">
        <v>2236</v>
      </c>
      <c r="AG463" s="421" t="s">
        <v>2237</v>
      </c>
      <c r="AH463" s="421" t="s">
        <v>3105</v>
      </c>
      <c r="AI463" s="421">
        <v>23000</v>
      </c>
      <c r="AJ463" s="421">
        <v>71.47</v>
      </c>
      <c r="AK463" s="421">
        <v>77.98</v>
      </c>
      <c r="AL463" s="421">
        <v>1</v>
      </c>
      <c r="AM463" s="421" t="s">
        <v>3784</v>
      </c>
      <c r="AN463" s="421" t="s">
        <v>3785</v>
      </c>
      <c r="AO463" s="421" t="s">
        <v>1121</v>
      </c>
      <c r="AP463" s="421" t="s">
        <v>1121</v>
      </c>
      <c r="AQ463" s="421" t="s">
        <v>1542</v>
      </c>
      <c r="AR463" s="421" t="s">
        <v>3753</v>
      </c>
      <c r="AS463" s="421" t="s">
        <v>3794</v>
      </c>
      <c r="AT463" s="421" t="s">
        <v>3109</v>
      </c>
      <c r="AU463" s="421" t="s">
        <v>1142</v>
      </c>
      <c r="AV463" s="421" t="s">
        <v>2135</v>
      </c>
      <c r="AW463" s="421" t="s">
        <v>3110</v>
      </c>
      <c r="AX463" s="421" t="s">
        <v>3111</v>
      </c>
      <c r="AY463" s="421" t="s">
        <v>3112</v>
      </c>
      <c r="AZ463" s="421" t="s">
        <v>3113</v>
      </c>
      <c r="BA463" s="421" t="s">
        <v>3114</v>
      </c>
      <c r="BB463" s="421" t="s">
        <v>3115</v>
      </c>
      <c r="BC463" s="421">
        <v>1932</v>
      </c>
      <c r="BD463" s="421">
        <v>5687750.04</v>
      </c>
      <c r="BE463" s="421">
        <v>0</v>
      </c>
      <c r="BF463" s="421">
        <v>0</v>
      </c>
      <c r="BG463" s="421">
        <v>0</v>
      </c>
      <c r="BH463" s="421">
        <v>0</v>
      </c>
      <c r="BI463" s="421" t="s">
        <v>1167</v>
      </c>
    </row>
    <row r="464" spans="1:61" x14ac:dyDescent="0.25">
      <c r="A464" s="421">
        <v>461</v>
      </c>
      <c r="B464" s="421">
        <v>2015</v>
      </c>
      <c r="C464" s="421">
        <v>8</v>
      </c>
      <c r="D464" s="421">
        <v>12</v>
      </c>
      <c r="E464" s="421" t="s">
        <v>1475</v>
      </c>
      <c r="F464" s="421" t="s">
        <v>3557</v>
      </c>
      <c r="G464" s="421" t="s">
        <v>3284</v>
      </c>
      <c r="H464" s="421" t="s">
        <v>1107</v>
      </c>
      <c r="I464" s="421" t="s">
        <v>3768</v>
      </c>
      <c r="J464" s="421" t="s">
        <v>3795</v>
      </c>
      <c r="K464" s="421" t="s">
        <v>3093</v>
      </c>
      <c r="L464" s="421" t="s">
        <v>3094</v>
      </c>
      <c r="M464" s="421" t="s">
        <v>2667</v>
      </c>
      <c r="N464" s="421" t="s">
        <v>3093</v>
      </c>
      <c r="O464" s="421" t="s">
        <v>3094</v>
      </c>
      <c r="P464" s="421" t="s">
        <v>3095</v>
      </c>
      <c r="Q464" s="421" t="s">
        <v>3113</v>
      </c>
      <c r="R464" s="421" t="s">
        <v>1108</v>
      </c>
      <c r="S464" s="421" t="s">
        <v>1108</v>
      </c>
      <c r="T464" s="421" t="s">
        <v>1130</v>
      </c>
      <c r="U464" s="421" t="s">
        <v>1112</v>
      </c>
      <c r="V464" s="421" t="s">
        <v>3097</v>
      </c>
      <c r="W464" s="421" t="s">
        <v>3098</v>
      </c>
      <c r="X464" s="421" t="s">
        <v>3099</v>
      </c>
      <c r="Y464" s="421" t="s">
        <v>1117</v>
      </c>
      <c r="Z464" s="421" t="s">
        <v>1118</v>
      </c>
      <c r="AA464" s="421" t="s">
        <v>3100</v>
      </c>
      <c r="AB464" s="421" t="s">
        <v>3101</v>
      </c>
      <c r="AC464" s="421" t="s">
        <v>3102</v>
      </c>
      <c r="AD464" s="421" t="s">
        <v>3125</v>
      </c>
      <c r="AE464" s="421" t="s">
        <v>3126</v>
      </c>
      <c r="AF464" s="421" t="s">
        <v>2236</v>
      </c>
      <c r="AG464" s="421" t="s">
        <v>2237</v>
      </c>
      <c r="AH464" s="421" t="s">
        <v>3105</v>
      </c>
      <c r="AI464" s="421">
        <v>2086920</v>
      </c>
      <c r="AJ464" s="421">
        <v>5741.14</v>
      </c>
      <c r="AK464" s="421">
        <v>6683.85</v>
      </c>
      <c r="AL464" s="421">
        <v>1</v>
      </c>
      <c r="AM464" s="421" t="s">
        <v>962</v>
      </c>
      <c r="AN464" s="421" t="s">
        <v>3127</v>
      </c>
      <c r="AO464" s="421" t="s">
        <v>1121</v>
      </c>
      <c r="AP464" s="421" t="s">
        <v>1121</v>
      </c>
      <c r="AQ464" s="421" t="s">
        <v>1108</v>
      </c>
      <c r="AR464" s="421" t="s">
        <v>3753</v>
      </c>
      <c r="AS464" s="421" t="s">
        <v>3796</v>
      </c>
      <c r="AT464" s="421" t="s">
        <v>3109</v>
      </c>
      <c r="AU464" s="421" t="s">
        <v>1142</v>
      </c>
      <c r="AV464" s="421" t="s">
        <v>2037</v>
      </c>
      <c r="AW464" s="421" t="s">
        <v>3110</v>
      </c>
      <c r="AX464" s="421" t="s">
        <v>3111</v>
      </c>
      <c r="AY464" s="421" t="s">
        <v>3112</v>
      </c>
      <c r="AZ464" s="421" t="s">
        <v>3113</v>
      </c>
      <c r="BA464" s="421" t="s">
        <v>3114</v>
      </c>
      <c r="BB464" s="421" t="s">
        <v>3115</v>
      </c>
      <c r="BC464" s="421">
        <v>75713.8</v>
      </c>
      <c r="BD464" s="421">
        <v>222899155.78</v>
      </c>
      <c r="BE464" s="421">
        <v>0</v>
      </c>
      <c r="BF464" s="421">
        <v>2193.29</v>
      </c>
      <c r="BG464" s="421">
        <v>0</v>
      </c>
      <c r="BH464" s="421">
        <v>0</v>
      </c>
      <c r="BI464" s="421" t="s">
        <v>1149</v>
      </c>
    </row>
    <row r="465" spans="1:61" x14ac:dyDescent="0.25">
      <c r="A465" s="421">
        <v>462</v>
      </c>
      <c r="B465" s="421">
        <v>2015</v>
      </c>
      <c r="C465" s="421">
        <v>8</v>
      </c>
      <c r="D465" s="421">
        <v>12</v>
      </c>
      <c r="E465" s="421" t="s">
        <v>1475</v>
      </c>
      <c r="F465" s="421" t="s">
        <v>3557</v>
      </c>
      <c r="G465" s="421" t="s">
        <v>3284</v>
      </c>
      <c r="H465" s="421" t="s">
        <v>1107</v>
      </c>
      <c r="I465" s="421" t="s">
        <v>3768</v>
      </c>
      <c r="J465" s="421" t="s">
        <v>3795</v>
      </c>
      <c r="K465" s="421" t="s">
        <v>3093</v>
      </c>
      <c r="L465" s="421" t="s">
        <v>3094</v>
      </c>
      <c r="M465" s="421" t="s">
        <v>2667</v>
      </c>
      <c r="N465" s="421" t="s">
        <v>3093</v>
      </c>
      <c r="O465" s="421" t="s">
        <v>3094</v>
      </c>
      <c r="P465" s="421" t="s">
        <v>3095</v>
      </c>
      <c r="Q465" s="421" t="s">
        <v>3113</v>
      </c>
      <c r="R465" s="421" t="s">
        <v>1108</v>
      </c>
      <c r="S465" s="421" t="s">
        <v>1108</v>
      </c>
      <c r="T465" s="421" t="s">
        <v>1130</v>
      </c>
      <c r="U465" s="421" t="s">
        <v>1112</v>
      </c>
      <c r="V465" s="421" t="s">
        <v>3097</v>
      </c>
      <c r="W465" s="421" t="s">
        <v>3098</v>
      </c>
      <c r="X465" s="421" t="s">
        <v>3099</v>
      </c>
      <c r="Y465" s="421" t="s">
        <v>1117</v>
      </c>
      <c r="Z465" s="421" t="s">
        <v>1118</v>
      </c>
      <c r="AA465" s="421" t="s">
        <v>3100</v>
      </c>
      <c r="AB465" s="421" t="s">
        <v>3101</v>
      </c>
      <c r="AC465" s="421" t="s">
        <v>3102</v>
      </c>
      <c r="AD465" s="421" t="s">
        <v>3125</v>
      </c>
      <c r="AE465" s="421" t="s">
        <v>3126</v>
      </c>
      <c r="AF465" s="421" t="s">
        <v>2236</v>
      </c>
      <c r="AG465" s="421" t="s">
        <v>2237</v>
      </c>
      <c r="AH465" s="421" t="s">
        <v>3105</v>
      </c>
      <c r="AI465" s="421">
        <v>24000</v>
      </c>
      <c r="AJ465" s="421">
        <v>96.42</v>
      </c>
      <c r="AK465" s="421">
        <v>112.25</v>
      </c>
      <c r="AL465" s="421">
        <v>4</v>
      </c>
      <c r="AM465" s="421" t="s">
        <v>962</v>
      </c>
      <c r="AN465" s="421" t="s">
        <v>3127</v>
      </c>
      <c r="AO465" s="421" t="s">
        <v>1121</v>
      </c>
      <c r="AP465" s="421" t="s">
        <v>1121</v>
      </c>
      <c r="AQ465" s="421" t="s">
        <v>1108</v>
      </c>
      <c r="AR465" s="421" t="s">
        <v>3753</v>
      </c>
      <c r="AS465" s="421" t="s">
        <v>3796</v>
      </c>
      <c r="AT465" s="421" t="s">
        <v>3109</v>
      </c>
      <c r="AU465" s="421" t="s">
        <v>1142</v>
      </c>
      <c r="AV465" s="421" t="s">
        <v>2037</v>
      </c>
      <c r="AW465" s="421" t="s">
        <v>3110</v>
      </c>
      <c r="AX465" s="421" t="s">
        <v>3111</v>
      </c>
      <c r="AY465" s="421" t="s">
        <v>3112</v>
      </c>
      <c r="AZ465" s="421" t="s">
        <v>3113</v>
      </c>
      <c r="BA465" s="421" t="s">
        <v>3114</v>
      </c>
      <c r="BB465" s="421" t="s">
        <v>3115</v>
      </c>
      <c r="BC465" s="421">
        <v>2736</v>
      </c>
      <c r="BD465" s="421">
        <v>8054701.9199999999</v>
      </c>
      <c r="BE465" s="421">
        <v>0</v>
      </c>
      <c r="BF465" s="421">
        <v>79.260000000000005</v>
      </c>
      <c r="BG465" s="421">
        <v>0</v>
      </c>
      <c r="BH465" s="421">
        <v>0</v>
      </c>
      <c r="BI465" s="421" t="s">
        <v>1149</v>
      </c>
    </row>
    <row r="466" spans="1:61" x14ac:dyDescent="0.25">
      <c r="A466" s="421">
        <v>463</v>
      </c>
      <c r="B466" s="421">
        <v>2015</v>
      </c>
      <c r="C466" s="421">
        <v>8</v>
      </c>
      <c r="D466" s="421">
        <v>12</v>
      </c>
      <c r="E466" s="421" t="s">
        <v>1475</v>
      </c>
      <c r="F466" s="421" t="s">
        <v>3557</v>
      </c>
      <c r="G466" s="421" t="s">
        <v>3284</v>
      </c>
      <c r="H466" s="421" t="s">
        <v>1107</v>
      </c>
      <c r="I466" s="421" t="s">
        <v>3768</v>
      </c>
      <c r="J466" s="421" t="s">
        <v>3795</v>
      </c>
      <c r="K466" s="421" t="s">
        <v>3093</v>
      </c>
      <c r="L466" s="421" t="s">
        <v>3094</v>
      </c>
      <c r="M466" s="421" t="s">
        <v>2667</v>
      </c>
      <c r="N466" s="421" t="s">
        <v>3093</v>
      </c>
      <c r="O466" s="421" t="s">
        <v>3094</v>
      </c>
      <c r="P466" s="421" t="s">
        <v>3095</v>
      </c>
      <c r="Q466" s="421" t="s">
        <v>3113</v>
      </c>
      <c r="R466" s="421" t="s">
        <v>1108</v>
      </c>
      <c r="S466" s="421" t="s">
        <v>1108</v>
      </c>
      <c r="T466" s="421" t="s">
        <v>1130</v>
      </c>
      <c r="U466" s="421" t="s">
        <v>1112</v>
      </c>
      <c r="V466" s="421" t="s">
        <v>3097</v>
      </c>
      <c r="W466" s="421" t="s">
        <v>3098</v>
      </c>
      <c r="X466" s="421" t="s">
        <v>3099</v>
      </c>
      <c r="Y466" s="421" t="s">
        <v>1117</v>
      </c>
      <c r="Z466" s="421" t="s">
        <v>1118</v>
      </c>
      <c r="AA466" s="421" t="s">
        <v>3100</v>
      </c>
      <c r="AB466" s="421" t="s">
        <v>3101</v>
      </c>
      <c r="AC466" s="421" t="s">
        <v>3102</v>
      </c>
      <c r="AD466" s="421" t="s">
        <v>3125</v>
      </c>
      <c r="AE466" s="421" t="s">
        <v>3126</v>
      </c>
      <c r="AF466" s="421" t="s">
        <v>2236</v>
      </c>
      <c r="AG466" s="421" t="s">
        <v>2237</v>
      </c>
      <c r="AH466" s="421" t="s">
        <v>3105</v>
      </c>
      <c r="AI466" s="421">
        <v>58000</v>
      </c>
      <c r="AJ466" s="421">
        <v>200.54</v>
      </c>
      <c r="AK466" s="421">
        <v>233.46</v>
      </c>
      <c r="AL466" s="421">
        <v>3</v>
      </c>
      <c r="AM466" s="421" t="s">
        <v>962</v>
      </c>
      <c r="AN466" s="421" t="s">
        <v>3127</v>
      </c>
      <c r="AO466" s="421" t="s">
        <v>1121</v>
      </c>
      <c r="AP466" s="421" t="s">
        <v>1121</v>
      </c>
      <c r="AQ466" s="421" t="s">
        <v>1108</v>
      </c>
      <c r="AR466" s="421" t="s">
        <v>3753</v>
      </c>
      <c r="AS466" s="421" t="s">
        <v>3796</v>
      </c>
      <c r="AT466" s="421" t="s">
        <v>3109</v>
      </c>
      <c r="AU466" s="421" t="s">
        <v>1142</v>
      </c>
      <c r="AV466" s="421" t="s">
        <v>2037</v>
      </c>
      <c r="AW466" s="421" t="s">
        <v>3110</v>
      </c>
      <c r="AX466" s="421" t="s">
        <v>3111</v>
      </c>
      <c r="AY466" s="421" t="s">
        <v>3112</v>
      </c>
      <c r="AZ466" s="421" t="s">
        <v>3113</v>
      </c>
      <c r="BA466" s="421" t="s">
        <v>3114</v>
      </c>
      <c r="BB466" s="421" t="s">
        <v>3115</v>
      </c>
      <c r="BC466" s="421">
        <v>6364.8</v>
      </c>
      <c r="BD466" s="421">
        <v>18737780.25</v>
      </c>
      <c r="BE466" s="421">
        <v>0</v>
      </c>
      <c r="BF466" s="421">
        <v>184.38</v>
      </c>
      <c r="BG466" s="421">
        <v>0</v>
      </c>
      <c r="BH466" s="421">
        <v>0</v>
      </c>
      <c r="BI466" s="421" t="s">
        <v>1149</v>
      </c>
    </row>
    <row r="467" spans="1:61" x14ac:dyDescent="0.25">
      <c r="A467" s="421">
        <v>464</v>
      </c>
      <c r="B467" s="421">
        <v>2015</v>
      </c>
      <c r="C467" s="421">
        <v>8</v>
      </c>
      <c r="D467" s="421">
        <v>12</v>
      </c>
      <c r="E467" s="421" t="s">
        <v>1475</v>
      </c>
      <c r="F467" s="421" t="s">
        <v>3557</v>
      </c>
      <c r="G467" s="421" t="s">
        <v>3284</v>
      </c>
      <c r="H467" s="421" t="s">
        <v>1107</v>
      </c>
      <c r="I467" s="421" t="s">
        <v>3768</v>
      </c>
      <c r="J467" s="421" t="s">
        <v>3795</v>
      </c>
      <c r="K467" s="421" t="s">
        <v>3093</v>
      </c>
      <c r="L467" s="421" t="s">
        <v>3094</v>
      </c>
      <c r="M467" s="421" t="s">
        <v>2667</v>
      </c>
      <c r="N467" s="421" t="s">
        <v>3093</v>
      </c>
      <c r="O467" s="421" t="s">
        <v>3094</v>
      </c>
      <c r="P467" s="421" t="s">
        <v>3095</v>
      </c>
      <c r="Q467" s="421" t="s">
        <v>3113</v>
      </c>
      <c r="R467" s="421" t="s">
        <v>1108</v>
      </c>
      <c r="S467" s="421" t="s">
        <v>1108</v>
      </c>
      <c r="T467" s="421" t="s">
        <v>1130</v>
      </c>
      <c r="U467" s="421" t="s">
        <v>1112</v>
      </c>
      <c r="V467" s="421" t="s">
        <v>3097</v>
      </c>
      <c r="W467" s="421" t="s">
        <v>3098</v>
      </c>
      <c r="X467" s="421" t="s">
        <v>3099</v>
      </c>
      <c r="Y467" s="421" t="s">
        <v>1117</v>
      </c>
      <c r="Z467" s="421" t="s">
        <v>1118</v>
      </c>
      <c r="AA467" s="421" t="s">
        <v>3100</v>
      </c>
      <c r="AB467" s="421" t="s">
        <v>3101</v>
      </c>
      <c r="AC467" s="421" t="s">
        <v>3102</v>
      </c>
      <c r="AD467" s="421" t="s">
        <v>3125</v>
      </c>
      <c r="AE467" s="421" t="s">
        <v>3126</v>
      </c>
      <c r="AF467" s="421" t="s">
        <v>2236</v>
      </c>
      <c r="AG467" s="421" t="s">
        <v>2237</v>
      </c>
      <c r="AH467" s="421" t="s">
        <v>3105</v>
      </c>
      <c r="AI467" s="421">
        <v>143400</v>
      </c>
      <c r="AJ467" s="421">
        <v>411.59</v>
      </c>
      <c r="AK467" s="421">
        <v>479.17</v>
      </c>
      <c r="AL467" s="421">
        <v>2</v>
      </c>
      <c r="AM467" s="421" t="s">
        <v>962</v>
      </c>
      <c r="AN467" s="421" t="s">
        <v>3127</v>
      </c>
      <c r="AO467" s="421" t="s">
        <v>1121</v>
      </c>
      <c r="AP467" s="421" t="s">
        <v>1121</v>
      </c>
      <c r="AQ467" s="421" t="s">
        <v>1108</v>
      </c>
      <c r="AR467" s="421" t="s">
        <v>3753</v>
      </c>
      <c r="AS467" s="421" t="s">
        <v>3796</v>
      </c>
      <c r="AT467" s="421" t="s">
        <v>3109</v>
      </c>
      <c r="AU467" s="421" t="s">
        <v>1142</v>
      </c>
      <c r="AV467" s="421" t="s">
        <v>2037</v>
      </c>
      <c r="AW467" s="421" t="s">
        <v>3110</v>
      </c>
      <c r="AX467" s="421" t="s">
        <v>3111</v>
      </c>
      <c r="AY467" s="421" t="s">
        <v>3112</v>
      </c>
      <c r="AZ467" s="421" t="s">
        <v>3113</v>
      </c>
      <c r="BA467" s="421" t="s">
        <v>3114</v>
      </c>
      <c r="BB467" s="421" t="s">
        <v>3115</v>
      </c>
      <c r="BC467" s="421">
        <v>5940.4</v>
      </c>
      <c r="BD467" s="421">
        <v>17488359.379999999</v>
      </c>
      <c r="BE467" s="421">
        <v>0</v>
      </c>
      <c r="BF467" s="421">
        <v>172.08</v>
      </c>
      <c r="BG467" s="421">
        <v>0</v>
      </c>
      <c r="BH467" s="421">
        <v>0</v>
      </c>
      <c r="BI467" s="421" t="s">
        <v>1149</v>
      </c>
    </row>
    <row r="468" spans="1:61" x14ac:dyDescent="0.25">
      <c r="A468" s="421">
        <v>465</v>
      </c>
      <c r="B468" s="421">
        <v>2015</v>
      </c>
      <c r="C468" s="421">
        <v>8</v>
      </c>
      <c r="D468" s="421">
        <v>15</v>
      </c>
      <c r="E468" s="421" t="s">
        <v>1475</v>
      </c>
      <c r="F468" s="421" t="s">
        <v>3557</v>
      </c>
      <c r="G468" s="421" t="s">
        <v>3563</v>
      </c>
      <c r="H468" s="421" t="s">
        <v>1107</v>
      </c>
      <c r="I468" s="421" t="s">
        <v>2353</v>
      </c>
      <c r="J468" s="421" t="s">
        <v>3797</v>
      </c>
      <c r="K468" s="421" t="s">
        <v>3093</v>
      </c>
      <c r="L468" s="421" t="s">
        <v>3094</v>
      </c>
      <c r="M468" s="421" t="s">
        <v>2667</v>
      </c>
      <c r="N468" s="421" t="s">
        <v>3093</v>
      </c>
      <c r="O468" s="421" t="s">
        <v>3094</v>
      </c>
      <c r="P468" s="421" t="s">
        <v>3095</v>
      </c>
      <c r="Q468" s="421" t="s">
        <v>3096</v>
      </c>
      <c r="R468" s="421" t="s">
        <v>1108</v>
      </c>
      <c r="S468" s="421" t="s">
        <v>1542</v>
      </c>
      <c r="T468" s="421" t="s">
        <v>1130</v>
      </c>
      <c r="U468" s="421" t="s">
        <v>1112</v>
      </c>
      <c r="V468" s="421" t="s">
        <v>3097</v>
      </c>
      <c r="W468" s="421" t="s">
        <v>3098</v>
      </c>
      <c r="X468" s="421" t="s">
        <v>3099</v>
      </c>
      <c r="Y468" s="421" t="s">
        <v>1117</v>
      </c>
      <c r="Z468" s="421" t="s">
        <v>1118</v>
      </c>
      <c r="AA468" s="421" t="s">
        <v>3100</v>
      </c>
      <c r="AB468" s="421" t="s">
        <v>3101</v>
      </c>
      <c r="AC468" s="421" t="s">
        <v>3102</v>
      </c>
      <c r="AD468" s="421" t="s">
        <v>3291</v>
      </c>
      <c r="AE468" s="421" t="s">
        <v>3292</v>
      </c>
      <c r="AF468" s="421" t="s">
        <v>3375</v>
      </c>
      <c r="AG468" s="421" t="s">
        <v>3376</v>
      </c>
      <c r="AH468" s="421" t="s">
        <v>3105</v>
      </c>
      <c r="AI468" s="421">
        <v>150</v>
      </c>
      <c r="AJ468" s="421">
        <v>23.57</v>
      </c>
      <c r="AK468" s="421">
        <v>24.5</v>
      </c>
      <c r="AL468" s="421">
        <v>1</v>
      </c>
      <c r="AM468" s="421" t="s">
        <v>965</v>
      </c>
      <c r="AN468" s="421" t="s">
        <v>3293</v>
      </c>
      <c r="AO468" s="421" t="s">
        <v>1121</v>
      </c>
      <c r="AP468" s="421" t="s">
        <v>1121</v>
      </c>
      <c r="AQ468" s="421" t="s">
        <v>1542</v>
      </c>
      <c r="AR468" s="421" t="s">
        <v>3753</v>
      </c>
      <c r="AS468" s="421" t="s">
        <v>3798</v>
      </c>
      <c r="AT468" s="421" t="s">
        <v>3109</v>
      </c>
      <c r="AU468" s="421" t="s">
        <v>1142</v>
      </c>
      <c r="AV468" s="421" t="s">
        <v>2520</v>
      </c>
      <c r="AW468" s="421" t="s">
        <v>3110</v>
      </c>
      <c r="AX468" s="421" t="s">
        <v>3229</v>
      </c>
      <c r="AY468" s="421" t="s">
        <v>3112</v>
      </c>
      <c r="AZ468" s="421" t="s">
        <v>3113</v>
      </c>
      <c r="BA468" s="421" t="s">
        <v>3114</v>
      </c>
      <c r="BB468" s="421" t="s">
        <v>3230</v>
      </c>
      <c r="BC468" s="421">
        <v>7.5</v>
      </c>
      <c r="BD468" s="421">
        <v>22373.4</v>
      </c>
      <c r="BE468" s="421">
        <v>0</v>
      </c>
      <c r="BF468" s="421">
        <v>0</v>
      </c>
      <c r="BG468" s="421">
        <v>0</v>
      </c>
      <c r="BH468" s="421">
        <v>0</v>
      </c>
      <c r="BI468" s="421" t="s">
        <v>1331</v>
      </c>
    </row>
    <row r="469" spans="1:61" x14ac:dyDescent="0.25">
      <c r="A469" s="421">
        <v>466</v>
      </c>
      <c r="B469" s="421">
        <v>2015</v>
      </c>
      <c r="C469" s="421">
        <v>8</v>
      </c>
      <c r="D469" s="421">
        <v>15</v>
      </c>
      <c r="E469" s="421" t="s">
        <v>1475</v>
      </c>
      <c r="F469" s="421" t="s">
        <v>3557</v>
      </c>
      <c r="G469" s="421" t="s">
        <v>3563</v>
      </c>
      <c r="H469" s="421" t="s">
        <v>1107</v>
      </c>
      <c r="I469" s="421" t="s">
        <v>2353</v>
      </c>
      <c r="J469" s="421" t="s">
        <v>3799</v>
      </c>
      <c r="K469" s="421" t="s">
        <v>3093</v>
      </c>
      <c r="L469" s="421" t="s">
        <v>3094</v>
      </c>
      <c r="M469" s="421" t="s">
        <v>2667</v>
      </c>
      <c r="N469" s="421" t="s">
        <v>3093</v>
      </c>
      <c r="O469" s="421" t="s">
        <v>3094</v>
      </c>
      <c r="P469" s="421" t="s">
        <v>3095</v>
      </c>
      <c r="Q469" s="421" t="s">
        <v>3096</v>
      </c>
      <c r="R469" s="421" t="s">
        <v>1108</v>
      </c>
      <c r="S469" s="421" t="s">
        <v>1542</v>
      </c>
      <c r="T469" s="421" t="s">
        <v>1130</v>
      </c>
      <c r="U469" s="421" t="s">
        <v>1112</v>
      </c>
      <c r="V469" s="421" t="s">
        <v>3097</v>
      </c>
      <c r="W469" s="421" t="s">
        <v>3098</v>
      </c>
      <c r="X469" s="421" t="s">
        <v>3099</v>
      </c>
      <c r="Y469" s="421" t="s">
        <v>1117</v>
      </c>
      <c r="Z469" s="421" t="s">
        <v>1118</v>
      </c>
      <c r="AA469" s="421" t="s">
        <v>3100</v>
      </c>
      <c r="AB469" s="421" t="s">
        <v>3101</v>
      </c>
      <c r="AC469" s="421" t="s">
        <v>3102</v>
      </c>
      <c r="AD469" s="421" t="s">
        <v>3291</v>
      </c>
      <c r="AE469" s="421" t="s">
        <v>3292</v>
      </c>
      <c r="AF469" s="421" t="s">
        <v>2236</v>
      </c>
      <c r="AG469" s="421" t="s">
        <v>2237</v>
      </c>
      <c r="AH469" s="421" t="s">
        <v>3105</v>
      </c>
      <c r="AI469" s="421">
        <v>2053500</v>
      </c>
      <c r="AJ469" s="421">
        <v>3937.88</v>
      </c>
      <c r="AK469" s="421">
        <v>4282.7</v>
      </c>
      <c r="AL469" s="421">
        <v>1</v>
      </c>
      <c r="AM469" s="421" t="s">
        <v>965</v>
      </c>
      <c r="AN469" s="421" t="s">
        <v>3293</v>
      </c>
      <c r="AO469" s="421" t="s">
        <v>1121</v>
      </c>
      <c r="AP469" s="421" t="s">
        <v>1121</v>
      </c>
      <c r="AQ469" s="421" t="s">
        <v>1542</v>
      </c>
      <c r="AR469" s="421" t="s">
        <v>3753</v>
      </c>
      <c r="AS469" s="421" t="s">
        <v>3800</v>
      </c>
      <c r="AT469" s="421" t="s">
        <v>3109</v>
      </c>
      <c r="AU469" s="421" t="s">
        <v>1142</v>
      </c>
      <c r="AV469" s="421" t="s">
        <v>2520</v>
      </c>
      <c r="AW469" s="421" t="s">
        <v>3110</v>
      </c>
      <c r="AX469" s="421" t="s">
        <v>3131</v>
      </c>
      <c r="AY469" s="421" t="s">
        <v>3112</v>
      </c>
      <c r="AZ469" s="421" t="s">
        <v>3113</v>
      </c>
      <c r="BA469" s="421" t="s">
        <v>3114</v>
      </c>
      <c r="BB469" s="421" t="s">
        <v>3115</v>
      </c>
      <c r="BC469" s="421">
        <v>56425.5</v>
      </c>
      <c r="BD469" s="421">
        <v>168324037.56</v>
      </c>
      <c r="BE469" s="421">
        <v>0</v>
      </c>
      <c r="BF469" s="421">
        <v>1156.44</v>
      </c>
      <c r="BG469" s="421">
        <v>143.96</v>
      </c>
      <c r="BH469" s="421">
        <v>0</v>
      </c>
      <c r="BI469" s="421" t="s">
        <v>1331</v>
      </c>
    </row>
    <row r="470" spans="1:61" x14ac:dyDescent="0.25">
      <c r="A470" s="421">
        <v>467</v>
      </c>
      <c r="B470" s="421">
        <v>2015</v>
      </c>
      <c r="C470" s="421">
        <v>8</v>
      </c>
      <c r="D470" s="421">
        <v>15</v>
      </c>
      <c r="E470" s="421" t="s">
        <v>1475</v>
      </c>
      <c r="F470" s="421" t="s">
        <v>3557</v>
      </c>
      <c r="G470" s="421" t="s">
        <v>3563</v>
      </c>
      <c r="H470" s="421" t="s">
        <v>1107</v>
      </c>
      <c r="I470" s="421" t="s">
        <v>2353</v>
      </c>
      <c r="J470" s="421" t="s">
        <v>3799</v>
      </c>
      <c r="K470" s="421" t="s">
        <v>3093</v>
      </c>
      <c r="L470" s="421" t="s">
        <v>3094</v>
      </c>
      <c r="M470" s="421" t="s">
        <v>2667</v>
      </c>
      <c r="N470" s="421" t="s">
        <v>3093</v>
      </c>
      <c r="O470" s="421" t="s">
        <v>3094</v>
      </c>
      <c r="P470" s="421" t="s">
        <v>3095</v>
      </c>
      <c r="Q470" s="421" t="s">
        <v>3096</v>
      </c>
      <c r="R470" s="421" t="s">
        <v>1108</v>
      </c>
      <c r="S470" s="421" t="s">
        <v>1542</v>
      </c>
      <c r="T470" s="421" t="s">
        <v>1130</v>
      </c>
      <c r="U470" s="421" t="s">
        <v>1112</v>
      </c>
      <c r="V470" s="421" t="s">
        <v>3097</v>
      </c>
      <c r="W470" s="421" t="s">
        <v>3098</v>
      </c>
      <c r="X470" s="421" t="s">
        <v>3099</v>
      </c>
      <c r="Y470" s="421" t="s">
        <v>1117</v>
      </c>
      <c r="Z470" s="421" t="s">
        <v>1118</v>
      </c>
      <c r="AA470" s="421" t="s">
        <v>3100</v>
      </c>
      <c r="AB470" s="421" t="s">
        <v>3101</v>
      </c>
      <c r="AC470" s="421" t="s">
        <v>3102</v>
      </c>
      <c r="AD470" s="421" t="s">
        <v>3291</v>
      </c>
      <c r="AE470" s="421" t="s">
        <v>3292</v>
      </c>
      <c r="AF470" s="421" t="s">
        <v>2236</v>
      </c>
      <c r="AG470" s="421" t="s">
        <v>2237</v>
      </c>
      <c r="AH470" s="421" t="s">
        <v>3105</v>
      </c>
      <c r="AI470" s="421">
        <v>662000</v>
      </c>
      <c r="AJ470" s="421">
        <v>1682.22</v>
      </c>
      <c r="AK470" s="421">
        <v>1829.52</v>
      </c>
      <c r="AL470" s="421">
        <v>2</v>
      </c>
      <c r="AM470" s="421" t="s">
        <v>965</v>
      </c>
      <c r="AN470" s="421" t="s">
        <v>3293</v>
      </c>
      <c r="AO470" s="421" t="s">
        <v>1121</v>
      </c>
      <c r="AP470" s="421" t="s">
        <v>1121</v>
      </c>
      <c r="AQ470" s="421" t="s">
        <v>1542</v>
      </c>
      <c r="AR470" s="421" t="s">
        <v>3753</v>
      </c>
      <c r="AS470" s="421" t="s">
        <v>3800</v>
      </c>
      <c r="AT470" s="421" t="s">
        <v>3109</v>
      </c>
      <c r="AU470" s="421" t="s">
        <v>1142</v>
      </c>
      <c r="AV470" s="421" t="s">
        <v>2520</v>
      </c>
      <c r="AW470" s="421" t="s">
        <v>3110</v>
      </c>
      <c r="AX470" s="421" t="s">
        <v>3131</v>
      </c>
      <c r="AY470" s="421" t="s">
        <v>3112</v>
      </c>
      <c r="AZ470" s="421" t="s">
        <v>3113</v>
      </c>
      <c r="BA470" s="421" t="s">
        <v>3114</v>
      </c>
      <c r="BB470" s="421" t="s">
        <v>3115</v>
      </c>
      <c r="BC470" s="421">
        <v>21740.5</v>
      </c>
      <c r="BD470" s="421">
        <v>64854520.359999999</v>
      </c>
      <c r="BE470" s="421">
        <v>0</v>
      </c>
      <c r="BF470" s="421">
        <v>445.57</v>
      </c>
      <c r="BG470" s="421">
        <v>55.47</v>
      </c>
      <c r="BH470" s="421">
        <v>0</v>
      </c>
      <c r="BI470" s="421" t="s">
        <v>1331</v>
      </c>
    </row>
    <row r="471" spans="1:61" x14ac:dyDescent="0.25">
      <c r="A471" s="421">
        <v>468</v>
      </c>
      <c r="B471" s="421">
        <v>2015</v>
      </c>
      <c r="C471" s="421">
        <v>8</v>
      </c>
      <c r="D471" s="421">
        <v>15</v>
      </c>
      <c r="E471" s="421" t="s">
        <v>1475</v>
      </c>
      <c r="F471" s="421" t="s">
        <v>3557</v>
      </c>
      <c r="G471" s="421" t="s">
        <v>3563</v>
      </c>
      <c r="H471" s="421" t="s">
        <v>1107</v>
      </c>
      <c r="I471" s="421" t="s">
        <v>2353</v>
      </c>
      <c r="J471" s="421" t="s">
        <v>3799</v>
      </c>
      <c r="K471" s="421" t="s">
        <v>3093</v>
      </c>
      <c r="L471" s="421" t="s">
        <v>3094</v>
      </c>
      <c r="M471" s="421" t="s">
        <v>2667</v>
      </c>
      <c r="N471" s="421" t="s">
        <v>3093</v>
      </c>
      <c r="O471" s="421" t="s">
        <v>3094</v>
      </c>
      <c r="P471" s="421" t="s">
        <v>3095</v>
      </c>
      <c r="Q471" s="421" t="s">
        <v>3096</v>
      </c>
      <c r="R471" s="421" t="s">
        <v>1108</v>
      </c>
      <c r="S471" s="421" t="s">
        <v>1542</v>
      </c>
      <c r="T471" s="421" t="s">
        <v>1130</v>
      </c>
      <c r="U471" s="421" t="s">
        <v>1112</v>
      </c>
      <c r="V471" s="421" t="s">
        <v>3097</v>
      </c>
      <c r="W471" s="421" t="s">
        <v>3098</v>
      </c>
      <c r="X471" s="421" t="s">
        <v>3099</v>
      </c>
      <c r="Y471" s="421" t="s">
        <v>1117</v>
      </c>
      <c r="Z471" s="421" t="s">
        <v>1118</v>
      </c>
      <c r="AA471" s="421" t="s">
        <v>3100</v>
      </c>
      <c r="AB471" s="421" t="s">
        <v>3101</v>
      </c>
      <c r="AC471" s="421" t="s">
        <v>3102</v>
      </c>
      <c r="AD471" s="421" t="s">
        <v>3291</v>
      </c>
      <c r="AE471" s="421" t="s">
        <v>3292</v>
      </c>
      <c r="AF471" s="421" t="s">
        <v>2236</v>
      </c>
      <c r="AG471" s="421" t="s">
        <v>2237</v>
      </c>
      <c r="AH471" s="421" t="s">
        <v>3105</v>
      </c>
      <c r="AI471" s="421">
        <v>38000</v>
      </c>
      <c r="AJ471" s="421">
        <v>125.69</v>
      </c>
      <c r="AK471" s="421">
        <v>136.69</v>
      </c>
      <c r="AL471" s="421">
        <v>3</v>
      </c>
      <c r="AM471" s="421" t="s">
        <v>965</v>
      </c>
      <c r="AN471" s="421" t="s">
        <v>3293</v>
      </c>
      <c r="AO471" s="421" t="s">
        <v>1121</v>
      </c>
      <c r="AP471" s="421" t="s">
        <v>1121</v>
      </c>
      <c r="AQ471" s="421" t="s">
        <v>1542</v>
      </c>
      <c r="AR471" s="421" t="s">
        <v>3753</v>
      </c>
      <c r="AS471" s="421" t="s">
        <v>3800</v>
      </c>
      <c r="AT471" s="421" t="s">
        <v>3109</v>
      </c>
      <c r="AU471" s="421" t="s">
        <v>1142</v>
      </c>
      <c r="AV471" s="421" t="s">
        <v>2520</v>
      </c>
      <c r="AW471" s="421" t="s">
        <v>3110</v>
      </c>
      <c r="AX471" s="421" t="s">
        <v>3131</v>
      </c>
      <c r="AY471" s="421" t="s">
        <v>3112</v>
      </c>
      <c r="AZ471" s="421" t="s">
        <v>3113</v>
      </c>
      <c r="BA471" s="421" t="s">
        <v>3114</v>
      </c>
      <c r="BB471" s="421" t="s">
        <v>3115</v>
      </c>
      <c r="BC471" s="421">
        <v>2476</v>
      </c>
      <c r="BD471" s="421">
        <v>7386205.1200000001</v>
      </c>
      <c r="BE471" s="421">
        <v>0</v>
      </c>
      <c r="BF471" s="421">
        <v>50.75</v>
      </c>
      <c r="BG471" s="421">
        <v>6.32</v>
      </c>
      <c r="BH471" s="421">
        <v>0</v>
      </c>
      <c r="BI471" s="421" t="s">
        <v>1331</v>
      </c>
    </row>
    <row r="472" spans="1:61" x14ac:dyDescent="0.25">
      <c r="A472" s="421">
        <v>469</v>
      </c>
      <c r="B472" s="421">
        <v>2015</v>
      </c>
      <c r="C472" s="421">
        <v>8</v>
      </c>
      <c r="D472" s="421">
        <v>15</v>
      </c>
      <c r="E472" s="421" t="s">
        <v>1475</v>
      </c>
      <c r="F472" s="421" t="s">
        <v>3557</v>
      </c>
      <c r="G472" s="421" t="s">
        <v>3563</v>
      </c>
      <c r="H472" s="421" t="s">
        <v>1107</v>
      </c>
      <c r="I472" s="421" t="s">
        <v>2353</v>
      </c>
      <c r="J472" s="421" t="s">
        <v>3799</v>
      </c>
      <c r="K472" s="421" t="s">
        <v>3093</v>
      </c>
      <c r="L472" s="421" t="s">
        <v>3094</v>
      </c>
      <c r="M472" s="421" t="s">
        <v>2667</v>
      </c>
      <c r="N472" s="421" t="s">
        <v>3093</v>
      </c>
      <c r="O472" s="421" t="s">
        <v>3094</v>
      </c>
      <c r="P472" s="421" t="s">
        <v>3095</v>
      </c>
      <c r="Q472" s="421" t="s">
        <v>3096</v>
      </c>
      <c r="R472" s="421" t="s">
        <v>1108</v>
      </c>
      <c r="S472" s="421" t="s">
        <v>1542</v>
      </c>
      <c r="T472" s="421" t="s">
        <v>1130</v>
      </c>
      <c r="U472" s="421" t="s">
        <v>1112</v>
      </c>
      <c r="V472" s="421" t="s">
        <v>3097</v>
      </c>
      <c r="W472" s="421" t="s">
        <v>3098</v>
      </c>
      <c r="X472" s="421" t="s">
        <v>3099</v>
      </c>
      <c r="Y472" s="421" t="s">
        <v>1117</v>
      </c>
      <c r="Z472" s="421" t="s">
        <v>1118</v>
      </c>
      <c r="AA472" s="421" t="s">
        <v>3100</v>
      </c>
      <c r="AB472" s="421" t="s">
        <v>3101</v>
      </c>
      <c r="AC472" s="421" t="s">
        <v>3102</v>
      </c>
      <c r="AD472" s="421" t="s">
        <v>3291</v>
      </c>
      <c r="AE472" s="421" t="s">
        <v>3292</v>
      </c>
      <c r="AF472" s="421" t="s">
        <v>2236</v>
      </c>
      <c r="AG472" s="421" t="s">
        <v>2237</v>
      </c>
      <c r="AH472" s="421" t="s">
        <v>3105</v>
      </c>
      <c r="AI472" s="421">
        <v>132000</v>
      </c>
      <c r="AJ472" s="421">
        <v>488.4</v>
      </c>
      <c r="AK472" s="421">
        <v>531.16</v>
      </c>
      <c r="AL472" s="421">
        <v>4</v>
      </c>
      <c r="AM472" s="421" t="s">
        <v>965</v>
      </c>
      <c r="AN472" s="421" t="s">
        <v>3293</v>
      </c>
      <c r="AO472" s="421" t="s">
        <v>1121</v>
      </c>
      <c r="AP472" s="421" t="s">
        <v>1121</v>
      </c>
      <c r="AQ472" s="421" t="s">
        <v>1542</v>
      </c>
      <c r="AR472" s="421" t="s">
        <v>3753</v>
      </c>
      <c r="AS472" s="421" t="s">
        <v>3800</v>
      </c>
      <c r="AT472" s="421" t="s">
        <v>3109</v>
      </c>
      <c r="AU472" s="421" t="s">
        <v>1142</v>
      </c>
      <c r="AV472" s="421" t="s">
        <v>2520</v>
      </c>
      <c r="AW472" s="421" t="s">
        <v>3110</v>
      </c>
      <c r="AX472" s="421" t="s">
        <v>3131</v>
      </c>
      <c r="AY472" s="421" t="s">
        <v>3112</v>
      </c>
      <c r="AZ472" s="421" t="s">
        <v>3113</v>
      </c>
      <c r="BA472" s="421" t="s">
        <v>3114</v>
      </c>
      <c r="BB472" s="421" t="s">
        <v>3115</v>
      </c>
      <c r="BC472" s="421">
        <v>11088</v>
      </c>
      <c r="BD472" s="421">
        <v>33076834.559999999</v>
      </c>
      <c r="BE472" s="421">
        <v>0</v>
      </c>
      <c r="BF472" s="421">
        <v>227.25</v>
      </c>
      <c r="BG472" s="421">
        <v>28.29</v>
      </c>
      <c r="BH472" s="421">
        <v>0</v>
      </c>
      <c r="BI472" s="421" t="s">
        <v>1331</v>
      </c>
    </row>
    <row r="473" spans="1:61" x14ac:dyDescent="0.25">
      <c r="A473" s="421">
        <v>470</v>
      </c>
      <c r="B473" s="421">
        <v>2015</v>
      </c>
      <c r="C473" s="421">
        <v>8</v>
      </c>
      <c r="D473" s="421">
        <v>18</v>
      </c>
      <c r="E473" s="421" t="s">
        <v>1475</v>
      </c>
      <c r="F473" s="421" t="s">
        <v>3557</v>
      </c>
      <c r="G473" s="421" t="s">
        <v>3289</v>
      </c>
      <c r="H473" s="421" t="s">
        <v>1107</v>
      </c>
      <c r="I473" s="421" t="s">
        <v>2369</v>
      </c>
      <c r="J473" s="421" t="s">
        <v>3801</v>
      </c>
      <c r="K473" s="421" t="s">
        <v>3093</v>
      </c>
      <c r="L473" s="421" t="s">
        <v>3094</v>
      </c>
      <c r="M473" s="421" t="s">
        <v>2667</v>
      </c>
      <c r="N473" s="421" t="s">
        <v>3093</v>
      </c>
      <c r="O473" s="421" t="s">
        <v>3094</v>
      </c>
      <c r="P473" s="421" t="s">
        <v>3095</v>
      </c>
      <c r="Q473" s="421" t="s">
        <v>3113</v>
      </c>
      <c r="R473" s="421" t="s">
        <v>1108</v>
      </c>
      <c r="S473" s="421" t="s">
        <v>1108</v>
      </c>
      <c r="T473" s="421" t="s">
        <v>1130</v>
      </c>
      <c r="U473" s="421" t="s">
        <v>1112</v>
      </c>
      <c r="V473" s="421" t="s">
        <v>3097</v>
      </c>
      <c r="W473" s="421" t="s">
        <v>3098</v>
      </c>
      <c r="X473" s="421" t="s">
        <v>3099</v>
      </c>
      <c r="Y473" s="421" t="s">
        <v>1117</v>
      </c>
      <c r="Z473" s="421" t="s">
        <v>1118</v>
      </c>
      <c r="AA473" s="421" t="s">
        <v>3100</v>
      </c>
      <c r="AB473" s="421" t="s">
        <v>3101</v>
      </c>
      <c r="AC473" s="421" t="s">
        <v>3102</v>
      </c>
      <c r="AD473" s="421" t="s">
        <v>3802</v>
      </c>
      <c r="AE473" s="421" t="s">
        <v>3803</v>
      </c>
      <c r="AF473" s="421" t="s">
        <v>2236</v>
      </c>
      <c r="AG473" s="421" t="s">
        <v>2237</v>
      </c>
      <c r="AH473" s="421" t="s">
        <v>3105</v>
      </c>
      <c r="AI473" s="421">
        <v>470000</v>
      </c>
      <c r="AJ473" s="421">
        <v>1007.42</v>
      </c>
      <c r="AK473" s="421">
        <v>1094.94</v>
      </c>
      <c r="AL473" s="421">
        <v>2</v>
      </c>
      <c r="AM473" s="421" t="s">
        <v>960</v>
      </c>
      <c r="AN473" s="421" t="s">
        <v>3804</v>
      </c>
      <c r="AO473" s="421" t="s">
        <v>1121</v>
      </c>
      <c r="AP473" s="421" t="s">
        <v>1121</v>
      </c>
      <c r="AQ473" s="421" t="s">
        <v>1108</v>
      </c>
      <c r="AR473" s="421" t="s">
        <v>3753</v>
      </c>
      <c r="AS473" s="421" t="s">
        <v>3805</v>
      </c>
      <c r="AT473" s="421" t="s">
        <v>3109</v>
      </c>
      <c r="AU473" s="421" t="s">
        <v>1142</v>
      </c>
      <c r="AV473" s="421" t="s">
        <v>2037</v>
      </c>
      <c r="AW473" s="421" t="s">
        <v>3110</v>
      </c>
      <c r="AX473" s="421" t="s">
        <v>3111</v>
      </c>
      <c r="AY473" s="421" t="s">
        <v>3112</v>
      </c>
      <c r="AZ473" s="421" t="s">
        <v>3113</v>
      </c>
      <c r="BA473" s="421" t="s">
        <v>3114</v>
      </c>
      <c r="BB473" s="421" t="s">
        <v>3115</v>
      </c>
      <c r="BC473" s="421">
        <v>14923.5</v>
      </c>
      <c r="BD473" s="421">
        <v>44518591.32</v>
      </c>
      <c r="BE473" s="421">
        <v>0</v>
      </c>
      <c r="BF473" s="421">
        <v>68.44</v>
      </c>
      <c r="BG473" s="421">
        <v>37.479999999999997</v>
      </c>
      <c r="BH473" s="421">
        <v>0</v>
      </c>
      <c r="BI473" s="421" t="s">
        <v>1167</v>
      </c>
    </row>
    <row r="474" spans="1:61" x14ac:dyDescent="0.25">
      <c r="A474" s="421">
        <v>471</v>
      </c>
      <c r="B474" s="421">
        <v>2015</v>
      </c>
      <c r="C474" s="421">
        <v>8</v>
      </c>
      <c r="D474" s="421">
        <v>18</v>
      </c>
      <c r="E474" s="421" t="s">
        <v>1475</v>
      </c>
      <c r="F474" s="421" t="s">
        <v>3557</v>
      </c>
      <c r="G474" s="421" t="s">
        <v>3289</v>
      </c>
      <c r="H474" s="421" t="s">
        <v>1107</v>
      </c>
      <c r="I474" s="421" t="s">
        <v>2369</v>
      </c>
      <c r="J474" s="421" t="s">
        <v>3801</v>
      </c>
      <c r="K474" s="421" t="s">
        <v>3093</v>
      </c>
      <c r="L474" s="421" t="s">
        <v>3094</v>
      </c>
      <c r="M474" s="421" t="s">
        <v>2667</v>
      </c>
      <c r="N474" s="421" t="s">
        <v>3093</v>
      </c>
      <c r="O474" s="421" t="s">
        <v>3094</v>
      </c>
      <c r="P474" s="421" t="s">
        <v>3095</v>
      </c>
      <c r="Q474" s="421" t="s">
        <v>3113</v>
      </c>
      <c r="R474" s="421" t="s">
        <v>1108</v>
      </c>
      <c r="S474" s="421" t="s">
        <v>1108</v>
      </c>
      <c r="T474" s="421" t="s">
        <v>1130</v>
      </c>
      <c r="U474" s="421" t="s">
        <v>1112</v>
      </c>
      <c r="V474" s="421" t="s">
        <v>3097</v>
      </c>
      <c r="W474" s="421" t="s">
        <v>3098</v>
      </c>
      <c r="X474" s="421" t="s">
        <v>3099</v>
      </c>
      <c r="Y474" s="421" t="s">
        <v>1117</v>
      </c>
      <c r="Z474" s="421" t="s">
        <v>1118</v>
      </c>
      <c r="AA474" s="421" t="s">
        <v>3100</v>
      </c>
      <c r="AB474" s="421" t="s">
        <v>3101</v>
      </c>
      <c r="AC474" s="421" t="s">
        <v>3102</v>
      </c>
      <c r="AD474" s="421" t="s">
        <v>3802</v>
      </c>
      <c r="AE474" s="421" t="s">
        <v>3803</v>
      </c>
      <c r="AF474" s="421" t="s">
        <v>2236</v>
      </c>
      <c r="AG474" s="421" t="s">
        <v>2237</v>
      </c>
      <c r="AH474" s="421" t="s">
        <v>3105</v>
      </c>
      <c r="AI474" s="421">
        <v>75800</v>
      </c>
      <c r="AJ474" s="421">
        <v>292.05</v>
      </c>
      <c r="AK474" s="421">
        <v>317.42</v>
      </c>
      <c r="AL474" s="421">
        <v>3</v>
      </c>
      <c r="AM474" s="421" t="s">
        <v>960</v>
      </c>
      <c r="AN474" s="421" t="s">
        <v>3804</v>
      </c>
      <c r="AO474" s="421" t="s">
        <v>1121</v>
      </c>
      <c r="AP474" s="421" t="s">
        <v>1121</v>
      </c>
      <c r="AQ474" s="421" t="s">
        <v>1108</v>
      </c>
      <c r="AR474" s="421" t="s">
        <v>3753</v>
      </c>
      <c r="AS474" s="421" t="s">
        <v>3805</v>
      </c>
      <c r="AT474" s="421" t="s">
        <v>3109</v>
      </c>
      <c r="AU474" s="421" t="s">
        <v>1142</v>
      </c>
      <c r="AV474" s="421" t="s">
        <v>2037</v>
      </c>
      <c r="AW474" s="421" t="s">
        <v>3110</v>
      </c>
      <c r="AX474" s="421" t="s">
        <v>3111</v>
      </c>
      <c r="AY474" s="421" t="s">
        <v>3112</v>
      </c>
      <c r="AZ474" s="421" t="s">
        <v>3113</v>
      </c>
      <c r="BA474" s="421" t="s">
        <v>3114</v>
      </c>
      <c r="BB474" s="421" t="s">
        <v>3115</v>
      </c>
      <c r="BC474" s="421">
        <v>7018</v>
      </c>
      <c r="BD474" s="421">
        <v>20935536.16</v>
      </c>
      <c r="BE474" s="421">
        <v>0</v>
      </c>
      <c r="BF474" s="421">
        <v>32.18</v>
      </c>
      <c r="BG474" s="421">
        <v>17.63</v>
      </c>
      <c r="BH474" s="421">
        <v>0</v>
      </c>
      <c r="BI474" s="421" t="s">
        <v>1167</v>
      </c>
    </row>
    <row r="475" spans="1:61" x14ac:dyDescent="0.25">
      <c r="A475" s="421">
        <v>472</v>
      </c>
      <c r="B475" s="421">
        <v>2015</v>
      </c>
      <c r="C475" s="421">
        <v>8</v>
      </c>
      <c r="D475" s="421">
        <v>18</v>
      </c>
      <c r="E475" s="421" t="s">
        <v>1475</v>
      </c>
      <c r="F475" s="421" t="s">
        <v>3557</v>
      </c>
      <c r="G475" s="421" t="s">
        <v>3289</v>
      </c>
      <c r="H475" s="421" t="s">
        <v>1107</v>
      </c>
      <c r="I475" s="421" t="s">
        <v>2369</v>
      </c>
      <c r="J475" s="421" t="s">
        <v>3801</v>
      </c>
      <c r="K475" s="421" t="s">
        <v>3093</v>
      </c>
      <c r="L475" s="421" t="s">
        <v>3094</v>
      </c>
      <c r="M475" s="421" t="s">
        <v>2667</v>
      </c>
      <c r="N475" s="421" t="s">
        <v>3093</v>
      </c>
      <c r="O475" s="421" t="s">
        <v>3094</v>
      </c>
      <c r="P475" s="421" t="s">
        <v>3095</v>
      </c>
      <c r="Q475" s="421" t="s">
        <v>3113</v>
      </c>
      <c r="R475" s="421" t="s">
        <v>1108</v>
      </c>
      <c r="S475" s="421" t="s">
        <v>1108</v>
      </c>
      <c r="T475" s="421" t="s">
        <v>1130</v>
      </c>
      <c r="U475" s="421" t="s">
        <v>1112</v>
      </c>
      <c r="V475" s="421" t="s">
        <v>3097</v>
      </c>
      <c r="W475" s="421" t="s">
        <v>3098</v>
      </c>
      <c r="X475" s="421" t="s">
        <v>3099</v>
      </c>
      <c r="Y475" s="421" t="s">
        <v>1117</v>
      </c>
      <c r="Z475" s="421" t="s">
        <v>1118</v>
      </c>
      <c r="AA475" s="421" t="s">
        <v>3100</v>
      </c>
      <c r="AB475" s="421" t="s">
        <v>3101</v>
      </c>
      <c r="AC475" s="421" t="s">
        <v>3102</v>
      </c>
      <c r="AD475" s="421" t="s">
        <v>3802</v>
      </c>
      <c r="AE475" s="421" t="s">
        <v>3803</v>
      </c>
      <c r="AF475" s="421" t="s">
        <v>2236</v>
      </c>
      <c r="AG475" s="421" t="s">
        <v>2237</v>
      </c>
      <c r="AH475" s="421" t="s">
        <v>3105</v>
      </c>
      <c r="AI475" s="421">
        <v>5897500</v>
      </c>
      <c r="AJ475" s="421">
        <v>13086.93</v>
      </c>
      <c r="AK475" s="421">
        <v>14223.94</v>
      </c>
      <c r="AL475" s="421">
        <v>1</v>
      </c>
      <c r="AM475" s="421" t="s">
        <v>960</v>
      </c>
      <c r="AN475" s="421" t="s">
        <v>3804</v>
      </c>
      <c r="AO475" s="421" t="s">
        <v>1121</v>
      </c>
      <c r="AP475" s="421" t="s">
        <v>1121</v>
      </c>
      <c r="AQ475" s="421" t="s">
        <v>1108</v>
      </c>
      <c r="AR475" s="421" t="s">
        <v>3753</v>
      </c>
      <c r="AS475" s="421" t="s">
        <v>3805</v>
      </c>
      <c r="AT475" s="421" t="s">
        <v>3109</v>
      </c>
      <c r="AU475" s="421" t="s">
        <v>1142</v>
      </c>
      <c r="AV475" s="421" t="s">
        <v>2037</v>
      </c>
      <c r="AW475" s="421" t="s">
        <v>3110</v>
      </c>
      <c r="AX475" s="421" t="s">
        <v>3111</v>
      </c>
      <c r="AY475" s="421" t="s">
        <v>3112</v>
      </c>
      <c r="AZ475" s="421" t="s">
        <v>3113</v>
      </c>
      <c r="BA475" s="421" t="s">
        <v>3114</v>
      </c>
      <c r="BB475" s="421" t="s">
        <v>3115</v>
      </c>
      <c r="BC475" s="421">
        <v>180852</v>
      </c>
      <c r="BD475" s="421">
        <v>539503218.24000001</v>
      </c>
      <c r="BE475" s="421">
        <v>0</v>
      </c>
      <c r="BF475" s="421">
        <v>829.38</v>
      </c>
      <c r="BG475" s="421">
        <v>454.2</v>
      </c>
      <c r="BH475" s="421">
        <v>0</v>
      </c>
      <c r="BI475" s="421" t="s">
        <v>1167</v>
      </c>
    </row>
    <row r="476" spans="1:61" x14ac:dyDescent="0.25">
      <c r="A476" s="421">
        <v>473</v>
      </c>
      <c r="B476" s="421">
        <v>2015</v>
      </c>
      <c r="C476" s="421">
        <v>8</v>
      </c>
      <c r="D476" s="421">
        <v>18</v>
      </c>
      <c r="E476" s="421" t="s">
        <v>1475</v>
      </c>
      <c r="F476" s="421" t="s">
        <v>3557</v>
      </c>
      <c r="G476" s="421" t="s">
        <v>3289</v>
      </c>
      <c r="H476" s="421" t="s">
        <v>1107</v>
      </c>
      <c r="I476" s="421" t="s">
        <v>2369</v>
      </c>
      <c r="J476" s="421" t="s">
        <v>3806</v>
      </c>
      <c r="K476" s="421" t="s">
        <v>3093</v>
      </c>
      <c r="L476" s="421" t="s">
        <v>3094</v>
      </c>
      <c r="M476" s="421" t="s">
        <v>2667</v>
      </c>
      <c r="N476" s="421" t="s">
        <v>3093</v>
      </c>
      <c r="O476" s="421" t="s">
        <v>3094</v>
      </c>
      <c r="P476" s="421" t="s">
        <v>3095</v>
      </c>
      <c r="Q476" s="421" t="s">
        <v>3096</v>
      </c>
      <c r="R476" s="421" t="s">
        <v>1108</v>
      </c>
      <c r="S476" s="421" t="s">
        <v>1542</v>
      </c>
      <c r="T476" s="421" t="s">
        <v>1130</v>
      </c>
      <c r="U476" s="421" t="s">
        <v>1112</v>
      </c>
      <c r="V476" s="421" t="s">
        <v>3097</v>
      </c>
      <c r="W476" s="421" t="s">
        <v>3098</v>
      </c>
      <c r="X476" s="421" t="s">
        <v>3099</v>
      </c>
      <c r="Y476" s="421" t="s">
        <v>1117</v>
      </c>
      <c r="Z476" s="421" t="s">
        <v>1118</v>
      </c>
      <c r="AA476" s="421" t="s">
        <v>3100</v>
      </c>
      <c r="AB476" s="421" t="s">
        <v>3101</v>
      </c>
      <c r="AC476" s="421" t="s">
        <v>3102</v>
      </c>
      <c r="AD476" s="421" t="s">
        <v>3103</v>
      </c>
      <c r="AE476" s="421" t="s">
        <v>3104</v>
      </c>
      <c r="AF476" s="421" t="s">
        <v>2236</v>
      </c>
      <c r="AG476" s="421" t="s">
        <v>2237</v>
      </c>
      <c r="AH476" s="421" t="s">
        <v>3105</v>
      </c>
      <c r="AI476" s="421">
        <v>66000</v>
      </c>
      <c r="AJ476" s="421">
        <v>243.98</v>
      </c>
      <c r="AK476" s="421">
        <v>264.31</v>
      </c>
      <c r="AL476" s="421">
        <v>4</v>
      </c>
      <c r="AM476" s="421" t="s">
        <v>959</v>
      </c>
      <c r="AN476" s="421" t="s">
        <v>3106</v>
      </c>
      <c r="AO476" s="421" t="s">
        <v>1121</v>
      </c>
      <c r="AP476" s="421" t="s">
        <v>1121</v>
      </c>
      <c r="AQ476" s="421" t="s">
        <v>1542</v>
      </c>
      <c r="AR476" s="421" t="s">
        <v>3753</v>
      </c>
      <c r="AS476" s="421" t="s">
        <v>3807</v>
      </c>
      <c r="AT476" s="421" t="s">
        <v>3109</v>
      </c>
      <c r="AU476" s="421" t="s">
        <v>1142</v>
      </c>
      <c r="AV476" s="421" t="s">
        <v>2520</v>
      </c>
      <c r="AW476" s="421" t="s">
        <v>3110</v>
      </c>
      <c r="AX476" s="421" t="s">
        <v>3111</v>
      </c>
      <c r="AY476" s="421" t="s">
        <v>3112</v>
      </c>
      <c r="AZ476" s="421" t="s">
        <v>3113</v>
      </c>
      <c r="BA476" s="421" t="s">
        <v>3114</v>
      </c>
      <c r="BB476" s="421" t="s">
        <v>3115</v>
      </c>
      <c r="BC476" s="421">
        <v>5544</v>
      </c>
      <c r="BD476" s="421">
        <v>16538417.279999999</v>
      </c>
      <c r="BE476" s="421">
        <v>0</v>
      </c>
      <c r="BF476" s="421">
        <v>0</v>
      </c>
      <c r="BG476" s="421">
        <v>0</v>
      </c>
      <c r="BH476" s="421">
        <v>0</v>
      </c>
      <c r="BI476" s="421" t="s">
        <v>1167</v>
      </c>
    </row>
    <row r="477" spans="1:61" x14ac:dyDescent="0.25">
      <c r="A477" s="421">
        <v>474</v>
      </c>
      <c r="B477" s="421">
        <v>2015</v>
      </c>
      <c r="C477" s="421">
        <v>8</v>
      </c>
      <c r="D477" s="421">
        <v>18</v>
      </c>
      <c r="E477" s="421" t="s">
        <v>1475</v>
      </c>
      <c r="F477" s="421" t="s">
        <v>3557</v>
      </c>
      <c r="G477" s="421" t="s">
        <v>3289</v>
      </c>
      <c r="H477" s="421" t="s">
        <v>1107</v>
      </c>
      <c r="I477" s="421" t="s">
        <v>2369</v>
      </c>
      <c r="J477" s="421" t="s">
        <v>3806</v>
      </c>
      <c r="K477" s="421" t="s">
        <v>3093</v>
      </c>
      <c r="L477" s="421" t="s">
        <v>3094</v>
      </c>
      <c r="M477" s="421" t="s">
        <v>2667</v>
      </c>
      <c r="N477" s="421" t="s">
        <v>3093</v>
      </c>
      <c r="O477" s="421" t="s">
        <v>3094</v>
      </c>
      <c r="P477" s="421" t="s">
        <v>3095</v>
      </c>
      <c r="Q477" s="421" t="s">
        <v>3096</v>
      </c>
      <c r="R477" s="421" t="s">
        <v>1108</v>
      </c>
      <c r="S477" s="421" t="s">
        <v>1542</v>
      </c>
      <c r="T477" s="421" t="s">
        <v>1130</v>
      </c>
      <c r="U477" s="421" t="s">
        <v>1112</v>
      </c>
      <c r="V477" s="421" t="s">
        <v>3097</v>
      </c>
      <c r="W477" s="421" t="s">
        <v>3098</v>
      </c>
      <c r="X477" s="421" t="s">
        <v>3099</v>
      </c>
      <c r="Y477" s="421" t="s">
        <v>1117</v>
      </c>
      <c r="Z477" s="421" t="s">
        <v>1118</v>
      </c>
      <c r="AA477" s="421" t="s">
        <v>3100</v>
      </c>
      <c r="AB477" s="421" t="s">
        <v>3101</v>
      </c>
      <c r="AC477" s="421" t="s">
        <v>3102</v>
      </c>
      <c r="AD477" s="421" t="s">
        <v>3103</v>
      </c>
      <c r="AE477" s="421" t="s">
        <v>3104</v>
      </c>
      <c r="AF477" s="421" t="s">
        <v>2236</v>
      </c>
      <c r="AG477" s="421" t="s">
        <v>2237</v>
      </c>
      <c r="AH477" s="421" t="s">
        <v>3105</v>
      </c>
      <c r="AI477" s="421">
        <v>739000</v>
      </c>
      <c r="AJ477" s="421">
        <v>2819.31</v>
      </c>
      <c r="AK477" s="421">
        <v>3054.23</v>
      </c>
      <c r="AL477" s="421">
        <v>3</v>
      </c>
      <c r="AM477" s="421" t="s">
        <v>959</v>
      </c>
      <c r="AN477" s="421" t="s">
        <v>3106</v>
      </c>
      <c r="AO477" s="421" t="s">
        <v>1121</v>
      </c>
      <c r="AP477" s="421" t="s">
        <v>1121</v>
      </c>
      <c r="AQ477" s="421" t="s">
        <v>1542</v>
      </c>
      <c r="AR477" s="421" t="s">
        <v>3753</v>
      </c>
      <c r="AS477" s="421" t="s">
        <v>3807</v>
      </c>
      <c r="AT477" s="421" t="s">
        <v>3109</v>
      </c>
      <c r="AU477" s="421" t="s">
        <v>1142</v>
      </c>
      <c r="AV477" s="421" t="s">
        <v>2520</v>
      </c>
      <c r="AW477" s="421" t="s">
        <v>3110</v>
      </c>
      <c r="AX477" s="421" t="s">
        <v>3111</v>
      </c>
      <c r="AY477" s="421" t="s">
        <v>3112</v>
      </c>
      <c r="AZ477" s="421" t="s">
        <v>3113</v>
      </c>
      <c r="BA477" s="421" t="s">
        <v>3114</v>
      </c>
      <c r="BB477" s="421" t="s">
        <v>3115</v>
      </c>
      <c r="BC477" s="421">
        <v>66079.399999999994</v>
      </c>
      <c r="BD477" s="421">
        <v>197122779.72</v>
      </c>
      <c r="BE477" s="421">
        <v>0</v>
      </c>
      <c r="BF477" s="421">
        <v>0</v>
      </c>
      <c r="BG477" s="421">
        <v>0</v>
      </c>
      <c r="BH477" s="421">
        <v>0</v>
      </c>
      <c r="BI477" s="421" t="s">
        <v>1167</v>
      </c>
    </row>
    <row r="478" spans="1:61" x14ac:dyDescent="0.25">
      <c r="A478" s="421">
        <v>475</v>
      </c>
      <c r="B478" s="421">
        <v>2015</v>
      </c>
      <c r="C478" s="421">
        <v>8</v>
      </c>
      <c r="D478" s="421">
        <v>18</v>
      </c>
      <c r="E478" s="421" t="s">
        <v>1475</v>
      </c>
      <c r="F478" s="421" t="s">
        <v>3557</v>
      </c>
      <c r="G478" s="421" t="s">
        <v>3289</v>
      </c>
      <c r="H478" s="421" t="s">
        <v>1107</v>
      </c>
      <c r="I478" s="421" t="s">
        <v>2369</v>
      </c>
      <c r="J478" s="421" t="s">
        <v>3806</v>
      </c>
      <c r="K478" s="421" t="s">
        <v>3093</v>
      </c>
      <c r="L478" s="421" t="s">
        <v>3094</v>
      </c>
      <c r="M478" s="421" t="s">
        <v>2667</v>
      </c>
      <c r="N478" s="421" t="s">
        <v>3093</v>
      </c>
      <c r="O478" s="421" t="s">
        <v>3094</v>
      </c>
      <c r="P478" s="421" t="s">
        <v>3095</v>
      </c>
      <c r="Q478" s="421" t="s">
        <v>3096</v>
      </c>
      <c r="R478" s="421" t="s">
        <v>1108</v>
      </c>
      <c r="S478" s="421" t="s">
        <v>1542</v>
      </c>
      <c r="T478" s="421" t="s">
        <v>1130</v>
      </c>
      <c r="U478" s="421" t="s">
        <v>1112</v>
      </c>
      <c r="V478" s="421" t="s">
        <v>3097</v>
      </c>
      <c r="W478" s="421" t="s">
        <v>3098</v>
      </c>
      <c r="X478" s="421" t="s">
        <v>3099</v>
      </c>
      <c r="Y478" s="421" t="s">
        <v>1117</v>
      </c>
      <c r="Z478" s="421" t="s">
        <v>1118</v>
      </c>
      <c r="AA478" s="421" t="s">
        <v>3100</v>
      </c>
      <c r="AB478" s="421" t="s">
        <v>3101</v>
      </c>
      <c r="AC478" s="421" t="s">
        <v>3102</v>
      </c>
      <c r="AD478" s="421" t="s">
        <v>3103</v>
      </c>
      <c r="AE478" s="421" t="s">
        <v>3104</v>
      </c>
      <c r="AF478" s="421" t="s">
        <v>2236</v>
      </c>
      <c r="AG478" s="421" t="s">
        <v>2237</v>
      </c>
      <c r="AH478" s="421" t="s">
        <v>3105</v>
      </c>
      <c r="AI478" s="421">
        <v>112000</v>
      </c>
      <c r="AJ478" s="421">
        <v>257.52</v>
      </c>
      <c r="AK478" s="421">
        <v>278.97000000000003</v>
      </c>
      <c r="AL478" s="421">
        <v>2</v>
      </c>
      <c r="AM478" s="421" t="s">
        <v>959</v>
      </c>
      <c r="AN478" s="421" t="s">
        <v>3106</v>
      </c>
      <c r="AO478" s="421" t="s">
        <v>1121</v>
      </c>
      <c r="AP478" s="421" t="s">
        <v>1121</v>
      </c>
      <c r="AQ478" s="421" t="s">
        <v>1542</v>
      </c>
      <c r="AR478" s="421" t="s">
        <v>3753</v>
      </c>
      <c r="AS478" s="421" t="s">
        <v>3807</v>
      </c>
      <c r="AT478" s="421" t="s">
        <v>3109</v>
      </c>
      <c r="AU478" s="421" t="s">
        <v>1142</v>
      </c>
      <c r="AV478" s="421" t="s">
        <v>2520</v>
      </c>
      <c r="AW478" s="421" t="s">
        <v>3110</v>
      </c>
      <c r="AX478" s="421" t="s">
        <v>3111</v>
      </c>
      <c r="AY478" s="421" t="s">
        <v>3112</v>
      </c>
      <c r="AZ478" s="421" t="s">
        <v>3113</v>
      </c>
      <c r="BA478" s="421" t="s">
        <v>3114</v>
      </c>
      <c r="BB478" s="421" t="s">
        <v>3115</v>
      </c>
      <c r="BC478" s="421">
        <v>3110</v>
      </c>
      <c r="BD478" s="421">
        <v>9277503.1999999993</v>
      </c>
      <c r="BE478" s="421">
        <v>0</v>
      </c>
      <c r="BF478" s="421">
        <v>0</v>
      </c>
      <c r="BG478" s="421">
        <v>0</v>
      </c>
      <c r="BH478" s="421">
        <v>0</v>
      </c>
      <c r="BI478" s="421" t="s">
        <v>1167</v>
      </c>
    </row>
    <row r="479" spans="1:61" x14ac:dyDescent="0.25">
      <c r="A479" s="421">
        <v>476</v>
      </c>
      <c r="B479" s="421">
        <v>2015</v>
      </c>
      <c r="C479" s="421">
        <v>8</v>
      </c>
      <c r="D479" s="421">
        <v>18</v>
      </c>
      <c r="E479" s="421" t="s">
        <v>1475</v>
      </c>
      <c r="F479" s="421" t="s">
        <v>3557</v>
      </c>
      <c r="G479" s="421" t="s">
        <v>3289</v>
      </c>
      <c r="H479" s="421" t="s">
        <v>1107</v>
      </c>
      <c r="I479" s="421" t="s">
        <v>2369</v>
      </c>
      <c r="J479" s="421" t="s">
        <v>3806</v>
      </c>
      <c r="K479" s="421" t="s">
        <v>3093</v>
      </c>
      <c r="L479" s="421" t="s">
        <v>3094</v>
      </c>
      <c r="M479" s="421" t="s">
        <v>2667</v>
      </c>
      <c r="N479" s="421" t="s">
        <v>3093</v>
      </c>
      <c r="O479" s="421" t="s">
        <v>3094</v>
      </c>
      <c r="P479" s="421" t="s">
        <v>3095</v>
      </c>
      <c r="Q479" s="421" t="s">
        <v>3096</v>
      </c>
      <c r="R479" s="421" t="s">
        <v>1108</v>
      </c>
      <c r="S479" s="421" t="s">
        <v>1542</v>
      </c>
      <c r="T479" s="421" t="s">
        <v>1130</v>
      </c>
      <c r="U479" s="421" t="s">
        <v>1112</v>
      </c>
      <c r="V479" s="421" t="s">
        <v>3097</v>
      </c>
      <c r="W479" s="421" t="s">
        <v>3098</v>
      </c>
      <c r="X479" s="421" t="s">
        <v>3099</v>
      </c>
      <c r="Y479" s="421" t="s">
        <v>1117</v>
      </c>
      <c r="Z479" s="421" t="s">
        <v>1118</v>
      </c>
      <c r="AA479" s="421" t="s">
        <v>3100</v>
      </c>
      <c r="AB479" s="421" t="s">
        <v>3101</v>
      </c>
      <c r="AC479" s="421" t="s">
        <v>3102</v>
      </c>
      <c r="AD479" s="421" t="s">
        <v>3103</v>
      </c>
      <c r="AE479" s="421" t="s">
        <v>3104</v>
      </c>
      <c r="AF479" s="421" t="s">
        <v>2236</v>
      </c>
      <c r="AG479" s="421" t="s">
        <v>2237</v>
      </c>
      <c r="AH479" s="421" t="s">
        <v>3105</v>
      </c>
      <c r="AI479" s="421">
        <v>4935500</v>
      </c>
      <c r="AJ479" s="421">
        <v>11679.37</v>
      </c>
      <c r="AK479" s="421">
        <v>12652.57</v>
      </c>
      <c r="AL479" s="421">
        <v>1</v>
      </c>
      <c r="AM479" s="421" t="s">
        <v>959</v>
      </c>
      <c r="AN479" s="421" t="s">
        <v>3106</v>
      </c>
      <c r="AO479" s="421" t="s">
        <v>1121</v>
      </c>
      <c r="AP479" s="421" t="s">
        <v>1121</v>
      </c>
      <c r="AQ479" s="421" t="s">
        <v>1542</v>
      </c>
      <c r="AR479" s="421" t="s">
        <v>3753</v>
      </c>
      <c r="AS479" s="421" t="s">
        <v>3807</v>
      </c>
      <c r="AT479" s="421" t="s">
        <v>3109</v>
      </c>
      <c r="AU479" s="421" t="s">
        <v>1142</v>
      </c>
      <c r="AV479" s="421" t="s">
        <v>2520</v>
      </c>
      <c r="AW479" s="421" t="s">
        <v>3110</v>
      </c>
      <c r="AX479" s="421" t="s">
        <v>3111</v>
      </c>
      <c r="AY479" s="421" t="s">
        <v>3112</v>
      </c>
      <c r="AZ479" s="421" t="s">
        <v>3113</v>
      </c>
      <c r="BA479" s="421" t="s">
        <v>3114</v>
      </c>
      <c r="BB479" s="421" t="s">
        <v>3115</v>
      </c>
      <c r="BC479" s="421">
        <v>153424</v>
      </c>
      <c r="BD479" s="421">
        <v>457682202.88</v>
      </c>
      <c r="BE479" s="421">
        <v>0</v>
      </c>
      <c r="BF479" s="421">
        <v>0</v>
      </c>
      <c r="BG479" s="421">
        <v>0</v>
      </c>
      <c r="BH479" s="421">
        <v>0</v>
      </c>
      <c r="BI479" s="421" t="s">
        <v>1167</v>
      </c>
    </row>
    <row r="480" spans="1:61" x14ac:dyDescent="0.25">
      <c r="A480" s="421">
        <v>477</v>
      </c>
      <c r="B480" s="421">
        <v>2015</v>
      </c>
      <c r="C480" s="421">
        <v>8</v>
      </c>
      <c r="D480" s="421">
        <v>20</v>
      </c>
      <c r="E480" s="421" t="s">
        <v>1475</v>
      </c>
      <c r="F480" s="421" t="s">
        <v>3557</v>
      </c>
      <c r="G480" s="421" t="s">
        <v>3194</v>
      </c>
      <c r="H480" s="421" t="s">
        <v>1107</v>
      </c>
      <c r="I480" s="421" t="s">
        <v>2406</v>
      </c>
      <c r="J480" s="421" t="s">
        <v>3808</v>
      </c>
      <c r="K480" s="421" t="s">
        <v>3093</v>
      </c>
      <c r="L480" s="421" t="s">
        <v>3094</v>
      </c>
      <c r="M480" s="421" t="s">
        <v>2667</v>
      </c>
      <c r="N480" s="421" t="s">
        <v>3093</v>
      </c>
      <c r="O480" s="421" t="s">
        <v>3094</v>
      </c>
      <c r="P480" s="421" t="s">
        <v>3095</v>
      </c>
      <c r="Q480" s="421" t="s">
        <v>3113</v>
      </c>
      <c r="R480" s="421" t="s">
        <v>1108</v>
      </c>
      <c r="S480" s="421" t="s">
        <v>1108</v>
      </c>
      <c r="T480" s="421" t="s">
        <v>1130</v>
      </c>
      <c r="U480" s="421" t="s">
        <v>3144</v>
      </c>
      <c r="V480" s="421" t="s">
        <v>3145</v>
      </c>
      <c r="W480" s="421" t="s">
        <v>3098</v>
      </c>
      <c r="X480" s="421" t="s">
        <v>3099</v>
      </c>
      <c r="Y480" s="421" t="s">
        <v>1117</v>
      </c>
      <c r="Z480" s="421" t="s">
        <v>1118</v>
      </c>
      <c r="AA480" s="421" t="s">
        <v>3100</v>
      </c>
      <c r="AB480" s="421" t="s">
        <v>3146</v>
      </c>
      <c r="AC480" s="421" t="s">
        <v>3102</v>
      </c>
      <c r="AD480" s="421" t="s">
        <v>3340</v>
      </c>
      <c r="AE480" s="421" t="s">
        <v>3341</v>
      </c>
      <c r="AF480" s="421" t="s">
        <v>2236</v>
      </c>
      <c r="AG480" s="421" t="s">
        <v>2237</v>
      </c>
      <c r="AH480" s="421" t="s">
        <v>3105</v>
      </c>
      <c r="AI480" s="421">
        <v>50000</v>
      </c>
      <c r="AJ480" s="421">
        <v>440.5</v>
      </c>
      <c r="AK480" s="421">
        <v>484</v>
      </c>
      <c r="AL480" s="421">
        <v>1</v>
      </c>
      <c r="AM480" s="421" t="s">
        <v>3342</v>
      </c>
      <c r="AN480" s="421" t="s">
        <v>3343</v>
      </c>
      <c r="AO480" s="421" t="s">
        <v>1121</v>
      </c>
      <c r="AP480" s="421" t="s">
        <v>1121</v>
      </c>
      <c r="AQ480" s="421" t="s">
        <v>1108</v>
      </c>
      <c r="AR480" s="421" t="s">
        <v>3753</v>
      </c>
      <c r="AS480" s="421" t="s">
        <v>3809</v>
      </c>
      <c r="AT480" s="421" t="s">
        <v>3109</v>
      </c>
      <c r="AU480" s="421" t="s">
        <v>1341</v>
      </c>
      <c r="AV480" s="421" t="s">
        <v>3157</v>
      </c>
      <c r="AW480" s="421" t="s">
        <v>3110</v>
      </c>
      <c r="AX480" s="421" t="s">
        <v>3111</v>
      </c>
      <c r="AY480" s="421" t="s">
        <v>3112</v>
      </c>
      <c r="AZ480" s="421" t="s">
        <v>3113</v>
      </c>
      <c r="BA480" s="421" t="s">
        <v>3114</v>
      </c>
      <c r="BB480" s="421" t="s">
        <v>3115</v>
      </c>
      <c r="BC480" s="421">
        <v>7700</v>
      </c>
      <c r="BD480" s="421">
        <v>23309440</v>
      </c>
      <c r="BE480" s="421">
        <v>0</v>
      </c>
      <c r="BF480" s="421">
        <v>708.75</v>
      </c>
      <c r="BG480" s="421">
        <v>21.02</v>
      </c>
      <c r="BH480" s="421">
        <v>0</v>
      </c>
      <c r="BI480" s="421" t="s">
        <v>1149</v>
      </c>
    </row>
    <row r="481" spans="1:61" x14ac:dyDescent="0.25">
      <c r="A481" s="421">
        <v>478</v>
      </c>
      <c r="B481" s="421">
        <v>2015</v>
      </c>
      <c r="C481" s="421">
        <v>8</v>
      </c>
      <c r="D481" s="421">
        <v>20</v>
      </c>
      <c r="E481" s="421" t="s">
        <v>1475</v>
      </c>
      <c r="F481" s="421" t="s">
        <v>3557</v>
      </c>
      <c r="G481" s="421" t="s">
        <v>3194</v>
      </c>
      <c r="H481" s="421" t="s">
        <v>1107</v>
      </c>
      <c r="I481" s="421" t="s">
        <v>2406</v>
      </c>
      <c r="J481" s="421" t="s">
        <v>3810</v>
      </c>
      <c r="K481" s="421" t="s">
        <v>3093</v>
      </c>
      <c r="L481" s="421" t="s">
        <v>3094</v>
      </c>
      <c r="M481" s="421" t="s">
        <v>2667</v>
      </c>
      <c r="N481" s="421" t="s">
        <v>3093</v>
      </c>
      <c r="O481" s="421" t="s">
        <v>3094</v>
      </c>
      <c r="P481" s="421" t="s">
        <v>3095</v>
      </c>
      <c r="Q481" s="421" t="s">
        <v>3096</v>
      </c>
      <c r="R481" s="421" t="s">
        <v>1108</v>
      </c>
      <c r="S481" s="421" t="s">
        <v>1476</v>
      </c>
      <c r="T481" s="421" t="s">
        <v>1130</v>
      </c>
      <c r="U481" s="421" t="s">
        <v>3144</v>
      </c>
      <c r="V481" s="421" t="s">
        <v>3145</v>
      </c>
      <c r="W481" s="421" t="s">
        <v>3098</v>
      </c>
      <c r="X481" s="421" t="s">
        <v>3099</v>
      </c>
      <c r="Y481" s="421" t="s">
        <v>1117</v>
      </c>
      <c r="Z481" s="421" t="s">
        <v>1118</v>
      </c>
      <c r="AA481" s="421" t="s">
        <v>3100</v>
      </c>
      <c r="AB481" s="421" t="s">
        <v>3146</v>
      </c>
      <c r="AC481" s="421" t="s">
        <v>3102</v>
      </c>
      <c r="AD481" s="421" t="s">
        <v>3811</v>
      </c>
      <c r="AE481" s="421" t="s">
        <v>3812</v>
      </c>
      <c r="AF481" s="421" t="s">
        <v>2236</v>
      </c>
      <c r="AG481" s="421" t="s">
        <v>2237</v>
      </c>
      <c r="AH481" s="421" t="s">
        <v>3105</v>
      </c>
      <c r="AI481" s="421">
        <v>105000</v>
      </c>
      <c r="AJ481" s="421">
        <v>319.08999999999997</v>
      </c>
      <c r="AK481" s="421">
        <v>340</v>
      </c>
      <c r="AL481" s="421">
        <v>1</v>
      </c>
      <c r="AM481" s="421" t="s">
        <v>2135</v>
      </c>
      <c r="AN481" s="421" t="s">
        <v>3546</v>
      </c>
      <c r="AO481" s="421" t="s">
        <v>1121</v>
      </c>
      <c r="AP481" s="421" t="s">
        <v>1121</v>
      </c>
      <c r="AQ481" s="421" t="s">
        <v>1476</v>
      </c>
      <c r="AR481" s="421" t="s">
        <v>3753</v>
      </c>
      <c r="AS481" s="421" t="s">
        <v>3813</v>
      </c>
      <c r="AT481" s="421" t="s">
        <v>3109</v>
      </c>
      <c r="AU481" s="421" t="s">
        <v>1341</v>
      </c>
      <c r="AV481" s="421" t="s">
        <v>962</v>
      </c>
      <c r="AW481" s="421" t="s">
        <v>3110</v>
      </c>
      <c r="AX481" s="421" t="s">
        <v>3111</v>
      </c>
      <c r="AY481" s="421" t="s">
        <v>3112</v>
      </c>
      <c r="AZ481" s="421" t="s">
        <v>3113</v>
      </c>
      <c r="BA481" s="421" t="s">
        <v>3114</v>
      </c>
      <c r="BB481" s="421" t="s">
        <v>3115</v>
      </c>
      <c r="BC481" s="421">
        <v>5171.2</v>
      </c>
      <c r="BD481" s="421">
        <v>15654256.640000001</v>
      </c>
      <c r="BE481" s="421">
        <v>0</v>
      </c>
      <c r="BF481" s="421">
        <v>972.45</v>
      </c>
      <c r="BG481" s="421">
        <v>15.36</v>
      </c>
      <c r="BH481" s="421">
        <v>0</v>
      </c>
      <c r="BI481" s="421" t="s">
        <v>1167</v>
      </c>
    </row>
    <row r="482" spans="1:61" x14ac:dyDescent="0.25">
      <c r="A482" s="421">
        <v>479</v>
      </c>
      <c r="B482" s="421">
        <v>2015</v>
      </c>
      <c r="C482" s="421">
        <v>8</v>
      </c>
      <c r="D482" s="421">
        <v>27</v>
      </c>
      <c r="E482" s="421" t="s">
        <v>1475</v>
      </c>
      <c r="F482" s="421" t="s">
        <v>3557</v>
      </c>
      <c r="G482" s="421" t="s">
        <v>3318</v>
      </c>
      <c r="H482" s="421" t="s">
        <v>1107</v>
      </c>
      <c r="I482" s="421" t="s">
        <v>2469</v>
      </c>
      <c r="J482" s="421" t="s">
        <v>3814</v>
      </c>
      <c r="K482" s="421" t="s">
        <v>3093</v>
      </c>
      <c r="L482" s="421" t="s">
        <v>3094</v>
      </c>
      <c r="M482" s="421" t="s">
        <v>2667</v>
      </c>
      <c r="N482" s="421" t="s">
        <v>3093</v>
      </c>
      <c r="O482" s="421" t="s">
        <v>3094</v>
      </c>
      <c r="P482" s="421" t="s">
        <v>3095</v>
      </c>
      <c r="Q482" s="421" t="s">
        <v>3113</v>
      </c>
      <c r="R482" s="421" t="s">
        <v>1108</v>
      </c>
      <c r="S482" s="421" t="s">
        <v>1108</v>
      </c>
      <c r="T482" s="421" t="s">
        <v>1130</v>
      </c>
      <c r="U482" s="421" t="s">
        <v>3144</v>
      </c>
      <c r="V482" s="421" t="s">
        <v>3145</v>
      </c>
      <c r="W482" s="421" t="s">
        <v>3098</v>
      </c>
      <c r="X482" s="421" t="s">
        <v>3099</v>
      </c>
      <c r="Y482" s="421" t="s">
        <v>1117</v>
      </c>
      <c r="Z482" s="421" t="s">
        <v>1118</v>
      </c>
      <c r="AA482" s="421" t="s">
        <v>3100</v>
      </c>
      <c r="AB482" s="421" t="s">
        <v>3146</v>
      </c>
      <c r="AC482" s="421" t="s">
        <v>3102</v>
      </c>
      <c r="AD482" s="421" t="s">
        <v>3346</v>
      </c>
      <c r="AE482" s="421" t="s">
        <v>3347</v>
      </c>
      <c r="AF482" s="421" t="s">
        <v>1387</v>
      </c>
      <c r="AG482" s="421" t="s">
        <v>1388</v>
      </c>
      <c r="AH482" s="421" t="s">
        <v>3105</v>
      </c>
      <c r="AI482" s="421">
        <v>54</v>
      </c>
      <c r="AJ482" s="421">
        <v>5.77</v>
      </c>
      <c r="AK482" s="421">
        <v>6.27</v>
      </c>
      <c r="AL482" s="421">
        <v>1</v>
      </c>
      <c r="AM482" s="421" t="s">
        <v>3348</v>
      </c>
      <c r="AN482" s="421" t="s">
        <v>3349</v>
      </c>
      <c r="AO482" s="421" t="s">
        <v>1121</v>
      </c>
      <c r="AP482" s="421" t="s">
        <v>1121</v>
      </c>
      <c r="AQ482" s="421" t="s">
        <v>1108</v>
      </c>
      <c r="AR482" s="421" t="s">
        <v>3753</v>
      </c>
      <c r="AS482" s="421" t="s">
        <v>3815</v>
      </c>
      <c r="AT482" s="421" t="s">
        <v>3109</v>
      </c>
      <c r="AU482" s="421" t="s">
        <v>1341</v>
      </c>
      <c r="AV482" s="421" t="s">
        <v>3157</v>
      </c>
      <c r="AW482" s="421" t="s">
        <v>3110</v>
      </c>
      <c r="AX482" s="421" t="s">
        <v>3131</v>
      </c>
      <c r="AY482" s="421" t="s">
        <v>3112</v>
      </c>
      <c r="AZ482" s="421" t="s">
        <v>3113</v>
      </c>
      <c r="BA482" s="421" t="s">
        <v>3114</v>
      </c>
      <c r="BB482" s="421" t="s">
        <v>3115</v>
      </c>
      <c r="BC482" s="421">
        <v>67.5</v>
      </c>
      <c r="BD482" s="421">
        <v>218599.42</v>
      </c>
      <c r="BE482" s="421">
        <v>0</v>
      </c>
      <c r="BF482" s="421">
        <v>10.29</v>
      </c>
      <c r="BG482" s="421">
        <v>0.35</v>
      </c>
      <c r="BH482" s="421">
        <v>0</v>
      </c>
      <c r="BI482" s="421" t="s">
        <v>1149</v>
      </c>
    </row>
    <row r="483" spans="1:61" x14ac:dyDescent="0.25">
      <c r="A483" s="421">
        <v>480</v>
      </c>
      <c r="B483" s="421">
        <v>2015</v>
      </c>
      <c r="C483" s="421">
        <v>8</v>
      </c>
      <c r="D483" s="421">
        <v>27</v>
      </c>
      <c r="E483" s="421" t="s">
        <v>1475</v>
      </c>
      <c r="F483" s="421" t="s">
        <v>3557</v>
      </c>
      <c r="G483" s="421" t="s">
        <v>3318</v>
      </c>
      <c r="H483" s="421" t="s">
        <v>1107</v>
      </c>
      <c r="I483" s="421" t="s">
        <v>2469</v>
      </c>
      <c r="J483" s="421" t="s">
        <v>3814</v>
      </c>
      <c r="K483" s="421" t="s">
        <v>3093</v>
      </c>
      <c r="L483" s="421" t="s">
        <v>3094</v>
      </c>
      <c r="M483" s="421" t="s">
        <v>2667</v>
      </c>
      <c r="N483" s="421" t="s">
        <v>3093</v>
      </c>
      <c r="O483" s="421" t="s">
        <v>3094</v>
      </c>
      <c r="P483" s="421" t="s">
        <v>3095</v>
      </c>
      <c r="Q483" s="421" t="s">
        <v>3113</v>
      </c>
      <c r="R483" s="421" t="s">
        <v>1108</v>
      </c>
      <c r="S483" s="421" t="s">
        <v>1108</v>
      </c>
      <c r="T483" s="421" t="s">
        <v>1130</v>
      </c>
      <c r="U483" s="421" t="s">
        <v>3144</v>
      </c>
      <c r="V483" s="421" t="s">
        <v>3145</v>
      </c>
      <c r="W483" s="421" t="s">
        <v>3098</v>
      </c>
      <c r="X483" s="421" t="s">
        <v>3099</v>
      </c>
      <c r="Y483" s="421" t="s">
        <v>1117</v>
      </c>
      <c r="Z483" s="421" t="s">
        <v>1118</v>
      </c>
      <c r="AA483" s="421" t="s">
        <v>3100</v>
      </c>
      <c r="AB483" s="421" t="s">
        <v>3146</v>
      </c>
      <c r="AC483" s="421" t="s">
        <v>3102</v>
      </c>
      <c r="AD483" s="421" t="s">
        <v>3346</v>
      </c>
      <c r="AE483" s="421" t="s">
        <v>3347</v>
      </c>
      <c r="AF483" s="421" t="s">
        <v>2236</v>
      </c>
      <c r="AG483" s="421" t="s">
        <v>2237</v>
      </c>
      <c r="AH483" s="421" t="s">
        <v>3105</v>
      </c>
      <c r="AI483" s="421">
        <v>161750</v>
      </c>
      <c r="AJ483" s="421">
        <v>347.3</v>
      </c>
      <c r="AK483" s="421">
        <v>377.72</v>
      </c>
      <c r="AL483" s="421">
        <v>2</v>
      </c>
      <c r="AM483" s="421" t="s">
        <v>3348</v>
      </c>
      <c r="AN483" s="421" t="s">
        <v>3349</v>
      </c>
      <c r="AO483" s="421" t="s">
        <v>1121</v>
      </c>
      <c r="AP483" s="421" t="s">
        <v>1121</v>
      </c>
      <c r="AQ483" s="421" t="s">
        <v>1108</v>
      </c>
      <c r="AR483" s="421" t="s">
        <v>3753</v>
      </c>
      <c r="AS483" s="421" t="s">
        <v>3815</v>
      </c>
      <c r="AT483" s="421" t="s">
        <v>3109</v>
      </c>
      <c r="AU483" s="421" t="s">
        <v>1341</v>
      </c>
      <c r="AV483" s="421" t="s">
        <v>3157</v>
      </c>
      <c r="AW483" s="421" t="s">
        <v>3110</v>
      </c>
      <c r="AX483" s="421" t="s">
        <v>3131</v>
      </c>
      <c r="AY483" s="421" t="s">
        <v>3112</v>
      </c>
      <c r="AZ483" s="421" t="s">
        <v>3113</v>
      </c>
      <c r="BA483" s="421" t="s">
        <v>3114</v>
      </c>
      <c r="BB483" s="421" t="s">
        <v>3115</v>
      </c>
      <c r="BC483" s="421">
        <v>5074.25</v>
      </c>
      <c r="BD483" s="421">
        <v>16433009.359999999</v>
      </c>
      <c r="BE483" s="421">
        <v>0</v>
      </c>
      <c r="BF483" s="421">
        <v>773.76</v>
      </c>
      <c r="BG483" s="421">
        <v>26.21</v>
      </c>
      <c r="BH483" s="421">
        <v>0</v>
      </c>
      <c r="BI483" s="421" t="s">
        <v>1149</v>
      </c>
    </row>
    <row r="484" spans="1:61" x14ac:dyDescent="0.25">
      <c r="A484" s="421">
        <v>481</v>
      </c>
      <c r="B484" s="421">
        <v>2015</v>
      </c>
      <c r="C484" s="421">
        <v>8</v>
      </c>
      <c r="D484" s="421">
        <v>27</v>
      </c>
      <c r="E484" s="421" t="s">
        <v>1475</v>
      </c>
      <c r="F484" s="421" t="s">
        <v>3557</v>
      </c>
      <c r="G484" s="421" t="s">
        <v>3318</v>
      </c>
      <c r="H484" s="421" t="s">
        <v>1107</v>
      </c>
      <c r="I484" s="421" t="s">
        <v>2469</v>
      </c>
      <c r="J484" s="421" t="s">
        <v>3816</v>
      </c>
      <c r="K484" s="421" t="s">
        <v>3093</v>
      </c>
      <c r="L484" s="421" t="s">
        <v>3094</v>
      </c>
      <c r="M484" s="421" t="s">
        <v>2667</v>
      </c>
      <c r="N484" s="421" t="s">
        <v>3093</v>
      </c>
      <c r="O484" s="421" t="s">
        <v>3094</v>
      </c>
      <c r="P484" s="421" t="s">
        <v>3095</v>
      </c>
      <c r="Q484" s="421" t="s">
        <v>3113</v>
      </c>
      <c r="R484" s="421" t="s">
        <v>1108</v>
      </c>
      <c r="S484" s="421" t="s">
        <v>1108</v>
      </c>
      <c r="T484" s="421" t="s">
        <v>1130</v>
      </c>
      <c r="U484" s="421" t="s">
        <v>3144</v>
      </c>
      <c r="V484" s="421" t="s">
        <v>3145</v>
      </c>
      <c r="W484" s="421" t="s">
        <v>3098</v>
      </c>
      <c r="X484" s="421" t="s">
        <v>3099</v>
      </c>
      <c r="Y484" s="421" t="s">
        <v>1117</v>
      </c>
      <c r="Z484" s="421" t="s">
        <v>1118</v>
      </c>
      <c r="AA484" s="421" t="s">
        <v>3100</v>
      </c>
      <c r="AB484" s="421" t="s">
        <v>3146</v>
      </c>
      <c r="AC484" s="421" t="s">
        <v>3102</v>
      </c>
      <c r="AD484" s="421" t="s">
        <v>3346</v>
      </c>
      <c r="AE484" s="421" t="s">
        <v>3347</v>
      </c>
      <c r="AF484" s="421" t="s">
        <v>3375</v>
      </c>
      <c r="AG484" s="421" t="s">
        <v>3376</v>
      </c>
      <c r="AH484" s="421" t="s">
        <v>3105</v>
      </c>
      <c r="AI484" s="421">
        <v>75</v>
      </c>
      <c r="AJ484" s="421">
        <v>11.56</v>
      </c>
      <c r="AK484" s="421">
        <v>13</v>
      </c>
      <c r="AL484" s="421">
        <v>1</v>
      </c>
      <c r="AM484" s="421" t="s">
        <v>3348</v>
      </c>
      <c r="AN484" s="421" t="s">
        <v>3349</v>
      </c>
      <c r="AO484" s="421" t="s">
        <v>1121</v>
      </c>
      <c r="AP484" s="421" t="s">
        <v>1121</v>
      </c>
      <c r="AQ484" s="421" t="s">
        <v>1108</v>
      </c>
      <c r="AR484" s="421" t="s">
        <v>3753</v>
      </c>
      <c r="AS484" s="421" t="s">
        <v>3817</v>
      </c>
      <c r="AT484" s="421" t="s">
        <v>3109</v>
      </c>
      <c r="AU484" s="421" t="s">
        <v>1341</v>
      </c>
      <c r="AV484" s="421" t="s">
        <v>3157</v>
      </c>
      <c r="AW484" s="421" t="s">
        <v>3110</v>
      </c>
      <c r="AX484" s="421" t="s">
        <v>3229</v>
      </c>
      <c r="AY484" s="421" t="s">
        <v>3112</v>
      </c>
      <c r="AZ484" s="421" t="s">
        <v>3113</v>
      </c>
      <c r="BA484" s="421" t="s">
        <v>3114</v>
      </c>
      <c r="BB484" s="421" t="s">
        <v>3230</v>
      </c>
      <c r="BC484" s="421">
        <v>2.25</v>
      </c>
      <c r="BD484" s="421">
        <v>7286.64</v>
      </c>
      <c r="BE484" s="421">
        <v>0</v>
      </c>
      <c r="BF484" s="421">
        <v>0</v>
      </c>
      <c r="BG484" s="421">
        <v>0</v>
      </c>
      <c r="BH484" s="421">
        <v>0</v>
      </c>
      <c r="BI484" s="421" t="s">
        <v>1149</v>
      </c>
    </row>
    <row r="485" spans="1:61" x14ac:dyDescent="0.25">
      <c r="A485" s="421">
        <v>482</v>
      </c>
      <c r="B485" s="421">
        <v>2015</v>
      </c>
      <c r="C485" s="421">
        <v>8</v>
      </c>
      <c r="D485" s="421">
        <v>27</v>
      </c>
      <c r="E485" s="421" t="s">
        <v>1475</v>
      </c>
      <c r="F485" s="421" t="s">
        <v>3557</v>
      </c>
      <c r="G485" s="421" t="s">
        <v>3318</v>
      </c>
      <c r="H485" s="421" t="s">
        <v>1107</v>
      </c>
      <c r="I485" s="421" t="s">
        <v>2469</v>
      </c>
      <c r="J485" s="421" t="s">
        <v>3818</v>
      </c>
      <c r="K485" s="421" t="s">
        <v>3093</v>
      </c>
      <c r="L485" s="421" t="s">
        <v>3094</v>
      </c>
      <c r="M485" s="421" t="s">
        <v>2667</v>
      </c>
      <c r="N485" s="421" t="s">
        <v>3093</v>
      </c>
      <c r="O485" s="421" t="s">
        <v>3094</v>
      </c>
      <c r="P485" s="421" t="s">
        <v>3095</v>
      </c>
      <c r="Q485" s="421" t="s">
        <v>3113</v>
      </c>
      <c r="R485" s="421" t="s">
        <v>1108</v>
      </c>
      <c r="S485" s="421" t="s">
        <v>1108</v>
      </c>
      <c r="T485" s="421" t="s">
        <v>1130</v>
      </c>
      <c r="U485" s="421" t="s">
        <v>3144</v>
      </c>
      <c r="V485" s="421" t="s">
        <v>3145</v>
      </c>
      <c r="W485" s="421" t="s">
        <v>3098</v>
      </c>
      <c r="X485" s="421" t="s">
        <v>3099</v>
      </c>
      <c r="Y485" s="421" t="s">
        <v>1117</v>
      </c>
      <c r="Z485" s="421" t="s">
        <v>1118</v>
      </c>
      <c r="AA485" s="421" t="s">
        <v>3100</v>
      </c>
      <c r="AB485" s="421" t="s">
        <v>3146</v>
      </c>
      <c r="AC485" s="421" t="s">
        <v>3102</v>
      </c>
      <c r="AD485" s="421" t="s">
        <v>3585</v>
      </c>
      <c r="AE485" s="421" t="s">
        <v>3586</v>
      </c>
      <c r="AF485" s="421" t="s">
        <v>2236</v>
      </c>
      <c r="AG485" s="421" t="s">
        <v>2237</v>
      </c>
      <c r="AH485" s="421" t="s">
        <v>3105</v>
      </c>
      <c r="AI485" s="421">
        <v>609000</v>
      </c>
      <c r="AJ485" s="421">
        <v>1941.63</v>
      </c>
      <c r="AK485" s="421">
        <v>2111.4699999999998</v>
      </c>
      <c r="AL485" s="421">
        <v>2</v>
      </c>
      <c r="AM485" s="421" t="s">
        <v>3587</v>
      </c>
      <c r="AN485" s="421" t="s">
        <v>3646</v>
      </c>
      <c r="AO485" s="421" t="s">
        <v>1121</v>
      </c>
      <c r="AP485" s="421" t="s">
        <v>1121</v>
      </c>
      <c r="AQ485" s="421" t="s">
        <v>1108</v>
      </c>
      <c r="AR485" s="421" t="s">
        <v>3753</v>
      </c>
      <c r="AS485" s="421" t="s">
        <v>3819</v>
      </c>
      <c r="AT485" s="421" t="s">
        <v>3109</v>
      </c>
      <c r="AU485" s="421" t="s">
        <v>1341</v>
      </c>
      <c r="AV485" s="421" t="s">
        <v>2037</v>
      </c>
      <c r="AW485" s="421" t="s">
        <v>3110</v>
      </c>
      <c r="AX485" s="421" t="s">
        <v>3111</v>
      </c>
      <c r="AY485" s="421" t="s">
        <v>3112</v>
      </c>
      <c r="AZ485" s="421" t="s">
        <v>3113</v>
      </c>
      <c r="BA485" s="421" t="s">
        <v>3114</v>
      </c>
      <c r="BB485" s="421" t="s">
        <v>3115</v>
      </c>
      <c r="BC485" s="421">
        <v>30184.5</v>
      </c>
      <c r="BD485" s="421">
        <v>97752805.090000004</v>
      </c>
      <c r="BE485" s="421">
        <v>0</v>
      </c>
      <c r="BF485" s="421">
        <v>0</v>
      </c>
      <c r="BG485" s="421">
        <v>0</v>
      </c>
      <c r="BH485" s="421">
        <v>0</v>
      </c>
      <c r="BI485" s="421" t="s">
        <v>1331</v>
      </c>
    </row>
    <row r="486" spans="1:61" x14ac:dyDescent="0.25">
      <c r="A486" s="421">
        <v>483</v>
      </c>
      <c r="B486" s="421">
        <v>2015</v>
      </c>
      <c r="C486" s="421">
        <v>8</v>
      </c>
      <c r="D486" s="421">
        <v>27</v>
      </c>
      <c r="E486" s="421" t="s">
        <v>1475</v>
      </c>
      <c r="F486" s="421" t="s">
        <v>3557</v>
      </c>
      <c r="G486" s="421" t="s">
        <v>3318</v>
      </c>
      <c r="H486" s="421" t="s">
        <v>1107</v>
      </c>
      <c r="I486" s="421" t="s">
        <v>2469</v>
      </c>
      <c r="J486" s="421" t="s">
        <v>3818</v>
      </c>
      <c r="K486" s="421" t="s">
        <v>3093</v>
      </c>
      <c r="L486" s="421" t="s">
        <v>3094</v>
      </c>
      <c r="M486" s="421" t="s">
        <v>2667</v>
      </c>
      <c r="N486" s="421" t="s">
        <v>3093</v>
      </c>
      <c r="O486" s="421" t="s">
        <v>3094</v>
      </c>
      <c r="P486" s="421" t="s">
        <v>3095</v>
      </c>
      <c r="Q486" s="421" t="s">
        <v>3113</v>
      </c>
      <c r="R486" s="421" t="s">
        <v>1108</v>
      </c>
      <c r="S486" s="421" t="s">
        <v>1108</v>
      </c>
      <c r="T486" s="421" t="s">
        <v>1130</v>
      </c>
      <c r="U486" s="421" t="s">
        <v>3144</v>
      </c>
      <c r="V486" s="421" t="s">
        <v>3145</v>
      </c>
      <c r="W486" s="421" t="s">
        <v>3098</v>
      </c>
      <c r="X486" s="421" t="s">
        <v>3099</v>
      </c>
      <c r="Y486" s="421" t="s">
        <v>1117</v>
      </c>
      <c r="Z486" s="421" t="s">
        <v>1118</v>
      </c>
      <c r="AA486" s="421" t="s">
        <v>3100</v>
      </c>
      <c r="AB486" s="421" t="s">
        <v>3146</v>
      </c>
      <c r="AC486" s="421" t="s">
        <v>3102</v>
      </c>
      <c r="AD486" s="421" t="s">
        <v>3585</v>
      </c>
      <c r="AE486" s="421" t="s">
        <v>3586</v>
      </c>
      <c r="AF486" s="421" t="s">
        <v>1512</v>
      </c>
      <c r="AG486" s="421" t="s">
        <v>1513</v>
      </c>
      <c r="AH486" s="421" t="s">
        <v>3105</v>
      </c>
      <c r="AI486" s="421">
        <v>12000</v>
      </c>
      <c r="AJ486" s="421">
        <v>77.73</v>
      </c>
      <c r="AK486" s="421">
        <v>84.52</v>
      </c>
      <c r="AL486" s="421">
        <v>1</v>
      </c>
      <c r="AM486" s="421" t="s">
        <v>3587</v>
      </c>
      <c r="AN486" s="421" t="s">
        <v>3646</v>
      </c>
      <c r="AO486" s="421" t="s">
        <v>1121</v>
      </c>
      <c r="AP486" s="421" t="s">
        <v>1121</v>
      </c>
      <c r="AQ486" s="421" t="s">
        <v>1108</v>
      </c>
      <c r="AR486" s="421" t="s">
        <v>3753</v>
      </c>
      <c r="AS486" s="421" t="s">
        <v>3819</v>
      </c>
      <c r="AT486" s="421" t="s">
        <v>3109</v>
      </c>
      <c r="AU486" s="421" t="s">
        <v>1341</v>
      </c>
      <c r="AV486" s="421" t="s">
        <v>2037</v>
      </c>
      <c r="AW486" s="421" t="s">
        <v>3110</v>
      </c>
      <c r="AX486" s="421" t="s">
        <v>3111</v>
      </c>
      <c r="AY486" s="421" t="s">
        <v>3112</v>
      </c>
      <c r="AZ486" s="421" t="s">
        <v>3113</v>
      </c>
      <c r="BA486" s="421" t="s">
        <v>3114</v>
      </c>
      <c r="BB486" s="421" t="s">
        <v>3115</v>
      </c>
      <c r="BC486" s="421">
        <v>560</v>
      </c>
      <c r="BD486" s="421">
        <v>1813565.6</v>
      </c>
      <c r="BE486" s="421">
        <v>0</v>
      </c>
      <c r="BF486" s="421">
        <v>0</v>
      </c>
      <c r="BG486" s="421">
        <v>0</v>
      </c>
      <c r="BH486" s="421">
        <v>0</v>
      </c>
      <c r="BI486" s="421" t="s">
        <v>1331</v>
      </c>
    </row>
    <row r="487" spans="1:61" x14ac:dyDescent="0.25">
      <c r="A487" s="421">
        <v>484</v>
      </c>
      <c r="B487" s="421">
        <v>2015</v>
      </c>
      <c r="C487" s="421">
        <v>8</v>
      </c>
      <c r="D487" s="421">
        <v>29</v>
      </c>
      <c r="E487" s="421" t="s">
        <v>1475</v>
      </c>
      <c r="F487" s="421" t="s">
        <v>3557</v>
      </c>
      <c r="G487" s="421" t="s">
        <v>3608</v>
      </c>
      <c r="H487" s="421" t="s">
        <v>1107</v>
      </c>
      <c r="I487" s="421" t="s">
        <v>3820</v>
      </c>
      <c r="J487" s="421" t="s">
        <v>3821</v>
      </c>
      <c r="K487" s="421" t="s">
        <v>3093</v>
      </c>
      <c r="L487" s="421" t="s">
        <v>3094</v>
      </c>
      <c r="M487" s="421" t="s">
        <v>2667</v>
      </c>
      <c r="N487" s="421" t="s">
        <v>3093</v>
      </c>
      <c r="O487" s="421" t="s">
        <v>3094</v>
      </c>
      <c r="P487" s="421" t="s">
        <v>3095</v>
      </c>
      <c r="Q487" s="421" t="s">
        <v>3096</v>
      </c>
      <c r="R487" s="421" t="s">
        <v>1108</v>
      </c>
      <c r="S487" s="421" t="s">
        <v>1542</v>
      </c>
      <c r="T487" s="421" t="s">
        <v>1130</v>
      </c>
      <c r="U487" s="421" t="s">
        <v>1112</v>
      </c>
      <c r="V487" s="421" t="s">
        <v>3097</v>
      </c>
      <c r="W487" s="421" t="s">
        <v>3098</v>
      </c>
      <c r="X487" s="421" t="s">
        <v>3099</v>
      </c>
      <c r="Y487" s="421" t="s">
        <v>1117</v>
      </c>
      <c r="Z487" s="421" t="s">
        <v>1118</v>
      </c>
      <c r="AA487" s="421" t="s">
        <v>3100</v>
      </c>
      <c r="AB487" s="421" t="s">
        <v>3101</v>
      </c>
      <c r="AC487" s="421" t="s">
        <v>3102</v>
      </c>
      <c r="AD487" s="421" t="s">
        <v>3176</v>
      </c>
      <c r="AE487" s="421" t="s">
        <v>3177</v>
      </c>
      <c r="AF487" s="421" t="s">
        <v>2236</v>
      </c>
      <c r="AG487" s="421" t="s">
        <v>2237</v>
      </c>
      <c r="AH487" s="421" t="s">
        <v>3105</v>
      </c>
      <c r="AI487" s="421">
        <v>91000</v>
      </c>
      <c r="AJ487" s="421">
        <v>294.32</v>
      </c>
      <c r="AK487" s="421">
        <v>321.64</v>
      </c>
      <c r="AL487" s="421">
        <v>2</v>
      </c>
      <c r="AM487" s="421" t="s">
        <v>1547</v>
      </c>
      <c r="AN487" s="421" t="s">
        <v>3178</v>
      </c>
      <c r="AO487" s="421" t="s">
        <v>1121</v>
      </c>
      <c r="AP487" s="421" t="s">
        <v>1121</v>
      </c>
      <c r="AQ487" s="421" t="s">
        <v>1542</v>
      </c>
      <c r="AR487" s="421" t="s">
        <v>3753</v>
      </c>
      <c r="AS487" s="421" t="s">
        <v>3822</v>
      </c>
      <c r="AT487" s="421" t="s">
        <v>3109</v>
      </c>
      <c r="AU487" s="421" t="s">
        <v>1142</v>
      </c>
      <c r="AV487" s="421" t="s">
        <v>2520</v>
      </c>
      <c r="AW487" s="421" t="s">
        <v>3110</v>
      </c>
      <c r="AX487" s="421" t="s">
        <v>3131</v>
      </c>
      <c r="AY487" s="421" t="s">
        <v>3112</v>
      </c>
      <c r="AZ487" s="421" t="s">
        <v>3113</v>
      </c>
      <c r="BA487" s="421" t="s">
        <v>3114</v>
      </c>
      <c r="BB487" s="421" t="s">
        <v>3115</v>
      </c>
      <c r="BC487" s="421">
        <v>8747.4</v>
      </c>
      <c r="BD487" s="421">
        <v>27126562.140000001</v>
      </c>
      <c r="BE487" s="421">
        <v>0</v>
      </c>
      <c r="BF487" s="421">
        <v>103.83</v>
      </c>
      <c r="BG487" s="421">
        <v>22.14</v>
      </c>
      <c r="BH487" s="421">
        <v>5.47</v>
      </c>
      <c r="BI487" s="421" t="s">
        <v>1331</v>
      </c>
    </row>
    <row r="488" spans="1:61" x14ac:dyDescent="0.25">
      <c r="A488" s="421">
        <v>485</v>
      </c>
      <c r="B488" s="421">
        <v>2015</v>
      </c>
      <c r="C488" s="421">
        <v>8</v>
      </c>
      <c r="D488" s="421">
        <v>29</v>
      </c>
      <c r="E488" s="421" t="s">
        <v>1475</v>
      </c>
      <c r="F488" s="421" t="s">
        <v>3557</v>
      </c>
      <c r="G488" s="421" t="s">
        <v>3608</v>
      </c>
      <c r="H488" s="421" t="s">
        <v>1107</v>
      </c>
      <c r="I488" s="421" t="s">
        <v>3820</v>
      </c>
      <c r="J488" s="421" t="s">
        <v>3821</v>
      </c>
      <c r="K488" s="421" t="s">
        <v>3093</v>
      </c>
      <c r="L488" s="421" t="s">
        <v>3094</v>
      </c>
      <c r="M488" s="421" t="s">
        <v>2667</v>
      </c>
      <c r="N488" s="421" t="s">
        <v>3093</v>
      </c>
      <c r="O488" s="421" t="s">
        <v>3094</v>
      </c>
      <c r="P488" s="421" t="s">
        <v>3095</v>
      </c>
      <c r="Q488" s="421" t="s">
        <v>3096</v>
      </c>
      <c r="R488" s="421" t="s">
        <v>1108</v>
      </c>
      <c r="S488" s="421" t="s">
        <v>1542</v>
      </c>
      <c r="T488" s="421" t="s">
        <v>1130</v>
      </c>
      <c r="U488" s="421" t="s">
        <v>1112</v>
      </c>
      <c r="V488" s="421" t="s">
        <v>3097</v>
      </c>
      <c r="W488" s="421" t="s">
        <v>3098</v>
      </c>
      <c r="X488" s="421" t="s">
        <v>3099</v>
      </c>
      <c r="Y488" s="421" t="s">
        <v>1117</v>
      </c>
      <c r="Z488" s="421" t="s">
        <v>1118</v>
      </c>
      <c r="AA488" s="421" t="s">
        <v>3100</v>
      </c>
      <c r="AB488" s="421" t="s">
        <v>3101</v>
      </c>
      <c r="AC488" s="421" t="s">
        <v>3102</v>
      </c>
      <c r="AD488" s="421" t="s">
        <v>3176</v>
      </c>
      <c r="AE488" s="421" t="s">
        <v>3177</v>
      </c>
      <c r="AF488" s="421" t="s">
        <v>2236</v>
      </c>
      <c r="AG488" s="421" t="s">
        <v>2237</v>
      </c>
      <c r="AH488" s="421" t="s">
        <v>3105</v>
      </c>
      <c r="AI488" s="421">
        <v>3632020</v>
      </c>
      <c r="AJ488" s="421">
        <v>4346.4799999999996</v>
      </c>
      <c r="AK488" s="421">
        <v>4750.01</v>
      </c>
      <c r="AL488" s="421">
        <v>1</v>
      </c>
      <c r="AM488" s="421" t="s">
        <v>1547</v>
      </c>
      <c r="AN488" s="421" t="s">
        <v>3178</v>
      </c>
      <c r="AO488" s="421" t="s">
        <v>1121</v>
      </c>
      <c r="AP488" s="421" t="s">
        <v>1121</v>
      </c>
      <c r="AQ488" s="421" t="s">
        <v>1542</v>
      </c>
      <c r="AR488" s="421" t="s">
        <v>3753</v>
      </c>
      <c r="AS488" s="421" t="s">
        <v>3822</v>
      </c>
      <c r="AT488" s="421" t="s">
        <v>3109</v>
      </c>
      <c r="AU488" s="421" t="s">
        <v>1142</v>
      </c>
      <c r="AV488" s="421" t="s">
        <v>2520</v>
      </c>
      <c r="AW488" s="421" t="s">
        <v>3110</v>
      </c>
      <c r="AX488" s="421" t="s">
        <v>3131</v>
      </c>
      <c r="AY488" s="421" t="s">
        <v>3112</v>
      </c>
      <c r="AZ488" s="421" t="s">
        <v>3113</v>
      </c>
      <c r="BA488" s="421" t="s">
        <v>3114</v>
      </c>
      <c r="BB488" s="421" t="s">
        <v>3115</v>
      </c>
      <c r="BC488" s="421">
        <v>78027.98</v>
      </c>
      <c r="BD488" s="421">
        <v>241972568.77000001</v>
      </c>
      <c r="BE488" s="421">
        <v>0</v>
      </c>
      <c r="BF488" s="421">
        <v>926.17</v>
      </c>
      <c r="BG488" s="421">
        <v>197.51</v>
      </c>
      <c r="BH488" s="421">
        <v>48.81</v>
      </c>
      <c r="BI488" s="421" t="s">
        <v>1331</v>
      </c>
    </row>
    <row r="489" spans="1:61" x14ac:dyDescent="0.25">
      <c r="A489" s="421">
        <v>486</v>
      </c>
      <c r="B489" s="421">
        <v>2015</v>
      </c>
      <c r="C489" s="421">
        <v>8</v>
      </c>
      <c r="D489" s="421">
        <v>29</v>
      </c>
      <c r="E489" s="421" t="s">
        <v>1475</v>
      </c>
      <c r="F489" s="421" t="s">
        <v>3557</v>
      </c>
      <c r="G489" s="421" t="s">
        <v>3608</v>
      </c>
      <c r="H489" s="421" t="s">
        <v>1107</v>
      </c>
      <c r="I489" s="421" t="s">
        <v>3820</v>
      </c>
      <c r="J489" s="421" t="s">
        <v>3823</v>
      </c>
      <c r="K489" s="421" t="s">
        <v>3093</v>
      </c>
      <c r="L489" s="421" t="s">
        <v>3094</v>
      </c>
      <c r="M489" s="421" t="s">
        <v>2667</v>
      </c>
      <c r="N489" s="421" t="s">
        <v>3093</v>
      </c>
      <c r="O489" s="421" t="s">
        <v>3094</v>
      </c>
      <c r="P489" s="421" t="s">
        <v>3095</v>
      </c>
      <c r="Q489" s="421" t="s">
        <v>3096</v>
      </c>
      <c r="R489" s="421" t="s">
        <v>1108</v>
      </c>
      <c r="S489" s="421" t="s">
        <v>1542</v>
      </c>
      <c r="T489" s="421" t="s">
        <v>1130</v>
      </c>
      <c r="U489" s="421" t="s">
        <v>1112</v>
      </c>
      <c r="V489" s="421" t="s">
        <v>3097</v>
      </c>
      <c r="W489" s="421" t="s">
        <v>3098</v>
      </c>
      <c r="X489" s="421" t="s">
        <v>3099</v>
      </c>
      <c r="Y489" s="421" t="s">
        <v>1117</v>
      </c>
      <c r="Z489" s="421" t="s">
        <v>1118</v>
      </c>
      <c r="AA489" s="421" t="s">
        <v>3100</v>
      </c>
      <c r="AB489" s="421" t="s">
        <v>3101</v>
      </c>
      <c r="AC489" s="421" t="s">
        <v>3102</v>
      </c>
      <c r="AD489" s="421" t="s">
        <v>3291</v>
      </c>
      <c r="AE489" s="421" t="s">
        <v>3292</v>
      </c>
      <c r="AF489" s="421" t="s">
        <v>2236</v>
      </c>
      <c r="AG489" s="421" t="s">
        <v>2237</v>
      </c>
      <c r="AH489" s="421" t="s">
        <v>3105</v>
      </c>
      <c r="AI489" s="421">
        <v>2006000</v>
      </c>
      <c r="AJ489" s="421">
        <v>4484.63</v>
      </c>
      <c r="AK489" s="421">
        <v>4863.45</v>
      </c>
      <c r="AL489" s="421">
        <v>1</v>
      </c>
      <c r="AM489" s="421" t="s">
        <v>965</v>
      </c>
      <c r="AN489" s="421" t="s">
        <v>3293</v>
      </c>
      <c r="AO489" s="421" t="s">
        <v>1121</v>
      </c>
      <c r="AP489" s="421" t="s">
        <v>1121</v>
      </c>
      <c r="AQ489" s="421" t="s">
        <v>1542</v>
      </c>
      <c r="AR489" s="421" t="s">
        <v>3753</v>
      </c>
      <c r="AS489" s="421" t="s">
        <v>3824</v>
      </c>
      <c r="AT489" s="421" t="s">
        <v>3109</v>
      </c>
      <c r="AU489" s="421" t="s">
        <v>1142</v>
      </c>
      <c r="AV489" s="421" t="s">
        <v>2520</v>
      </c>
      <c r="AW489" s="421" t="s">
        <v>3110</v>
      </c>
      <c r="AX489" s="421" t="s">
        <v>3111</v>
      </c>
      <c r="AY489" s="421" t="s">
        <v>3112</v>
      </c>
      <c r="AZ489" s="421" t="s">
        <v>3113</v>
      </c>
      <c r="BA489" s="421" t="s">
        <v>3114</v>
      </c>
      <c r="BB489" s="421" t="s">
        <v>3115</v>
      </c>
      <c r="BC489" s="421">
        <v>71783.399999999994</v>
      </c>
      <c r="BD489" s="421">
        <v>222607501.74000001</v>
      </c>
      <c r="BE489" s="421">
        <v>0</v>
      </c>
      <c r="BF489" s="421">
        <v>1079.8599999999999</v>
      </c>
      <c r="BG489" s="421">
        <v>182.16</v>
      </c>
      <c r="BH489" s="421">
        <v>0</v>
      </c>
      <c r="BI489" s="421" t="s">
        <v>1331</v>
      </c>
    </row>
    <row r="490" spans="1:61" x14ac:dyDescent="0.25">
      <c r="A490" s="421">
        <v>487</v>
      </c>
      <c r="B490" s="421">
        <v>2015</v>
      </c>
      <c r="C490" s="421">
        <v>8</v>
      </c>
      <c r="D490" s="421">
        <v>29</v>
      </c>
      <c r="E490" s="421" t="s">
        <v>1475</v>
      </c>
      <c r="F490" s="421" t="s">
        <v>3557</v>
      </c>
      <c r="G490" s="421" t="s">
        <v>3608</v>
      </c>
      <c r="H490" s="421" t="s">
        <v>1107</v>
      </c>
      <c r="I490" s="421" t="s">
        <v>3820</v>
      </c>
      <c r="J490" s="421" t="s">
        <v>3823</v>
      </c>
      <c r="K490" s="421" t="s">
        <v>3093</v>
      </c>
      <c r="L490" s="421" t="s">
        <v>3094</v>
      </c>
      <c r="M490" s="421" t="s">
        <v>2667</v>
      </c>
      <c r="N490" s="421" t="s">
        <v>3093</v>
      </c>
      <c r="O490" s="421" t="s">
        <v>3094</v>
      </c>
      <c r="P490" s="421" t="s">
        <v>3095</v>
      </c>
      <c r="Q490" s="421" t="s">
        <v>3096</v>
      </c>
      <c r="R490" s="421" t="s">
        <v>1108</v>
      </c>
      <c r="S490" s="421" t="s">
        <v>1542</v>
      </c>
      <c r="T490" s="421" t="s">
        <v>1130</v>
      </c>
      <c r="U490" s="421" t="s">
        <v>1112</v>
      </c>
      <c r="V490" s="421" t="s">
        <v>3097</v>
      </c>
      <c r="W490" s="421" t="s">
        <v>3098</v>
      </c>
      <c r="X490" s="421" t="s">
        <v>3099</v>
      </c>
      <c r="Y490" s="421" t="s">
        <v>1117</v>
      </c>
      <c r="Z490" s="421" t="s">
        <v>1118</v>
      </c>
      <c r="AA490" s="421" t="s">
        <v>3100</v>
      </c>
      <c r="AB490" s="421" t="s">
        <v>3101</v>
      </c>
      <c r="AC490" s="421" t="s">
        <v>3102</v>
      </c>
      <c r="AD490" s="421" t="s">
        <v>3291</v>
      </c>
      <c r="AE490" s="421" t="s">
        <v>3292</v>
      </c>
      <c r="AF490" s="421" t="s">
        <v>2236</v>
      </c>
      <c r="AG490" s="421" t="s">
        <v>2237</v>
      </c>
      <c r="AH490" s="421" t="s">
        <v>3105</v>
      </c>
      <c r="AI490" s="421">
        <v>261000</v>
      </c>
      <c r="AJ490" s="421">
        <v>915.04</v>
      </c>
      <c r="AK490" s="421">
        <v>992.33</v>
      </c>
      <c r="AL490" s="421">
        <v>3</v>
      </c>
      <c r="AM490" s="421" t="s">
        <v>965</v>
      </c>
      <c r="AN490" s="421" t="s">
        <v>3293</v>
      </c>
      <c r="AO490" s="421" t="s">
        <v>1121</v>
      </c>
      <c r="AP490" s="421" t="s">
        <v>1121</v>
      </c>
      <c r="AQ490" s="421" t="s">
        <v>1542</v>
      </c>
      <c r="AR490" s="421" t="s">
        <v>3753</v>
      </c>
      <c r="AS490" s="421" t="s">
        <v>3824</v>
      </c>
      <c r="AT490" s="421" t="s">
        <v>3109</v>
      </c>
      <c r="AU490" s="421" t="s">
        <v>1142</v>
      </c>
      <c r="AV490" s="421" t="s">
        <v>2520</v>
      </c>
      <c r="AW490" s="421" t="s">
        <v>3110</v>
      </c>
      <c r="AX490" s="421" t="s">
        <v>3111</v>
      </c>
      <c r="AY490" s="421" t="s">
        <v>3112</v>
      </c>
      <c r="AZ490" s="421" t="s">
        <v>3113</v>
      </c>
      <c r="BA490" s="421" t="s">
        <v>3114</v>
      </c>
      <c r="BB490" s="421" t="s">
        <v>3115</v>
      </c>
      <c r="BC490" s="421">
        <v>24694.5</v>
      </c>
      <c r="BD490" s="421">
        <v>76580113.950000003</v>
      </c>
      <c r="BE490" s="421">
        <v>0</v>
      </c>
      <c r="BF490" s="421">
        <v>371.49</v>
      </c>
      <c r="BG490" s="421">
        <v>62.66</v>
      </c>
      <c r="BH490" s="421">
        <v>0</v>
      </c>
      <c r="BI490" s="421" t="s">
        <v>1331</v>
      </c>
    </row>
    <row r="491" spans="1:61" x14ac:dyDescent="0.25">
      <c r="A491" s="421">
        <v>488</v>
      </c>
      <c r="B491" s="421">
        <v>2015</v>
      </c>
      <c r="C491" s="421">
        <v>8</v>
      </c>
      <c r="D491" s="421">
        <v>29</v>
      </c>
      <c r="E491" s="421" t="s">
        <v>1475</v>
      </c>
      <c r="F491" s="421" t="s">
        <v>3557</v>
      </c>
      <c r="G491" s="421" t="s">
        <v>3608</v>
      </c>
      <c r="H491" s="421" t="s">
        <v>1107</v>
      </c>
      <c r="I491" s="421" t="s">
        <v>3820</v>
      </c>
      <c r="J491" s="421" t="s">
        <v>3823</v>
      </c>
      <c r="K491" s="421" t="s">
        <v>3093</v>
      </c>
      <c r="L491" s="421" t="s">
        <v>3094</v>
      </c>
      <c r="M491" s="421" t="s">
        <v>2667</v>
      </c>
      <c r="N491" s="421" t="s">
        <v>3093</v>
      </c>
      <c r="O491" s="421" t="s">
        <v>3094</v>
      </c>
      <c r="P491" s="421" t="s">
        <v>3095</v>
      </c>
      <c r="Q491" s="421" t="s">
        <v>3096</v>
      </c>
      <c r="R491" s="421" t="s">
        <v>1108</v>
      </c>
      <c r="S491" s="421" t="s">
        <v>1542</v>
      </c>
      <c r="T491" s="421" t="s">
        <v>1130</v>
      </c>
      <c r="U491" s="421" t="s">
        <v>1112</v>
      </c>
      <c r="V491" s="421" t="s">
        <v>3097</v>
      </c>
      <c r="W491" s="421" t="s">
        <v>3098</v>
      </c>
      <c r="X491" s="421" t="s">
        <v>3099</v>
      </c>
      <c r="Y491" s="421" t="s">
        <v>1117</v>
      </c>
      <c r="Z491" s="421" t="s">
        <v>1118</v>
      </c>
      <c r="AA491" s="421" t="s">
        <v>3100</v>
      </c>
      <c r="AB491" s="421" t="s">
        <v>3101</v>
      </c>
      <c r="AC491" s="421" t="s">
        <v>3102</v>
      </c>
      <c r="AD491" s="421" t="s">
        <v>3291</v>
      </c>
      <c r="AE491" s="421" t="s">
        <v>3292</v>
      </c>
      <c r="AF491" s="421" t="s">
        <v>2236</v>
      </c>
      <c r="AG491" s="421" t="s">
        <v>2237</v>
      </c>
      <c r="AH491" s="421" t="s">
        <v>3105</v>
      </c>
      <c r="AI491" s="421">
        <v>365500</v>
      </c>
      <c r="AJ491" s="421">
        <v>1074.05</v>
      </c>
      <c r="AK491" s="421">
        <v>1164.77</v>
      </c>
      <c r="AL491" s="421">
        <v>2</v>
      </c>
      <c r="AM491" s="421" t="s">
        <v>965</v>
      </c>
      <c r="AN491" s="421" t="s">
        <v>3293</v>
      </c>
      <c r="AO491" s="421" t="s">
        <v>1121</v>
      </c>
      <c r="AP491" s="421" t="s">
        <v>1121</v>
      </c>
      <c r="AQ491" s="421" t="s">
        <v>1542</v>
      </c>
      <c r="AR491" s="421" t="s">
        <v>3753</v>
      </c>
      <c r="AS491" s="421" t="s">
        <v>3824</v>
      </c>
      <c r="AT491" s="421" t="s">
        <v>3109</v>
      </c>
      <c r="AU491" s="421" t="s">
        <v>1142</v>
      </c>
      <c r="AV491" s="421" t="s">
        <v>2520</v>
      </c>
      <c r="AW491" s="421" t="s">
        <v>3110</v>
      </c>
      <c r="AX491" s="421" t="s">
        <v>3111</v>
      </c>
      <c r="AY491" s="421" t="s">
        <v>3112</v>
      </c>
      <c r="AZ491" s="421" t="s">
        <v>3113</v>
      </c>
      <c r="BA491" s="421" t="s">
        <v>3114</v>
      </c>
      <c r="BB491" s="421" t="s">
        <v>3115</v>
      </c>
      <c r="BC491" s="421">
        <v>17194</v>
      </c>
      <c r="BD491" s="421">
        <v>53320313.399999999</v>
      </c>
      <c r="BE491" s="421">
        <v>0</v>
      </c>
      <c r="BF491" s="421">
        <v>258.64999999999998</v>
      </c>
      <c r="BG491" s="421">
        <v>43.63</v>
      </c>
      <c r="BH491" s="421">
        <v>0</v>
      </c>
      <c r="BI491" s="421" t="s">
        <v>1331</v>
      </c>
    </row>
    <row r="492" spans="1:61" x14ac:dyDescent="0.25">
      <c r="A492" s="421">
        <v>489</v>
      </c>
      <c r="B492" s="421">
        <v>2015</v>
      </c>
      <c r="C492" s="421">
        <v>8</v>
      </c>
      <c r="D492" s="421">
        <v>31</v>
      </c>
      <c r="E492" s="421" t="s">
        <v>1475</v>
      </c>
      <c r="F492" s="421" t="s">
        <v>3557</v>
      </c>
      <c r="G492" s="421" t="s">
        <v>3216</v>
      </c>
      <c r="H492" s="421" t="s">
        <v>1107</v>
      </c>
      <c r="I492" s="421" t="s">
        <v>2491</v>
      </c>
      <c r="J492" s="421" t="s">
        <v>3825</v>
      </c>
      <c r="K492" s="421" t="s">
        <v>3753</v>
      </c>
      <c r="L492" s="421" t="s">
        <v>3826</v>
      </c>
      <c r="M492" s="421" t="s">
        <v>2667</v>
      </c>
      <c r="N492" s="421" t="s">
        <v>3093</v>
      </c>
      <c r="O492" s="421" t="s">
        <v>3094</v>
      </c>
      <c r="P492" s="421" t="s">
        <v>3095</v>
      </c>
      <c r="Q492" s="421" t="s">
        <v>3113</v>
      </c>
      <c r="R492" s="421" t="s">
        <v>1108</v>
      </c>
      <c r="S492" s="421" t="s">
        <v>1108</v>
      </c>
      <c r="T492" s="421" t="s">
        <v>1130</v>
      </c>
      <c r="U492" s="421" t="s">
        <v>3144</v>
      </c>
      <c r="V492" s="421" t="s">
        <v>3145</v>
      </c>
      <c r="W492" s="421" t="s">
        <v>3098</v>
      </c>
      <c r="X492" s="421" t="s">
        <v>3099</v>
      </c>
      <c r="Y492" s="421" t="s">
        <v>1117</v>
      </c>
      <c r="Z492" s="421" t="s">
        <v>1118</v>
      </c>
      <c r="AA492" s="421" t="s">
        <v>3100</v>
      </c>
      <c r="AB492" s="421" t="s">
        <v>3146</v>
      </c>
      <c r="AC492" s="421" t="s">
        <v>3102</v>
      </c>
      <c r="AD492" s="421" t="s">
        <v>3699</v>
      </c>
      <c r="AE492" s="421" t="s">
        <v>3827</v>
      </c>
      <c r="AF492" s="421" t="s">
        <v>1300</v>
      </c>
      <c r="AG492" s="421" t="s">
        <v>1301</v>
      </c>
      <c r="AH492" s="421" t="s">
        <v>1127</v>
      </c>
      <c r="AI492" s="421">
        <v>20</v>
      </c>
      <c r="AJ492" s="421">
        <v>20</v>
      </c>
      <c r="AK492" s="421">
        <v>20.92</v>
      </c>
      <c r="AL492" s="421">
        <v>2</v>
      </c>
      <c r="AM492" s="421" t="s">
        <v>3701</v>
      </c>
      <c r="AN492" s="421" t="s">
        <v>3702</v>
      </c>
      <c r="AO492" s="421" t="s">
        <v>1121</v>
      </c>
      <c r="AP492" s="421" t="s">
        <v>1121</v>
      </c>
      <c r="AQ492" s="421" t="s">
        <v>1108</v>
      </c>
      <c r="AR492" s="421" t="s">
        <v>3753</v>
      </c>
      <c r="AS492" s="421" t="s">
        <v>3828</v>
      </c>
      <c r="AT492" s="421" t="s">
        <v>3109</v>
      </c>
      <c r="AU492" s="421" t="s">
        <v>1341</v>
      </c>
      <c r="AV492" s="421" t="s">
        <v>2037</v>
      </c>
      <c r="AW492" s="421" t="s">
        <v>3110</v>
      </c>
      <c r="AX492" s="421" t="s">
        <v>3229</v>
      </c>
      <c r="AY492" s="421" t="s">
        <v>3112</v>
      </c>
      <c r="AZ492" s="421" t="s">
        <v>3113</v>
      </c>
      <c r="BA492" s="421" t="s">
        <v>3114</v>
      </c>
      <c r="BB492" s="421" t="s">
        <v>3230</v>
      </c>
      <c r="BC492" s="421">
        <v>3</v>
      </c>
      <c r="BD492" s="421">
        <v>9303.2999999999993</v>
      </c>
      <c r="BE492" s="421">
        <v>0</v>
      </c>
      <c r="BF492" s="421">
        <v>0</v>
      </c>
      <c r="BG492" s="421">
        <v>0</v>
      </c>
      <c r="BH492" s="421">
        <v>0</v>
      </c>
      <c r="BI492" s="421" t="s">
        <v>1149</v>
      </c>
    </row>
    <row r="493" spans="1:61" x14ac:dyDescent="0.25">
      <c r="A493" s="421">
        <v>490</v>
      </c>
      <c r="B493" s="421">
        <v>2015</v>
      </c>
      <c r="C493" s="421">
        <v>8</v>
      </c>
      <c r="D493" s="421">
        <v>31</v>
      </c>
      <c r="E493" s="421" t="s">
        <v>1475</v>
      </c>
      <c r="F493" s="421" t="s">
        <v>3557</v>
      </c>
      <c r="G493" s="421" t="s">
        <v>3216</v>
      </c>
      <c r="H493" s="421" t="s">
        <v>1107</v>
      </c>
      <c r="I493" s="421" t="s">
        <v>2491</v>
      </c>
      <c r="J493" s="421" t="s">
        <v>3825</v>
      </c>
      <c r="K493" s="421" t="s">
        <v>3753</v>
      </c>
      <c r="L493" s="421" t="s">
        <v>3826</v>
      </c>
      <c r="M493" s="421" t="s">
        <v>2667</v>
      </c>
      <c r="N493" s="421" t="s">
        <v>3093</v>
      </c>
      <c r="O493" s="421" t="s">
        <v>3094</v>
      </c>
      <c r="P493" s="421" t="s">
        <v>3095</v>
      </c>
      <c r="Q493" s="421" t="s">
        <v>3113</v>
      </c>
      <c r="R493" s="421" t="s">
        <v>1108</v>
      </c>
      <c r="S493" s="421" t="s">
        <v>1108</v>
      </c>
      <c r="T493" s="421" t="s">
        <v>1130</v>
      </c>
      <c r="U493" s="421" t="s">
        <v>3144</v>
      </c>
      <c r="V493" s="421" t="s">
        <v>3145</v>
      </c>
      <c r="W493" s="421" t="s">
        <v>3098</v>
      </c>
      <c r="X493" s="421" t="s">
        <v>3099</v>
      </c>
      <c r="Y493" s="421" t="s">
        <v>1117</v>
      </c>
      <c r="Z493" s="421" t="s">
        <v>1118</v>
      </c>
      <c r="AA493" s="421" t="s">
        <v>3100</v>
      </c>
      <c r="AB493" s="421" t="s">
        <v>3146</v>
      </c>
      <c r="AC493" s="421" t="s">
        <v>3102</v>
      </c>
      <c r="AD493" s="421" t="s">
        <v>3699</v>
      </c>
      <c r="AE493" s="421" t="s">
        <v>3827</v>
      </c>
      <c r="AF493" s="421" t="s">
        <v>3375</v>
      </c>
      <c r="AG493" s="421" t="s">
        <v>3376</v>
      </c>
      <c r="AH493" s="421" t="s">
        <v>3105</v>
      </c>
      <c r="AI493" s="421">
        <v>150</v>
      </c>
      <c r="AJ493" s="421">
        <v>3.89</v>
      </c>
      <c r="AK493" s="421">
        <v>4.07</v>
      </c>
      <c r="AL493" s="421">
        <v>1</v>
      </c>
      <c r="AM493" s="421" t="s">
        <v>3701</v>
      </c>
      <c r="AN493" s="421" t="s">
        <v>3702</v>
      </c>
      <c r="AO493" s="421" t="s">
        <v>1121</v>
      </c>
      <c r="AP493" s="421" t="s">
        <v>1121</v>
      </c>
      <c r="AQ493" s="421" t="s">
        <v>1108</v>
      </c>
      <c r="AR493" s="421" t="s">
        <v>3753</v>
      </c>
      <c r="AS493" s="421" t="s">
        <v>3828</v>
      </c>
      <c r="AT493" s="421" t="s">
        <v>3109</v>
      </c>
      <c r="AU493" s="421" t="s">
        <v>1341</v>
      </c>
      <c r="AV493" s="421" t="s">
        <v>2037</v>
      </c>
      <c r="AW493" s="421" t="s">
        <v>3110</v>
      </c>
      <c r="AX493" s="421" t="s">
        <v>3229</v>
      </c>
      <c r="AY493" s="421" t="s">
        <v>3112</v>
      </c>
      <c r="AZ493" s="421" t="s">
        <v>3113</v>
      </c>
      <c r="BA493" s="421" t="s">
        <v>3114</v>
      </c>
      <c r="BB493" s="421" t="s">
        <v>3230</v>
      </c>
      <c r="BC493" s="421">
        <v>3</v>
      </c>
      <c r="BD493" s="421">
        <v>9303.2999999999993</v>
      </c>
      <c r="BE493" s="421">
        <v>0</v>
      </c>
      <c r="BF493" s="421">
        <v>0</v>
      </c>
      <c r="BG493" s="421">
        <v>0</v>
      </c>
      <c r="BH493" s="421">
        <v>0</v>
      </c>
      <c r="BI493" s="421" t="s">
        <v>1149</v>
      </c>
    </row>
    <row r="494" spans="1:61" x14ac:dyDescent="0.25">
      <c r="A494" s="421">
        <v>491</v>
      </c>
      <c r="B494" s="421">
        <v>2015</v>
      </c>
      <c r="C494" s="421">
        <v>8</v>
      </c>
      <c r="D494" s="421">
        <v>31</v>
      </c>
      <c r="E494" s="421" t="s">
        <v>1475</v>
      </c>
      <c r="F494" s="421" t="s">
        <v>3557</v>
      </c>
      <c r="G494" s="421" t="s">
        <v>3216</v>
      </c>
      <c r="H494" s="421" t="s">
        <v>1107</v>
      </c>
      <c r="I494" s="421" t="s">
        <v>2491</v>
      </c>
      <c r="J494" s="421" t="s">
        <v>3829</v>
      </c>
      <c r="K494" s="421" t="s">
        <v>3093</v>
      </c>
      <c r="L494" s="421" t="s">
        <v>3094</v>
      </c>
      <c r="M494" s="421" t="s">
        <v>2667</v>
      </c>
      <c r="N494" s="421" t="s">
        <v>3093</v>
      </c>
      <c r="O494" s="421" t="s">
        <v>3094</v>
      </c>
      <c r="P494" s="421" t="s">
        <v>3095</v>
      </c>
      <c r="Q494" s="421" t="s">
        <v>3113</v>
      </c>
      <c r="R494" s="421" t="s">
        <v>1108</v>
      </c>
      <c r="S494" s="421" t="s">
        <v>1108</v>
      </c>
      <c r="T494" s="421" t="s">
        <v>1130</v>
      </c>
      <c r="U494" s="421" t="s">
        <v>3144</v>
      </c>
      <c r="V494" s="421" t="s">
        <v>3145</v>
      </c>
      <c r="W494" s="421" t="s">
        <v>3098</v>
      </c>
      <c r="X494" s="421" t="s">
        <v>3099</v>
      </c>
      <c r="Y494" s="421" t="s">
        <v>1117</v>
      </c>
      <c r="Z494" s="421" t="s">
        <v>1118</v>
      </c>
      <c r="AA494" s="421" t="s">
        <v>3100</v>
      </c>
      <c r="AB494" s="421" t="s">
        <v>3146</v>
      </c>
      <c r="AC494" s="421" t="s">
        <v>3102</v>
      </c>
      <c r="AD494" s="421" t="s">
        <v>3699</v>
      </c>
      <c r="AE494" s="421" t="s">
        <v>3700</v>
      </c>
      <c r="AF494" s="421" t="s">
        <v>2236</v>
      </c>
      <c r="AG494" s="421" t="s">
        <v>2237</v>
      </c>
      <c r="AH494" s="421" t="s">
        <v>3105</v>
      </c>
      <c r="AI494" s="421">
        <v>74887</v>
      </c>
      <c r="AJ494" s="421">
        <v>180.69</v>
      </c>
      <c r="AK494" s="421">
        <v>194</v>
      </c>
      <c r="AL494" s="421">
        <v>1</v>
      </c>
      <c r="AM494" s="421" t="s">
        <v>3701</v>
      </c>
      <c r="AN494" s="421" t="s">
        <v>3702</v>
      </c>
      <c r="AO494" s="421" t="s">
        <v>1121</v>
      </c>
      <c r="AP494" s="421" t="s">
        <v>1121</v>
      </c>
      <c r="AQ494" s="421" t="s">
        <v>1108</v>
      </c>
      <c r="AR494" s="421" t="s">
        <v>3753</v>
      </c>
      <c r="AS494" s="421" t="s">
        <v>3830</v>
      </c>
      <c r="AT494" s="421" t="s">
        <v>3109</v>
      </c>
      <c r="AU494" s="421" t="s">
        <v>1341</v>
      </c>
      <c r="AV494" s="421" t="s">
        <v>2037</v>
      </c>
      <c r="AW494" s="421" t="s">
        <v>3110</v>
      </c>
      <c r="AX494" s="421" t="s">
        <v>3111</v>
      </c>
      <c r="AY494" s="421" t="s">
        <v>3112</v>
      </c>
      <c r="AZ494" s="421" t="s">
        <v>3113</v>
      </c>
      <c r="BA494" s="421" t="s">
        <v>3114</v>
      </c>
      <c r="BB494" s="421" t="s">
        <v>3115</v>
      </c>
      <c r="BC494" s="421">
        <v>2322.3000000000002</v>
      </c>
      <c r="BD494" s="421">
        <v>7201684.5300000003</v>
      </c>
      <c r="BE494" s="421">
        <v>0</v>
      </c>
      <c r="BF494" s="421">
        <v>543.78</v>
      </c>
      <c r="BG494" s="421">
        <v>12</v>
      </c>
      <c r="BH494" s="421">
        <v>0</v>
      </c>
      <c r="BI494" s="421" t="s">
        <v>1149</v>
      </c>
    </row>
    <row r="495" spans="1:61" x14ac:dyDescent="0.25">
      <c r="A495" s="421">
        <v>492</v>
      </c>
      <c r="B495" s="421">
        <v>2015</v>
      </c>
      <c r="C495" s="421">
        <v>9</v>
      </c>
      <c r="D495" s="421">
        <v>4</v>
      </c>
      <c r="E495" s="421" t="s">
        <v>1475</v>
      </c>
      <c r="F495" s="421" t="s">
        <v>3132</v>
      </c>
      <c r="G495" s="421" t="s">
        <v>3477</v>
      </c>
      <c r="H495" s="421" t="s">
        <v>1107</v>
      </c>
      <c r="I495" s="421" t="s">
        <v>2522</v>
      </c>
      <c r="J495" s="421" t="s">
        <v>3831</v>
      </c>
      <c r="K495" s="421" t="s">
        <v>3093</v>
      </c>
      <c r="L495" s="421" t="s">
        <v>3094</v>
      </c>
      <c r="M495" s="421" t="s">
        <v>2667</v>
      </c>
      <c r="N495" s="421" t="s">
        <v>3093</v>
      </c>
      <c r="O495" s="421" t="s">
        <v>3094</v>
      </c>
      <c r="P495" s="421" t="s">
        <v>3095</v>
      </c>
      <c r="Q495" s="421" t="s">
        <v>3113</v>
      </c>
      <c r="R495" s="421" t="s">
        <v>1108</v>
      </c>
      <c r="S495" s="421" t="s">
        <v>1108</v>
      </c>
      <c r="T495" s="421" t="s">
        <v>1130</v>
      </c>
      <c r="U495" s="421" t="s">
        <v>1112</v>
      </c>
      <c r="V495" s="421" t="s">
        <v>3097</v>
      </c>
      <c r="W495" s="421" t="s">
        <v>3098</v>
      </c>
      <c r="X495" s="421" t="s">
        <v>3099</v>
      </c>
      <c r="Y495" s="421" t="s">
        <v>1117</v>
      </c>
      <c r="Z495" s="421" t="s">
        <v>1118</v>
      </c>
      <c r="AA495" s="421" t="s">
        <v>3100</v>
      </c>
      <c r="AB495" s="421" t="s">
        <v>3101</v>
      </c>
      <c r="AC495" s="421" t="s">
        <v>3102</v>
      </c>
      <c r="AD495" s="421" t="s">
        <v>3388</v>
      </c>
      <c r="AE495" s="421" t="s">
        <v>3389</v>
      </c>
      <c r="AF495" s="421" t="s">
        <v>3375</v>
      </c>
      <c r="AG495" s="421" t="s">
        <v>3376</v>
      </c>
      <c r="AH495" s="421" t="s">
        <v>3105</v>
      </c>
      <c r="AI495" s="421">
        <v>150</v>
      </c>
      <c r="AJ495" s="421">
        <v>23.31</v>
      </c>
      <c r="AK495" s="421">
        <v>24.24</v>
      </c>
      <c r="AL495" s="421">
        <v>1</v>
      </c>
      <c r="AM495" s="421" t="s">
        <v>3390</v>
      </c>
      <c r="AN495" s="421" t="s">
        <v>3391</v>
      </c>
      <c r="AO495" s="421" t="s">
        <v>1121</v>
      </c>
      <c r="AP495" s="421" t="s">
        <v>1121</v>
      </c>
      <c r="AQ495" s="421" t="s">
        <v>1108</v>
      </c>
      <c r="AR495" s="421" t="s">
        <v>3832</v>
      </c>
      <c r="AS495" s="421" t="s">
        <v>3833</v>
      </c>
      <c r="AT495" s="421" t="s">
        <v>3109</v>
      </c>
      <c r="AU495" s="421" t="s">
        <v>1142</v>
      </c>
      <c r="AV495" s="421" t="s">
        <v>2520</v>
      </c>
      <c r="AW495" s="421" t="s">
        <v>3110</v>
      </c>
      <c r="AX495" s="421" t="s">
        <v>3229</v>
      </c>
      <c r="AY495" s="421" t="s">
        <v>3112</v>
      </c>
      <c r="AZ495" s="421" t="s">
        <v>3113</v>
      </c>
      <c r="BA495" s="421" t="s">
        <v>3114</v>
      </c>
      <c r="BB495" s="421" t="s">
        <v>3230</v>
      </c>
      <c r="BC495" s="421">
        <v>7.5</v>
      </c>
      <c r="BD495" s="421">
        <v>23399.47</v>
      </c>
      <c r="BE495" s="421">
        <v>0</v>
      </c>
      <c r="BF495" s="421">
        <v>0</v>
      </c>
      <c r="BG495" s="421">
        <v>0</v>
      </c>
      <c r="BH495" s="421">
        <v>0</v>
      </c>
      <c r="BI495" s="421" t="s">
        <v>1167</v>
      </c>
    </row>
    <row r="496" spans="1:61" x14ac:dyDescent="0.25">
      <c r="A496" s="421">
        <v>493</v>
      </c>
      <c r="B496" s="421">
        <v>2015</v>
      </c>
      <c r="C496" s="421">
        <v>9</v>
      </c>
      <c r="D496" s="421">
        <v>4</v>
      </c>
      <c r="E496" s="421" t="s">
        <v>1475</v>
      </c>
      <c r="F496" s="421" t="s">
        <v>3132</v>
      </c>
      <c r="G496" s="421" t="s">
        <v>3477</v>
      </c>
      <c r="H496" s="421" t="s">
        <v>1107</v>
      </c>
      <c r="I496" s="421" t="s">
        <v>2522</v>
      </c>
      <c r="J496" s="421" t="s">
        <v>3834</v>
      </c>
      <c r="K496" s="421" t="s">
        <v>3093</v>
      </c>
      <c r="L496" s="421" t="s">
        <v>3094</v>
      </c>
      <c r="M496" s="421" t="s">
        <v>2667</v>
      </c>
      <c r="N496" s="421" t="s">
        <v>3093</v>
      </c>
      <c r="O496" s="421" t="s">
        <v>3094</v>
      </c>
      <c r="P496" s="421" t="s">
        <v>3095</v>
      </c>
      <c r="Q496" s="421" t="s">
        <v>3113</v>
      </c>
      <c r="R496" s="421" t="s">
        <v>1108</v>
      </c>
      <c r="S496" s="421" t="s">
        <v>1108</v>
      </c>
      <c r="T496" s="421" t="s">
        <v>1130</v>
      </c>
      <c r="U496" s="421" t="s">
        <v>1112</v>
      </c>
      <c r="V496" s="421" t="s">
        <v>3097</v>
      </c>
      <c r="W496" s="421" t="s">
        <v>3098</v>
      </c>
      <c r="X496" s="421" t="s">
        <v>3099</v>
      </c>
      <c r="Y496" s="421" t="s">
        <v>1117</v>
      </c>
      <c r="Z496" s="421" t="s">
        <v>1118</v>
      </c>
      <c r="AA496" s="421" t="s">
        <v>3100</v>
      </c>
      <c r="AB496" s="421" t="s">
        <v>3101</v>
      </c>
      <c r="AC496" s="421" t="s">
        <v>3102</v>
      </c>
      <c r="AD496" s="421" t="s">
        <v>3388</v>
      </c>
      <c r="AE496" s="421" t="s">
        <v>3389</v>
      </c>
      <c r="AF496" s="421" t="s">
        <v>2236</v>
      </c>
      <c r="AG496" s="421" t="s">
        <v>2237</v>
      </c>
      <c r="AH496" s="421" t="s">
        <v>3105</v>
      </c>
      <c r="AI496" s="421">
        <v>1050000</v>
      </c>
      <c r="AJ496" s="421">
        <v>2306.37</v>
      </c>
      <c r="AK496" s="421">
        <v>2544.04</v>
      </c>
      <c r="AL496" s="421">
        <v>2</v>
      </c>
      <c r="AM496" s="421" t="s">
        <v>3390</v>
      </c>
      <c r="AN496" s="421" t="s">
        <v>3391</v>
      </c>
      <c r="AO496" s="421" t="s">
        <v>1121</v>
      </c>
      <c r="AP496" s="421" t="s">
        <v>1121</v>
      </c>
      <c r="AQ496" s="421" t="s">
        <v>1108</v>
      </c>
      <c r="AR496" s="421" t="s">
        <v>3832</v>
      </c>
      <c r="AS496" s="421" t="s">
        <v>3835</v>
      </c>
      <c r="AT496" s="421" t="s">
        <v>3109</v>
      </c>
      <c r="AU496" s="421" t="s">
        <v>1142</v>
      </c>
      <c r="AV496" s="421" t="s">
        <v>2520</v>
      </c>
      <c r="AW496" s="421" t="s">
        <v>3110</v>
      </c>
      <c r="AX496" s="421" t="s">
        <v>3111</v>
      </c>
      <c r="AY496" s="421" t="s">
        <v>3112</v>
      </c>
      <c r="AZ496" s="421" t="s">
        <v>3113</v>
      </c>
      <c r="BA496" s="421" t="s">
        <v>3114</v>
      </c>
      <c r="BB496" s="421" t="s">
        <v>3115</v>
      </c>
      <c r="BC496" s="421">
        <v>37978.699999999997</v>
      </c>
      <c r="BD496" s="421">
        <v>118490885.48999999</v>
      </c>
      <c r="BE496" s="421">
        <v>0</v>
      </c>
      <c r="BF496" s="421">
        <v>492.19</v>
      </c>
      <c r="BG496" s="421">
        <v>96.18</v>
      </c>
      <c r="BH496" s="421">
        <v>0</v>
      </c>
      <c r="BI496" s="421" t="s">
        <v>1167</v>
      </c>
    </row>
    <row r="497" spans="1:61" x14ac:dyDescent="0.25">
      <c r="A497" s="421">
        <v>494</v>
      </c>
      <c r="B497" s="421">
        <v>2015</v>
      </c>
      <c r="C497" s="421">
        <v>9</v>
      </c>
      <c r="D497" s="421">
        <v>4</v>
      </c>
      <c r="E497" s="421" t="s">
        <v>1475</v>
      </c>
      <c r="F497" s="421" t="s">
        <v>3132</v>
      </c>
      <c r="G497" s="421" t="s">
        <v>3477</v>
      </c>
      <c r="H497" s="421" t="s">
        <v>1107</v>
      </c>
      <c r="I497" s="421" t="s">
        <v>2522</v>
      </c>
      <c r="J497" s="421" t="s">
        <v>3834</v>
      </c>
      <c r="K497" s="421" t="s">
        <v>3093</v>
      </c>
      <c r="L497" s="421" t="s">
        <v>3094</v>
      </c>
      <c r="M497" s="421" t="s">
        <v>2667</v>
      </c>
      <c r="N497" s="421" t="s">
        <v>3093</v>
      </c>
      <c r="O497" s="421" t="s">
        <v>3094</v>
      </c>
      <c r="P497" s="421" t="s">
        <v>3095</v>
      </c>
      <c r="Q497" s="421" t="s">
        <v>3113</v>
      </c>
      <c r="R497" s="421" t="s">
        <v>1108</v>
      </c>
      <c r="S497" s="421" t="s">
        <v>1108</v>
      </c>
      <c r="T497" s="421" t="s">
        <v>1130</v>
      </c>
      <c r="U497" s="421" t="s">
        <v>1112</v>
      </c>
      <c r="V497" s="421" t="s">
        <v>3097</v>
      </c>
      <c r="W497" s="421" t="s">
        <v>3098</v>
      </c>
      <c r="X497" s="421" t="s">
        <v>3099</v>
      </c>
      <c r="Y497" s="421" t="s">
        <v>1117</v>
      </c>
      <c r="Z497" s="421" t="s">
        <v>1118</v>
      </c>
      <c r="AA497" s="421" t="s">
        <v>3100</v>
      </c>
      <c r="AB497" s="421" t="s">
        <v>3101</v>
      </c>
      <c r="AC497" s="421" t="s">
        <v>3102</v>
      </c>
      <c r="AD497" s="421" t="s">
        <v>3388</v>
      </c>
      <c r="AE497" s="421" t="s">
        <v>3389</v>
      </c>
      <c r="AF497" s="421" t="s">
        <v>2236</v>
      </c>
      <c r="AG497" s="421" t="s">
        <v>2237</v>
      </c>
      <c r="AH497" s="421" t="s">
        <v>3105</v>
      </c>
      <c r="AI497" s="421">
        <v>108000</v>
      </c>
      <c r="AJ497" s="421">
        <v>376.78</v>
      </c>
      <c r="AK497" s="421">
        <v>415.6</v>
      </c>
      <c r="AL497" s="421">
        <v>3</v>
      </c>
      <c r="AM497" s="421" t="s">
        <v>3390</v>
      </c>
      <c r="AN497" s="421" t="s">
        <v>3391</v>
      </c>
      <c r="AO497" s="421" t="s">
        <v>1121</v>
      </c>
      <c r="AP497" s="421" t="s">
        <v>1121</v>
      </c>
      <c r="AQ497" s="421" t="s">
        <v>1108</v>
      </c>
      <c r="AR497" s="421" t="s">
        <v>3832</v>
      </c>
      <c r="AS497" s="421" t="s">
        <v>3835</v>
      </c>
      <c r="AT497" s="421" t="s">
        <v>3109</v>
      </c>
      <c r="AU497" s="421" t="s">
        <v>1142</v>
      </c>
      <c r="AV497" s="421" t="s">
        <v>2520</v>
      </c>
      <c r="AW497" s="421" t="s">
        <v>3110</v>
      </c>
      <c r="AX497" s="421" t="s">
        <v>3111</v>
      </c>
      <c r="AY497" s="421" t="s">
        <v>3112</v>
      </c>
      <c r="AZ497" s="421" t="s">
        <v>3113</v>
      </c>
      <c r="BA497" s="421" t="s">
        <v>3114</v>
      </c>
      <c r="BB497" s="421" t="s">
        <v>3115</v>
      </c>
      <c r="BC497" s="421">
        <v>10324.799999999999</v>
      </c>
      <c r="BD497" s="421">
        <v>32212653.260000002</v>
      </c>
      <c r="BE497" s="421">
        <v>0</v>
      </c>
      <c r="BF497" s="421">
        <v>133.81</v>
      </c>
      <c r="BG497" s="421">
        <v>26.15</v>
      </c>
      <c r="BH497" s="421">
        <v>0</v>
      </c>
      <c r="BI497" s="421" t="s">
        <v>1167</v>
      </c>
    </row>
    <row r="498" spans="1:61" x14ac:dyDescent="0.25">
      <c r="A498" s="421">
        <v>495</v>
      </c>
      <c r="B498" s="421">
        <v>2015</v>
      </c>
      <c r="C498" s="421">
        <v>9</v>
      </c>
      <c r="D498" s="421">
        <v>4</v>
      </c>
      <c r="E498" s="421" t="s">
        <v>1475</v>
      </c>
      <c r="F498" s="421" t="s">
        <v>3132</v>
      </c>
      <c r="G498" s="421" t="s">
        <v>3477</v>
      </c>
      <c r="H498" s="421" t="s">
        <v>1107</v>
      </c>
      <c r="I498" s="421" t="s">
        <v>2522</v>
      </c>
      <c r="J498" s="421" t="s">
        <v>3834</v>
      </c>
      <c r="K498" s="421" t="s">
        <v>3093</v>
      </c>
      <c r="L498" s="421" t="s">
        <v>3094</v>
      </c>
      <c r="M498" s="421" t="s">
        <v>2667</v>
      </c>
      <c r="N498" s="421" t="s">
        <v>3093</v>
      </c>
      <c r="O498" s="421" t="s">
        <v>3094</v>
      </c>
      <c r="P498" s="421" t="s">
        <v>3095</v>
      </c>
      <c r="Q498" s="421" t="s">
        <v>3113</v>
      </c>
      <c r="R498" s="421" t="s">
        <v>1108</v>
      </c>
      <c r="S498" s="421" t="s">
        <v>1108</v>
      </c>
      <c r="T498" s="421" t="s">
        <v>1130</v>
      </c>
      <c r="U498" s="421" t="s">
        <v>1112</v>
      </c>
      <c r="V498" s="421" t="s">
        <v>3097</v>
      </c>
      <c r="W498" s="421" t="s">
        <v>3098</v>
      </c>
      <c r="X498" s="421" t="s">
        <v>3099</v>
      </c>
      <c r="Y498" s="421" t="s">
        <v>1117</v>
      </c>
      <c r="Z498" s="421" t="s">
        <v>1118</v>
      </c>
      <c r="AA498" s="421" t="s">
        <v>3100</v>
      </c>
      <c r="AB498" s="421" t="s">
        <v>3101</v>
      </c>
      <c r="AC498" s="421" t="s">
        <v>3102</v>
      </c>
      <c r="AD498" s="421" t="s">
        <v>3388</v>
      </c>
      <c r="AE498" s="421" t="s">
        <v>3389</v>
      </c>
      <c r="AF498" s="421" t="s">
        <v>2236</v>
      </c>
      <c r="AG498" s="421" t="s">
        <v>2237</v>
      </c>
      <c r="AH498" s="421" t="s">
        <v>3105</v>
      </c>
      <c r="AI498" s="421">
        <v>1375500</v>
      </c>
      <c r="AJ498" s="421">
        <v>3487.54</v>
      </c>
      <c r="AK498" s="421">
        <v>3846.94</v>
      </c>
      <c r="AL498" s="421">
        <v>1</v>
      </c>
      <c r="AM498" s="421" t="s">
        <v>3390</v>
      </c>
      <c r="AN498" s="421" t="s">
        <v>3391</v>
      </c>
      <c r="AO498" s="421" t="s">
        <v>1121</v>
      </c>
      <c r="AP498" s="421" t="s">
        <v>1121</v>
      </c>
      <c r="AQ498" s="421" t="s">
        <v>1108</v>
      </c>
      <c r="AR498" s="421" t="s">
        <v>3832</v>
      </c>
      <c r="AS498" s="421" t="s">
        <v>3835</v>
      </c>
      <c r="AT498" s="421" t="s">
        <v>3109</v>
      </c>
      <c r="AU498" s="421" t="s">
        <v>1142</v>
      </c>
      <c r="AV498" s="421" t="s">
        <v>2520</v>
      </c>
      <c r="AW498" s="421" t="s">
        <v>3110</v>
      </c>
      <c r="AX498" s="421" t="s">
        <v>3111</v>
      </c>
      <c r="AY498" s="421" t="s">
        <v>3112</v>
      </c>
      <c r="AZ498" s="421" t="s">
        <v>3113</v>
      </c>
      <c r="BA498" s="421" t="s">
        <v>3114</v>
      </c>
      <c r="BB498" s="421" t="s">
        <v>3115</v>
      </c>
      <c r="BC498" s="421">
        <v>53859.199999999997</v>
      </c>
      <c r="BD498" s="421">
        <v>168036933.84999999</v>
      </c>
      <c r="BE498" s="421">
        <v>0</v>
      </c>
      <c r="BF498" s="421">
        <v>698</v>
      </c>
      <c r="BG498" s="421">
        <v>136.38999999999999</v>
      </c>
      <c r="BH498" s="421">
        <v>0</v>
      </c>
      <c r="BI498" s="421" t="s">
        <v>1167</v>
      </c>
    </row>
    <row r="499" spans="1:61" x14ac:dyDescent="0.25">
      <c r="A499" s="421">
        <v>496</v>
      </c>
      <c r="B499" s="421">
        <v>2015</v>
      </c>
      <c r="C499" s="421">
        <v>9</v>
      </c>
      <c r="D499" s="421">
        <v>8</v>
      </c>
      <c r="E499" s="421" t="s">
        <v>1475</v>
      </c>
      <c r="F499" s="421" t="s">
        <v>3132</v>
      </c>
      <c r="G499" s="421" t="s">
        <v>3557</v>
      </c>
      <c r="H499" s="421" t="s">
        <v>1107</v>
      </c>
      <c r="I499" s="421" t="s">
        <v>2540</v>
      </c>
      <c r="J499" s="421" t="s">
        <v>3836</v>
      </c>
      <c r="K499" s="421" t="s">
        <v>3093</v>
      </c>
      <c r="L499" s="421" t="s">
        <v>3094</v>
      </c>
      <c r="M499" s="421" t="s">
        <v>2667</v>
      </c>
      <c r="N499" s="421" t="s">
        <v>3093</v>
      </c>
      <c r="O499" s="421" t="s">
        <v>3094</v>
      </c>
      <c r="P499" s="421" t="s">
        <v>3095</v>
      </c>
      <c r="Q499" s="421" t="s">
        <v>3096</v>
      </c>
      <c r="R499" s="421" t="s">
        <v>1108</v>
      </c>
      <c r="S499" s="421" t="s">
        <v>1542</v>
      </c>
      <c r="T499" s="421" t="s">
        <v>1130</v>
      </c>
      <c r="U499" s="421" t="s">
        <v>1112</v>
      </c>
      <c r="V499" s="421" t="s">
        <v>3097</v>
      </c>
      <c r="W499" s="421" t="s">
        <v>3098</v>
      </c>
      <c r="X499" s="421" t="s">
        <v>3099</v>
      </c>
      <c r="Y499" s="421" t="s">
        <v>1117</v>
      </c>
      <c r="Z499" s="421" t="s">
        <v>1118</v>
      </c>
      <c r="AA499" s="421" t="s">
        <v>3100</v>
      </c>
      <c r="AB499" s="421" t="s">
        <v>3101</v>
      </c>
      <c r="AC499" s="421" t="s">
        <v>3102</v>
      </c>
      <c r="AD499" s="421" t="s">
        <v>3298</v>
      </c>
      <c r="AE499" s="421" t="s">
        <v>3299</v>
      </c>
      <c r="AF499" s="421" t="s">
        <v>2236</v>
      </c>
      <c r="AG499" s="421" t="s">
        <v>2237</v>
      </c>
      <c r="AH499" s="421" t="s">
        <v>3105</v>
      </c>
      <c r="AI499" s="421">
        <v>645000</v>
      </c>
      <c r="AJ499" s="421">
        <v>1476.66</v>
      </c>
      <c r="AK499" s="421">
        <v>1605</v>
      </c>
      <c r="AL499" s="421">
        <v>1</v>
      </c>
      <c r="AM499" s="421" t="s">
        <v>2429</v>
      </c>
      <c r="AN499" s="421" t="s">
        <v>3300</v>
      </c>
      <c r="AO499" s="421" t="s">
        <v>1121</v>
      </c>
      <c r="AP499" s="421" t="s">
        <v>1121</v>
      </c>
      <c r="AQ499" s="421" t="s">
        <v>1542</v>
      </c>
      <c r="AR499" s="421" t="s">
        <v>3832</v>
      </c>
      <c r="AS499" s="421" t="s">
        <v>3837</v>
      </c>
      <c r="AT499" s="421" t="s">
        <v>3109</v>
      </c>
      <c r="AU499" s="421" t="s">
        <v>1142</v>
      </c>
      <c r="AV499" s="421" t="s">
        <v>2520</v>
      </c>
      <c r="AW499" s="421" t="s">
        <v>3110</v>
      </c>
      <c r="AX499" s="421" t="s">
        <v>3111</v>
      </c>
      <c r="AY499" s="421" t="s">
        <v>3112</v>
      </c>
      <c r="AZ499" s="421" t="s">
        <v>3113</v>
      </c>
      <c r="BA499" s="421" t="s">
        <v>3114</v>
      </c>
      <c r="BB499" s="421" t="s">
        <v>3115</v>
      </c>
      <c r="BC499" s="421">
        <v>21635</v>
      </c>
      <c r="BD499" s="421">
        <v>67361654.25</v>
      </c>
      <c r="BE499" s="421">
        <v>0</v>
      </c>
      <c r="BF499" s="421">
        <v>1100</v>
      </c>
      <c r="BG499" s="421">
        <v>56.84</v>
      </c>
      <c r="BH499" s="421">
        <v>0</v>
      </c>
      <c r="BI499" s="421" t="s">
        <v>1331</v>
      </c>
    </row>
    <row r="500" spans="1:61" x14ac:dyDescent="0.25">
      <c r="A500" s="421">
        <v>497</v>
      </c>
      <c r="B500" s="421">
        <v>2015</v>
      </c>
      <c r="C500" s="421">
        <v>9</v>
      </c>
      <c r="D500" s="421">
        <v>8</v>
      </c>
      <c r="E500" s="421" t="s">
        <v>1475</v>
      </c>
      <c r="F500" s="421" t="s">
        <v>3132</v>
      </c>
      <c r="G500" s="421" t="s">
        <v>3557</v>
      </c>
      <c r="H500" s="421" t="s">
        <v>1107</v>
      </c>
      <c r="I500" s="421" t="s">
        <v>2540</v>
      </c>
      <c r="J500" s="421" t="s">
        <v>3838</v>
      </c>
      <c r="K500" s="421" t="s">
        <v>3093</v>
      </c>
      <c r="L500" s="421" t="s">
        <v>3094</v>
      </c>
      <c r="M500" s="421" t="s">
        <v>2667</v>
      </c>
      <c r="N500" s="421" t="s">
        <v>3093</v>
      </c>
      <c r="O500" s="421" t="s">
        <v>3094</v>
      </c>
      <c r="P500" s="421" t="s">
        <v>3095</v>
      </c>
      <c r="Q500" s="421" t="s">
        <v>3113</v>
      </c>
      <c r="R500" s="421" t="s">
        <v>1108</v>
      </c>
      <c r="S500" s="421" t="s">
        <v>1108</v>
      </c>
      <c r="T500" s="421" t="s">
        <v>1130</v>
      </c>
      <c r="U500" s="421" t="s">
        <v>1112</v>
      </c>
      <c r="V500" s="421" t="s">
        <v>3097</v>
      </c>
      <c r="W500" s="421" t="s">
        <v>3098</v>
      </c>
      <c r="X500" s="421" t="s">
        <v>3099</v>
      </c>
      <c r="Y500" s="421" t="s">
        <v>1117</v>
      </c>
      <c r="Z500" s="421" t="s">
        <v>1118</v>
      </c>
      <c r="AA500" s="421" t="s">
        <v>3100</v>
      </c>
      <c r="AB500" s="421" t="s">
        <v>3101</v>
      </c>
      <c r="AC500" s="421" t="s">
        <v>3102</v>
      </c>
      <c r="AD500" s="421" t="s">
        <v>3189</v>
      </c>
      <c r="AE500" s="421" t="s">
        <v>3190</v>
      </c>
      <c r="AF500" s="421" t="s">
        <v>2236</v>
      </c>
      <c r="AG500" s="421" t="s">
        <v>2237</v>
      </c>
      <c r="AH500" s="421" t="s">
        <v>3105</v>
      </c>
      <c r="AI500" s="421">
        <v>73160</v>
      </c>
      <c r="AJ500" s="421">
        <v>275.26</v>
      </c>
      <c r="AK500" s="421">
        <v>298.17</v>
      </c>
      <c r="AL500" s="421">
        <v>3</v>
      </c>
      <c r="AM500" s="421" t="s">
        <v>961</v>
      </c>
      <c r="AN500" s="421" t="s">
        <v>3191</v>
      </c>
      <c r="AO500" s="421" t="s">
        <v>1121</v>
      </c>
      <c r="AP500" s="421" t="s">
        <v>1121</v>
      </c>
      <c r="AQ500" s="421" t="s">
        <v>1108</v>
      </c>
      <c r="AR500" s="421" t="s">
        <v>3832</v>
      </c>
      <c r="AS500" s="421" t="s">
        <v>3839</v>
      </c>
      <c r="AT500" s="421" t="s">
        <v>3109</v>
      </c>
      <c r="AU500" s="421" t="s">
        <v>1142</v>
      </c>
      <c r="AV500" s="421" t="s">
        <v>2037</v>
      </c>
      <c r="AW500" s="421" t="s">
        <v>3110</v>
      </c>
      <c r="AX500" s="421" t="s">
        <v>3111</v>
      </c>
      <c r="AY500" s="421" t="s">
        <v>3193</v>
      </c>
      <c r="AZ500" s="421" t="s">
        <v>3113</v>
      </c>
      <c r="BA500" s="421" t="s">
        <v>3114</v>
      </c>
      <c r="BB500" s="421" t="s">
        <v>3115</v>
      </c>
      <c r="BC500" s="421">
        <v>6894</v>
      </c>
      <c r="BD500" s="421">
        <v>21464813.699999999</v>
      </c>
      <c r="BE500" s="421">
        <v>0</v>
      </c>
      <c r="BF500" s="421">
        <v>80.349999999999994</v>
      </c>
      <c r="BG500" s="421">
        <v>17.440000000000001</v>
      </c>
      <c r="BH500" s="421">
        <v>0</v>
      </c>
      <c r="BI500" s="421" t="s">
        <v>1149</v>
      </c>
    </row>
    <row r="501" spans="1:61" x14ac:dyDescent="0.25">
      <c r="A501" s="421">
        <v>498</v>
      </c>
      <c r="B501" s="421">
        <v>2015</v>
      </c>
      <c r="C501" s="421">
        <v>9</v>
      </c>
      <c r="D501" s="421">
        <v>8</v>
      </c>
      <c r="E501" s="421" t="s">
        <v>1475</v>
      </c>
      <c r="F501" s="421" t="s">
        <v>3132</v>
      </c>
      <c r="G501" s="421" t="s">
        <v>3557</v>
      </c>
      <c r="H501" s="421" t="s">
        <v>1107</v>
      </c>
      <c r="I501" s="421" t="s">
        <v>2540</v>
      </c>
      <c r="J501" s="421" t="s">
        <v>3838</v>
      </c>
      <c r="K501" s="421" t="s">
        <v>3093</v>
      </c>
      <c r="L501" s="421" t="s">
        <v>3094</v>
      </c>
      <c r="M501" s="421" t="s">
        <v>2667</v>
      </c>
      <c r="N501" s="421" t="s">
        <v>3093</v>
      </c>
      <c r="O501" s="421" t="s">
        <v>3094</v>
      </c>
      <c r="P501" s="421" t="s">
        <v>3095</v>
      </c>
      <c r="Q501" s="421" t="s">
        <v>3113</v>
      </c>
      <c r="R501" s="421" t="s">
        <v>1108</v>
      </c>
      <c r="S501" s="421" t="s">
        <v>1108</v>
      </c>
      <c r="T501" s="421" t="s">
        <v>1130</v>
      </c>
      <c r="U501" s="421" t="s">
        <v>1112</v>
      </c>
      <c r="V501" s="421" t="s">
        <v>3097</v>
      </c>
      <c r="W501" s="421" t="s">
        <v>3098</v>
      </c>
      <c r="X501" s="421" t="s">
        <v>3099</v>
      </c>
      <c r="Y501" s="421" t="s">
        <v>1117</v>
      </c>
      <c r="Z501" s="421" t="s">
        <v>1118</v>
      </c>
      <c r="AA501" s="421" t="s">
        <v>3100</v>
      </c>
      <c r="AB501" s="421" t="s">
        <v>3101</v>
      </c>
      <c r="AC501" s="421" t="s">
        <v>3102</v>
      </c>
      <c r="AD501" s="421" t="s">
        <v>3189</v>
      </c>
      <c r="AE501" s="421" t="s">
        <v>3190</v>
      </c>
      <c r="AF501" s="421" t="s">
        <v>2236</v>
      </c>
      <c r="AG501" s="421" t="s">
        <v>2237</v>
      </c>
      <c r="AH501" s="421" t="s">
        <v>3105</v>
      </c>
      <c r="AI501" s="421">
        <v>11520</v>
      </c>
      <c r="AJ501" s="421">
        <v>50.64</v>
      </c>
      <c r="AK501" s="421">
        <v>54.85</v>
      </c>
      <c r="AL501" s="421">
        <v>4</v>
      </c>
      <c r="AM501" s="421" t="s">
        <v>961</v>
      </c>
      <c r="AN501" s="421" t="s">
        <v>3191</v>
      </c>
      <c r="AO501" s="421" t="s">
        <v>1121</v>
      </c>
      <c r="AP501" s="421" t="s">
        <v>1121</v>
      </c>
      <c r="AQ501" s="421" t="s">
        <v>1108</v>
      </c>
      <c r="AR501" s="421" t="s">
        <v>3832</v>
      </c>
      <c r="AS501" s="421" t="s">
        <v>3839</v>
      </c>
      <c r="AT501" s="421" t="s">
        <v>3109</v>
      </c>
      <c r="AU501" s="421" t="s">
        <v>1142</v>
      </c>
      <c r="AV501" s="421" t="s">
        <v>2037</v>
      </c>
      <c r="AW501" s="421" t="s">
        <v>3110</v>
      </c>
      <c r="AX501" s="421" t="s">
        <v>3111</v>
      </c>
      <c r="AY501" s="421" t="s">
        <v>3193</v>
      </c>
      <c r="AZ501" s="421" t="s">
        <v>3113</v>
      </c>
      <c r="BA501" s="421" t="s">
        <v>3114</v>
      </c>
      <c r="BB501" s="421" t="s">
        <v>3115</v>
      </c>
      <c r="BC501" s="421">
        <v>1248</v>
      </c>
      <c r="BD501" s="421">
        <v>3885710.4</v>
      </c>
      <c r="BE501" s="421">
        <v>0</v>
      </c>
      <c r="BF501" s="421">
        <v>14.55</v>
      </c>
      <c r="BG501" s="421">
        <v>3.16</v>
      </c>
      <c r="BH501" s="421">
        <v>0</v>
      </c>
      <c r="BI501" s="421" t="s">
        <v>1149</v>
      </c>
    </row>
    <row r="502" spans="1:61" x14ac:dyDescent="0.25">
      <c r="A502" s="421">
        <v>499</v>
      </c>
      <c r="B502" s="421">
        <v>2015</v>
      </c>
      <c r="C502" s="421">
        <v>9</v>
      </c>
      <c r="D502" s="421">
        <v>8</v>
      </c>
      <c r="E502" s="421" t="s">
        <v>1475</v>
      </c>
      <c r="F502" s="421" t="s">
        <v>3132</v>
      </c>
      <c r="G502" s="421" t="s">
        <v>3557</v>
      </c>
      <c r="H502" s="421" t="s">
        <v>1107</v>
      </c>
      <c r="I502" s="421" t="s">
        <v>2540</v>
      </c>
      <c r="J502" s="421" t="s">
        <v>3838</v>
      </c>
      <c r="K502" s="421" t="s">
        <v>3093</v>
      </c>
      <c r="L502" s="421" t="s">
        <v>3094</v>
      </c>
      <c r="M502" s="421" t="s">
        <v>2667</v>
      </c>
      <c r="N502" s="421" t="s">
        <v>3093</v>
      </c>
      <c r="O502" s="421" t="s">
        <v>3094</v>
      </c>
      <c r="P502" s="421" t="s">
        <v>3095</v>
      </c>
      <c r="Q502" s="421" t="s">
        <v>3113</v>
      </c>
      <c r="R502" s="421" t="s">
        <v>1108</v>
      </c>
      <c r="S502" s="421" t="s">
        <v>1108</v>
      </c>
      <c r="T502" s="421" t="s">
        <v>1130</v>
      </c>
      <c r="U502" s="421" t="s">
        <v>1112</v>
      </c>
      <c r="V502" s="421" t="s">
        <v>3097</v>
      </c>
      <c r="W502" s="421" t="s">
        <v>3098</v>
      </c>
      <c r="X502" s="421" t="s">
        <v>3099</v>
      </c>
      <c r="Y502" s="421" t="s">
        <v>1117</v>
      </c>
      <c r="Z502" s="421" t="s">
        <v>1118</v>
      </c>
      <c r="AA502" s="421" t="s">
        <v>3100</v>
      </c>
      <c r="AB502" s="421" t="s">
        <v>3101</v>
      </c>
      <c r="AC502" s="421" t="s">
        <v>3102</v>
      </c>
      <c r="AD502" s="421" t="s">
        <v>3189</v>
      </c>
      <c r="AE502" s="421" t="s">
        <v>3190</v>
      </c>
      <c r="AF502" s="421" t="s">
        <v>2236</v>
      </c>
      <c r="AG502" s="421" t="s">
        <v>2237</v>
      </c>
      <c r="AH502" s="421" t="s">
        <v>3105</v>
      </c>
      <c r="AI502" s="421">
        <v>2771624</v>
      </c>
      <c r="AJ502" s="421">
        <v>5412.92</v>
      </c>
      <c r="AK502" s="421">
        <v>5863.56</v>
      </c>
      <c r="AL502" s="421">
        <v>1</v>
      </c>
      <c r="AM502" s="421" t="s">
        <v>961</v>
      </c>
      <c r="AN502" s="421" t="s">
        <v>3191</v>
      </c>
      <c r="AO502" s="421" t="s">
        <v>1121</v>
      </c>
      <c r="AP502" s="421" t="s">
        <v>1121</v>
      </c>
      <c r="AQ502" s="421" t="s">
        <v>1108</v>
      </c>
      <c r="AR502" s="421" t="s">
        <v>3832</v>
      </c>
      <c r="AS502" s="421" t="s">
        <v>3839</v>
      </c>
      <c r="AT502" s="421" t="s">
        <v>3109</v>
      </c>
      <c r="AU502" s="421" t="s">
        <v>1142</v>
      </c>
      <c r="AV502" s="421" t="s">
        <v>2037</v>
      </c>
      <c r="AW502" s="421" t="s">
        <v>3110</v>
      </c>
      <c r="AX502" s="421" t="s">
        <v>3111</v>
      </c>
      <c r="AY502" s="421" t="s">
        <v>3193</v>
      </c>
      <c r="AZ502" s="421" t="s">
        <v>3113</v>
      </c>
      <c r="BA502" s="421" t="s">
        <v>3114</v>
      </c>
      <c r="BB502" s="421" t="s">
        <v>3115</v>
      </c>
      <c r="BC502" s="421">
        <v>78262.48</v>
      </c>
      <c r="BD502" s="421">
        <v>243674144.59999999</v>
      </c>
      <c r="BE502" s="421">
        <v>0</v>
      </c>
      <c r="BF502" s="421">
        <v>912.15</v>
      </c>
      <c r="BG502" s="421">
        <v>197.94</v>
      </c>
      <c r="BH502" s="421">
        <v>0</v>
      </c>
      <c r="BI502" s="421" t="s">
        <v>1149</v>
      </c>
    </row>
    <row r="503" spans="1:61" x14ac:dyDescent="0.25">
      <c r="A503" s="421">
        <v>500</v>
      </c>
      <c r="B503" s="421">
        <v>2015</v>
      </c>
      <c r="C503" s="421">
        <v>9</v>
      </c>
      <c r="D503" s="421">
        <v>8</v>
      </c>
      <c r="E503" s="421" t="s">
        <v>1475</v>
      </c>
      <c r="F503" s="421" t="s">
        <v>3132</v>
      </c>
      <c r="G503" s="421" t="s">
        <v>3557</v>
      </c>
      <c r="H503" s="421" t="s">
        <v>1107</v>
      </c>
      <c r="I503" s="421" t="s">
        <v>2540</v>
      </c>
      <c r="J503" s="421" t="s">
        <v>3838</v>
      </c>
      <c r="K503" s="421" t="s">
        <v>3093</v>
      </c>
      <c r="L503" s="421" t="s">
        <v>3094</v>
      </c>
      <c r="M503" s="421" t="s">
        <v>2667</v>
      </c>
      <c r="N503" s="421" t="s">
        <v>3093</v>
      </c>
      <c r="O503" s="421" t="s">
        <v>3094</v>
      </c>
      <c r="P503" s="421" t="s">
        <v>3095</v>
      </c>
      <c r="Q503" s="421" t="s">
        <v>3113</v>
      </c>
      <c r="R503" s="421" t="s">
        <v>1108</v>
      </c>
      <c r="S503" s="421" t="s">
        <v>1108</v>
      </c>
      <c r="T503" s="421" t="s">
        <v>1130</v>
      </c>
      <c r="U503" s="421" t="s">
        <v>1112</v>
      </c>
      <c r="V503" s="421" t="s">
        <v>3097</v>
      </c>
      <c r="W503" s="421" t="s">
        <v>3098</v>
      </c>
      <c r="X503" s="421" t="s">
        <v>3099</v>
      </c>
      <c r="Y503" s="421" t="s">
        <v>1117</v>
      </c>
      <c r="Z503" s="421" t="s">
        <v>1118</v>
      </c>
      <c r="AA503" s="421" t="s">
        <v>3100</v>
      </c>
      <c r="AB503" s="421" t="s">
        <v>3101</v>
      </c>
      <c r="AC503" s="421" t="s">
        <v>3102</v>
      </c>
      <c r="AD503" s="421" t="s">
        <v>3189</v>
      </c>
      <c r="AE503" s="421" t="s">
        <v>3190</v>
      </c>
      <c r="AF503" s="421" t="s">
        <v>2236</v>
      </c>
      <c r="AG503" s="421" t="s">
        <v>2237</v>
      </c>
      <c r="AH503" s="421" t="s">
        <v>3105</v>
      </c>
      <c r="AI503" s="421">
        <v>367416</v>
      </c>
      <c r="AJ503" s="421">
        <v>829.48</v>
      </c>
      <c r="AK503" s="421">
        <v>898.53</v>
      </c>
      <c r="AL503" s="421">
        <v>2</v>
      </c>
      <c r="AM503" s="421" t="s">
        <v>961</v>
      </c>
      <c r="AN503" s="421" t="s">
        <v>3191</v>
      </c>
      <c r="AO503" s="421" t="s">
        <v>1121</v>
      </c>
      <c r="AP503" s="421" t="s">
        <v>1121</v>
      </c>
      <c r="AQ503" s="421" t="s">
        <v>1108</v>
      </c>
      <c r="AR503" s="421" t="s">
        <v>3832</v>
      </c>
      <c r="AS503" s="421" t="s">
        <v>3839</v>
      </c>
      <c r="AT503" s="421" t="s">
        <v>3109</v>
      </c>
      <c r="AU503" s="421" t="s">
        <v>1142</v>
      </c>
      <c r="AV503" s="421" t="s">
        <v>2037</v>
      </c>
      <c r="AW503" s="421" t="s">
        <v>3110</v>
      </c>
      <c r="AX503" s="421" t="s">
        <v>3111</v>
      </c>
      <c r="AY503" s="421" t="s">
        <v>3193</v>
      </c>
      <c r="AZ503" s="421" t="s">
        <v>3113</v>
      </c>
      <c r="BA503" s="421" t="s">
        <v>3114</v>
      </c>
      <c r="BB503" s="421" t="s">
        <v>3115</v>
      </c>
      <c r="BC503" s="421">
        <v>12265.68</v>
      </c>
      <c r="BD503" s="421">
        <v>38189807.960000001</v>
      </c>
      <c r="BE503" s="421">
        <v>0</v>
      </c>
      <c r="BF503" s="421">
        <v>142.96</v>
      </c>
      <c r="BG503" s="421">
        <v>31.02</v>
      </c>
      <c r="BH503" s="421">
        <v>0</v>
      </c>
      <c r="BI503" s="421" t="s">
        <v>1149</v>
      </c>
    </row>
    <row r="504" spans="1:61" x14ac:dyDescent="0.25">
      <c r="A504" s="421">
        <v>501</v>
      </c>
      <c r="B504" s="421">
        <v>2015</v>
      </c>
      <c r="C504" s="421">
        <v>9</v>
      </c>
      <c r="D504" s="421">
        <v>11</v>
      </c>
      <c r="E504" s="421" t="s">
        <v>1475</v>
      </c>
      <c r="F504" s="421" t="s">
        <v>3132</v>
      </c>
      <c r="G504" s="421" t="s">
        <v>3273</v>
      </c>
      <c r="H504" s="421" t="s">
        <v>1107</v>
      </c>
      <c r="I504" s="421" t="s">
        <v>2576</v>
      </c>
      <c r="J504" s="421" t="s">
        <v>3840</v>
      </c>
      <c r="K504" s="421" t="s">
        <v>3093</v>
      </c>
      <c r="L504" s="421" t="s">
        <v>3094</v>
      </c>
      <c r="M504" s="421" t="s">
        <v>2667</v>
      </c>
      <c r="N504" s="421" t="s">
        <v>3093</v>
      </c>
      <c r="O504" s="421" t="s">
        <v>3094</v>
      </c>
      <c r="P504" s="421" t="s">
        <v>3095</v>
      </c>
      <c r="Q504" s="421" t="s">
        <v>3113</v>
      </c>
      <c r="R504" s="421" t="s">
        <v>1108</v>
      </c>
      <c r="S504" s="421" t="s">
        <v>1108</v>
      </c>
      <c r="T504" s="421" t="s">
        <v>1130</v>
      </c>
      <c r="U504" s="421" t="s">
        <v>1112</v>
      </c>
      <c r="V504" s="421" t="s">
        <v>3097</v>
      </c>
      <c r="W504" s="421" t="s">
        <v>3098</v>
      </c>
      <c r="X504" s="421" t="s">
        <v>3099</v>
      </c>
      <c r="Y504" s="421" t="s">
        <v>1117</v>
      </c>
      <c r="Z504" s="421" t="s">
        <v>1118</v>
      </c>
      <c r="AA504" s="421" t="s">
        <v>3100</v>
      </c>
      <c r="AB504" s="421" t="s">
        <v>3101</v>
      </c>
      <c r="AC504" s="421" t="s">
        <v>3102</v>
      </c>
      <c r="AD504" s="421" t="s">
        <v>3269</v>
      </c>
      <c r="AE504" s="421" t="s">
        <v>3378</v>
      </c>
      <c r="AF504" s="421" t="s">
        <v>2236</v>
      </c>
      <c r="AG504" s="421" t="s">
        <v>2237</v>
      </c>
      <c r="AH504" s="421" t="s">
        <v>3105</v>
      </c>
      <c r="AI504" s="421">
        <v>771500</v>
      </c>
      <c r="AJ504" s="421">
        <v>1719.85</v>
      </c>
      <c r="AK504" s="421">
        <v>1869.93</v>
      </c>
      <c r="AL504" s="421">
        <v>2</v>
      </c>
      <c r="AM504" s="421" t="s">
        <v>966</v>
      </c>
      <c r="AN504" s="421" t="s">
        <v>3271</v>
      </c>
      <c r="AO504" s="421" t="s">
        <v>1121</v>
      </c>
      <c r="AP504" s="421" t="s">
        <v>1121</v>
      </c>
      <c r="AQ504" s="421" t="s">
        <v>1108</v>
      </c>
      <c r="AR504" s="421" t="s">
        <v>3832</v>
      </c>
      <c r="AS504" s="421" t="s">
        <v>3841</v>
      </c>
      <c r="AT504" s="421" t="s">
        <v>3109</v>
      </c>
      <c r="AU504" s="421" t="s">
        <v>1142</v>
      </c>
      <c r="AV504" s="421" t="s">
        <v>3130</v>
      </c>
      <c r="AW504" s="421" t="s">
        <v>3110</v>
      </c>
      <c r="AX504" s="421" t="s">
        <v>3111</v>
      </c>
      <c r="AY504" s="421" t="s">
        <v>3112</v>
      </c>
      <c r="AZ504" s="421" t="s">
        <v>3113</v>
      </c>
      <c r="BA504" s="421" t="s">
        <v>3114</v>
      </c>
      <c r="BB504" s="421" t="s">
        <v>3115</v>
      </c>
      <c r="BC504" s="421">
        <v>22394.5</v>
      </c>
      <c r="BD504" s="421">
        <v>68987824.859999999</v>
      </c>
      <c r="BE504" s="421">
        <v>0</v>
      </c>
      <c r="BF504" s="421">
        <v>313.38</v>
      </c>
      <c r="BG504" s="421">
        <v>56.77</v>
      </c>
      <c r="BH504" s="421">
        <v>139.19</v>
      </c>
      <c r="BI504" s="421" t="s">
        <v>1167</v>
      </c>
    </row>
    <row r="505" spans="1:61" x14ac:dyDescent="0.25">
      <c r="A505" s="421">
        <v>502</v>
      </c>
      <c r="B505" s="421">
        <v>2015</v>
      </c>
      <c r="C505" s="421">
        <v>9</v>
      </c>
      <c r="D505" s="421">
        <v>11</v>
      </c>
      <c r="E505" s="421" t="s">
        <v>1475</v>
      </c>
      <c r="F505" s="421" t="s">
        <v>3132</v>
      </c>
      <c r="G505" s="421" t="s">
        <v>3273</v>
      </c>
      <c r="H505" s="421" t="s">
        <v>1107</v>
      </c>
      <c r="I505" s="421" t="s">
        <v>2576</v>
      </c>
      <c r="J505" s="421" t="s">
        <v>3840</v>
      </c>
      <c r="K505" s="421" t="s">
        <v>3093</v>
      </c>
      <c r="L505" s="421" t="s">
        <v>3094</v>
      </c>
      <c r="M505" s="421" t="s">
        <v>2667</v>
      </c>
      <c r="N505" s="421" t="s">
        <v>3093</v>
      </c>
      <c r="O505" s="421" t="s">
        <v>3094</v>
      </c>
      <c r="P505" s="421" t="s">
        <v>3095</v>
      </c>
      <c r="Q505" s="421" t="s">
        <v>3113</v>
      </c>
      <c r="R505" s="421" t="s">
        <v>1108</v>
      </c>
      <c r="S505" s="421" t="s">
        <v>1108</v>
      </c>
      <c r="T505" s="421" t="s">
        <v>1130</v>
      </c>
      <c r="U505" s="421" t="s">
        <v>1112</v>
      </c>
      <c r="V505" s="421" t="s">
        <v>3097</v>
      </c>
      <c r="W505" s="421" t="s">
        <v>3098</v>
      </c>
      <c r="X505" s="421" t="s">
        <v>3099</v>
      </c>
      <c r="Y505" s="421" t="s">
        <v>1117</v>
      </c>
      <c r="Z505" s="421" t="s">
        <v>1118</v>
      </c>
      <c r="AA505" s="421" t="s">
        <v>3100</v>
      </c>
      <c r="AB505" s="421" t="s">
        <v>3101</v>
      </c>
      <c r="AC505" s="421" t="s">
        <v>3102</v>
      </c>
      <c r="AD505" s="421" t="s">
        <v>3269</v>
      </c>
      <c r="AE505" s="421" t="s">
        <v>3378</v>
      </c>
      <c r="AF505" s="421" t="s">
        <v>2236</v>
      </c>
      <c r="AG505" s="421" t="s">
        <v>2237</v>
      </c>
      <c r="AH505" s="421" t="s">
        <v>3105</v>
      </c>
      <c r="AI505" s="421">
        <v>1433000</v>
      </c>
      <c r="AJ505" s="421">
        <v>3037.7</v>
      </c>
      <c r="AK505" s="421">
        <v>3302.79</v>
      </c>
      <c r="AL505" s="421">
        <v>1</v>
      </c>
      <c r="AM505" s="421" t="s">
        <v>966</v>
      </c>
      <c r="AN505" s="421" t="s">
        <v>3271</v>
      </c>
      <c r="AO505" s="421" t="s">
        <v>1121</v>
      </c>
      <c r="AP505" s="421" t="s">
        <v>1121</v>
      </c>
      <c r="AQ505" s="421" t="s">
        <v>1108</v>
      </c>
      <c r="AR505" s="421" t="s">
        <v>3832</v>
      </c>
      <c r="AS505" s="421" t="s">
        <v>3841</v>
      </c>
      <c r="AT505" s="421" t="s">
        <v>3109</v>
      </c>
      <c r="AU505" s="421" t="s">
        <v>1142</v>
      </c>
      <c r="AV505" s="421" t="s">
        <v>3130</v>
      </c>
      <c r="AW505" s="421" t="s">
        <v>3110</v>
      </c>
      <c r="AX505" s="421" t="s">
        <v>3111</v>
      </c>
      <c r="AY505" s="421" t="s">
        <v>3112</v>
      </c>
      <c r="AZ505" s="421" t="s">
        <v>3113</v>
      </c>
      <c r="BA505" s="421" t="s">
        <v>3114</v>
      </c>
      <c r="BB505" s="421" t="s">
        <v>3115</v>
      </c>
      <c r="BC505" s="421">
        <v>42505.8</v>
      </c>
      <c r="BD505" s="421">
        <v>130942092.3</v>
      </c>
      <c r="BE505" s="421">
        <v>0</v>
      </c>
      <c r="BF505" s="421">
        <v>594.79999999999995</v>
      </c>
      <c r="BG505" s="421">
        <v>107.75</v>
      </c>
      <c r="BH505" s="421">
        <v>264.19</v>
      </c>
      <c r="BI505" s="421" t="s">
        <v>1167</v>
      </c>
    </row>
    <row r="506" spans="1:61" x14ac:dyDescent="0.25">
      <c r="A506" s="421">
        <v>503</v>
      </c>
      <c r="B506" s="421">
        <v>2015</v>
      </c>
      <c r="C506" s="421">
        <v>9</v>
      </c>
      <c r="D506" s="421">
        <v>11</v>
      </c>
      <c r="E506" s="421" t="s">
        <v>1475</v>
      </c>
      <c r="F506" s="421" t="s">
        <v>3132</v>
      </c>
      <c r="G506" s="421" t="s">
        <v>3273</v>
      </c>
      <c r="H506" s="421" t="s">
        <v>1107</v>
      </c>
      <c r="I506" s="421" t="s">
        <v>2576</v>
      </c>
      <c r="J506" s="421" t="s">
        <v>3842</v>
      </c>
      <c r="K506" s="421" t="s">
        <v>3093</v>
      </c>
      <c r="L506" s="421" t="s">
        <v>3094</v>
      </c>
      <c r="M506" s="421" t="s">
        <v>2667</v>
      </c>
      <c r="N506" s="421" t="s">
        <v>3093</v>
      </c>
      <c r="O506" s="421" t="s">
        <v>3094</v>
      </c>
      <c r="P506" s="421" t="s">
        <v>3095</v>
      </c>
      <c r="Q506" s="421" t="s">
        <v>3113</v>
      </c>
      <c r="R506" s="421" t="s">
        <v>1108</v>
      </c>
      <c r="S506" s="421" t="s">
        <v>1108</v>
      </c>
      <c r="T506" s="421" t="s">
        <v>1130</v>
      </c>
      <c r="U506" s="421" t="s">
        <v>1112</v>
      </c>
      <c r="V506" s="421" t="s">
        <v>3097</v>
      </c>
      <c r="W506" s="421" t="s">
        <v>3098</v>
      </c>
      <c r="X506" s="421" t="s">
        <v>3099</v>
      </c>
      <c r="Y506" s="421" t="s">
        <v>1117</v>
      </c>
      <c r="Z506" s="421" t="s">
        <v>1118</v>
      </c>
      <c r="AA506" s="421" t="s">
        <v>3100</v>
      </c>
      <c r="AB506" s="421" t="s">
        <v>3101</v>
      </c>
      <c r="AC506" s="421" t="s">
        <v>3102</v>
      </c>
      <c r="AD506" s="421" t="s">
        <v>3269</v>
      </c>
      <c r="AE506" s="421" t="s">
        <v>3378</v>
      </c>
      <c r="AF506" s="421" t="s">
        <v>1512</v>
      </c>
      <c r="AG506" s="421" t="s">
        <v>1513</v>
      </c>
      <c r="AH506" s="421" t="s">
        <v>3105</v>
      </c>
      <c r="AI506" s="421">
        <v>11000</v>
      </c>
      <c r="AJ506" s="421">
        <v>64.02</v>
      </c>
      <c r="AK506" s="421">
        <v>67.739999999999995</v>
      </c>
      <c r="AL506" s="421">
        <v>1</v>
      </c>
      <c r="AM506" s="421" t="s">
        <v>966</v>
      </c>
      <c r="AN506" s="421" t="s">
        <v>3271</v>
      </c>
      <c r="AO506" s="421" t="s">
        <v>1121</v>
      </c>
      <c r="AP506" s="421" t="s">
        <v>1121</v>
      </c>
      <c r="AQ506" s="421" t="s">
        <v>1108</v>
      </c>
      <c r="AR506" s="421" t="s">
        <v>3832</v>
      </c>
      <c r="AS506" s="421" t="s">
        <v>3843</v>
      </c>
      <c r="AT506" s="421" t="s">
        <v>3109</v>
      </c>
      <c r="AU506" s="421" t="s">
        <v>1142</v>
      </c>
      <c r="AV506" s="421" t="s">
        <v>3130</v>
      </c>
      <c r="AW506" s="421" t="s">
        <v>3110</v>
      </c>
      <c r="AX506" s="421" t="s">
        <v>3111</v>
      </c>
      <c r="AY506" s="421" t="s">
        <v>3112</v>
      </c>
      <c r="AZ506" s="421" t="s">
        <v>3113</v>
      </c>
      <c r="BA506" s="421" t="s">
        <v>3114</v>
      </c>
      <c r="BB506" s="421" t="s">
        <v>3115</v>
      </c>
      <c r="BC506" s="421">
        <v>480</v>
      </c>
      <c r="BD506" s="421">
        <v>1478673.6</v>
      </c>
      <c r="BE506" s="421">
        <v>0</v>
      </c>
      <c r="BF506" s="421">
        <v>100</v>
      </c>
      <c r="BG506" s="421">
        <v>12</v>
      </c>
      <c r="BH506" s="421">
        <v>0</v>
      </c>
      <c r="BI506" s="421" t="s">
        <v>1167</v>
      </c>
    </row>
    <row r="507" spans="1:61" x14ac:dyDescent="0.25">
      <c r="A507" s="421">
        <v>504</v>
      </c>
      <c r="B507" s="421">
        <v>2015</v>
      </c>
      <c r="C507" s="421">
        <v>9</v>
      </c>
      <c r="D507" s="421">
        <v>11</v>
      </c>
      <c r="E507" s="421" t="s">
        <v>1475</v>
      </c>
      <c r="F507" s="421" t="s">
        <v>3132</v>
      </c>
      <c r="G507" s="421" t="s">
        <v>3273</v>
      </c>
      <c r="H507" s="421" t="s">
        <v>1107</v>
      </c>
      <c r="I507" s="421" t="s">
        <v>2576</v>
      </c>
      <c r="J507" s="421" t="s">
        <v>3840</v>
      </c>
      <c r="K507" s="421" t="s">
        <v>3093</v>
      </c>
      <c r="L507" s="421" t="s">
        <v>3094</v>
      </c>
      <c r="M507" s="421" t="s">
        <v>2667</v>
      </c>
      <c r="N507" s="421" t="s">
        <v>3093</v>
      </c>
      <c r="O507" s="421" t="s">
        <v>3094</v>
      </c>
      <c r="P507" s="421" t="s">
        <v>3095</v>
      </c>
      <c r="Q507" s="421" t="s">
        <v>3113</v>
      </c>
      <c r="R507" s="421" t="s">
        <v>1108</v>
      </c>
      <c r="S507" s="421" t="s">
        <v>1108</v>
      </c>
      <c r="T507" s="421" t="s">
        <v>1130</v>
      </c>
      <c r="U507" s="421" t="s">
        <v>1112</v>
      </c>
      <c r="V507" s="421" t="s">
        <v>3097</v>
      </c>
      <c r="W507" s="421" t="s">
        <v>3098</v>
      </c>
      <c r="X507" s="421" t="s">
        <v>3099</v>
      </c>
      <c r="Y507" s="421" t="s">
        <v>1117</v>
      </c>
      <c r="Z507" s="421" t="s">
        <v>1118</v>
      </c>
      <c r="AA507" s="421" t="s">
        <v>3100</v>
      </c>
      <c r="AB507" s="421" t="s">
        <v>3101</v>
      </c>
      <c r="AC507" s="421" t="s">
        <v>3102</v>
      </c>
      <c r="AD507" s="421" t="s">
        <v>3269</v>
      </c>
      <c r="AE507" s="421" t="s">
        <v>3378</v>
      </c>
      <c r="AF507" s="421" t="s">
        <v>2236</v>
      </c>
      <c r="AG507" s="421" t="s">
        <v>2237</v>
      </c>
      <c r="AH507" s="421" t="s">
        <v>3105</v>
      </c>
      <c r="AI507" s="421">
        <v>12500</v>
      </c>
      <c r="AJ507" s="421">
        <v>60.35</v>
      </c>
      <c r="AK507" s="421">
        <v>65.61</v>
      </c>
      <c r="AL507" s="421">
        <v>4</v>
      </c>
      <c r="AM507" s="421" t="s">
        <v>966</v>
      </c>
      <c r="AN507" s="421" t="s">
        <v>3271</v>
      </c>
      <c r="AO507" s="421" t="s">
        <v>1121</v>
      </c>
      <c r="AP507" s="421" t="s">
        <v>1121</v>
      </c>
      <c r="AQ507" s="421" t="s">
        <v>1108</v>
      </c>
      <c r="AR507" s="421" t="s">
        <v>3832</v>
      </c>
      <c r="AS507" s="421" t="s">
        <v>3841</v>
      </c>
      <c r="AT507" s="421" t="s">
        <v>3109</v>
      </c>
      <c r="AU507" s="421" t="s">
        <v>1142</v>
      </c>
      <c r="AV507" s="421" t="s">
        <v>3130</v>
      </c>
      <c r="AW507" s="421" t="s">
        <v>3110</v>
      </c>
      <c r="AX507" s="421" t="s">
        <v>3111</v>
      </c>
      <c r="AY507" s="421" t="s">
        <v>3112</v>
      </c>
      <c r="AZ507" s="421" t="s">
        <v>3113</v>
      </c>
      <c r="BA507" s="421" t="s">
        <v>3114</v>
      </c>
      <c r="BB507" s="421" t="s">
        <v>3115</v>
      </c>
      <c r="BC507" s="421">
        <v>1714</v>
      </c>
      <c r="BD507" s="421">
        <v>5280096.9800000004</v>
      </c>
      <c r="BE507" s="421">
        <v>0</v>
      </c>
      <c r="BF507" s="421">
        <v>23.98</v>
      </c>
      <c r="BG507" s="421">
        <v>4.3499999999999996</v>
      </c>
      <c r="BH507" s="421">
        <v>10.65</v>
      </c>
      <c r="BI507" s="421" t="s">
        <v>1167</v>
      </c>
    </row>
    <row r="508" spans="1:61" x14ac:dyDescent="0.25">
      <c r="A508" s="421">
        <v>505</v>
      </c>
      <c r="B508" s="421">
        <v>2015</v>
      </c>
      <c r="C508" s="421">
        <v>9</v>
      </c>
      <c r="D508" s="421">
        <v>11</v>
      </c>
      <c r="E508" s="421" t="s">
        <v>1475</v>
      </c>
      <c r="F508" s="421" t="s">
        <v>3132</v>
      </c>
      <c r="G508" s="421" t="s">
        <v>3273</v>
      </c>
      <c r="H508" s="421" t="s">
        <v>1107</v>
      </c>
      <c r="I508" s="421" t="s">
        <v>2576</v>
      </c>
      <c r="J508" s="421" t="s">
        <v>3840</v>
      </c>
      <c r="K508" s="421" t="s">
        <v>3093</v>
      </c>
      <c r="L508" s="421" t="s">
        <v>3094</v>
      </c>
      <c r="M508" s="421" t="s">
        <v>2667</v>
      </c>
      <c r="N508" s="421" t="s">
        <v>3093</v>
      </c>
      <c r="O508" s="421" t="s">
        <v>3094</v>
      </c>
      <c r="P508" s="421" t="s">
        <v>3095</v>
      </c>
      <c r="Q508" s="421" t="s">
        <v>3113</v>
      </c>
      <c r="R508" s="421" t="s">
        <v>1108</v>
      </c>
      <c r="S508" s="421" t="s">
        <v>1108</v>
      </c>
      <c r="T508" s="421" t="s">
        <v>1130</v>
      </c>
      <c r="U508" s="421" t="s">
        <v>1112</v>
      </c>
      <c r="V508" s="421" t="s">
        <v>3097</v>
      </c>
      <c r="W508" s="421" t="s">
        <v>3098</v>
      </c>
      <c r="X508" s="421" t="s">
        <v>3099</v>
      </c>
      <c r="Y508" s="421" t="s">
        <v>1117</v>
      </c>
      <c r="Z508" s="421" t="s">
        <v>1118</v>
      </c>
      <c r="AA508" s="421" t="s">
        <v>3100</v>
      </c>
      <c r="AB508" s="421" t="s">
        <v>3101</v>
      </c>
      <c r="AC508" s="421" t="s">
        <v>3102</v>
      </c>
      <c r="AD508" s="421" t="s">
        <v>3269</v>
      </c>
      <c r="AE508" s="421" t="s">
        <v>3378</v>
      </c>
      <c r="AF508" s="421" t="s">
        <v>2236</v>
      </c>
      <c r="AG508" s="421" t="s">
        <v>2237</v>
      </c>
      <c r="AH508" s="421" t="s">
        <v>3105</v>
      </c>
      <c r="AI508" s="421">
        <v>59000</v>
      </c>
      <c r="AJ508" s="421">
        <v>212.12</v>
      </c>
      <c r="AK508" s="421">
        <v>230.63</v>
      </c>
      <c r="AL508" s="421">
        <v>3</v>
      </c>
      <c r="AM508" s="421" t="s">
        <v>966</v>
      </c>
      <c r="AN508" s="421" t="s">
        <v>3271</v>
      </c>
      <c r="AO508" s="421" t="s">
        <v>1121</v>
      </c>
      <c r="AP508" s="421" t="s">
        <v>1121</v>
      </c>
      <c r="AQ508" s="421" t="s">
        <v>1108</v>
      </c>
      <c r="AR508" s="421" t="s">
        <v>3832</v>
      </c>
      <c r="AS508" s="421" t="s">
        <v>3841</v>
      </c>
      <c r="AT508" s="421" t="s">
        <v>3109</v>
      </c>
      <c r="AU508" s="421" t="s">
        <v>1142</v>
      </c>
      <c r="AV508" s="421" t="s">
        <v>3130</v>
      </c>
      <c r="AW508" s="421" t="s">
        <v>3110</v>
      </c>
      <c r="AX508" s="421" t="s">
        <v>3111</v>
      </c>
      <c r="AY508" s="421" t="s">
        <v>3112</v>
      </c>
      <c r="AZ508" s="421" t="s">
        <v>3113</v>
      </c>
      <c r="BA508" s="421" t="s">
        <v>3114</v>
      </c>
      <c r="BB508" s="421" t="s">
        <v>3115</v>
      </c>
      <c r="BC508" s="421">
        <v>4848</v>
      </c>
      <c r="BD508" s="421">
        <v>14934603.359999999</v>
      </c>
      <c r="BE508" s="421">
        <v>0</v>
      </c>
      <c r="BF508" s="421">
        <v>67.84</v>
      </c>
      <c r="BG508" s="421">
        <v>12.29</v>
      </c>
      <c r="BH508" s="421">
        <v>30.13</v>
      </c>
      <c r="BI508" s="421" t="s">
        <v>1167</v>
      </c>
    </row>
    <row r="509" spans="1:61" x14ac:dyDescent="0.25">
      <c r="A509" s="421">
        <v>506</v>
      </c>
      <c r="B509" s="421">
        <v>2015</v>
      </c>
      <c r="C509" s="421">
        <v>9</v>
      </c>
      <c r="D509" s="421">
        <v>11</v>
      </c>
      <c r="E509" s="421" t="s">
        <v>1475</v>
      </c>
      <c r="F509" s="421" t="s">
        <v>3132</v>
      </c>
      <c r="G509" s="421" t="s">
        <v>3273</v>
      </c>
      <c r="H509" s="421" t="s">
        <v>1107</v>
      </c>
      <c r="I509" s="421" t="s">
        <v>2576</v>
      </c>
      <c r="J509" s="421" t="s">
        <v>3844</v>
      </c>
      <c r="K509" s="421" t="s">
        <v>3093</v>
      </c>
      <c r="L509" s="421" t="s">
        <v>3094</v>
      </c>
      <c r="M509" s="421" t="s">
        <v>2667</v>
      </c>
      <c r="N509" s="421" t="s">
        <v>3093</v>
      </c>
      <c r="O509" s="421" t="s">
        <v>3094</v>
      </c>
      <c r="P509" s="421" t="s">
        <v>3095</v>
      </c>
      <c r="Q509" s="421" t="s">
        <v>3096</v>
      </c>
      <c r="R509" s="421" t="s">
        <v>1108</v>
      </c>
      <c r="S509" s="421" t="s">
        <v>1542</v>
      </c>
      <c r="T509" s="421" t="s">
        <v>1130</v>
      </c>
      <c r="U509" s="421" t="s">
        <v>1112</v>
      </c>
      <c r="V509" s="421" t="s">
        <v>3097</v>
      </c>
      <c r="W509" s="421" t="s">
        <v>3098</v>
      </c>
      <c r="X509" s="421" t="s">
        <v>3099</v>
      </c>
      <c r="Y509" s="421" t="s">
        <v>1117</v>
      </c>
      <c r="Z509" s="421" t="s">
        <v>1118</v>
      </c>
      <c r="AA509" s="421" t="s">
        <v>3100</v>
      </c>
      <c r="AB509" s="421" t="s">
        <v>3101</v>
      </c>
      <c r="AC509" s="421" t="s">
        <v>3102</v>
      </c>
      <c r="AD509" s="421" t="s">
        <v>3163</v>
      </c>
      <c r="AE509" s="421" t="s">
        <v>3164</v>
      </c>
      <c r="AF509" s="421" t="s">
        <v>2236</v>
      </c>
      <c r="AG509" s="421" t="s">
        <v>2237</v>
      </c>
      <c r="AH509" s="421" t="s">
        <v>3105</v>
      </c>
      <c r="AI509" s="421">
        <v>617640</v>
      </c>
      <c r="AJ509" s="421">
        <v>1905.8</v>
      </c>
      <c r="AK509" s="421">
        <v>2096.2800000000002</v>
      </c>
      <c r="AL509" s="421">
        <v>2</v>
      </c>
      <c r="AM509" s="421" t="s">
        <v>964</v>
      </c>
      <c r="AN509" s="421" t="s">
        <v>3845</v>
      </c>
      <c r="AO509" s="421" t="s">
        <v>1121</v>
      </c>
      <c r="AP509" s="421" t="s">
        <v>1121</v>
      </c>
      <c r="AQ509" s="421" t="s">
        <v>1542</v>
      </c>
      <c r="AR509" s="421" t="s">
        <v>3832</v>
      </c>
      <c r="AS509" s="421" t="s">
        <v>3846</v>
      </c>
      <c r="AT509" s="421" t="s">
        <v>3109</v>
      </c>
      <c r="AU509" s="421" t="s">
        <v>1142</v>
      </c>
      <c r="AV509" s="421" t="s">
        <v>2520</v>
      </c>
      <c r="AW509" s="421" t="s">
        <v>3110</v>
      </c>
      <c r="AX509" s="421" t="s">
        <v>3111</v>
      </c>
      <c r="AY509" s="421" t="s">
        <v>3112</v>
      </c>
      <c r="AZ509" s="421" t="s">
        <v>3113</v>
      </c>
      <c r="BA509" s="421" t="s">
        <v>3114</v>
      </c>
      <c r="BB509" s="421" t="s">
        <v>3115</v>
      </c>
      <c r="BC509" s="421">
        <v>27910</v>
      </c>
      <c r="BD509" s="421">
        <v>85978708.700000003</v>
      </c>
      <c r="BE509" s="421">
        <v>0</v>
      </c>
      <c r="BF509" s="421">
        <v>539.53</v>
      </c>
      <c r="BG509" s="421">
        <v>0</v>
      </c>
      <c r="BH509" s="421">
        <v>0</v>
      </c>
      <c r="BI509" s="421" t="s">
        <v>1278</v>
      </c>
    </row>
    <row r="510" spans="1:61" x14ac:dyDescent="0.25">
      <c r="A510" s="421">
        <v>507</v>
      </c>
      <c r="B510" s="421">
        <v>2015</v>
      </c>
      <c r="C510" s="421">
        <v>9</v>
      </c>
      <c r="D510" s="421">
        <v>11</v>
      </c>
      <c r="E510" s="421" t="s">
        <v>1475</v>
      </c>
      <c r="F510" s="421" t="s">
        <v>3132</v>
      </c>
      <c r="G510" s="421" t="s">
        <v>3273</v>
      </c>
      <c r="H510" s="421" t="s">
        <v>1107</v>
      </c>
      <c r="I510" s="421" t="s">
        <v>2576</v>
      </c>
      <c r="J510" s="421" t="s">
        <v>3844</v>
      </c>
      <c r="K510" s="421" t="s">
        <v>3093</v>
      </c>
      <c r="L510" s="421" t="s">
        <v>3094</v>
      </c>
      <c r="M510" s="421" t="s">
        <v>2667</v>
      </c>
      <c r="N510" s="421" t="s">
        <v>3093</v>
      </c>
      <c r="O510" s="421" t="s">
        <v>3094</v>
      </c>
      <c r="P510" s="421" t="s">
        <v>3095</v>
      </c>
      <c r="Q510" s="421" t="s">
        <v>3096</v>
      </c>
      <c r="R510" s="421" t="s">
        <v>1108</v>
      </c>
      <c r="S510" s="421" t="s">
        <v>1542</v>
      </c>
      <c r="T510" s="421" t="s">
        <v>1130</v>
      </c>
      <c r="U510" s="421" t="s">
        <v>1112</v>
      </c>
      <c r="V510" s="421" t="s">
        <v>3097</v>
      </c>
      <c r="W510" s="421" t="s">
        <v>3098</v>
      </c>
      <c r="X510" s="421" t="s">
        <v>3099</v>
      </c>
      <c r="Y510" s="421" t="s">
        <v>1117</v>
      </c>
      <c r="Z510" s="421" t="s">
        <v>1118</v>
      </c>
      <c r="AA510" s="421" t="s">
        <v>3100</v>
      </c>
      <c r="AB510" s="421" t="s">
        <v>3101</v>
      </c>
      <c r="AC510" s="421" t="s">
        <v>3102</v>
      </c>
      <c r="AD510" s="421" t="s">
        <v>3163</v>
      </c>
      <c r="AE510" s="421" t="s">
        <v>3164</v>
      </c>
      <c r="AF510" s="421" t="s">
        <v>2236</v>
      </c>
      <c r="AG510" s="421" t="s">
        <v>2237</v>
      </c>
      <c r="AH510" s="421" t="s">
        <v>3105</v>
      </c>
      <c r="AI510" s="421">
        <v>486590</v>
      </c>
      <c r="AJ510" s="421">
        <v>1389.84</v>
      </c>
      <c r="AK510" s="421">
        <v>1528.75</v>
      </c>
      <c r="AL510" s="421">
        <v>1</v>
      </c>
      <c r="AM510" s="421" t="s">
        <v>964</v>
      </c>
      <c r="AN510" s="421" t="s">
        <v>3845</v>
      </c>
      <c r="AO510" s="421" t="s">
        <v>1121</v>
      </c>
      <c r="AP510" s="421" t="s">
        <v>1121</v>
      </c>
      <c r="AQ510" s="421" t="s">
        <v>1542</v>
      </c>
      <c r="AR510" s="421" t="s">
        <v>3832</v>
      </c>
      <c r="AS510" s="421" t="s">
        <v>3846</v>
      </c>
      <c r="AT510" s="421" t="s">
        <v>3109</v>
      </c>
      <c r="AU510" s="421" t="s">
        <v>1142</v>
      </c>
      <c r="AV510" s="421" t="s">
        <v>2520</v>
      </c>
      <c r="AW510" s="421" t="s">
        <v>3110</v>
      </c>
      <c r="AX510" s="421" t="s">
        <v>3111</v>
      </c>
      <c r="AY510" s="421" t="s">
        <v>3112</v>
      </c>
      <c r="AZ510" s="421" t="s">
        <v>3113</v>
      </c>
      <c r="BA510" s="421" t="s">
        <v>3114</v>
      </c>
      <c r="BB510" s="421" t="s">
        <v>3115</v>
      </c>
      <c r="BC510" s="421">
        <v>22014.1</v>
      </c>
      <c r="BD510" s="421">
        <v>67815976.030000001</v>
      </c>
      <c r="BE510" s="421">
        <v>0</v>
      </c>
      <c r="BF510" s="421">
        <v>425.55</v>
      </c>
      <c r="BG510" s="421">
        <v>0</v>
      </c>
      <c r="BH510" s="421">
        <v>0</v>
      </c>
      <c r="BI510" s="421" t="s">
        <v>1278</v>
      </c>
    </row>
    <row r="511" spans="1:61" x14ac:dyDescent="0.25">
      <c r="A511" s="421">
        <v>508</v>
      </c>
      <c r="B511" s="421">
        <v>2015</v>
      </c>
      <c r="C511" s="421">
        <v>9</v>
      </c>
      <c r="D511" s="421">
        <v>11</v>
      </c>
      <c r="E511" s="421" t="s">
        <v>1475</v>
      </c>
      <c r="F511" s="421" t="s">
        <v>3132</v>
      </c>
      <c r="G511" s="421" t="s">
        <v>3273</v>
      </c>
      <c r="H511" s="421" t="s">
        <v>1107</v>
      </c>
      <c r="I511" s="421" t="s">
        <v>2576</v>
      </c>
      <c r="J511" s="421" t="s">
        <v>3844</v>
      </c>
      <c r="K511" s="421" t="s">
        <v>3093</v>
      </c>
      <c r="L511" s="421" t="s">
        <v>3094</v>
      </c>
      <c r="M511" s="421" t="s">
        <v>2667</v>
      </c>
      <c r="N511" s="421" t="s">
        <v>3093</v>
      </c>
      <c r="O511" s="421" t="s">
        <v>3094</v>
      </c>
      <c r="P511" s="421" t="s">
        <v>3095</v>
      </c>
      <c r="Q511" s="421" t="s">
        <v>3096</v>
      </c>
      <c r="R511" s="421" t="s">
        <v>1108</v>
      </c>
      <c r="S511" s="421" t="s">
        <v>1542</v>
      </c>
      <c r="T511" s="421" t="s">
        <v>1130</v>
      </c>
      <c r="U511" s="421" t="s">
        <v>1112</v>
      </c>
      <c r="V511" s="421" t="s">
        <v>3097</v>
      </c>
      <c r="W511" s="421" t="s">
        <v>3098</v>
      </c>
      <c r="X511" s="421" t="s">
        <v>3099</v>
      </c>
      <c r="Y511" s="421" t="s">
        <v>1117</v>
      </c>
      <c r="Z511" s="421" t="s">
        <v>1118</v>
      </c>
      <c r="AA511" s="421" t="s">
        <v>3100</v>
      </c>
      <c r="AB511" s="421" t="s">
        <v>3101</v>
      </c>
      <c r="AC511" s="421" t="s">
        <v>3102</v>
      </c>
      <c r="AD511" s="421" t="s">
        <v>3163</v>
      </c>
      <c r="AE511" s="421" t="s">
        <v>3164</v>
      </c>
      <c r="AF511" s="421" t="s">
        <v>2236</v>
      </c>
      <c r="AG511" s="421" t="s">
        <v>2237</v>
      </c>
      <c r="AH511" s="421" t="s">
        <v>3105</v>
      </c>
      <c r="AI511" s="421">
        <v>223500</v>
      </c>
      <c r="AJ511" s="421">
        <v>828.24</v>
      </c>
      <c r="AK511" s="421">
        <v>911.02</v>
      </c>
      <c r="AL511" s="421">
        <v>4</v>
      </c>
      <c r="AM511" s="421" t="s">
        <v>964</v>
      </c>
      <c r="AN511" s="421" t="s">
        <v>3845</v>
      </c>
      <c r="AO511" s="421" t="s">
        <v>1121</v>
      </c>
      <c r="AP511" s="421" t="s">
        <v>1121</v>
      </c>
      <c r="AQ511" s="421" t="s">
        <v>1542</v>
      </c>
      <c r="AR511" s="421" t="s">
        <v>3832</v>
      </c>
      <c r="AS511" s="421" t="s">
        <v>3846</v>
      </c>
      <c r="AT511" s="421" t="s">
        <v>3109</v>
      </c>
      <c r="AU511" s="421" t="s">
        <v>1142</v>
      </c>
      <c r="AV511" s="421" t="s">
        <v>2520</v>
      </c>
      <c r="AW511" s="421" t="s">
        <v>3110</v>
      </c>
      <c r="AX511" s="421" t="s">
        <v>3111</v>
      </c>
      <c r="AY511" s="421" t="s">
        <v>3112</v>
      </c>
      <c r="AZ511" s="421" t="s">
        <v>3113</v>
      </c>
      <c r="BA511" s="421" t="s">
        <v>3114</v>
      </c>
      <c r="BB511" s="421" t="s">
        <v>3115</v>
      </c>
      <c r="BC511" s="421">
        <v>23691</v>
      </c>
      <c r="BD511" s="421">
        <v>72981783.870000005</v>
      </c>
      <c r="BE511" s="421">
        <v>0</v>
      </c>
      <c r="BF511" s="421">
        <v>457.97</v>
      </c>
      <c r="BG511" s="421">
        <v>0</v>
      </c>
      <c r="BH511" s="421">
        <v>0</v>
      </c>
      <c r="BI511" s="421" t="s">
        <v>1278</v>
      </c>
    </row>
    <row r="512" spans="1:61" x14ac:dyDescent="0.25">
      <c r="A512" s="421">
        <v>509</v>
      </c>
      <c r="B512" s="421">
        <v>2015</v>
      </c>
      <c r="C512" s="421">
        <v>9</v>
      </c>
      <c r="D512" s="421">
        <v>11</v>
      </c>
      <c r="E512" s="421" t="s">
        <v>1475</v>
      </c>
      <c r="F512" s="421" t="s">
        <v>3132</v>
      </c>
      <c r="G512" s="421" t="s">
        <v>3273</v>
      </c>
      <c r="H512" s="421" t="s">
        <v>1107</v>
      </c>
      <c r="I512" s="421" t="s">
        <v>2576</v>
      </c>
      <c r="J512" s="421" t="s">
        <v>3844</v>
      </c>
      <c r="K512" s="421" t="s">
        <v>3093</v>
      </c>
      <c r="L512" s="421" t="s">
        <v>3094</v>
      </c>
      <c r="M512" s="421" t="s">
        <v>2667</v>
      </c>
      <c r="N512" s="421" t="s">
        <v>3093</v>
      </c>
      <c r="O512" s="421" t="s">
        <v>3094</v>
      </c>
      <c r="P512" s="421" t="s">
        <v>3095</v>
      </c>
      <c r="Q512" s="421" t="s">
        <v>3096</v>
      </c>
      <c r="R512" s="421" t="s">
        <v>1108</v>
      </c>
      <c r="S512" s="421" t="s">
        <v>1542</v>
      </c>
      <c r="T512" s="421" t="s">
        <v>1130</v>
      </c>
      <c r="U512" s="421" t="s">
        <v>1112</v>
      </c>
      <c r="V512" s="421" t="s">
        <v>3097</v>
      </c>
      <c r="W512" s="421" t="s">
        <v>3098</v>
      </c>
      <c r="X512" s="421" t="s">
        <v>3099</v>
      </c>
      <c r="Y512" s="421" t="s">
        <v>1117</v>
      </c>
      <c r="Z512" s="421" t="s">
        <v>1118</v>
      </c>
      <c r="AA512" s="421" t="s">
        <v>3100</v>
      </c>
      <c r="AB512" s="421" t="s">
        <v>3101</v>
      </c>
      <c r="AC512" s="421" t="s">
        <v>3102</v>
      </c>
      <c r="AD512" s="421" t="s">
        <v>3163</v>
      </c>
      <c r="AE512" s="421" t="s">
        <v>3164</v>
      </c>
      <c r="AF512" s="421" t="s">
        <v>2236</v>
      </c>
      <c r="AG512" s="421" t="s">
        <v>2237</v>
      </c>
      <c r="AH512" s="421" t="s">
        <v>3105</v>
      </c>
      <c r="AI512" s="421">
        <v>164500</v>
      </c>
      <c r="AJ512" s="421">
        <v>565.67999999999995</v>
      </c>
      <c r="AK512" s="421">
        <v>622.21</v>
      </c>
      <c r="AL512" s="421">
        <v>3</v>
      </c>
      <c r="AM512" s="421" t="s">
        <v>964</v>
      </c>
      <c r="AN512" s="421" t="s">
        <v>3845</v>
      </c>
      <c r="AO512" s="421" t="s">
        <v>1121</v>
      </c>
      <c r="AP512" s="421" t="s">
        <v>1121</v>
      </c>
      <c r="AQ512" s="421" t="s">
        <v>1542</v>
      </c>
      <c r="AR512" s="421" t="s">
        <v>3832</v>
      </c>
      <c r="AS512" s="421" t="s">
        <v>3846</v>
      </c>
      <c r="AT512" s="421" t="s">
        <v>3109</v>
      </c>
      <c r="AU512" s="421" t="s">
        <v>1142</v>
      </c>
      <c r="AV512" s="421" t="s">
        <v>2520</v>
      </c>
      <c r="AW512" s="421" t="s">
        <v>3110</v>
      </c>
      <c r="AX512" s="421" t="s">
        <v>3111</v>
      </c>
      <c r="AY512" s="421" t="s">
        <v>3112</v>
      </c>
      <c r="AZ512" s="421" t="s">
        <v>3113</v>
      </c>
      <c r="BA512" s="421" t="s">
        <v>3114</v>
      </c>
      <c r="BB512" s="421" t="s">
        <v>3115</v>
      </c>
      <c r="BC512" s="421">
        <v>16913</v>
      </c>
      <c r="BD512" s="421">
        <v>52101680.409999996</v>
      </c>
      <c r="BE512" s="421">
        <v>0</v>
      </c>
      <c r="BF512" s="421">
        <v>326.95</v>
      </c>
      <c r="BG512" s="421">
        <v>0</v>
      </c>
      <c r="BH512" s="421">
        <v>0</v>
      </c>
      <c r="BI512" s="421" t="s">
        <v>1278</v>
      </c>
    </row>
    <row r="513" spans="1:61" x14ac:dyDescent="0.25">
      <c r="A513" s="421">
        <v>510</v>
      </c>
      <c r="B513" s="421">
        <v>2015</v>
      </c>
      <c r="C513" s="421">
        <v>9</v>
      </c>
      <c r="D513" s="421">
        <v>11</v>
      </c>
      <c r="E513" s="421" t="s">
        <v>1475</v>
      </c>
      <c r="F513" s="421" t="s">
        <v>3132</v>
      </c>
      <c r="G513" s="421" t="s">
        <v>3273</v>
      </c>
      <c r="H513" s="421" t="s">
        <v>1107</v>
      </c>
      <c r="I513" s="421" t="s">
        <v>2576</v>
      </c>
      <c r="J513" s="421" t="s">
        <v>3847</v>
      </c>
      <c r="K513" s="421" t="s">
        <v>3093</v>
      </c>
      <c r="L513" s="421" t="s">
        <v>3094</v>
      </c>
      <c r="M513" s="421" t="s">
        <v>2667</v>
      </c>
      <c r="N513" s="421" t="s">
        <v>3093</v>
      </c>
      <c r="O513" s="421" t="s">
        <v>3094</v>
      </c>
      <c r="P513" s="421" t="s">
        <v>3095</v>
      </c>
      <c r="Q513" s="421" t="s">
        <v>3096</v>
      </c>
      <c r="R513" s="421" t="s">
        <v>1108</v>
      </c>
      <c r="S513" s="421" t="s">
        <v>1542</v>
      </c>
      <c r="T513" s="421" t="s">
        <v>1130</v>
      </c>
      <c r="U513" s="421" t="s">
        <v>1112</v>
      </c>
      <c r="V513" s="421" t="s">
        <v>3097</v>
      </c>
      <c r="W513" s="421" t="s">
        <v>3098</v>
      </c>
      <c r="X513" s="421" t="s">
        <v>3099</v>
      </c>
      <c r="Y513" s="421" t="s">
        <v>1117</v>
      </c>
      <c r="Z513" s="421" t="s">
        <v>1118</v>
      </c>
      <c r="AA513" s="421" t="s">
        <v>3100</v>
      </c>
      <c r="AB513" s="421" t="s">
        <v>3101</v>
      </c>
      <c r="AC513" s="421" t="s">
        <v>3102</v>
      </c>
      <c r="AD513" s="421" t="s">
        <v>3163</v>
      </c>
      <c r="AE513" s="421" t="s">
        <v>3164</v>
      </c>
      <c r="AF513" s="421" t="s">
        <v>1512</v>
      </c>
      <c r="AG513" s="421" t="s">
        <v>1513</v>
      </c>
      <c r="AH513" s="421" t="s">
        <v>3105</v>
      </c>
      <c r="AI513" s="421">
        <v>1000</v>
      </c>
      <c r="AJ513" s="421">
        <v>4.08</v>
      </c>
      <c r="AK513" s="421">
        <v>4.62</v>
      </c>
      <c r="AL513" s="421">
        <v>1</v>
      </c>
      <c r="AM513" s="421" t="s">
        <v>964</v>
      </c>
      <c r="AN513" s="421" t="s">
        <v>3845</v>
      </c>
      <c r="AO513" s="421" t="s">
        <v>1121</v>
      </c>
      <c r="AP513" s="421" t="s">
        <v>1121</v>
      </c>
      <c r="AQ513" s="421" t="s">
        <v>1542</v>
      </c>
      <c r="AR513" s="421" t="s">
        <v>3832</v>
      </c>
      <c r="AS513" s="421" t="s">
        <v>3848</v>
      </c>
      <c r="AT513" s="421" t="s">
        <v>3109</v>
      </c>
      <c r="AU513" s="421" t="s">
        <v>1142</v>
      </c>
      <c r="AV513" s="421" t="s">
        <v>2520</v>
      </c>
      <c r="AW513" s="421" t="s">
        <v>3110</v>
      </c>
      <c r="AX513" s="421" t="s">
        <v>3111</v>
      </c>
      <c r="AY513" s="421" t="s">
        <v>3112</v>
      </c>
      <c r="AZ513" s="421" t="s">
        <v>3113</v>
      </c>
      <c r="BA513" s="421" t="s">
        <v>3114</v>
      </c>
      <c r="BB513" s="421" t="s">
        <v>3115</v>
      </c>
      <c r="BC513" s="421">
        <v>35</v>
      </c>
      <c r="BD513" s="421">
        <v>107819.95</v>
      </c>
      <c r="BE513" s="421">
        <v>0</v>
      </c>
      <c r="BF513" s="421">
        <v>50</v>
      </c>
      <c r="BG513" s="421">
        <v>0</v>
      </c>
      <c r="BH513" s="421">
        <v>0</v>
      </c>
      <c r="BI513" s="421" t="s">
        <v>1278</v>
      </c>
    </row>
    <row r="514" spans="1:61" x14ac:dyDescent="0.25">
      <c r="A514" s="421">
        <v>511</v>
      </c>
      <c r="B514" s="421">
        <v>2015</v>
      </c>
      <c r="C514" s="421">
        <v>9</v>
      </c>
      <c r="D514" s="421">
        <v>11</v>
      </c>
      <c r="E514" s="421" t="s">
        <v>1475</v>
      </c>
      <c r="F514" s="421" t="s">
        <v>3132</v>
      </c>
      <c r="G514" s="421" t="s">
        <v>3273</v>
      </c>
      <c r="H514" s="421" t="s">
        <v>1107</v>
      </c>
      <c r="I514" s="421" t="s">
        <v>2576</v>
      </c>
      <c r="J514" s="421" t="s">
        <v>3849</v>
      </c>
      <c r="K514" s="421" t="s">
        <v>3093</v>
      </c>
      <c r="L514" s="421" t="s">
        <v>3094</v>
      </c>
      <c r="M514" s="421" t="s">
        <v>2667</v>
      </c>
      <c r="N514" s="421" t="s">
        <v>3093</v>
      </c>
      <c r="O514" s="421" t="s">
        <v>3094</v>
      </c>
      <c r="P514" s="421" t="s">
        <v>3095</v>
      </c>
      <c r="Q514" s="421" t="s">
        <v>3113</v>
      </c>
      <c r="R514" s="421" t="s">
        <v>1108</v>
      </c>
      <c r="S514" s="421" t="s">
        <v>1108</v>
      </c>
      <c r="T514" s="421" t="s">
        <v>1130</v>
      </c>
      <c r="U514" s="421" t="s">
        <v>1112</v>
      </c>
      <c r="V514" s="421" t="s">
        <v>3097</v>
      </c>
      <c r="W514" s="421" t="s">
        <v>3098</v>
      </c>
      <c r="X514" s="421" t="s">
        <v>3099</v>
      </c>
      <c r="Y514" s="421" t="s">
        <v>1117</v>
      </c>
      <c r="Z514" s="421" t="s">
        <v>1118</v>
      </c>
      <c r="AA514" s="421" t="s">
        <v>3100</v>
      </c>
      <c r="AB514" s="421" t="s">
        <v>3101</v>
      </c>
      <c r="AC514" s="421" t="s">
        <v>3102</v>
      </c>
      <c r="AD514" s="421" t="s">
        <v>3125</v>
      </c>
      <c r="AE514" s="421" t="s">
        <v>3126</v>
      </c>
      <c r="AF514" s="421" t="s">
        <v>2236</v>
      </c>
      <c r="AG514" s="421" t="s">
        <v>2237</v>
      </c>
      <c r="AH514" s="421" t="s">
        <v>3105</v>
      </c>
      <c r="AI514" s="421">
        <v>632800</v>
      </c>
      <c r="AJ514" s="421">
        <v>1932.01</v>
      </c>
      <c r="AK514" s="421">
        <v>2221.71</v>
      </c>
      <c r="AL514" s="421">
        <v>1</v>
      </c>
      <c r="AM514" s="421" t="s">
        <v>962</v>
      </c>
      <c r="AN514" s="421" t="s">
        <v>3127</v>
      </c>
      <c r="AO514" s="421" t="s">
        <v>1121</v>
      </c>
      <c r="AP514" s="421" t="s">
        <v>1121</v>
      </c>
      <c r="AQ514" s="421" t="s">
        <v>1108</v>
      </c>
      <c r="AR514" s="421" t="s">
        <v>3832</v>
      </c>
      <c r="AS514" s="421" t="s">
        <v>3850</v>
      </c>
      <c r="AT514" s="421" t="s">
        <v>3109</v>
      </c>
      <c r="AU514" s="421" t="s">
        <v>1142</v>
      </c>
      <c r="AV514" s="421" t="s">
        <v>3130</v>
      </c>
      <c r="AW514" s="421" t="s">
        <v>3110</v>
      </c>
      <c r="AX514" s="421" t="s">
        <v>3111</v>
      </c>
      <c r="AY514" s="421" t="s">
        <v>3112</v>
      </c>
      <c r="AZ514" s="421" t="s">
        <v>3113</v>
      </c>
      <c r="BA514" s="421" t="s">
        <v>3114</v>
      </c>
      <c r="BB514" s="421" t="s">
        <v>3115</v>
      </c>
      <c r="BC514" s="421">
        <v>25744.799999999999</v>
      </c>
      <c r="BD514" s="421">
        <v>79308658.530000001</v>
      </c>
      <c r="BE514" s="421">
        <v>0</v>
      </c>
      <c r="BF514" s="421">
        <v>2013.96</v>
      </c>
      <c r="BG514" s="421">
        <v>0</v>
      </c>
      <c r="BH514" s="421">
        <v>0</v>
      </c>
      <c r="BI514" s="421" t="s">
        <v>1149</v>
      </c>
    </row>
    <row r="515" spans="1:61" x14ac:dyDescent="0.25">
      <c r="A515" s="421">
        <v>512</v>
      </c>
      <c r="B515" s="421">
        <v>2015</v>
      </c>
      <c r="C515" s="421">
        <v>9</v>
      </c>
      <c r="D515" s="421">
        <v>11</v>
      </c>
      <c r="E515" s="421" t="s">
        <v>1475</v>
      </c>
      <c r="F515" s="421" t="s">
        <v>3132</v>
      </c>
      <c r="G515" s="421" t="s">
        <v>3273</v>
      </c>
      <c r="H515" s="421" t="s">
        <v>1107</v>
      </c>
      <c r="I515" s="421" t="s">
        <v>2576</v>
      </c>
      <c r="J515" s="421" t="s">
        <v>3849</v>
      </c>
      <c r="K515" s="421" t="s">
        <v>3093</v>
      </c>
      <c r="L515" s="421" t="s">
        <v>3094</v>
      </c>
      <c r="M515" s="421" t="s">
        <v>2667</v>
      </c>
      <c r="N515" s="421" t="s">
        <v>3093</v>
      </c>
      <c r="O515" s="421" t="s">
        <v>3094</v>
      </c>
      <c r="P515" s="421" t="s">
        <v>3095</v>
      </c>
      <c r="Q515" s="421" t="s">
        <v>3113</v>
      </c>
      <c r="R515" s="421" t="s">
        <v>1108</v>
      </c>
      <c r="S515" s="421" t="s">
        <v>1108</v>
      </c>
      <c r="T515" s="421" t="s">
        <v>1130</v>
      </c>
      <c r="U515" s="421" t="s">
        <v>1112</v>
      </c>
      <c r="V515" s="421" t="s">
        <v>3097</v>
      </c>
      <c r="W515" s="421" t="s">
        <v>3098</v>
      </c>
      <c r="X515" s="421" t="s">
        <v>3099</v>
      </c>
      <c r="Y515" s="421" t="s">
        <v>1117</v>
      </c>
      <c r="Z515" s="421" t="s">
        <v>1118</v>
      </c>
      <c r="AA515" s="421" t="s">
        <v>3100</v>
      </c>
      <c r="AB515" s="421" t="s">
        <v>3101</v>
      </c>
      <c r="AC515" s="421" t="s">
        <v>3102</v>
      </c>
      <c r="AD515" s="421" t="s">
        <v>3125</v>
      </c>
      <c r="AE515" s="421" t="s">
        <v>3126</v>
      </c>
      <c r="AF515" s="421" t="s">
        <v>2236</v>
      </c>
      <c r="AG515" s="421" t="s">
        <v>2237</v>
      </c>
      <c r="AH515" s="421" t="s">
        <v>3105</v>
      </c>
      <c r="AI515" s="421">
        <v>72000</v>
      </c>
      <c r="AJ515" s="421">
        <v>244.51</v>
      </c>
      <c r="AK515" s="421">
        <v>281.17</v>
      </c>
      <c r="AL515" s="421">
        <v>3</v>
      </c>
      <c r="AM515" s="421" t="s">
        <v>962</v>
      </c>
      <c r="AN515" s="421" t="s">
        <v>3127</v>
      </c>
      <c r="AO515" s="421" t="s">
        <v>1121</v>
      </c>
      <c r="AP515" s="421" t="s">
        <v>1121</v>
      </c>
      <c r="AQ515" s="421" t="s">
        <v>1108</v>
      </c>
      <c r="AR515" s="421" t="s">
        <v>3832</v>
      </c>
      <c r="AS515" s="421" t="s">
        <v>3850</v>
      </c>
      <c r="AT515" s="421" t="s">
        <v>3109</v>
      </c>
      <c r="AU515" s="421" t="s">
        <v>1142</v>
      </c>
      <c r="AV515" s="421" t="s">
        <v>3130</v>
      </c>
      <c r="AW515" s="421" t="s">
        <v>3110</v>
      </c>
      <c r="AX515" s="421" t="s">
        <v>3111</v>
      </c>
      <c r="AY515" s="421" t="s">
        <v>3112</v>
      </c>
      <c r="AZ515" s="421" t="s">
        <v>3113</v>
      </c>
      <c r="BA515" s="421" t="s">
        <v>3114</v>
      </c>
      <c r="BB515" s="421" t="s">
        <v>3115</v>
      </c>
      <c r="BC515" s="421">
        <v>7790.4</v>
      </c>
      <c r="BD515" s="421">
        <v>23998872.52</v>
      </c>
      <c r="BE515" s="421">
        <v>0</v>
      </c>
      <c r="BF515" s="421">
        <v>609.42999999999995</v>
      </c>
      <c r="BG515" s="421">
        <v>0</v>
      </c>
      <c r="BH515" s="421">
        <v>0</v>
      </c>
      <c r="BI515" s="421" t="s">
        <v>1149</v>
      </c>
    </row>
    <row r="516" spans="1:61" x14ac:dyDescent="0.25">
      <c r="A516" s="421">
        <v>513</v>
      </c>
      <c r="B516" s="421">
        <v>2015</v>
      </c>
      <c r="C516" s="421">
        <v>9</v>
      </c>
      <c r="D516" s="421">
        <v>11</v>
      </c>
      <c r="E516" s="421" t="s">
        <v>1475</v>
      </c>
      <c r="F516" s="421" t="s">
        <v>3132</v>
      </c>
      <c r="G516" s="421" t="s">
        <v>3273</v>
      </c>
      <c r="H516" s="421" t="s">
        <v>1107</v>
      </c>
      <c r="I516" s="421" t="s">
        <v>2576</v>
      </c>
      <c r="J516" s="421" t="s">
        <v>3849</v>
      </c>
      <c r="K516" s="421" t="s">
        <v>3093</v>
      </c>
      <c r="L516" s="421" t="s">
        <v>3094</v>
      </c>
      <c r="M516" s="421" t="s">
        <v>2667</v>
      </c>
      <c r="N516" s="421" t="s">
        <v>3093</v>
      </c>
      <c r="O516" s="421" t="s">
        <v>3094</v>
      </c>
      <c r="P516" s="421" t="s">
        <v>3095</v>
      </c>
      <c r="Q516" s="421" t="s">
        <v>3113</v>
      </c>
      <c r="R516" s="421" t="s">
        <v>1108</v>
      </c>
      <c r="S516" s="421" t="s">
        <v>1108</v>
      </c>
      <c r="T516" s="421" t="s">
        <v>1130</v>
      </c>
      <c r="U516" s="421" t="s">
        <v>1112</v>
      </c>
      <c r="V516" s="421" t="s">
        <v>3097</v>
      </c>
      <c r="W516" s="421" t="s">
        <v>3098</v>
      </c>
      <c r="X516" s="421" t="s">
        <v>3099</v>
      </c>
      <c r="Y516" s="421" t="s">
        <v>1117</v>
      </c>
      <c r="Z516" s="421" t="s">
        <v>1118</v>
      </c>
      <c r="AA516" s="421" t="s">
        <v>3100</v>
      </c>
      <c r="AB516" s="421" t="s">
        <v>3101</v>
      </c>
      <c r="AC516" s="421" t="s">
        <v>3102</v>
      </c>
      <c r="AD516" s="421" t="s">
        <v>3125</v>
      </c>
      <c r="AE516" s="421" t="s">
        <v>3126</v>
      </c>
      <c r="AF516" s="421" t="s">
        <v>2236</v>
      </c>
      <c r="AG516" s="421" t="s">
        <v>2237</v>
      </c>
      <c r="AH516" s="421" t="s">
        <v>3105</v>
      </c>
      <c r="AI516" s="421">
        <v>55000</v>
      </c>
      <c r="AJ516" s="421">
        <v>154.82</v>
      </c>
      <c r="AK516" s="421">
        <v>178.03</v>
      </c>
      <c r="AL516" s="421">
        <v>2</v>
      </c>
      <c r="AM516" s="421" t="s">
        <v>962</v>
      </c>
      <c r="AN516" s="421" t="s">
        <v>3127</v>
      </c>
      <c r="AO516" s="421" t="s">
        <v>1121</v>
      </c>
      <c r="AP516" s="421" t="s">
        <v>1121</v>
      </c>
      <c r="AQ516" s="421" t="s">
        <v>1108</v>
      </c>
      <c r="AR516" s="421" t="s">
        <v>3832</v>
      </c>
      <c r="AS516" s="421" t="s">
        <v>3850</v>
      </c>
      <c r="AT516" s="421" t="s">
        <v>3109</v>
      </c>
      <c r="AU516" s="421" t="s">
        <v>1142</v>
      </c>
      <c r="AV516" s="421" t="s">
        <v>3130</v>
      </c>
      <c r="AW516" s="421" t="s">
        <v>3110</v>
      </c>
      <c r="AX516" s="421" t="s">
        <v>3111</v>
      </c>
      <c r="AY516" s="421" t="s">
        <v>3112</v>
      </c>
      <c r="AZ516" s="421" t="s">
        <v>3113</v>
      </c>
      <c r="BA516" s="421" t="s">
        <v>3114</v>
      </c>
      <c r="BB516" s="421" t="s">
        <v>3115</v>
      </c>
      <c r="BC516" s="421">
        <v>2257.6</v>
      </c>
      <c r="BD516" s="421">
        <v>6954694.8300000001</v>
      </c>
      <c r="BE516" s="421">
        <v>0</v>
      </c>
      <c r="BF516" s="421">
        <v>176.61</v>
      </c>
      <c r="BG516" s="421">
        <v>0</v>
      </c>
      <c r="BH516" s="421">
        <v>0</v>
      </c>
      <c r="BI516" s="421" t="s">
        <v>1149</v>
      </c>
    </row>
    <row r="517" spans="1:61" x14ac:dyDescent="0.25">
      <c r="A517" s="421">
        <v>514</v>
      </c>
      <c r="B517" s="421">
        <v>2015</v>
      </c>
      <c r="C517" s="421">
        <v>9</v>
      </c>
      <c r="D517" s="421">
        <v>11</v>
      </c>
      <c r="E517" s="421" t="s">
        <v>1475</v>
      </c>
      <c r="F517" s="421" t="s">
        <v>3132</v>
      </c>
      <c r="G517" s="421" t="s">
        <v>3273</v>
      </c>
      <c r="H517" s="421" t="s">
        <v>1107</v>
      </c>
      <c r="I517" s="421" t="s">
        <v>2576</v>
      </c>
      <c r="J517" s="421" t="s">
        <v>3851</v>
      </c>
      <c r="K517" s="421" t="s">
        <v>3093</v>
      </c>
      <c r="L517" s="421" t="s">
        <v>3094</v>
      </c>
      <c r="M517" s="421" t="s">
        <v>2667</v>
      </c>
      <c r="N517" s="421" t="s">
        <v>3093</v>
      </c>
      <c r="O517" s="421" t="s">
        <v>3094</v>
      </c>
      <c r="P517" s="421" t="s">
        <v>3095</v>
      </c>
      <c r="Q517" s="421" t="s">
        <v>3113</v>
      </c>
      <c r="R517" s="421" t="s">
        <v>1108</v>
      </c>
      <c r="S517" s="421" t="s">
        <v>1108</v>
      </c>
      <c r="T517" s="421" t="s">
        <v>1130</v>
      </c>
      <c r="U517" s="421" t="s">
        <v>1112</v>
      </c>
      <c r="V517" s="421" t="s">
        <v>3097</v>
      </c>
      <c r="W517" s="421" t="s">
        <v>3098</v>
      </c>
      <c r="X517" s="421" t="s">
        <v>3099</v>
      </c>
      <c r="Y517" s="421" t="s">
        <v>1117</v>
      </c>
      <c r="Z517" s="421" t="s">
        <v>1118</v>
      </c>
      <c r="AA517" s="421" t="s">
        <v>3100</v>
      </c>
      <c r="AB517" s="421" t="s">
        <v>3101</v>
      </c>
      <c r="AC517" s="421" t="s">
        <v>3102</v>
      </c>
      <c r="AD517" s="421" t="s">
        <v>3559</v>
      </c>
      <c r="AE517" s="421" t="s">
        <v>3560</v>
      </c>
      <c r="AF517" s="421" t="s">
        <v>2236</v>
      </c>
      <c r="AG517" s="421" t="s">
        <v>2237</v>
      </c>
      <c r="AH517" s="421" t="s">
        <v>3105</v>
      </c>
      <c r="AI517" s="421">
        <v>6852400</v>
      </c>
      <c r="AJ517" s="421">
        <v>14200.34</v>
      </c>
      <c r="AK517" s="421">
        <v>15587.6</v>
      </c>
      <c r="AL517" s="421">
        <v>1</v>
      </c>
      <c r="AM517" s="421" t="s">
        <v>961</v>
      </c>
      <c r="AN517" s="421" t="s">
        <v>3191</v>
      </c>
      <c r="AO517" s="421" t="s">
        <v>1121</v>
      </c>
      <c r="AP517" s="421" t="s">
        <v>1121</v>
      </c>
      <c r="AQ517" s="421" t="s">
        <v>1108</v>
      </c>
      <c r="AR517" s="421" t="s">
        <v>3832</v>
      </c>
      <c r="AS517" s="421" t="s">
        <v>3852</v>
      </c>
      <c r="AT517" s="421" t="s">
        <v>3109</v>
      </c>
      <c r="AU517" s="421" t="s">
        <v>1142</v>
      </c>
      <c r="AV517" s="421" t="s">
        <v>3130</v>
      </c>
      <c r="AW517" s="421" t="s">
        <v>3110</v>
      </c>
      <c r="AX517" s="421" t="s">
        <v>3111</v>
      </c>
      <c r="AY517" s="421" t="s">
        <v>3193</v>
      </c>
      <c r="AZ517" s="421" t="s">
        <v>3113</v>
      </c>
      <c r="BA517" s="421" t="s">
        <v>3114</v>
      </c>
      <c r="BB517" s="421" t="s">
        <v>3115</v>
      </c>
      <c r="BC517" s="421">
        <v>193539</v>
      </c>
      <c r="BD517" s="421">
        <v>596210437.23000002</v>
      </c>
      <c r="BE517" s="421">
        <v>0</v>
      </c>
      <c r="BF517" s="421">
        <v>0</v>
      </c>
      <c r="BG517" s="421">
        <v>0</v>
      </c>
      <c r="BH517" s="421">
        <v>0</v>
      </c>
      <c r="BI517" s="421" t="s">
        <v>1149</v>
      </c>
    </row>
    <row r="518" spans="1:61" x14ac:dyDescent="0.25">
      <c r="A518" s="421">
        <v>515</v>
      </c>
      <c r="B518" s="421">
        <v>2015</v>
      </c>
      <c r="C518" s="421">
        <v>9</v>
      </c>
      <c r="D518" s="421">
        <v>14</v>
      </c>
      <c r="E518" s="421" t="s">
        <v>1475</v>
      </c>
      <c r="F518" s="421" t="s">
        <v>3132</v>
      </c>
      <c r="G518" s="421" t="s">
        <v>3158</v>
      </c>
      <c r="H518" s="421" t="s">
        <v>1107</v>
      </c>
      <c r="I518" s="421" t="s">
        <v>2859</v>
      </c>
      <c r="J518" s="421" t="s">
        <v>3853</v>
      </c>
      <c r="K518" s="421" t="s">
        <v>3093</v>
      </c>
      <c r="L518" s="421" t="s">
        <v>3094</v>
      </c>
      <c r="M518" s="421" t="s">
        <v>2667</v>
      </c>
      <c r="N518" s="421" t="s">
        <v>3093</v>
      </c>
      <c r="O518" s="421" t="s">
        <v>3094</v>
      </c>
      <c r="P518" s="421" t="s">
        <v>3095</v>
      </c>
      <c r="Q518" s="421" t="s">
        <v>3096</v>
      </c>
      <c r="R518" s="421" t="s">
        <v>1108</v>
      </c>
      <c r="S518" s="421" t="s">
        <v>1476</v>
      </c>
      <c r="T518" s="421" t="s">
        <v>1130</v>
      </c>
      <c r="U518" s="421" t="s">
        <v>3144</v>
      </c>
      <c r="V518" s="421" t="s">
        <v>3145</v>
      </c>
      <c r="W518" s="421" t="s">
        <v>3098</v>
      </c>
      <c r="X518" s="421" t="s">
        <v>3099</v>
      </c>
      <c r="Y518" s="421" t="s">
        <v>1117</v>
      </c>
      <c r="Z518" s="421" t="s">
        <v>1118</v>
      </c>
      <c r="AA518" s="421" t="s">
        <v>3100</v>
      </c>
      <c r="AB518" s="421" t="s">
        <v>3146</v>
      </c>
      <c r="AC518" s="421" t="s">
        <v>3102</v>
      </c>
      <c r="AD518" s="421" t="s">
        <v>3854</v>
      </c>
      <c r="AE518" s="421" t="s">
        <v>3855</v>
      </c>
      <c r="AF518" s="421" t="s">
        <v>2236</v>
      </c>
      <c r="AG518" s="421" t="s">
        <v>2237</v>
      </c>
      <c r="AH518" s="421" t="s">
        <v>3105</v>
      </c>
      <c r="AI518" s="421">
        <v>767500</v>
      </c>
      <c r="AJ518" s="421">
        <v>1737.07</v>
      </c>
      <c r="AK518" s="421">
        <v>1860</v>
      </c>
      <c r="AL518" s="421">
        <v>1</v>
      </c>
      <c r="AM518" s="421" t="s">
        <v>3856</v>
      </c>
      <c r="AN518" s="421" t="s">
        <v>3857</v>
      </c>
      <c r="AO518" s="421" t="s">
        <v>1121</v>
      </c>
      <c r="AP518" s="421" t="s">
        <v>1121</v>
      </c>
      <c r="AQ518" s="421" t="s">
        <v>1476</v>
      </c>
      <c r="AR518" s="421" t="s">
        <v>3832</v>
      </c>
      <c r="AS518" s="421" t="s">
        <v>3858</v>
      </c>
      <c r="AT518" s="421" t="s">
        <v>3109</v>
      </c>
      <c r="AU518" s="421" t="s">
        <v>1341</v>
      </c>
      <c r="AV518" s="421" t="s">
        <v>1547</v>
      </c>
      <c r="AW518" s="421" t="s">
        <v>3110</v>
      </c>
      <c r="AX518" s="421" t="s">
        <v>3111</v>
      </c>
      <c r="AY518" s="421" t="s">
        <v>3112</v>
      </c>
      <c r="AZ518" s="421" t="s">
        <v>3113</v>
      </c>
      <c r="BA518" s="421" t="s">
        <v>3114</v>
      </c>
      <c r="BB518" s="421" t="s">
        <v>3115</v>
      </c>
      <c r="BC518" s="421">
        <v>34020.800000000003</v>
      </c>
      <c r="BD518" s="421">
        <v>102503309.56</v>
      </c>
      <c r="BE518" s="421">
        <v>0</v>
      </c>
      <c r="BF518" s="421">
        <v>9924.68</v>
      </c>
      <c r="BG518" s="421">
        <v>109.86</v>
      </c>
      <c r="BH518" s="421">
        <v>0</v>
      </c>
      <c r="BI518" s="421" t="s">
        <v>3256</v>
      </c>
    </row>
    <row r="519" spans="1:61" x14ac:dyDescent="0.25">
      <c r="A519" s="421">
        <v>516</v>
      </c>
      <c r="B519" s="421">
        <v>2015</v>
      </c>
      <c r="C519" s="421">
        <v>9</v>
      </c>
      <c r="D519" s="421">
        <v>23</v>
      </c>
      <c r="E519" s="421" t="s">
        <v>1475</v>
      </c>
      <c r="F519" s="421" t="s">
        <v>3132</v>
      </c>
      <c r="G519" s="421" t="s">
        <v>1116</v>
      </c>
      <c r="H519" s="421" t="s">
        <v>1107</v>
      </c>
      <c r="I519" s="421" t="s">
        <v>2732</v>
      </c>
      <c r="J519" s="421" t="s">
        <v>3859</v>
      </c>
      <c r="K519" s="421" t="s">
        <v>3093</v>
      </c>
      <c r="L519" s="421" t="s">
        <v>3094</v>
      </c>
      <c r="M519" s="421" t="s">
        <v>2667</v>
      </c>
      <c r="N519" s="421" t="s">
        <v>3093</v>
      </c>
      <c r="O519" s="421" t="s">
        <v>3094</v>
      </c>
      <c r="P519" s="421" t="s">
        <v>3095</v>
      </c>
      <c r="Q519" s="421" t="s">
        <v>3096</v>
      </c>
      <c r="R519" s="421" t="s">
        <v>1108</v>
      </c>
      <c r="S519" s="421" t="s">
        <v>1542</v>
      </c>
      <c r="T519" s="421" t="s">
        <v>1130</v>
      </c>
      <c r="U519" s="421" t="s">
        <v>1112</v>
      </c>
      <c r="V519" s="421" t="s">
        <v>3097</v>
      </c>
      <c r="W519" s="421" t="s">
        <v>3098</v>
      </c>
      <c r="X519" s="421" t="s">
        <v>3099</v>
      </c>
      <c r="Y519" s="421" t="s">
        <v>1117</v>
      </c>
      <c r="Z519" s="421" t="s">
        <v>1118</v>
      </c>
      <c r="AA519" s="421" t="s">
        <v>3100</v>
      </c>
      <c r="AB519" s="421" t="s">
        <v>3101</v>
      </c>
      <c r="AC519" s="421" t="s">
        <v>3102</v>
      </c>
      <c r="AD519" s="421" t="s">
        <v>3860</v>
      </c>
      <c r="AE519" s="421" t="s">
        <v>3861</v>
      </c>
      <c r="AF519" s="421" t="s">
        <v>1300</v>
      </c>
      <c r="AG519" s="421" t="s">
        <v>1301</v>
      </c>
      <c r="AH519" s="421" t="s">
        <v>1127</v>
      </c>
      <c r="AI519" s="421">
        <v>6.07</v>
      </c>
      <c r="AJ519" s="421">
        <v>6.07</v>
      </c>
      <c r="AK519" s="421">
        <v>7</v>
      </c>
      <c r="AL519" s="421">
        <v>1</v>
      </c>
      <c r="AM519" s="421" t="s">
        <v>3862</v>
      </c>
      <c r="AN519" s="421" t="s">
        <v>3863</v>
      </c>
      <c r="AO519" s="421" t="s">
        <v>1121</v>
      </c>
      <c r="AP519" s="421" t="s">
        <v>1121</v>
      </c>
      <c r="AQ519" s="421" t="s">
        <v>1542</v>
      </c>
      <c r="AR519" s="421" t="s">
        <v>3832</v>
      </c>
      <c r="AS519" s="421" t="s">
        <v>3864</v>
      </c>
      <c r="AT519" s="421" t="s">
        <v>3109</v>
      </c>
      <c r="AU519" s="421" t="s">
        <v>1142</v>
      </c>
      <c r="AV519" s="421" t="s">
        <v>1547</v>
      </c>
      <c r="AW519" s="421" t="s">
        <v>3110</v>
      </c>
      <c r="AX519" s="421" t="s">
        <v>3229</v>
      </c>
      <c r="AY519" s="421" t="s">
        <v>3112</v>
      </c>
      <c r="AZ519" s="421" t="s">
        <v>3113</v>
      </c>
      <c r="BA519" s="421" t="s">
        <v>3114</v>
      </c>
      <c r="BB519" s="421" t="s">
        <v>3230</v>
      </c>
      <c r="BC519" s="421">
        <v>1.25</v>
      </c>
      <c r="BD519" s="421">
        <v>3832.17</v>
      </c>
      <c r="BE519" s="421">
        <v>0</v>
      </c>
      <c r="BF519" s="421">
        <v>0</v>
      </c>
      <c r="BG519" s="421">
        <v>0</v>
      </c>
      <c r="BH519" s="421">
        <v>0</v>
      </c>
      <c r="BI519" s="421" t="s">
        <v>1167</v>
      </c>
    </row>
    <row r="520" spans="1:61" x14ac:dyDescent="0.25">
      <c r="A520" s="421">
        <v>517</v>
      </c>
      <c r="B520" s="421">
        <v>2015</v>
      </c>
      <c r="C520" s="421">
        <v>9</v>
      </c>
      <c r="D520" s="421">
        <v>23</v>
      </c>
      <c r="E520" s="421" t="s">
        <v>1475</v>
      </c>
      <c r="F520" s="421" t="s">
        <v>3132</v>
      </c>
      <c r="G520" s="421" t="s">
        <v>1116</v>
      </c>
      <c r="H520" s="421" t="s">
        <v>1107</v>
      </c>
      <c r="I520" s="421" t="s">
        <v>2732</v>
      </c>
      <c r="J520" s="421" t="s">
        <v>3865</v>
      </c>
      <c r="K520" s="421" t="s">
        <v>3093</v>
      </c>
      <c r="L520" s="421" t="s">
        <v>3094</v>
      </c>
      <c r="M520" s="421" t="s">
        <v>2667</v>
      </c>
      <c r="N520" s="421" t="s">
        <v>3093</v>
      </c>
      <c r="O520" s="421" t="s">
        <v>3094</v>
      </c>
      <c r="P520" s="421" t="s">
        <v>3095</v>
      </c>
      <c r="Q520" s="421" t="s">
        <v>3096</v>
      </c>
      <c r="R520" s="421" t="s">
        <v>1108</v>
      </c>
      <c r="S520" s="421" t="s">
        <v>1542</v>
      </c>
      <c r="T520" s="421" t="s">
        <v>1130</v>
      </c>
      <c r="U520" s="421" t="s">
        <v>1112</v>
      </c>
      <c r="V520" s="421" t="s">
        <v>3097</v>
      </c>
      <c r="W520" s="421" t="s">
        <v>3098</v>
      </c>
      <c r="X520" s="421" t="s">
        <v>3099</v>
      </c>
      <c r="Y520" s="421" t="s">
        <v>1117</v>
      </c>
      <c r="Z520" s="421" t="s">
        <v>1118</v>
      </c>
      <c r="AA520" s="421" t="s">
        <v>3100</v>
      </c>
      <c r="AB520" s="421" t="s">
        <v>3101</v>
      </c>
      <c r="AC520" s="421" t="s">
        <v>3102</v>
      </c>
      <c r="AD520" s="421" t="s">
        <v>3860</v>
      </c>
      <c r="AE520" s="421" t="s">
        <v>3861</v>
      </c>
      <c r="AF520" s="421" t="s">
        <v>2236</v>
      </c>
      <c r="AG520" s="421" t="s">
        <v>2237</v>
      </c>
      <c r="AH520" s="421" t="s">
        <v>3105</v>
      </c>
      <c r="AI520" s="421">
        <v>144000</v>
      </c>
      <c r="AJ520" s="421">
        <v>479.87</v>
      </c>
      <c r="AK520" s="421">
        <v>517.98</v>
      </c>
      <c r="AL520" s="421">
        <v>2</v>
      </c>
      <c r="AM520" s="421" t="s">
        <v>3862</v>
      </c>
      <c r="AN520" s="421" t="s">
        <v>3863</v>
      </c>
      <c r="AO520" s="421" t="s">
        <v>1121</v>
      </c>
      <c r="AP520" s="421" t="s">
        <v>1121</v>
      </c>
      <c r="AQ520" s="421" t="s">
        <v>1542</v>
      </c>
      <c r="AR520" s="421" t="s">
        <v>3832</v>
      </c>
      <c r="AS520" s="421" t="s">
        <v>3866</v>
      </c>
      <c r="AT520" s="421" t="s">
        <v>3109</v>
      </c>
      <c r="AU520" s="421" t="s">
        <v>1142</v>
      </c>
      <c r="AV520" s="421" t="s">
        <v>1547</v>
      </c>
      <c r="AW520" s="421" t="s">
        <v>3110</v>
      </c>
      <c r="AX520" s="421" t="s">
        <v>3111</v>
      </c>
      <c r="AY520" s="421" t="s">
        <v>3112</v>
      </c>
      <c r="AZ520" s="421" t="s">
        <v>3113</v>
      </c>
      <c r="BA520" s="421" t="s">
        <v>3114</v>
      </c>
      <c r="BB520" s="421" t="s">
        <v>3115</v>
      </c>
      <c r="BC520" s="421">
        <v>6777.5</v>
      </c>
      <c r="BD520" s="421">
        <v>20778052.850000001</v>
      </c>
      <c r="BE520" s="421">
        <v>0</v>
      </c>
      <c r="BF520" s="421">
        <v>443.17</v>
      </c>
      <c r="BG520" s="421">
        <v>0</v>
      </c>
      <c r="BH520" s="421">
        <v>0</v>
      </c>
      <c r="BI520" s="421" t="s">
        <v>1167</v>
      </c>
    </row>
    <row r="521" spans="1:61" x14ac:dyDescent="0.25">
      <c r="A521" s="421">
        <v>518</v>
      </c>
      <c r="B521" s="421">
        <v>2015</v>
      </c>
      <c r="C521" s="421">
        <v>9</v>
      </c>
      <c r="D521" s="421">
        <v>23</v>
      </c>
      <c r="E521" s="421" t="s">
        <v>1475</v>
      </c>
      <c r="F521" s="421" t="s">
        <v>3132</v>
      </c>
      <c r="G521" s="421" t="s">
        <v>1116</v>
      </c>
      <c r="H521" s="421" t="s">
        <v>1107</v>
      </c>
      <c r="I521" s="421" t="s">
        <v>2732</v>
      </c>
      <c r="J521" s="421" t="s">
        <v>3865</v>
      </c>
      <c r="K521" s="421" t="s">
        <v>3093</v>
      </c>
      <c r="L521" s="421" t="s">
        <v>3094</v>
      </c>
      <c r="M521" s="421" t="s">
        <v>2667</v>
      </c>
      <c r="N521" s="421" t="s">
        <v>3093</v>
      </c>
      <c r="O521" s="421" t="s">
        <v>3094</v>
      </c>
      <c r="P521" s="421" t="s">
        <v>3095</v>
      </c>
      <c r="Q521" s="421" t="s">
        <v>3096</v>
      </c>
      <c r="R521" s="421" t="s">
        <v>1108</v>
      </c>
      <c r="S521" s="421" t="s">
        <v>1542</v>
      </c>
      <c r="T521" s="421" t="s">
        <v>1130</v>
      </c>
      <c r="U521" s="421" t="s">
        <v>1112</v>
      </c>
      <c r="V521" s="421" t="s">
        <v>3097</v>
      </c>
      <c r="W521" s="421" t="s">
        <v>3098</v>
      </c>
      <c r="X521" s="421" t="s">
        <v>3099</v>
      </c>
      <c r="Y521" s="421" t="s">
        <v>1117</v>
      </c>
      <c r="Z521" s="421" t="s">
        <v>1118</v>
      </c>
      <c r="AA521" s="421" t="s">
        <v>3100</v>
      </c>
      <c r="AB521" s="421" t="s">
        <v>3101</v>
      </c>
      <c r="AC521" s="421" t="s">
        <v>3102</v>
      </c>
      <c r="AD521" s="421" t="s">
        <v>3860</v>
      </c>
      <c r="AE521" s="421" t="s">
        <v>3861</v>
      </c>
      <c r="AF521" s="421" t="s">
        <v>2236</v>
      </c>
      <c r="AG521" s="421" t="s">
        <v>2237</v>
      </c>
      <c r="AH521" s="421" t="s">
        <v>3105</v>
      </c>
      <c r="AI521" s="421">
        <v>351500</v>
      </c>
      <c r="AJ521" s="421">
        <v>953.85</v>
      </c>
      <c r="AK521" s="421">
        <v>1029.5999999999999</v>
      </c>
      <c r="AL521" s="421">
        <v>1</v>
      </c>
      <c r="AM521" s="421" t="s">
        <v>3862</v>
      </c>
      <c r="AN521" s="421" t="s">
        <v>3863</v>
      </c>
      <c r="AO521" s="421" t="s">
        <v>1121</v>
      </c>
      <c r="AP521" s="421" t="s">
        <v>1121</v>
      </c>
      <c r="AQ521" s="421" t="s">
        <v>1542</v>
      </c>
      <c r="AR521" s="421" t="s">
        <v>3832</v>
      </c>
      <c r="AS521" s="421" t="s">
        <v>3866</v>
      </c>
      <c r="AT521" s="421" t="s">
        <v>3109</v>
      </c>
      <c r="AU521" s="421" t="s">
        <v>1142</v>
      </c>
      <c r="AV521" s="421" t="s">
        <v>1547</v>
      </c>
      <c r="AW521" s="421" t="s">
        <v>3110</v>
      </c>
      <c r="AX521" s="421" t="s">
        <v>3111</v>
      </c>
      <c r="AY521" s="421" t="s">
        <v>3112</v>
      </c>
      <c r="AZ521" s="421" t="s">
        <v>3113</v>
      </c>
      <c r="BA521" s="421" t="s">
        <v>3114</v>
      </c>
      <c r="BB521" s="421" t="s">
        <v>3115</v>
      </c>
      <c r="BC521" s="421">
        <v>14632.5</v>
      </c>
      <c r="BD521" s="421">
        <v>44859440.549999997</v>
      </c>
      <c r="BE521" s="421">
        <v>0</v>
      </c>
      <c r="BF521" s="421">
        <v>956.8</v>
      </c>
      <c r="BG521" s="421">
        <v>0</v>
      </c>
      <c r="BH521" s="421">
        <v>0</v>
      </c>
      <c r="BI521" s="421" t="s">
        <v>1167</v>
      </c>
    </row>
    <row r="522" spans="1:61" x14ac:dyDescent="0.25">
      <c r="A522" s="421">
        <v>519</v>
      </c>
      <c r="B522" s="421">
        <v>2015</v>
      </c>
      <c r="C522" s="421">
        <v>9</v>
      </c>
      <c r="D522" s="421">
        <v>23</v>
      </c>
      <c r="E522" s="421" t="s">
        <v>1475</v>
      </c>
      <c r="F522" s="421" t="s">
        <v>3132</v>
      </c>
      <c r="G522" s="421" t="s">
        <v>1116</v>
      </c>
      <c r="H522" s="421" t="s">
        <v>1107</v>
      </c>
      <c r="I522" s="421" t="s">
        <v>2732</v>
      </c>
      <c r="J522" s="421" t="s">
        <v>3865</v>
      </c>
      <c r="K522" s="421" t="s">
        <v>3093</v>
      </c>
      <c r="L522" s="421" t="s">
        <v>3094</v>
      </c>
      <c r="M522" s="421" t="s">
        <v>2667</v>
      </c>
      <c r="N522" s="421" t="s">
        <v>3093</v>
      </c>
      <c r="O522" s="421" t="s">
        <v>3094</v>
      </c>
      <c r="P522" s="421" t="s">
        <v>3095</v>
      </c>
      <c r="Q522" s="421" t="s">
        <v>3096</v>
      </c>
      <c r="R522" s="421" t="s">
        <v>1108</v>
      </c>
      <c r="S522" s="421" t="s">
        <v>1542</v>
      </c>
      <c r="T522" s="421" t="s">
        <v>1130</v>
      </c>
      <c r="U522" s="421" t="s">
        <v>1112</v>
      </c>
      <c r="V522" s="421" t="s">
        <v>3097</v>
      </c>
      <c r="W522" s="421" t="s">
        <v>3098</v>
      </c>
      <c r="X522" s="421" t="s">
        <v>3099</v>
      </c>
      <c r="Y522" s="421" t="s">
        <v>1117</v>
      </c>
      <c r="Z522" s="421" t="s">
        <v>1118</v>
      </c>
      <c r="AA522" s="421" t="s">
        <v>3100</v>
      </c>
      <c r="AB522" s="421" t="s">
        <v>3101</v>
      </c>
      <c r="AC522" s="421" t="s">
        <v>3102</v>
      </c>
      <c r="AD522" s="421" t="s">
        <v>3860</v>
      </c>
      <c r="AE522" s="421" t="s">
        <v>3861</v>
      </c>
      <c r="AF522" s="421" t="s">
        <v>2236</v>
      </c>
      <c r="AG522" s="421" t="s">
        <v>2237</v>
      </c>
      <c r="AH522" s="421" t="s">
        <v>3105</v>
      </c>
      <c r="AI522" s="421">
        <v>27500</v>
      </c>
      <c r="AJ522" s="421">
        <v>111.9</v>
      </c>
      <c r="AK522" s="421">
        <v>120.78</v>
      </c>
      <c r="AL522" s="421">
        <v>3</v>
      </c>
      <c r="AM522" s="421" t="s">
        <v>3862</v>
      </c>
      <c r="AN522" s="421" t="s">
        <v>3863</v>
      </c>
      <c r="AO522" s="421" t="s">
        <v>1121</v>
      </c>
      <c r="AP522" s="421" t="s">
        <v>1121</v>
      </c>
      <c r="AQ522" s="421" t="s">
        <v>1542</v>
      </c>
      <c r="AR522" s="421" t="s">
        <v>3832</v>
      </c>
      <c r="AS522" s="421" t="s">
        <v>3866</v>
      </c>
      <c r="AT522" s="421" t="s">
        <v>3109</v>
      </c>
      <c r="AU522" s="421" t="s">
        <v>1142</v>
      </c>
      <c r="AV522" s="421" t="s">
        <v>1547</v>
      </c>
      <c r="AW522" s="421" t="s">
        <v>3110</v>
      </c>
      <c r="AX522" s="421" t="s">
        <v>3111</v>
      </c>
      <c r="AY522" s="421" t="s">
        <v>3112</v>
      </c>
      <c r="AZ522" s="421" t="s">
        <v>3113</v>
      </c>
      <c r="BA522" s="421" t="s">
        <v>3114</v>
      </c>
      <c r="BB522" s="421" t="s">
        <v>3115</v>
      </c>
      <c r="BC522" s="421">
        <v>3059</v>
      </c>
      <c r="BD522" s="421">
        <v>9378098.6600000001</v>
      </c>
      <c r="BE522" s="421">
        <v>0</v>
      </c>
      <c r="BF522" s="421">
        <v>200.02</v>
      </c>
      <c r="BG522" s="421">
        <v>0</v>
      </c>
      <c r="BH522" s="421">
        <v>0</v>
      </c>
      <c r="BI522" s="421" t="s">
        <v>1167</v>
      </c>
    </row>
    <row r="523" spans="1:61" x14ac:dyDescent="0.25">
      <c r="A523" s="421">
        <v>520</v>
      </c>
      <c r="B523" s="421">
        <v>2015</v>
      </c>
      <c r="C523" s="421">
        <v>9</v>
      </c>
      <c r="D523" s="421">
        <v>28</v>
      </c>
      <c r="E523" s="421" t="s">
        <v>1475</v>
      </c>
      <c r="F523" s="421" t="s">
        <v>3132</v>
      </c>
      <c r="G523" s="421" t="s">
        <v>3206</v>
      </c>
      <c r="H523" s="421" t="s">
        <v>1107</v>
      </c>
      <c r="I523" s="421" t="s">
        <v>2712</v>
      </c>
      <c r="J523" s="421" t="s">
        <v>3867</v>
      </c>
      <c r="K523" s="421" t="s">
        <v>3093</v>
      </c>
      <c r="L523" s="421" t="s">
        <v>3094</v>
      </c>
      <c r="M523" s="421" t="s">
        <v>2667</v>
      </c>
      <c r="N523" s="421" t="s">
        <v>3093</v>
      </c>
      <c r="O523" s="421" t="s">
        <v>3094</v>
      </c>
      <c r="P523" s="421" t="s">
        <v>3095</v>
      </c>
      <c r="Q523" s="421" t="s">
        <v>3096</v>
      </c>
      <c r="R523" s="421" t="s">
        <v>1108</v>
      </c>
      <c r="S523" s="421" t="s">
        <v>1476</v>
      </c>
      <c r="T523" s="421" t="s">
        <v>1130</v>
      </c>
      <c r="U523" s="421" t="s">
        <v>3144</v>
      </c>
      <c r="V523" s="421" t="s">
        <v>3145</v>
      </c>
      <c r="W523" s="421" t="s">
        <v>3098</v>
      </c>
      <c r="X523" s="421" t="s">
        <v>3099</v>
      </c>
      <c r="Y523" s="421" t="s">
        <v>1117</v>
      </c>
      <c r="Z523" s="421" t="s">
        <v>1118</v>
      </c>
      <c r="AA523" s="421" t="s">
        <v>3100</v>
      </c>
      <c r="AB523" s="421" t="s">
        <v>3146</v>
      </c>
      <c r="AC523" s="421" t="s">
        <v>3102</v>
      </c>
      <c r="AD523" s="421" t="s">
        <v>3406</v>
      </c>
      <c r="AE523" s="421" t="s">
        <v>3424</v>
      </c>
      <c r="AF523" s="421" t="s">
        <v>2236</v>
      </c>
      <c r="AG523" s="421" t="s">
        <v>2237</v>
      </c>
      <c r="AH523" s="421" t="s">
        <v>3105</v>
      </c>
      <c r="AI523" s="421">
        <v>144</v>
      </c>
      <c r="AJ523" s="421">
        <v>0.93</v>
      </c>
      <c r="AK523" s="421">
        <v>1.02</v>
      </c>
      <c r="AL523" s="421">
        <v>1</v>
      </c>
      <c r="AM523" s="421" t="s">
        <v>964</v>
      </c>
      <c r="AN523" s="421" t="s">
        <v>3425</v>
      </c>
      <c r="AO523" s="421" t="s">
        <v>1121</v>
      </c>
      <c r="AP523" s="421" t="s">
        <v>1121</v>
      </c>
      <c r="AQ523" s="421" t="s">
        <v>1476</v>
      </c>
      <c r="AR523" s="421" t="s">
        <v>3832</v>
      </c>
      <c r="AS523" s="421" t="s">
        <v>3868</v>
      </c>
      <c r="AT523" s="421" t="s">
        <v>3109</v>
      </c>
      <c r="AU523" s="421" t="s">
        <v>1341</v>
      </c>
      <c r="AV523" s="421" t="s">
        <v>3427</v>
      </c>
      <c r="AW523" s="421" t="s">
        <v>3110</v>
      </c>
      <c r="AX523" s="421" t="s">
        <v>3229</v>
      </c>
      <c r="AY523" s="421" t="s">
        <v>3112</v>
      </c>
      <c r="AZ523" s="421" t="s">
        <v>3113</v>
      </c>
      <c r="BA523" s="421" t="s">
        <v>3114</v>
      </c>
      <c r="BB523" s="421" t="s">
        <v>3230</v>
      </c>
      <c r="BC523" s="421">
        <v>12</v>
      </c>
      <c r="BD523" s="421">
        <v>36965.279999999999</v>
      </c>
      <c r="BE523" s="421">
        <v>0</v>
      </c>
      <c r="BF523" s="421">
        <v>0</v>
      </c>
      <c r="BG523" s="421">
        <v>0</v>
      </c>
      <c r="BH523" s="421">
        <v>0</v>
      </c>
      <c r="BI523" s="421" t="s">
        <v>1278</v>
      </c>
    </row>
    <row r="524" spans="1:61" x14ac:dyDescent="0.25">
      <c r="A524" s="421">
        <v>521</v>
      </c>
      <c r="B524" s="421">
        <v>2015</v>
      </c>
      <c r="C524" s="421">
        <v>9</v>
      </c>
      <c r="D524" s="421">
        <v>28</v>
      </c>
      <c r="E524" s="421" t="s">
        <v>1475</v>
      </c>
      <c r="F524" s="421" t="s">
        <v>3132</v>
      </c>
      <c r="G524" s="421" t="s">
        <v>3206</v>
      </c>
      <c r="H524" s="421" t="s">
        <v>1107</v>
      </c>
      <c r="I524" s="421" t="s">
        <v>2712</v>
      </c>
      <c r="J524" s="421" t="s">
        <v>3869</v>
      </c>
      <c r="K524" s="421" t="s">
        <v>3093</v>
      </c>
      <c r="L524" s="421" t="s">
        <v>3094</v>
      </c>
      <c r="M524" s="421" t="s">
        <v>2667</v>
      </c>
      <c r="N524" s="421" t="s">
        <v>3093</v>
      </c>
      <c r="O524" s="421" t="s">
        <v>3094</v>
      </c>
      <c r="P524" s="421" t="s">
        <v>3095</v>
      </c>
      <c r="Q524" s="421" t="s">
        <v>3113</v>
      </c>
      <c r="R524" s="421" t="s">
        <v>1108</v>
      </c>
      <c r="S524" s="421" t="s">
        <v>1108</v>
      </c>
      <c r="T524" s="421" t="s">
        <v>1130</v>
      </c>
      <c r="U524" s="421" t="s">
        <v>3144</v>
      </c>
      <c r="V524" s="421" t="s">
        <v>3145</v>
      </c>
      <c r="W524" s="421" t="s">
        <v>3098</v>
      </c>
      <c r="X524" s="421" t="s">
        <v>3099</v>
      </c>
      <c r="Y524" s="421" t="s">
        <v>1117</v>
      </c>
      <c r="Z524" s="421" t="s">
        <v>1118</v>
      </c>
      <c r="AA524" s="421" t="s">
        <v>3100</v>
      </c>
      <c r="AB524" s="421" t="s">
        <v>3146</v>
      </c>
      <c r="AC524" s="421" t="s">
        <v>3102</v>
      </c>
      <c r="AD524" s="421" t="s">
        <v>3340</v>
      </c>
      <c r="AE524" s="421" t="s">
        <v>3341</v>
      </c>
      <c r="AF524" s="421" t="s">
        <v>2236</v>
      </c>
      <c r="AG524" s="421" t="s">
        <v>2237</v>
      </c>
      <c r="AH524" s="421" t="s">
        <v>3105</v>
      </c>
      <c r="AI524" s="421">
        <v>422500</v>
      </c>
      <c r="AJ524" s="421">
        <v>1128.97</v>
      </c>
      <c r="AK524" s="421">
        <v>1221</v>
      </c>
      <c r="AL524" s="421">
        <v>1</v>
      </c>
      <c r="AM524" s="421" t="s">
        <v>3342</v>
      </c>
      <c r="AN524" s="421" t="s">
        <v>3343</v>
      </c>
      <c r="AO524" s="421" t="s">
        <v>1121</v>
      </c>
      <c r="AP524" s="421" t="s">
        <v>1121</v>
      </c>
      <c r="AQ524" s="421" t="s">
        <v>1108</v>
      </c>
      <c r="AR524" s="421" t="s">
        <v>3832</v>
      </c>
      <c r="AS524" s="421" t="s">
        <v>3870</v>
      </c>
      <c r="AT524" s="421" t="s">
        <v>3109</v>
      </c>
      <c r="AU524" s="421" t="s">
        <v>1341</v>
      </c>
      <c r="AV524" s="421" t="s">
        <v>3157</v>
      </c>
      <c r="AW524" s="421" t="s">
        <v>3110</v>
      </c>
      <c r="AX524" s="421" t="s">
        <v>3111</v>
      </c>
      <c r="AY524" s="421" t="s">
        <v>3112</v>
      </c>
      <c r="AZ524" s="421" t="s">
        <v>3113</v>
      </c>
      <c r="BA524" s="421" t="s">
        <v>3114</v>
      </c>
      <c r="BB524" s="421" t="s">
        <v>3115</v>
      </c>
      <c r="BC524" s="421">
        <v>18771</v>
      </c>
      <c r="BD524" s="421">
        <v>57822939.240000002</v>
      </c>
      <c r="BE524" s="421">
        <v>0</v>
      </c>
      <c r="BF524" s="421">
        <v>653.85</v>
      </c>
      <c r="BG524" s="421">
        <v>48.56</v>
      </c>
      <c r="BH524" s="421">
        <v>0</v>
      </c>
      <c r="BI524" s="421" t="s">
        <v>1149</v>
      </c>
    </row>
    <row r="525" spans="1:61" x14ac:dyDescent="0.25">
      <c r="A525" s="421">
        <v>522</v>
      </c>
      <c r="B525" s="421">
        <v>2015</v>
      </c>
      <c r="C525" s="421">
        <v>9</v>
      </c>
      <c r="D525" s="421">
        <v>28</v>
      </c>
      <c r="E525" s="421" t="s">
        <v>1475</v>
      </c>
      <c r="F525" s="421" t="s">
        <v>3132</v>
      </c>
      <c r="G525" s="421" t="s">
        <v>3206</v>
      </c>
      <c r="H525" s="421" t="s">
        <v>1107</v>
      </c>
      <c r="I525" s="421" t="s">
        <v>2712</v>
      </c>
      <c r="J525" s="421" t="s">
        <v>3871</v>
      </c>
      <c r="K525" s="421" t="s">
        <v>3093</v>
      </c>
      <c r="L525" s="421" t="s">
        <v>3094</v>
      </c>
      <c r="M525" s="421" t="s">
        <v>2667</v>
      </c>
      <c r="N525" s="421" t="s">
        <v>3093</v>
      </c>
      <c r="O525" s="421" t="s">
        <v>3094</v>
      </c>
      <c r="P525" s="421" t="s">
        <v>3095</v>
      </c>
      <c r="Q525" s="421" t="s">
        <v>3096</v>
      </c>
      <c r="R525" s="421" t="s">
        <v>1108</v>
      </c>
      <c r="S525" s="421" t="s">
        <v>1476</v>
      </c>
      <c r="T525" s="421" t="s">
        <v>1130</v>
      </c>
      <c r="U525" s="421" t="s">
        <v>3144</v>
      </c>
      <c r="V525" s="421" t="s">
        <v>3145</v>
      </c>
      <c r="W525" s="421" t="s">
        <v>3098</v>
      </c>
      <c r="X525" s="421" t="s">
        <v>3099</v>
      </c>
      <c r="Y525" s="421" t="s">
        <v>1117</v>
      </c>
      <c r="Z525" s="421" t="s">
        <v>1118</v>
      </c>
      <c r="AA525" s="421" t="s">
        <v>3100</v>
      </c>
      <c r="AB525" s="421" t="s">
        <v>3146</v>
      </c>
      <c r="AC525" s="421" t="s">
        <v>3102</v>
      </c>
      <c r="AD525" s="421" t="s">
        <v>3406</v>
      </c>
      <c r="AE525" s="421" t="s">
        <v>3424</v>
      </c>
      <c r="AF525" s="421" t="s">
        <v>2236</v>
      </c>
      <c r="AG525" s="421" t="s">
        <v>2237</v>
      </c>
      <c r="AH525" s="421" t="s">
        <v>3105</v>
      </c>
      <c r="AI525" s="421">
        <v>145600</v>
      </c>
      <c r="AJ525" s="421">
        <v>579.92999999999995</v>
      </c>
      <c r="AK525" s="421">
        <v>620</v>
      </c>
      <c r="AL525" s="421">
        <v>1</v>
      </c>
      <c r="AM525" s="421" t="s">
        <v>964</v>
      </c>
      <c r="AN525" s="421" t="s">
        <v>3425</v>
      </c>
      <c r="AO525" s="421" t="s">
        <v>1121</v>
      </c>
      <c r="AP525" s="421" t="s">
        <v>1121</v>
      </c>
      <c r="AQ525" s="421" t="s">
        <v>1476</v>
      </c>
      <c r="AR525" s="421" t="s">
        <v>3832</v>
      </c>
      <c r="AS525" s="421" t="s">
        <v>3872</v>
      </c>
      <c r="AT525" s="421" t="s">
        <v>3109</v>
      </c>
      <c r="AU525" s="421" t="s">
        <v>1341</v>
      </c>
      <c r="AV525" s="421" t="s">
        <v>3427</v>
      </c>
      <c r="AW525" s="421" t="s">
        <v>3110</v>
      </c>
      <c r="AX525" s="421" t="s">
        <v>3111</v>
      </c>
      <c r="AY525" s="421" t="s">
        <v>3112</v>
      </c>
      <c r="AZ525" s="421" t="s">
        <v>3113</v>
      </c>
      <c r="BA525" s="421" t="s">
        <v>3114</v>
      </c>
      <c r="BB525" s="421" t="s">
        <v>3115</v>
      </c>
      <c r="BC525" s="421">
        <v>18050.400000000001</v>
      </c>
      <c r="BD525" s="421">
        <v>55603174.170000002</v>
      </c>
      <c r="BE525" s="421">
        <v>0</v>
      </c>
      <c r="BF525" s="421">
        <v>0</v>
      </c>
      <c r="BG525" s="421">
        <v>0</v>
      </c>
      <c r="BH525" s="421">
        <v>0</v>
      </c>
      <c r="BI525" s="421" t="s">
        <v>1278</v>
      </c>
    </row>
    <row r="526" spans="1:61" x14ac:dyDescent="0.25">
      <c r="A526" s="421">
        <v>523</v>
      </c>
      <c r="B526" s="421">
        <v>2015</v>
      </c>
      <c r="C526" s="421">
        <v>9</v>
      </c>
      <c r="D526" s="421">
        <v>28</v>
      </c>
      <c r="E526" s="421" t="s">
        <v>1475</v>
      </c>
      <c r="F526" s="421" t="s">
        <v>3132</v>
      </c>
      <c r="G526" s="421" t="s">
        <v>3206</v>
      </c>
      <c r="H526" s="421" t="s">
        <v>1107</v>
      </c>
      <c r="I526" s="421" t="s">
        <v>2712</v>
      </c>
      <c r="J526" s="421" t="s">
        <v>3873</v>
      </c>
      <c r="K526" s="421" t="s">
        <v>3093</v>
      </c>
      <c r="L526" s="421" t="s">
        <v>3094</v>
      </c>
      <c r="M526" s="421" t="s">
        <v>2667</v>
      </c>
      <c r="N526" s="421" t="s">
        <v>3093</v>
      </c>
      <c r="O526" s="421" t="s">
        <v>3094</v>
      </c>
      <c r="P526" s="421" t="s">
        <v>3095</v>
      </c>
      <c r="Q526" s="421" t="s">
        <v>3113</v>
      </c>
      <c r="R526" s="421" t="s">
        <v>1108</v>
      </c>
      <c r="S526" s="421" t="s">
        <v>1108</v>
      </c>
      <c r="T526" s="421" t="s">
        <v>1130</v>
      </c>
      <c r="U526" s="421" t="s">
        <v>1112</v>
      </c>
      <c r="V526" s="421" t="s">
        <v>3097</v>
      </c>
      <c r="W526" s="421" t="s">
        <v>3098</v>
      </c>
      <c r="X526" s="421" t="s">
        <v>3099</v>
      </c>
      <c r="Y526" s="421" t="s">
        <v>1117</v>
      </c>
      <c r="Z526" s="421" t="s">
        <v>1118</v>
      </c>
      <c r="AA526" s="421" t="s">
        <v>3100</v>
      </c>
      <c r="AB526" s="421" t="s">
        <v>3101</v>
      </c>
      <c r="AC526" s="421" t="s">
        <v>3102</v>
      </c>
      <c r="AD526" s="421" t="s">
        <v>3874</v>
      </c>
      <c r="AE526" s="421" t="s">
        <v>3875</v>
      </c>
      <c r="AF526" s="421" t="s">
        <v>2236</v>
      </c>
      <c r="AG526" s="421" t="s">
        <v>2237</v>
      </c>
      <c r="AH526" s="421" t="s">
        <v>3105</v>
      </c>
      <c r="AI526" s="421">
        <v>43200</v>
      </c>
      <c r="AJ526" s="421">
        <v>157.91</v>
      </c>
      <c r="AK526" s="421">
        <v>171.18</v>
      </c>
      <c r="AL526" s="421">
        <v>3</v>
      </c>
      <c r="AM526" s="421" t="s">
        <v>2037</v>
      </c>
      <c r="AN526" s="421" t="s">
        <v>3876</v>
      </c>
      <c r="AO526" s="421" t="s">
        <v>1121</v>
      </c>
      <c r="AP526" s="421" t="s">
        <v>1121</v>
      </c>
      <c r="AQ526" s="421" t="s">
        <v>1108</v>
      </c>
      <c r="AR526" s="421" t="s">
        <v>3832</v>
      </c>
      <c r="AS526" s="421" t="s">
        <v>3877</v>
      </c>
      <c r="AT526" s="421" t="s">
        <v>3109</v>
      </c>
      <c r="AU526" s="421" t="s">
        <v>1142</v>
      </c>
      <c r="AV526" s="421" t="s">
        <v>3130</v>
      </c>
      <c r="AW526" s="421" t="s">
        <v>3110</v>
      </c>
      <c r="AX526" s="421" t="s">
        <v>3111</v>
      </c>
      <c r="AY526" s="421" t="s">
        <v>3193</v>
      </c>
      <c r="AZ526" s="421" t="s">
        <v>3113</v>
      </c>
      <c r="BA526" s="421" t="s">
        <v>3114</v>
      </c>
      <c r="BB526" s="421" t="s">
        <v>3115</v>
      </c>
      <c r="BC526" s="421">
        <v>4802.3999999999996</v>
      </c>
      <c r="BD526" s="421">
        <v>14793505.050000001</v>
      </c>
      <c r="BE526" s="421">
        <v>0</v>
      </c>
      <c r="BF526" s="421">
        <v>0</v>
      </c>
      <c r="BG526" s="421">
        <v>0</v>
      </c>
      <c r="BH526" s="421">
        <v>0</v>
      </c>
      <c r="BI526" s="421" t="s">
        <v>1149</v>
      </c>
    </row>
    <row r="527" spans="1:61" x14ac:dyDescent="0.25">
      <c r="A527" s="421">
        <v>524</v>
      </c>
      <c r="B527" s="421">
        <v>2015</v>
      </c>
      <c r="C527" s="421">
        <v>9</v>
      </c>
      <c r="D527" s="421">
        <v>28</v>
      </c>
      <c r="E527" s="421" t="s">
        <v>1475</v>
      </c>
      <c r="F527" s="421" t="s">
        <v>3132</v>
      </c>
      <c r="G527" s="421" t="s">
        <v>3206</v>
      </c>
      <c r="H527" s="421" t="s">
        <v>1107</v>
      </c>
      <c r="I527" s="421" t="s">
        <v>2712</v>
      </c>
      <c r="J527" s="421" t="s">
        <v>3873</v>
      </c>
      <c r="K527" s="421" t="s">
        <v>3093</v>
      </c>
      <c r="L527" s="421" t="s">
        <v>3094</v>
      </c>
      <c r="M527" s="421" t="s">
        <v>2667</v>
      </c>
      <c r="N527" s="421" t="s">
        <v>3093</v>
      </c>
      <c r="O527" s="421" t="s">
        <v>3094</v>
      </c>
      <c r="P527" s="421" t="s">
        <v>3095</v>
      </c>
      <c r="Q527" s="421" t="s">
        <v>3113</v>
      </c>
      <c r="R527" s="421" t="s">
        <v>1108</v>
      </c>
      <c r="S527" s="421" t="s">
        <v>1108</v>
      </c>
      <c r="T527" s="421" t="s">
        <v>1130</v>
      </c>
      <c r="U527" s="421" t="s">
        <v>1112</v>
      </c>
      <c r="V527" s="421" t="s">
        <v>3097</v>
      </c>
      <c r="W527" s="421" t="s">
        <v>3098</v>
      </c>
      <c r="X527" s="421" t="s">
        <v>3099</v>
      </c>
      <c r="Y527" s="421" t="s">
        <v>1117</v>
      </c>
      <c r="Z527" s="421" t="s">
        <v>1118</v>
      </c>
      <c r="AA527" s="421" t="s">
        <v>3100</v>
      </c>
      <c r="AB527" s="421" t="s">
        <v>3101</v>
      </c>
      <c r="AC527" s="421" t="s">
        <v>3102</v>
      </c>
      <c r="AD527" s="421" t="s">
        <v>3874</v>
      </c>
      <c r="AE527" s="421" t="s">
        <v>3875</v>
      </c>
      <c r="AF527" s="421" t="s">
        <v>2236</v>
      </c>
      <c r="AG527" s="421" t="s">
        <v>2237</v>
      </c>
      <c r="AH527" s="421" t="s">
        <v>3105</v>
      </c>
      <c r="AI527" s="421">
        <v>516800</v>
      </c>
      <c r="AJ527" s="421">
        <v>1068.2</v>
      </c>
      <c r="AK527" s="421">
        <v>1157.96</v>
      </c>
      <c r="AL527" s="421">
        <v>2</v>
      </c>
      <c r="AM527" s="421" t="s">
        <v>2037</v>
      </c>
      <c r="AN527" s="421" t="s">
        <v>3876</v>
      </c>
      <c r="AO527" s="421" t="s">
        <v>1121</v>
      </c>
      <c r="AP527" s="421" t="s">
        <v>1121</v>
      </c>
      <c r="AQ527" s="421" t="s">
        <v>1108</v>
      </c>
      <c r="AR527" s="421" t="s">
        <v>3832</v>
      </c>
      <c r="AS527" s="421" t="s">
        <v>3877</v>
      </c>
      <c r="AT527" s="421" t="s">
        <v>3109</v>
      </c>
      <c r="AU527" s="421" t="s">
        <v>1142</v>
      </c>
      <c r="AV527" s="421" t="s">
        <v>3130</v>
      </c>
      <c r="AW527" s="421" t="s">
        <v>3110</v>
      </c>
      <c r="AX527" s="421" t="s">
        <v>3111</v>
      </c>
      <c r="AY527" s="421" t="s">
        <v>3193</v>
      </c>
      <c r="AZ527" s="421" t="s">
        <v>3113</v>
      </c>
      <c r="BA527" s="421" t="s">
        <v>3114</v>
      </c>
      <c r="BB527" s="421" t="s">
        <v>3115</v>
      </c>
      <c r="BC527" s="421">
        <v>19350</v>
      </c>
      <c r="BD527" s="421">
        <v>59606514</v>
      </c>
      <c r="BE527" s="421">
        <v>0</v>
      </c>
      <c r="BF527" s="421">
        <v>0</v>
      </c>
      <c r="BG527" s="421">
        <v>0</v>
      </c>
      <c r="BH527" s="421">
        <v>0</v>
      </c>
      <c r="BI527" s="421" t="s">
        <v>1149</v>
      </c>
    </row>
    <row r="528" spans="1:61" x14ac:dyDescent="0.25">
      <c r="A528" s="421">
        <v>525</v>
      </c>
      <c r="B528" s="421">
        <v>2015</v>
      </c>
      <c r="C528" s="421">
        <v>9</v>
      </c>
      <c r="D528" s="421">
        <v>28</v>
      </c>
      <c r="E528" s="421" t="s">
        <v>1475</v>
      </c>
      <c r="F528" s="421" t="s">
        <v>3132</v>
      </c>
      <c r="G528" s="421" t="s">
        <v>3206</v>
      </c>
      <c r="H528" s="421" t="s">
        <v>1107</v>
      </c>
      <c r="I528" s="421" t="s">
        <v>2712</v>
      </c>
      <c r="J528" s="421" t="s">
        <v>3873</v>
      </c>
      <c r="K528" s="421" t="s">
        <v>3093</v>
      </c>
      <c r="L528" s="421" t="s">
        <v>3094</v>
      </c>
      <c r="M528" s="421" t="s">
        <v>2667</v>
      </c>
      <c r="N528" s="421" t="s">
        <v>3093</v>
      </c>
      <c r="O528" s="421" t="s">
        <v>3094</v>
      </c>
      <c r="P528" s="421" t="s">
        <v>3095</v>
      </c>
      <c r="Q528" s="421" t="s">
        <v>3113</v>
      </c>
      <c r="R528" s="421" t="s">
        <v>1108</v>
      </c>
      <c r="S528" s="421" t="s">
        <v>1108</v>
      </c>
      <c r="T528" s="421" t="s">
        <v>1130</v>
      </c>
      <c r="U528" s="421" t="s">
        <v>1112</v>
      </c>
      <c r="V528" s="421" t="s">
        <v>3097</v>
      </c>
      <c r="W528" s="421" t="s">
        <v>3098</v>
      </c>
      <c r="X528" s="421" t="s">
        <v>3099</v>
      </c>
      <c r="Y528" s="421" t="s">
        <v>1117</v>
      </c>
      <c r="Z528" s="421" t="s">
        <v>1118</v>
      </c>
      <c r="AA528" s="421" t="s">
        <v>3100</v>
      </c>
      <c r="AB528" s="421" t="s">
        <v>3101</v>
      </c>
      <c r="AC528" s="421" t="s">
        <v>3102</v>
      </c>
      <c r="AD528" s="421" t="s">
        <v>3874</v>
      </c>
      <c r="AE528" s="421" t="s">
        <v>3875</v>
      </c>
      <c r="AF528" s="421" t="s">
        <v>2236</v>
      </c>
      <c r="AG528" s="421" t="s">
        <v>2237</v>
      </c>
      <c r="AH528" s="421" t="s">
        <v>3105</v>
      </c>
      <c r="AI528" s="421">
        <v>545800</v>
      </c>
      <c r="AJ528" s="421">
        <v>976.14</v>
      </c>
      <c r="AK528" s="421">
        <v>1058.17</v>
      </c>
      <c r="AL528" s="421">
        <v>1</v>
      </c>
      <c r="AM528" s="421" t="s">
        <v>2037</v>
      </c>
      <c r="AN528" s="421" t="s">
        <v>3876</v>
      </c>
      <c r="AO528" s="421" t="s">
        <v>1121</v>
      </c>
      <c r="AP528" s="421" t="s">
        <v>1121</v>
      </c>
      <c r="AQ528" s="421" t="s">
        <v>1108</v>
      </c>
      <c r="AR528" s="421" t="s">
        <v>3832</v>
      </c>
      <c r="AS528" s="421" t="s">
        <v>3877</v>
      </c>
      <c r="AT528" s="421" t="s">
        <v>3109</v>
      </c>
      <c r="AU528" s="421" t="s">
        <v>1142</v>
      </c>
      <c r="AV528" s="421" t="s">
        <v>3130</v>
      </c>
      <c r="AW528" s="421" t="s">
        <v>3110</v>
      </c>
      <c r="AX528" s="421" t="s">
        <v>3111</v>
      </c>
      <c r="AY528" s="421" t="s">
        <v>3193</v>
      </c>
      <c r="AZ528" s="421" t="s">
        <v>3113</v>
      </c>
      <c r="BA528" s="421" t="s">
        <v>3114</v>
      </c>
      <c r="BB528" s="421" t="s">
        <v>3115</v>
      </c>
      <c r="BC528" s="421">
        <v>18075.2</v>
      </c>
      <c r="BD528" s="421">
        <v>55679569.079999998</v>
      </c>
      <c r="BE528" s="421">
        <v>0</v>
      </c>
      <c r="BF528" s="421">
        <v>0</v>
      </c>
      <c r="BG528" s="421">
        <v>0</v>
      </c>
      <c r="BH528" s="421">
        <v>0</v>
      </c>
      <c r="BI528" s="421" t="s">
        <v>1149</v>
      </c>
    </row>
    <row r="529" spans="1:61" x14ac:dyDescent="0.25">
      <c r="A529" s="421">
        <v>526</v>
      </c>
      <c r="B529" s="421">
        <v>2015</v>
      </c>
      <c r="C529" s="421">
        <v>9</v>
      </c>
      <c r="D529" s="421">
        <v>28</v>
      </c>
      <c r="E529" s="421" t="s">
        <v>1475</v>
      </c>
      <c r="F529" s="421" t="s">
        <v>3132</v>
      </c>
      <c r="G529" s="421" t="s">
        <v>3206</v>
      </c>
      <c r="H529" s="421" t="s">
        <v>1107</v>
      </c>
      <c r="I529" s="421" t="s">
        <v>2712</v>
      </c>
      <c r="J529" s="421" t="s">
        <v>3878</v>
      </c>
      <c r="K529" s="421" t="s">
        <v>3093</v>
      </c>
      <c r="L529" s="421" t="s">
        <v>3094</v>
      </c>
      <c r="M529" s="421" t="s">
        <v>2667</v>
      </c>
      <c r="N529" s="421" t="s">
        <v>3093</v>
      </c>
      <c r="O529" s="421" t="s">
        <v>3094</v>
      </c>
      <c r="P529" s="421" t="s">
        <v>3095</v>
      </c>
      <c r="Q529" s="421" t="s">
        <v>3113</v>
      </c>
      <c r="R529" s="421" t="s">
        <v>1108</v>
      </c>
      <c r="S529" s="421" t="s">
        <v>1108</v>
      </c>
      <c r="T529" s="421" t="s">
        <v>1130</v>
      </c>
      <c r="U529" s="421" t="s">
        <v>1112</v>
      </c>
      <c r="V529" s="421" t="s">
        <v>3097</v>
      </c>
      <c r="W529" s="421" t="s">
        <v>3098</v>
      </c>
      <c r="X529" s="421" t="s">
        <v>3099</v>
      </c>
      <c r="Y529" s="421" t="s">
        <v>1117</v>
      </c>
      <c r="Z529" s="421" t="s">
        <v>1118</v>
      </c>
      <c r="AA529" s="421" t="s">
        <v>3100</v>
      </c>
      <c r="AB529" s="421" t="s">
        <v>3101</v>
      </c>
      <c r="AC529" s="421" t="s">
        <v>3102</v>
      </c>
      <c r="AD529" s="421" t="s">
        <v>3125</v>
      </c>
      <c r="AE529" s="421" t="s">
        <v>3126</v>
      </c>
      <c r="AF529" s="421" t="s">
        <v>2236</v>
      </c>
      <c r="AG529" s="421" t="s">
        <v>2237</v>
      </c>
      <c r="AH529" s="421" t="s">
        <v>3105</v>
      </c>
      <c r="AI529" s="421">
        <v>1546600</v>
      </c>
      <c r="AJ529" s="421">
        <v>4047.5</v>
      </c>
      <c r="AK529" s="421">
        <v>4734.8599999999997</v>
      </c>
      <c r="AL529" s="421">
        <v>1</v>
      </c>
      <c r="AM529" s="421" t="s">
        <v>962</v>
      </c>
      <c r="AN529" s="421" t="s">
        <v>3127</v>
      </c>
      <c r="AO529" s="421" t="s">
        <v>1121</v>
      </c>
      <c r="AP529" s="421" t="s">
        <v>1121</v>
      </c>
      <c r="AQ529" s="421" t="s">
        <v>1108</v>
      </c>
      <c r="AR529" s="421" t="s">
        <v>3832</v>
      </c>
      <c r="AS529" s="421" t="s">
        <v>3879</v>
      </c>
      <c r="AT529" s="421" t="s">
        <v>3109</v>
      </c>
      <c r="AU529" s="421" t="s">
        <v>1142</v>
      </c>
      <c r="AV529" s="421" t="s">
        <v>3130</v>
      </c>
      <c r="AW529" s="421" t="s">
        <v>3110</v>
      </c>
      <c r="AX529" s="421" t="s">
        <v>3111</v>
      </c>
      <c r="AY529" s="421" t="s">
        <v>3112</v>
      </c>
      <c r="AZ529" s="421" t="s">
        <v>3113</v>
      </c>
      <c r="BA529" s="421" t="s">
        <v>3114</v>
      </c>
      <c r="BB529" s="421" t="s">
        <v>3115</v>
      </c>
      <c r="BC529" s="421">
        <v>52377.599999999999</v>
      </c>
      <c r="BD529" s="421">
        <v>161346054.13999999</v>
      </c>
      <c r="BE529" s="421">
        <v>0</v>
      </c>
      <c r="BF529" s="421">
        <v>2467.98</v>
      </c>
      <c r="BG529" s="421">
        <v>0</v>
      </c>
      <c r="BH529" s="421">
        <v>0</v>
      </c>
      <c r="BI529" s="421" t="s">
        <v>1149</v>
      </c>
    </row>
    <row r="530" spans="1:61" x14ac:dyDescent="0.25">
      <c r="A530" s="421">
        <v>527</v>
      </c>
      <c r="B530" s="421">
        <v>2015</v>
      </c>
      <c r="C530" s="421">
        <v>9</v>
      </c>
      <c r="D530" s="421">
        <v>28</v>
      </c>
      <c r="E530" s="421" t="s">
        <v>1475</v>
      </c>
      <c r="F530" s="421" t="s">
        <v>3132</v>
      </c>
      <c r="G530" s="421" t="s">
        <v>3206</v>
      </c>
      <c r="H530" s="421" t="s">
        <v>1107</v>
      </c>
      <c r="I530" s="421" t="s">
        <v>2712</v>
      </c>
      <c r="J530" s="421" t="s">
        <v>3878</v>
      </c>
      <c r="K530" s="421" t="s">
        <v>3093</v>
      </c>
      <c r="L530" s="421" t="s">
        <v>3094</v>
      </c>
      <c r="M530" s="421" t="s">
        <v>2667</v>
      </c>
      <c r="N530" s="421" t="s">
        <v>3093</v>
      </c>
      <c r="O530" s="421" t="s">
        <v>3094</v>
      </c>
      <c r="P530" s="421" t="s">
        <v>3095</v>
      </c>
      <c r="Q530" s="421" t="s">
        <v>3113</v>
      </c>
      <c r="R530" s="421" t="s">
        <v>1108</v>
      </c>
      <c r="S530" s="421" t="s">
        <v>1108</v>
      </c>
      <c r="T530" s="421" t="s">
        <v>1130</v>
      </c>
      <c r="U530" s="421" t="s">
        <v>1112</v>
      </c>
      <c r="V530" s="421" t="s">
        <v>3097</v>
      </c>
      <c r="W530" s="421" t="s">
        <v>3098</v>
      </c>
      <c r="X530" s="421" t="s">
        <v>3099</v>
      </c>
      <c r="Y530" s="421" t="s">
        <v>1117</v>
      </c>
      <c r="Z530" s="421" t="s">
        <v>1118</v>
      </c>
      <c r="AA530" s="421" t="s">
        <v>3100</v>
      </c>
      <c r="AB530" s="421" t="s">
        <v>3101</v>
      </c>
      <c r="AC530" s="421" t="s">
        <v>3102</v>
      </c>
      <c r="AD530" s="421" t="s">
        <v>3125</v>
      </c>
      <c r="AE530" s="421" t="s">
        <v>3126</v>
      </c>
      <c r="AF530" s="421" t="s">
        <v>2236</v>
      </c>
      <c r="AG530" s="421" t="s">
        <v>2237</v>
      </c>
      <c r="AH530" s="421" t="s">
        <v>3105</v>
      </c>
      <c r="AI530" s="421">
        <v>113000</v>
      </c>
      <c r="AJ530" s="421">
        <v>294.52999999999997</v>
      </c>
      <c r="AK530" s="421">
        <v>344.54</v>
      </c>
      <c r="AL530" s="421">
        <v>2</v>
      </c>
      <c r="AM530" s="421" t="s">
        <v>962</v>
      </c>
      <c r="AN530" s="421" t="s">
        <v>3127</v>
      </c>
      <c r="AO530" s="421" t="s">
        <v>1121</v>
      </c>
      <c r="AP530" s="421" t="s">
        <v>1121</v>
      </c>
      <c r="AQ530" s="421" t="s">
        <v>1108</v>
      </c>
      <c r="AR530" s="421" t="s">
        <v>3832</v>
      </c>
      <c r="AS530" s="421" t="s">
        <v>3879</v>
      </c>
      <c r="AT530" s="421" t="s">
        <v>3109</v>
      </c>
      <c r="AU530" s="421" t="s">
        <v>1142</v>
      </c>
      <c r="AV530" s="421" t="s">
        <v>3130</v>
      </c>
      <c r="AW530" s="421" t="s">
        <v>3110</v>
      </c>
      <c r="AX530" s="421" t="s">
        <v>3111</v>
      </c>
      <c r="AY530" s="421" t="s">
        <v>3112</v>
      </c>
      <c r="AZ530" s="421" t="s">
        <v>3113</v>
      </c>
      <c r="BA530" s="421" t="s">
        <v>3114</v>
      </c>
      <c r="BB530" s="421" t="s">
        <v>3115</v>
      </c>
      <c r="BC530" s="421">
        <v>4411.2</v>
      </c>
      <c r="BD530" s="421">
        <v>13588436.92</v>
      </c>
      <c r="BE530" s="421">
        <v>0</v>
      </c>
      <c r="BF530" s="421">
        <v>207.85</v>
      </c>
      <c r="BG530" s="421">
        <v>0</v>
      </c>
      <c r="BH530" s="421">
        <v>0</v>
      </c>
      <c r="BI530" s="421" t="s">
        <v>1149</v>
      </c>
    </row>
    <row r="531" spans="1:61" x14ac:dyDescent="0.25">
      <c r="A531" s="421">
        <v>528</v>
      </c>
      <c r="B531" s="421">
        <v>2015</v>
      </c>
      <c r="C531" s="421">
        <v>9</v>
      </c>
      <c r="D531" s="421">
        <v>28</v>
      </c>
      <c r="E531" s="421" t="s">
        <v>1475</v>
      </c>
      <c r="F531" s="421" t="s">
        <v>3132</v>
      </c>
      <c r="G531" s="421" t="s">
        <v>3206</v>
      </c>
      <c r="H531" s="421" t="s">
        <v>1107</v>
      </c>
      <c r="I531" s="421" t="s">
        <v>2712</v>
      </c>
      <c r="J531" s="421" t="s">
        <v>3878</v>
      </c>
      <c r="K531" s="421" t="s">
        <v>3093</v>
      </c>
      <c r="L531" s="421" t="s">
        <v>3094</v>
      </c>
      <c r="M531" s="421" t="s">
        <v>2667</v>
      </c>
      <c r="N531" s="421" t="s">
        <v>3093</v>
      </c>
      <c r="O531" s="421" t="s">
        <v>3094</v>
      </c>
      <c r="P531" s="421" t="s">
        <v>3095</v>
      </c>
      <c r="Q531" s="421" t="s">
        <v>3113</v>
      </c>
      <c r="R531" s="421" t="s">
        <v>1108</v>
      </c>
      <c r="S531" s="421" t="s">
        <v>1108</v>
      </c>
      <c r="T531" s="421" t="s">
        <v>1130</v>
      </c>
      <c r="U531" s="421" t="s">
        <v>1112</v>
      </c>
      <c r="V531" s="421" t="s">
        <v>3097</v>
      </c>
      <c r="W531" s="421" t="s">
        <v>3098</v>
      </c>
      <c r="X531" s="421" t="s">
        <v>3099</v>
      </c>
      <c r="Y531" s="421" t="s">
        <v>1117</v>
      </c>
      <c r="Z531" s="421" t="s">
        <v>1118</v>
      </c>
      <c r="AA531" s="421" t="s">
        <v>3100</v>
      </c>
      <c r="AB531" s="421" t="s">
        <v>3101</v>
      </c>
      <c r="AC531" s="421" t="s">
        <v>3102</v>
      </c>
      <c r="AD531" s="421" t="s">
        <v>3125</v>
      </c>
      <c r="AE531" s="421" t="s">
        <v>3126</v>
      </c>
      <c r="AF531" s="421" t="s">
        <v>2236</v>
      </c>
      <c r="AG531" s="421" t="s">
        <v>2237</v>
      </c>
      <c r="AH531" s="421" t="s">
        <v>3105</v>
      </c>
      <c r="AI531" s="421">
        <v>24000</v>
      </c>
      <c r="AJ531" s="421">
        <v>88.02</v>
      </c>
      <c r="AK531" s="421">
        <v>102.96</v>
      </c>
      <c r="AL531" s="421">
        <v>3</v>
      </c>
      <c r="AM531" s="421" t="s">
        <v>962</v>
      </c>
      <c r="AN531" s="421" t="s">
        <v>3127</v>
      </c>
      <c r="AO531" s="421" t="s">
        <v>1121</v>
      </c>
      <c r="AP531" s="421" t="s">
        <v>1121</v>
      </c>
      <c r="AQ531" s="421" t="s">
        <v>1108</v>
      </c>
      <c r="AR531" s="421" t="s">
        <v>3832</v>
      </c>
      <c r="AS531" s="421" t="s">
        <v>3879</v>
      </c>
      <c r="AT531" s="421" t="s">
        <v>3109</v>
      </c>
      <c r="AU531" s="421" t="s">
        <v>1142</v>
      </c>
      <c r="AV531" s="421" t="s">
        <v>3130</v>
      </c>
      <c r="AW531" s="421" t="s">
        <v>3110</v>
      </c>
      <c r="AX531" s="421" t="s">
        <v>3111</v>
      </c>
      <c r="AY531" s="421" t="s">
        <v>3112</v>
      </c>
      <c r="AZ531" s="421" t="s">
        <v>3113</v>
      </c>
      <c r="BA531" s="421" t="s">
        <v>3114</v>
      </c>
      <c r="BB531" s="421" t="s">
        <v>3115</v>
      </c>
      <c r="BC531" s="421">
        <v>2635.2</v>
      </c>
      <c r="BD531" s="421">
        <v>8117575.4800000004</v>
      </c>
      <c r="BE531" s="421">
        <v>0</v>
      </c>
      <c r="BF531" s="421">
        <v>124.17</v>
      </c>
      <c r="BG531" s="421">
        <v>0</v>
      </c>
      <c r="BH531" s="421">
        <v>0</v>
      </c>
      <c r="BI531" s="421" t="s">
        <v>1149</v>
      </c>
    </row>
    <row r="532" spans="1:61" x14ac:dyDescent="0.25">
      <c r="A532" s="421">
        <v>529</v>
      </c>
      <c r="B532" s="421">
        <v>2015</v>
      </c>
      <c r="C532" s="421">
        <v>9</v>
      </c>
      <c r="D532" s="421">
        <v>28</v>
      </c>
      <c r="E532" s="421" t="s">
        <v>1475</v>
      </c>
      <c r="F532" s="421" t="s">
        <v>3132</v>
      </c>
      <c r="G532" s="421" t="s">
        <v>3206</v>
      </c>
      <c r="H532" s="421" t="s">
        <v>1107</v>
      </c>
      <c r="I532" s="421" t="s">
        <v>2712</v>
      </c>
      <c r="J532" s="421" t="s">
        <v>3880</v>
      </c>
      <c r="K532" s="421" t="s">
        <v>3093</v>
      </c>
      <c r="L532" s="421" t="s">
        <v>3094</v>
      </c>
      <c r="M532" s="421" t="s">
        <v>2667</v>
      </c>
      <c r="N532" s="421" t="s">
        <v>3093</v>
      </c>
      <c r="O532" s="421" t="s">
        <v>3094</v>
      </c>
      <c r="P532" s="421" t="s">
        <v>3095</v>
      </c>
      <c r="Q532" s="421" t="s">
        <v>3096</v>
      </c>
      <c r="R532" s="421" t="s">
        <v>1108</v>
      </c>
      <c r="S532" s="421" t="s">
        <v>1476</v>
      </c>
      <c r="T532" s="421" t="s">
        <v>1130</v>
      </c>
      <c r="U532" s="421" t="s">
        <v>3144</v>
      </c>
      <c r="V532" s="421" t="s">
        <v>3145</v>
      </c>
      <c r="W532" s="421" t="s">
        <v>3098</v>
      </c>
      <c r="X532" s="421" t="s">
        <v>3099</v>
      </c>
      <c r="Y532" s="421" t="s">
        <v>1117</v>
      </c>
      <c r="Z532" s="421" t="s">
        <v>1118</v>
      </c>
      <c r="AA532" s="421" t="s">
        <v>3100</v>
      </c>
      <c r="AB532" s="421" t="s">
        <v>3146</v>
      </c>
      <c r="AC532" s="421" t="s">
        <v>3102</v>
      </c>
      <c r="AD532" s="421" t="s">
        <v>3881</v>
      </c>
      <c r="AE532" s="421" t="s">
        <v>3882</v>
      </c>
      <c r="AF532" s="421" t="s">
        <v>2236</v>
      </c>
      <c r="AG532" s="421" t="s">
        <v>2237</v>
      </c>
      <c r="AH532" s="421" t="s">
        <v>3105</v>
      </c>
      <c r="AI532" s="421">
        <v>304000</v>
      </c>
      <c r="AJ532" s="421">
        <v>635.96</v>
      </c>
      <c r="AK532" s="421">
        <v>684</v>
      </c>
      <c r="AL532" s="421">
        <v>1</v>
      </c>
      <c r="AM532" s="421" t="s">
        <v>963</v>
      </c>
      <c r="AN532" s="421" t="s">
        <v>3210</v>
      </c>
      <c r="AO532" s="421" t="s">
        <v>1121</v>
      </c>
      <c r="AP532" s="421" t="s">
        <v>1121</v>
      </c>
      <c r="AQ532" s="421" t="s">
        <v>1476</v>
      </c>
      <c r="AR532" s="421" t="s">
        <v>3832</v>
      </c>
      <c r="AS532" s="421" t="s">
        <v>3883</v>
      </c>
      <c r="AT532" s="421" t="s">
        <v>3109</v>
      </c>
      <c r="AU532" s="421" t="s">
        <v>1341</v>
      </c>
      <c r="AV532" s="421" t="s">
        <v>962</v>
      </c>
      <c r="AW532" s="421" t="s">
        <v>3110</v>
      </c>
      <c r="AX532" s="421" t="s">
        <v>3111</v>
      </c>
      <c r="AY532" s="421" t="s">
        <v>3112</v>
      </c>
      <c r="AZ532" s="421" t="s">
        <v>3113</v>
      </c>
      <c r="BA532" s="421" t="s">
        <v>3114</v>
      </c>
      <c r="BB532" s="421" t="s">
        <v>3115</v>
      </c>
      <c r="BC532" s="421">
        <v>9457.58</v>
      </c>
      <c r="BD532" s="421">
        <v>29133507.73</v>
      </c>
      <c r="BE532" s="421">
        <v>0</v>
      </c>
      <c r="BF532" s="421">
        <v>500</v>
      </c>
      <c r="BG532" s="421">
        <v>24.89</v>
      </c>
      <c r="BH532" s="421">
        <v>0</v>
      </c>
      <c r="BI532" s="421" t="s">
        <v>1167</v>
      </c>
    </row>
    <row r="533" spans="1:61" x14ac:dyDescent="0.25">
      <c r="A533" s="421">
        <v>530</v>
      </c>
      <c r="B533" s="421">
        <v>2015</v>
      </c>
      <c r="C533" s="421">
        <v>9</v>
      </c>
      <c r="D533" s="421">
        <v>30</v>
      </c>
      <c r="E533" s="421" t="s">
        <v>1475</v>
      </c>
      <c r="F533" s="421" t="s">
        <v>3132</v>
      </c>
      <c r="G533" s="421" t="s">
        <v>3524</v>
      </c>
      <c r="H533" s="421" t="s">
        <v>1107</v>
      </c>
      <c r="I533" s="421" t="s">
        <v>2720</v>
      </c>
      <c r="J533" s="421" t="s">
        <v>3884</v>
      </c>
      <c r="K533" s="421" t="s">
        <v>3093</v>
      </c>
      <c r="L533" s="421" t="s">
        <v>3094</v>
      </c>
      <c r="M533" s="421" t="s">
        <v>2667</v>
      </c>
      <c r="N533" s="421" t="s">
        <v>3093</v>
      </c>
      <c r="O533" s="421" t="s">
        <v>3094</v>
      </c>
      <c r="P533" s="421" t="s">
        <v>3095</v>
      </c>
      <c r="Q533" s="421" t="s">
        <v>3096</v>
      </c>
      <c r="R533" s="421" t="s">
        <v>1108</v>
      </c>
      <c r="S533" s="421" t="s">
        <v>1542</v>
      </c>
      <c r="T533" s="421" t="s">
        <v>1130</v>
      </c>
      <c r="U533" s="421" t="s">
        <v>1112</v>
      </c>
      <c r="V533" s="421" t="s">
        <v>3097</v>
      </c>
      <c r="W533" s="421" t="s">
        <v>3098</v>
      </c>
      <c r="X533" s="421" t="s">
        <v>3099</v>
      </c>
      <c r="Y533" s="421" t="s">
        <v>1117</v>
      </c>
      <c r="Z533" s="421" t="s">
        <v>1118</v>
      </c>
      <c r="AA533" s="421" t="s">
        <v>3100</v>
      </c>
      <c r="AB533" s="421" t="s">
        <v>3101</v>
      </c>
      <c r="AC533" s="421" t="s">
        <v>3102</v>
      </c>
      <c r="AD533" s="421" t="s">
        <v>3176</v>
      </c>
      <c r="AE533" s="421" t="s">
        <v>3177</v>
      </c>
      <c r="AF533" s="421" t="s">
        <v>2236</v>
      </c>
      <c r="AG533" s="421" t="s">
        <v>2237</v>
      </c>
      <c r="AH533" s="421" t="s">
        <v>3105</v>
      </c>
      <c r="AI533" s="421">
        <v>90000</v>
      </c>
      <c r="AJ533" s="421">
        <v>310.94</v>
      </c>
      <c r="AK533" s="421">
        <v>339.08</v>
      </c>
      <c r="AL533" s="421">
        <v>3</v>
      </c>
      <c r="AM533" s="421" t="s">
        <v>1547</v>
      </c>
      <c r="AN533" s="421" t="s">
        <v>3178</v>
      </c>
      <c r="AO533" s="421" t="s">
        <v>1121</v>
      </c>
      <c r="AP533" s="421" t="s">
        <v>1121</v>
      </c>
      <c r="AQ533" s="421" t="s">
        <v>1542</v>
      </c>
      <c r="AR533" s="421" t="s">
        <v>3832</v>
      </c>
      <c r="AS533" s="421" t="s">
        <v>3885</v>
      </c>
      <c r="AT533" s="421" t="s">
        <v>3109</v>
      </c>
      <c r="AU533" s="421" t="s">
        <v>1142</v>
      </c>
      <c r="AV533" s="421" t="s">
        <v>2520</v>
      </c>
      <c r="AW533" s="421" t="s">
        <v>3110</v>
      </c>
      <c r="AX533" s="421" t="s">
        <v>3111</v>
      </c>
      <c r="AY533" s="421" t="s">
        <v>3112</v>
      </c>
      <c r="AZ533" s="421" t="s">
        <v>3113</v>
      </c>
      <c r="BA533" s="421" t="s">
        <v>3114</v>
      </c>
      <c r="BB533" s="421" t="s">
        <v>3115</v>
      </c>
      <c r="BC533" s="421">
        <v>8794</v>
      </c>
      <c r="BD533" s="421">
        <v>27454340.359999999</v>
      </c>
      <c r="BE533" s="421">
        <v>0</v>
      </c>
      <c r="BF533" s="421">
        <v>369.37</v>
      </c>
      <c r="BG533" s="421">
        <v>22.91</v>
      </c>
      <c r="BH533" s="421">
        <v>0</v>
      </c>
      <c r="BI533" s="421" t="s">
        <v>1331</v>
      </c>
    </row>
    <row r="534" spans="1:61" x14ac:dyDescent="0.25">
      <c r="A534" s="421">
        <v>531</v>
      </c>
      <c r="B534" s="421">
        <v>2015</v>
      </c>
      <c r="C534" s="421">
        <v>9</v>
      </c>
      <c r="D534" s="421">
        <v>30</v>
      </c>
      <c r="E534" s="421" t="s">
        <v>1475</v>
      </c>
      <c r="F534" s="421" t="s">
        <v>3132</v>
      </c>
      <c r="G534" s="421" t="s">
        <v>3524</v>
      </c>
      <c r="H534" s="421" t="s">
        <v>1107</v>
      </c>
      <c r="I534" s="421" t="s">
        <v>2720</v>
      </c>
      <c r="J534" s="421" t="s">
        <v>3884</v>
      </c>
      <c r="K534" s="421" t="s">
        <v>3093</v>
      </c>
      <c r="L534" s="421" t="s">
        <v>3094</v>
      </c>
      <c r="M534" s="421" t="s">
        <v>2667</v>
      </c>
      <c r="N534" s="421" t="s">
        <v>3093</v>
      </c>
      <c r="O534" s="421" t="s">
        <v>3094</v>
      </c>
      <c r="P534" s="421" t="s">
        <v>3095</v>
      </c>
      <c r="Q534" s="421" t="s">
        <v>3096</v>
      </c>
      <c r="R534" s="421" t="s">
        <v>1108</v>
      </c>
      <c r="S534" s="421" t="s">
        <v>1542</v>
      </c>
      <c r="T534" s="421" t="s">
        <v>1130</v>
      </c>
      <c r="U534" s="421" t="s">
        <v>1112</v>
      </c>
      <c r="V534" s="421" t="s">
        <v>3097</v>
      </c>
      <c r="W534" s="421" t="s">
        <v>3098</v>
      </c>
      <c r="X534" s="421" t="s">
        <v>3099</v>
      </c>
      <c r="Y534" s="421" t="s">
        <v>1117</v>
      </c>
      <c r="Z534" s="421" t="s">
        <v>1118</v>
      </c>
      <c r="AA534" s="421" t="s">
        <v>3100</v>
      </c>
      <c r="AB534" s="421" t="s">
        <v>3101</v>
      </c>
      <c r="AC534" s="421" t="s">
        <v>3102</v>
      </c>
      <c r="AD534" s="421" t="s">
        <v>3176</v>
      </c>
      <c r="AE534" s="421" t="s">
        <v>3177</v>
      </c>
      <c r="AF534" s="421" t="s">
        <v>2236</v>
      </c>
      <c r="AG534" s="421" t="s">
        <v>2237</v>
      </c>
      <c r="AH534" s="421" t="s">
        <v>3105</v>
      </c>
      <c r="AI534" s="421">
        <v>25000</v>
      </c>
      <c r="AJ534" s="421">
        <v>94.82</v>
      </c>
      <c r="AK534" s="421">
        <v>103.4</v>
      </c>
      <c r="AL534" s="421">
        <v>4</v>
      </c>
      <c r="AM534" s="421" t="s">
        <v>1547</v>
      </c>
      <c r="AN534" s="421" t="s">
        <v>3178</v>
      </c>
      <c r="AO534" s="421" t="s">
        <v>1121</v>
      </c>
      <c r="AP534" s="421" t="s">
        <v>1121</v>
      </c>
      <c r="AQ534" s="421" t="s">
        <v>1542</v>
      </c>
      <c r="AR534" s="421" t="s">
        <v>3832</v>
      </c>
      <c r="AS534" s="421" t="s">
        <v>3885</v>
      </c>
      <c r="AT534" s="421" t="s">
        <v>3109</v>
      </c>
      <c r="AU534" s="421" t="s">
        <v>1142</v>
      </c>
      <c r="AV534" s="421" t="s">
        <v>2520</v>
      </c>
      <c r="AW534" s="421" t="s">
        <v>3110</v>
      </c>
      <c r="AX534" s="421" t="s">
        <v>3111</v>
      </c>
      <c r="AY534" s="421" t="s">
        <v>3112</v>
      </c>
      <c r="AZ534" s="421" t="s">
        <v>3113</v>
      </c>
      <c r="BA534" s="421" t="s">
        <v>3114</v>
      </c>
      <c r="BB534" s="421" t="s">
        <v>3115</v>
      </c>
      <c r="BC534" s="421">
        <v>2475</v>
      </c>
      <c r="BD534" s="421">
        <v>7726801.5</v>
      </c>
      <c r="BE534" s="421">
        <v>0</v>
      </c>
      <c r="BF534" s="421">
        <v>103.96</v>
      </c>
      <c r="BG534" s="421">
        <v>6.45</v>
      </c>
      <c r="BH534" s="421">
        <v>0</v>
      </c>
      <c r="BI534" s="421" t="s">
        <v>1331</v>
      </c>
    </row>
    <row r="535" spans="1:61" x14ac:dyDescent="0.25">
      <c r="A535" s="421">
        <v>532</v>
      </c>
      <c r="B535" s="421">
        <v>2015</v>
      </c>
      <c r="C535" s="421">
        <v>9</v>
      </c>
      <c r="D535" s="421">
        <v>30</v>
      </c>
      <c r="E535" s="421" t="s">
        <v>1475</v>
      </c>
      <c r="F535" s="421" t="s">
        <v>3132</v>
      </c>
      <c r="G535" s="421" t="s">
        <v>3524</v>
      </c>
      <c r="H535" s="421" t="s">
        <v>1107</v>
      </c>
      <c r="I535" s="421" t="s">
        <v>2720</v>
      </c>
      <c r="J535" s="421" t="s">
        <v>3884</v>
      </c>
      <c r="K535" s="421" t="s">
        <v>3093</v>
      </c>
      <c r="L535" s="421" t="s">
        <v>3094</v>
      </c>
      <c r="M535" s="421" t="s">
        <v>2667</v>
      </c>
      <c r="N535" s="421" t="s">
        <v>3093</v>
      </c>
      <c r="O535" s="421" t="s">
        <v>3094</v>
      </c>
      <c r="P535" s="421" t="s">
        <v>3095</v>
      </c>
      <c r="Q535" s="421" t="s">
        <v>3096</v>
      </c>
      <c r="R535" s="421" t="s">
        <v>1108</v>
      </c>
      <c r="S535" s="421" t="s">
        <v>1542</v>
      </c>
      <c r="T535" s="421" t="s">
        <v>1130</v>
      </c>
      <c r="U535" s="421" t="s">
        <v>1112</v>
      </c>
      <c r="V535" s="421" t="s">
        <v>3097</v>
      </c>
      <c r="W535" s="421" t="s">
        <v>3098</v>
      </c>
      <c r="X535" s="421" t="s">
        <v>3099</v>
      </c>
      <c r="Y535" s="421" t="s">
        <v>1117</v>
      </c>
      <c r="Z535" s="421" t="s">
        <v>1118</v>
      </c>
      <c r="AA535" s="421" t="s">
        <v>3100</v>
      </c>
      <c r="AB535" s="421" t="s">
        <v>3101</v>
      </c>
      <c r="AC535" s="421" t="s">
        <v>3102</v>
      </c>
      <c r="AD535" s="421" t="s">
        <v>3176</v>
      </c>
      <c r="AE535" s="421" t="s">
        <v>3177</v>
      </c>
      <c r="AF535" s="421" t="s">
        <v>2236</v>
      </c>
      <c r="AG535" s="421" t="s">
        <v>2237</v>
      </c>
      <c r="AH535" s="421" t="s">
        <v>3105</v>
      </c>
      <c r="AI535" s="421">
        <v>10000</v>
      </c>
      <c r="AJ535" s="421">
        <v>35.96</v>
      </c>
      <c r="AK535" s="421">
        <v>39.21</v>
      </c>
      <c r="AL535" s="421">
        <v>2</v>
      </c>
      <c r="AM535" s="421" t="s">
        <v>1547</v>
      </c>
      <c r="AN535" s="421" t="s">
        <v>3178</v>
      </c>
      <c r="AO535" s="421" t="s">
        <v>1121</v>
      </c>
      <c r="AP535" s="421" t="s">
        <v>1121</v>
      </c>
      <c r="AQ535" s="421" t="s">
        <v>1542</v>
      </c>
      <c r="AR535" s="421" t="s">
        <v>3832</v>
      </c>
      <c r="AS535" s="421" t="s">
        <v>3885</v>
      </c>
      <c r="AT535" s="421" t="s">
        <v>3109</v>
      </c>
      <c r="AU535" s="421" t="s">
        <v>1142</v>
      </c>
      <c r="AV535" s="421" t="s">
        <v>2520</v>
      </c>
      <c r="AW535" s="421" t="s">
        <v>3110</v>
      </c>
      <c r="AX535" s="421" t="s">
        <v>3111</v>
      </c>
      <c r="AY535" s="421" t="s">
        <v>3112</v>
      </c>
      <c r="AZ535" s="421" t="s">
        <v>3113</v>
      </c>
      <c r="BA535" s="421" t="s">
        <v>3114</v>
      </c>
      <c r="BB535" s="421" t="s">
        <v>3115</v>
      </c>
      <c r="BC535" s="421">
        <v>505</v>
      </c>
      <c r="BD535" s="421">
        <v>1576579.7</v>
      </c>
      <c r="BE535" s="421">
        <v>0</v>
      </c>
      <c r="BF535" s="421">
        <v>21.21</v>
      </c>
      <c r="BG535" s="421">
        <v>1.32</v>
      </c>
      <c r="BH535" s="421">
        <v>0</v>
      </c>
      <c r="BI535" s="421" t="s">
        <v>1331</v>
      </c>
    </row>
    <row r="536" spans="1:61" x14ac:dyDescent="0.25">
      <c r="A536" s="421">
        <v>533</v>
      </c>
      <c r="B536" s="421">
        <v>2015</v>
      </c>
      <c r="C536" s="421">
        <v>9</v>
      </c>
      <c r="D536" s="421">
        <v>30</v>
      </c>
      <c r="E536" s="421" t="s">
        <v>1475</v>
      </c>
      <c r="F536" s="421" t="s">
        <v>3132</v>
      </c>
      <c r="G536" s="421" t="s">
        <v>3524</v>
      </c>
      <c r="H536" s="421" t="s">
        <v>1107</v>
      </c>
      <c r="I536" s="421" t="s">
        <v>2720</v>
      </c>
      <c r="J536" s="421" t="s">
        <v>3884</v>
      </c>
      <c r="K536" s="421" t="s">
        <v>3093</v>
      </c>
      <c r="L536" s="421" t="s">
        <v>3094</v>
      </c>
      <c r="M536" s="421" t="s">
        <v>2667</v>
      </c>
      <c r="N536" s="421" t="s">
        <v>3093</v>
      </c>
      <c r="O536" s="421" t="s">
        <v>3094</v>
      </c>
      <c r="P536" s="421" t="s">
        <v>3095</v>
      </c>
      <c r="Q536" s="421" t="s">
        <v>3096</v>
      </c>
      <c r="R536" s="421" t="s">
        <v>1108</v>
      </c>
      <c r="S536" s="421" t="s">
        <v>1542</v>
      </c>
      <c r="T536" s="421" t="s">
        <v>1130</v>
      </c>
      <c r="U536" s="421" t="s">
        <v>1112</v>
      </c>
      <c r="V536" s="421" t="s">
        <v>3097</v>
      </c>
      <c r="W536" s="421" t="s">
        <v>3098</v>
      </c>
      <c r="X536" s="421" t="s">
        <v>3099</v>
      </c>
      <c r="Y536" s="421" t="s">
        <v>1117</v>
      </c>
      <c r="Z536" s="421" t="s">
        <v>1118</v>
      </c>
      <c r="AA536" s="421" t="s">
        <v>3100</v>
      </c>
      <c r="AB536" s="421" t="s">
        <v>3101</v>
      </c>
      <c r="AC536" s="421" t="s">
        <v>3102</v>
      </c>
      <c r="AD536" s="421" t="s">
        <v>3176</v>
      </c>
      <c r="AE536" s="421" t="s">
        <v>3177</v>
      </c>
      <c r="AF536" s="421" t="s">
        <v>2236</v>
      </c>
      <c r="AG536" s="421" t="s">
        <v>2237</v>
      </c>
      <c r="AH536" s="421" t="s">
        <v>3105</v>
      </c>
      <c r="AI536" s="421">
        <v>608000</v>
      </c>
      <c r="AJ536" s="421">
        <v>747.56</v>
      </c>
      <c r="AK536" s="421">
        <v>815.23</v>
      </c>
      <c r="AL536" s="421">
        <v>1</v>
      </c>
      <c r="AM536" s="421" t="s">
        <v>1547</v>
      </c>
      <c r="AN536" s="421" t="s">
        <v>3178</v>
      </c>
      <c r="AO536" s="421" t="s">
        <v>1121</v>
      </c>
      <c r="AP536" s="421" t="s">
        <v>1121</v>
      </c>
      <c r="AQ536" s="421" t="s">
        <v>1542</v>
      </c>
      <c r="AR536" s="421" t="s">
        <v>3832</v>
      </c>
      <c r="AS536" s="421" t="s">
        <v>3885</v>
      </c>
      <c r="AT536" s="421" t="s">
        <v>3109</v>
      </c>
      <c r="AU536" s="421" t="s">
        <v>1142</v>
      </c>
      <c r="AV536" s="421" t="s">
        <v>2520</v>
      </c>
      <c r="AW536" s="421" t="s">
        <v>3110</v>
      </c>
      <c r="AX536" s="421" t="s">
        <v>3111</v>
      </c>
      <c r="AY536" s="421" t="s">
        <v>3112</v>
      </c>
      <c r="AZ536" s="421" t="s">
        <v>3113</v>
      </c>
      <c r="BA536" s="421" t="s">
        <v>3114</v>
      </c>
      <c r="BB536" s="421" t="s">
        <v>3115</v>
      </c>
      <c r="BC536" s="421">
        <v>12748.4</v>
      </c>
      <c r="BD536" s="421">
        <v>39799739.890000001</v>
      </c>
      <c r="BE536" s="421">
        <v>0</v>
      </c>
      <c r="BF536" s="421">
        <v>535.46</v>
      </c>
      <c r="BG536" s="421">
        <v>33.21</v>
      </c>
      <c r="BH536" s="421">
        <v>0</v>
      </c>
      <c r="BI536" s="421" t="s">
        <v>1331</v>
      </c>
    </row>
    <row r="537" spans="1:61" x14ac:dyDescent="0.25">
      <c r="A537" s="421">
        <v>534</v>
      </c>
      <c r="B537" s="421">
        <v>2015</v>
      </c>
      <c r="C537" s="421">
        <v>10</v>
      </c>
      <c r="D537" s="421">
        <v>6</v>
      </c>
      <c r="E537" s="421" t="s">
        <v>1475</v>
      </c>
      <c r="F537" s="421" t="s">
        <v>3480</v>
      </c>
      <c r="G537" s="421" t="s">
        <v>3360</v>
      </c>
      <c r="H537" s="421" t="s">
        <v>1107</v>
      </c>
      <c r="I537" s="421" t="s">
        <v>2761</v>
      </c>
      <c r="J537" s="421" t="s">
        <v>3886</v>
      </c>
      <c r="K537" s="421" t="s">
        <v>3093</v>
      </c>
      <c r="L537" s="421" t="s">
        <v>3094</v>
      </c>
      <c r="M537" s="421" t="s">
        <v>2667</v>
      </c>
      <c r="N537" s="421" t="s">
        <v>3093</v>
      </c>
      <c r="O537" s="421" t="s">
        <v>3094</v>
      </c>
      <c r="P537" s="421" t="s">
        <v>3095</v>
      </c>
      <c r="Q537" s="421" t="s">
        <v>3113</v>
      </c>
      <c r="R537" s="421" t="s">
        <v>1108</v>
      </c>
      <c r="S537" s="421" t="s">
        <v>1108</v>
      </c>
      <c r="T537" s="421" t="s">
        <v>1130</v>
      </c>
      <c r="U537" s="421" t="s">
        <v>1112</v>
      </c>
      <c r="V537" s="421" t="s">
        <v>3097</v>
      </c>
      <c r="W537" s="421" t="s">
        <v>3098</v>
      </c>
      <c r="X537" s="421" t="s">
        <v>3099</v>
      </c>
      <c r="Y537" s="421" t="s">
        <v>1117</v>
      </c>
      <c r="Z537" s="421" t="s">
        <v>1118</v>
      </c>
      <c r="AA537" s="421" t="s">
        <v>3100</v>
      </c>
      <c r="AB537" s="421" t="s">
        <v>3101</v>
      </c>
      <c r="AC537" s="421" t="s">
        <v>3102</v>
      </c>
      <c r="AD537" s="421" t="s">
        <v>3134</v>
      </c>
      <c r="AE537" s="421" t="s">
        <v>3741</v>
      </c>
      <c r="AF537" s="421" t="s">
        <v>2236</v>
      </c>
      <c r="AG537" s="421" t="s">
        <v>2237</v>
      </c>
      <c r="AH537" s="421" t="s">
        <v>3105</v>
      </c>
      <c r="AI537" s="421">
        <v>113060</v>
      </c>
      <c r="AJ537" s="421">
        <v>168.28</v>
      </c>
      <c r="AK537" s="421">
        <v>182.97</v>
      </c>
      <c r="AL537" s="421">
        <v>2</v>
      </c>
      <c r="AM537" s="421" t="s">
        <v>3136</v>
      </c>
      <c r="AN537" s="421" t="s">
        <v>3742</v>
      </c>
      <c r="AO537" s="421" t="s">
        <v>1121</v>
      </c>
      <c r="AP537" s="421" t="s">
        <v>1121</v>
      </c>
      <c r="AQ537" s="421" t="s">
        <v>1108</v>
      </c>
      <c r="AR537" s="421" t="s">
        <v>3832</v>
      </c>
      <c r="AS537" s="421" t="s">
        <v>3887</v>
      </c>
      <c r="AT537" s="421" t="s">
        <v>3109</v>
      </c>
      <c r="AU537" s="421" t="s">
        <v>1142</v>
      </c>
      <c r="AV537" s="421" t="s">
        <v>3130</v>
      </c>
      <c r="AW537" s="421" t="s">
        <v>3110</v>
      </c>
      <c r="AX537" s="421" t="s">
        <v>3111</v>
      </c>
      <c r="AY537" s="421" t="s">
        <v>3193</v>
      </c>
      <c r="AZ537" s="421" t="s">
        <v>3113</v>
      </c>
      <c r="BA537" s="421" t="s">
        <v>3114</v>
      </c>
      <c r="BB537" s="421" t="s">
        <v>3115</v>
      </c>
      <c r="BC537" s="421">
        <v>4382.6000000000004</v>
      </c>
      <c r="BD537" s="421">
        <v>13021361.99</v>
      </c>
      <c r="BE537" s="421">
        <v>0</v>
      </c>
      <c r="BF537" s="421">
        <v>0</v>
      </c>
      <c r="BG537" s="421">
        <v>0</v>
      </c>
      <c r="BH537" s="421">
        <v>0</v>
      </c>
      <c r="BI537" s="421" t="s">
        <v>1149</v>
      </c>
    </row>
    <row r="538" spans="1:61" x14ac:dyDescent="0.25">
      <c r="A538" s="421">
        <v>535</v>
      </c>
      <c r="B538" s="421">
        <v>2015</v>
      </c>
      <c r="C538" s="421">
        <v>10</v>
      </c>
      <c r="D538" s="421">
        <v>6</v>
      </c>
      <c r="E538" s="421" t="s">
        <v>1475</v>
      </c>
      <c r="F538" s="421" t="s">
        <v>3480</v>
      </c>
      <c r="G538" s="421" t="s">
        <v>3360</v>
      </c>
      <c r="H538" s="421" t="s">
        <v>1107</v>
      </c>
      <c r="I538" s="421" t="s">
        <v>2761</v>
      </c>
      <c r="J538" s="421" t="s">
        <v>3886</v>
      </c>
      <c r="K538" s="421" t="s">
        <v>3093</v>
      </c>
      <c r="L538" s="421" t="s">
        <v>3094</v>
      </c>
      <c r="M538" s="421" t="s">
        <v>2667</v>
      </c>
      <c r="N538" s="421" t="s">
        <v>3093</v>
      </c>
      <c r="O538" s="421" t="s">
        <v>3094</v>
      </c>
      <c r="P538" s="421" t="s">
        <v>3095</v>
      </c>
      <c r="Q538" s="421" t="s">
        <v>3113</v>
      </c>
      <c r="R538" s="421" t="s">
        <v>1108</v>
      </c>
      <c r="S538" s="421" t="s">
        <v>1108</v>
      </c>
      <c r="T538" s="421" t="s">
        <v>1130</v>
      </c>
      <c r="U538" s="421" t="s">
        <v>1112</v>
      </c>
      <c r="V538" s="421" t="s">
        <v>3097</v>
      </c>
      <c r="W538" s="421" t="s">
        <v>3098</v>
      </c>
      <c r="X538" s="421" t="s">
        <v>3099</v>
      </c>
      <c r="Y538" s="421" t="s">
        <v>1117</v>
      </c>
      <c r="Z538" s="421" t="s">
        <v>1118</v>
      </c>
      <c r="AA538" s="421" t="s">
        <v>3100</v>
      </c>
      <c r="AB538" s="421" t="s">
        <v>3101</v>
      </c>
      <c r="AC538" s="421" t="s">
        <v>3102</v>
      </c>
      <c r="AD538" s="421" t="s">
        <v>3134</v>
      </c>
      <c r="AE538" s="421" t="s">
        <v>3741</v>
      </c>
      <c r="AF538" s="421" t="s">
        <v>2236</v>
      </c>
      <c r="AG538" s="421" t="s">
        <v>2237</v>
      </c>
      <c r="AH538" s="421" t="s">
        <v>3105</v>
      </c>
      <c r="AI538" s="421">
        <v>193080</v>
      </c>
      <c r="AJ538" s="421">
        <v>791.93</v>
      </c>
      <c r="AK538" s="421">
        <v>861.07</v>
      </c>
      <c r="AL538" s="421">
        <v>3</v>
      </c>
      <c r="AM538" s="421" t="s">
        <v>3136</v>
      </c>
      <c r="AN538" s="421" t="s">
        <v>3742</v>
      </c>
      <c r="AO538" s="421" t="s">
        <v>1121</v>
      </c>
      <c r="AP538" s="421" t="s">
        <v>1121</v>
      </c>
      <c r="AQ538" s="421" t="s">
        <v>1108</v>
      </c>
      <c r="AR538" s="421" t="s">
        <v>3832</v>
      </c>
      <c r="AS538" s="421" t="s">
        <v>3887</v>
      </c>
      <c r="AT538" s="421" t="s">
        <v>3109</v>
      </c>
      <c r="AU538" s="421" t="s">
        <v>1142</v>
      </c>
      <c r="AV538" s="421" t="s">
        <v>3130</v>
      </c>
      <c r="AW538" s="421" t="s">
        <v>3110</v>
      </c>
      <c r="AX538" s="421" t="s">
        <v>3111</v>
      </c>
      <c r="AY538" s="421" t="s">
        <v>3193</v>
      </c>
      <c r="AZ538" s="421" t="s">
        <v>3113</v>
      </c>
      <c r="BA538" s="421" t="s">
        <v>3114</v>
      </c>
      <c r="BB538" s="421" t="s">
        <v>3115</v>
      </c>
      <c r="BC538" s="421">
        <v>20734.900000000001</v>
      </c>
      <c r="BD538" s="421">
        <v>61606498.130000003</v>
      </c>
      <c r="BE538" s="421">
        <v>0</v>
      </c>
      <c r="BF538" s="421">
        <v>0</v>
      </c>
      <c r="BG538" s="421">
        <v>0</v>
      </c>
      <c r="BH538" s="421">
        <v>0</v>
      </c>
      <c r="BI538" s="421" t="s">
        <v>1149</v>
      </c>
    </row>
    <row r="539" spans="1:61" x14ac:dyDescent="0.25">
      <c r="A539" s="421">
        <v>536</v>
      </c>
      <c r="B539" s="421">
        <v>2015</v>
      </c>
      <c r="C539" s="421">
        <v>10</v>
      </c>
      <c r="D539" s="421">
        <v>6</v>
      </c>
      <c r="E539" s="421" t="s">
        <v>1475</v>
      </c>
      <c r="F539" s="421" t="s">
        <v>3480</v>
      </c>
      <c r="G539" s="421" t="s">
        <v>3360</v>
      </c>
      <c r="H539" s="421" t="s">
        <v>1107</v>
      </c>
      <c r="I539" s="421" t="s">
        <v>2761</v>
      </c>
      <c r="J539" s="421" t="s">
        <v>3886</v>
      </c>
      <c r="K539" s="421" t="s">
        <v>3093</v>
      </c>
      <c r="L539" s="421" t="s">
        <v>3094</v>
      </c>
      <c r="M539" s="421" t="s">
        <v>2667</v>
      </c>
      <c r="N539" s="421" t="s">
        <v>3093</v>
      </c>
      <c r="O539" s="421" t="s">
        <v>3094</v>
      </c>
      <c r="P539" s="421" t="s">
        <v>3095</v>
      </c>
      <c r="Q539" s="421" t="s">
        <v>3113</v>
      </c>
      <c r="R539" s="421" t="s">
        <v>1108</v>
      </c>
      <c r="S539" s="421" t="s">
        <v>1108</v>
      </c>
      <c r="T539" s="421" t="s">
        <v>1130</v>
      </c>
      <c r="U539" s="421" t="s">
        <v>1112</v>
      </c>
      <c r="V539" s="421" t="s">
        <v>3097</v>
      </c>
      <c r="W539" s="421" t="s">
        <v>3098</v>
      </c>
      <c r="X539" s="421" t="s">
        <v>3099</v>
      </c>
      <c r="Y539" s="421" t="s">
        <v>1117</v>
      </c>
      <c r="Z539" s="421" t="s">
        <v>1118</v>
      </c>
      <c r="AA539" s="421" t="s">
        <v>3100</v>
      </c>
      <c r="AB539" s="421" t="s">
        <v>3101</v>
      </c>
      <c r="AC539" s="421" t="s">
        <v>3102</v>
      </c>
      <c r="AD539" s="421" t="s">
        <v>3134</v>
      </c>
      <c r="AE539" s="421" t="s">
        <v>3741</v>
      </c>
      <c r="AF539" s="421" t="s">
        <v>2236</v>
      </c>
      <c r="AG539" s="421" t="s">
        <v>2237</v>
      </c>
      <c r="AH539" s="421" t="s">
        <v>3105</v>
      </c>
      <c r="AI539" s="421">
        <v>1440</v>
      </c>
      <c r="AJ539" s="421">
        <v>10.79</v>
      </c>
      <c r="AK539" s="421">
        <v>11.73</v>
      </c>
      <c r="AL539" s="421">
        <v>4</v>
      </c>
      <c r="AM539" s="421" t="s">
        <v>3136</v>
      </c>
      <c r="AN539" s="421" t="s">
        <v>3742</v>
      </c>
      <c r="AO539" s="421" t="s">
        <v>1121</v>
      </c>
      <c r="AP539" s="421" t="s">
        <v>1121</v>
      </c>
      <c r="AQ539" s="421" t="s">
        <v>1108</v>
      </c>
      <c r="AR539" s="421" t="s">
        <v>3832</v>
      </c>
      <c r="AS539" s="421" t="s">
        <v>3887</v>
      </c>
      <c r="AT539" s="421" t="s">
        <v>3109</v>
      </c>
      <c r="AU539" s="421" t="s">
        <v>1142</v>
      </c>
      <c r="AV539" s="421" t="s">
        <v>3130</v>
      </c>
      <c r="AW539" s="421" t="s">
        <v>3110</v>
      </c>
      <c r="AX539" s="421" t="s">
        <v>3111</v>
      </c>
      <c r="AY539" s="421" t="s">
        <v>3193</v>
      </c>
      <c r="AZ539" s="421" t="s">
        <v>3113</v>
      </c>
      <c r="BA539" s="421" t="s">
        <v>3114</v>
      </c>
      <c r="BB539" s="421" t="s">
        <v>3115</v>
      </c>
      <c r="BC539" s="421">
        <v>130.80000000000001</v>
      </c>
      <c r="BD539" s="421">
        <v>388626.42</v>
      </c>
      <c r="BE539" s="421">
        <v>0</v>
      </c>
      <c r="BF539" s="421">
        <v>0</v>
      </c>
      <c r="BG539" s="421">
        <v>0</v>
      </c>
      <c r="BH539" s="421">
        <v>0</v>
      </c>
      <c r="BI539" s="421" t="s">
        <v>1149</v>
      </c>
    </row>
    <row r="540" spans="1:61" x14ac:dyDescent="0.25">
      <c r="A540" s="421">
        <v>537</v>
      </c>
      <c r="B540" s="421">
        <v>2015</v>
      </c>
      <c r="C540" s="421">
        <v>10</v>
      </c>
      <c r="D540" s="421">
        <v>6</v>
      </c>
      <c r="E540" s="421" t="s">
        <v>1475</v>
      </c>
      <c r="F540" s="421" t="s">
        <v>3480</v>
      </c>
      <c r="G540" s="421" t="s">
        <v>3360</v>
      </c>
      <c r="H540" s="421" t="s">
        <v>1107</v>
      </c>
      <c r="I540" s="421" t="s">
        <v>2761</v>
      </c>
      <c r="J540" s="421" t="s">
        <v>3888</v>
      </c>
      <c r="K540" s="421" t="s">
        <v>3093</v>
      </c>
      <c r="L540" s="421" t="s">
        <v>3094</v>
      </c>
      <c r="M540" s="421" t="s">
        <v>2667</v>
      </c>
      <c r="N540" s="421" t="s">
        <v>3093</v>
      </c>
      <c r="O540" s="421" t="s">
        <v>3094</v>
      </c>
      <c r="P540" s="421" t="s">
        <v>3095</v>
      </c>
      <c r="Q540" s="421" t="s">
        <v>3113</v>
      </c>
      <c r="R540" s="421" t="s">
        <v>1108</v>
      </c>
      <c r="S540" s="421" t="s">
        <v>1108</v>
      </c>
      <c r="T540" s="421" t="s">
        <v>1130</v>
      </c>
      <c r="U540" s="421" t="s">
        <v>1112</v>
      </c>
      <c r="V540" s="421" t="s">
        <v>3097</v>
      </c>
      <c r="W540" s="421" t="s">
        <v>3098</v>
      </c>
      <c r="X540" s="421" t="s">
        <v>3099</v>
      </c>
      <c r="Y540" s="421" t="s">
        <v>1117</v>
      </c>
      <c r="Z540" s="421" t="s">
        <v>1118</v>
      </c>
      <c r="AA540" s="421" t="s">
        <v>3100</v>
      </c>
      <c r="AB540" s="421" t="s">
        <v>3101</v>
      </c>
      <c r="AC540" s="421" t="s">
        <v>3102</v>
      </c>
      <c r="AD540" s="421" t="s">
        <v>3134</v>
      </c>
      <c r="AE540" s="421" t="s">
        <v>3741</v>
      </c>
      <c r="AF540" s="421" t="s">
        <v>1392</v>
      </c>
      <c r="AG540" s="421" t="s">
        <v>1393</v>
      </c>
      <c r="AH540" s="421" t="s">
        <v>3105</v>
      </c>
      <c r="AI540" s="421">
        <v>3</v>
      </c>
      <c r="AJ540" s="421">
        <v>5.89</v>
      </c>
      <c r="AK540" s="421">
        <v>6.91</v>
      </c>
      <c r="AL540" s="421">
        <v>2</v>
      </c>
      <c r="AM540" s="421" t="s">
        <v>3136</v>
      </c>
      <c r="AN540" s="421" t="s">
        <v>3742</v>
      </c>
      <c r="AO540" s="421" t="s">
        <v>1121</v>
      </c>
      <c r="AP540" s="421" t="s">
        <v>1121</v>
      </c>
      <c r="AQ540" s="421" t="s">
        <v>1108</v>
      </c>
      <c r="AR540" s="421" t="s">
        <v>3832</v>
      </c>
      <c r="AS540" s="421" t="s">
        <v>3889</v>
      </c>
      <c r="AT540" s="421" t="s">
        <v>3109</v>
      </c>
      <c r="AU540" s="421" t="s">
        <v>1142</v>
      </c>
      <c r="AV540" s="421" t="s">
        <v>3130</v>
      </c>
      <c r="AW540" s="421" t="s">
        <v>3110</v>
      </c>
      <c r="AX540" s="421" t="s">
        <v>3111</v>
      </c>
      <c r="AY540" s="421" t="s">
        <v>3193</v>
      </c>
      <c r="AZ540" s="421" t="s">
        <v>3113</v>
      </c>
      <c r="BA540" s="421" t="s">
        <v>3114</v>
      </c>
      <c r="BB540" s="421" t="s">
        <v>3115</v>
      </c>
      <c r="BC540" s="421">
        <v>385.2</v>
      </c>
      <c r="BD540" s="421">
        <v>1144486.98</v>
      </c>
      <c r="BE540" s="421">
        <v>0</v>
      </c>
      <c r="BF540" s="421">
        <v>0</v>
      </c>
      <c r="BG540" s="421">
        <v>0</v>
      </c>
      <c r="BH540" s="421">
        <v>0</v>
      </c>
      <c r="BI540" s="421" t="s">
        <v>1149</v>
      </c>
    </row>
    <row r="541" spans="1:61" x14ac:dyDescent="0.25">
      <c r="A541" s="421">
        <v>538</v>
      </c>
      <c r="B541" s="421">
        <v>2015</v>
      </c>
      <c r="C541" s="421">
        <v>10</v>
      </c>
      <c r="D541" s="421">
        <v>6</v>
      </c>
      <c r="E541" s="421" t="s">
        <v>1475</v>
      </c>
      <c r="F541" s="421" t="s">
        <v>3480</v>
      </c>
      <c r="G541" s="421" t="s">
        <v>3360</v>
      </c>
      <c r="H541" s="421" t="s">
        <v>1107</v>
      </c>
      <c r="I541" s="421" t="s">
        <v>2761</v>
      </c>
      <c r="J541" s="421" t="s">
        <v>3886</v>
      </c>
      <c r="K541" s="421" t="s">
        <v>3093</v>
      </c>
      <c r="L541" s="421" t="s">
        <v>3094</v>
      </c>
      <c r="M541" s="421" t="s">
        <v>2667</v>
      </c>
      <c r="N541" s="421" t="s">
        <v>3093</v>
      </c>
      <c r="O541" s="421" t="s">
        <v>3094</v>
      </c>
      <c r="P541" s="421" t="s">
        <v>3095</v>
      </c>
      <c r="Q541" s="421" t="s">
        <v>3113</v>
      </c>
      <c r="R541" s="421" t="s">
        <v>1108</v>
      </c>
      <c r="S541" s="421" t="s">
        <v>1108</v>
      </c>
      <c r="T541" s="421" t="s">
        <v>1130</v>
      </c>
      <c r="U541" s="421" t="s">
        <v>1112</v>
      </c>
      <c r="V541" s="421" t="s">
        <v>3097</v>
      </c>
      <c r="W541" s="421" t="s">
        <v>3098</v>
      </c>
      <c r="X541" s="421" t="s">
        <v>3099</v>
      </c>
      <c r="Y541" s="421" t="s">
        <v>1117</v>
      </c>
      <c r="Z541" s="421" t="s">
        <v>1118</v>
      </c>
      <c r="AA541" s="421" t="s">
        <v>3100</v>
      </c>
      <c r="AB541" s="421" t="s">
        <v>3101</v>
      </c>
      <c r="AC541" s="421" t="s">
        <v>3102</v>
      </c>
      <c r="AD541" s="421" t="s">
        <v>3134</v>
      </c>
      <c r="AE541" s="421" t="s">
        <v>3741</v>
      </c>
      <c r="AF541" s="421" t="s">
        <v>2236</v>
      </c>
      <c r="AG541" s="421" t="s">
        <v>2237</v>
      </c>
      <c r="AH541" s="421" t="s">
        <v>3105</v>
      </c>
      <c r="AI541" s="421">
        <v>928460</v>
      </c>
      <c r="AJ541" s="421">
        <v>1947.66</v>
      </c>
      <c r="AK541" s="421">
        <v>2117.6999999999998</v>
      </c>
      <c r="AL541" s="421">
        <v>1</v>
      </c>
      <c r="AM541" s="421" t="s">
        <v>3136</v>
      </c>
      <c r="AN541" s="421" t="s">
        <v>3742</v>
      </c>
      <c r="AO541" s="421" t="s">
        <v>1121</v>
      </c>
      <c r="AP541" s="421" t="s">
        <v>1121</v>
      </c>
      <c r="AQ541" s="421" t="s">
        <v>1108</v>
      </c>
      <c r="AR541" s="421" t="s">
        <v>3832</v>
      </c>
      <c r="AS541" s="421" t="s">
        <v>3887</v>
      </c>
      <c r="AT541" s="421" t="s">
        <v>3109</v>
      </c>
      <c r="AU541" s="421" t="s">
        <v>1142</v>
      </c>
      <c r="AV541" s="421" t="s">
        <v>3130</v>
      </c>
      <c r="AW541" s="421" t="s">
        <v>3110</v>
      </c>
      <c r="AX541" s="421" t="s">
        <v>3111</v>
      </c>
      <c r="AY541" s="421" t="s">
        <v>3193</v>
      </c>
      <c r="AZ541" s="421" t="s">
        <v>3113</v>
      </c>
      <c r="BA541" s="421" t="s">
        <v>3114</v>
      </c>
      <c r="BB541" s="421" t="s">
        <v>3115</v>
      </c>
      <c r="BC541" s="421">
        <v>31305.1</v>
      </c>
      <c r="BD541" s="421">
        <v>93012147.859999999</v>
      </c>
      <c r="BE541" s="421">
        <v>0</v>
      </c>
      <c r="BF541" s="421">
        <v>0</v>
      </c>
      <c r="BG541" s="421">
        <v>0</v>
      </c>
      <c r="BH541" s="421">
        <v>0</v>
      </c>
      <c r="BI541" s="421" t="s">
        <v>1149</v>
      </c>
    </row>
    <row r="542" spans="1:61" x14ac:dyDescent="0.25">
      <c r="A542" s="421">
        <v>539</v>
      </c>
      <c r="B542" s="421">
        <v>2015</v>
      </c>
      <c r="C542" s="421">
        <v>10</v>
      </c>
      <c r="D542" s="421">
        <v>6</v>
      </c>
      <c r="E542" s="421" t="s">
        <v>1475</v>
      </c>
      <c r="F542" s="421" t="s">
        <v>3480</v>
      </c>
      <c r="G542" s="421" t="s">
        <v>3360</v>
      </c>
      <c r="H542" s="421" t="s">
        <v>1107</v>
      </c>
      <c r="I542" s="421" t="s">
        <v>2761</v>
      </c>
      <c r="J542" s="421" t="s">
        <v>3888</v>
      </c>
      <c r="K542" s="421" t="s">
        <v>3093</v>
      </c>
      <c r="L542" s="421" t="s">
        <v>3094</v>
      </c>
      <c r="M542" s="421" t="s">
        <v>2667</v>
      </c>
      <c r="N542" s="421" t="s">
        <v>3093</v>
      </c>
      <c r="O542" s="421" t="s">
        <v>3094</v>
      </c>
      <c r="P542" s="421" t="s">
        <v>3095</v>
      </c>
      <c r="Q542" s="421" t="s">
        <v>3113</v>
      </c>
      <c r="R542" s="421" t="s">
        <v>1108</v>
      </c>
      <c r="S542" s="421" t="s">
        <v>1108</v>
      </c>
      <c r="T542" s="421" t="s">
        <v>1130</v>
      </c>
      <c r="U542" s="421" t="s">
        <v>1112</v>
      </c>
      <c r="V542" s="421" t="s">
        <v>3097</v>
      </c>
      <c r="W542" s="421" t="s">
        <v>3098</v>
      </c>
      <c r="X542" s="421" t="s">
        <v>3099</v>
      </c>
      <c r="Y542" s="421" t="s">
        <v>1117</v>
      </c>
      <c r="Z542" s="421" t="s">
        <v>1118</v>
      </c>
      <c r="AA542" s="421" t="s">
        <v>3100</v>
      </c>
      <c r="AB542" s="421" t="s">
        <v>3101</v>
      </c>
      <c r="AC542" s="421" t="s">
        <v>3102</v>
      </c>
      <c r="AD542" s="421" t="s">
        <v>3134</v>
      </c>
      <c r="AE542" s="421" t="s">
        <v>3741</v>
      </c>
      <c r="AF542" s="421" t="s">
        <v>1387</v>
      </c>
      <c r="AG542" s="421" t="s">
        <v>1388</v>
      </c>
      <c r="AH542" s="421" t="s">
        <v>3105</v>
      </c>
      <c r="AI542" s="421">
        <v>1002</v>
      </c>
      <c r="AJ542" s="421">
        <v>109.6</v>
      </c>
      <c r="AK542" s="421">
        <v>128.63999999999999</v>
      </c>
      <c r="AL542" s="421">
        <v>1</v>
      </c>
      <c r="AM542" s="421" t="s">
        <v>3136</v>
      </c>
      <c r="AN542" s="421" t="s">
        <v>3742</v>
      </c>
      <c r="AO542" s="421" t="s">
        <v>1121</v>
      </c>
      <c r="AP542" s="421" t="s">
        <v>1121</v>
      </c>
      <c r="AQ542" s="421" t="s">
        <v>1108</v>
      </c>
      <c r="AR542" s="421" t="s">
        <v>3832</v>
      </c>
      <c r="AS542" s="421" t="s">
        <v>3889</v>
      </c>
      <c r="AT542" s="421" t="s">
        <v>3109</v>
      </c>
      <c r="AU542" s="421" t="s">
        <v>1142</v>
      </c>
      <c r="AV542" s="421" t="s">
        <v>3130</v>
      </c>
      <c r="AW542" s="421" t="s">
        <v>3110</v>
      </c>
      <c r="AX542" s="421" t="s">
        <v>3111</v>
      </c>
      <c r="AY542" s="421" t="s">
        <v>3193</v>
      </c>
      <c r="AZ542" s="421" t="s">
        <v>3113</v>
      </c>
      <c r="BA542" s="421" t="s">
        <v>3114</v>
      </c>
      <c r="BB542" s="421" t="s">
        <v>3115</v>
      </c>
      <c r="BC542" s="421">
        <v>1252.5</v>
      </c>
      <c r="BD542" s="421">
        <v>3721365.37</v>
      </c>
      <c r="BE542" s="421">
        <v>0</v>
      </c>
      <c r="BF542" s="421">
        <v>0</v>
      </c>
      <c r="BG542" s="421">
        <v>0</v>
      </c>
      <c r="BH542" s="421">
        <v>0</v>
      </c>
      <c r="BI542" s="421" t="s">
        <v>1149</v>
      </c>
    </row>
    <row r="543" spans="1:61" x14ac:dyDescent="0.25">
      <c r="A543" s="421">
        <v>540</v>
      </c>
      <c r="B543" s="421">
        <v>2015</v>
      </c>
      <c r="C543" s="421">
        <v>10</v>
      </c>
      <c r="D543" s="421">
        <v>6</v>
      </c>
      <c r="E543" s="421" t="s">
        <v>1475</v>
      </c>
      <c r="F543" s="421" t="s">
        <v>3480</v>
      </c>
      <c r="G543" s="421" t="s">
        <v>3360</v>
      </c>
      <c r="H543" s="421" t="s">
        <v>1107</v>
      </c>
      <c r="I543" s="421" t="s">
        <v>2761</v>
      </c>
      <c r="J543" s="421" t="s">
        <v>3890</v>
      </c>
      <c r="K543" s="421" t="s">
        <v>3093</v>
      </c>
      <c r="L543" s="421" t="s">
        <v>3094</v>
      </c>
      <c r="M543" s="421" t="s">
        <v>2667</v>
      </c>
      <c r="N543" s="421" t="s">
        <v>3093</v>
      </c>
      <c r="O543" s="421" t="s">
        <v>3094</v>
      </c>
      <c r="P543" s="421" t="s">
        <v>3095</v>
      </c>
      <c r="Q543" s="421" t="s">
        <v>3113</v>
      </c>
      <c r="R543" s="421" t="s">
        <v>1108</v>
      </c>
      <c r="S543" s="421" t="s">
        <v>1108</v>
      </c>
      <c r="T543" s="421" t="s">
        <v>1130</v>
      </c>
      <c r="U543" s="421" t="s">
        <v>1112</v>
      </c>
      <c r="V543" s="421" t="s">
        <v>3097</v>
      </c>
      <c r="W543" s="421" t="s">
        <v>3098</v>
      </c>
      <c r="X543" s="421" t="s">
        <v>3099</v>
      </c>
      <c r="Y543" s="421" t="s">
        <v>1117</v>
      </c>
      <c r="Z543" s="421" t="s">
        <v>1118</v>
      </c>
      <c r="AA543" s="421" t="s">
        <v>3100</v>
      </c>
      <c r="AB543" s="421" t="s">
        <v>3101</v>
      </c>
      <c r="AC543" s="421" t="s">
        <v>3102</v>
      </c>
      <c r="AD543" s="421" t="s">
        <v>3251</v>
      </c>
      <c r="AE543" s="421" t="s">
        <v>3252</v>
      </c>
      <c r="AF543" s="421" t="s">
        <v>2236</v>
      </c>
      <c r="AG543" s="421" t="s">
        <v>2237</v>
      </c>
      <c r="AH543" s="421" t="s">
        <v>3105</v>
      </c>
      <c r="AI543" s="421">
        <v>12000</v>
      </c>
      <c r="AJ543" s="421">
        <v>47.2</v>
      </c>
      <c r="AK543" s="421">
        <v>50.78</v>
      </c>
      <c r="AL543" s="421">
        <v>4</v>
      </c>
      <c r="AM543" s="421" t="s">
        <v>3253</v>
      </c>
      <c r="AN543" s="421" t="s">
        <v>3254</v>
      </c>
      <c r="AO543" s="421" t="s">
        <v>1121</v>
      </c>
      <c r="AP543" s="421" t="s">
        <v>1121</v>
      </c>
      <c r="AQ543" s="421" t="s">
        <v>1108</v>
      </c>
      <c r="AR543" s="421" t="s">
        <v>3891</v>
      </c>
      <c r="AS543" s="421" t="s">
        <v>3892</v>
      </c>
      <c r="AT543" s="421" t="s">
        <v>3109</v>
      </c>
      <c r="AU543" s="421" t="s">
        <v>1142</v>
      </c>
      <c r="AV543" s="421" t="s">
        <v>2135</v>
      </c>
      <c r="AW543" s="421" t="s">
        <v>3110</v>
      </c>
      <c r="AX543" s="421" t="s">
        <v>3111</v>
      </c>
      <c r="AY543" s="421" t="s">
        <v>3112</v>
      </c>
      <c r="AZ543" s="421" t="s">
        <v>3113</v>
      </c>
      <c r="BA543" s="421" t="s">
        <v>3114</v>
      </c>
      <c r="BB543" s="421" t="s">
        <v>3115</v>
      </c>
      <c r="BC543" s="421">
        <v>926.4</v>
      </c>
      <c r="BD543" s="421">
        <v>2752473.36</v>
      </c>
      <c r="BE543" s="421">
        <v>0</v>
      </c>
      <c r="BF543" s="421">
        <v>76.88</v>
      </c>
      <c r="BG543" s="421">
        <v>2.5099999999999998</v>
      </c>
      <c r="BH543" s="421">
        <v>0</v>
      </c>
      <c r="BI543" s="421" t="s">
        <v>3256</v>
      </c>
    </row>
    <row r="544" spans="1:61" x14ac:dyDescent="0.25">
      <c r="A544" s="421">
        <v>541</v>
      </c>
      <c r="B544" s="421">
        <v>2015</v>
      </c>
      <c r="C544" s="421">
        <v>10</v>
      </c>
      <c r="D544" s="421">
        <v>6</v>
      </c>
      <c r="E544" s="421" t="s">
        <v>1475</v>
      </c>
      <c r="F544" s="421" t="s">
        <v>3480</v>
      </c>
      <c r="G544" s="421" t="s">
        <v>3360</v>
      </c>
      <c r="H544" s="421" t="s">
        <v>1107</v>
      </c>
      <c r="I544" s="421" t="s">
        <v>2761</v>
      </c>
      <c r="J544" s="421" t="s">
        <v>3890</v>
      </c>
      <c r="K544" s="421" t="s">
        <v>3093</v>
      </c>
      <c r="L544" s="421" t="s">
        <v>3094</v>
      </c>
      <c r="M544" s="421" t="s">
        <v>2667</v>
      </c>
      <c r="N544" s="421" t="s">
        <v>3093</v>
      </c>
      <c r="O544" s="421" t="s">
        <v>3094</v>
      </c>
      <c r="P544" s="421" t="s">
        <v>3095</v>
      </c>
      <c r="Q544" s="421" t="s">
        <v>3113</v>
      </c>
      <c r="R544" s="421" t="s">
        <v>1108</v>
      </c>
      <c r="S544" s="421" t="s">
        <v>1108</v>
      </c>
      <c r="T544" s="421" t="s">
        <v>1130</v>
      </c>
      <c r="U544" s="421" t="s">
        <v>1112</v>
      </c>
      <c r="V544" s="421" t="s">
        <v>3097</v>
      </c>
      <c r="W544" s="421" t="s">
        <v>3098</v>
      </c>
      <c r="X544" s="421" t="s">
        <v>3099</v>
      </c>
      <c r="Y544" s="421" t="s">
        <v>1117</v>
      </c>
      <c r="Z544" s="421" t="s">
        <v>1118</v>
      </c>
      <c r="AA544" s="421" t="s">
        <v>3100</v>
      </c>
      <c r="AB544" s="421" t="s">
        <v>3101</v>
      </c>
      <c r="AC544" s="421" t="s">
        <v>3102</v>
      </c>
      <c r="AD544" s="421" t="s">
        <v>3251</v>
      </c>
      <c r="AE544" s="421" t="s">
        <v>3252</v>
      </c>
      <c r="AF544" s="421" t="s">
        <v>2236</v>
      </c>
      <c r="AG544" s="421" t="s">
        <v>2237</v>
      </c>
      <c r="AH544" s="421" t="s">
        <v>3105</v>
      </c>
      <c r="AI544" s="421">
        <v>36000</v>
      </c>
      <c r="AJ544" s="421">
        <v>125.92</v>
      </c>
      <c r="AK544" s="421">
        <v>135.47</v>
      </c>
      <c r="AL544" s="421">
        <v>3</v>
      </c>
      <c r="AM544" s="421" t="s">
        <v>3253</v>
      </c>
      <c r="AN544" s="421" t="s">
        <v>3254</v>
      </c>
      <c r="AO544" s="421" t="s">
        <v>1121</v>
      </c>
      <c r="AP544" s="421" t="s">
        <v>1121</v>
      </c>
      <c r="AQ544" s="421" t="s">
        <v>1108</v>
      </c>
      <c r="AR544" s="421" t="s">
        <v>3891</v>
      </c>
      <c r="AS544" s="421" t="s">
        <v>3892</v>
      </c>
      <c r="AT544" s="421" t="s">
        <v>3109</v>
      </c>
      <c r="AU544" s="421" t="s">
        <v>1142</v>
      </c>
      <c r="AV544" s="421" t="s">
        <v>2135</v>
      </c>
      <c r="AW544" s="421" t="s">
        <v>3110</v>
      </c>
      <c r="AX544" s="421" t="s">
        <v>3111</v>
      </c>
      <c r="AY544" s="421" t="s">
        <v>3112</v>
      </c>
      <c r="AZ544" s="421" t="s">
        <v>3113</v>
      </c>
      <c r="BA544" s="421" t="s">
        <v>3114</v>
      </c>
      <c r="BB544" s="421" t="s">
        <v>3115</v>
      </c>
      <c r="BC544" s="421">
        <v>2625.6</v>
      </c>
      <c r="BD544" s="421">
        <v>7801051.4400000004</v>
      </c>
      <c r="BE544" s="421">
        <v>0</v>
      </c>
      <c r="BF544" s="421">
        <v>217.89</v>
      </c>
      <c r="BG544" s="421">
        <v>7.11</v>
      </c>
      <c r="BH544" s="421">
        <v>0</v>
      </c>
      <c r="BI544" s="421" t="s">
        <v>3256</v>
      </c>
    </row>
    <row r="545" spans="1:61" x14ac:dyDescent="0.25">
      <c r="A545" s="421">
        <v>542</v>
      </c>
      <c r="B545" s="421">
        <v>2015</v>
      </c>
      <c r="C545" s="421">
        <v>10</v>
      </c>
      <c r="D545" s="421">
        <v>6</v>
      </c>
      <c r="E545" s="421" t="s">
        <v>1475</v>
      </c>
      <c r="F545" s="421" t="s">
        <v>3480</v>
      </c>
      <c r="G545" s="421" t="s">
        <v>3360</v>
      </c>
      <c r="H545" s="421" t="s">
        <v>1107</v>
      </c>
      <c r="I545" s="421" t="s">
        <v>2761</v>
      </c>
      <c r="J545" s="421" t="s">
        <v>3890</v>
      </c>
      <c r="K545" s="421" t="s">
        <v>3093</v>
      </c>
      <c r="L545" s="421" t="s">
        <v>3094</v>
      </c>
      <c r="M545" s="421" t="s">
        <v>2667</v>
      </c>
      <c r="N545" s="421" t="s">
        <v>3093</v>
      </c>
      <c r="O545" s="421" t="s">
        <v>3094</v>
      </c>
      <c r="P545" s="421" t="s">
        <v>3095</v>
      </c>
      <c r="Q545" s="421" t="s">
        <v>3113</v>
      </c>
      <c r="R545" s="421" t="s">
        <v>1108</v>
      </c>
      <c r="S545" s="421" t="s">
        <v>1108</v>
      </c>
      <c r="T545" s="421" t="s">
        <v>1130</v>
      </c>
      <c r="U545" s="421" t="s">
        <v>1112</v>
      </c>
      <c r="V545" s="421" t="s">
        <v>3097</v>
      </c>
      <c r="W545" s="421" t="s">
        <v>3098</v>
      </c>
      <c r="X545" s="421" t="s">
        <v>3099</v>
      </c>
      <c r="Y545" s="421" t="s">
        <v>1117</v>
      </c>
      <c r="Z545" s="421" t="s">
        <v>1118</v>
      </c>
      <c r="AA545" s="421" t="s">
        <v>3100</v>
      </c>
      <c r="AB545" s="421" t="s">
        <v>3101</v>
      </c>
      <c r="AC545" s="421" t="s">
        <v>3102</v>
      </c>
      <c r="AD545" s="421" t="s">
        <v>3251</v>
      </c>
      <c r="AE545" s="421" t="s">
        <v>3252</v>
      </c>
      <c r="AF545" s="421" t="s">
        <v>2236</v>
      </c>
      <c r="AG545" s="421" t="s">
        <v>2237</v>
      </c>
      <c r="AH545" s="421" t="s">
        <v>3105</v>
      </c>
      <c r="AI545" s="421">
        <v>109000</v>
      </c>
      <c r="AJ545" s="421">
        <v>357.88</v>
      </c>
      <c r="AK545" s="421">
        <v>385.03</v>
      </c>
      <c r="AL545" s="421">
        <v>2</v>
      </c>
      <c r="AM545" s="421" t="s">
        <v>3253</v>
      </c>
      <c r="AN545" s="421" t="s">
        <v>3254</v>
      </c>
      <c r="AO545" s="421" t="s">
        <v>1121</v>
      </c>
      <c r="AP545" s="421" t="s">
        <v>1121</v>
      </c>
      <c r="AQ545" s="421" t="s">
        <v>1108</v>
      </c>
      <c r="AR545" s="421" t="s">
        <v>3891</v>
      </c>
      <c r="AS545" s="421" t="s">
        <v>3892</v>
      </c>
      <c r="AT545" s="421" t="s">
        <v>3109</v>
      </c>
      <c r="AU545" s="421" t="s">
        <v>1142</v>
      </c>
      <c r="AV545" s="421" t="s">
        <v>2135</v>
      </c>
      <c r="AW545" s="421" t="s">
        <v>3110</v>
      </c>
      <c r="AX545" s="421" t="s">
        <v>3111</v>
      </c>
      <c r="AY545" s="421" t="s">
        <v>3112</v>
      </c>
      <c r="AZ545" s="421" t="s">
        <v>3113</v>
      </c>
      <c r="BA545" s="421" t="s">
        <v>3114</v>
      </c>
      <c r="BB545" s="421" t="s">
        <v>3115</v>
      </c>
      <c r="BC545" s="421">
        <v>4316.8</v>
      </c>
      <c r="BD545" s="421">
        <v>12825860.32</v>
      </c>
      <c r="BE545" s="421">
        <v>0</v>
      </c>
      <c r="BF545" s="421">
        <v>358.23</v>
      </c>
      <c r="BG545" s="421">
        <v>11.69</v>
      </c>
      <c r="BH545" s="421">
        <v>0</v>
      </c>
      <c r="BI545" s="421" t="s">
        <v>3256</v>
      </c>
    </row>
    <row r="546" spans="1:61" x14ac:dyDescent="0.25">
      <c r="A546" s="421">
        <v>543</v>
      </c>
      <c r="B546" s="421">
        <v>2015</v>
      </c>
      <c r="C546" s="421">
        <v>10</v>
      </c>
      <c r="D546" s="421">
        <v>6</v>
      </c>
      <c r="E546" s="421" t="s">
        <v>1475</v>
      </c>
      <c r="F546" s="421" t="s">
        <v>3480</v>
      </c>
      <c r="G546" s="421" t="s">
        <v>3360</v>
      </c>
      <c r="H546" s="421" t="s">
        <v>1107</v>
      </c>
      <c r="I546" s="421" t="s">
        <v>2761</v>
      </c>
      <c r="J546" s="421" t="s">
        <v>3890</v>
      </c>
      <c r="K546" s="421" t="s">
        <v>3093</v>
      </c>
      <c r="L546" s="421" t="s">
        <v>3094</v>
      </c>
      <c r="M546" s="421" t="s">
        <v>2667</v>
      </c>
      <c r="N546" s="421" t="s">
        <v>3093</v>
      </c>
      <c r="O546" s="421" t="s">
        <v>3094</v>
      </c>
      <c r="P546" s="421" t="s">
        <v>3095</v>
      </c>
      <c r="Q546" s="421" t="s">
        <v>3113</v>
      </c>
      <c r="R546" s="421" t="s">
        <v>1108</v>
      </c>
      <c r="S546" s="421" t="s">
        <v>1108</v>
      </c>
      <c r="T546" s="421" t="s">
        <v>1130</v>
      </c>
      <c r="U546" s="421" t="s">
        <v>1112</v>
      </c>
      <c r="V546" s="421" t="s">
        <v>3097</v>
      </c>
      <c r="W546" s="421" t="s">
        <v>3098</v>
      </c>
      <c r="X546" s="421" t="s">
        <v>3099</v>
      </c>
      <c r="Y546" s="421" t="s">
        <v>1117</v>
      </c>
      <c r="Z546" s="421" t="s">
        <v>1118</v>
      </c>
      <c r="AA546" s="421" t="s">
        <v>3100</v>
      </c>
      <c r="AB546" s="421" t="s">
        <v>3101</v>
      </c>
      <c r="AC546" s="421" t="s">
        <v>3102</v>
      </c>
      <c r="AD546" s="421" t="s">
        <v>3251</v>
      </c>
      <c r="AE546" s="421" t="s">
        <v>3252</v>
      </c>
      <c r="AF546" s="421" t="s">
        <v>2236</v>
      </c>
      <c r="AG546" s="421" t="s">
        <v>2237</v>
      </c>
      <c r="AH546" s="421" t="s">
        <v>3105</v>
      </c>
      <c r="AI546" s="421">
        <v>856500</v>
      </c>
      <c r="AJ546" s="421">
        <v>2585.7399999999998</v>
      </c>
      <c r="AK546" s="421">
        <v>2781.93</v>
      </c>
      <c r="AL546" s="421">
        <v>1</v>
      </c>
      <c r="AM546" s="421" t="s">
        <v>3253</v>
      </c>
      <c r="AN546" s="421" t="s">
        <v>3254</v>
      </c>
      <c r="AO546" s="421" t="s">
        <v>1121</v>
      </c>
      <c r="AP546" s="421" t="s">
        <v>1121</v>
      </c>
      <c r="AQ546" s="421" t="s">
        <v>1108</v>
      </c>
      <c r="AR546" s="421" t="s">
        <v>3891</v>
      </c>
      <c r="AS546" s="421" t="s">
        <v>3892</v>
      </c>
      <c r="AT546" s="421" t="s">
        <v>3109</v>
      </c>
      <c r="AU546" s="421" t="s">
        <v>1142</v>
      </c>
      <c r="AV546" s="421" t="s">
        <v>2135</v>
      </c>
      <c r="AW546" s="421" t="s">
        <v>3110</v>
      </c>
      <c r="AX546" s="421" t="s">
        <v>3111</v>
      </c>
      <c r="AY546" s="421" t="s">
        <v>3112</v>
      </c>
      <c r="AZ546" s="421" t="s">
        <v>3113</v>
      </c>
      <c r="BA546" s="421" t="s">
        <v>3114</v>
      </c>
      <c r="BB546" s="421" t="s">
        <v>3115</v>
      </c>
      <c r="BC546" s="421">
        <v>31294.400000000001</v>
      </c>
      <c r="BD546" s="421">
        <v>92980356.560000002</v>
      </c>
      <c r="BE546" s="421">
        <v>0</v>
      </c>
      <c r="BF546" s="421">
        <v>2597</v>
      </c>
      <c r="BG546" s="421">
        <v>84.73</v>
      </c>
      <c r="BH546" s="421">
        <v>0</v>
      </c>
      <c r="BI546" s="421" t="s">
        <v>3256</v>
      </c>
    </row>
    <row r="547" spans="1:61" x14ac:dyDescent="0.25">
      <c r="A547" s="421">
        <v>544</v>
      </c>
      <c r="B547" s="421">
        <v>2015</v>
      </c>
      <c r="C547" s="421">
        <v>10</v>
      </c>
      <c r="D547" s="421">
        <v>13</v>
      </c>
      <c r="E547" s="421" t="s">
        <v>1475</v>
      </c>
      <c r="F547" s="421" t="s">
        <v>3480</v>
      </c>
      <c r="G547" s="421" t="s">
        <v>3142</v>
      </c>
      <c r="H547" s="421" t="s">
        <v>1107</v>
      </c>
      <c r="I547" s="421" t="s">
        <v>2805</v>
      </c>
      <c r="J547" s="421" t="s">
        <v>3893</v>
      </c>
      <c r="K547" s="421" t="s">
        <v>3093</v>
      </c>
      <c r="L547" s="421" t="s">
        <v>3094</v>
      </c>
      <c r="M547" s="421" t="s">
        <v>2667</v>
      </c>
      <c r="N547" s="421" t="s">
        <v>3093</v>
      </c>
      <c r="O547" s="421" t="s">
        <v>3094</v>
      </c>
      <c r="P547" s="421" t="s">
        <v>3095</v>
      </c>
      <c r="Q547" s="421" t="s">
        <v>3113</v>
      </c>
      <c r="R547" s="421" t="s">
        <v>1108</v>
      </c>
      <c r="S547" s="421" t="s">
        <v>1108</v>
      </c>
      <c r="T547" s="421" t="s">
        <v>1130</v>
      </c>
      <c r="U547" s="421" t="s">
        <v>1112</v>
      </c>
      <c r="V547" s="421" t="s">
        <v>3097</v>
      </c>
      <c r="W547" s="421" t="s">
        <v>3098</v>
      </c>
      <c r="X547" s="421" t="s">
        <v>3099</v>
      </c>
      <c r="Y547" s="421" t="s">
        <v>1117</v>
      </c>
      <c r="Z547" s="421" t="s">
        <v>1118</v>
      </c>
      <c r="AA547" s="421" t="s">
        <v>3100</v>
      </c>
      <c r="AB547" s="421" t="s">
        <v>3101</v>
      </c>
      <c r="AC547" s="421" t="s">
        <v>3102</v>
      </c>
      <c r="AD547" s="421" t="s">
        <v>3802</v>
      </c>
      <c r="AE547" s="421" t="s">
        <v>3803</v>
      </c>
      <c r="AF547" s="421" t="s">
        <v>2236</v>
      </c>
      <c r="AG547" s="421" t="s">
        <v>2237</v>
      </c>
      <c r="AH547" s="421" t="s">
        <v>3105</v>
      </c>
      <c r="AI547" s="421">
        <v>5447500</v>
      </c>
      <c r="AJ547" s="421">
        <v>12495.68</v>
      </c>
      <c r="AK547" s="421">
        <v>13543.4</v>
      </c>
      <c r="AL547" s="421">
        <v>1</v>
      </c>
      <c r="AM547" s="421" t="s">
        <v>960</v>
      </c>
      <c r="AN547" s="421" t="s">
        <v>3804</v>
      </c>
      <c r="AO547" s="421" t="s">
        <v>1121</v>
      </c>
      <c r="AP547" s="421" t="s">
        <v>1121</v>
      </c>
      <c r="AQ547" s="421" t="s">
        <v>1108</v>
      </c>
      <c r="AR547" s="421" t="s">
        <v>3891</v>
      </c>
      <c r="AS547" s="421" t="s">
        <v>3894</v>
      </c>
      <c r="AT547" s="421" t="s">
        <v>3109</v>
      </c>
      <c r="AU547" s="421" t="s">
        <v>1142</v>
      </c>
      <c r="AV547" s="421" t="s">
        <v>3130</v>
      </c>
      <c r="AW547" s="421" t="s">
        <v>3110</v>
      </c>
      <c r="AX547" s="421" t="s">
        <v>3111</v>
      </c>
      <c r="AY547" s="421" t="s">
        <v>3112</v>
      </c>
      <c r="AZ547" s="421" t="s">
        <v>3113</v>
      </c>
      <c r="BA547" s="421" t="s">
        <v>3114</v>
      </c>
      <c r="BB547" s="421" t="s">
        <v>3115</v>
      </c>
      <c r="BC547" s="421">
        <v>154172.20000000001</v>
      </c>
      <c r="BD547" s="421">
        <v>440275718.42000002</v>
      </c>
      <c r="BE547" s="421">
        <v>0</v>
      </c>
      <c r="BF547" s="421">
        <v>811.06</v>
      </c>
      <c r="BG547" s="421">
        <v>387.46</v>
      </c>
      <c r="BH547" s="421">
        <v>0</v>
      </c>
      <c r="BI547" s="421" t="s">
        <v>1167</v>
      </c>
    </row>
    <row r="548" spans="1:61" x14ac:dyDescent="0.25">
      <c r="A548" s="421">
        <v>545</v>
      </c>
      <c r="B548" s="421">
        <v>2015</v>
      </c>
      <c r="C548" s="421">
        <v>10</v>
      </c>
      <c r="D548" s="421">
        <v>13</v>
      </c>
      <c r="E548" s="421" t="s">
        <v>1475</v>
      </c>
      <c r="F548" s="421" t="s">
        <v>3480</v>
      </c>
      <c r="G548" s="421" t="s">
        <v>3142</v>
      </c>
      <c r="H548" s="421" t="s">
        <v>1107</v>
      </c>
      <c r="I548" s="421" t="s">
        <v>2805</v>
      </c>
      <c r="J548" s="421" t="s">
        <v>3893</v>
      </c>
      <c r="K548" s="421" t="s">
        <v>3093</v>
      </c>
      <c r="L548" s="421" t="s">
        <v>3094</v>
      </c>
      <c r="M548" s="421" t="s">
        <v>2667</v>
      </c>
      <c r="N548" s="421" t="s">
        <v>3093</v>
      </c>
      <c r="O548" s="421" t="s">
        <v>3094</v>
      </c>
      <c r="P548" s="421" t="s">
        <v>3095</v>
      </c>
      <c r="Q548" s="421" t="s">
        <v>3113</v>
      </c>
      <c r="R548" s="421" t="s">
        <v>1108</v>
      </c>
      <c r="S548" s="421" t="s">
        <v>1108</v>
      </c>
      <c r="T548" s="421" t="s">
        <v>1130</v>
      </c>
      <c r="U548" s="421" t="s">
        <v>1112</v>
      </c>
      <c r="V548" s="421" t="s">
        <v>3097</v>
      </c>
      <c r="W548" s="421" t="s">
        <v>3098</v>
      </c>
      <c r="X548" s="421" t="s">
        <v>3099</v>
      </c>
      <c r="Y548" s="421" t="s">
        <v>1117</v>
      </c>
      <c r="Z548" s="421" t="s">
        <v>1118</v>
      </c>
      <c r="AA548" s="421" t="s">
        <v>3100</v>
      </c>
      <c r="AB548" s="421" t="s">
        <v>3101</v>
      </c>
      <c r="AC548" s="421" t="s">
        <v>3102</v>
      </c>
      <c r="AD548" s="421" t="s">
        <v>3802</v>
      </c>
      <c r="AE548" s="421" t="s">
        <v>3803</v>
      </c>
      <c r="AF548" s="421" t="s">
        <v>2236</v>
      </c>
      <c r="AG548" s="421" t="s">
        <v>2237</v>
      </c>
      <c r="AH548" s="421" t="s">
        <v>3105</v>
      </c>
      <c r="AI548" s="421">
        <v>1128000</v>
      </c>
      <c r="AJ548" s="421">
        <v>1865.69</v>
      </c>
      <c r="AK548" s="421">
        <v>2022.12</v>
      </c>
      <c r="AL548" s="421">
        <v>2</v>
      </c>
      <c r="AM548" s="421" t="s">
        <v>960</v>
      </c>
      <c r="AN548" s="421" t="s">
        <v>3804</v>
      </c>
      <c r="AO548" s="421" t="s">
        <v>1121</v>
      </c>
      <c r="AP548" s="421" t="s">
        <v>1121</v>
      </c>
      <c r="AQ548" s="421" t="s">
        <v>1108</v>
      </c>
      <c r="AR548" s="421" t="s">
        <v>3891</v>
      </c>
      <c r="AS548" s="421" t="s">
        <v>3894</v>
      </c>
      <c r="AT548" s="421" t="s">
        <v>3109</v>
      </c>
      <c r="AU548" s="421" t="s">
        <v>1142</v>
      </c>
      <c r="AV548" s="421" t="s">
        <v>3130</v>
      </c>
      <c r="AW548" s="421" t="s">
        <v>3110</v>
      </c>
      <c r="AX548" s="421" t="s">
        <v>3111</v>
      </c>
      <c r="AY548" s="421" t="s">
        <v>3112</v>
      </c>
      <c r="AZ548" s="421" t="s">
        <v>3113</v>
      </c>
      <c r="BA548" s="421" t="s">
        <v>3114</v>
      </c>
      <c r="BB548" s="421" t="s">
        <v>3115</v>
      </c>
      <c r="BC548" s="421">
        <v>23382.3</v>
      </c>
      <c r="BD548" s="421">
        <v>66773769.399999999</v>
      </c>
      <c r="BE548" s="421">
        <v>0</v>
      </c>
      <c r="BF548" s="421">
        <v>123.01</v>
      </c>
      <c r="BG548" s="421">
        <v>58.76</v>
      </c>
      <c r="BH548" s="421">
        <v>0</v>
      </c>
      <c r="BI548" s="421" t="s">
        <v>1167</v>
      </c>
    </row>
    <row r="549" spans="1:61" x14ac:dyDescent="0.25">
      <c r="A549" s="421">
        <v>546</v>
      </c>
      <c r="B549" s="421">
        <v>2015</v>
      </c>
      <c r="C549" s="421">
        <v>10</v>
      </c>
      <c r="D549" s="421">
        <v>13</v>
      </c>
      <c r="E549" s="421" t="s">
        <v>1475</v>
      </c>
      <c r="F549" s="421" t="s">
        <v>3480</v>
      </c>
      <c r="G549" s="421" t="s">
        <v>3142</v>
      </c>
      <c r="H549" s="421" t="s">
        <v>1107</v>
      </c>
      <c r="I549" s="421" t="s">
        <v>2805</v>
      </c>
      <c r="J549" s="421" t="s">
        <v>3893</v>
      </c>
      <c r="K549" s="421" t="s">
        <v>3093</v>
      </c>
      <c r="L549" s="421" t="s">
        <v>3094</v>
      </c>
      <c r="M549" s="421" t="s">
        <v>2667</v>
      </c>
      <c r="N549" s="421" t="s">
        <v>3093</v>
      </c>
      <c r="O549" s="421" t="s">
        <v>3094</v>
      </c>
      <c r="P549" s="421" t="s">
        <v>3095</v>
      </c>
      <c r="Q549" s="421" t="s">
        <v>3113</v>
      </c>
      <c r="R549" s="421" t="s">
        <v>1108</v>
      </c>
      <c r="S549" s="421" t="s">
        <v>1108</v>
      </c>
      <c r="T549" s="421" t="s">
        <v>1130</v>
      </c>
      <c r="U549" s="421" t="s">
        <v>1112</v>
      </c>
      <c r="V549" s="421" t="s">
        <v>3097</v>
      </c>
      <c r="W549" s="421" t="s">
        <v>3098</v>
      </c>
      <c r="X549" s="421" t="s">
        <v>3099</v>
      </c>
      <c r="Y549" s="421" t="s">
        <v>1117</v>
      </c>
      <c r="Z549" s="421" t="s">
        <v>1118</v>
      </c>
      <c r="AA549" s="421" t="s">
        <v>3100</v>
      </c>
      <c r="AB549" s="421" t="s">
        <v>3101</v>
      </c>
      <c r="AC549" s="421" t="s">
        <v>3102</v>
      </c>
      <c r="AD549" s="421" t="s">
        <v>3802</v>
      </c>
      <c r="AE549" s="421" t="s">
        <v>3803</v>
      </c>
      <c r="AF549" s="421" t="s">
        <v>2236</v>
      </c>
      <c r="AG549" s="421" t="s">
        <v>2237</v>
      </c>
      <c r="AH549" s="421" t="s">
        <v>3105</v>
      </c>
      <c r="AI549" s="421">
        <v>59700</v>
      </c>
      <c r="AJ549" s="421">
        <v>545.76</v>
      </c>
      <c r="AK549" s="421">
        <v>591.52</v>
      </c>
      <c r="AL549" s="421">
        <v>3</v>
      </c>
      <c r="AM549" s="421" t="s">
        <v>960</v>
      </c>
      <c r="AN549" s="421" t="s">
        <v>3804</v>
      </c>
      <c r="AO549" s="421" t="s">
        <v>1121</v>
      </c>
      <c r="AP549" s="421" t="s">
        <v>1121</v>
      </c>
      <c r="AQ549" s="421" t="s">
        <v>1108</v>
      </c>
      <c r="AR549" s="421" t="s">
        <v>3891</v>
      </c>
      <c r="AS549" s="421" t="s">
        <v>3894</v>
      </c>
      <c r="AT549" s="421" t="s">
        <v>3109</v>
      </c>
      <c r="AU549" s="421" t="s">
        <v>1142</v>
      </c>
      <c r="AV549" s="421" t="s">
        <v>3130</v>
      </c>
      <c r="AW549" s="421" t="s">
        <v>3110</v>
      </c>
      <c r="AX549" s="421" t="s">
        <v>3111</v>
      </c>
      <c r="AY549" s="421" t="s">
        <v>3112</v>
      </c>
      <c r="AZ549" s="421" t="s">
        <v>3113</v>
      </c>
      <c r="BA549" s="421" t="s">
        <v>3114</v>
      </c>
      <c r="BB549" s="421" t="s">
        <v>3115</v>
      </c>
      <c r="BC549" s="421">
        <v>12533</v>
      </c>
      <c r="BD549" s="421">
        <v>35790989.420000002</v>
      </c>
      <c r="BE549" s="421">
        <v>0</v>
      </c>
      <c r="BF549" s="421">
        <v>65.930000000000007</v>
      </c>
      <c r="BG549" s="421">
        <v>31.5</v>
      </c>
      <c r="BH549" s="421">
        <v>0</v>
      </c>
      <c r="BI549" s="421" t="s">
        <v>1167</v>
      </c>
    </row>
    <row r="550" spans="1:61" x14ac:dyDescent="0.25">
      <c r="A550" s="421">
        <v>547</v>
      </c>
      <c r="B550" s="421">
        <v>2015</v>
      </c>
      <c r="C550" s="421">
        <v>10</v>
      </c>
      <c r="D550" s="421">
        <v>13</v>
      </c>
      <c r="E550" s="421" t="s">
        <v>1475</v>
      </c>
      <c r="F550" s="421" t="s">
        <v>3480</v>
      </c>
      <c r="G550" s="421" t="s">
        <v>3142</v>
      </c>
      <c r="H550" s="421" t="s">
        <v>1107</v>
      </c>
      <c r="I550" s="421" t="s">
        <v>2805</v>
      </c>
      <c r="J550" s="421" t="s">
        <v>3895</v>
      </c>
      <c r="K550" s="421" t="s">
        <v>3093</v>
      </c>
      <c r="L550" s="421" t="s">
        <v>3094</v>
      </c>
      <c r="M550" s="421" t="s">
        <v>2667</v>
      </c>
      <c r="N550" s="421" t="s">
        <v>3093</v>
      </c>
      <c r="O550" s="421" t="s">
        <v>3094</v>
      </c>
      <c r="P550" s="421" t="s">
        <v>3095</v>
      </c>
      <c r="Q550" s="421" t="s">
        <v>3096</v>
      </c>
      <c r="R550" s="421" t="s">
        <v>1108</v>
      </c>
      <c r="S550" s="421" t="s">
        <v>1542</v>
      </c>
      <c r="T550" s="421" t="s">
        <v>1130</v>
      </c>
      <c r="U550" s="421" t="s">
        <v>1112</v>
      </c>
      <c r="V550" s="421" t="s">
        <v>3097</v>
      </c>
      <c r="W550" s="421" t="s">
        <v>3098</v>
      </c>
      <c r="X550" s="421" t="s">
        <v>3099</v>
      </c>
      <c r="Y550" s="421" t="s">
        <v>1117</v>
      </c>
      <c r="Z550" s="421" t="s">
        <v>1118</v>
      </c>
      <c r="AA550" s="421" t="s">
        <v>3100</v>
      </c>
      <c r="AB550" s="421" t="s">
        <v>3101</v>
      </c>
      <c r="AC550" s="421" t="s">
        <v>3102</v>
      </c>
      <c r="AD550" s="421" t="s">
        <v>3406</v>
      </c>
      <c r="AE550" s="421" t="s">
        <v>3407</v>
      </c>
      <c r="AF550" s="421" t="s">
        <v>2236</v>
      </c>
      <c r="AG550" s="421" t="s">
        <v>2237</v>
      </c>
      <c r="AH550" s="421" t="s">
        <v>3105</v>
      </c>
      <c r="AI550" s="421">
        <v>278000</v>
      </c>
      <c r="AJ550" s="421">
        <v>1028.05</v>
      </c>
      <c r="AK550" s="421">
        <v>1120.82</v>
      </c>
      <c r="AL550" s="421">
        <v>4</v>
      </c>
      <c r="AM550" s="421" t="s">
        <v>964</v>
      </c>
      <c r="AN550" s="421" t="s">
        <v>3425</v>
      </c>
      <c r="AO550" s="421" t="s">
        <v>1121</v>
      </c>
      <c r="AP550" s="421" t="s">
        <v>1121</v>
      </c>
      <c r="AQ550" s="421" t="s">
        <v>1542</v>
      </c>
      <c r="AR550" s="421" t="s">
        <v>3891</v>
      </c>
      <c r="AS550" s="421" t="s">
        <v>3896</v>
      </c>
      <c r="AT550" s="421" t="s">
        <v>3109</v>
      </c>
      <c r="AU550" s="421" t="s">
        <v>1142</v>
      </c>
      <c r="AV550" s="421" t="s">
        <v>2417</v>
      </c>
      <c r="AW550" s="421" t="s">
        <v>3110</v>
      </c>
      <c r="AX550" s="421" t="s">
        <v>3111</v>
      </c>
      <c r="AY550" s="421" t="s">
        <v>3112</v>
      </c>
      <c r="AZ550" s="421" t="s">
        <v>3113</v>
      </c>
      <c r="BA550" s="421" t="s">
        <v>3114</v>
      </c>
      <c r="BB550" s="421" t="s">
        <v>3115</v>
      </c>
      <c r="BC550" s="421">
        <v>33166.800000000003</v>
      </c>
      <c r="BD550" s="421">
        <v>94715757.430000007</v>
      </c>
      <c r="BE550" s="421">
        <v>0</v>
      </c>
      <c r="BF550" s="421">
        <v>0</v>
      </c>
      <c r="BG550" s="421">
        <v>0</v>
      </c>
      <c r="BH550" s="421">
        <v>0</v>
      </c>
      <c r="BI550" s="421" t="s">
        <v>1278</v>
      </c>
    </row>
    <row r="551" spans="1:61" x14ac:dyDescent="0.25">
      <c r="A551" s="421">
        <v>548</v>
      </c>
      <c r="B551" s="421">
        <v>2015</v>
      </c>
      <c r="C551" s="421">
        <v>10</v>
      </c>
      <c r="D551" s="421">
        <v>13</v>
      </c>
      <c r="E551" s="421" t="s">
        <v>1475</v>
      </c>
      <c r="F551" s="421" t="s">
        <v>3480</v>
      </c>
      <c r="G551" s="421" t="s">
        <v>3142</v>
      </c>
      <c r="H551" s="421" t="s">
        <v>1107</v>
      </c>
      <c r="I551" s="421" t="s">
        <v>2805</v>
      </c>
      <c r="J551" s="421" t="s">
        <v>3895</v>
      </c>
      <c r="K551" s="421" t="s">
        <v>3093</v>
      </c>
      <c r="L551" s="421" t="s">
        <v>3094</v>
      </c>
      <c r="M551" s="421" t="s">
        <v>2667</v>
      </c>
      <c r="N551" s="421" t="s">
        <v>3093</v>
      </c>
      <c r="O551" s="421" t="s">
        <v>3094</v>
      </c>
      <c r="P551" s="421" t="s">
        <v>3095</v>
      </c>
      <c r="Q551" s="421" t="s">
        <v>3096</v>
      </c>
      <c r="R551" s="421" t="s">
        <v>1108</v>
      </c>
      <c r="S551" s="421" t="s">
        <v>1542</v>
      </c>
      <c r="T551" s="421" t="s">
        <v>1130</v>
      </c>
      <c r="U551" s="421" t="s">
        <v>1112</v>
      </c>
      <c r="V551" s="421" t="s">
        <v>3097</v>
      </c>
      <c r="W551" s="421" t="s">
        <v>3098</v>
      </c>
      <c r="X551" s="421" t="s">
        <v>3099</v>
      </c>
      <c r="Y551" s="421" t="s">
        <v>1117</v>
      </c>
      <c r="Z551" s="421" t="s">
        <v>1118</v>
      </c>
      <c r="AA551" s="421" t="s">
        <v>3100</v>
      </c>
      <c r="AB551" s="421" t="s">
        <v>3101</v>
      </c>
      <c r="AC551" s="421" t="s">
        <v>3102</v>
      </c>
      <c r="AD551" s="421" t="s">
        <v>3406</v>
      </c>
      <c r="AE551" s="421" t="s">
        <v>3407</v>
      </c>
      <c r="AF551" s="421" t="s">
        <v>2236</v>
      </c>
      <c r="AG551" s="421" t="s">
        <v>2237</v>
      </c>
      <c r="AH551" s="421" t="s">
        <v>3105</v>
      </c>
      <c r="AI551" s="421">
        <v>116000</v>
      </c>
      <c r="AJ551" s="421">
        <v>354.58</v>
      </c>
      <c r="AK551" s="421">
        <v>386.57</v>
      </c>
      <c r="AL551" s="421">
        <v>3</v>
      </c>
      <c r="AM551" s="421" t="s">
        <v>964</v>
      </c>
      <c r="AN551" s="421" t="s">
        <v>3425</v>
      </c>
      <c r="AO551" s="421" t="s">
        <v>1121</v>
      </c>
      <c r="AP551" s="421" t="s">
        <v>1121</v>
      </c>
      <c r="AQ551" s="421" t="s">
        <v>1542</v>
      </c>
      <c r="AR551" s="421" t="s">
        <v>3891</v>
      </c>
      <c r="AS551" s="421" t="s">
        <v>3896</v>
      </c>
      <c r="AT551" s="421" t="s">
        <v>3109</v>
      </c>
      <c r="AU551" s="421" t="s">
        <v>1142</v>
      </c>
      <c r="AV551" s="421" t="s">
        <v>2417</v>
      </c>
      <c r="AW551" s="421" t="s">
        <v>3110</v>
      </c>
      <c r="AX551" s="421" t="s">
        <v>3111</v>
      </c>
      <c r="AY551" s="421" t="s">
        <v>3112</v>
      </c>
      <c r="AZ551" s="421" t="s">
        <v>3113</v>
      </c>
      <c r="BA551" s="421" t="s">
        <v>3114</v>
      </c>
      <c r="BB551" s="421" t="s">
        <v>3115</v>
      </c>
      <c r="BC551" s="421">
        <v>11424</v>
      </c>
      <c r="BD551" s="421">
        <v>32623973.760000002</v>
      </c>
      <c r="BE551" s="421">
        <v>0</v>
      </c>
      <c r="BF551" s="421">
        <v>0</v>
      </c>
      <c r="BG551" s="421">
        <v>0</v>
      </c>
      <c r="BH551" s="421">
        <v>0</v>
      </c>
      <c r="BI551" s="421" t="s">
        <v>1278</v>
      </c>
    </row>
    <row r="552" spans="1:61" x14ac:dyDescent="0.25">
      <c r="A552" s="421">
        <v>549</v>
      </c>
      <c r="B552" s="421">
        <v>2015</v>
      </c>
      <c r="C552" s="421">
        <v>10</v>
      </c>
      <c r="D552" s="421">
        <v>13</v>
      </c>
      <c r="E552" s="421" t="s">
        <v>1475</v>
      </c>
      <c r="F552" s="421" t="s">
        <v>3480</v>
      </c>
      <c r="G552" s="421" t="s">
        <v>3142</v>
      </c>
      <c r="H552" s="421" t="s">
        <v>1107</v>
      </c>
      <c r="I552" s="421" t="s">
        <v>2805</v>
      </c>
      <c r="J552" s="421" t="s">
        <v>3895</v>
      </c>
      <c r="K552" s="421" t="s">
        <v>3093</v>
      </c>
      <c r="L552" s="421" t="s">
        <v>3094</v>
      </c>
      <c r="M552" s="421" t="s">
        <v>2667</v>
      </c>
      <c r="N552" s="421" t="s">
        <v>3093</v>
      </c>
      <c r="O552" s="421" t="s">
        <v>3094</v>
      </c>
      <c r="P552" s="421" t="s">
        <v>3095</v>
      </c>
      <c r="Q552" s="421" t="s">
        <v>3096</v>
      </c>
      <c r="R552" s="421" t="s">
        <v>1108</v>
      </c>
      <c r="S552" s="421" t="s">
        <v>1542</v>
      </c>
      <c r="T552" s="421" t="s">
        <v>1130</v>
      </c>
      <c r="U552" s="421" t="s">
        <v>1112</v>
      </c>
      <c r="V552" s="421" t="s">
        <v>3097</v>
      </c>
      <c r="W552" s="421" t="s">
        <v>3098</v>
      </c>
      <c r="X552" s="421" t="s">
        <v>3099</v>
      </c>
      <c r="Y552" s="421" t="s">
        <v>1117</v>
      </c>
      <c r="Z552" s="421" t="s">
        <v>1118</v>
      </c>
      <c r="AA552" s="421" t="s">
        <v>3100</v>
      </c>
      <c r="AB552" s="421" t="s">
        <v>3101</v>
      </c>
      <c r="AC552" s="421" t="s">
        <v>3102</v>
      </c>
      <c r="AD552" s="421" t="s">
        <v>3406</v>
      </c>
      <c r="AE552" s="421" t="s">
        <v>3407</v>
      </c>
      <c r="AF552" s="421" t="s">
        <v>2236</v>
      </c>
      <c r="AG552" s="421" t="s">
        <v>2237</v>
      </c>
      <c r="AH552" s="421" t="s">
        <v>3105</v>
      </c>
      <c r="AI552" s="421">
        <v>1202200</v>
      </c>
      <c r="AJ552" s="421">
        <v>4002.36</v>
      </c>
      <c r="AK552" s="421">
        <v>4363.53</v>
      </c>
      <c r="AL552" s="421">
        <v>2</v>
      </c>
      <c r="AM552" s="421" t="s">
        <v>964</v>
      </c>
      <c r="AN552" s="421" t="s">
        <v>3425</v>
      </c>
      <c r="AO552" s="421" t="s">
        <v>1121</v>
      </c>
      <c r="AP552" s="421" t="s">
        <v>1121</v>
      </c>
      <c r="AQ552" s="421" t="s">
        <v>1542</v>
      </c>
      <c r="AR552" s="421" t="s">
        <v>3891</v>
      </c>
      <c r="AS552" s="421" t="s">
        <v>3896</v>
      </c>
      <c r="AT552" s="421" t="s">
        <v>3109</v>
      </c>
      <c r="AU552" s="421" t="s">
        <v>1142</v>
      </c>
      <c r="AV552" s="421" t="s">
        <v>2417</v>
      </c>
      <c r="AW552" s="421" t="s">
        <v>3110</v>
      </c>
      <c r="AX552" s="421" t="s">
        <v>3111</v>
      </c>
      <c r="AY552" s="421" t="s">
        <v>3112</v>
      </c>
      <c r="AZ552" s="421" t="s">
        <v>3113</v>
      </c>
      <c r="BA552" s="421" t="s">
        <v>3114</v>
      </c>
      <c r="BB552" s="421" t="s">
        <v>3115</v>
      </c>
      <c r="BC552" s="421">
        <v>59399.72</v>
      </c>
      <c r="BD552" s="421">
        <v>169630156.38999999</v>
      </c>
      <c r="BE552" s="421">
        <v>0</v>
      </c>
      <c r="BF552" s="421">
        <v>0</v>
      </c>
      <c r="BG552" s="421">
        <v>0</v>
      </c>
      <c r="BH552" s="421">
        <v>0</v>
      </c>
      <c r="BI552" s="421" t="s">
        <v>1278</v>
      </c>
    </row>
    <row r="553" spans="1:61" x14ac:dyDescent="0.25">
      <c r="A553" s="421">
        <v>550</v>
      </c>
      <c r="B553" s="421">
        <v>2015</v>
      </c>
      <c r="C553" s="421">
        <v>10</v>
      </c>
      <c r="D553" s="421">
        <v>13</v>
      </c>
      <c r="E553" s="421" t="s">
        <v>1475</v>
      </c>
      <c r="F553" s="421" t="s">
        <v>3480</v>
      </c>
      <c r="G553" s="421" t="s">
        <v>3142</v>
      </c>
      <c r="H553" s="421" t="s">
        <v>1107</v>
      </c>
      <c r="I553" s="421" t="s">
        <v>2805</v>
      </c>
      <c r="J553" s="421" t="s">
        <v>3895</v>
      </c>
      <c r="K553" s="421" t="s">
        <v>3093</v>
      </c>
      <c r="L553" s="421" t="s">
        <v>3094</v>
      </c>
      <c r="M553" s="421" t="s">
        <v>2667</v>
      </c>
      <c r="N553" s="421" t="s">
        <v>3093</v>
      </c>
      <c r="O553" s="421" t="s">
        <v>3094</v>
      </c>
      <c r="P553" s="421" t="s">
        <v>3095</v>
      </c>
      <c r="Q553" s="421" t="s">
        <v>3096</v>
      </c>
      <c r="R553" s="421" t="s">
        <v>1108</v>
      </c>
      <c r="S553" s="421" t="s">
        <v>1542</v>
      </c>
      <c r="T553" s="421" t="s">
        <v>1130</v>
      </c>
      <c r="U553" s="421" t="s">
        <v>1112</v>
      </c>
      <c r="V553" s="421" t="s">
        <v>3097</v>
      </c>
      <c r="W553" s="421" t="s">
        <v>3098</v>
      </c>
      <c r="X553" s="421" t="s">
        <v>3099</v>
      </c>
      <c r="Y553" s="421" t="s">
        <v>1117</v>
      </c>
      <c r="Z553" s="421" t="s">
        <v>1118</v>
      </c>
      <c r="AA553" s="421" t="s">
        <v>3100</v>
      </c>
      <c r="AB553" s="421" t="s">
        <v>3101</v>
      </c>
      <c r="AC553" s="421" t="s">
        <v>3102</v>
      </c>
      <c r="AD553" s="421" t="s">
        <v>3406</v>
      </c>
      <c r="AE553" s="421" t="s">
        <v>3407</v>
      </c>
      <c r="AF553" s="421" t="s">
        <v>2236</v>
      </c>
      <c r="AG553" s="421" t="s">
        <v>2237</v>
      </c>
      <c r="AH553" s="421" t="s">
        <v>3105</v>
      </c>
      <c r="AI553" s="421">
        <v>2178800</v>
      </c>
      <c r="AJ553" s="421">
        <v>6618.8</v>
      </c>
      <c r="AK553" s="421">
        <v>7216.09</v>
      </c>
      <c r="AL553" s="421">
        <v>1</v>
      </c>
      <c r="AM553" s="421" t="s">
        <v>964</v>
      </c>
      <c r="AN553" s="421" t="s">
        <v>3425</v>
      </c>
      <c r="AO553" s="421" t="s">
        <v>1121</v>
      </c>
      <c r="AP553" s="421" t="s">
        <v>1121</v>
      </c>
      <c r="AQ553" s="421" t="s">
        <v>1542</v>
      </c>
      <c r="AR553" s="421" t="s">
        <v>3891</v>
      </c>
      <c r="AS553" s="421" t="s">
        <v>3896</v>
      </c>
      <c r="AT553" s="421" t="s">
        <v>3109</v>
      </c>
      <c r="AU553" s="421" t="s">
        <v>1142</v>
      </c>
      <c r="AV553" s="421" t="s">
        <v>2417</v>
      </c>
      <c r="AW553" s="421" t="s">
        <v>3110</v>
      </c>
      <c r="AX553" s="421" t="s">
        <v>3111</v>
      </c>
      <c r="AY553" s="421" t="s">
        <v>3112</v>
      </c>
      <c r="AZ553" s="421" t="s">
        <v>3113</v>
      </c>
      <c r="BA553" s="421" t="s">
        <v>3114</v>
      </c>
      <c r="BB553" s="421" t="s">
        <v>3115</v>
      </c>
      <c r="BC553" s="421">
        <v>95316.45</v>
      </c>
      <c r="BD553" s="421">
        <v>272198998.92000002</v>
      </c>
      <c r="BE553" s="421">
        <v>0</v>
      </c>
      <c r="BF553" s="421">
        <v>0</v>
      </c>
      <c r="BG553" s="421">
        <v>0</v>
      </c>
      <c r="BH553" s="421">
        <v>0</v>
      </c>
      <c r="BI553" s="421" t="s">
        <v>1278</v>
      </c>
    </row>
    <row r="554" spans="1:61" x14ac:dyDescent="0.25">
      <c r="A554" s="421">
        <v>551</v>
      </c>
      <c r="B554" s="421">
        <v>2015</v>
      </c>
      <c r="C554" s="421">
        <v>10</v>
      </c>
      <c r="D554" s="421">
        <v>13</v>
      </c>
      <c r="E554" s="421" t="s">
        <v>1475</v>
      </c>
      <c r="F554" s="421" t="s">
        <v>3480</v>
      </c>
      <c r="G554" s="421" t="s">
        <v>3142</v>
      </c>
      <c r="H554" s="421" t="s">
        <v>1107</v>
      </c>
      <c r="I554" s="421" t="s">
        <v>2805</v>
      </c>
      <c r="J554" s="421" t="s">
        <v>3897</v>
      </c>
      <c r="K554" s="421" t="s">
        <v>3093</v>
      </c>
      <c r="L554" s="421" t="s">
        <v>3094</v>
      </c>
      <c r="M554" s="421" t="s">
        <v>2667</v>
      </c>
      <c r="N554" s="421" t="s">
        <v>3093</v>
      </c>
      <c r="O554" s="421" t="s">
        <v>3094</v>
      </c>
      <c r="P554" s="421" t="s">
        <v>3095</v>
      </c>
      <c r="Q554" s="421" t="s">
        <v>3096</v>
      </c>
      <c r="R554" s="421" t="s">
        <v>1108</v>
      </c>
      <c r="S554" s="421" t="s">
        <v>1476</v>
      </c>
      <c r="T554" s="421" t="s">
        <v>1130</v>
      </c>
      <c r="U554" s="421" t="s">
        <v>3144</v>
      </c>
      <c r="V554" s="421" t="s">
        <v>3145</v>
      </c>
      <c r="W554" s="421" t="s">
        <v>3098</v>
      </c>
      <c r="X554" s="421" t="s">
        <v>3099</v>
      </c>
      <c r="Y554" s="421" t="s">
        <v>1117</v>
      </c>
      <c r="Z554" s="421" t="s">
        <v>1118</v>
      </c>
      <c r="AA554" s="421" t="s">
        <v>3100</v>
      </c>
      <c r="AB554" s="421" t="s">
        <v>3146</v>
      </c>
      <c r="AC554" s="421" t="s">
        <v>3102</v>
      </c>
      <c r="AD554" s="421" t="s">
        <v>3515</v>
      </c>
      <c r="AE554" s="421" t="s">
        <v>3516</v>
      </c>
      <c r="AF554" s="421" t="s">
        <v>2236</v>
      </c>
      <c r="AG554" s="421" t="s">
        <v>2237</v>
      </c>
      <c r="AH554" s="421" t="s">
        <v>3105</v>
      </c>
      <c r="AI554" s="421">
        <v>165500</v>
      </c>
      <c r="AJ554" s="421">
        <v>293.92</v>
      </c>
      <c r="AK554" s="421">
        <v>316</v>
      </c>
      <c r="AL554" s="421">
        <v>1</v>
      </c>
      <c r="AM554" s="421" t="s">
        <v>2135</v>
      </c>
      <c r="AN554" s="421" t="s">
        <v>2135</v>
      </c>
      <c r="AO554" s="421" t="s">
        <v>1121</v>
      </c>
      <c r="AP554" s="421" t="s">
        <v>1121</v>
      </c>
      <c r="AQ554" s="421" t="s">
        <v>1476</v>
      </c>
      <c r="AR554" s="421" t="s">
        <v>3891</v>
      </c>
      <c r="AS554" s="421" t="s">
        <v>3898</v>
      </c>
      <c r="AT554" s="421" t="s">
        <v>3109</v>
      </c>
      <c r="AU554" s="421" t="s">
        <v>1341</v>
      </c>
      <c r="AV554" s="421" t="s">
        <v>962</v>
      </c>
      <c r="AW554" s="421" t="s">
        <v>3110</v>
      </c>
      <c r="AX554" s="421" t="s">
        <v>3111</v>
      </c>
      <c r="AY554" s="421" t="s">
        <v>3112</v>
      </c>
      <c r="AZ554" s="421" t="s">
        <v>3113</v>
      </c>
      <c r="BA554" s="421" t="s">
        <v>3114</v>
      </c>
      <c r="BB554" s="421" t="s">
        <v>3115</v>
      </c>
      <c r="BC554" s="421">
        <v>4125.75</v>
      </c>
      <c r="BD554" s="421">
        <v>11782069.300000001</v>
      </c>
      <c r="BE554" s="421">
        <v>0</v>
      </c>
      <c r="BF554" s="421">
        <v>917.28</v>
      </c>
      <c r="BG554" s="421">
        <v>12.61</v>
      </c>
      <c r="BH554" s="421">
        <v>0</v>
      </c>
      <c r="BI554" s="421" t="s">
        <v>1167</v>
      </c>
    </row>
    <row r="555" spans="1:61" x14ac:dyDescent="0.25">
      <c r="A555" s="421">
        <v>552</v>
      </c>
      <c r="B555" s="421">
        <v>2015</v>
      </c>
      <c r="C555" s="421">
        <v>10</v>
      </c>
      <c r="D555" s="421">
        <v>15</v>
      </c>
      <c r="E555" s="421" t="s">
        <v>1475</v>
      </c>
      <c r="F555" s="421" t="s">
        <v>3480</v>
      </c>
      <c r="G555" s="421" t="s">
        <v>3563</v>
      </c>
      <c r="H555" s="421" t="s">
        <v>1107</v>
      </c>
      <c r="I555" s="421" t="s">
        <v>2800</v>
      </c>
      <c r="J555" s="421" t="s">
        <v>3899</v>
      </c>
      <c r="K555" s="421" t="s">
        <v>3093</v>
      </c>
      <c r="L555" s="421" t="s">
        <v>3094</v>
      </c>
      <c r="M555" s="421" t="s">
        <v>2667</v>
      </c>
      <c r="N555" s="421" t="s">
        <v>3093</v>
      </c>
      <c r="O555" s="421" t="s">
        <v>3094</v>
      </c>
      <c r="P555" s="421" t="s">
        <v>3095</v>
      </c>
      <c r="Q555" s="421" t="s">
        <v>3096</v>
      </c>
      <c r="R555" s="421" t="s">
        <v>1108</v>
      </c>
      <c r="S555" s="421" t="s">
        <v>1476</v>
      </c>
      <c r="T555" s="421" t="s">
        <v>1130</v>
      </c>
      <c r="U555" s="421" t="s">
        <v>3144</v>
      </c>
      <c r="V555" s="421" t="s">
        <v>3145</v>
      </c>
      <c r="W555" s="421" t="s">
        <v>3098</v>
      </c>
      <c r="X555" s="421" t="s">
        <v>3099</v>
      </c>
      <c r="Y555" s="421" t="s">
        <v>1117</v>
      </c>
      <c r="Z555" s="421" t="s">
        <v>1118</v>
      </c>
      <c r="AA555" s="421" t="s">
        <v>3100</v>
      </c>
      <c r="AB555" s="421" t="s">
        <v>3146</v>
      </c>
      <c r="AC555" s="421" t="s">
        <v>3102</v>
      </c>
      <c r="AD555" s="421" t="s">
        <v>3170</v>
      </c>
      <c r="AE555" s="421" t="s">
        <v>3171</v>
      </c>
      <c r="AF555" s="421" t="s">
        <v>2236</v>
      </c>
      <c r="AG555" s="421" t="s">
        <v>2237</v>
      </c>
      <c r="AH555" s="421" t="s">
        <v>3105</v>
      </c>
      <c r="AI555" s="421">
        <v>44500</v>
      </c>
      <c r="AJ555" s="421">
        <v>125.75</v>
      </c>
      <c r="AK555" s="421">
        <v>135</v>
      </c>
      <c r="AL555" s="421">
        <v>1</v>
      </c>
      <c r="AM555" s="421" t="s">
        <v>2429</v>
      </c>
      <c r="AN555" s="421" t="s">
        <v>3172</v>
      </c>
      <c r="AO555" s="421" t="s">
        <v>1121</v>
      </c>
      <c r="AP555" s="421" t="s">
        <v>1121</v>
      </c>
      <c r="AQ555" s="421" t="s">
        <v>1476</v>
      </c>
      <c r="AR555" s="421" t="s">
        <v>3891</v>
      </c>
      <c r="AS555" s="421" t="s">
        <v>3900</v>
      </c>
      <c r="AT555" s="421" t="s">
        <v>3109</v>
      </c>
      <c r="AU555" s="421" t="s">
        <v>1341</v>
      </c>
      <c r="AV555" s="421" t="s">
        <v>962</v>
      </c>
      <c r="AW555" s="421" t="s">
        <v>3110</v>
      </c>
      <c r="AX555" s="421" t="s">
        <v>3111</v>
      </c>
      <c r="AY555" s="421" t="s">
        <v>3112</v>
      </c>
      <c r="AZ555" s="421" t="s">
        <v>3113</v>
      </c>
      <c r="BA555" s="421" t="s">
        <v>3114</v>
      </c>
      <c r="BB555" s="421" t="s">
        <v>3115</v>
      </c>
      <c r="BC555" s="421">
        <v>1990</v>
      </c>
      <c r="BD555" s="421">
        <v>5828093.0999999996</v>
      </c>
      <c r="BE555" s="421">
        <v>0</v>
      </c>
      <c r="BF555" s="421">
        <v>509.86</v>
      </c>
      <c r="BG555" s="421">
        <v>12</v>
      </c>
      <c r="BH555" s="421">
        <v>0</v>
      </c>
      <c r="BI555" s="421" t="s">
        <v>1331</v>
      </c>
    </row>
    <row r="556" spans="1:61" x14ac:dyDescent="0.25">
      <c r="A556" s="421">
        <v>553</v>
      </c>
      <c r="B556" s="421">
        <v>2015</v>
      </c>
      <c r="C556" s="421">
        <v>10</v>
      </c>
      <c r="D556" s="421">
        <v>19</v>
      </c>
      <c r="E556" s="421" t="s">
        <v>1475</v>
      </c>
      <c r="F556" s="421" t="s">
        <v>3480</v>
      </c>
      <c r="G556" s="421" t="s">
        <v>3404</v>
      </c>
      <c r="H556" s="421" t="s">
        <v>1107</v>
      </c>
      <c r="I556" s="421" t="s">
        <v>2827</v>
      </c>
      <c r="J556" s="421" t="s">
        <v>3901</v>
      </c>
      <c r="K556" s="421" t="s">
        <v>3093</v>
      </c>
      <c r="L556" s="421" t="s">
        <v>3094</v>
      </c>
      <c r="M556" s="421" t="s">
        <v>2667</v>
      </c>
      <c r="N556" s="421" t="s">
        <v>3093</v>
      </c>
      <c r="O556" s="421" t="s">
        <v>3094</v>
      </c>
      <c r="P556" s="421" t="s">
        <v>3095</v>
      </c>
      <c r="Q556" s="421" t="s">
        <v>3096</v>
      </c>
      <c r="R556" s="421" t="s">
        <v>1108</v>
      </c>
      <c r="S556" s="421" t="s">
        <v>1542</v>
      </c>
      <c r="T556" s="421" t="s">
        <v>1130</v>
      </c>
      <c r="U556" s="421" t="s">
        <v>1112</v>
      </c>
      <c r="V556" s="421" t="s">
        <v>3097</v>
      </c>
      <c r="W556" s="421" t="s">
        <v>3098</v>
      </c>
      <c r="X556" s="421" t="s">
        <v>3099</v>
      </c>
      <c r="Y556" s="421" t="s">
        <v>1117</v>
      </c>
      <c r="Z556" s="421" t="s">
        <v>1118</v>
      </c>
      <c r="AA556" s="421" t="s">
        <v>3100</v>
      </c>
      <c r="AB556" s="421" t="s">
        <v>3101</v>
      </c>
      <c r="AC556" s="421" t="s">
        <v>3102</v>
      </c>
      <c r="AD556" s="421" t="s">
        <v>3117</v>
      </c>
      <c r="AE556" s="421" t="s">
        <v>3118</v>
      </c>
      <c r="AF556" s="421" t="s">
        <v>2236</v>
      </c>
      <c r="AG556" s="421" t="s">
        <v>2237</v>
      </c>
      <c r="AH556" s="421" t="s">
        <v>3105</v>
      </c>
      <c r="AI556" s="421">
        <v>192000</v>
      </c>
      <c r="AJ556" s="421">
        <v>420.56</v>
      </c>
      <c r="AK556" s="421">
        <v>465.87</v>
      </c>
      <c r="AL556" s="421">
        <v>2</v>
      </c>
      <c r="AM556" s="421" t="s">
        <v>3119</v>
      </c>
      <c r="AN556" s="421" t="s">
        <v>3120</v>
      </c>
      <c r="AO556" s="421" t="s">
        <v>1121</v>
      </c>
      <c r="AP556" s="421" t="s">
        <v>1121</v>
      </c>
      <c r="AQ556" s="421" t="s">
        <v>1542</v>
      </c>
      <c r="AR556" s="421" t="s">
        <v>3891</v>
      </c>
      <c r="AS556" s="421" t="s">
        <v>3902</v>
      </c>
      <c r="AT556" s="421" t="s">
        <v>3109</v>
      </c>
      <c r="AU556" s="421" t="s">
        <v>1142</v>
      </c>
      <c r="AV556" s="421" t="s">
        <v>2520</v>
      </c>
      <c r="AW556" s="421" t="s">
        <v>3110</v>
      </c>
      <c r="AX556" s="421" t="s">
        <v>3131</v>
      </c>
      <c r="AY556" s="421" t="s">
        <v>3112</v>
      </c>
      <c r="AZ556" s="421" t="s">
        <v>3113</v>
      </c>
      <c r="BA556" s="421" t="s">
        <v>3114</v>
      </c>
      <c r="BB556" s="421" t="s">
        <v>3115</v>
      </c>
      <c r="BC556" s="421">
        <v>8544</v>
      </c>
      <c r="BD556" s="421">
        <v>24605780.16</v>
      </c>
      <c r="BE556" s="421">
        <v>0</v>
      </c>
      <c r="BF556" s="421">
        <v>68.95</v>
      </c>
      <c r="BG556" s="421">
        <v>21.53</v>
      </c>
      <c r="BH556" s="421">
        <v>0</v>
      </c>
      <c r="BI556" s="421" t="s">
        <v>1331</v>
      </c>
    </row>
    <row r="557" spans="1:61" x14ac:dyDescent="0.25">
      <c r="A557" s="421">
        <v>554</v>
      </c>
      <c r="B557" s="421">
        <v>2015</v>
      </c>
      <c r="C557" s="421">
        <v>10</v>
      </c>
      <c r="D557" s="421">
        <v>19</v>
      </c>
      <c r="E557" s="421" t="s">
        <v>1475</v>
      </c>
      <c r="F557" s="421" t="s">
        <v>3480</v>
      </c>
      <c r="G557" s="421" t="s">
        <v>3404</v>
      </c>
      <c r="H557" s="421" t="s">
        <v>1107</v>
      </c>
      <c r="I557" s="421" t="s">
        <v>2827</v>
      </c>
      <c r="J557" s="421" t="s">
        <v>3901</v>
      </c>
      <c r="K557" s="421" t="s">
        <v>3093</v>
      </c>
      <c r="L557" s="421" t="s">
        <v>3094</v>
      </c>
      <c r="M557" s="421" t="s">
        <v>2667</v>
      </c>
      <c r="N557" s="421" t="s">
        <v>3093</v>
      </c>
      <c r="O557" s="421" t="s">
        <v>3094</v>
      </c>
      <c r="P557" s="421" t="s">
        <v>3095</v>
      </c>
      <c r="Q557" s="421" t="s">
        <v>3096</v>
      </c>
      <c r="R557" s="421" t="s">
        <v>1108</v>
      </c>
      <c r="S557" s="421" t="s">
        <v>1542</v>
      </c>
      <c r="T557" s="421" t="s">
        <v>1130</v>
      </c>
      <c r="U557" s="421" t="s">
        <v>1112</v>
      </c>
      <c r="V557" s="421" t="s">
        <v>3097</v>
      </c>
      <c r="W557" s="421" t="s">
        <v>3098</v>
      </c>
      <c r="X557" s="421" t="s">
        <v>3099</v>
      </c>
      <c r="Y557" s="421" t="s">
        <v>1117</v>
      </c>
      <c r="Z557" s="421" t="s">
        <v>1118</v>
      </c>
      <c r="AA557" s="421" t="s">
        <v>3100</v>
      </c>
      <c r="AB557" s="421" t="s">
        <v>3101</v>
      </c>
      <c r="AC557" s="421" t="s">
        <v>3102</v>
      </c>
      <c r="AD557" s="421" t="s">
        <v>3117</v>
      </c>
      <c r="AE557" s="421" t="s">
        <v>3118</v>
      </c>
      <c r="AF557" s="421" t="s">
        <v>2236</v>
      </c>
      <c r="AG557" s="421" t="s">
        <v>2237</v>
      </c>
      <c r="AH557" s="421" t="s">
        <v>3105</v>
      </c>
      <c r="AI557" s="421">
        <v>148000</v>
      </c>
      <c r="AJ557" s="421">
        <v>313.01</v>
      </c>
      <c r="AK557" s="421">
        <v>346.74</v>
      </c>
      <c r="AL557" s="421">
        <v>1</v>
      </c>
      <c r="AM557" s="421" t="s">
        <v>3119</v>
      </c>
      <c r="AN557" s="421" t="s">
        <v>3120</v>
      </c>
      <c r="AO557" s="421" t="s">
        <v>1121</v>
      </c>
      <c r="AP557" s="421" t="s">
        <v>1121</v>
      </c>
      <c r="AQ557" s="421" t="s">
        <v>1542</v>
      </c>
      <c r="AR557" s="421" t="s">
        <v>3891</v>
      </c>
      <c r="AS557" s="421" t="s">
        <v>3902</v>
      </c>
      <c r="AT557" s="421" t="s">
        <v>3109</v>
      </c>
      <c r="AU557" s="421" t="s">
        <v>1142</v>
      </c>
      <c r="AV557" s="421" t="s">
        <v>2520</v>
      </c>
      <c r="AW557" s="421" t="s">
        <v>3110</v>
      </c>
      <c r="AX557" s="421" t="s">
        <v>3131</v>
      </c>
      <c r="AY557" s="421" t="s">
        <v>3112</v>
      </c>
      <c r="AZ557" s="421" t="s">
        <v>3113</v>
      </c>
      <c r="BA557" s="421" t="s">
        <v>3114</v>
      </c>
      <c r="BB557" s="421" t="s">
        <v>3115</v>
      </c>
      <c r="BC557" s="421">
        <v>3848</v>
      </c>
      <c r="BD557" s="421">
        <v>11081816.720000001</v>
      </c>
      <c r="BE557" s="421">
        <v>0</v>
      </c>
      <c r="BF557" s="421">
        <v>31.05</v>
      </c>
      <c r="BG557" s="421">
        <v>9.6999999999999993</v>
      </c>
      <c r="BH557" s="421">
        <v>0</v>
      </c>
      <c r="BI557" s="421" t="s">
        <v>1331</v>
      </c>
    </row>
    <row r="558" spans="1:61" x14ac:dyDescent="0.25">
      <c r="A558" s="421">
        <v>555</v>
      </c>
      <c r="B558" s="421">
        <v>2015</v>
      </c>
      <c r="C558" s="421">
        <v>10</v>
      </c>
      <c r="D558" s="421">
        <v>19</v>
      </c>
      <c r="E558" s="421" t="s">
        <v>1475</v>
      </c>
      <c r="F558" s="421" t="s">
        <v>3480</v>
      </c>
      <c r="G558" s="421" t="s">
        <v>3404</v>
      </c>
      <c r="H558" s="421" t="s">
        <v>1107</v>
      </c>
      <c r="I558" s="421" t="s">
        <v>2827</v>
      </c>
      <c r="J558" s="421" t="s">
        <v>3903</v>
      </c>
      <c r="K558" s="421" t="s">
        <v>3093</v>
      </c>
      <c r="L558" s="421" t="s">
        <v>3094</v>
      </c>
      <c r="M558" s="421" t="s">
        <v>2667</v>
      </c>
      <c r="N558" s="421" t="s">
        <v>3093</v>
      </c>
      <c r="O558" s="421" t="s">
        <v>3094</v>
      </c>
      <c r="P558" s="421" t="s">
        <v>3095</v>
      </c>
      <c r="Q558" s="421" t="s">
        <v>3096</v>
      </c>
      <c r="R558" s="421" t="s">
        <v>1108</v>
      </c>
      <c r="S558" s="421" t="s">
        <v>1542</v>
      </c>
      <c r="T558" s="421" t="s">
        <v>1130</v>
      </c>
      <c r="U558" s="421" t="s">
        <v>1112</v>
      </c>
      <c r="V558" s="421" t="s">
        <v>3097</v>
      </c>
      <c r="W558" s="421" t="s">
        <v>3098</v>
      </c>
      <c r="X558" s="421" t="s">
        <v>3099</v>
      </c>
      <c r="Y558" s="421" t="s">
        <v>1117</v>
      </c>
      <c r="Z558" s="421" t="s">
        <v>1118</v>
      </c>
      <c r="AA558" s="421" t="s">
        <v>3100</v>
      </c>
      <c r="AB558" s="421" t="s">
        <v>3101</v>
      </c>
      <c r="AC558" s="421" t="s">
        <v>3102</v>
      </c>
      <c r="AD558" s="421" t="s">
        <v>3117</v>
      </c>
      <c r="AE558" s="421" t="s">
        <v>3118</v>
      </c>
      <c r="AF558" s="421" t="s">
        <v>2236</v>
      </c>
      <c r="AG558" s="421" t="s">
        <v>2237</v>
      </c>
      <c r="AH558" s="421" t="s">
        <v>3105</v>
      </c>
      <c r="AI558" s="421">
        <v>180600</v>
      </c>
      <c r="AJ558" s="421">
        <v>529.66</v>
      </c>
      <c r="AK558" s="421">
        <v>576.51</v>
      </c>
      <c r="AL558" s="421">
        <v>3</v>
      </c>
      <c r="AM558" s="421" t="s">
        <v>3119</v>
      </c>
      <c r="AN558" s="421" t="s">
        <v>3120</v>
      </c>
      <c r="AO558" s="421" t="s">
        <v>1121</v>
      </c>
      <c r="AP558" s="421" t="s">
        <v>1121</v>
      </c>
      <c r="AQ558" s="421" t="s">
        <v>1542</v>
      </c>
      <c r="AR558" s="421" t="s">
        <v>3891</v>
      </c>
      <c r="AS558" s="421" t="s">
        <v>3904</v>
      </c>
      <c r="AT558" s="421" t="s">
        <v>3109</v>
      </c>
      <c r="AU558" s="421" t="s">
        <v>1142</v>
      </c>
      <c r="AV558" s="421" t="s">
        <v>2520</v>
      </c>
      <c r="AW558" s="421" t="s">
        <v>3110</v>
      </c>
      <c r="AX558" s="421" t="s">
        <v>3111</v>
      </c>
      <c r="AY558" s="421" t="s">
        <v>3112</v>
      </c>
      <c r="AZ558" s="421" t="s">
        <v>3113</v>
      </c>
      <c r="BA558" s="421" t="s">
        <v>3114</v>
      </c>
      <c r="BB558" s="421" t="s">
        <v>3115</v>
      </c>
      <c r="BC558" s="421">
        <v>19919</v>
      </c>
      <c r="BD558" s="421">
        <v>57364528.909999996</v>
      </c>
      <c r="BE558" s="421">
        <v>0</v>
      </c>
      <c r="BF558" s="421">
        <v>136.16999999999999</v>
      </c>
      <c r="BG558" s="421">
        <v>50.14</v>
      </c>
      <c r="BH558" s="421">
        <v>0</v>
      </c>
      <c r="BI558" s="421" t="s">
        <v>1331</v>
      </c>
    </row>
    <row r="559" spans="1:61" x14ac:dyDescent="0.25">
      <c r="A559" s="421">
        <v>556</v>
      </c>
      <c r="B559" s="421">
        <v>2015</v>
      </c>
      <c r="C559" s="421">
        <v>10</v>
      </c>
      <c r="D559" s="421">
        <v>19</v>
      </c>
      <c r="E559" s="421" t="s">
        <v>1475</v>
      </c>
      <c r="F559" s="421" t="s">
        <v>3480</v>
      </c>
      <c r="G559" s="421" t="s">
        <v>3404</v>
      </c>
      <c r="H559" s="421" t="s">
        <v>1107</v>
      </c>
      <c r="I559" s="421" t="s">
        <v>2827</v>
      </c>
      <c r="J559" s="421" t="s">
        <v>3903</v>
      </c>
      <c r="K559" s="421" t="s">
        <v>3093</v>
      </c>
      <c r="L559" s="421" t="s">
        <v>3094</v>
      </c>
      <c r="M559" s="421" t="s">
        <v>2667</v>
      </c>
      <c r="N559" s="421" t="s">
        <v>3093</v>
      </c>
      <c r="O559" s="421" t="s">
        <v>3094</v>
      </c>
      <c r="P559" s="421" t="s">
        <v>3095</v>
      </c>
      <c r="Q559" s="421" t="s">
        <v>3096</v>
      </c>
      <c r="R559" s="421" t="s">
        <v>1108</v>
      </c>
      <c r="S559" s="421" t="s">
        <v>1542</v>
      </c>
      <c r="T559" s="421" t="s">
        <v>1130</v>
      </c>
      <c r="U559" s="421" t="s">
        <v>1112</v>
      </c>
      <c r="V559" s="421" t="s">
        <v>3097</v>
      </c>
      <c r="W559" s="421" t="s">
        <v>3098</v>
      </c>
      <c r="X559" s="421" t="s">
        <v>3099</v>
      </c>
      <c r="Y559" s="421" t="s">
        <v>1117</v>
      </c>
      <c r="Z559" s="421" t="s">
        <v>1118</v>
      </c>
      <c r="AA559" s="421" t="s">
        <v>3100</v>
      </c>
      <c r="AB559" s="421" t="s">
        <v>3101</v>
      </c>
      <c r="AC559" s="421" t="s">
        <v>3102</v>
      </c>
      <c r="AD559" s="421" t="s">
        <v>3117</v>
      </c>
      <c r="AE559" s="421" t="s">
        <v>3118</v>
      </c>
      <c r="AF559" s="421" t="s">
        <v>2236</v>
      </c>
      <c r="AG559" s="421" t="s">
        <v>2237</v>
      </c>
      <c r="AH559" s="421" t="s">
        <v>3105</v>
      </c>
      <c r="AI559" s="421">
        <v>479000</v>
      </c>
      <c r="AJ559" s="421">
        <v>965.26</v>
      </c>
      <c r="AK559" s="421">
        <v>1050.6400000000001</v>
      </c>
      <c r="AL559" s="421">
        <v>2</v>
      </c>
      <c r="AM559" s="421" t="s">
        <v>3119</v>
      </c>
      <c r="AN559" s="421" t="s">
        <v>3120</v>
      </c>
      <c r="AO559" s="421" t="s">
        <v>1121</v>
      </c>
      <c r="AP559" s="421" t="s">
        <v>1121</v>
      </c>
      <c r="AQ559" s="421" t="s">
        <v>1542</v>
      </c>
      <c r="AR559" s="421" t="s">
        <v>3891</v>
      </c>
      <c r="AS559" s="421" t="s">
        <v>3904</v>
      </c>
      <c r="AT559" s="421" t="s">
        <v>3109</v>
      </c>
      <c r="AU559" s="421" t="s">
        <v>1142</v>
      </c>
      <c r="AV559" s="421" t="s">
        <v>2520</v>
      </c>
      <c r="AW559" s="421" t="s">
        <v>3110</v>
      </c>
      <c r="AX559" s="421" t="s">
        <v>3111</v>
      </c>
      <c r="AY559" s="421" t="s">
        <v>3112</v>
      </c>
      <c r="AZ559" s="421" t="s">
        <v>3113</v>
      </c>
      <c r="BA559" s="421" t="s">
        <v>3114</v>
      </c>
      <c r="BB559" s="421" t="s">
        <v>3115</v>
      </c>
      <c r="BC559" s="421">
        <v>15732.5</v>
      </c>
      <c r="BD559" s="421">
        <v>45307869.420000002</v>
      </c>
      <c r="BE559" s="421">
        <v>0</v>
      </c>
      <c r="BF559" s="421">
        <v>107.55</v>
      </c>
      <c r="BG559" s="421">
        <v>39.6</v>
      </c>
      <c r="BH559" s="421">
        <v>0</v>
      </c>
      <c r="BI559" s="421" t="s">
        <v>1331</v>
      </c>
    </row>
    <row r="560" spans="1:61" x14ac:dyDescent="0.25">
      <c r="A560" s="421">
        <v>557</v>
      </c>
      <c r="B560" s="421">
        <v>2015</v>
      </c>
      <c r="C560" s="421">
        <v>10</v>
      </c>
      <c r="D560" s="421">
        <v>19</v>
      </c>
      <c r="E560" s="421" t="s">
        <v>1475</v>
      </c>
      <c r="F560" s="421" t="s">
        <v>3480</v>
      </c>
      <c r="G560" s="421" t="s">
        <v>3404</v>
      </c>
      <c r="H560" s="421" t="s">
        <v>1107</v>
      </c>
      <c r="I560" s="421" t="s">
        <v>2827</v>
      </c>
      <c r="J560" s="421" t="s">
        <v>3903</v>
      </c>
      <c r="K560" s="421" t="s">
        <v>3093</v>
      </c>
      <c r="L560" s="421" t="s">
        <v>3094</v>
      </c>
      <c r="M560" s="421" t="s">
        <v>2667</v>
      </c>
      <c r="N560" s="421" t="s">
        <v>3093</v>
      </c>
      <c r="O560" s="421" t="s">
        <v>3094</v>
      </c>
      <c r="P560" s="421" t="s">
        <v>3095</v>
      </c>
      <c r="Q560" s="421" t="s">
        <v>3096</v>
      </c>
      <c r="R560" s="421" t="s">
        <v>1108</v>
      </c>
      <c r="S560" s="421" t="s">
        <v>1542</v>
      </c>
      <c r="T560" s="421" t="s">
        <v>1130</v>
      </c>
      <c r="U560" s="421" t="s">
        <v>1112</v>
      </c>
      <c r="V560" s="421" t="s">
        <v>3097</v>
      </c>
      <c r="W560" s="421" t="s">
        <v>3098</v>
      </c>
      <c r="X560" s="421" t="s">
        <v>3099</v>
      </c>
      <c r="Y560" s="421" t="s">
        <v>1117</v>
      </c>
      <c r="Z560" s="421" t="s">
        <v>1118</v>
      </c>
      <c r="AA560" s="421" t="s">
        <v>3100</v>
      </c>
      <c r="AB560" s="421" t="s">
        <v>3101</v>
      </c>
      <c r="AC560" s="421" t="s">
        <v>3102</v>
      </c>
      <c r="AD560" s="421" t="s">
        <v>3117</v>
      </c>
      <c r="AE560" s="421" t="s">
        <v>3118</v>
      </c>
      <c r="AF560" s="421" t="s">
        <v>2236</v>
      </c>
      <c r="AG560" s="421" t="s">
        <v>2237</v>
      </c>
      <c r="AH560" s="421" t="s">
        <v>3105</v>
      </c>
      <c r="AI560" s="421">
        <v>1794000</v>
      </c>
      <c r="AJ560" s="421">
        <v>3062.32</v>
      </c>
      <c r="AK560" s="421">
        <v>3333.2</v>
      </c>
      <c r="AL560" s="421">
        <v>1</v>
      </c>
      <c r="AM560" s="421" t="s">
        <v>3119</v>
      </c>
      <c r="AN560" s="421" t="s">
        <v>3120</v>
      </c>
      <c r="AO560" s="421" t="s">
        <v>1121</v>
      </c>
      <c r="AP560" s="421" t="s">
        <v>1121</v>
      </c>
      <c r="AQ560" s="421" t="s">
        <v>1542</v>
      </c>
      <c r="AR560" s="421" t="s">
        <v>3891</v>
      </c>
      <c r="AS560" s="421" t="s">
        <v>3904</v>
      </c>
      <c r="AT560" s="421" t="s">
        <v>3109</v>
      </c>
      <c r="AU560" s="421" t="s">
        <v>1142</v>
      </c>
      <c r="AV560" s="421" t="s">
        <v>2520</v>
      </c>
      <c r="AW560" s="421" t="s">
        <v>3110</v>
      </c>
      <c r="AX560" s="421" t="s">
        <v>3111</v>
      </c>
      <c r="AY560" s="421" t="s">
        <v>3112</v>
      </c>
      <c r="AZ560" s="421" t="s">
        <v>3113</v>
      </c>
      <c r="BA560" s="421" t="s">
        <v>3114</v>
      </c>
      <c r="BB560" s="421" t="s">
        <v>3115</v>
      </c>
      <c r="BC560" s="421">
        <v>47124</v>
      </c>
      <c r="BD560" s="421">
        <v>135711936.36000001</v>
      </c>
      <c r="BE560" s="421">
        <v>0</v>
      </c>
      <c r="BF560" s="421">
        <v>322.16000000000003</v>
      </c>
      <c r="BG560" s="421">
        <v>118.61</v>
      </c>
      <c r="BH560" s="421">
        <v>0</v>
      </c>
      <c r="BI560" s="421" t="s">
        <v>1331</v>
      </c>
    </row>
    <row r="561" spans="1:61" x14ac:dyDescent="0.25">
      <c r="A561" s="421">
        <v>558</v>
      </c>
      <c r="B561" s="421">
        <v>2015</v>
      </c>
      <c r="C561" s="421">
        <v>10</v>
      </c>
      <c r="D561" s="421">
        <v>19</v>
      </c>
      <c r="E561" s="421" t="s">
        <v>1475</v>
      </c>
      <c r="F561" s="421" t="s">
        <v>3480</v>
      </c>
      <c r="G561" s="421" t="s">
        <v>3404</v>
      </c>
      <c r="H561" s="421" t="s">
        <v>1107</v>
      </c>
      <c r="I561" s="421" t="s">
        <v>2827</v>
      </c>
      <c r="J561" s="421" t="s">
        <v>3903</v>
      </c>
      <c r="K561" s="421" t="s">
        <v>3093</v>
      </c>
      <c r="L561" s="421" t="s">
        <v>3094</v>
      </c>
      <c r="M561" s="421" t="s">
        <v>2667</v>
      </c>
      <c r="N561" s="421" t="s">
        <v>3093</v>
      </c>
      <c r="O561" s="421" t="s">
        <v>3094</v>
      </c>
      <c r="P561" s="421" t="s">
        <v>3095</v>
      </c>
      <c r="Q561" s="421" t="s">
        <v>3096</v>
      </c>
      <c r="R561" s="421" t="s">
        <v>1108</v>
      </c>
      <c r="S561" s="421" t="s">
        <v>1542</v>
      </c>
      <c r="T561" s="421" t="s">
        <v>1130</v>
      </c>
      <c r="U561" s="421" t="s">
        <v>1112</v>
      </c>
      <c r="V561" s="421" t="s">
        <v>3097</v>
      </c>
      <c r="W561" s="421" t="s">
        <v>3098</v>
      </c>
      <c r="X561" s="421" t="s">
        <v>3099</v>
      </c>
      <c r="Y561" s="421" t="s">
        <v>1117</v>
      </c>
      <c r="Z561" s="421" t="s">
        <v>1118</v>
      </c>
      <c r="AA561" s="421" t="s">
        <v>3100</v>
      </c>
      <c r="AB561" s="421" t="s">
        <v>3101</v>
      </c>
      <c r="AC561" s="421" t="s">
        <v>3102</v>
      </c>
      <c r="AD561" s="421" t="s">
        <v>3117</v>
      </c>
      <c r="AE561" s="421" t="s">
        <v>3118</v>
      </c>
      <c r="AF561" s="421" t="s">
        <v>2236</v>
      </c>
      <c r="AG561" s="421" t="s">
        <v>2237</v>
      </c>
      <c r="AH561" s="421" t="s">
        <v>3105</v>
      </c>
      <c r="AI561" s="421">
        <v>203000</v>
      </c>
      <c r="AJ561" s="421">
        <v>720.48</v>
      </c>
      <c r="AK561" s="421">
        <v>784.21</v>
      </c>
      <c r="AL561" s="421">
        <v>4</v>
      </c>
      <c r="AM561" s="421" t="s">
        <v>3119</v>
      </c>
      <c r="AN561" s="421" t="s">
        <v>3120</v>
      </c>
      <c r="AO561" s="421" t="s">
        <v>1121</v>
      </c>
      <c r="AP561" s="421" t="s">
        <v>1121</v>
      </c>
      <c r="AQ561" s="421" t="s">
        <v>1542</v>
      </c>
      <c r="AR561" s="421" t="s">
        <v>3891</v>
      </c>
      <c r="AS561" s="421" t="s">
        <v>3904</v>
      </c>
      <c r="AT561" s="421" t="s">
        <v>3109</v>
      </c>
      <c r="AU561" s="421" t="s">
        <v>1142</v>
      </c>
      <c r="AV561" s="421" t="s">
        <v>2520</v>
      </c>
      <c r="AW561" s="421" t="s">
        <v>3110</v>
      </c>
      <c r="AX561" s="421" t="s">
        <v>3111</v>
      </c>
      <c r="AY561" s="421" t="s">
        <v>3112</v>
      </c>
      <c r="AZ561" s="421" t="s">
        <v>3113</v>
      </c>
      <c r="BA561" s="421" t="s">
        <v>3114</v>
      </c>
      <c r="BB561" s="421" t="s">
        <v>3115</v>
      </c>
      <c r="BC561" s="421">
        <v>26931.5</v>
      </c>
      <c r="BD561" s="421">
        <v>77559757.530000001</v>
      </c>
      <c r="BE561" s="421">
        <v>0</v>
      </c>
      <c r="BF561" s="421">
        <v>184.11</v>
      </c>
      <c r="BG561" s="421">
        <v>67.790000000000006</v>
      </c>
      <c r="BH561" s="421">
        <v>0</v>
      </c>
      <c r="BI561" s="421" t="s">
        <v>1331</v>
      </c>
    </row>
    <row r="562" spans="1:61" x14ac:dyDescent="0.25">
      <c r="A562" s="421">
        <v>559</v>
      </c>
      <c r="B562" s="421">
        <v>2015</v>
      </c>
      <c r="C562" s="421">
        <v>10</v>
      </c>
      <c r="D562" s="421">
        <v>19</v>
      </c>
      <c r="E562" s="421" t="s">
        <v>1475</v>
      </c>
      <c r="F562" s="421" t="s">
        <v>3480</v>
      </c>
      <c r="G562" s="421" t="s">
        <v>3404</v>
      </c>
      <c r="H562" s="421" t="s">
        <v>1107</v>
      </c>
      <c r="I562" s="421" t="s">
        <v>2827</v>
      </c>
      <c r="J562" s="421" t="s">
        <v>3905</v>
      </c>
      <c r="K562" s="421" t="s">
        <v>3093</v>
      </c>
      <c r="L562" s="421" t="s">
        <v>3094</v>
      </c>
      <c r="M562" s="421" t="s">
        <v>2667</v>
      </c>
      <c r="N562" s="421" t="s">
        <v>3093</v>
      </c>
      <c r="O562" s="421" t="s">
        <v>3094</v>
      </c>
      <c r="P562" s="421" t="s">
        <v>3095</v>
      </c>
      <c r="Q562" s="421" t="s">
        <v>3113</v>
      </c>
      <c r="R562" s="421" t="s">
        <v>1108</v>
      </c>
      <c r="S562" s="421" t="s">
        <v>1108</v>
      </c>
      <c r="T562" s="421" t="s">
        <v>1130</v>
      </c>
      <c r="U562" s="421" t="s">
        <v>1112</v>
      </c>
      <c r="V562" s="421" t="s">
        <v>3097</v>
      </c>
      <c r="W562" s="421" t="s">
        <v>3098</v>
      </c>
      <c r="X562" s="421" t="s">
        <v>3099</v>
      </c>
      <c r="Y562" s="421" t="s">
        <v>1117</v>
      </c>
      <c r="Z562" s="421" t="s">
        <v>1118</v>
      </c>
      <c r="AA562" s="421" t="s">
        <v>3100</v>
      </c>
      <c r="AB562" s="421" t="s">
        <v>3101</v>
      </c>
      <c r="AC562" s="421" t="s">
        <v>3102</v>
      </c>
      <c r="AD562" s="421" t="s">
        <v>3269</v>
      </c>
      <c r="AE562" s="421" t="s">
        <v>3378</v>
      </c>
      <c r="AF562" s="421" t="s">
        <v>3906</v>
      </c>
      <c r="AG562" s="421" t="s">
        <v>3907</v>
      </c>
      <c r="AH562" s="421" t="s">
        <v>1127</v>
      </c>
      <c r="AI562" s="421">
        <v>77.87</v>
      </c>
      <c r="AJ562" s="421">
        <v>77.87</v>
      </c>
      <c r="AK562" s="421">
        <v>82.52</v>
      </c>
      <c r="AL562" s="421">
        <v>1</v>
      </c>
      <c r="AM562" s="421" t="s">
        <v>966</v>
      </c>
      <c r="AN562" s="421" t="s">
        <v>3271</v>
      </c>
      <c r="AO562" s="421" t="s">
        <v>1121</v>
      </c>
      <c r="AP562" s="421" t="s">
        <v>1121</v>
      </c>
      <c r="AQ562" s="421" t="s">
        <v>1108</v>
      </c>
      <c r="AR562" s="421" t="s">
        <v>3891</v>
      </c>
      <c r="AS562" s="421" t="s">
        <v>3908</v>
      </c>
      <c r="AT562" s="421" t="s">
        <v>3109</v>
      </c>
      <c r="AU562" s="421" t="s">
        <v>1142</v>
      </c>
      <c r="AV562" s="421" t="s">
        <v>2037</v>
      </c>
      <c r="AW562" s="421" t="s">
        <v>3110</v>
      </c>
      <c r="AX562" s="421" t="s">
        <v>3111</v>
      </c>
      <c r="AY562" s="421" t="s">
        <v>3112</v>
      </c>
      <c r="AZ562" s="421" t="s">
        <v>3113</v>
      </c>
      <c r="BA562" s="421" t="s">
        <v>3114</v>
      </c>
      <c r="BB562" s="421" t="s">
        <v>3115</v>
      </c>
      <c r="BC562" s="421">
        <v>1514</v>
      </c>
      <c r="BD562" s="421">
        <v>4360153.46</v>
      </c>
      <c r="BE562" s="421">
        <v>0</v>
      </c>
      <c r="BF562" s="421">
        <v>100</v>
      </c>
      <c r="BG562" s="421">
        <v>12</v>
      </c>
      <c r="BH562" s="421">
        <v>0</v>
      </c>
      <c r="BI562" s="421" t="s">
        <v>1167</v>
      </c>
    </row>
    <row r="563" spans="1:61" x14ac:dyDescent="0.25">
      <c r="A563" s="421">
        <v>560</v>
      </c>
      <c r="B563" s="421">
        <v>2015</v>
      </c>
      <c r="C563" s="421">
        <v>10</v>
      </c>
      <c r="D563" s="421">
        <v>19</v>
      </c>
      <c r="E563" s="421" t="s">
        <v>1475</v>
      </c>
      <c r="F563" s="421" t="s">
        <v>3480</v>
      </c>
      <c r="G563" s="421" t="s">
        <v>3404</v>
      </c>
      <c r="H563" s="421" t="s">
        <v>1107</v>
      </c>
      <c r="I563" s="421" t="s">
        <v>2827</v>
      </c>
      <c r="J563" s="421" t="s">
        <v>3909</v>
      </c>
      <c r="K563" s="421" t="s">
        <v>3093</v>
      </c>
      <c r="L563" s="421" t="s">
        <v>3094</v>
      </c>
      <c r="M563" s="421" t="s">
        <v>2667</v>
      </c>
      <c r="N563" s="421" t="s">
        <v>3093</v>
      </c>
      <c r="O563" s="421" t="s">
        <v>3094</v>
      </c>
      <c r="P563" s="421" t="s">
        <v>3095</v>
      </c>
      <c r="Q563" s="421" t="s">
        <v>3113</v>
      </c>
      <c r="R563" s="421" t="s">
        <v>1108</v>
      </c>
      <c r="S563" s="421" t="s">
        <v>1108</v>
      </c>
      <c r="T563" s="421" t="s">
        <v>1130</v>
      </c>
      <c r="U563" s="421" t="s">
        <v>1112</v>
      </c>
      <c r="V563" s="421" t="s">
        <v>3097</v>
      </c>
      <c r="W563" s="421" t="s">
        <v>3098</v>
      </c>
      <c r="X563" s="421" t="s">
        <v>3099</v>
      </c>
      <c r="Y563" s="421" t="s">
        <v>1117</v>
      </c>
      <c r="Z563" s="421" t="s">
        <v>1118</v>
      </c>
      <c r="AA563" s="421" t="s">
        <v>3100</v>
      </c>
      <c r="AB563" s="421" t="s">
        <v>3101</v>
      </c>
      <c r="AC563" s="421" t="s">
        <v>3102</v>
      </c>
      <c r="AD563" s="421" t="s">
        <v>3269</v>
      </c>
      <c r="AE563" s="421" t="s">
        <v>3378</v>
      </c>
      <c r="AF563" s="421" t="s">
        <v>2236</v>
      </c>
      <c r="AG563" s="421" t="s">
        <v>2237</v>
      </c>
      <c r="AH563" s="421" t="s">
        <v>3105</v>
      </c>
      <c r="AI563" s="421">
        <v>97600</v>
      </c>
      <c r="AJ563" s="421">
        <v>397.68</v>
      </c>
      <c r="AK563" s="421">
        <v>433.06</v>
      </c>
      <c r="AL563" s="421">
        <v>3</v>
      </c>
      <c r="AM563" s="421" t="s">
        <v>966</v>
      </c>
      <c r="AN563" s="421" t="s">
        <v>3271</v>
      </c>
      <c r="AO563" s="421" t="s">
        <v>1121</v>
      </c>
      <c r="AP563" s="421" t="s">
        <v>1121</v>
      </c>
      <c r="AQ563" s="421" t="s">
        <v>1108</v>
      </c>
      <c r="AR563" s="421" t="s">
        <v>3891</v>
      </c>
      <c r="AS563" s="421" t="s">
        <v>3910</v>
      </c>
      <c r="AT563" s="421" t="s">
        <v>3109</v>
      </c>
      <c r="AU563" s="421" t="s">
        <v>1142</v>
      </c>
      <c r="AV563" s="421" t="s">
        <v>2037</v>
      </c>
      <c r="AW563" s="421" t="s">
        <v>3110</v>
      </c>
      <c r="AX563" s="421" t="s">
        <v>3111</v>
      </c>
      <c r="AY563" s="421" t="s">
        <v>3112</v>
      </c>
      <c r="AZ563" s="421" t="s">
        <v>3113</v>
      </c>
      <c r="BA563" s="421" t="s">
        <v>3114</v>
      </c>
      <c r="BB563" s="421" t="s">
        <v>3115</v>
      </c>
      <c r="BC563" s="421">
        <v>8115</v>
      </c>
      <c r="BD563" s="421">
        <v>23370307.350000001</v>
      </c>
      <c r="BE563" s="421">
        <v>0</v>
      </c>
      <c r="BF563" s="421">
        <v>109.43</v>
      </c>
      <c r="BG563" s="421">
        <v>20.56</v>
      </c>
      <c r="BH563" s="421">
        <v>72.260000000000005</v>
      </c>
      <c r="BI563" s="421" t="s">
        <v>1167</v>
      </c>
    </row>
    <row r="564" spans="1:61" x14ac:dyDescent="0.25">
      <c r="A564" s="421">
        <v>561</v>
      </c>
      <c r="B564" s="421">
        <v>2015</v>
      </c>
      <c r="C564" s="421">
        <v>10</v>
      </c>
      <c r="D564" s="421">
        <v>19</v>
      </c>
      <c r="E564" s="421" t="s">
        <v>1475</v>
      </c>
      <c r="F564" s="421" t="s">
        <v>3480</v>
      </c>
      <c r="G564" s="421" t="s">
        <v>3404</v>
      </c>
      <c r="H564" s="421" t="s">
        <v>1107</v>
      </c>
      <c r="I564" s="421" t="s">
        <v>2827</v>
      </c>
      <c r="J564" s="421" t="s">
        <v>3909</v>
      </c>
      <c r="K564" s="421" t="s">
        <v>3093</v>
      </c>
      <c r="L564" s="421" t="s">
        <v>3094</v>
      </c>
      <c r="M564" s="421" t="s">
        <v>2667</v>
      </c>
      <c r="N564" s="421" t="s">
        <v>3093</v>
      </c>
      <c r="O564" s="421" t="s">
        <v>3094</v>
      </c>
      <c r="P564" s="421" t="s">
        <v>3095</v>
      </c>
      <c r="Q564" s="421" t="s">
        <v>3113</v>
      </c>
      <c r="R564" s="421" t="s">
        <v>1108</v>
      </c>
      <c r="S564" s="421" t="s">
        <v>1108</v>
      </c>
      <c r="T564" s="421" t="s">
        <v>1130</v>
      </c>
      <c r="U564" s="421" t="s">
        <v>1112</v>
      </c>
      <c r="V564" s="421" t="s">
        <v>3097</v>
      </c>
      <c r="W564" s="421" t="s">
        <v>3098</v>
      </c>
      <c r="X564" s="421" t="s">
        <v>3099</v>
      </c>
      <c r="Y564" s="421" t="s">
        <v>1117</v>
      </c>
      <c r="Z564" s="421" t="s">
        <v>1118</v>
      </c>
      <c r="AA564" s="421" t="s">
        <v>3100</v>
      </c>
      <c r="AB564" s="421" t="s">
        <v>3101</v>
      </c>
      <c r="AC564" s="421" t="s">
        <v>3102</v>
      </c>
      <c r="AD564" s="421" t="s">
        <v>3269</v>
      </c>
      <c r="AE564" s="421" t="s">
        <v>3378</v>
      </c>
      <c r="AF564" s="421" t="s">
        <v>2236</v>
      </c>
      <c r="AG564" s="421" t="s">
        <v>2237</v>
      </c>
      <c r="AH564" s="421" t="s">
        <v>3105</v>
      </c>
      <c r="AI564" s="421">
        <v>36000</v>
      </c>
      <c r="AJ564" s="421">
        <v>141.63999999999999</v>
      </c>
      <c r="AK564" s="421">
        <v>154.24</v>
      </c>
      <c r="AL564" s="421">
        <v>4</v>
      </c>
      <c r="AM564" s="421" t="s">
        <v>966</v>
      </c>
      <c r="AN564" s="421" t="s">
        <v>3271</v>
      </c>
      <c r="AO564" s="421" t="s">
        <v>1121</v>
      </c>
      <c r="AP564" s="421" t="s">
        <v>1121</v>
      </c>
      <c r="AQ564" s="421" t="s">
        <v>1108</v>
      </c>
      <c r="AR564" s="421" t="s">
        <v>3891</v>
      </c>
      <c r="AS564" s="421" t="s">
        <v>3910</v>
      </c>
      <c r="AT564" s="421" t="s">
        <v>3109</v>
      </c>
      <c r="AU564" s="421" t="s">
        <v>1142</v>
      </c>
      <c r="AV564" s="421" t="s">
        <v>2037</v>
      </c>
      <c r="AW564" s="421" t="s">
        <v>3110</v>
      </c>
      <c r="AX564" s="421" t="s">
        <v>3111</v>
      </c>
      <c r="AY564" s="421" t="s">
        <v>3112</v>
      </c>
      <c r="AZ564" s="421" t="s">
        <v>3113</v>
      </c>
      <c r="BA564" s="421" t="s">
        <v>3114</v>
      </c>
      <c r="BB564" s="421" t="s">
        <v>3115</v>
      </c>
      <c r="BC564" s="421">
        <v>2512.8000000000002</v>
      </c>
      <c r="BD564" s="421">
        <v>7236587.5899999999</v>
      </c>
      <c r="BE564" s="421">
        <v>0</v>
      </c>
      <c r="BF564" s="421">
        <v>33.89</v>
      </c>
      <c r="BG564" s="421">
        <v>6.37</v>
      </c>
      <c r="BH564" s="421">
        <v>22.38</v>
      </c>
      <c r="BI564" s="421" t="s">
        <v>1167</v>
      </c>
    </row>
    <row r="565" spans="1:61" x14ac:dyDescent="0.25">
      <c r="A565" s="421">
        <v>562</v>
      </c>
      <c r="B565" s="421">
        <v>2015</v>
      </c>
      <c r="C565" s="421">
        <v>10</v>
      </c>
      <c r="D565" s="421">
        <v>19</v>
      </c>
      <c r="E565" s="421" t="s">
        <v>1475</v>
      </c>
      <c r="F565" s="421" t="s">
        <v>3480</v>
      </c>
      <c r="G565" s="421" t="s">
        <v>3404</v>
      </c>
      <c r="H565" s="421" t="s">
        <v>1107</v>
      </c>
      <c r="I565" s="421" t="s">
        <v>2827</v>
      </c>
      <c r="J565" s="421" t="s">
        <v>3909</v>
      </c>
      <c r="K565" s="421" t="s">
        <v>3093</v>
      </c>
      <c r="L565" s="421" t="s">
        <v>3094</v>
      </c>
      <c r="M565" s="421" t="s">
        <v>2667</v>
      </c>
      <c r="N565" s="421" t="s">
        <v>3093</v>
      </c>
      <c r="O565" s="421" t="s">
        <v>3094</v>
      </c>
      <c r="P565" s="421" t="s">
        <v>3095</v>
      </c>
      <c r="Q565" s="421" t="s">
        <v>3113</v>
      </c>
      <c r="R565" s="421" t="s">
        <v>1108</v>
      </c>
      <c r="S565" s="421" t="s">
        <v>1108</v>
      </c>
      <c r="T565" s="421" t="s">
        <v>1130</v>
      </c>
      <c r="U565" s="421" t="s">
        <v>1112</v>
      </c>
      <c r="V565" s="421" t="s">
        <v>3097</v>
      </c>
      <c r="W565" s="421" t="s">
        <v>3098</v>
      </c>
      <c r="X565" s="421" t="s">
        <v>3099</v>
      </c>
      <c r="Y565" s="421" t="s">
        <v>1117</v>
      </c>
      <c r="Z565" s="421" t="s">
        <v>1118</v>
      </c>
      <c r="AA565" s="421" t="s">
        <v>3100</v>
      </c>
      <c r="AB565" s="421" t="s">
        <v>3101</v>
      </c>
      <c r="AC565" s="421" t="s">
        <v>3102</v>
      </c>
      <c r="AD565" s="421" t="s">
        <v>3269</v>
      </c>
      <c r="AE565" s="421" t="s">
        <v>3378</v>
      </c>
      <c r="AF565" s="421" t="s">
        <v>2236</v>
      </c>
      <c r="AG565" s="421" t="s">
        <v>2237</v>
      </c>
      <c r="AH565" s="421" t="s">
        <v>3105</v>
      </c>
      <c r="AI565" s="421">
        <v>1430000</v>
      </c>
      <c r="AJ565" s="421">
        <v>2916.77</v>
      </c>
      <c r="AK565" s="421">
        <v>3176.29</v>
      </c>
      <c r="AL565" s="421">
        <v>2</v>
      </c>
      <c r="AM565" s="421" t="s">
        <v>966</v>
      </c>
      <c r="AN565" s="421" t="s">
        <v>3271</v>
      </c>
      <c r="AO565" s="421" t="s">
        <v>1121</v>
      </c>
      <c r="AP565" s="421" t="s">
        <v>1121</v>
      </c>
      <c r="AQ565" s="421" t="s">
        <v>1108</v>
      </c>
      <c r="AR565" s="421" t="s">
        <v>3891</v>
      </c>
      <c r="AS565" s="421" t="s">
        <v>3910</v>
      </c>
      <c r="AT565" s="421" t="s">
        <v>3109</v>
      </c>
      <c r="AU565" s="421" t="s">
        <v>1142</v>
      </c>
      <c r="AV565" s="421" t="s">
        <v>2037</v>
      </c>
      <c r="AW565" s="421" t="s">
        <v>3110</v>
      </c>
      <c r="AX565" s="421" t="s">
        <v>3111</v>
      </c>
      <c r="AY565" s="421" t="s">
        <v>3112</v>
      </c>
      <c r="AZ565" s="421" t="s">
        <v>3113</v>
      </c>
      <c r="BA565" s="421" t="s">
        <v>3114</v>
      </c>
      <c r="BB565" s="421" t="s">
        <v>3115</v>
      </c>
      <c r="BC565" s="421">
        <v>34431.699999999997</v>
      </c>
      <c r="BD565" s="421">
        <v>99159508.510000005</v>
      </c>
      <c r="BE565" s="421">
        <v>0</v>
      </c>
      <c r="BF565" s="421">
        <v>464.31</v>
      </c>
      <c r="BG565" s="421">
        <v>87.24</v>
      </c>
      <c r="BH565" s="421">
        <v>306.60000000000002</v>
      </c>
      <c r="BI565" s="421" t="s">
        <v>1167</v>
      </c>
    </row>
    <row r="566" spans="1:61" x14ac:dyDescent="0.25">
      <c r="A566" s="421">
        <v>563</v>
      </c>
      <c r="B566" s="421">
        <v>2015</v>
      </c>
      <c r="C566" s="421">
        <v>10</v>
      </c>
      <c r="D566" s="421">
        <v>19</v>
      </c>
      <c r="E566" s="421" t="s">
        <v>1475</v>
      </c>
      <c r="F566" s="421" t="s">
        <v>3480</v>
      </c>
      <c r="G566" s="421" t="s">
        <v>3404</v>
      </c>
      <c r="H566" s="421" t="s">
        <v>1107</v>
      </c>
      <c r="I566" s="421" t="s">
        <v>2827</v>
      </c>
      <c r="J566" s="421" t="s">
        <v>3909</v>
      </c>
      <c r="K566" s="421" t="s">
        <v>3093</v>
      </c>
      <c r="L566" s="421" t="s">
        <v>3094</v>
      </c>
      <c r="M566" s="421" t="s">
        <v>2667</v>
      </c>
      <c r="N566" s="421" t="s">
        <v>3093</v>
      </c>
      <c r="O566" s="421" t="s">
        <v>3094</v>
      </c>
      <c r="P566" s="421" t="s">
        <v>3095</v>
      </c>
      <c r="Q566" s="421" t="s">
        <v>3113</v>
      </c>
      <c r="R566" s="421" t="s">
        <v>1108</v>
      </c>
      <c r="S566" s="421" t="s">
        <v>1108</v>
      </c>
      <c r="T566" s="421" t="s">
        <v>1130</v>
      </c>
      <c r="U566" s="421" t="s">
        <v>1112</v>
      </c>
      <c r="V566" s="421" t="s">
        <v>3097</v>
      </c>
      <c r="W566" s="421" t="s">
        <v>3098</v>
      </c>
      <c r="X566" s="421" t="s">
        <v>3099</v>
      </c>
      <c r="Y566" s="421" t="s">
        <v>1117</v>
      </c>
      <c r="Z566" s="421" t="s">
        <v>1118</v>
      </c>
      <c r="AA566" s="421" t="s">
        <v>3100</v>
      </c>
      <c r="AB566" s="421" t="s">
        <v>3101</v>
      </c>
      <c r="AC566" s="421" t="s">
        <v>3102</v>
      </c>
      <c r="AD566" s="421" t="s">
        <v>3269</v>
      </c>
      <c r="AE566" s="421" t="s">
        <v>3378</v>
      </c>
      <c r="AF566" s="421" t="s">
        <v>2236</v>
      </c>
      <c r="AG566" s="421" t="s">
        <v>2237</v>
      </c>
      <c r="AH566" s="421" t="s">
        <v>3105</v>
      </c>
      <c r="AI566" s="421">
        <v>910500</v>
      </c>
      <c r="AJ566" s="421">
        <v>1958.21</v>
      </c>
      <c r="AK566" s="421">
        <v>2132.44</v>
      </c>
      <c r="AL566" s="421">
        <v>1</v>
      </c>
      <c r="AM566" s="421" t="s">
        <v>966</v>
      </c>
      <c r="AN566" s="421" t="s">
        <v>3271</v>
      </c>
      <c r="AO566" s="421" t="s">
        <v>1121</v>
      </c>
      <c r="AP566" s="421" t="s">
        <v>1121</v>
      </c>
      <c r="AQ566" s="421" t="s">
        <v>1108</v>
      </c>
      <c r="AR566" s="421" t="s">
        <v>3891</v>
      </c>
      <c r="AS566" s="421" t="s">
        <v>3910</v>
      </c>
      <c r="AT566" s="421" t="s">
        <v>3109</v>
      </c>
      <c r="AU566" s="421" t="s">
        <v>1142</v>
      </c>
      <c r="AV566" s="421" t="s">
        <v>2037</v>
      </c>
      <c r="AW566" s="421" t="s">
        <v>3110</v>
      </c>
      <c r="AX566" s="421" t="s">
        <v>3111</v>
      </c>
      <c r="AY566" s="421" t="s">
        <v>3112</v>
      </c>
      <c r="AZ566" s="421" t="s">
        <v>3113</v>
      </c>
      <c r="BA566" s="421" t="s">
        <v>3114</v>
      </c>
      <c r="BB566" s="421" t="s">
        <v>3115</v>
      </c>
      <c r="BC566" s="421">
        <v>21681.5</v>
      </c>
      <c r="BD566" s="421">
        <v>62440335.030000001</v>
      </c>
      <c r="BE566" s="421">
        <v>0</v>
      </c>
      <c r="BF566" s="421">
        <v>292.37</v>
      </c>
      <c r="BG566" s="421">
        <v>54.93</v>
      </c>
      <c r="BH566" s="421">
        <v>193.06</v>
      </c>
      <c r="BI566" s="421" t="s">
        <v>1167</v>
      </c>
    </row>
    <row r="567" spans="1:61" x14ac:dyDescent="0.25">
      <c r="A567" s="421">
        <v>564</v>
      </c>
      <c r="B567" s="421">
        <v>2015</v>
      </c>
      <c r="C567" s="421">
        <v>10</v>
      </c>
      <c r="D567" s="421">
        <v>19</v>
      </c>
      <c r="E567" s="421" t="s">
        <v>1475</v>
      </c>
      <c r="F567" s="421" t="s">
        <v>3480</v>
      </c>
      <c r="G567" s="421" t="s">
        <v>3404</v>
      </c>
      <c r="H567" s="421" t="s">
        <v>1107</v>
      </c>
      <c r="I567" s="421" t="s">
        <v>2827</v>
      </c>
      <c r="J567" s="421" t="s">
        <v>3911</v>
      </c>
      <c r="K567" s="421" t="s">
        <v>3093</v>
      </c>
      <c r="L567" s="421" t="s">
        <v>3094</v>
      </c>
      <c r="M567" s="421" t="s">
        <v>2667</v>
      </c>
      <c r="N567" s="421" t="s">
        <v>3093</v>
      </c>
      <c r="O567" s="421" t="s">
        <v>3094</v>
      </c>
      <c r="P567" s="421" t="s">
        <v>3095</v>
      </c>
      <c r="Q567" s="421" t="s">
        <v>3096</v>
      </c>
      <c r="R567" s="421" t="s">
        <v>1108</v>
      </c>
      <c r="S567" s="421" t="s">
        <v>1542</v>
      </c>
      <c r="T567" s="421" t="s">
        <v>1130</v>
      </c>
      <c r="U567" s="421" t="s">
        <v>1112</v>
      </c>
      <c r="V567" s="421" t="s">
        <v>3097</v>
      </c>
      <c r="W567" s="421" t="s">
        <v>3098</v>
      </c>
      <c r="X567" s="421" t="s">
        <v>3099</v>
      </c>
      <c r="Y567" s="421" t="s">
        <v>1117</v>
      </c>
      <c r="Z567" s="421" t="s">
        <v>1118</v>
      </c>
      <c r="AA567" s="421" t="s">
        <v>3100</v>
      </c>
      <c r="AB567" s="421" t="s">
        <v>3101</v>
      </c>
      <c r="AC567" s="421" t="s">
        <v>3102</v>
      </c>
      <c r="AD567" s="421" t="s">
        <v>3117</v>
      </c>
      <c r="AE567" s="421" t="s">
        <v>3118</v>
      </c>
      <c r="AF567" s="421" t="s">
        <v>3375</v>
      </c>
      <c r="AG567" s="421" t="s">
        <v>3376</v>
      </c>
      <c r="AH567" s="421" t="s">
        <v>3105</v>
      </c>
      <c r="AI567" s="421">
        <v>150</v>
      </c>
      <c r="AJ567" s="421">
        <v>23.57</v>
      </c>
      <c r="AK567" s="421">
        <v>24.5</v>
      </c>
      <c r="AL567" s="421">
        <v>1</v>
      </c>
      <c r="AM567" s="421" t="s">
        <v>3119</v>
      </c>
      <c r="AN567" s="421" t="s">
        <v>3120</v>
      </c>
      <c r="AO567" s="421" t="s">
        <v>1121</v>
      </c>
      <c r="AP567" s="421" t="s">
        <v>1121</v>
      </c>
      <c r="AQ567" s="421" t="s">
        <v>1542</v>
      </c>
      <c r="AR567" s="421" t="s">
        <v>3891</v>
      </c>
      <c r="AS567" s="421" t="s">
        <v>3912</v>
      </c>
      <c r="AT567" s="421" t="s">
        <v>3109</v>
      </c>
      <c r="AU567" s="421" t="s">
        <v>1142</v>
      </c>
      <c r="AV567" s="421" t="s">
        <v>2520</v>
      </c>
      <c r="AW567" s="421" t="s">
        <v>3110</v>
      </c>
      <c r="AX567" s="421" t="s">
        <v>3229</v>
      </c>
      <c r="AY567" s="421" t="s">
        <v>3112</v>
      </c>
      <c r="AZ567" s="421" t="s">
        <v>3113</v>
      </c>
      <c r="BA567" s="421" t="s">
        <v>3114</v>
      </c>
      <c r="BB567" s="421" t="s">
        <v>3230</v>
      </c>
      <c r="BC567" s="421">
        <v>7.5</v>
      </c>
      <c r="BD567" s="421">
        <v>21599.17</v>
      </c>
      <c r="BE567" s="421">
        <v>0</v>
      </c>
      <c r="BF567" s="421">
        <v>0</v>
      </c>
      <c r="BG567" s="421">
        <v>0</v>
      </c>
      <c r="BH567" s="421">
        <v>0</v>
      </c>
      <c r="BI567" s="421" t="s">
        <v>1331</v>
      </c>
    </row>
    <row r="568" spans="1:61" x14ac:dyDescent="0.25">
      <c r="A568" s="421">
        <v>565</v>
      </c>
      <c r="B568" s="421">
        <v>2015</v>
      </c>
      <c r="C568" s="421">
        <v>10</v>
      </c>
      <c r="D568" s="421">
        <v>19</v>
      </c>
      <c r="E568" s="421" t="s">
        <v>1475</v>
      </c>
      <c r="F568" s="421" t="s">
        <v>3480</v>
      </c>
      <c r="G568" s="421" t="s">
        <v>3404</v>
      </c>
      <c r="H568" s="421" t="s">
        <v>1107</v>
      </c>
      <c r="I568" s="421" t="s">
        <v>2827</v>
      </c>
      <c r="J568" s="421" t="s">
        <v>3913</v>
      </c>
      <c r="K568" s="421" t="s">
        <v>3093</v>
      </c>
      <c r="L568" s="421" t="s">
        <v>3094</v>
      </c>
      <c r="M568" s="421" t="s">
        <v>2667</v>
      </c>
      <c r="N568" s="421" t="s">
        <v>3093</v>
      </c>
      <c r="O568" s="421" t="s">
        <v>3094</v>
      </c>
      <c r="P568" s="421" t="s">
        <v>3095</v>
      </c>
      <c r="Q568" s="421" t="s">
        <v>3096</v>
      </c>
      <c r="R568" s="421" t="s">
        <v>1108</v>
      </c>
      <c r="S568" s="421" t="s">
        <v>1542</v>
      </c>
      <c r="T568" s="421" t="s">
        <v>1130</v>
      </c>
      <c r="U568" s="421" t="s">
        <v>1112</v>
      </c>
      <c r="V568" s="421" t="s">
        <v>3097</v>
      </c>
      <c r="W568" s="421" t="s">
        <v>3098</v>
      </c>
      <c r="X568" s="421" t="s">
        <v>3099</v>
      </c>
      <c r="Y568" s="421" t="s">
        <v>1117</v>
      </c>
      <c r="Z568" s="421" t="s">
        <v>1118</v>
      </c>
      <c r="AA568" s="421" t="s">
        <v>3100</v>
      </c>
      <c r="AB568" s="421" t="s">
        <v>3101</v>
      </c>
      <c r="AC568" s="421" t="s">
        <v>3102</v>
      </c>
      <c r="AD568" s="421" t="s">
        <v>3103</v>
      </c>
      <c r="AE568" s="421" t="s">
        <v>3104</v>
      </c>
      <c r="AF568" s="421" t="s">
        <v>3375</v>
      </c>
      <c r="AG568" s="421" t="s">
        <v>3376</v>
      </c>
      <c r="AH568" s="421" t="s">
        <v>3105</v>
      </c>
      <c r="AI568" s="421">
        <v>150</v>
      </c>
      <c r="AJ568" s="421">
        <v>23.57</v>
      </c>
      <c r="AK568" s="421">
        <v>24.5</v>
      </c>
      <c r="AL568" s="421">
        <v>1</v>
      </c>
      <c r="AM568" s="421" t="s">
        <v>959</v>
      </c>
      <c r="AN568" s="421" t="s">
        <v>3106</v>
      </c>
      <c r="AO568" s="421" t="s">
        <v>1121</v>
      </c>
      <c r="AP568" s="421" t="s">
        <v>1121</v>
      </c>
      <c r="AQ568" s="421" t="s">
        <v>1542</v>
      </c>
      <c r="AR568" s="421" t="s">
        <v>3891</v>
      </c>
      <c r="AS568" s="421" t="s">
        <v>3914</v>
      </c>
      <c r="AT568" s="421" t="s">
        <v>3109</v>
      </c>
      <c r="AU568" s="421" t="s">
        <v>1142</v>
      </c>
      <c r="AV568" s="421" t="s">
        <v>1547</v>
      </c>
      <c r="AW568" s="421" t="s">
        <v>3110</v>
      </c>
      <c r="AX568" s="421" t="s">
        <v>3229</v>
      </c>
      <c r="AY568" s="421" t="s">
        <v>3112</v>
      </c>
      <c r="AZ568" s="421" t="s">
        <v>3113</v>
      </c>
      <c r="BA568" s="421" t="s">
        <v>3114</v>
      </c>
      <c r="BB568" s="421" t="s">
        <v>3230</v>
      </c>
      <c r="BC568" s="421">
        <v>3</v>
      </c>
      <c r="BD568" s="421">
        <v>8639.67</v>
      </c>
      <c r="BE568" s="421">
        <v>0</v>
      </c>
      <c r="BF568" s="421">
        <v>0</v>
      </c>
      <c r="BG568" s="421">
        <v>0</v>
      </c>
      <c r="BH568" s="421">
        <v>0</v>
      </c>
      <c r="BI568" s="421" t="s">
        <v>1167</v>
      </c>
    </row>
    <row r="569" spans="1:61" x14ac:dyDescent="0.25">
      <c r="A569" s="421">
        <v>566</v>
      </c>
      <c r="B569" s="421">
        <v>2015</v>
      </c>
      <c r="C569" s="421">
        <v>10</v>
      </c>
      <c r="D569" s="421">
        <v>26</v>
      </c>
      <c r="E569" s="421" t="s">
        <v>1475</v>
      </c>
      <c r="F569" s="421" t="s">
        <v>3480</v>
      </c>
      <c r="G569" s="421" t="s">
        <v>3915</v>
      </c>
      <c r="H569" s="421" t="s">
        <v>1107</v>
      </c>
      <c r="I569" s="421" t="s">
        <v>2851</v>
      </c>
      <c r="J569" s="421" t="s">
        <v>3916</v>
      </c>
      <c r="K569" s="421" t="s">
        <v>3093</v>
      </c>
      <c r="L569" s="421" t="s">
        <v>3094</v>
      </c>
      <c r="M569" s="421" t="s">
        <v>2667</v>
      </c>
      <c r="N569" s="421" t="s">
        <v>3093</v>
      </c>
      <c r="O569" s="421" t="s">
        <v>3094</v>
      </c>
      <c r="P569" s="421" t="s">
        <v>3095</v>
      </c>
      <c r="Q569" s="421" t="s">
        <v>3113</v>
      </c>
      <c r="R569" s="421" t="s">
        <v>1108</v>
      </c>
      <c r="S569" s="421" t="s">
        <v>1108</v>
      </c>
      <c r="T569" s="421" t="s">
        <v>1130</v>
      </c>
      <c r="U569" s="421" t="s">
        <v>1112</v>
      </c>
      <c r="V569" s="421" t="s">
        <v>3097</v>
      </c>
      <c r="W569" s="421" t="s">
        <v>3098</v>
      </c>
      <c r="X569" s="421" t="s">
        <v>3099</v>
      </c>
      <c r="Y569" s="421" t="s">
        <v>1117</v>
      </c>
      <c r="Z569" s="421" t="s">
        <v>1118</v>
      </c>
      <c r="AA569" s="421" t="s">
        <v>3100</v>
      </c>
      <c r="AB569" s="421" t="s">
        <v>3101</v>
      </c>
      <c r="AC569" s="421" t="s">
        <v>3102</v>
      </c>
      <c r="AD569" s="421" t="s">
        <v>3529</v>
      </c>
      <c r="AE569" s="421" t="s">
        <v>3530</v>
      </c>
      <c r="AF569" s="421" t="s">
        <v>1471</v>
      </c>
      <c r="AG569" s="421" t="s">
        <v>1472</v>
      </c>
      <c r="AH569" s="421" t="s">
        <v>3105</v>
      </c>
      <c r="AI569" s="421">
        <v>600</v>
      </c>
      <c r="AJ569" s="421">
        <v>7.44</v>
      </c>
      <c r="AK569" s="421">
        <v>8.3000000000000007</v>
      </c>
      <c r="AL569" s="421">
        <v>5</v>
      </c>
      <c r="AM569" s="421" t="s">
        <v>1207</v>
      </c>
      <c r="AN569" s="421" t="s">
        <v>1207</v>
      </c>
      <c r="AO569" s="421" t="s">
        <v>1121</v>
      </c>
      <c r="AP569" s="421" t="s">
        <v>1121</v>
      </c>
      <c r="AQ569" s="421" t="s">
        <v>1108</v>
      </c>
      <c r="AR569" s="421" t="s">
        <v>3891</v>
      </c>
      <c r="AS569" s="421" t="s">
        <v>3917</v>
      </c>
      <c r="AT569" s="421" t="s">
        <v>3109</v>
      </c>
      <c r="AU569" s="421" t="s">
        <v>1142</v>
      </c>
      <c r="AV569" s="421" t="s">
        <v>2135</v>
      </c>
      <c r="AW569" s="421" t="s">
        <v>3110</v>
      </c>
      <c r="AX569" s="421" t="s">
        <v>3111</v>
      </c>
      <c r="AY569" s="421" t="s">
        <v>3193</v>
      </c>
      <c r="AZ569" s="421" t="s">
        <v>3113</v>
      </c>
      <c r="BA569" s="421" t="s">
        <v>3114</v>
      </c>
      <c r="BB569" s="421" t="s">
        <v>3115</v>
      </c>
      <c r="BC569" s="421">
        <v>312</v>
      </c>
      <c r="BD569" s="421">
        <v>908568.96</v>
      </c>
      <c r="BE569" s="421">
        <v>0</v>
      </c>
      <c r="BF569" s="421">
        <v>0</v>
      </c>
      <c r="BG569" s="421">
        <v>0</v>
      </c>
      <c r="BH569" s="421">
        <v>0</v>
      </c>
      <c r="BI569" s="421" t="s">
        <v>1149</v>
      </c>
    </row>
    <row r="570" spans="1:61" x14ac:dyDescent="0.25">
      <c r="A570" s="421">
        <v>567</v>
      </c>
      <c r="B570" s="421">
        <v>2015</v>
      </c>
      <c r="C570" s="421">
        <v>10</v>
      </c>
      <c r="D570" s="421">
        <v>26</v>
      </c>
      <c r="E570" s="421" t="s">
        <v>1475</v>
      </c>
      <c r="F570" s="421" t="s">
        <v>3480</v>
      </c>
      <c r="G570" s="421" t="s">
        <v>3915</v>
      </c>
      <c r="H570" s="421" t="s">
        <v>1107</v>
      </c>
      <c r="I570" s="421" t="s">
        <v>2851</v>
      </c>
      <c r="J570" s="421" t="s">
        <v>3918</v>
      </c>
      <c r="K570" s="421" t="s">
        <v>3093</v>
      </c>
      <c r="L570" s="421" t="s">
        <v>3094</v>
      </c>
      <c r="M570" s="421" t="s">
        <v>2667</v>
      </c>
      <c r="N570" s="421" t="s">
        <v>3093</v>
      </c>
      <c r="O570" s="421" t="s">
        <v>3094</v>
      </c>
      <c r="P570" s="421" t="s">
        <v>3095</v>
      </c>
      <c r="Q570" s="421" t="s">
        <v>3113</v>
      </c>
      <c r="R570" s="421" t="s">
        <v>1108</v>
      </c>
      <c r="S570" s="421" t="s">
        <v>1108</v>
      </c>
      <c r="T570" s="421" t="s">
        <v>1130</v>
      </c>
      <c r="U570" s="421" t="s">
        <v>1112</v>
      </c>
      <c r="V570" s="421" t="s">
        <v>3097</v>
      </c>
      <c r="W570" s="421" t="s">
        <v>3098</v>
      </c>
      <c r="X570" s="421" t="s">
        <v>3099</v>
      </c>
      <c r="Y570" s="421" t="s">
        <v>1117</v>
      </c>
      <c r="Z570" s="421" t="s">
        <v>1118</v>
      </c>
      <c r="AA570" s="421" t="s">
        <v>3100</v>
      </c>
      <c r="AB570" s="421" t="s">
        <v>3101</v>
      </c>
      <c r="AC570" s="421" t="s">
        <v>3102</v>
      </c>
      <c r="AD570" s="421" t="s">
        <v>3529</v>
      </c>
      <c r="AE570" s="421" t="s">
        <v>3530</v>
      </c>
      <c r="AF570" s="421" t="s">
        <v>2236</v>
      </c>
      <c r="AG570" s="421" t="s">
        <v>2237</v>
      </c>
      <c r="AH570" s="421" t="s">
        <v>3105</v>
      </c>
      <c r="AI570" s="421">
        <v>387730</v>
      </c>
      <c r="AJ570" s="421">
        <v>1462.58</v>
      </c>
      <c r="AK570" s="421">
        <v>1583.35</v>
      </c>
      <c r="AL570" s="421">
        <v>3</v>
      </c>
      <c r="AM570" s="421" t="s">
        <v>1207</v>
      </c>
      <c r="AN570" s="421" t="s">
        <v>1207</v>
      </c>
      <c r="AO570" s="421" t="s">
        <v>1121</v>
      </c>
      <c r="AP570" s="421" t="s">
        <v>1121</v>
      </c>
      <c r="AQ570" s="421" t="s">
        <v>1108</v>
      </c>
      <c r="AR570" s="421" t="s">
        <v>3891</v>
      </c>
      <c r="AS570" s="421" t="s">
        <v>3919</v>
      </c>
      <c r="AT570" s="421" t="s">
        <v>3109</v>
      </c>
      <c r="AU570" s="421" t="s">
        <v>1142</v>
      </c>
      <c r="AV570" s="421" t="s">
        <v>2135</v>
      </c>
      <c r="AW570" s="421" t="s">
        <v>3110</v>
      </c>
      <c r="AX570" s="421" t="s">
        <v>3111</v>
      </c>
      <c r="AY570" s="421" t="s">
        <v>3193</v>
      </c>
      <c r="AZ570" s="421" t="s">
        <v>3113</v>
      </c>
      <c r="BA570" s="421" t="s">
        <v>3114</v>
      </c>
      <c r="BB570" s="421" t="s">
        <v>3115</v>
      </c>
      <c r="BC570" s="421">
        <v>41757.300000000003</v>
      </c>
      <c r="BD570" s="421">
        <v>121600598.18000001</v>
      </c>
      <c r="BE570" s="421">
        <v>0</v>
      </c>
      <c r="BF570" s="421">
        <v>0</v>
      </c>
      <c r="BG570" s="421">
        <v>0</v>
      </c>
      <c r="BH570" s="421">
        <v>0</v>
      </c>
      <c r="BI570" s="421" t="s">
        <v>1149</v>
      </c>
    </row>
    <row r="571" spans="1:61" x14ac:dyDescent="0.25">
      <c r="A571" s="421">
        <v>568</v>
      </c>
      <c r="B571" s="421">
        <v>2015</v>
      </c>
      <c r="C571" s="421">
        <v>10</v>
      </c>
      <c r="D571" s="421">
        <v>26</v>
      </c>
      <c r="E571" s="421" t="s">
        <v>1475</v>
      </c>
      <c r="F571" s="421" t="s">
        <v>3480</v>
      </c>
      <c r="G571" s="421" t="s">
        <v>3915</v>
      </c>
      <c r="H571" s="421" t="s">
        <v>1107</v>
      </c>
      <c r="I571" s="421" t="s">
        <v>2851</v>
      </c>
      <c r="J571" s="421" t="s">
        <v>3918</v>
      </c>
      <c r="K571" s="421" t="s">
        <v>3093</v>
      </c>
      <c r="L571" s="421" t="s">
        <v>3094</v>
      </c>
      <c r="M571" s="421" t="s">
        <v>2667</v>
      </c>
      <c r="N571" s="421" t="s">
        <v>3093</v>
      </c>
      <c r="O571" s="421" t="s">
        <v>3094</v>
      </c>
      <c r="P571" s="421" t="s">
        <v>3095</v>
      </c>
      <c r="Q571" s="421" t="s">
        <v>3113</v>
      </c>
      <c r="R571" s="421" t="s">
        <v>1108</v>
      </c>
      <c r="S571" s="421" t="s">
        <v>1108</v>
      </c>
      <c r="T571" s="421" t="s">
        <v>1130</v>
      </c>
      <c r="U571" s="421" t="s">
        <v>1112</v>
      </c>
      <c r="V571" s="421" t="s">
        <v>3097</v>
      </c>
      <c r="W571" s="421" t="s">
        <v>3098</v>
      </c>
      <c r="X571" s="421" t="s">
        <v>3099</v>
      </c>
      <c r="Y571" s="421" t="s">
        <v>1117</v>
      </c>
      <c r="Z571" s="421" t="s">
        <v>1118</v>
      </c>
      <c r="AA571" s="421" t="s">
        <v>3100</v>
      </c>
      <c r="AB571" s="421" t="s">
        <v>3101</v>
      </c>
      <c r="AC571" s="421" t="s">
        <v>3102</v>
      </c>
      <c r="AD571" s="421" t="s">
        <v>3529</v>
      </c>
      <c r="AE571" s="421" t="s">
        <v>3530</v>
      </c>
      <c r="AF571" s="421" t="s">
        <v>2236</v>
      </c>
      <c r="AG571" s="421" t="s">
        <v>2237</v>
      </c>
      <c r="AH571" s="421" t="s">
        <v>3105</v>
      </c>
      <c r="AI571" s="421">
        <v>80250</v>
      </c>
      <c r="AJ571" s="421">
        <v>196.18</v>
      </c>
      <c r="AK571" s="421">
        <v>212.37</v>
      </c>
      <c r="AL571" s="421">
        <v>2</v>
      </c>
      <c r="AM571" s="421" t="s">
        <v>1207</v>
      </c>
      <c r="AN571" s="421" t="s">
        <v>1207</v>
      </c>
      <c r="AO571" s="421" t="s">
        <v>1121</v>
      </c>
      <c r="AP571" s="421" t="s">
        <v>1121</v>
      </c>
      <c r="AQ571" s="421" t="s">
        <v>1108</v>
      </c>
      <c r="AR571" s="421" t="s">
        <v>3891</v>
      </c>
      <c r="AS571" s="421" t="s">
        <v>3919</v>
      </c>
      <c r="AT571" s="421" t="s">
        <v>3109</v>
      </c>
      <c r="AU571" s="421" t="s">
        <v>1142</v>
      </c>
      <c r="AV571" s="421" t="s">
        <v>2135</v>
      </c>
      <c r="AW571" s="421" t="s">
        <v>3110</v>
      </c>
      <c r="AX571" s="421" t="s">
        <v>3111</v>
      </c>
      <c r="AY571" s="421" t="s">
        <v>3193</v>
      </c>
      <c r="AZ571" s="421" t="s">
        <v>3113</v>
      </c>
      <c r="BA571" s="421" t="s">
        <v>3114</v>
      </c>
      <c r="BB571" s="421" t="s">
        <v>3115</v>
      </c>
      <c r="BC571" s="421">
        <v>3310</v>
      </c>
      <c r="BD571" s="421">
        <v>9638984.8000000007</v>
      </c>
      <c r="BE571" s="421">
        <v>0</v>
      </c>
      <c r="BF571" s="421">
        <v>0</v>
      </c>
      <c r="BG571" s="421">
        <v>0</v>
      </c>
      <c r="BH571" s="421">
        <v>0</v>
      </c>
      <c r="BI571" s="421" t="s">
        <v>1149</v>
      </c>
    </row>
    <row r="572" spans="1:61" x14ac:dyDescent="0.25">
      <c r="A572" s="421">
        <v>569</v>
      </c>
      <c r="B572" s="421">
        <v>2015</v>
      </c>
      <c r="C572" s="421">
        <v>10</v>
      </c>
      <c r="D572" s="421">
        <v>26</v>
      </c>
      <c r="E572" s="421" t="s">
        <v>1475</v>
      </c>
      <c r="F572" s="421" t="s">
        <v>3480</v>
      </c>
      <c r="G572" s="421" t="s">
        <v>3915</v>
      </c>
      <c r="H572" s="421" t="s">
        <v>1107</v>
      </c>
      <c r="I572" s="421" t="s">
        <v>2851</v>
      </c>
      <c r="J572" s="421" t="s">
        <v>3918</v>
      </c>
      <c r="K572" s="421" t="s">
        <v>3093</v>
      </c>
      <c r="L572" s="421" t="s">
        <v>3094</v>
      </c>
      <c r="M572" s="421" t="s">
        <v>2667</v>
      </c>
      <c r="N572" s="421" t="s">
        <v>3093</v>
      </c>
      <c r="O572" s="421" t="s">
        <v>3094</v>
      </c>
      <c r="P572" s="421" t="s">
        <v>3095</v>
      </c>
      <c r="Q572" s="421" t="s">
        <v>3113</v>
      </c>
      <c r="R572" s="421" t="s">
        <v>1108</v>
      </c>
      <c r="S572" s="421" t="s">
        <v>1108</v>
      </c>
      <c r="T572" s="421" t="s">
        <v>1130</v>
      </c>
      <c r="U572" s="421" t="s">
        <v>1112</v>
      </c>
      <c r="V572" s="421" t="s">
        <v>3097</v>
      </c>
      <c r="W572" s="421" t="s">
        <v>3098</v>
      </c>
      <c r="X572" s="421" t="s">
        <v>3099</v>
      </c>
      <c r="Y572" s="421" t="s">
        <v>1117</v>
      </c>
      <c r="Z572" s="421" t="s">
        <v>1118</v>
      </c>
      <c r="AA572" s="421" t="s">
        <v>3100</v>
      </c>
      <c r="AB572" s="421" t="s">
        <v>3101</v>
      </c>
      <c r="AC572" s="421" t="s">
        <v>3102</v>
      </c>
      <c r="AD572" s="421" t="s">
        <v>3529</v>
      </c>
      <c r="AE572" s="421" t="s">
        <v>3530</v>
      </c>
      <c r="AF572" s="421" t="s">
        <v>2236</v>
      </c>
      <c r="AG572" s="421" t="s">
        <v>2237</v>
      </c>
      <c r="AH572" s="421" t="s">
        <v>3105</v>
      </c>
      <c r="AI572" s="421">
        <v>528900</v>
      </c>
      <c r="AJ572" s="421">
        <v>1357.55</v>
      </c>
      <c r="AK572" s="421">
        <v>1469.64</v>
      </c>
      <c r="AL572" s="421">
        <v>1</v>
      </c>
      <c r="AM572" s="421" t="s">
        <v>1207</v>
      </c>
      <c r="AN572" s="421" t="s">
        <v>1207</v>
      </c>
      <c r="AO572" s="421" t="s">
        <v>1121</v>
      </c>
      <c r="AP572" s="421" t="s">
        <v>1121</v>
      </c>
      <c r="AQ572" s="421" t="s">
        <v>1108</v>
      </c>
      <c r="AR572" s="421" t="s">
        <v>3891</v>
      </c>
      <c r="AS572" s="421" t="s">
        <v>3919</v>
      </c>
      <c r="AT572" s="421" t="s">
        <v>3109</v>
      </c>
      <c r="AU572" s="421" t="s">
        <v>1142</v>
      </c>
      <c r="AV572" s="421" t="s">
        <v>2135</v>
      </c>
      <c r="AW572" s="421" t="s">
        <v>3110</v>
      </c>
      <c r="AX572" s="421" t="s">
        <v>3111</v>
      </c>
      <c r="AY572" s="421" t="s">
        <v>3193</v>
      </c>
      <c r="AZ572" s="421" t="s">
        <v>3113</v>
      </c>
      <c r="BA572" s="421" t="s">
        <v>3114</v>
      </c>
      <c r="BB572" s="421" t="s">
        <v>3115</v>
      </c>
      <c r="BC572" s="421">
        <v>21225.7</v>
      </c>
      <c r="BD572" s="421">
        <v>61810936.450000003</v>
      </c>
      <c r="BE572" s="421">
        <v>0</v>
      </c>
      <c r="BF572" s="421">
        <v>0</v>
      </c>
      <c r="BG572" s="421">
        <v>0</v>
      </c>
      <c r="BH572" s="421">
        <v>0</v>
      </c>
      <c r="BI572" s="421" t="s">
        <v>1149</v>
      </c>
    </row>
    <row r="573" spans="1:61" x14ac:dyDescent="0.25">
      <c r="A573" s="421">
        <v>570</v>
      </c>
      <c r="B573" s="421">
        <v>2015</v>
      </c>
      <c r="C573" s="421">
        <v>10</v>
      </c>
      <c r="D573" s="421">
        <v>26</v>
      </c>
      <c r="E573" s="421" t="s">
        <v>1475</v>
      </c>
      <c r="F573" s="421" t="s">
        <v>3480</v>
      </c>
      <c r="G573" s="421" t="s">
        <v>3915</v>
      </c>
      <c r="H573" s="421" t="s">
        <v>1107</v>
      </c>
      <c r="I573" s="421" t="s">
        <v>2851</v>
      </c>
      <c r="J573" s="421" t="s">
        <v>3918</v>
      </c>
      <c r="K573" s="421" t="s">
        <v>3093</v>
      </c>
      <c r="L573" s="421" t="s">
        <v>3094</v>
      </c>
      <c r="M573" s="421" t="s">
        <v>2667</v>
      </c>
      <c r="N573" s="421" t="s">
        <v>3093</v>
      </c>
      <c r="O573" s="421" t="s">
        <v>3094</v>
      </c>
      <c r="P573" s="421" t="s">
        <v>3095</v>
      </c>
      <c r="Q573" s="421" t="s">
        <v>3113</v>
      </c>
      <c r="R573" s="421" t="s">
        <v>1108</v>
      </c>
      <c r="S573" s="421" t="s">
        <v>1108</v>
      </c>
      <c r="T573" s="421" t="s">
        <v>1130</v>
      </c>
      <c r="U573" s="421" t="s">
        <v>1112</v>
      </c>
      <c r="V573" s="421" t="s">
        <v>3097</v>
      </c>
      <c r="W573" s="421" t="s">
        <v>3098</v>
      </c>
      <c r="X573" s="421" t="s">
        <v>3099</v>
      </c>
      <c r="Y573" s="421" t="s">
        <v>1117</v>
      </c>
      <c r="Z573" s="421" t="s">
        <v>1118</v>
      </c>
      <c r="AA573" s="421" t="s">
        <v>3100</v>
      </c>
      <c r="AB573" s="421" t="s">
        <v>3101</v>
      </c>
      <c r="AC573" s="421" t="s">
        <v>3102</v>
      </c>
      <c r="AD573" s="421" t="s">
        <v>3529</v>
      </c>
      <c r="AE573" s="421" t="s">
        <v>3530</v>
      </c>
      <c r="AF573" s="421" t="s">
        <v>2236</v>
      </c>
      <c r="AG573" s="421" t="s">
        <v>2237</v>
      </c>
      <c r="AH573" s="421" t="s">
        <v>3105</v>
      </c>
      <c r="AI573" s="421">
        <v>37440</v>
      </c>
      <c r="AJ573" s="421">
        <v>159.72999999999999</v>
      </c>
      <c r="AK573" s="421">
        <v>172.91</v>
      </c>
      <c r="AL573" s="421">
        <v>4</v>
      </c>
      <c r="AM573" s="421" t="s">
        <v>1207</v>
      </c>
      <c r="AN573" s="421" t="s">
        <v>1207</v>
      </c>
      <c r="AO573" s="421" t="s">
        <v>1121</v>
      </c>
      <c r="AP573" s="421" t="s">
        <v>1121</v>
      </c>
      <c r="AQ573" s="421" t="s">
        <v>1108</v>
      </c>
      <c r="AR573" s="421" t="s">
        <v>3891</v>
      </c>
      <c r="AS573" s="421" t="s">
        <v>3919</v>
      </c>
      <c r="AT573" s="421" t="s">
        <v>3109</v>
      </c>
      <c r="AU573" s="421" t="s">
        <v>1142</v>
      </c>
      <c r="AV573" s="421" t="s">
        <v>2135</v>
      </c>
      <c r="AW573" s="421" t="s">
        <v>3110</v>
      </c>
      <c r="AX573" s="421" t="s">
        <v>3111</v>
      </c>
      <c r="AY573" s="421" t="s">
        <v>3193</v>
      </c>
      <c r="AZ573" s="421" t="s">
        <v>3113</v>
      </c>
      <c r="BA573" s="421" t="s">
        <v>3114</v>
      </c>
      <c r="BB573" s="421" t="s">
        <v>3115</v>
      </c>
      <c r="BC573" s="421">
        <v>4192.8</v>
      </c>
      <c r="BD573" s="421">
        <v>12209769.02</v>
      </c>
      <c r="BE573" s="421">
        <v>0</v>
      </c>
      <c r="BF573" s="421">
        <v>0</v>
      </c>
      <c r="BG573" s="421">
        <v>0</v>
      </c>
      <c r="BH573" s="421">
        <v>0</v>
      </c>
      <c r="BI573" s="421" t="s">
        <v>1149</v>
      </c>
    </row>
    <row r="574" spans="1:61" x14ac:dyDescent="0.25">
      <c r="A574" s="421">
        <v>571</v>
      </c>
      <c r="B574" s="421">
        <v>2015</v>
      </c>
      <c r="C574" s="421">
        <v>10</v>
      </c>
      <c r="D574" s="421">
        <v>26</v>
      </c>
      <c r="E574" s="421" t="s">
        <v>1475</v>
      </c>
      <c r="F574" s="421" t="s">
        <v>3480</v>
      </c>
      <c r="G574" s="421" t="s">
        <v>3915</v>
      </c>
      <c r="H574" s="421" t="s">
        <v>1107</v>
      </c>
      <c r="I574" s="421" t="s">
        <v>2851</v>
      </c>
      <c r="J574" s="421" t="s">
        <v>3916</v>
      </c>
      <c r="K574" s="421" t="s">
        <v>3093</v>
      </c>
      <c r="L574" s="421" t="s">
        <v>3094</v>
      </c>
      <c r="M574" s="421" t="s">
        <v>2667</v>
      </c>
      <c r="N574" s="421" t="s">
        <v>3093</v>
      </c>
      <c r="O574" s="421" t="s">
        <v>3094</v>
      </c>
      <c r="P574" s="421" t="s">
        <v>3095</v>
      </c>
      <c r="Q574" s="421" t="s">
        <v>3113</v>
      </c>
      <c r="R574" s="421" t="s">
        <v>1108</v>
      </c>
      <c r="S574" s="421" t="s">
        <v>1108</v>
      </c>
      <c r="T574" s="421" t="s">
        <v>1130</v>
      </c>
      <c r="U574" s="421" t="s">
        <v>1112</v>
      </c>
      <c r="V574" s="421" t="s">
        <v>3097</v>
      </c>
      <c r="W574" s="421" t="s">
        <v>3098</v>
      </c>
      <c r="X574" s="421" t="s">
        <v>3099</v>
      </c>
      <c r="Y574" s="421" t="s">
        <v>1117</v>
      </c>
      <c r="Z574" s="421" t="s">
        <v>1118</v>
      </c>
      <c r="AA574" s="421" t="s">
        <v>3100</v>
      </c>
      <c r="AB574" s="421" t="s">
        <v>3101</v>
      </c>
      <c r="AC574" s="421" t="s">
        <v>3102</v>
      </c>
      <c r="AD574" s="421" t="s">
        <v>3529</v>
      </c>
      <c r="AE574" s="421" t="s">
        <v>3530</v>
      </c>
      <c r="AF574" s="421" t="s">
        <v>1249</v>
      </c>
      <c r="AG574" s="421" t="s">
        <v>1250</v>
      </c>
      <c r="AH574" s="421" t="s">
        <v>3105</v>
      </c>
      <c r="AI574" s="421">
        <v>72</v>
      </c>
      <c r="AJ574" s="421">
        <v>19.82</v>
      </c>
      <c r="AK574" s="421">
        <v>22.11</v>
      </c>
      <c r="AL574" s="421">
        <v>1</v>
      </c>
      <c r="AM574" s="421" t="s">
        <v>1207</v>
      </c>
      <c r="AN574" s="421" t="s">
        <v>1207</v>
      </c>
      <c r="AO574" s="421" t="s">
        <v>1121</v>
      </c>
      <c r="AP574" s="421" t="s">
        <v>1121</v>
      </c>
      <c r="AQ574" s="421" t="s">
        <v>1108</v>
      </c>
      <c r="AR574" s="421" t="s">
        <v>3891</v>
      </c>
      <c r="AS574" s="421" t="s">
        <v>3917</v>
      </c>
      <c r="AT574" s="421" t="s">
        <v>3109</v>
      </c>
      <c r="AU574" s="421" t="s">
        <v>1142</v>
      </c>
      <c r="AV574" s="421" t="s">
        <v>2135</v>
      </c>
      <c r="AW574" s="421" t="s">
        <v>3110</v>
      </c>
      <c r="AX574" s="421" t="s">
        <v>3111</v>
      </c>
      <c r="AY574" s="421" t="s">
        <v>3193</v>
      </c>
      <c r="AZ574" s="421" t="s">
        <v>3113</v>
      </c>
      <c r="BA574" s="421" t="s">
        <v>3114</v>
      </c>
      <c r="BB574" s="421" t="s">
        <v>3115</v>
      </c>
      <c r="BC574" s="421">
        <v>104.4</v>
      </c>
      <c r="BD574" s="421">
        <v>304021.15000000002</v>
      </c>
      <c r="BE574" s="421">
        <v>0</v>
      </c>
      <c r="BF574" s="421">
        <v>0</v>
      </c>
      <c r="BG574" s="421">
        <v>0</v>
      </c>
      <c r="BH574" s="421">
        <v>0</v>
      </c>
      <c r="BI574" s="421" t="s">
        <v>1149</v>
      </c>
    </row>
    <row r="575" spans="1:61" x14ac:dyDescent="0.25">
      <c r="A575" s="421">
        <v>572</v>
      </c>
      <c r="B575" s="421">
        <v>2015</v>
      </c>
      <c r="C575" s="421">
        <v>10</v>
      </c>
      <c r="D575" s="421">
        <v>26</v>
      </c>
      <c r="E575" s="421" t="s">
        <v>1475</v>
      </c>
      <c r="F575" s="421" t="s">
        <v>3480</v>
      </c>
      <c r="G575" s="421" t="s">
        <v>3915</v>
      </c>
      <c r="H575" s="421" t="s">
        <v>1107</v>
      </c>
      <c r="I575" s="421" t="s">
        <v>2851</v>
      </c>
      <c r="J575" s="421" t="s">
        <v>3916</v>
      </c>
      <c r="K575" s="421" t="s">
        <v>3093</v>
      </c>
      <c r="L575" s="421" t="s">
        <v>3094</v>
      </c>
      <c r="M575" s="421" t="s">
        <v>2667</v>
      </c>
      <c r="N575" s="421" t="s">
        <v>3093</v>
      </c>
      <c r="O575" s="421" t="s">
        <v>3094</v>
      </c>
      <c r="P575" s="421" t="s">
        <v>3095</v>
      </c>
      <c r="Q575" s="421" t="s">
        <v>3113</v>
      </c>
      <c r="R575" s="421" t="s">
        <v>1108</v>
      </c>
      <c r="S575" s="421" t="s">
        <v>1108</v>
      </c>
      <c r="T575" s="421" t="s">
        <v>1130</v>
      </c>
      <c r="U575" s="421" t="s">
        <v>1112</v>
      </c>
      <c r="V575" s="421" t="s">
        <v>3097</v>
      </c>
      <c r="W575" s="421" t="s">
        <v>3098</v>
      </c>
      <c r="X575" s="421" t="s">
        <v>3099</v>
      </c>
      <c r="Y575" s="421" t="s">
        <v>1117</v>
      </c>
      <c r="Z575" s="421" t="s">
        <v>1118</v>
      </c>
      <c r="AA575" s="421" t="s">
        <v>3100</v>
      </c>
      <c r="AB575" s="421" t="s">
        <v>3101</v>
      </c>
      <c r="AC575" s="421" t="s">
        <v>3102</v>
      </c>
      <c r="AD575" s="421" t="s">
        <v>3529</v>
      </c>
      <c r="AE575" s="421" t="s">
        <v>3530</v>
      </c>
      <c r="AF575" s="421" t="s">
        <v>1300</v>
      </c>
      <c r="AG575" s="421" t="s">
        <v>1301</v>
      </c>
      <c r="AH575" s="421" t="s">
        <v>1127</v>
      </c>
      <c r="AI575" s="421">
        <v>10.46</v>
      </c>
      <c r="AJ575" s="421">
        <v>10.46</v>
      </c>
      <c r="AK575" s="421">
        <v>11.67</v>
      </c>
      <c r="AL575" s="421">
        <v>4</v>
      </c>
      <c r="AM575" s="421" t="s">
        <v>1207</v>
      </c>
      <c r="AN575" s="421" t="s">
        <v>1207</v>
      </c>
      <c r="AO575" s="421" t="s">
        <v>1121</v>
      </c>
      <c r="AP575" s="421" t="s">
        <v>1121</v>
      </c>
      <c r="AQ575" s="421" t="s">
        <v>1108</v>
      </c>
      <c r="AR575" s="421" t="s">
        <v>3891</v>
      </c>
      <c r="AS575" s="421" t="s">
        <v>3917</v>
      </c>
      <c r="AT575" s="421" t="s">
        <v>3109</v>
      </c>
      <c r="AU575" s="421" t="s">
        <v>1142</v>
      </c>
      <c r="AV575" s="421" t="s">
        <v>2135</v>
      </c>
      <c r="AW575" s="421" t="s">
        <v>3110</v>
      </c>
      <c r="AX575" s="421" t="s">
        <v>3111</v>
      </c>
      <c r="AY575" s="421" t="s">
        <v>3193</v>
      </c>
      <c r="AZ575" s="421" t="s">
        <v>3113</v>
      </c>
      <c r="BA575" s="421" t="s">
        <v>3114</v>
      </c>
      <c r="BB575" s="421" t="s">
        <v>3115</v>
      </c>
      <c r="BC575" s="421">
        <v>421.2</v>
      </c>
      <c r="BD575" s="421">
        <v>1226568.0900000001</v>
      </c>
      <c r="BE575" s="421">
        <v>0</v>
      </c>
      <c r="BF575" s="421">
        <v>0</v>
      </c>
      <c r="BG575" s="421">
        <v>0</v>
      </c>
      <c r="BH575" s="421">
        <v>0</v>
      </c>
      <c r="BI575" s="421" t="s">
        <v>1149</v>
      </c>
    </row>
    <row r="576" spans="1:61" x14ac:dyDescent="0.25">
      <c r="A576" s="421">
        <v>573</v>
      </c>
      <c r="B576" s="421">
        <v>2015</v>
      </c>
      <c r="C576" s="421">
        <v>10</v>
      </c>
      <c r="D576" s="421">
        <v>26</v>
      </c>
      <c r="E576" s="421" t="s">
        <v>1475</v>
      </c>
      <c r="F576" s="421" t="s">
        <v>3480</v>
      </c>
      <c r="G576" s="421" t="s">
        <v>3915</v>
      </c>
      <c r="H576" s="421" t="s">
        <v>1107</v>
      </c>
      <c r="I576" s="421" t="s">
        <v>2851</v>
      </c>
      <c r="J576" s="421" t="s">
        <v>3916</v>
      </c>
      <c r="K576" s="421" t="s">
        <v>3093</v>
      </c>
      <c r="L576" s="421" t="s">
        <v>3094</v>
      </c>
      <c r="M576" s="421" t="s">
        <v>2667</v>
      </c>
      <c r="N576" s="421" t="s">
        <v>3093</v>
      </c>
      <c r="O576" s="421" t="s">
        <v>3094</v>
      </c>
      <c r="P576" s="421" t="s">
        <v>3095</v>
      </c>
      <c r="Q576" s="421" t="s">
        <v>3113</v>
      </c>
      <c r="R576" s="421" t="s">
        <v>1108</v>
      </c>
      <c r="S576" s="421" t="s">
        <v>1108</v>
      </c>
      <c r="T576" s="421" t="s">
        <v>1130</v>
      </c>
      <c r="U576" s="421" t="s">
        <v>1112</v>
      </c>
      <c r="V576" s="421" t="s">
        <v>3097</v>
      </c>
      <c r="W576" s="421" t="s">
        <v>3098</v>
      </c>
      <c r="X576" s="421" t="s">
        <v>3099</v>
      </c>
      <c r="Y576" s="421" t="s">
        <v>1117</v>
      </c>
      <c r="Z576" s="421" t="s">
        <v>1118</v>
      </c>
      <c r="AA576" s="421" t="s">
        <v>3100</v>
      </c>
      <c r="AB576" s="421" t="s">
        <v>3101</v>
      </c>
      <c r="AC576" s="421" t="s">
        <v>3102</v>
      </c>
      <c r="AD576" s="421" t="s">
        <v>3529</v>
      </c>
      <c r="AE576" s="421" t="s">
        <v>3530</v>
      </c>
      <c r="AF576" s="421" t="s">
        <v>1865</v>
      </c>
      <c r="AG576" s="421" t="s">
        <v>1866</v>
      </c>
      <c r="AH576" s="421" t="s">
        <v>1127</v>
      </c>
      <c r="AI576" s="421">
        <v>40.24</v>
      </c>
      <c r="AJ576" s="421">
        <v>40.24</v>
      </c>
      <c r="AK576" s="421">
        <v>44.9</v>
      </c>
      <c r="AL576" s="421">
        <v>3</v>
      </c>
      <c r="AM576" s="421" t="s">
        <v>1207</v>
      </c>
      <c r="AN576" s="421" t="s">
        <v>1207</v>
      </c>
      <c r="AO576" s="421" t="s">
        <v>1121</v>
      </c>
      <c r="AP576" s="421" t="s">
        <v>1121</v>
      </c>
      <c r="AQ576" s="421" t="s">
        <v>1108</v>
      </c>
      <c r="AR576" s="421" t="s">
        <v>3891</v>
      </c>
      <c r="AS576" s="421" t="s">
        <v>3917</v>
      </c>
      <c r="AT576" s="421" t="s">
        <v>3109</v>
      </c>
      <c r="AU576" s="421" t="s">
        <v>1142</v>
      </c>
      <c r="AV576" s="421" t="s">
        <v>2135</v>
      </c>
      <c r="AW576" s="421" t="s">
        <v>3110</v>
      </c>
      <c r="AX576" s="421" t="s">
        <v>3111</v>
      </c>
      <c r="AY576" s="421" t="s">
        <v>3193</v>
      </c>
      <c r="AZ576" s="421" t="s">
        <v>3113</v>
      </c>
      <c r="BA576" s="421" t="s">
        <v>3114</v>
      </c>
      <c r="BB576" s="421" t="s">
        <v>3115</v>
      </c>
      <c r="BC576" s="421">
        <v>766.08</v>
      </c>
      <c r="BD576" s="421">
        <v>2230886.2400000002</v>
      </c>
      <c r="BE576" s="421">
        <v>0</v>
      </c>
      <c r="BF576" s="421">
        <v>0</v>
      </c>
      <c r="BG576" s="421">
        <v>0</v>
      </c>
      <c r="BH576" s="421">
        <v>0</v>
      </c>
      <c r="BI576" s="421" t="s">
        <v>1149</v>
      </c>
    </row>
    <row r="577" spans="1:61" x14ac:dyDescent="0.25">
      <c r="A577" s="421">
        <v>574</v>
      </c>
      <c r="B577" s="421">
        <v>2015</v>
      </c>
      <c r="C577" s="421">
        <v>10</v>
      </c>
      <c r="D577" s="421">
        <v>26</v>
      </c>
      <c r="E577" s="421" t="s">
        <v>1475</v>
      </c>
      <c r="F577" s="421" t="s">
        <v>3480</v>
      </c>
      <c r="G577" s="421" t="s">
        <v>3915</v>
      </c>
      <c r="H577" s="421" t="s">
        <v>1107</v>
      </c>
      <c r="I577" s="421" t="s">
        <v>2851</v>
      </c>
      <c r="J577" s="421" t="s">
        <v>3916</v>
      </c>
      <c r="K577" s="421" t="s">
        <v>3093</v>
      </c>
      <c r="L577" s="421" t="s">
        <v>3094</v>
      </c>
      <c r="M577" s="421" t="s">
        <v>2667</v>
      </c>
      <c r="N577" s="421" t="s">
        <v>3093</v>
      </c>
      <c r="O577" s="421" t="s">
        <v>3094</v>
      </c>
      <c r="P577" s="421" t="s">
        <v>3095</v>
      </c>
      <c r="Q577" s="421" t="s">
        <v>3113</v>
      </c>
      <c r="R577" s="421" t="s">
        <v>1108</v>
      </c>
      <c r="S577" s="421" t="s">
        <v>1108</v>
      </c>
      <c r="T577" s="421" t="s">
        <v>1130</v>
      </c>
      <c r="U577" s="421" t="s">
        <v>1112</v>
      </c>
      <c r="V577" s="421" t="s">
        <v>3097</v>
      </c>
      <c r="W577" s="421" t="s">
        <v>3098</v>
      </c>
      <c r="X577" s="421" t="s">
        <v>3099</v>
      </c>
      <c r="Y577" s="421" t="s">
        <v>1117</v>
      </c>
      <c r="Z577" s="421" t="s">
        <v>1118</v>
      </c>
      <c r="AA577" s="421" t="s">
        <v>3100</v>
      </c>
      <c r="AB577" s="421" t="s">
        <v>3101</v>
      </c>
      <c r="AC577" s="421" t="s">
        <v>3102</v>
      </c>
      <c r="AD577" s="421" t="s">
        <v>3529</v>
      </c>
      <c r="AE577" s="421" t="s">
        <v>3530</v>
      </c>
      <c r="AF577" s="421" t="s">
        <v>1620</v>
      </c>
      <c r="AG577" s="421" t="s">
        <v>1621</v>
      </c>
      <c r="AH577" s="421" t="s">
        <v>1127</v>
      </c>
      <c r="AI577" s="421">
        <v>58.4</v>
      </c>
      <c r="AJ577" s="421">
        <v>58.4</v>
      </c>
      <c r="AK577" s="421">
        <v>65.16</v>
      </c>
      <c r="AL577" s="421">
        <v>2</v>
      </c>
      <c r="AM577" s="421" t="s">
        <v>1207</v>
      </c>
      <c r="AN577" s="421" t="s">
        <v>1207</v>
      </c>
      <c r="AO577" s="421" t="s">
        <v>1121</v>
      </c>
      <c r="AP577" s="421" t="s">
        <v>1121</v>
      </c>
      <c r="AQ577" s="421" t="s">
        <v>1108</v>
      </c>
      <c r="AR577" s="421" t="s">
        <v>3891</v>
      </c>
      <c r="AS577" s="421" t="s">
        <v>3917</v>
      </c>
      <c r="AT577" s="421" t="s">
        <v>3109</v>
      </c>
      <c r="AU577" s="421" t="s">
        <v>1142</v>
      </c>
      <c r="AV577" s="421" t="s">
        <v>2135</v>
      </c>
      <c r="AW577" s="421" t="s">
        <v>3110</v>
      </c>
      <c r="AX577" s="421" t="s">
        <v>3111</v>
      </c>
      <c r="AY577" s="421" t="s">
        <v>3193</v>
      </c>
      <c r="AZ577" s="421" t="s">
        <v>3113</v>
      </c>
      <c r="BA577" s="421" t="s">
        <v>3114</v>
      </c>
      <c r="BB577" s="421" t="s">
        <v>3115</v>
      </c>
      <c r="BC577" s="421">
        <v>460.8</v>
      </c>
      <c r="BD577" s="421">
        <v>1341886.46</v>
      </c>
      <c r="BE577" s="421">
        <v>0</v>
      </c>
      <c r="BF577" s="421">
        <v>0</v>
      </c>
      <c r="BG577" s="421">
        <v>0</v>
      </c>
      <c r="BH577" s="421">
        <v>0</v>
      </c>
      <c r="BI577" s="421" t="s">
        <v>1149</v>
      </c>
    </row>
    <row r="578" spans="1:61" x14ac:dyDescent="0.25">
      <c r="A578" s="421">
        <v>575</v>
      </c>
      <c r="B578" s="421">
        <v>2015</v>
      </c>
      <c r="C578" s="421">
        <v>10</v>
      </c>
      <c r="D578" s="421">
        <v>26</v>
      </c>
      <c r="E578" s="421" t="s">
        <v>1475</v>
      </c>
      <c r="F578" s="421" t="s">
        <v>3480</v>
      </c>
      <c r="G578" s="421" t="s">
        <v>3915</v>
      </c>
      <c r="H578" s="421" t="s">
        <v>1107</v>
      </c>
      <c r="I578" s="421" t="s">
        <v>2851</v>
      </c>
      <c r="J578" s="421" t="s">
        <v>3916</v>
      </c>
      <c r="K578" s="421" t="s">
        <v>3093</v>
      </c>
      <c r="L578" s="421" t="s">
        <v>3094</v>
      </c>
      <c r="M578" s="421" t="s">
        <v>2667</v>
      </c>
      <c r="N578" s="421" t="s">
        <v>3093</v>
      </c>
      <c r="O578" s="421" t="s">
        <v>3094</v>
      </c>
      <c r="P578" s="421" t="s">
        <v>3095</v>
      </c>
      <c r="Q578" s="421" t="s">
        <v>3113</v>
      </c>
      <c r="R578" s="421" t="s">
        <v>1108</v>
      </c>
      <c r="S578" s="421" t="s">
        <v>1108</v>
      </c>
      <c r="T578" s="421" t="s">
        <v>1130</v>
      </c>
      <c r="U578" s="421" t="s">
        <v>1112</v>
      </c>
      <c r="V578" s="421" t="s">
        <v>3097</v>
      </c>
      <c r="W578" s="421" t="s">
        <v>3098</v>
      </c>
      <c r="X578" s="421" t="s">
        <v>3099</v>
      </c>
      <c r="Y578" s="421" t="s">
        <v>1117</v>
      </c>
      <c r="Z578" s="421" t="s">
        <v>1118</v>
      </c>
      <c r="AA578" s="421" t="s">
        <v>3100</v>
      </c>
      <c r="AB578" s="421" t="s">
        <v>3101</v>
      </c>
      <c r="AC578" s="421" t="s">
        <v>3102</v>
      </c>
      <c r="AD578" s="421" t="s">
        <v>3529</v>
      </c>
      <c r="AE578" s="421" t="s">
        <v>3530</v>
      </c>
      <c r="AF578" s="421" t="s">
        <v>1632</v>
      </c>
      <c r="AG578" s="421" t="s">
        <v>1633</v>
      </c>
      <c r="AH578" s="421" t="s">
        <v>1127</v>
      </c>
      <c r="AI578" s="421">
        <v>253.14</v>
      </c>
      <c r="AJ578" s="421">
        <v>253.14</v>
      </c>
      <c r="AK578" s="421">
        <v>282.47000000000003</v>
      </c>
      <c r="AL578" s="421">
        <v>6</v>
      </c>
      <c r="AM578" s="421" t="s">
        <v>1207</v>
      </c>
      <c r="AN578" s="421" t="s">
        <v>1207</v>
      </c>
      <c r="AO578" s="421" t="s">
        <v>1121</v>
      </c>
      <c r="AP578" s="421" t="s">
        <v>1121</v>
      </c>
      <c r="AQ578" s="421" t="s">
        <v>1108</v>
      </c>
      <c r="AR578" s="421" t="s">
        <v>3891</v>
      </c>
      <c r="AS578" s="421" t="s">
        <v>3917</v>
      </c>
      <c r="AT578" s="421" t="s">
        <v>3109</v>
      </c>
      <c r="AU578" s="421" t="s">
        <v>1142</v>
      </c>
      <c r="AV578" s="421" t="s">
        <v>2135</v>
      </c>
      <c r="AW578" s="421" t="s">
        <v>3110</v>
      </c>
      <c r="AX578" s="421" t="s">
        <v>3111</v>
      </c>
      <c r="AY578" s="421" t="s">
        <v>3193</v>
      </c>
      <c r="AZ578" s="421" t="s">
        <v>3113</v>
      </c>
      <c r="BA578" s="421" t="s">
        <v>3114</v>
      </c>
      <c r="BB578" s="421" t="s">
        <v>3115</v>
      </c>
      <c r="BC578" s="421">
        <v>2147.04</v>
      </c>
      <c r="BD578" s="421">
        <v>6252352.2400000002</v>
      </c>
      <c r="BE578" s="421">
        <v>0</v>
      </c>
      <c r="BF578" s="421">
        <v>0</v>
      </c>
      <c r="BG578" s="421">
        <v>0</v>
      </c>
      <c r="BH578" s="421">
        <v>0</v>
      </c>
      <c r="BI578" s="421" t="s">
        <v>1149</v>
      </c>
    </row>
    <row r="579" spans="1:61" x14ac:dyDescent="0.25">
      <c r="A579" s="421">
        <v>576</v>
      </c>
      <c r="B579" s="421">
        <v>2015</v>
      </c>
      <c r="C579" s="421">
        <v>10</v>
      </c>
      <c r="D579" s="421">
        <v>26</v>
      </c>
      <c r="E579" s="421" t="s">
        <v>1475</v>
      </c>
      <c r="F579" s="421" t="s">
        <v>3480</v>
      </c>
      <c r="G579" s="421" t="s">
        <v>3915</v>
      </c>
      <c r="H579" s="421" t="s">
        <v>1107</v>
      </c>
      <c r="I579" s="421" t="s">
        <v>2851</v>
      </c>
      <c r="J579" s="421" t="s">
        <v>3920</v>
      </c>
      <c r="K579" s="421" t="s">
        <v>3093</v>
      </c>
      <c r="L579" s="421" t="s">
        <v>3094</v>
      </c>
      <c r="M579" s="421" t="s">
        <v>2667</v>
      </c>
      <c r="N579" s="421" t="s">
        <v>3093</v>
      </c>
      <c r="O579" s="421" t="s">
        <v>3094</v>
      </c>
      <c r="P579" s="421" t="s">
        <v>3095</v>
      </c>
      <c r="Q579" s="421" t="s">
        <v>3113</v>
      </c>
      <c r="R579" s="421" t="s">
        <v>1108</v>
      </c>
      <c r="S579" s="421" t="s">
        <v>1108</v>
      </c>
      <c r="T579" s="421" t="s">
        <v>1130</v>
      </c>
      <c r="U579" s="421" t="s">
        <v>1112</v>
      </c>
      <c r="V579" s="421" t="s">
        <v>3097</v>
      </c>
      <c r="W579" s="421" t="s">
        <v>3098</v>
      </c>
      <c r="X579" s="421" t="s">
        <v>3099</v>
      </c>
      <c r="Y579" s="421" t="s">
        <v>1117</v>
      </c>
      <c r="Z579" s="421" t="s">
        <v>1118</v>
      </c>
      <c r="AA579" s="421" t="s">
        <v>3100</v>
      </c>
      <c r="AB579" s="421" t="s">
        <v>3101</v>
      </c>
      <c r="AC579" s="421" t="s">
        <v>3102</v>
      </c>
      <c r="AD579" s="421" t="s">
        <v>3921</v>
      </c>
      <c r="AE579" s="421" t="s">
        <v>3922</v>
      </c>
      <c r="AF579" s="421" t="s">
        <v>2236</v>
      </c>
      <c r="AG579" s="421" t="s">
        <v>2237</v>
      </c>
      <c r="AH579" s="421" t="s">
        <v>3105</v>
      </c>
      <c r="AI579" s="421">
        <v>811200</v>
      </c>
      <c r="AJ579" s="421">
        <v>1455.58</v>
      </c>
      <c r="AK579" s="421">
        <v>1615.93</v>
      </c>
      <c r="AL579" s="421">
        <v>1</v>
      </c>
      <c r="AM579" s="421" t="s">
        <v>3923</v>
      </c>
      <c r="AN579" s="421" t="s">
        <v>3924</v>
      </c>
      <c r="AO579" s="421" t="s">
        <v>1121</v>
      </c>
      <c r="AP579" s="421" t="s">
        <v>1121</v>
      </c>
      <c r="AQ579" s="421" t="s">
        <v>1108</v>
      </c>
      <c r="AR579" s="421" t="s">
        <v>3891</v>
      </c>
      <c r="AS579" s="421" t="s">
        <v>3925</v>
      </c>
      <c r="AT579" s="421" t="s">
        <v>3109</v>
      </c>
      <c r="AU579" s="421" t="s">
        <v>1142</v>
      </c>
      <c r="AV579" s="421" t="s">
        <v>3130</v>
      </c>
      <c r="AW579" s="421" t="s">
        <v>3110</v>
      </c>
      <c r="AX579" s="421" t="s">
        <v>3111</v>
      </c>
      <c r="AY579" s="421" t="s">
        <v>3112</v>
      </c>
      <c r="AZ579" s="421" t="s">
        <v>3113</v>
      </c>
      <c r="BA579" s="421" t="s">
        <v>3114</v>
      </c>
      <c r="BB579" s="421" t="s">
        <v>3115</v>
      </c>
      <c r="BC579" s="421">
        <v>26138.6</v>
      </c>
      <c r="BD579" s="421">
        <v>76117694.280000001</v>
      </c>
      <c r="BE579" s="421">
        <v>0</v>
      </c>
      <c r="BF579" s="421">
        <v>1038.1400000000001</v>
      </c>
      <c r="BG579" s="421">
        <v>67.94</v>
      </c>
      <c r="BH579" s="421">
        <v>0</v>
      </c>
      <c r="BI579" s="421" t="s">
        <v>1149</v>
      </c>
    </row>
    <row r="580" spans="1:61" x14ac:dyDescent="0.25">
      <c r="A580" s="421">
        <v>577</v>
      </c>
      <c r="B580" s="421">
        <v>2015</v>
      </c>
      <c r="C580" s="421">
        <v>10</v>
      </c>
      <c r="D580" s="421">
        <v>26</v>
      </c>
      <c r="E580" s="421" t="s">
        <v>1475</v>
      </c>
      <c r="F580" s="421" t="s">
        <v>3480</v>
      </c>
      <c r="G580" s="421" t="s">
        <v>3915</v>
      </c>
      <c r="H580" s="421" t="s">
        <v>1107</v>
      </c>
      <c r="I580" s="421" t="s">
        <v>2851</v>
      </c>
      <c r="J580" s="421" t="s">
        <v>3920</v>
      </c>
      <c r="K580" s="421" t="s">
        <v>3093</v>
      </c>
      <c r="L580" s="421" t="s">
        <v>3094</v>
      </c>
      <c r="M580" s="421" t="s">
        <v>2667</v>
      </c>
      <c r="N580" s="421" t="s">
        <v>3093</v>
      </c>
      <c r="O580" s="421" t="s">
        <v>3094</v>
      </c>
      <c r="P580" s="421" t="s">
        <v>3095</v>
      </c>
      <c r="Q580" s="421" t="s">
        <v>3113</v>
      </c>
      <c r="R580" s="421" t="s">
        <v>1108</v>
      </c>
      <c r="S580" s="421" t="s">
        <v>1108</v>
      </c>
      <c r="T580" s="421" t="s">
        <v>1130</v>
      </c>
      <c r="U580" s="421" t="s">
        <v>1112</v>
      </c>
      <c r="V580" s="421" t="s">
        <v>3097</v>
      </c>
      <c r="W580" s="421" t="s">
        <v>3098</v>
      </c>
      <c r="X580" s="421" t="s">
        <v>3099</v>
      </c>
      <c r="Y580" s="421" t="s">
        <v>1117</v>
      </c>
      <c r="Z580" s="421" t="s">
        <v>1118</v>
      </c>
      <c r="AA580" s="421" t="s">
        <v>3100</v>
      </c>
      <c r="AB580" s="421" t="s">
        <v>3101</v>
      </c>
      <c r="AC580" s="421" t="s">
        <v>3102</v>
      </c>
      <c r="AD580" s="421" t="s">
        <v>3921</v>
      </c>
      <c r="AE580" s="421" t="s">
        <v>3922</v>
      </c>
      <c r="AF580" s="421" t="s">
        <v>2236</v>
      </c>
      <c r="AG580" s="421" t="s">
        <v>2237</v>
      </c>
      <c r="AH580" s="421" t="s">
        <v>3105</v>
      </c>
      <c r="AI580" s="421">
        <v>221920</v>
      </c>
      <c r="AJ580" s="421">
        <v>397.33</v>
      </c>
      <c r="AK580" s="421">
        <v>441.1</v>
      </c>
      <c r="AL580" s="421">
        <v>2</v>
      </c>
      <c r="AM580" s="421" t="s">
        <v>3923</v>
      </c>
      <c r="AN580" s="421" t="s">
        <v>3924</v>
      </c>
      <c r="AO580" s="421" t="s">
        <v>1121</v>
      </c>
      <c r="AP580" s="421" t="s">
        <v>1121</v>
      </c>
      <c r="AQ580" s="421" t="s">
        <v>1108</v>
      </c>
      <c r="AR580" s="421" t="s">
        <v>3891</v>
      </c>
      <c r="AS580" s="421" t="s">
        <v>3925</v>
      </c>
      <c r="AT580" s="421" t="s">
        <v>3109</v>
      </c>
      <c r="AU580" s="421" t="s">
        <v>1142</v>
      </c>
      <c r="AV580" s="421" t="s">
        <v>3130</v>
      </c>
      <c r="AW580" s="421" t="s">
        <v>3110</v>
      </c>
      <c r="AX580" s="421" t="s">
        <v>3111</v>
      </c>
      <c r="AY580" s="421" t="s">
        <v>3112</v>
      </c>
      <c r="AZ580" s="421" t="s">
        <v>3113</v>
      </c>
      <c r="BA580" s="421" t="s">
        <v>3114</v>
      </c>
      <c r="BB580" s="421" t="s">
        <v>3115</v>
      </c>
      <c r="BC580" s="421">
        <v>7411.2</v>
      </c>
      <c r="BD580" s="421">
        <v>21582007.289999999</v>
      </c>
      <c r="BE580" s="421">
        <v>0</v>
      </c>
      <c r="BF580" s="421">
        <v>294.35000000000002</v>
      </c>
      <c r="BG580" s="421">
        <v>19.260000000000002</v>
      </c>
      <c r="BH580" s="421">
        <v>0</v>
      </c>
      <c r="BI580" s="421" t="s">
        <v>1149</v>
      </c>
    </row>
    <row r="581" spans="1:61" x14ac:dyDescent="0.25">
      <c r="A581" s="421">
        <v>578</v>
      </c>
      <c r="B581" s="421">
        <v>2015</v>
      </c>
      <c r="C581" s="421">
        <v>10</v>
      </c>
      <c r="D581" s="421">
        <v>26</v>
      </c>
      <c r="E581" s="421" t="s">
        <v>1475</v>
      </c>
      <c r="F581" s="421" t="s">
        <v>3480</v>
      </c>
      <c r="G581" s="421" t="s">
        <v>3915</v>
      </c>
      <c r="H581" s="421" t="s">
        <v>1107</v>
      </c>
      <c r="I581" s="421" t="s">
        <v>2851</v>
      </c>
      <c r="J581" s="421" t="s">
        <v>3920</v>
      </c>
      <c r="K581" s="421" t="s">
        <v>3093</v>
      </c>
      <c r="L581" s="421" t="s">
        <v>3094</v>
      </c>
      <c r="M581" s="421" t="s">
        <v>2667</v>
      </c>
      <c r="N581" s="421" t="s">
        <v>3093</v>
      </c>
      <c r="O581" s="421" t="s">
        <v>3094</v>
      </c>
      <c r="P581" s="421" t="s">
        <v>3095</v>
      </c>
      <c r="Q581" s="421" t="s">
        <v>3113</v>
      </c>
      <c r="R581" s="421" t="s">
        <v>1108</v>
      </c>
      <c r="S581" s="421" t="s">
        <v>1108</v>
      </c>
      <c r="T581" s="421" t="s">
        <v>1130</v>
      </c>
      <c r="U581" s="421" t="s">
        <v>1112</v>
      </c>
      <c r="V581" s="421" t="s">
        <v>3097</v>
      </c>
      <c r="W581" s="421" t="s">
        <v>3098</v>
      </c>
      <c r="X581" s="421" t="s">
        <v>3099</v>
      </c>
      <c r="Y581" s="421" t="s">
        <v>1117</v>
      </c>
      <c r="Z581" s="421" t="s">
        <v>1118</v>
      </c>
      <c r="AA581" s="421" t="s">
        <v>3100</v>
      </c>
      <c r="AB581" s="421" t="s">
        <v>3101</v>
      </c>
      <c r="AC581" s="421" t="s">
        <v>3102</v>
      </c>
      <c r="AD581" s="421" t="s">
        <v>3921</v>
      </c>
      <c r="AE581" s="421" t="s">
        <v>3922</v>
      </c>
      <c r="AF581" s="421" t="s">
        <v>2236</v>
      </c>
      <c r="AG581" s="421" t="s">
        <v>2237</v>
      </c>
      <c r="AH581" s="421" t="s">
        <v>3105</v>
      </c>
      <c r="AI581" s="421">
        <v>37920</v>
      </c>
      <c r="AJ581" s="421">
        <v>114.79</v>
      </c>
      <c r="AK581" s="421">
        <v>127.43</v>
      </c>
      <c r="AL581" s="421">
        <v>3</v>
      </c>
      <c r="AM581" s="421" t="s">
        <v>3923</v>
      </c>
      <c r="AN581" s="421" t="s">
        <v>3924</v>
      </c>
      <c r="AO581" s="421" t="s">
        <v>1121</v>
      </c>
      <c r="AP581" s="421" t="s">
        <v>1121</v>
      </c>
      <c r="AQ581" s="421" t="s">
        <v>1108</v>
      </c>
      <c r="AR581" s="421" t="s">
        <v>3891</v>
      </c>
      <c r="AS581" s="421" t="s">
        <v>3925</v>
      </c>
      <c r="AT581" s="421" t="s">
        <v>3109</v>
      </c>
      <c r="AU581" s="421" t="s">
        <v>1142</v>
      </c>
      <c r="AV581" s="421" t="s">
        <v>3130</v>
      </c>
      <c r="AW581" s="421" t="s">
        <v>3110</v>
      </c>
      <c r="AX581" s="421" t="s">
        <v>3111</v>
      </c>
      <c r="AY581" s="421" t="s">
        <v>3112</v>
      </c>
      <c r="AZ581" s="421" t="s">
        <v>3113</v>
      </c>
      <c r="BA581" s="421" t="s">
        <v>3114</v>
      </c>
      <c r="BB581" s="421" t="s">
        <v>3115</v>
      </c>
      <c r="BC581" s="421">
        <v>4186.2</v>
      </c>
      <c r="BD581" s="421">
        <v>12190549.289999999</v>
      </c>
      <c r="BE581" s="421">
        <v>0</v>
      </c>
      <c r="BF581" s="421">
        <v>166.26</v>
      </c>
      <c r="BG581" s="421">
        <v>10.88</v>
      </c>
      <c r="BH581" s="421">
        <v>0</v>
      </c>
      <c r="BI581" s="421" t="s">
        <v>1149</v>
      </c>
    </row>
    <row r="582" spans="1:61" x14ac:dyDescent="0.25">
      <c r="A582" s="421">
        <v>579</v>
      </c>
      <c r="B582" s="421">
        <v>2015</v>
      </c>
      <c r="C582" s="421">
        <v>10</v>
      </c>
      <c r="D582" s="421">
        <v>26</v>
      </c>
      <c r="E582" s="421" t="s">
        <v>1475</v>
      </c>
      <c r="F582" s="421" t="s">
        <v>3480</v>
      </c>
      <c r="G582" s="421" t="s">
        <v>3915</v>
      </c>
      <c r="H582" s="421" t="s">
        <v>1107</v>
      </c>
      <c r="I582" s="421" t="s">
        <v>2851</v>
      </c>
      <c r="J582" s="421" t="s">
        <v>3920</v>
      </c>
      <c r="K582" s="421" t="s">
        <v>3093</v>
      </c>
      <c r="L582" s="421" t="s">
        <v>3094</v>
      </c>
      <c r="M582" s="421" t="s">
        <v>2667</v>
      </c>
      <c r="N582" s="421" t="s">
        <v>3093</v>
      </c>
      <c r="O582" s="421" t="s">
        <v>3094</v>
      </c>
      <c r="P582" s="421" t="s">
        <v>3095</v>
      </c>
      <c r="Q582" s="421" t="s">
        <v>3113</v>
      </c>
      <c r="R582" s="421" t="s">
        <v>1108</v>
      </c>
      <c r="S582" s="421" t="s">
        <v>1108</v>
      </c>
      <c r="T582" s="421" t="s">
        <v>1130</v>
      </c>
      <c r="U582" s="421" t="s">
        <v>1112</v>
      </c>
      <c r="V582" s="421" t="s">
        <v>3097</v>
      </c>
      <c r="W582" s="421" t="s">
        <v>3098</v>
      </c>
      <c r="X582" s="421" t="s">
        <v>3099</v>
      </c>
      <c r="Y582" s="421" t="s">
        <v>1117</v>
      </c>
      <c r="Z582" s="421" t="s">
        <v>1118</v>
      </c>
      <c r="AA582" s="421" t="s">
        <v>3100</v>
      </c>
      <c r="AB582" s="421" t="s">
        <v>3101</v>
      </c>
      <c r="AC582" s="421" t="s">
        <v>3102</v>
      </c>
      <c r="AD582" s="421" t="s">
        <v>3921</v>
      </c>
      <c r="AE582" s="421" t="s">
        <v>3922</v>
      </c>
      <c r="AF582" s="421" t="s">
        <v>2236</v>
      </c>
      <c r="AG582" s="421" t="s">
        <v>2237</v>
      </c>
      <c r="AH582" s="421" t="s">
        <v>3105</v>
      </c>
      <c r="AI582" s="421">
        <v>5760</v>
      </c>
      <c r="AJ582" s="421">
        <v>24.52</v>
      </c>
      <c r="AK582" s="421">
        <v>27.22</v>
      </c>
      <c r="AL582" s="421">
        <v>4</v>
      </c>
      <c r="AM582" s="421" t="s">
        <v>3923</v>
      </c>
      <c r="AN582" s="421" t="s">
        <v>3924</v>
      </c>
      <c r="AO582" s="421" t="s">
        <v>1121</v>
      </c>
      <c r="AP582" s="421" t="s">
        <v>1121</v>
      </c>
      <c r="AQ582" s="421" t="s">
        <v>1108</v>
      </c>
      <c r="AR582" s="421" t="s">
        <v>3891</v>
      </c>
      <c r="AS582" s="421" t="s">
        <v>3925</v>
      </c>
      <c r="AT582" s="421" t="s">
        <v>3109</v>
      </c>
      <c r="AU582" s="421" t="s">
        <v>1142</v>
      </c>
      <c r="AV582" s="421" t="s">
        <v>3130</v>
      </c>
      <c r="AW582" s="421" t="s">
        <v>3110</v>
      </c>
      <c r="AX582" s="421" t="s">
        <v>3111</v>
      </c>
      <c r="AY582" s="421" t="s">
        <v>3112</v>
      </c>
      <c r="AZ582" s="421" t="s">
        <v>3113</v>
      </c>
      <c r="BA582" s="421" t="s">
        <v>3114</v>
      </c>
      <c r="BB582" s="421" t="s">
        <v>3115</v>
      </c>
      <c r="BC582" s="421">
        <v>576</v>
      </c>
      <c r="BD582" s="421">
        <v>1677358.0800000001</v>
      </c>
      <c r="BE582" s="421">
        <v>0</v>
      </c>
      <c r="BF582" s="421">
        <v>22.88</v>
      </c>
      <c r="BG582" s="421">
        <v>1.5</v>
      </c>
      <c r="BH582" s="421">
        <v>0</v>
      </c>
      <c r="BI582" s="421" t="s">
        <v>1149</v>
      </c>
    </row>
    <row r="583" spans="1:61" x14ac:dyDescent="0.25">
      <c r="A583" s="421">
        <v>580</v>
      </c>
      <c r="B583" s="421">
        <v>2015</v>
      </c>
      <c r="C583" s="421">
        <v>10</v>
      </c>
      <c r="D583" s="421">
        <v>30</v>
      </c>
      <c r="E583" s="421" t="s">
        <v>1475</v>
      </c>
      <c r="F583" s="421" t="s">
        <v>3480</v>
      </c>
      <c r="G583" s="421" t="s">
        <v>3524</v>
      </c>
      <c r="H583" s="421" t="s">
        <v>1901</v>
      </c>
      <c r="I583" s="421" t="s">
        <v>3926</v>
      </c>
      <c r="J583" s="421" t="s">
        <v>3927</v>
      </c>
      <c r="K583" s="421" t="s">
        <v>3891</v>
      </c>
      <c r="L583" s="421" t="s">
        <v>3928</v>
      </c>
      <c r="M583" s="421" t="s">
        <v>2667</v>
      </c>
      <c r="N583" s="421" t="s">
        <v>3093</v>
      </c>
      <c r="O583" s="421" t="s">
        <v>3094</v>
      </c>
      <c r="P583" s="421" t="s">
        <v>3095</v>
      </c>
      <c r="Q583" s="421" t="s">
        <v>3096</v>
      </c>
      <c r="R583" s="421" t="s">
        <v>1108</v>
      </c>
      <c r="S583" s="421" t="s">
        <v>1542</v>
      </c>
      <c r="T583" s="421" t="s">
        <v>1130</v>
      </c>
      <c r="U583" s="421" t="s">
        <v>1112</v>
      </c>
      <c r="V583" s="421" t="s">
        <v>3097</v>
      </c>
      <c r="W583" s="421" t="s">
        <v>3098</v>
      </c>
      <c r="X583" s="421" t="s">
        <v>3099</v>
      </c>
      <c r="Y583" s="421" t="s">
        <v>1117</v>
      </c>
      <c r="Z583" s="421" t="s">
        <v>1118</v>
      </c>
      <c r="AA583" s="421" t="s">
        <v>3100</v>
      </c>
      <c r="AB583" s="421" t="s">
        <v>3101</v>
      </c>
      <c r="AC583" s="421" t="s">
        <v>3102</v>
      </c>
      <c r="AD583" s="421" t="s">
        <v>3103</v>
      </c>
      <c r="AE583" s="421" t="s">
        <v>3104</v>
      </c>
      <c r="AF583" s="421" t="s">
        <v>2236</v>
      </c>
      <c r="AG583" s="421" t="s">
        <v>2237</v>
      </c>
      <c r="AH583" s="421" t="s">
        <v>3105</v>
      </c>
      <c r="AI583" s="421">
        <v>66000</v>
      </c>
      <c r="AJ583" s="421">
        <v>254.1</v>
      </c>
      <c r="AK583" s="421">
        <v>275.82</v>
      </c>
      <c r="AL583" s="421">
        <v>4</v>
      </c>
      <c r="AM583" s="421" t="s">
        <v>959</v>
      </c>
      <c r="AN583" s="421" t="s">
        <v>3106</v>
      </c>
      <c r="AO583" s="421" t="s">
        <v>1121</v>
      </c>
      <c r="AP583" s="421" t="s">
        <v>1121</v>
      </c>
      <c r="AQ583" s="421" t="s">
        <v>1542</v>
      </c>
      <c r="AR583" s="421" t="s">
        <v>3891</v>
      </c>
      <c r="AS583" s="421" t="s">
        <v>3929</v>
      </c>
      <c r="AT583" s="421" t="s">
        <v>3109</v>
      </c>
      <c r="AU583" s="421" t="s">
        <v>1142</v>
      </c>
      <c r="AV583" s="421" t="s">
        <v>1547</v>
      </c>
      <c r="AW583" s="421" t="s">
        <v>3110</v>
      </c>
      <c r="AX583" s="421" t="s">
        <v>3131</v>
      </c>
      <c r="AY583" s="421" t="s">
        <v>3112</v>
      </c>
      <c r="AZ583" s="421" t="s">
        <v>3113</v>
      </c>
      <c r="BA583" s="421" t="s">
        <v>3114</v>
      </c>
      <c r="BB583" s="421" t="s">
        <v>3115</v>
      </c>
      <c r="BC583" s="421">
        <v>4712.3999999999996</v>
      </c>
      <c r="BD583" s="421">
        <v>13766428.359999999</v>
      </c>
      <c r="BE583" s="421">
        <v>0</v>
      </c>
      <c r="BF583" s="421">
        <v>0</v>
      </c>
      <c r="BG583" s="421">
        <v>0</v>
      </c>
      <c r="BH583" s="421">
        <v>0</v>
      </c>
      <c r="BI583" s="421" t="s">
        <v>1167</v>
      </c>
    </row>
    <row r="584" spans="1:61" x14ac:dyDescent="0.25">
      <c r="A584" s="421">
        <v>581</v>
      </c>
      <c r="B584" s="421">
        <v>2015</v>
      </c>
      <c r="C584" s="421">
        <v>10</v>
      </c>
      <c r="D584" s="421">
        <v>30</v>
      </c>
      <c r="E584" s="421" t="s">
        <v>1475</v>
      </c>
      <c r="F584" s="421" t="s">
        <v>3480</v>
      </c>
      <c r="G584" s="421" t="s">
        <v>3524</v>
      </c>
      <c r="H584" s="421" t="s">
        <v>1901</v>
      </c>
      <c r="I584" s="421" t="s">
        <v>3926</v>
      </c>
      <c r="J584" s="421" t="s">
        <v>3927</v>
      </c>
      <c r="K584" s="421" t="s">
        <v>3891</v>
      </c>
      <c r="L584" s="421" t="s">
        <v>3928</v>
      </c>
      <c r="M584" s="421" t="s">
        <v>2667</v>
      </c>
      <c r="N584" s="421" t="s">
        <v>3093</v>
      </c>
      <c r="O584" s="421" t="s">
        <v>3094</v>
      </c>
      <c r="P584" s="421" t="s">
        <v>3095</v>
      </c>
      <c r="Q584" s="421" t="s">
        <v>3096</v>
      </c>
      <c r="R584" s="421" t="s">
        <v>1108</v>
      </c>
      <c r="S584" s="421" t="s">
        <v>1542</v>
      </c>
      <c r="T584" s="421" t="s">
        <v>1130</v>
      </c>
      <c r="U584" s="421" t="s">
        <v>1112</v>
      </c>
      <c r="V584" s="421" t="s">
        <v>3097</v>
      </c>
      <c r="W584" s="421" t="s">
        <v>3098</v>
      </c>
      <c r="X584" s="421" t="s">
        <v>3099</v>
      </c>
      <c r="Y584" s="421" t="s">
        <v>1117</v>
      </c>
      <c r="Z584" s="421" t="s">
        <v>1118</v>
      </c>
      <c r="AA584" s="421" t="s">
        <v>3100</v>
      </c>
      <c r="AB584" s="421" t="s">
        <v>3101</v>
      </c>
      <c r="AC584" s="421" t="s">
        <v>3102</v>
      </c>
      <c r="AD584" s="421" t="s">
        <v>3103</v>
      </c>
      <c r="AE584" s="421" t="s">
        <v>3104</v>
      </c>
      <c r="AF584" s="421" t="s">
        <v>2236</v>
      </c>
      <c r="AG584" s="421" t="s">
        <v>2237</v>
      </c>
      <c r="AH584" s="421" t="s">
        <v>3105</v>
      </c>
      <c r="AI584" s="421">
        <v>4656500</v>
      </c>
      <c r="AJ584" s="421">
        <v>10279.56</v>
      </c>
      <c r="AK584" s="421">
        <v>11158.58</v>
      </c>
      <c r="AL584" s="421">
        <v>1</v>
      </c>
      <c r="AM584" s="421" t="s">
        <v>959</v>
      </c>
      <c r="AN584" s="421" t="s">
        <v>3106</v>
      </c>
      <c r="AO584" s="421" t="s">
        <v>1121</v>
      </c>
      <c r="AP584" s="421" t="s">
        <v>1121</v>
      </c>
      <c r="AQ584" s="421" t="s">
        <v>1542</v>
      </c>
      <c r="AR584" s="421" t="s">
        <v>3891</v>
      </c>
      <c r="AS584" s="421" t="s">
        <v>3929</v>
      </c>
      <c r="AT584" s="421" t="s">
        <v>3109</v>
      </c>
      <c r="AU584" s="421" t="s">
        <v>1142</v>
      </c>
      <c r="AV584" s="421" t="s">
        <v>1547</v>
      </c>
      <c r="AW584" s="421" t="s">
        <v>3110</v>
      </c>
      <c r="AX584" s="421" t="s">
        <v>3131</v>
      </c>
      <c r="AY584" s="421" t="s">
        <v>3112</v>
      </c>
      <c r="AZ584" s="421" t="s">
        <v>3113</v>
      </c>
      <c r="BA584" s="421" t="s">
        <v>3114</v>
      </c>
      <c r="BB584" s="421" t="s">
        <v>3115</v>
      </c>
      <c r="BC584" s="421">
        <v>110100.4</v>
      </c>
      <c r="BD584" s="421">
        <v>321638500.51999998</v>
      </c>
      <c r="BE584" s="421">
        <v>0</v>
      </c>
      <c r="BF584" s="421">
        <v>0</v>
      </c>
      <c r="BG584" s="421">
        <v>0</v>
      </c>
      <c r="BH584" s="421">
        <v>0</v>
      </c>
      <c r="BI584" s="421" t="s">
        <v>1167</v>
      </c>
    </row>
    <row r="585" spans="1:61" x14ac:dyDescent="0.25">
      <c r="A585" s="421">
        <v>582</v>
      </c>
      <c r="B585" s="421">
        <v>2015</v>
      </c>
      <c r="C585" s="421">
        <v>10</v>
      </c>
      <c r="D585" s="421">
        <v>30</v>
      </c>
      <c r="E585" s="421" t="s">
        <v>1475</v>
      </c>
      <c r="F585" s="421" t="s">
        <v>3480</v>
      </c>
      <c r="G585" s="421" t="s">
        <v>3524</v>
      </c>
      <c r="H585" s="421" t="s">
        <v>1901</v>
      </c>
      <c r="I585" s="421" t="s">
        <v>3926</v>
      </c>
      <c r="J585" s="421" t="s">
        <v>3927</v>
      </c>
      <c r="K585" s="421" t="s">
        <v>3891</v>
      </c>
      <c r="L585" s="421" t="s">
        <v>3928</v>
      </c>
      <c r="M585" s="421" t="s">
        <v>2667</v>
      </c>
      <c r="N585" s="421" t="s">
        <v>3093</v>
      </c>
      <c r="O585" s="421" t="s">
        <v>3094</v>
      </c>
      <c r="P585" s="421" t="s">
        <v>3095</v>
      </c>
      <c r="Q585" s="421" t="s">
        <v>3096</v>
      </c>
      <c r="R585" s="421" t="s">
        <v>1108</v>
      </c>
      <c r="S585" s="421" t="s">
        <v>1542</v>
      </c>
      <c r="T585" s="421" t="s">
        <v>1130</v>
      </c>
      <c r="U585" s="421" t="s">
        <v>1112</v>
      </c>
      <c r="V585" s="421" t="s">
        <v>3097</v>
      </c>
      <c r="W585" s="421" t="s">
        <v>3098</v>
      </c>
      <c r="X585" s="421" t="s">
        <v>3099</v>
      </c>
      <c r="Y585" s="421" t="s">
        <v>1117</v>
      </c>
      <c r="Z585" s="421" t="s">
        <v>1118</v>
      </c>
      <c r="AA585" s="421" t="s">
        <v>3100</v>
      </c>
      <c r="AB585" s="421" t="s">
        <v>3101</v>
      </c>
      <c r="AC585" s="421" t="s">
        <v>3102</v>
      </c>
      <c r="AD585" s="421" t="s">
        <v>3103</v>
      </c>
      <c r="AE585" s="421" t="s">
        <v>3104</v>
      </c>
      <c r="AF585" s="421" t="s">
        <v>2236</v>
      </c>
      <c r="AG585" s="421" t="s">
        <v>2237</v>
      </c>
      <c r="AH585" s="421" t="s">
        <v>3105</v>
      </c>
      <c r="AI585" s="421">
        <v>1081000</v>
      </c>
      <c r="AJ585" s="421">
        <v>3726.14</v>
      </c>
      <c r="AK585" s="421">
        <v>4044.77</v>
      </c>
      <c r="AL585" s="421">
        <v>3</v>
      </c>
      <c r="AM585" s="421" t="s">
        <v>959</v>
      </c>
      <c r="AN585" s="421" t="s">
        <v>3106</v>
      </c>
      <c r="AO585" s="421" t="s">
        <v>1121</v>
      </c>
      <c r="AP585" s="421" t="s">
        <v>1121</v>
      </c>
      <c r="AQ585" s="421" t="s">
        <v>1542</v>
      </c>
      <c r="AR585" s="421" t="s">
        <v>3891</v>
      </c>
      <c r="AS585" s="421" t="s">
        <v>3929</v>
      </c>
      <c r="AT585" s="421" t="s">
        <v>3109</v>
      </c>
      <c r="AU585" s="421" t="s">
        <v>1142</v>
      </c>
      <c r="AV585" s="421" t="s">
        <v>1547</v>
      </c>
      <c r="AW585" s="421" t="s">
        <v>3110</v>
      </c>
      <c r="AX585" s="421" t="s">
        <v>3131</v>
      </c>
      <c r="AY585" s="421" t="s">
        <v>3112</v>
      </c>
      <c r="AZ585" s="421" t="s">
        <v>3113</v>
      </c>
      <c r="BA585" s="421" t="s">
        <v>3114</v>
      </c>
      <c r="BB585" s="421" t="s">
        <v>3115</v>
      </c>
      <c r="BC585" s="421">
        <v>77138</v>
      </c>
      <c r="BD585" s="421">
        <v>225344782.16</v>
      </c>
      <c r="BE585" s="421">
        <v>0</v>
      </c>
      <c r="BF585" s="421">
        <v>0</v>
      </c>
      <c r="BG585" s="421">
        <v>0</v>
      </c>
      <c r="BH585" s="421">
        <v>0</v>
      </c>
      <c r="BI585" s="421" t="s">
        <v>1167</v>
      </c>
    </row>
    <row r="586" spans="1:61" x14ac:dyDescent="0.25">
      <c r="A586" s="421">
        <v>583</v>
      </c>
      <c r="B586" s="421">
        <v>2015</v>
      </c>
      <c r="C586" s="421">
        <v>10</v>
      </c>
      <c r="D586" s="421">
        <v>30</v>
      </c>
      <c r="E586" s="421" t="s">
        <v>1475</v>
      </c>
      <c r="F586" s="421" t="s">
        <v>3480</v>
      </c>
      <c r="G586" s="421" t="s">
        <v>3524</v>
      </c>
      <c r="H586" s="421" t="s">
        <v>1901</v>
      </c>
      <c r="I586" s="421" t="s">
        <v>3926</v>
      </c>
      <c r="J586" s="421" t="s">
        <v>3927</v>
      </c>
      <c r="K586" s="421" t="s">
        <v>3891</v>
      </c>
      <c r="L586" s="421" t="s">
        <v>3928</v>
      </c>
      <c r="M586" s="421" t="s">
        <v>2667</v>
      </c>
      <c r="N586" s="421" t="s">
        <v>3093</v>
      </c>
      <c r="O586" s="421" t="s">
        <v>3094</v>
      </c>
      <c r="P586" s="421" t="s">
        <v>3095</v>
      </c>
      <c r="Q586" s="421" t="s">
        <v>3096</v>
      </c>
      <c r="R586" s="421" t="s">
        <v>1108</v>
      </c>
      <c r="S586" s="421" t="s">
        <v>1542</v>
      </c>
      <c r="T586" s="421" t="s">
        <v>1130</v>
      </c>
      <c r="U586" s="421" t="s">
        <v>1112</v>
      </c>
      <c r="V586" s="421" t="s">
        <v>3097</v>
      </c>
      <c r="W586" s="421" t="s">
        <v>3098</v>
      </c>
      <c r="X586" s="421" t="s">
        <v>3099</v>
      </c>
      <c r="Y586" s="421" t="s">
        <v>1117</v>
      </c>
      <c r="Z586" s="421" t="s">
        <v>1118</v>
      </c>
      <c r="AA586" s="421" t="s">
        <v>3100</v>
      </c>
      <c r="AB586" s="421" t="s">
        <v>3101</v>
      </c>
      <c r="AC586" s="421" t="s">
        <v>3102</v>
      </c>
      <c r="AD586" s="421" t="s">
        <v>3103</v>
      </c>
      <c r="AE586" s="421" t="s">
        <v>3104</v>
      </c>
      <c r="AF586" s="421" t="s">
        <v>2236</v>
      </c>
      <c r="AG586" s="421" t="s">
        <v>2237</v>
      </c>
      <c r="AH586" s="421" t="s">
        <v>3105</v>
      </c>
      <c r="AI586" s="421">
        <v>140000</v>
      </c>
      <c r="AJ586" s="421">
        <v>346.19</v>
      </c>
      <c r="AK586" s="421">
        <v>375.79</v>
      </c>
      <c r="AL586" s="421">
        <v>2</v>
      </c>
      <c r="AM586" s="421" t="s">
        <v>959</v>
      </c>
      <c r="AN586" s="421" t="s">
        <v>3106</v>
      </c>
      <c r="AO586" s="421" t="s">
        <v>1121</v>
      </c>
      <c r="AP586" s="421" t="s">
        <v>1121</v>
      </c>
      <c r="AQ586" s="421" t="s">
        <v>1542</v>
      </c>
      <c r="AR586" s="421" t="s">
        <v>3891</v>
      </c>
      <c r="AS586" s="421" t="s">
        <v>3929</v>
      </c>
      <c r="AT586" s="421" t="s">
        <v>3109</v>
      </c>
      <c r="AU586" s="421" t="s">
        <v>1142</v>
      </c>
      <c r="AV586" s="421" t="s">
        <v>1547</v>
      </c>
      <c r="AW586" s="421" t="s">
        <v>3110</v>
      </c>
      <c r="AX586" s="421" t="s">
        <v>3131</v>
      </c>
      <c r="AY586" s="421" t="s">
        <v>3112</v>
      </c>
      <c r="AZ586" s="421" t="s">
        <v>3113</v>
      </c>
      <c r="BA586" s="421" t="s">
        <v>3114</v>
      </c>
      <c r="BB586" s="421" t="s">
        <v>3115</v>
      </c>
      <c r="BC586" s="421">
        <v>3719.2</v>
      </c>
      <c r="BD586" s="421">
        <v>10864973.34</v>
      </c>
      <c r="BE586" s="421">
        <v>0</v>
      </c>
      <c r="BF586" s="421">
        <v>0</v>
      </c>
      <c r="BG586" s="421">
        <v>0</v>
      </c>
      <c r="BH586" s="421">
        <v>0</v>
      </c>
      <c r="BI586" s="421" t="s">
        <v>1167</v>
      </c>
    </row>
    <row r="587" spans="1:61" x14ac:dyDescent="0.25">
      <c r="A587" s="421">
        <v>584</v>
      </c>
      <c r="B587" s="421">
        <v>2015</v>
      </c>
      <c r="C587" s="421">
        <v>11</v>
      </c>
      <c r="D587" s="421">
        <v>4</v>
      </c>
      <c r="E587" s="421" t="s">
        <v>1475</v>
      </c>
      <c r="F587" s="421" t="s">
        <v>3273</v>
      </c>
      <c r="G587" s="421" t="s">
        <v>3477</v>
      </c>
      <c r="H587" s="421" t="s">
        <v>1107</v>
      </c>
      <c r="I587" s="421" t="s">
        <v>2879</v>
      </c>
      <c r="J587" s="421" t="s">
        <v>3930</v>
      </c>
      <c r="K587" s="421" t="s">
        <v>3093</v>
      </c>
      <c r="L587" s="421" t="s">
        <v>3094</v>
      </c>
      <c r="M587" s="421" t="s">
        <v>2667</v>
      </c>
      <c r="N587" s="421" t="s">
        <v>3093</v>
      </c>
      <c r="O587" s="421" t="s">
        <v>3094</v>
      </c>
      <c r="P587" s="421" t="s">
        <v>3095</v>
      </c>
      <c r="Q587" s="421" t="s">
        <v>3096</v>
      </c>
      <c r="R587" s="421" t="s">
        <v>1108</v>
      </c>
      <c r="S587" s="421" t="s">
        <v>1542</v>
      </c>
      <c r="T587" s="421" t="s">
        <v>1130</v>
      </c>
      <c r="U587" s="421" t="s">
        <v>1112</v>
      </c>
      <c r="V587" s="421" t="s">
        <v>3097</v>
      </c>
      <c r="W587" s="421" t="s">
        <v>3098</v>
      </c>
      <c r="X587" s="421" t="s">
        <v>3099</v>
      </c>
      <c r="Y587" s="421" t="s">
        <v>1117</v>
      </c>
      <c r="Z587" s="421" t="s">
        <v>1118</v>
      </c>
      <c r="AA587" s="421" t="s">
        <v>3100</v>
      </c>
      <c r="AB587" s="421" t="s">
        <v>3101</v>
      </c>
      <c r="AC587" s="421" t="s">
        <v>3102</v>
      </c>
      <c r="AD587" s="421" t="s">
        <v>3170</v>
      </c>
      <c r="AE587" s="421" t="s">
        <v>3171</v>
      </c>
      <c r="AF587" s="421" t="s">
        <v>2236</v>
      </c>
      <c r="AG587" s="421" t="s">
        <v>2237</v>
      </c>
      <c r="AH587" s="421" t="s">
        <v>3105</v>
      </c>
      <c r="AI587" s="421">
        <v>420000</v>
      </c>
      <c r="AJ587" s="421">
        <v>1103.1099999999999</v>
      </c>
      <c r="AK587" s="421">
        <v>1190.19</v>
      </c>
      <c r="AL587" s="421">
        <v>2</v>
      </c>
      <c r="AM587" s="421" t="s">
        <v>2429</v>
      </c>
      <c r="AN587" s="421" t="s">
        <v>3172</v>
      </c>
      <c r="AO587" s="421" t="s">
        <v>1121</v>
      </c>
      <c r="AP587" s="421" t="s">
        <v>1121</v>
      </c>
      <c r="AQ587" s="421" t="s">
        <v>1542</v>
      </c>
      <c r="AR587" s="421" t="s">
        <v>3931</v>
      </c>
      <c r="AS587" s="421" t="s">
        <v>3932</v>
      </c>
      <c r="AT587" s="421" t="s">
        <v>3109</v>
      </c>
      <c r="AU587" s="421" t="s">
        <v>1142</v>
      </c>
      <c r="AV587" s="421" t="s">
        <v>3130</v>
      </c>
      <c r="AW587" s="421" t="s">
        <v>3110</v>
      </c>
      <c r="AX587" s="421" t="s">
        <v>3111</v>
      </c>
      <c r="AY587" s="421" t="s">
        <v>3112</v>
      </c>
      <c r="AZ587" s="421" t="s">
        <v>3113</v>
      </c>
      <c r="BA587" s="421" t="s">
        <v>3114</v>
      </c>
      <c r="BB587" s="421" t="s">
        <v>3115</v>
      </c>
      <c r="BC587" s="421">
        <v>13777.2</v>
      </c>
      <c r="BD587" s="421">
        <v>38924034.299999997</v>
      </c>
      <c r="BE587" s="421">
        <v>0</v>
      </c>
      <c r="BF587" s="421">
        <v>250.81</v>
      </c>
      <c r="BG587" s="421">
        <v>35.07</v>
      </c>
      <c r="BH587" s="421">
        <v>0</v>
      </c>
      <c r="BI587" s="421" t="s">
        <v>1331</v>
      </c>
    </row>
    <row r="588" spans="1:61" x14ac:dyDescent="0.25">
      <c r="A588" s="421">
        <v>585</v>
      </c>
      <c r="B588" s="421">
        <v>2015</v>
      </c>
      <c r="C588" s="421">
        <v>11</v>
      </c>
      <c r="D588" s="421">
        <v>4</v>
      </c>
      <c r="E588" s="421" t="s">
        <v>1475</v>
      </c>
      <c r="F588" s="421" t="s">
        <v>3273</v>
      </c>
      <c r="G588" s="421" t="s">
        <v>3477</v>
      </c>
      <c r="H588" s="421" t="s">
        <v>1107</v>
      </c>
      <c r="I588" s="421" t="s">
        <v>2879</v>
      </c>
      <c r="J588" s="421" t="s">
        <v>3930</v>
      </c>
      <c r="K588" s="421" t="s">
        <v>3093</v>
      </c>
      <c r="L588" s="421" t="s">
        <v>3094</v>
      </c>
      <c r="M588" s="421" t="s">
        <v>2667</v>
      </c>
      <c r="N588" s="421" t="s">
        <v>3093</v>
      </c>
      <c r="O588" s="421" t="s">
        <v>3094</v>
      </c>
      <c r="P588" s="421" t="s">
        <v>3095</v>
      </c>
      <c r="Q588" s="421" t="s">
        <v>3096</v>
      </c>
      <c r="R588" s="421" t="s">
        <v>1108</v>
      </c>
      <c r="S588" s="421" t="s">
        <v>1542</v>
      </c>
      <c r="T588" s="421" t="s">
        <v>1130</v>
      </c>
      <c r="U588" s="421" t="s">
        <v>1112</v>
      </c>
      <c r="V588" s="421" t="s">
        <v>3097</v>
      </c>
      <c r="W588" s="421" t="s">
        <v>3098</v>
      </c>
      <c r="X588" s="421" t="s">
        <v>3099</v>
      </c>
      <c r="Y588" s="421" t="s">
        <v>1117</v>
      </c>
      <c r="Z588" s="421" t="s">
        <v>1118</v>
      </c>
      <c r="AA588" s="421" t="s">
        <v>3100</v>
      </c>
      <c r="AB588" s="421" t="s">
        <v>3101</v>
      </c>
      <c r="AC588" s="421" t="s">
        <v>3102</v>
      </c>
      <c r="AD588" s="421" t="s">
        <v>3170</v>
      </c>
      <c r="AE588" s="421" t="s">
        <v>3171</v>
      </c>
      <c r="AF588" s="421" t="s">
        <v>2236</v>
      </c>
      <c r="AG588" s="421" t="s">
        <v>2237</v>
      </c>
      <c r="AH588" s="421" t="s">
        <v>3105</v>
      </c>
      <c r="AI588" s="421">
        <v>1133000</v>
      </c>
      <c r="AJ588" s="421">
        <v>3189.42</v>
      </c>
      <c r="AK588" s="421">
        <v>3441.21</v>
      </c>
      <c r="AL588" s="421">
        <v>1</v>
      </c>
      <c r="AM588" s="421" t="s">
        <v>2429</v>
      </c>
      <c r="AN588" s="421" t="s">
        <v>3172</v>
      </c>
      <c r="AO588" s="421" t="s">
        <v>1121</v>
      </c>
      <c r="AP588" s="421" t="s">
        <v>1121</v>
      </c>
      <c r="AQ588" s="421" t="s">
        <v>1542</v>
      </c>
      <c r="AR588" s="421" t="s">
        <v>3931</v>
      </c>
      <c r="AS588" s="421" t="s">
        <v>3932</v>
      </c>
      <c r="AT588" s="421" t="s">
        <v>3109</v>
      </c>
      <c r="AU588" s="421" t="s">
        <v>1142</v>
      </c>
      <c r="AV588" s="421" t="s">
        <v>3130</v>
      </c>
      <c r="AW588" s="421" t="s">
        <v>3110</v>
      </c>
      <c r="AX588" s="421" t="s">
        <v>3111</v>
      </c>
      <c r="AY588" s="421" t="s">
        <v>3112</v>
      </c>
      <c r="AZ588" s="421" t="s">
        <v>3113</v>
      </c>
      <c r="BA588" s="421" t="s">
        <v>3114</v>
      </c>
      <c r="BB588" s="421" t="s">
        <v>3115</v>
      </c>
      <c r="BC588" s="421">
        <v>40516</v>
      </c>
      <c r="BD588" s="421">
        <v>114467829</v>
      </c>
      <c r="BE588" s="421">
        <v>0</v>
      </c>
      <c r="BF588" s="421">
        <v>737.57</v>
      </c>
      <c r="BG588" s="421">
        <v>103.13</v>
      </c>
      <c r="BH588" s="421">
        <v>0</v>
      </c>
      <c r="BI588" s="421" t="s">
        <v>1331</v>
      </c>
    </row>
    <row r="589" spans="1:61" x14ac:dyDescent="0.25">
      <c r="A589" s="421">
        <v>586</v>
      </c>
      <c r="B589" s="421">
        <v>2015</v>
      </c>
      <c r="C589" s="421">
        <v>11</v>
      </c>
      <c r="D589" s="421">
        <v>4</v>
      </c>
      <c r="E589" s="421" t="s">
        <v>1475</v>
      </c>
      <c r="F589" s="421" t="s">
        <v>3273</v>
      </c>
      <c r="G589" s="421" t="s">
        <v>3477</v>
      </c>
      <c r="H589" s="421" t="s">
        <v>1107</v>
      </c>
      <c r="I589" s="421" t="s">
        <v>2879</v>
      </c>
      <c r="J589" s="421" t="s">
        <v>3930</v>
      </c>
      <c r="K589" s="421" t="s">
        <v>3093</v>
      </c>
      <c r="L589" s="421" t="s">
        <v>3094</v>
      </c>
      <c r="M589" s="421" t="s">
        <v>2667</v>
      </c>
      <c r="N589" s="421" t="s">
        <v>3093</v>
      </c>
      <c r="O589" s="421" t="s">
        <v>3094</v>
      </c>
      <c r="P589" s="421" t="s">
        <v>3095</v>
      </c>
      <c r="Q589" s="421" t="s">
        <v>3096</v>
      </c>
      <c r="R589" s="421" t="s">
        <v>1108</v>
      </c>
      <c r="S589" s="421" t="s">
        <v>1542</v>
      </c>
      <c r="T589" s="421" t="s">
        <v>1130</v>
      </c>
      <c r="U589" s="421" t="s">
        <v>1112</v>
      </c>
      <c r="V589" s="421" t="s">
        <v>3097</v>
      </c>
      <c r="W589" s="421" t="s">
        <v>3098</v>
      </c>
      <c r="X589" s="421" t="s">
        <v>3099</v>
      </c>
      <c r="Y589" s="421" t="s">
        <v>1117</v>
      </c>
      <c r="Z589" s="421" t="s">
        <v>1118</v>
      </c>
      <c r="AA589" s="421" t="s">
        <v>3100</v>
      </c>
      <c r="AB589" s="421" t="s">
        <v>3101</v>
      </c>
      <c r="AC589" s="421" t="s">
        <v>3102</v>
      </c>
      <c r="AD589" s="421" t="s">
        <v>3170</v>
      </c>
      <c r="AE589" s="421" t="s">
        <v>3171</v>
      </c>
      <c r="AF589" s="421" t="s">
        <v>2236</v>
      </c>
      <c r="AG589" s="421" t="s">
        <v>2237</v>
      </c>
      <c r="AH589" s="421" t="s">
        <v>3105</v>
      </c>
      <c r="AI589" s="421">
        <v>35400</v>
      </c>
      <c r="AJ589" s="421">
        <v>102.6</v>
      </c>
      <c r="AK589" s="421">
        <v>110.7</v>
      </c>
      <c r="AL589" s="421">
        <v>3</v>
      </c>
      <c r="AM589" s="421" t="s">
        <v>2429</v>
      </c>
      <c r="AN589" s="421" t="s">
        <v>3172</v>
      </c>
      <c r="AO589" s="421" t="s">
        <v>1121</v>
      </c>
      <c r="AP589" s="421" t="s">
        <v>1121</v>
      </c>
      <c r="AQ589" s="421" t="s">
        <v>1542</v>
      </c>
      <c r="AR589" s="421" t="s">
        <v>3931</v>
      </c>
      <c r="AS589" s="421" t="s">
        <v>3932</v>
      </c>
      <c r="AT589" s="421" t="s">
        <v>3109</v>
      </c>
      <c r="AU589" s="421" t="s">
        <v>1142</v>
      </c>
      <c r="AV589" s="421" t="s">
        <v>3130</v>
      </c>
      <c r="AW589" s="421" t="s">
        <v>3110</v>
      </c>
      <c r="AX589" s="421" t="s">
        <v>3111</v>
      </c>
      <c r="AY589" s="421" t="s">
        <v>3112</v>
      </c>
      <c r="AZ589" s="421" t="s">
        <v>3113</v>
      </c>
      <c r="BA589" s="421" t="s">
        <v>3114</v>
      </c>
      <c r="BB589" s="421" t="s">
        <v>3115</v>
      </c>
      <c r="BC589" s="421">
        <v>3024.8</v>
      </c>
      <c r="BD589" s="421">
        <v>8545816.1999999993</v>
      </c>
      <c r="BE589" s="421">
        <v>0</v>
      </c>
      <c r="BF589" s="421">
        <v>55.07</v>
      </c>
      <c r="BG589" s="421">
        <v>7.7</v>
      </c>
      <c r="BH589" s="421">
        <v>0</v>
      </c>
      <c r="BI589" s="421" t="s">
        <v>1331</v>
      </c>
    </row>
    <row r="590" spans="1:61" x14ac:dyDescent="0.25">
      <c r="A590" s="421">
        <v>587</v>
      </c>
      <c r="B590" s="421">
        <v>2015</v>
      </c>
      <c r="C590" s="421">
        <v>11</v>
      </c>
      <c r="D590" s="421">
        <v>4</v>
      </c>
      <c r="E590" s="421" t="s">
        <v>1475</v>
      </c>
      <c r="F590" s="421" t="s">
        <v>3273</v>
      </c>
      <c r="G590" s="421" t="s">
        <v>3477</v>
      </c>
      <c r="H590" s="421" t="s">
        <v>1107</v>
      </c>
      <c r="I590" s="421" t="s">
        <v>2879</v>
      </c>
      <c r="J590" s="421" t="s">
        <v>3930</v>
      </c>
      <c r="K590" s="421" t="s">
        <v>3093</v>
      </c>
      <c r="L590" s="421" t="s">
        <v>3094</v>
      </c>
      <c r="M590" s="421" t="s">
        <v>2667</v>
      </c>
      <c r="N590" s="421" t="s">
        <v>3093</v>
      </c>
      <c r="O590" s="421" t="s">
        <v>3094</v>
      </c>
      <c r="P590" s="421" t="s">
        <v>3095</v>
      </c>
      <c r="Q590" s="421" t="s">
        <v>3096</v>
      </c>
      <c r="R590" s="421" t="s">
        <v>1108</v>
      </c>
      <c r="S590" s="421" t="s">
        <v>1542</v>
      </c>
      <c r="T590" s="421" t="s">
        <v>1130</v>
      </c>
      <c r="U590" s="421" t="s">
        <v>1112</v>
      </c>
      <c r="V590" s="421" t="s">
        <v>3097</v>
      </c>
      <c r="W590" s="421" t="s">
        <v>3098</v>
      </c>
      <c r="X590" s="421" t="s">
        <v>3099</v>
      </c>
      <c r="Y590" s="421" t="s">
        <v>1117</v>
      </c>
      <c r="Z590" s="421" t="s">
        <v>1118</v>
      </c>
      <c r="AA590" s="421" t="s">
        <v>3100</v>
      </c>
      <c r="AB590" s="421" t="s">
        <v>3101</v>
      </c>
      <c r="AC590" s="421" t="s">
        <v>3102</v>
      </c>
      <c r="AD590" s="421" t="s">
        <v>3170</v>
      </c>
      <c r="AE590" s="421" t="s">
        <v>3171</v>
      </c>
      <c r="AF590" s="421" t="s">
        <v>2236</v>
      </c>
      <c r="AG590" s="421" t="s">
        <v>2237</v>
      </c>
      <c r="AH590" s="421" t="s">
        <v>3105</v>
      </c>
      <c r="AI590" s="421">
        <v>4500</v>
      </c>
      <c r="AJ590" s="421">
        <v>17.39</v>
      </c>
      <c r="AK590" s="421">
        <v>18.760000000000002</v>
      </c>
      <c r="AL590" s="421">
        <v>4</v>
      </c>
      <c r="AM590" s="421" t="s">
        <v>2429</v>
      </c>
      <c r="AN590" s="421" t="s">
        <v>3172</v>
      </c>
      <c r="AO590" s="421" t="s">
        <v>1121</v>
      </c>
      <c r="AP590" s="421" t="s">
        <v>1121</v>
      </c>
      <c r="AQ590" s="421" t="s">
        <v>1542</v>
      </c>
      <c r="AR590" s="421" t="s">
        <v>3931</v>
      </c>
      <c r="AS590" s="421" t="s">
        <v>3932</v>
      </c>
      <c r="AT590" s="421" t="s">
        <v>3109</v>
      </c>
      <c r="AU590" s="421" t="s">
        <v>1142</v>
      </c>
      <c r="AV590" s="421" t="s">
        <v>3130</v>
      </c>
      <c r="AW590" s="421" t="s">
        <v>3110</v>
      </c>
      <c r="AX590" s="421" t="s">
        <v>3111</v>
      </c>
      <c r="AY590" s="421" t="s">
        <v>3112</v>
      </c>
      <c r="AZ590" s="421" t="s">
        <v>3113</v>
      </c>
      <c r="BA590" s="421" t="s">
        <v>3114</v>
      </c>
      <c r="BB590" s="421" t="s">
        <v>3115</v>
      </c>
      <c r="BC590" s="421">
        <v>360</v>
      </c>
      <c r="BD590" s="421">
        <v>1017090</v>
      </c>
      <c r="BE590" s="421">
        <v>0</v>
      </c>
      <c r="BF590" s="421">
        <v>6.55</v>
      </c>
      <c r="BG590" s="421">
        <v>0.92</v>
      </c>
      <c r="BH590" s="421">
        <v>0</v>
      </c>
      <c r="BI590" s="421" t="s">
        <v>1331</v>
      </c>
    </row>
    <row r="591" spans="1:61" x14ac:dyDescent="0.25">
      <c r="A591" s="421">
        <v>588</v>
      </c>
      <c r="B591" s="421">
        <v>2015</v>
      </c>
      <c r="C591" s="421">
        <v>11</v>
      </c>
      <c r="D591" s="421">
        <v>9</v>
      </c>
      <c r="E591" s="421" t="s">
        <v>1475</v>
      </c>
      <c r="F591" s="421" t="s">
        <v>3273</v>
      </c>
      <c r="G591" s="421" t="s">
        <v>3132</v>
      </c>
      <c r="H591" s="421" t="s">
        <v>1107</v>
      </c>
      <c r="I591" s="421" t="s">
        <v>3933</v>
      </c>
      <c r="J591" s="421" t="s">
        <v>3934</v>
      </c>
      <c r="K591" s="421" t="s">
        <v>3093</v>
      </c>
      <c r="L591" s="421" t="s">
        <v>3094</v>
      </c>
      <c r="M591" s="421" t="s">
        <v>2667</v>
      </c>
      <c r="N591" s="421" t="s">
        <v>3093</v>
      </c>
      <c r="O591" s="421" t="s">
        <v>3094</v>
      </c>
      <c r="P591" s="421" t="s">
        <v>3095</v>
      </c>
      <c r="Q591" s="421" t="s">
        <v>3096</v>
      </c>
      <c r="R591" s="421" t="s">
        <v>1108</v>
      </c>
      <c r="S591" s="421" t="s">
        <v>1476</v>
      </c>
      <c r="T591" s="421" t="s">
        <v>1130</v>
      </c>
      <c r="U591" s="421" t="s">
        <v>3144</v>
      </c>
      <c r="V591" s="421" t="s">
        <v>3145</v>
      </c>
      <c r="W591" s="421" t="s">
        <v>3098</v>
      </c>
      <c r="X591" s="421" t="s">
        <v>3099</v>
      </c>
      <c r="Y591" s="421" t="s">
        <v>1117</v>
      </c>
      <c r="Z591" s="421" t="s">
        <v>1118</v>
      </c>
      <c r="AA591" s="421" t="s">
        <v>3100</v>
      </c>
      <c r="AB591" s="421" t="s">
        <v>3146</v>
      </c>
      <c r="AC591" s="421" t="s">
        <v>3102</v>
      </c>
      <c r="AD591" s="421" t="s">
        <v>3327</v>
      </c>
      <c r="AE591" s="421" t="s">
        <v>3328</v>
      </c>
      <c r="AF591" s="421" t="s">
        <v>2236</v>
      </c>
      <c r="AG591" s="421" t="s">
        <v>2237</v>
      </c>
      <c r="AH591" s="421" t="s">
        <v>3105</v>
      </c>
      <c r="AI591" s="421">
        <v>442420</v>
      </c>
      <c r="AJ591" s="421">
        <v>1204.08</v>
      </c>
      <c r="AK591" s="421">
        <v>1304</v>
      </c>
      <c r="AL591" s="421">
        <v>1</v>
      </c>
      <c r="AM591" s="421" t="s">
        <v>3329</v>
      </c>
      <c r="AN591" s="421" t="s">
        <v>3330</v>
      </c>
      <c r="AO591" s="421" t="s">
        <v>1121</v>
      </c>
      <c r="AP591" s="421" t="s">
        <v>1121</v>
      </c>
      <c r="AQ591" s="421" t="s">
        <v>1476</v>
      </c>
      <c r="AR591" s="421" t="s">
        <v>3931</v>
      </c>
      <c r="AS591" s="421" t="s">
        <v>3935</v>
      </c>
      <c r="AT591" s="421" t="s">
        <v>3109</v>
      </c>
      <c r="AU591" s="421" t="s">
        <v>1341</v>
      </c>
      <c r="AV591" s="421" t="s">
        <v>961</v>
      </c>
      <c r="AW591" s="421" t="s">
        <v>3110</v>
      </c>
      <c r="AX591" s="421" t="s">
        <v>3111</v>
      </c>
      <c r="AY591" s="421" t="s">
        <v>3112</v>
      </c>
      <c r="AZ591" s="421" t="s">
        <v>3113</v>
      </c>
      <c r="BA591" s="421" t="s">
        <v>3114</v>
      </c>
      <c r="BB591" s="421" t="s">
        <v>3115</v>
      </c>
      <c r="BC591" s="421">
        <v>27093.72</v>
      </c>
      <c r="BD591" s="421">
        <v>78468560.920000002</v>
      </c>
      <c r="BE591" s="421">
        <v>0</v>
      </c>
      <c r="BF591" s="421">
        <v>3229.78</v>
      </c>
      <c r="BG591" s="421">
        <v>75.81</v>
      </c>
      <c r="BH591" s="421">
        <v>0</v>
      </c>
      <c r="BI591" s="421" t="s">
        <v>1149</v>
      </c>
    </row>
    <row r="592" spans="1:61" x14ac:dyDescent="0.25">
      <c r="A592" s="421">
        <v>589</v>
      </c>
      <c r="B592" s="421">
        <v>2015</v>
      </c>
      <c r="C592" s="421">
        <v>11</v>
      </c>
      <c r="D592" s="421">
        <v>9</v>
      </c>
      <c r="E592" s="421" t="s">
        <v>1475</v>
      </c>
      <c r="F592" s="421" t="s">
        <v>3273</v>
      </c>
      <c r="G592" s="421" t="s">
        <v>3132</v>
      </c>
      <c r="H592" s="421" t="s">
        <v>1107</v>
      </c>
      <c r="I592" s="421" t="s">
        <v>3933</v>
      </c>
      <c r="J592" s="421" t="s">
        <v>3936</v>
      </c>
      <c r="K592" s="421" t="s">
        <v>3093</v>
      </c>
      <c r="L592" s="421" t="s">
        <v>3094</v>
      </c>
      <c r="M592" s="421" t="s">
        <v>2667</v>
      </c>
      <c r="N592" s="421" t="s">
        <v>3093</v>
      </c>
      <c r="O592" s="421" t="s">
        <v>3094</v>
      </c>
      <c r="P592" s="421" t="s">
        <v>3095</v>
      </c>
      <c r="Q592" s="421" t="s">
        <v>3113</v>
      </c>
      <c r="R592" s="421" t="s">
        <v>1108</v>
      </c>
      <c r="S592" s="421" t="s">
        <v>1108</v>
      </c>
      <c r="T592" s="421" t="s">
        <v>1130</v>
      </c>
      <c r="U592" s="421" t="s">
        <v>3144</v>
      </c>
      <c r="V592" s="421" t="s">
        <v>3145</v>
      </c>
      <c r="W592" s="421" t="s">
        <v>3098</v>
      </c>
      <c r="X592" s="421" t="s">
        <v>3099</v>
      </c>
      <c r="Y592" s="421" t="s">
        <v>1117</v>
      </c>
      <c r="Z592" s="421" t="s">
        <v>1118</v>
      </c>
      <c r="AA592" s="421" t="s">
        <v>3100</v>
      </c>
      <c r="AB592" s="421" t="s">
        <v>3146</v>
      </c>
      <c r="AC592" s="421" t="s">
        <v>3102</v>
      </c>
      <c r="AD592" s="421" t="s">
        <v>3585</v>
      </c>
      <c r="AE592" s="421" t="s">
        <v>3937</v>
      </c>
      <c r="AF592" s="421" t="s">
        <v>2236</v>
      </c>
      <c r="AG592" s="421" t="s">
        <v>2237</v>
      </c>
      <c r="AH592" s="421" t="s">
        <v>3105</v>
      </c>
      <c r="AI592" s="421">
        <v>188000</v>
      </c>
      <c r="AJ592" s="421">
        <v>563.20000000000005</v>
      </c>
      <c r="AK592" s="421">
        <v>604</v>
      </c>
      <c r="AL592" s="421">
        <v>1</v>
      </c>
      <c r="AM592" s="421" t="s">
        <v>3587</v>
      </c>
      <c r="AN592" s="421" t="s">
        <v>3646</v>
      </c>
      <c r="AO592" s="421" t="s">
        <v>1121</v>
      </c>
      <c r="AP592" s="421" t="s">
        <v>1121</v>
      </c>
      <c r="AQ592" s="421" t="s">
        <v>1108</v>
      </c>
      <c r="AR592" s="421" t="s">
        <v>3891</v>
      </c>
      <c r="AS592" s="421" t="s">
        <v>3938</v>
      </c>
      <c r="AT592" s="421" t="s">
        <v>3109</v>
      </c>
      <c r="AU592" s="421" t="s">
        <v>1341</v>
      </c>
      <c r="AV592" s="421" t="s">
        <v>3157</v>
      </c>
      <c r="AW592" s="421" t="s">
        <v>3110</v>
      </c>
      <c r="AX592" s="421" t="s">
        <v>3111</v>
      </c>
      <c r="AY592" s="421" t="s">
        <v>3112</v>
      </c>
      <c r="AZ592" s="421" t="s">
        <v>3113</v>
      </c>
      <c r="BA592" s="421" t="s">
        <v>3114</v>
      </c>
      <c r="BB592" s="421" t="s">
        <v>3115</v>
      </c>
      <c r="BC592" s="421">
        <v>9014.7000000000007</v>
      </c>
      <c r="BD592" s="421">
        <v>26108283.989999998</v>
      </c>
      <c r="BE592" s="421">
        <v>0</v>
      </c>
      <c r="BF592" s="421">
        <v>0</v>
      </c>
      <c r="BG592" s="421">
        <v>0</v>
      </c>
      <c r="BH592" s="421">
        <v>0</v>
      </c>
      <c r="BI592" s="421" t="s">
        <v>1331</v>
      </c>
    </row>
    <row r="593" spans="1:61" x14ac:dyDescent="0.25">
      <c r="A593" s="421">
        <v>590</v>
      </c>
      <c r="B593" s="421">
        <v>2015</v>
      </c>
      <c r="C593" s="421">
        <v>11</v>
      </c>
      <c r="D593" s="421">
        <v>9</v>
      </c>
      <c r="E593" s="421" t="s">
        <v>1475</v>
      </c>
      <c r="F593" s="421" t="s">
        <v>3273</v>
      </c>
      <c r="G593" s="421" t="s">
        <v>3132</v>
      </c>
      <c r="H593" s="421" t="s">
        <v>1107</v>
      </c>
      <c r="I593" s="421" t="s">
        <v>3933</v>
      </c>
      <c r="J593" s="421" t="s">
        <v>3939</v>
      </c>
      <c r="K593" s="421" t="s">
        <v>3093</v>
      </c>
      <c r="L593" s="421" t="s">
        <v>3094</v>
      </c>
      <c r="M593" s="421" t="s">
        <v>2667</v>
      </c>
      <c r="N593" s="421" t="s">
        <v>3093</v>
      </c>
      <c r="O593" s="421" t="s">
        <v>3094</v>
      </c>
      <c r="P593" s="421" t="s">
        <v>3095</v>
      </c>
      <c r="Q593" s="421" t="s">
        <v>3096</v>
      </c>
      <c r="R593" s="421" t="s">
        <v>1108</v>
      </c>
      <c r="S593" s="421" t="s">
        <v>1476</v>
      </c>
      <c r="T593" s="421" t="s">
        <v>1130</v>
      </c>
      <c r="U593" s="421" t="s">
        <v>3144</v>
      </c>
      <c r="V593" s="421" t="s">
        <v>3145</v>
      </c>
      <c r="W593" s="421" t="s">
        <v>3098</v>
      </c>
      <c r="X593" s="421" t="s">
        <v>3099</v>
      </c>
      <c r="Y593" s="421" t="s">
        <v>1117</v>
      </c>
      <c r="Z593" s="421" t="s">
        <v>1118</v>
      </c>
      <c r="AA593" s="421" t="s">
        <v>3100</v>
      </c>
      <c r="AB593" s="421" t="s">
        <v>3146</v>
      </c>
      <c r="AC593" s="421" t="s">
        <v>3102</v>
      </c>
      <c r="AD593" s="421" t="s">
        <v>3265</v>
      </c>
      <c r="AE593" s="421" t="s">
        <v>3266</v>
      </c>
      <c r="AF593" s="421" t="s">
        <v>2236</v>
      </c>
      <c r="AG593" s="421" t="s">
        <v>2237</v>
      </c>
      <c r="AH593" s="421" t="s">
        <v>3105</v>
      </c>
      <c r="AI593" s="421">
        <v>184000</v>
      </c>
      <c r="AJ593" s="421">
        <v>372.69</v>
      </c>
      <c r="AK593" s="421">
        <v>398</v>
      </c>
      <c r="AL593" s="421">
        <v>1</v>
      </c>
      <c r="AM593" s="421" t="s">
        <v>3130</v>
      </c>
      <c r="AN593" s="421" t="s">
        <v>3130</v>
      </c>
      <c r="AO593" s="421" t="s">
        <v>1121</v>
      </c>
      <c r="AP593" s="421" t="s">
        <v>1121</v>
      </c>
      <c r="AQ593" s="421" t="s">
        <v>1476</v>
      </c>
      <c r="AR593" s="421" t="s">
        <v>3891</v>
      </c>
      <c r="AS593" s="421" t="s">
        <v>3940</v>
      </c>
      <c r="AT593" s="421" t="s">
        <v>3109</v>
      </c>
      <c r="AU593" s="421" t="s">
        <v>1341</v>
      </c>
      <c r="AV593" s="421" t="s">
        <v>962</v>
      </c>
      <c r="AW593" s="421" t="s">
        <v>3110</v>
      </c>
      <c r="AX593" s="421" t="s">
        <v>3111</v>
      </c>
      <c r="AY593" s="421" t="s">
        <v>3112</v>
      </c>
      <c r="AZ593" s="421" t="s">
        <v>3113</v>
      </c>
      <c r="BA593" s="421" t="s">
        <v>3114</v>
      </c>
      <c r="BB593" s="421" t="s">
        <v>3115</v>
      </c>
      <c r="BC593" s="421">
        <v>6205.5</v>
      </c>
      <c r="BD593" s="421">
        <v>17972307.039999999</v>
      </c>
      <c r="BE593" s="421">
        <v>0</v>
      </c>
      <c r="BF593" s="421">
        <v>1125.55</v>
      </c>
      <c r="BG593" s="421">
        <v>18.329999999999998</v>
      </c>
      <c r="BH593" s="421">
        <v>0</v>
      </c>
      <c r="BI593" s="421" t="s">
        <v>1167</v>
      </c>
    </row>
    <row r="594" spans="1:61" x14ac:dyDescent="0.25">
      <c r="A594" s="421">
        <v>591</v>
      </c>
      <c r="B594" s="421">
        <v>2015</v>
      </c>
      <c r="C594" s="421">
        <v>11</v>
      </c>
      <c r="D594" s="421">
        <v>10</v>
      </c>
      <c r="E594" s="421" t="s">
        <v>1475</v>
      </c>
      <c r="F594" s="421" t="s">
        <v>3273</v>
      </c>
      <c r="G594" s="421" t="s">
        <v>3480</v>
      </c>
      <c r="H594" s="421" t="s">
        <v>1107</v>
      </c>
      <c r="I594" s="421" t="s">
        <v>2891</v>
      </c>
      <c r="J594" s="421" t="s">
        <v>3941</v>
      </c>
      <c r="K594" s="421" t="s">
        <v>3093</v>
      </c>
      <c r="L594" s="421" t="s">
        <v>3094</v>
      </c>
      <c r="M594" s="421" t="s">
        <v>2667</v>
      </c>
      <c r="N594" s="421" t="s">
        <v>3093</v>
      </c>
      <c r="O594" s="421" t="s">
        <v>3094</v>
      </c>
      <c r="P594" s="421" t="s">
        <v>3095</v>
      </c>
      <c r="Q594" s="421" t="s">
        <v>3113</v>
      </c>
      <c r="R594" s="421" t="s">
        <v>1108</v>
      </c>
      <c r="S594" s="421" t="s">
        <v>1108</v>
      </c>
      <c r="T594" s="421" t="s">
        <v>1130</v>
      </c>
      <c r="U594" s="421" t="s">
        <v>1112</v>
      </c>
      <c r="V594" s="421" t="s">
        <v>3097</v>
      </c>
      <c r="W594" s="421" t="s">
        <v>3098</v>
      </c>
      <c r="X594" s="421" t="s">
        <v>3099</v>
      </c>
      <c r="Y594" s="421" t="s">
        <v>1117</v>
      </c>
      <c r="Z594" s="421" t="s">
        <v>1118</v>
      </c>
      <c r="AA594" s="421" t="s">
        <v>3100</v>
      </c>
      <c r="AB594" s="421" t="s">
        <v>3101</v>
      </c>
      <c r="AC594" s="421" t="s">
        <v>3102</v>
      </c>
      <c r="AD594" s="421" t="s">
        <v>3269</v>
      </c>
      <c r="AE594" s="421" t="s">
        <v>3378</v>
      </c>
      <c r="AF594" s="421" t="s">
        <v>2236</v>
      </c>
      <c r="AG594" s="421" t="s">
        <v>2237</v>
      </c>
      <c r="AH594" s="421" t="s">
        <v>3105</v>
      </c>
      <c r="AI594" s="421">
        <v>6000</v>
      </c>
      <c r="AJ594" s="421">
        <v>22.62</v>
      </c>
      <c r="AK594" s="421">
        <v>24.63</v>
      </c>
      <c r="AL594" s="421">
        <v>4</v>
      </c>
      <c r="AM594" s="421" t="s">
        <v>966</v>
      </c>
      <c r="AN594" s="421" t="s">
        <v>3271</v>
      </c>
      <c r="AO594" s="421" t="s">
        <v>1121</v>
      </c>
      <c r="AP594" s="421" t="s">
        <v>1121</v>
      </c>
      <c r="AQ594" s="421" t="s">
        <v>1108</v>
      </c>
      <c r="AR594" s="421" t="s">
        <v>3931</v>
      </c>
      <c r="AS594" s="421" t="s">
        <v>3942</v>
      </c>
      <c r="AT594" s="421" t="s">
        <v>3109</v>
      </c>
      <c r="AU594" s="421" t="s">
        <v>1142</v>
      </c>
      <c r="AV594" s="421" t="s">
        <v>3130</v>
      </c>
      <c r="AW594" s="421" t="s">
        <v>3110</v>
      </c>
      <c r="AX594" s="421" t="s">
        <v>3111</v>
      </c>
      <c r="AY594" s="421" t="s">
        <v>3112</v>
      </c>
      <c r="AZ594" s="421" t="s">
        <v>3113</v>
      </c>
      <c r="BA594" s="421" t="s">
        <v>3114</v>
      </c>
      <c r="BB594" s="421" t="s">
        <v>3115</v>
      </c>
      <c r="BC594" s="421">
        <v>420</v>
      </c>
      <c r="BD594" s="421">
        <v>1226883</v>
      </c>
      <c r="BE594" s="421">
        <v>0</v>
      </c>
      <c r="BF594" s="421">
        <v>8.8000000000000007</v>
      </c>
      <c r="BG594" s="421">
        <v>1.07</v>
      </c>
      <c r="BH594" s="421">
        <v>1.79</v>
      </c>
      <c r="BI594" s="421" t="s">
        <v>1167</v>
      </c>
    </row>
    <row r="595" spans="1:61" x14ac:dyDescent="0.25">
      <c r="A595" s="421">
        <v>592</v>
      </c>
      <c r="B595" s="421">
        <v>2015</v>
      </c>
      <c r="C595" s="421">
        <v>11</v>
      </c>
      <c r="D595" s="421">
        <v>10</v>
      </c>
      <c r="E595" s="421" t="s">
        <v>1475</v>
      </c>
      <c r="F595" s="421" t="s">
        <v>3273</v>
      </c>
      <c r="G595" s="421" t="s">
        <v>3480</v>
      </c>
      <c r="H595" s="421" t="s">
        <v>1107</v>
      </c>
      <c r="I595" s="421" t="s">
        <v>2891</v>
      </c>
      <c r="J595" s="421" t="s">
        <v>3941</v>
      </c>
      <c r="K595" s="421" t="s">
        <v>3093</v>
      </c>
      <c r="L595" s="421" t="s">
        <v>3094</v>
      </c>
      <c r="M595" s="421" t="s">
        <v>2667</v>
      </c>
      <c r="N595" s="421" t="s">
        <v>3093</v>
      </c>
      <c r="O595" s="421" t="s">
        <v>3094</v>
      </c>
      <c r="P595" s="421" t="s">
        <v>3095</v>
      </c>
      <c r="Q595" s="421" t="s">
        <v>3113</v>
      </c>
      <c r="R595" s="421" t="s">
        <v>1108</v>
      </c>
      <c r="S595" s="421" t="s">
        <v>1108</v>
      </c>
      <c r="T595" s="421" t="s">
        <v>1130</v>
      </c>
      <c r="U595" s="421" t="s">
        <v>1112</v>
      </c>
      <c r="V595" s="421" t="s">
        <v>3097</v>
      </c>
      <c r="W595" s="421" t="s">
        <v>3098</v>
      </c>
      <c r="X595" s="421" t="s">
        <v>3099</v>
      </c>
      <c r="Y595" s="421" t="s">
        <v>1117</v>
      </c>
      <c r="Z595" s="421" t="s">
        <v>1118</v>
      </c>
      <c r="AA595" s="421" t="s">
        <v>3100</v>
      </c>
      <c r="AB595" s="421" t="s">
        <v>3101</v>
      </c>
      <c r="AC595" s="421" t="s">
        <v>3102</v>
      </c>
      <c r="AD595" s="421" t="s">
        <v>3269</v>
      </c>
      <c r="AE595" s="421" t="s">
        <v>3378</v>
      </c>
      <c r="AF595" s="421" t="s">
        <v>2236</v>
      </c>
      <c r="AG595" s="421" t="s">
        <v>2237</v>
      </c>
      <c r="AH595" s="421" t="s">
        <v>3105</v>
      </c>
      <c r="AI595" s="421">
        <v>921000</v>
      </c>
      <c r="AJ595" s="421">
        <v>1836.53</v>
      </c>
      <c r="AK595" s="421">
        <v>2000.3</v>
      </c>
      <c r="AL595" s="421">
        <v>1</v>
      </c>
      <c r="AM595" s="421" t="s">
        <v>966</v>
      </c>
      <c r="AN595" s="421" t="s">
        <v>3271</v>
      </c>
      <c r="AO595" s="421" t="s">
        <v>1121</v>
      </c>
      <c r="AP595" s="421" t="s">
        <v>1121</v>
      </c>
      <c r="AQ595" s="421" t="s">
        <v>1108</v>
      </c>
      <c r="AR595" s="421" t="s">
        <v>3931</v>
      </c>
      <c r="AS595" s="421" t="s">
        <v>3942</v>
      </c>
      <c r="AT595" s="421" t="s">
        <v>3109</v>
      </c>
      <c r="AU595" s="421" t="s">
        <v>1142</v>
      </c>
      <c r="AV595" s="421" t="s">
        <v>3130</v>
      </c>
      <c r="AW595" s="421" t="s">
        <v>3110</v>
      </c>
      <c r="AX595" s="421" t="s">
        <v>3111</v>
      </c>
      <c r="AY595" s="421" t="s">
        <v>3112</v>
      </c>
      <c r="AZ595" s="421" t="s">
        <v>3113</v>
      </c>
      <c r="BA595" s="421" t="s">
        <v>3114</v>
      </c>
      <c r="BB595" s="421" t="s">
        <v>3115</v>
      </c>
      <c r="BC595" s="421">
        <v>19927.599999999999</v>
      </c>
      <c r="BD595" s="421">
        <v>58211508.740000002</v>
      </c>
      <c r="BE595" s="421">
        <v>0</v>
      </c>
      <c r="BF595" s="421">
        <v>417.74</v>
      </c>
      <c r="BG595" s="421">
        <v>50.86</v>
      </c>
      <c r="BH595" s="421">
        <v>85.14</v>
      </c>
      <c r="BI595" s="421" t="s">
        <v>1167</v>
      </c>
    </row>
    <row r="596" spans="1:61" x14ac:dyDescent="0.25">
      <c r="A596" s="421">
        <v>593</v>
      </c>
      <c r="B596" s="421">
        <v>2015</v>
      </c>
      <c r="C596" s="421">
        <v>11</v>
      </c>
      <c r="D596" s="421">
        <v>10</v>
      </c>
      <c r="E596" s="421" t="s">
        <v>1475</v>
      </c>
      <c r="F596" s="421" t="s">
        <v>3273</v>
      </c>
      <c r="G596" s="421" t="s">
        <v>3480</v>
      </c>
      <c r="H596" s="421" t="s">
        <v>1107</v>
      </c>
      <c r="I596" s="421" t="s">
        <v>2891</v>
      </c>
      <c r="J596" s="421" t="s">
        <v>3941</v>
      </c>
      <c r="K596" s="421" t="s">
        <v>3093</v>
      </c>
      <c r="L596" s="421" t="s">
        <v>3094</v>
      </c>
      <c r="M596" s="421" t="s">
        <v>2667</v>
      </c>
      <c r="N596" s="421" t="s">
        <v>3093</v>
      </c>
      <c r="O596" s="421" t="s">
        <v>3094</v>
      </c>
      <c r="P596" s="421" t="s">
        <v>3095</v>
      </c>
      <c r="Q596" s="421" t="s">
        <v>3113</v>
      </c>
      <c r="R596" s="421" t="s">
        <v>1108</v>
      </c>
      <c r="S596" s="421" t="s">
        <v>1108</v>
      </c>
      <c r="T596" s="421" t="s">
        <v>1130</v>
      </c>
      <c r="U596" s="421" t="s">
        <v>1112</v>
      </c>
      <c r="V596" s="421" t="s">
        <v>3097</v>
      </c>
      <c r="W596" s="421" t="s">
        <v>3098</v>
      </c>
      <c r="X596" s="421" t="s">
        <v>3099</v>
      </c>
      <c r="Y596" s="421" t="s">
        <v>1117</v>
      </c>
      <c r="Z596" s="421" t="s">
        <v>1118</v>
      </c>
      <c r="AA596" s="421" t="s">
        <v>3100</v>
      </c>
      <c r="AB596" s="421" t="s">
        <v>3101</v>
      </c>
      <c r="AC596" s="421" t="s">
        <v>3102</v>
      </c>
      <c r="AD596" s="421" t="s">
        <v>3269</v>
      </c>
      <c r="AE596" s="421" t="s">
        <v>3378</v>
      </c>
      <c r="AF596" s="421" t="s">
        <v>2236</v>
      </c>
      <c r="AG596" s="421" t="s">
        <v>2237</v>
      </c>
      <c r="AH596" s="421" t="s">
        <v>3105</v>
      </c>
      <c r="AI596" s="421">
        <v>1053000</v>
      </c>
      <c r="AJ596" s="421">
        <v>2347.2199999999998</v>
      </c>
      <c r="AK596" s="421">
        <v>2556.5300000000002</v>
      </c>
      <c r="AL596" s="421">
        <v>2</v>
      </c>
      <c r="AM596" s="421" t="s">
        <v>966</v>
      </c>
      <c r="AN596" s="421" t="s">
        <v>3271</v>
      </c>
      <c r="AO596" s="421" t="s">
        <v>1121</v>
      </c>
      <c r="AP596" s="421" t="s">
        <v>1121</v>
      </c>
      <c r="AQ596" s="421" t="s">
        <v>1108</v>
      </c>
      <c r="AR596" s="421" t="s">
        <v>3931</v>
      </c>
      <c r="AS596" s="421" t="s">
        <v>3942</v>
      </c>
      <c r="AT596" s="421" t="s">
        <v>3109</v>
      </c>
      <c r="AU596" s="421" t="s">
        <v>1142</v>
      </c>
      <c r="AV596" s="421" t="s">
        <v>3130</v>
      </c>
      <c r="AW596" s="421" t="s">
        <v>3110</v>
      </c>
      <c r="AX596" s="421" t="s">
        <v>3111</v>
      </c>
      <c r="AY596" s="421" t="s">
        <v>3112</v>
      </c>
      <c r="AZ596" s="421" t="s">
        <v>3113</v>
      </c>
      <c r="BA596" s="421" t="s">
        <v>3114</v>
      </c>
      <c r="BB596" s="421" t="s">
        <v>3115</v>
      </c>
      <c r="BC596" s="421">
        <v>27042.1</v>
      </c>
      <c r="BD596" s="421">
        <v>78994030.409999996</v>
      </c>
      <c r="BE596" s="421">
        <v>0</v>
      </c>
      <c r="BF596" s="421">
        <v>566.88</v>
      </c>
      <c r="BG596" s="421">
        <v>69.02</v>
      </c>
      <c r="BH596" s="421">
        <v>115.54</v>
      </c>
      <c r="BI596" s="421" t="s">
        <v>1167</v>
      </c>
    </row>
    <row r="597" spans="1:61" x14ac:dyDescent="0.25">
      <c r="A597" s="421">
        <v>594</v>
      </c>
      <c r="B597" s="421">
        <v>2015</v>
      </c>
      <c r="C597" s="421">
        <v>11</v>
      </c>
      <c r="D597" s="421">
        <v>10</v>
      </c>
      <c r="E597" s="421" t="s">
        <v>1475</v>
      </c>
      <c r="F597" s="421" t="s">
        <v>3273</v>
      </c>
      <c r="G597" s="421" t="s">
        <v>3480</v>
      </c>
      <c r="H597" s="421" t="s">
        <v>1107</v>
      </c>
      <c r="I597" s="421" t="s">
        <v>2891</v>
      </c>
      <c r="J597" s="421" t="s">
        <v>3941</v>
      </c>
      <c r="K597" s="421" t="s">
        <v>3093</v>
      </c>
      <c r="L597" s="421" t="s">
        <v>3094</v>
      </c>
      <c r="M597" s="421" t="s">
        <v>2667</v>
      </c>
      <c r="N597" s="421" t="s">
        <v>3093</v>
      </c>
      <c r="O597" s="421" t="s">
        <v>3094</v>
      </c>
      <c r="P597" s="421" t="s">
        <v>3095</v>
      </c>
      <c r="Q597" s="421" t="s">
        <v>3113</v>
      </c>
      <c r="R597" s="421" t="s">
        <v>1108</v>
      </c>
      <c r="S597" s="421" t="s">
        <v>1108</v>
      </c>
      <c r="T597" s="421" t="s">
        <v>1130</v>
      </c>
      <c r="U597" s="421" t="s">
        <v>1112</v>
      </c>
      <c r="V597" s="421" t="s">
        <v>3097</v>
      </c>
      <c r="W597" s="421" t="s">
        <v>3098</v>
      </c>
      <c r="X597" s="421" t="s">
        <v>3099</v>
      </c>
      <c r="Y597" s="421" t="s">
        <v>1117</v>
      </c>
      <c r="Z597" s="421" t="s">
        <v>1118</v>
      </c>
      <c r="AA597" s="421" t="s">
        <v>3100</v>
      </c>
      <c r="AB597" s="421" t="s">
        <v>3101</v>
      </c>
      <c r="AC597" s="421" t="s">
        <v>3102</v>
      </c>
      <c r="AD597" s="421" t="s">
        <v>3269</v>
      </c>
      <c r="AE597" s="421" t="s">
        <v>3378</v>
      </c>
      <c r="AF597" s="421" t="s">
        <v>2236</v>
      </c>
      <c r="AG597" s="421" t="s">
        <v>2237</v>
      </c>
      <c r="AH597" s="421" t="s">
        <v>3105</v>
      </c>
      <c r="AI597" s="421">
        <v>37600</v>
      </c>
      <c r="AJ597" s="421">
        <v>90.4</v>
      </c>
      <c r="AK597" s="421">
        <v>98.46</v>
      </c>
      <c r="AL597" s="421">
        <v>3</v>
      </c>
      <c r="AM597" s="421" t="s">
        <v>966</v>
      </c>
      <c r="AN597" s="421" t="s">
        <v>3271</v>
      </c>
      <c r="AO597" s="421" t="s">
        <v>1121</v>
      </c>
      <c r="AP597" s="421" t="s">
        <v>1121</v>
      </c>
      <c r="AQ597" s="421" t="s">
        <v>1108</v>
      </c>
      <c r="AR597" s="421" t="s">
        <v>3931</v>
      </c>
      <c r="AS597" s="421" t="s">
        <v>3942</v>
      </c>
      <c r="AT597" s="421" t="s">
        <v>3109</v>
      </c>
      <c r="AU597" s="421" t="s">
        <v>1142</v>
      </c>
      <c r="AV597" s="421" t="s">
        <v>3130</v>
      </c>
      <c r="AW597" s="421" t="s">
        <v>3110</v>
      </c>
      <c r="AX597" s="421" t="s">
        <v>3111</v>
      </c>
      <c r="AY597" s="421" t="s">
        <v>3112</v>
      </c>
      <c r="AZ597" s="421" t="s">
        <v>3113</v>
      </c>
      <c r="BA597" s="421" t="s">
        <v>3114</v>
      </c>
      <c r="BB597" s="421" t="s">
        <v>3115</v>
      </c>
      <c r="BC597" s="421">
        <v>2699</v>
      </c>
      <c r="BD597" s="421">
        <v>7884183.8499999996</v>
      </c>
      <c r="BE597" s="421">
        <v>0</v>
      </c>
      <c r="BF597" s="421">
        <v>56.58</v>
      </c>
      <c r="BG597" s="421">
        <v>6.89</v>
      </c>
      <c r="BH597" s="421">
        <v>11.53</v>
      </c>
      <c r="BI597" s="421" t="s">
        <v>1167</v>
      </c>
    </row>
    <row r="598" spans="1:61" x14ac:dyDescent="0.25">
      <c r="A598" s="421">
        <v>595</v>
      </c>
      <c r="B598" s="421">
        <v>2015</v>
      </c>
      <c r="C598" s="421">
        <v>11</v>
      </c>
      <c r="D598" s="421">
        <v>10</v>
      </c>
      <c r="E598" s="421" t="s">
        <v>1475</v>
      </c>
      <c r="F598" s="421" t="s">
        <v>3273</v>
      </c>
      <c r="G598" s="421" t="s">
        <v>3480</v>
      </c>
      <c r="H598" s="421" t="s">
        <v>1107</v>
      </c>
      <c r="I598" s="421" t="s">
        <v>2891</v>
      </c>
      <c r="J598" s="421" t="s">
        <v>3943</v>
      </c>
      <c r="K598" s="421" t="s">
        <v>3093</v>
      </c>
      <c r="L598" s="421" t="s">
        <v>3094</v>
      </c>
      <c r="M598" s="421" t="s">
        <v>2667</v>
      </c>
      <c r="N598" s="421" t="s">
        <v>3093</v>
      </c>
      <c r="O598" s="421" t="s">
        <v>3094</v>
      </c>
      <c r="P598" s="421" t="s">
        <v>3095</v>
      </c>
      <c r="Q598" s="421" t="s">
        <v>3113</v>
      </c>
      <c r="R598" s="421" t="s">
        <v>1542</v>
      </c>
      <c r="S598" s="421" t="s">
        <v>1542</v>
      </c>
      <c r="T598" s="421" t="s">
        <v>1130</v>
      </c>
      <c r="U598" s="421" t="s">
        <v>1112</v>
      </c>
      <c r="V598" s="421" t="s">
        <v>3097</v>
      </c>
      <c r="W598" s="421" t="s">
        <v>3098</v>
      </c>
      <c r="X598" s="421" t="s">
        <v>3099</v>
      </c>
      <c r="Y598" s="421" t="s">
        <v>1117</v>
      </c>
      <c r="Z598" s="421" t="s">
        <v>1118</v>
      </c>
      <c r="AA598" s="421" t="s">
        <v>3100</v>
      </c>
      <c r="AB598" s="421" t="s">
        <v>3101</v>
      </c>
      <c r="AC598" s="421" t="s">
        <v>3102</v>
      </c>
      <c r="AD598" s="421" t="s">
        <v>3439</v>
      </c>
      <c r="AE598" s="421" t="s">
        <v>3440</v>
      </c>
      <c r="AF598" s="421" t="s">
        <v>2236</v>
      </c>
      <c r="AG598" s="421" t="s">
        <v>2237</v>
      </c>
      <c r="AH598" s="421" t="s">
        <v>3105</v>
      </c>
      <c r="AI598" s="421">
        <v>29500</v>
      </c>
      <c r="AJ598" s="421">
        <v>106.7</v>
      </c>
      <c r="AK598" s="421">
        <v>116.01</v>
      </c>
      <c r="AL598" s="421">
        <v>3</v>
      </c>
      <c r="AM598" s="421" t="s">
        <v>3441</v>
      </c>
      <c r="AN598" s="421" t="s">
        <v>3442</v>
      </c>
      <c r="AO598" s="421" t="s">
        <v>1121</v>
      </c>
      <c r="AP598" s="421" t="s">
        <v>1121</v>
      </c>
      <c r="AQ598" s="421" t="s">
        <v>1542</v>
      </c>
      <c r="AR598" s="421" t="s">
        <v>3931</v>
      </c>
      <c r="AS598" s="421" t="s">
        <v>3944</v>
      </c>
      <c r="AT598" s="421" t="s">
        <v>3109</v>
      </c>
      <c r="AU598" s="421" t="s">
        <v>1142</v>
      </c>
      <c r="AV598" s="421" t="s">
        <v>2520</v>
      </c>
      <c r="AW598" s="421" t="s">
        <v>3110</v>
      </c>
      <c r="AX598" s="421" t="s">
        <v>3111</v>
      </c>
      <c r="AY598" s="421" t="s">
        <v>3112</v>
      </c>
      <c r="AZ598" s="421" t="s">
        <v>3113</v>
      </c>
      <c r="BA598" s="421" t="s">
        <v>3114</v>
      </c>
      <c r="BB598" s="421" t="s">
        <v>3115</v>
      </c>
      <c r="BC598" s="421">
        <v>3281.6</v>
      </c>
      <c r="BD598" s="421">
        <v>9586045.8399999999</v>
      </c>
      <c r="BE598" s="421">
        <v>0</v>
      </c>
      <c r="BF598" s="421">
        <v>273.10000000000002</v>
      </c>
      <c r="BG598" s="421">
        <v>0</v>
      </c>
      <c r="BH598" s="421">
        <v>0</v>
      </c>
      <c r="BI598" s="421" t="s">
        <v>1167</v>
      </c>
    </row>
    <row r="599" spans="1:61" x14ac:dyDescent="0.25">
      <c r="A599" s="421">
        <v>596</v>
      </c>
      <c r="B599" s="421">
        <v>2015</v>
      </c>
      <c r="C599" s="421">
        <v>11</v>
      </c>
      <c r="D599" s="421">
        <v>10</v>
      </c>
      <c r="E599" s="421" t="s">
        <v>1475</v>
      </c>
      <c r="F599" s="421" t="s">
        <v>3273</v>
      </c>
      <c r="G599" s="421" t="s">
        <v>3480</v>
      </c>
      <c r="H599" s="421" t="s">
        <v>1107</v>
      </c>
      <c r="I599" s="421" t="s">
        <v>2891</v>
      </c>
      <c r="J599" s="421" t="s">
        <v>3943</v>
      </c>
      <c r="K599" s="421" t="s">
        <v>3093</v>
      </c>
      <c r="L599" s="421" t="s">
        <v>3094</v>
      </c>
      <c r="M599" s="421" t="s">
        <v>2667</v>
      </c>
      <c r="N599" s="421" t="s">
        <v>3093</v>
      </c>
      <c r="O599" s="421" t="s">
        <v>3094</v>
      </c>
      <c r="P599" s="421" t="s">
        <v>3095</v>
      </c>
      <c r="Q599" s="421" t="s">
        <v>3113</v>
      </c>
      <c r="R599" s="421" t="s">
        <v>1542</v>
      </c>
      <c r="S599" s="421" t="s">
        <v>1542</v>
      </c>
      <c r="T599" s="421" t="s">
        <v>1130</v>
      </c>
      <c r="U599" s="421" t="s">
        <v>1112</v>
      </c>
      <c r="V599" s="421" t="s">
        <v>3097</v>
      </c>
      <c r="W599" s="421" t="s">
        <v>3098</v>
      </c>
      <c r="X599" s="421" t="s">
        <v>3099</v>
      </c>
      <c r="Y599" s="421" t="s">
        <v>1117</v>
      </c>
      <c r="Z599" s="421" t="s">
        <v>1118</v>
      </c>
      <c r="AA599" s="421" t="s">
        <v>3100</v>
      </c>
      <c r="AB599" s="421" t="s">
        <v>3101</v>
      </c>
      <c r="AC599" s="421" t="s">
        <v>3102</v>
      </c>
      <c r="AD599" s="421" t="s">
        <v>3439</v>
      </c>
      <c r="AE599" s="421" t="s">
        <v>3440</v>
      </c>
      <c r="AF599" s="421" t="s">
        <v>2236</v>
      </c>
      <c r="AG599" s="421" t="s">
        <v>2237</v>
      </c>
      <c r="AH599" s="421" t="s">
        <v>3105</v>
      </c>
      <c r="AI599" s="421">
        <v>21000</v>
      </c>
      <c r="AJ599" s="421">
        <v>42.52</v>
      </c>
      <c r="AK599" s="421">
        <v>46.23</v>
      </c>
      <c r="AL599" s="421">
        <v>2</v>
      </c>
      <c r="AM599" s="421" t="s">
        <v>3441</v>
      </c>
      <c r="AN599" s="421" t="s">
        <v>3442</v>
      </c>
      <c r="AO599" s="421" t="s">
        <v>1121</v>
      </c>
      <c r="AP599" s="421" t="s">
        <v>1121</v>
      </c>
      <c r="AQ599" s="421" t="s">
        <v>1542</v>
      </c>
      <c r="AR599" s="421" t="s">
        <v>3931</v>
      </c>
      <c r="AS599" s="421" t="s">
        <v>3944</v>
      </c>
      <c r="AT599" s="421" t="s">
        <v>3109</v>
      </c>
      <c r="AU599" s="421" t="s">
        <v>1142</v>
      </c>
      <c r="AV599" s="421" t="s">
        <v>2520</v>
      </c>
      <c r="AW599" s="421" t="s">
        <v>3110</v>
      </c>
      <c r="AX599" s="421" t="s">
        <v>3111</v>
      </c>
      <c r="AY599" s="421" t="s">
        <v>3112</v>
      </c>
      <c r="AZ599" s="421" t="s">
        <v>3113</v>
      </c>
      <c r="BA599" s="421" t="s">
        <v>3114</v>
      </c>
      <c r="BB599" s="421" t="s">
        <v>3115</v>
      </c>
      <c r="BC599" s="421">
        <v>705.5</v>
      </c>
      <c r="BD599" s="421">
        <v>2060871.32</v>
      </c>
      <c r="BE599" s="421">
        <v>0</v>
      </c>
      <c r="BF599" s="421">
        <v>58.71</v>
      </c>
      <c r="BG599" s="421">
        <v>0</v>
      </c>
      <c r="BH599" s="421">
        <v>0</v>
      </c>
      <c r="BI599" s="421" t="s">
        <v>1167</v>
      </c>
    </row>
    <row r="600" spans="1:61" x14ac:dyDescent="0.25">
      <c r="A600" s="421">
        <v>597</v>
      </c>
      <c r="B600" s="421">
        <v>2015</v>
      </c>
      <c r="C600" s="421">
        <v>11</v>
      </c>
      <c r="D600" s="421">
        <v>10</v>
      </c>
      <c r="E600" s="421" t="s">
        <v>1475</v>
      </c>
      <c r="F600" s="421" t="s">
        <v>3273</v>
      </c>
      <c r="G600" s="421" t="s">
        <v>3480</v>
      </c>
      <c r="H600" s="421" t="s">
        <v>1107</v>
      </c>
      <c r="I600" s="421" t="s">
        <v>2891</v>
      </c>
      <c r="J600" s="421" t="s">
        <v>3943</v>
      </c>
      <c r="K600" s="421" t="s">
        <v>3093</v>
      </c>
      <c r="L600" s="421" t="s">
        <v>3094</v>
      </c>
      <c r="M600" s="421" t="s">
        <v>2667</v>
      </c>
      <c r="N600" s="421" t="s">
        <v>3093</v>
      </c>
      <c r="O600" s="421" t="s">
        <v>3094</v>
      </c>
      <c r="P600" s="421" t="s">
        <v>3095</v>
      </c>
      <c r="Q600" s="421" t="s">
        <v>3113</v>
      </c>
      <c r="R600" s="421" t="s">
        <v>1542</v>
      </c>
      <c r="S600" s="421" t="s">
        <v>1542</v>
      </c>
      <c r="T600" s="421" t="s">
        <v>1130</v>
      </c>
      <c r="U600" s="421" t="s">
        <v>1112</v>
      </c>
      <c r="V600" s="421" t="s">
        <v>3097</v>
      </c>
      <c r="W600" s="421" t="s">
        <v>3098</v>
      </c>
      <c r="X600" s="421" t="s">
        <v>3099</v>
      </c>
      <c r="Y600" s="421" t="s">
        <v>1117</v>
      </c>
      <c r="Z600" s="421" t="s">
        <v>1118</v>
      </c>
      <c r="AA600" s="421" t="s">
        <v>3100</v>
      </c>
      <c r="AB600" s="421" t="s">
        <v>3101</v>
      </c>
      <c r="AC600" s="421" t="s">
        <v>3102</v>
      </c>
      <c r="AD600" s="421" t="s">
        <v>3439</v>
      </c>
      <c r="AE600" s="421" t="s">
        <v>3440</v>
      </c>
      <c r="AF600" s="421" t="s">
        <v>2236</v>
      </c>
      <c r="AG600" s="421" t="s">
        <v>2237</v>
      </c>
      <c r="AH600" s="421" t="s">
        <v>3105</v>
      </c>
      <c r="AI600" s="421">
        <v>944750</v>
      </c>
      <c r="AJ600" s="421">
        <v>1778.91</v>
      </c>
      <c r="AK600" s="421">
        <v>1934.21</v>
      </c>
      <c r="AL600" s="421">
        <v>1</v>
      </c>
      <c r="AM600" s="421" t="s">
        <v>3441</v>
      </c>
      <c r="AN600" s="421" t="s">
        <v>3442</v>
      </c>
      <c r="AO600" s="421" t="s">
        <v>1121</v>
      </c>
      <c r="AP600" s="421" t="s">
        <v>1121</v>
      </c>
      <c r="AQ600" s="421" t="s">
        <v>1542</v>
      </c>
      <c r="AR600" s="421" t="s">
        <v>3931</v>
      </c>
      <c r="AS600" s="421" t="s">
        <v>3944</v>
      </c>
      <c r="AT600" s="421" t="s">
        <v>3109</v>
      </c>
      <c r="AU600" s="421" t="s">
        <v>1142</v>
      </c>
      <c r="AV600" s="421" t="s">
        <v>2520</v>
      </c>
      <c r="AW600" s="421" t="s">
        <v>3110</v>
      </c>
      <c r="AX600" s="421" t="s">
        <v>3111</v>
      </c>
      <c r="AY600" s="421" t="s">
        <v>3112</v>
      </c>
      <c r="AZ600" s="421" t="s">
        <v>3113</v>
      </c>
      <c r="BA600" s="421" t="s">
        <v>3114</v>
      </c>
      <c r="BB600" s="421" t="s">
        <v>3115</v>
      </c>
      <c r="BC600" s="421">
        <v>27271.5</v>
      </c>
      <c r="BD600" s="421">
        <v>79664142.219999999</v>
      </c>
      <c r="BE600" s="421">
        <v>0</v>
      </c>
      <c r="BF600" s="421">
        <v>2269.6</v>
      </c>
      <c r="BG600" s="421">
        <v>0</v>
      </c>
      <c r="BH600" s="421">
        <v>0</v>
      </c>
      <c r="BI600" s="421" t="s">
        <v>1167</v>
      </c>
    </row>
    <row r="601" spans="1:61" x14ac:dyDescent="0.25">
      <c r="A601" s="421">
        <v>598</v>
      </c>
      <c r="B601" s="421">
        <v>2015</v>
      </c>
      <c r="C601" s="421">
        <v>11</v>
      </c>
      <c r="D601" s="421">
        <v>10</v>
      </c>
      <c r="E601" s="421" t="s">
        <v>1475</v>
      </c>
      <c r="F601" s="421" t="s">
        <v>3273</v>
      </c>
      <c r="G601" s="421" t="s">
        <v>3480</v>
      </c>
      <c r="H601" s="421" t="s">
        <v>1107</v>
      </c>
      <c r="I601" s="421" t="s">
        <v>2891</v>
      </c>
      <c r="J601" s="421" t="s">
        <v>3945</v>
      </c>
      <c r="K601" s="421" t="s">
        <v>3093</v>
      </c>
      <c r="L601" s="421" t="s">
        <v>3094</v>
      </c>
      <c r="M601" s="421" t="s">
        <v>2667</v>
      </c>
      <c r="N601" s="421" t="s">
        <v>3093</v>
      </c>
      <c r="O601" s="421" t="s">
        <v>3094</v>
      </c>
      <c r="P601" s="421" t="s">
        <v>3095</v>
      </c>
      <c r="Q601" s="421" t="s">
        <v>3113</v>
      </c>
      <c r="R601" s="421" t="s">
        <v>1108</v>
      </c>
      <c r="S601" s="421" t="s">
        <v>1108</v>
      </c>
      <c r="T601" s="421" t="s">
        <v>1130</v>
      </c>
      <c r="U601" s="421" t="s">
        <v>1112</v>
      </c>
      <c r="V601" s="421" t="s">
        <v>3097</v>
      </c>
      <c r="W601" s="421" t="s">
        <v>3098</v>
      </c>
      <c r="X601" s="421" t="s">
        <v>3099</v>
      </c>
      <c r="Y601" s="421" t="s">
        <v>1117</v>
      </c>
      <c r="Z601" s="421" t="s">
        <v>1118</v>
      </c>
      <c r="AA601" s="421" t="s">
        <v>3100</v>
      </c>
      <c r="AB601" s="421" t="s">
        <v>3101</v>
      </c>
      <c r="AC601" s="421" t="s">
        <v>3102</v>
      </c>
      <c r="AD601" s="421" t="s">
        <v>3183</v>
      </c>
      <c r="AE601" s="421" t="s">
        <v>3184</v>
      </c>
      <c r="AF601" s="421" t="s">
        <v>2236</v>
      </c>
      <c r="AG601" s="421" t="s">
        <v>2237</v>
      </c>
      <c r="AH601" s="421" t="s">
        <v>3105</v>
      </c>
      <c r="AI601" s="421">
        <v>2911000</v>
      </c>
      <c r="AJ601" s="421">
        <v>5964.98</v>
      </c>
      <c r="AK601" s="421">
        <v>6511.82</v>
      </c>
      <c r="AL601" s="421">
        <v>1</v>
      </c>
      <c r="AM601" s="421" t="s">
        <v>963</v>
      </c>
      <c r="AN601" s="421" t="s">
        <v>3185</v>
      </c>
      <c r="AO601" s="421" t="s">
        <v>1121</v>
      </c>
      <c r="AP601" s="421" t="s">
        <v>1121</v>
      </c>
      <c r="AQ601" s="421" t="s">
        <v>1108</v>
      </c>
      <c r="AR601" s="421" t="s">
        <v>3931</v>
      </c>
      <c r="AS601" s="421" t="s">
        <v>3946</v>
      </c>
      <c r="AT601" s="421" t="s">
        <v>3109</v>
      </c>
      <c r="AU601" s="421" t="s">
        <v>1142</v>
      </c>
      <c r="AV601" s="421" t="s">
        <v>3130</v>
      </c>
      <c r="AW601" s="421" t="s">
        <v>3110</v>
      </c>
      <c r="AX601" s="421" t="s">
        <v>3111</v>
      </c>
      <c r="AY601" s="421" t="s">
        <v>3112</v>
      </c>
      <c r="AZ601" s="421" t="s">
        <v>3113</v>
      </c>
      <c r="BA601" s="421" t="s">
        <v>3114</v>
      </c>
      <c r="BB601" s="421" t="s">
        <v>3115</v>
      </c>
      <c r="BC601" s="421">
        <v>89073.7</v>
      </c>
      <c r="BD601" s="421">
        <v>260197638.75</v>
      </c>
      <c r="BE601" s="421">
        <v>0</v>
      </c>
      <c r="BF601" s="421">
        <v>1284.07</v>
      </c>
      <c r="BG601" s="421">
        <v>225.89</v>
      </c>
      <c r="BH601" s="421">
        <v>0</v>
      </c>
      <c r="BI601" s="421" t="s">
        <v>1167</v>
      </c>
    </row>
    <row r="602" spans="1:61" x14ac:dyDescent="0.25">
      <c r="A602" s="421">
        <v>599</v>
      </c>
      <c r="B602" s="421">
        <v>2015</v>
      </c>
      <c r="C602" s="421">
        <v>11</v>
      </c>
      <c r="D602" s="421">
        <v>10</v>
      </c>
      <c r="E602" s="421" t="s">
        <v>1475</v>
      </c>
      <c r="F602" s="421" t="s">
        <v>3273</v>
      </c>
      <c r="G602" s="421" t="s">
        <v>3480</v>
      </c>
      <c r="H602" s="421" t="s">
        <v>1107</v>
      </c>
      <c r="I602" s="421" t="s">
        <v>2891</v>
      </c>
      <c r="J602" s="421" t="s">
        <v>3947</v>
      </c>
      <c r="K602" s="421" t="s">
        <v>3093</v>
      </c>
      <c r="L602" s="421" t="s">
        <v>3094</v>
      </c>
      <c r="M602" s="421" t="s">
        <v>2667</v>
      </c>
      <c r="N602" s="421" t="s">
        <v>3093</v>
      </c>
      <c r="O602" s="421" t="s">
        <v>3094</v>
      </c>
      <c r="P602" s="421" t="s">
        <v>3095</v>
      </c>
      <c r="Q602" s="421" t="s">
        <v>3096</v>
      </c>
      <c r="R602" s="421" t="s">
        <v>1108</v>
      </c>
      <c r="S602" s="421" t="s">
        <v>1542</v>
      </c>
      <c r="T602" s="421" t="s">
        <v>1130</v>
      </c>
      <c r="U602" s="421" t="s">
        <v>1112</v>
      </c>
      <c r="V602" s="421" t="s">
        <v>3097</v>
      </c>
      <c r="W602" s="421" t="s">
        <v>3098</v>
      </c>
      <c r="X602" s="421" t="s">
        <v>3099</v>
      </c>
      <c r="Y602" s="421" t="s">
        <v>1117</v>
      </c>
      <c r="Z602" s="421" t="s">
        <v>1118</v>
      </c>
      <c r="AA602" s="421" t="s">
        <v>3100</v>
      </c>
      <c r="AB602" s="421" t="s">
        <v>3101</v>
      </c>
      <c r="AC602" s="421" t="s">
        <v>3102</v>
      </c>
      <c r="AD602" s="421" t="s">
        <v>3291</v>
      </c>
      <c r="AE602" s="421" t="s">
        <v>3948</v>
      </c>
      <c r="AF602" s="421" t="s">
        <v>2236</v>
      </c>
      <c r="AG602" s="421" t="s">
        <v>2237</v>
      </c>
      <c r="AH602" s="421" t="s">
        <v>3105</v>
      </c>
      <c r="AI602" s="421">
        <v>114000</v>
      </c>
      <c r="AJ602" s="421">
        <v>421.74</v>
      </c>
      <c r="AK602" s="421">
        <v>457.19</v>
      </c>
      <c r="AL602" s="421">
        <v>4</v>
      </c>
      <c r="AM602" s="421" t="s">
        <v>965</v>
      </c>
      <c r="AN602" s="421" t="s">
        <v>3293</v>
      </c>
      <c r="AO602" s="421" t="s">
        <v>1121</v>
      </c>
      <c r="AP602" s="421" t="s">
        <v>1121</v>
      </c>
      <c r="AQ602" s="421" t="s">
        <v>1542</v>
      </c>
      <c r="AR602" s="421" t="s">
        <v>3931</v>
      </c>
      <c r="AS602" s="421" t="s">
        <v>3949</v>
      </c>
      <c r="AT602" s="421" t="s">
        <v>3109</v>
      </c>
      <c r="AU602" s="421" t="s">
        <v>1142</v>
      </c>
      <c r="AV602" s="421" t="s">
        <v>2520</v>
      </c>
      <c r="AW602" s="421" t="s">
        <v>3110</v>
      </c>
      <c r="AX602" s="421" t="s">
        <v>3111</v>
      </c>
      <c r="AY602" s="421" t="s">
        <v>3112</v>
      </c>
      <c r="AZ602" s="421" t="s">
        <v>3113</v>
      </c>
      <c r="BA602" s="421" t="s">
        <v>3114</v>
      </c>
      <c r="BB602" s="421" t="s">
        <v>3115</v>
      </c>
      <c r="BC602" s="421">
        <v>7710.6</v>
      </c>
      <c r="BD602" s="421">
        <v>22523819.190000001</v>
      </c>
      <c r="BE602" s="421">
        <v>0</v>
      </c>
      <c r="BF602" s="421">
        <v>144.93</v>
      </c>
      <c r="BG602" s="421">
        <v>19.64</v>
      </c>
      <c r="BH602" s="421">
        <v>0</v>
      </c>
      <c r="BI602" s="421" t="s">
        <v>1331</v>
      </c>
    </row>
    <row r="603" spans="1:61" x14ac:dyDescent="0.25">
      <c r="A603" s="421">
        <v>600</v>
      </c>
      <c r="B603" s="421">
        <v>2015</v>
      </c>
      <c r="C603" s="421">
        <v>11</v>
      </c>
      <c r="D603" s="421">
        <v>10</v>
      </c>
      <c r="E603" s="421" t="s">
        <v>1475</v>
      </c>
      <c r="F603" s="421" t="s">
        <v>3273</v>
      </c>
      <c r="G603" s="421" t="s">
        <v>3480</v>
      </c>
      <c r="H603" s="421" t="s">
        <v>1107</v>
      </c>
      <c r="I603" s="421" t="s">
        <v>2891</v>
      </c>
      <c r="J603" s="421" t="s">
        <v>3947</v>
      </c>
      <c r="K603" s="421" t="s">
        <v>3093</v>
      </c>
      <c r="L603" s="421" t="s">
        <v>3094</v>
      </c>
      <c r="M603" s="421" t="s">
        <v>2667</v>
      </c>
      <c r="N603" s="421" t="s">
        <v>3093</v>
      </c>
      <c r="O603" s="421" t="s">
        <v>3094</v>
      </c>
      <c r="P603" s="421" t="s">
        <v>3095</v>
      </c>
      <c r="Q603" s="421" t="s">
        <v>3096</v>
      </c>
      <c r="R603" s="421" t="s">
        <v>1108</v>
      </c>
      <c r="S603" s="421" t="s">
        <v>1542</v>
      </c>
      <c r="T603" s="421" t="s">
        <v>1130</v>
      </c>
      <c r="U603" s="421" t="s">
        <v>1112</v>
      </c>
      <c r="V603" s="421" t="s">
        <v>3097</v>
      </c>
      <c r="W603" s="421" t="s">
        <v>3098</v>
      </c>
      <c r="X603" s="421" t="s">
        <v>3099</v>
      </c>
      <c r="Y603" s="421" t="s">
        <v>1117</v>
      </c>
      <c r="Z603" s="421" t="s">
        <v>1118</v>
      </c>
      <c r="AA603" s="421" t="s">
        <v>3100</v>
      </c>
      <c r="AB603" s="421" t="s">
        <v>3101</v>
      </c>
      <c r="AC603" s="421" t="s">
        <v>3102</v>
      </c>
      <c r="AD603" s="421" t="s">
        <v>3291</v>
      </c>
      <c r="AE603" s="421" t="s">
        <v>3948</v>
      </c>
      <c r="AF603" s="421" t="s">
        <v>2236</v>
      </c>
      <c r="AG603" s="421" t="s">
        <v>2237</v>
      </c>
      <c r="AH603" s="421" t="s">
        <v>3105</v>
      </c>
      <c r="AI603" s="421">
        <v>795000</v>
      </c>
      <c r="AJ603" s="421">
        <v>2755.4</v>
      </c>
      <c r="AK603" s="421">
        <v>2987.04</v>
      </c>
      <c r="AL603" s="421">
        <v>3</v>
      </c>
      <c r="AM603" s="421" t="s">
        <v>965</v>
      </c>
      <c r="AN603" s="421" t="s">
        <v>3293</v>
      </c>
      <c r="AO603" s="421" t="s">
        <v>1121</v>
      </c>
      <c r="AP603" s="421" t="s">
        <v>1121</v>
      </c>
      <c r="AQ603" s="421" t="s">
        <v>1542</v>
      </c>
      <c r="AR603" s="421" t="s">
        <v>3931</v>
      </c>
      <c r="AS603" s="421" t="s">
        <v>3949</v>
      </c>
      <c r="AT603" s="421" t="s">
        <v>3109</v>
      </c>
      <c r="AU603" s="421" t="s">
        <v>1142</v>
      </c>
      <c r="AV603" s="421" t="s">
        <v>2520</v>
      </c>
      <c r="AW603" s="421" t="s">
        <v>3110</v>
      </c>
      <c r="AX603" s="421" t="s">
        <v>3111</v>
      </c>
      <c r="AY603" s="421" t="s">
        <v>3112</v>
      </c>
      <c r="AZ603" s="421" t="s">
        <v>3113</v>
      </c>
      <c r="BA603" s="421" t="s">
        <v>3114</v>
      </c>
      <c r="BB603" s="421" t="s">
        <v>3115</v>
      </c>
      <c r="BC603" s="421">
        <v>52313.1</v>
      </c>
      <c r="BD603" s="421">
        <v>152814412.06</v>
      </c>
      <c r="BE603" s="421">
        <v>0</v>
      </c>
      <c r="BF603" s="421">
        <v>983.29</v>
      </c>
      <c r="BG603" s="421">
        <v>133.24</v>
      </c>
      <c r="BH603" s="421">
        <v>0</v>
      </c>
      <c r="BI603" s="421" t="s">
        <v>1331</v>
      </c>
    </row>
    <row r="604" spans="1:61" x14ac:dyDescent="0.25">
      <c r="A604" s="421">
        <v>601</v>
      </c>
      <c r="B604" s="421">
        <v>2015</v>
      </c>
      <c r="C604" s="421">
        <v>11</v>
      </c>
      <c r="D604" s="421">
        <v>10</v>
      </c>
      <c r="E604" s="421" t="s">
        <v>1475</v>
      </c>
      <c r="F604" s="421" t="s">
        <v>3273</v>
      </c>
      <c r="G604" s="421" t="s">
        <v>3480</v>
      </c>
      <c r="H604" s="421" t="s">
        <v>1107</v>
      </c>
      <c r="I604" s="421" t="s">
        <v>2891</v>
      </c>
      <c r="J604" s="421" t="s">
        <v>3947</v>
      </c>
      <c r="K604" s="421" t="s">
        <v>3093</v>
      </c>
      <c r="L604" s="421" t="s">
        <v>3094</v>
      </c>
      <c r="M604" s="421" t="s">
        <v>2667</v>
      </c>
      <c r="N604" s="421" t="s">
        <v>3093</v>
      </c>
      <c r="O604" s="421" t="s">
        <v>3094</v>
      </c>
      <c r="P604" s="421" t="s">
        <v>3095</v>
      </c>
      <c r="Q604" s="421" t="s">
        <v>3096</v>
      </c>
      <c r="R604" s="421" t="s">
        <v>1108</v>
      </c>
      <c r="S604" s="421" t="s">
        <v>1542</v>
      </c>
      <c r="T604" s="421" t="s">
        <v>1130</v>
      </c>
      <c r="U604" s="421" t="s">
        <v>1112</v>
      </c>
      <c r="V604" s="421" t="s">
        <v>3097</v>
      </c>
      <c r="W604" s="421" t="s">
        <v>3098</v>
      </c>
      <c r="X604" s="421" t="s">
        <v>3099</v>
      </c>
      <c r="Y604" s="421" t="s">
        <v>1117</v>
      </c>
      <c r="Z604" s="421" t="s">
        <v>1118</v>
      </c>
      <c r="AA604" s="421" t="s">
        <v>3100</v>
      </c>
      <c r="AB604" s="421" t="s">
        <v>3101</v>
      </c>
      <c r="AC604" s="421" t="s">
        <v>3102</v>
      </c>
      <c r="AD604" s="421" t="s">
        <v>3291</v>
      </c>
      <c r="AE604" s="421" t="s">
        <v>3948</v>
      </c>
      <c r="AF604" s="421" t="s">
        <v>2236</v>
      </c>
      <c r="AG604" s="421" t="s">
        <v>2237</v>
      </c>
      <c r="AH604" s="421" t="s">
        <v>3105</v>
      </c>
      <c r="AI604" s="421">
        <v>1050000</v>
      </c>
      <c r="AJ604" s="421">
        <v>3007.71</v>
      </c>
      <c r="AK604" s="421">
        <v>3260.56</v>
      </c>
      <c r="AL604" s="421">
        <v>1</v>
      </c>
      <c r="AM604" s="421" t="s">
        <v>965</v>
      </c>
      <c r="AN604" s="421" t="s">
        <v>3293</v>
      </c>
      <c r="AO604" s="421" t="s">
        <v>1121</v>
      </c>
      <c r="AP604" s="421" t="s">
        <v>1121</v>
      </c>
      <c r="AQ604" s="421" t="s">
        <v>1542</v>
      </c>
      <c r="AR604" s="421" t="s">
        <v>3931</v>
      </c>
      <c r="AS604" s="421" t="s">
        <v>3949</v>
      </c>
      <c r="AT604" s="421" t="s">
        <v>3109</v>
      </c>
      <c r="AU604" s="421" t="s">
        <v>1142</v>
      </c>
      <c r="AV604" s="421" t="s">
        <v>2520</v>
      </c>
      <c r="AW604" s="421" t="s">
        <v>3110</v>
      </c>
      <c r="AX604" s="421" t="s">
        <v>3111</v>
      </c>
      <c r="AY604" s="421" t="s">
        <v>3112</v>
      </c>
      <c r="AZ604" s="421" t="s">
        <v>3113</v>
      </c>
      <c r="BA604" s="421" t="s">
        <v>3114</v>
      </c>
      <c r="BB604" s="421" t="s">
        <v>3115</v>
      </c>
      <c r="BC604" s="421">
        <v>31508.7</v>
      </c>
      <c r="BD604" s="421">
        <v>92041639</v>
      </c>
      <c r="BE604" s="421">
        <v>0</v>
      </c>
      <c r="BF604" s="421">
        <v>592.25</v>
      </c>
      <c r="BG604" s="421">
        <v>80.25</v>
      </c>
      <c r="BH604" s="421">
        <v>0</v>
      </c>
      <c r="BI604" s="421" t="s">
        <v>1331</v>
      </c>
    </row>
    <row r="605" spans="1:61" x14ac:dyDescent="0.25">
      <c r="A605" s="421">
        <v>602</v>
      </c>
      <c r="B605" s="421">
        <v>2015</v>
      </c>
      <c r="C605" s="421">
        <v>11</v>
      </c>
      <c r="D605" s="421">
        <v>10</v>
      </c>
      <c r="E605" s="421" t="s">
        <v>1475</v>
      </c>
      <c r="F605" s="421" t="s">
        <v>3273</v>
      </c>
      <c r="G605" s="421" t="s">
        <v>3480</v>
      </c>
      <c r="H605" s="421" t="s">
        <v>1107</v>
      </c>
      <c r="I605" s="421" t="s">
        <v>2891</v>
      </c>
      <c r="J605" s="421" t="s">
        <v>3947</v>
      </c>
      <c r="K605" s="421" t="s">
        <v>3093</v>
      </c>
      <c r="L605" s="421" t="s">
        <v>3094</v>
      </c>
      <c r="M605" s="421" t="s">
        <v>2667</v>
      </c>
      <c r="N605" s="421" t="s">
        <v>3093</v>
      </c>
      <c r="O605" s="421" t="s">
        <v>3094</v>
      </c>
      <c r="P605" s="421" t="s">
        <v>3095</v>
      </c>
      <c r="Q605" s="421" t="s">
        <v>3096</v>
      </c>
      <c r="R605" s="421" t="s">
        <v>1108</v>
      </c>
      <c r="S605" s="421" t="s">
        <v>1542</v>
      </c>
      <c r="T605" s="421" t="s">
        <v>1130</v>
      </c>
      <c r="U605" s="421" t="s">
        <v>1112</v>
      </c>
      <c r="V605" s="421" t="s">
        <v>3097</v>
      </c>
      <c r="W605" s="421" t="s">
        <v>3098</v>
      </c>
      <c r="X605" s="421" t="s">
        <v>3099</v>
      </c>
      <c r="Y605" s="421" t="s">
        <v>1117</v>
      </c>
      <c r="Z605" s="421" t="s">
        <v>1118</v>
      </c>
      <c r="AA605" s="421" t="s">
        <v>3100</v>
      </c>
      <c r="AB605" s="421" t="s">
        <v>3101</v>
      </c>
      <c r="AC605" s="421" t="s">
        <v>3102</v>
      </c>
      <c r="AD605" s="421" t="s">
        <v>3291</v>
      </c>
      <c r="AE605" s="421" t="s">
        <v>3948</v>
      </c>
      <c r="AF605" s="421" t="s">
        <v>2236</v>
      </c>
      <c r="AG605" s="421" t="s">
        <v>2237</v>
      </c>
      <c r="AH605" s="421" t="s">
        <v>3105</v>
      </c>
      <c r="AI605" s="421">
        <v>107000</v>
      </c>
      <c r="AJ605" s="421">
        <v>319.73</v>
      </c>
      <c r="AK605" s="421">
        <v>346.6</v>
      </c>
      <c r="AL605" s="421">
        <v>2</v>
      </c>
      <c r="AM605" s="421" t="s">
        <v>965</v>
      </c>
      <c r="AN605" s="421" t="s">
        <v>3293</v>
      </c>
      <c r="AO605" s="421" t="s">
        <v>1121</v>
      </c>
      <c r="AP605" s="421" t="s">
        <v>1121</v>
      </c>
      <c r="AQ605" s="421" t="s">
        <v>1542</v>
      </c>
      <c r="AR605" s="421" t="s">
        <v>3931</v>
      </c>
      <c r="AS605" s="421" t="s">
        <v>3949</v>
      </c>
      <c r="AT605" s="421" t="s">
        <v>3109</v>
      </c>
      <c r="AU605" s="421" t="s">
        <v>1142</v>
      </c>
      <c r="AV605" s="421" t="s">
        <v>2520</v>
      </c>
      <c r="AW605" s="421" t="s">
        <v>3110</v>
      </c>
      <c r="AX605" s="421" t="s">
        <v>3111</v>
      </c>
      <c r="AY605" s="421" t="s">
        <v>3112</v>
      </c>
      <c r="AZ605" s="421" t="s">
        <v>3113</v>
      </c>
      <c r="BA605" s="421" t="s">
        <v>3114</v>
      </c>
      <c r="BB605" s="421" t="s">
        <v>3115</v>
      </c>
      <c r="BC605" s="421">
        <v>3199.2</v>
      </c>
      <c r="BD605" s="421">
        <v>9345343.0800000001</v>
      </c>
      <c r="BE605" s="421">
        <v>0</v>
      </c>
      <c r="BF605" s="421">
        <v>60.13</v>
      </c>
      <c r="BG605" s="421">
        <v>8.15</v>
      </c>
      <c r="BH605" s="421">
        <v>0</v>
      </c>
      <c r="BI605" s="421" t="s">
        <v>1331</v>
      </c>
    </row>
    <row r="606" spans="1:61" x14ac:dyDescent="0.25">
      <c r="A606" s="421">
        <v>603</v>
      </c>
      <c r="B606" s="421">
        <v>2015</v>
      </c>
      <c r="C606" s="421">
        <v>11</v>
      </c>
      <c r="D606" s="421">
        <v>18</v>
      </c>
      <c r="E606" s="421" t="s">
        <v>1475</v>
      </c>
      <c r="F606" s="421" t="s">
        <v>3273</v>
      </c>
      <c r="G606" s="421" t="s">
        <v>3289</v>
      </c>
      <c r="H606" s="421" t="s">
        <v>1107</v>
      </c>
      <c r="I606" s="421" t="s">
        <v>3950</v>
      </c>
      <c r="J606" s="421" t="s">
        <v>3951</v>
      </c>
      <c r="K606" s="421" t="s">
        <v>3093</v>
      </c>
      <c r="L606" s="421" t="s">
        <v>3094</v>
      </c>
      <c r="M606" s="421" t="s">
        <v>2667</v>
      </c>
      <c r="N606" s="421" t="s">
        <v>3093</v>
      </c>
      <c r="O606" s="421" t="s">
        <v>3094</v>
      </c>
      <c r="P606" s="421" t="s">
        <v>3095</v>
      </c>
      <c r="Q606" s="421" t="s">
        <v>3113</v>
      </c>
      <c r="R606" s="421" t="s">
        <v>1108</v>
      </c>
      <c r="S606" s="421" t="s">
        <v>1108</v>
      </c>
      <c r="T606" s="421" t="s">
        <v>1130</v>
      </c>
      <c r="U606" s="421" t="s">
        <v>1112</v>
      </c>
      <c r="V606" s="421" t="s">
        <v>3097</v>
      </c>
      <c r="W606" s="421" t="s">
        <v>3098</v>
      </c>
      <c r="X606" s="421" t="s">
        <v>3099</v>
      </c>
      <c r="Y606" s="421" t="s">
        <v>1117</v>
      </c>
      <c r="Z606" s="421" t="s">
        <v>1118</v>
      </c>
      <c r="AA606" s="421" t="s">
        <v>3100</v>
      </c>
      <c r="AB606" s="421" t="s">
        <v>3101</v>
      </c>
      <c r="AC606" s="421" t="s">
        <v>3102</v>
      </c>
      <c r="AD606" s="421" t="s">
        <v>3189</v>
      </c>
      <c r="AE606" s="421" t="s">
        <v>3190</v>
      </c>
      <c r="AF606" s="421" t="s">
        <v>2236</v>
      </c>
      <c r="AG606" s="421" t="s">
        <v>2237</v>
      </c>
      <c r="AH606" s="421" t="s">
        <v>3105</v>
      </c>
      <c r="AI606" s="421">
        <v>251240</v>
      </c>
      <c r="AJ606" s="421">
        <v>988.32</v>
      </c>
      <c r="AK606" s="421">
        <v>1069.23</v>
      </c>
      <c r="AL606" s="421">
        <v>3</v>
      </c>
      <c r="AM606" s="421" t="s">
        <v>961</v>
      </c>
      <c r="AN606" s="421" t="s">
        <v>3191</v>
      </c>
      <c r="AO606" s="421" t="s">
        <v>1121</v>
      </c>
      <c r="AP606" s="421" t="s">
        <v>1121</v>
      </c>
      <c r="AQ606" s="421" t="s">
        <v>1108</v>
      </c>
      <c r="AR606" s="421" t="s">
        <v>3931</v>
      </c>
      <c r="AS606" s="421" t="s">
        <v>3952</v>
      </c>
      <c r="AT606" s="421" t="s">
        <v>3109</v>
      </c>
      <c r="AU606" s="421" t="s">
        <v>1142</v>
      </c>
      <c r="AV606" s="421" t="s">
        <v>2037</v>
      </c>
      <c r="AW606" s="421" t="s">
        <v>3110</v>
      </c>
      <c r="AX606" s="421" t="s">
        <v>3111</v>
      </c>
      <c r="AY606" s="421" t="s">
        <v>3193</v>
      </c>
      <c r="AZ606" s="421" t="s">
        <v>3113</v>
      </c>
      <c r="BA606" s="421" t="s">
        <v>3114</v>
      </c>
      <c r="BB606" s="421" t="s">
        <v>3115</v>
      </c>
      <c r="BC606" s="421">
        <v>24919.200000000001</v>
      </c>
      <c r="BD606" s="421">
        <v>76483005.400000006</v>
      </c>
      <c r="BE606" s="421">
        <v>0</v>
      </c>
      <c r="BF606" s="421">
        <v>276.37</v>
      </c>
      <c r="BG606" s="421">
        <v>62.99</v>
      </c>
      <c r="BH606" s="421">
        <v>0</v>
      </c>
      <c r="BI606" s="421" t="s">
        <v>1149</v>
      </c>
    </row>
    <row r="607" spans="1:61" x14ac:dyDescent="0.25">
      <c r="A607" s="421">
        <v>604</v>
      </c>
      <c r="B607" s="421">
        <v>2015</v>
      </c>
      <c r="C607" s="421">
        <v>11</v>
      </c>
      <c r="D607" s="421">
        <v>18</v>
      </c>
      <c r="E607" s="421" t="s">
        <v>1475</v>
      </c>
      <c r="F607" s="421" t="s">
        <v>3273</v>
      </c>
      <c r="G607" s="421" t="s">
        <v>3289</v>
      </c>
      <c r="H607" s="421" t="s">
        <v>1107</v>
      </c>
      <c r="I607" s="421" t="s">
        <v>3950</v>
      </c>
      <c r="J607" s="421" t="s">
        <v>3951</v>
      </c>
      <c r="K607" s="421" t="s">
        <v>3093</v>
      </c>
      <c r="L607" s="421" t="s">
        <v>3094</v>
      </c>
      <c r="M607" s="421" t="s">
        <v>2667</v>
      </c>
      <c r="N607" s="421" t="s">
        <v>3093</v>
      </c>
      <c r="O607" s="421" t="s">
        <v>3094</v>
      </c>
      <c r="P607" s="421" t="s">
        <v>3095</v>
      </c>
      <c r="Q607" s="421" t="s">
        <v>3113</v>
      </c>
      <c r="R607" s="421" t="s">
        <v>1108</v>
      </c>
      <c r="S607" s="421" t="s">
        <v>1108</v>
      </c>
      <c r="T607" s="421" t="s">
        <v>1130</v>
      </c>
      <c r="U607" s="421" t="s">
        <v>1112</v>
      </c>
      <c r="V607" s="421" t="s">
        <v>3097</v>
      </c>
      <c r="W607" s="421" t="s">
        <v>3098</v>
      </c>
      <c r="X607" s="421" t="s">
        <v>3099</v>
      </c>
      <c r="Y607" s="421" t="s">
        <v>1117</v>
      </c>
      <c r="Z607" s="421" t="s">
        <v>1118</v>
      </c>
      <c r="AA607" s="421" t="s">
        <v>3100</v>
      </c>
      <c r="AB607" s="421" t="s">
        <v>3101</v>
      </c>
      <c r="AC607" s="421" t="s">
        <v>3102</v>
      </c>
      <c r="AD607" s="421" t="s">
        <v>3189</v>
      </c>
      <c r="AE607" s="421" t="s">
        <v>3190</v>
      </c>
      <c r="AF607" s="421" t="s">
        <v>2236</v>
      </c>
      <c r="AG607" s="421" t="s">
        <v>2237</v>
      </c>
      <c r="AH607" s="421" t="s">
        <v>3105</v>
      </c>
      <c r="AI607" s="421">
        <v>430944</v>
      </c>
      <c r="AJ607" s="421">
        <v>905.96</v>
      </c>
      <c r="AK607" s="421">
        <v>980.13</v>
      </c>
      <c r="AL607" s="421">
        <v>2</v>
      </c>
      <c r="AM607" s="421" t="s">
        <v>961</v>
      </c>
      <c r="AN607" s="421" t="s">
        <v>3191</v>
      </c>
      <c r="AO607" s="421" t="s">
        <v>1121</v>
      </c>
      <c r="AP607" s="421" t="s">
        <v>1121</v>
      </c>
      <c r="AQ607" s="421" t="s">
        <v>1108</v>
      </c>
      <c r="AR607" s="421" t="s">
        <v>3931</v>
      </c>
      <c r="AS607" s="421" t="s">
        <v>3952</v>
      </c>
      <c r="AT607" s="421" t="s">
        <v>3109</v>
      </c>
      <c r="AU607" s="421" t="s">
        <v>1142</v>
      </c>
      <c r="AV607" s="421" t="s">
        <v>2037</v>
      </c>
      <c r="AW607" s="421" t="s">
        <v>3110</v>
      </c>
      <c r="AX607" s="421" t="s">
        <v>3111</v>
      </c>
      <c r="AY607" s="421" t="s">
        <v>3193</v>
      </c>
      <c r="AZ607" s="421" t="s">
        <v>3113</v>
      </c>
      <c r="BA607" s="421" t="s">
        <v>3114</v>
      </c>
      <c r="BB607" s="421" t="s">
        <v>3115</v>
      </c>
      <c r="BC607" s="421">
        <v>13258.56</v>
      </c>
      <c r="BD607" s="421">
        <v>40693702.689999998</v>
      </c>
      <c r="BE607" s="421">
        <v>0</v>
      </c>
      <c r="BF607" s="421">
        <v>147.04</v>
      </c>
      <c r="BG607" s="421">
        <v>33.51</v>
      </c>
      <c r="BH607" s="421">
        <v>0</v>
      </c>
      <c r="BI607" s="421" t="s">
        <v>1149</v>
      </c>
    </row>
    <row r="608" spans="1:61" x14ac:dyDescent="0.25">
      <c r="A608" s="421">
        <v>605</v>
      </c>
      <c r="B608" s="421">
        <v>2015</v>
      </c>
      <c r="C608" s="421">
        <v>11</v>
      </c>
      <c r="D608" s="421">
        <v>18</v>
      </c>
      <c r="E608" s="421" t="s">
        <v>1475</v>
      </c>
      <c r="F608" s="421" t="s">
        <v>3273</v>
      </c>
      <c r="G608" s="421" t="s">
        <v>3289</v>
      </c>
      <c r="H608" s="421" t="s">
        <v>1107</v>
      </c>
      <c r="I608" s="421" t="s">
        <v>3950</v>
      </c>
      <c r="J608" s="421" t="s">
        <v>3951</v>
      </c>
      <c r="K608" s="421" t="s">
        <v>3093</v>
      </c>
      <c r="L608" s="421" t="s">
        <v>3094</v>
      </c>
      <c r="M608" s="421" t="s">
        <v>2667</v>
      </c>
      <c r="N608" s="421" t="s">
        <v>3093</v>
      </c>
      <c r="O608" s="421" t="s">
        <v>3094</v>
      </c>
      <c r="P608" s="421" t="s">
        <v>3095</v>
      </c>
      <c r="Q608" s="421" t="s">
        <v>3113</v>
      </c>
      <c r="R608" s="421" t="s">
        <v>1108</v>
      </c>
      <c r="S608" s="421" t="s">
        <v>1108</v>
      </c>
      <c r="T608" s="421" t="s">
        <v>1130</v>
      </c>
      <c r="U608" s="421" t="s">
        <v>1112</v>
      </c>
      <c r="V608" s="421" t="s">
        <v>3097</v>
      </c>
      <c r="W608" s="421" t="s">
        <v>3098</v>
      </c>
      <c r="X608" s="421" t="s">
        <v>3099</v>
      </c>
      <c r="Y608" s="421" t="s">
        <v>1117</v>
      </c>
      <c r="Z608" s="421" t="s">
        <v>1118</v>
      </c>
      <c r="AA608" s="421" t="s">
        <v>3100</v>
      </c>
      <c r="AB608" s="421" t="s">
        <v>3101</v>
      </c>
      <c r="AC608" s="421" t="s">
        <v>3102</v>
      </c>
      <c r="AD608" s="421" t="s">
        <v>3189</v>
      </c>
      <c r="AE608" s="421" t="s">
        <v>3190</v>
      </c>
      <c r="AF608" s="421" t="s">
        <v>2236</v>
      </c>
      <c r="AG608" s="421" t="s">
        <v>2237</v>
      </c>
      <c r="AH608" s="421" t="s">
        <v>3105</v>
      </c>
      <c r="AI608" s="421">
        <v>2262792</v>
      </c>
      <c r="AJ608" s="421">
        <v>4713.4399999999996</v>
      </c>
      <c r="AK608" s="421">
        <v>5099.33</v>
      </c>
      <c r="AL608" s="421">
        <v>1</v>
      </c>
      <c r="AM608" s="421" t="s">
        <v>961</v>
      </c>
      <c r="AN608" s="421" t="s">
        <v>3191</v>
      </c>
      <c r="AO608" s="421" t="s">
        <v>1121</v>
      </c>
      <c r="AP608" s="421" t="s">
        <v>1121</v>
      </c>
      <c r="AQ608" s="421" t="s">
        <v>1108</v>
      </c>
      <c r="AR608" s="421" t="s">
        <v>3931</v>
      </c>
      <c r="AS608" s="421" t="s">
        <v>3952</v>
      </c>
      <c r="AT608" s="421" t="s">
        <v>3109</v>
      </c>
      <c r="AU608" s="421" t="s">
        <v>1142</v>
      </c>
      <c r="AV608" s="421" t="s">
        <v>2037</v>
      </c>
      <c r="AW608" s="421" t="s">
        <v>3110</v>
      </c>
      <c r="AX608" s="421" t="s">
        <v>3111</v>
      </c>
      <c r="AY608" s="421" t="s">
        <v>3193</v>
      </c>
      <c r="AZ608" s="421" t="s">
        <v>3113</v>
      </c>
      <c r="BA608" s="421" t="s">
        <v>3114</v>
      </c>
      <c r="BB608" s="421" t="s">
        <v>3115</v>
      </c>
      <c r="BC608" s="421">
        <v>63757.36</v>
      </c>
      <c r="BD608" s="421">
        <v>195686639.59999999</v>
      </c>
      <c r="BE608" s="421">
        <v>0</v>
      </c>
      <c r="BF608" s="421">
        <v>707.1</v>
      </c>
      <c r="BG608" s="421">
        <v>161.16</v>
      </c>
      <c r="BH608" s="421">
        <v>0</v>
      </c>
      <c r="BI608" s="421" t="s">
        <v>1149</v>
      </c>
    </row>
    <row r="609" spans="1:61" x14ac:dyDescent="0.25">
      <c r="A609" s="421">
        <v>606</v>
      </c>
      <c r="B609" s="421">
        <v>2015</v>
      </c>
      <c r="C609" s="421">
        <v>11</v>
      </c>
      <c r="D609" s="421">
        <v>18</v>
      </c>
      <c r="E609" s="421" t="s">
        <v>1475</v>
      </c>
      <c r="F609" s="421" t="s">
        <v>3273</v>
      </c>
      <c r="G609" s="421" t="s">
        <v>3289</v>
      </c>
      <c r="H609" s="421" t="s">
        <v>1107</v>
      </c>
      <c r="I609" s="421" t="s">
        <v>3950</v>
      </c>
      <c r="J609" s="421" t="s">
        <v>3951</v>
      </c>
      <c r="K609" s="421" t="s">
        <v>3093</v>
      </c>
      <c r="L609" s="421" t="s">
        <v>3094</v>
      </c>
      <c r="M609" s="421" t="s">
        <v>2667</v>
      </c>
      <c r="N609" s="421" t="s">
        <v>3093</v>
      </c>
      <c r="O609" s="421" t="s">
        <v>3094</v>
      </c>
      <c r="P609" s="421" t="s">
        <v>3095</v>
      </c>
      <c r="Q609" s="421" t="s">
        <v>3113</v>
      </c>
      <c r="R609" s="421" t="s">
        <v>1108</v>
      </c>
      <c r="S609" s="421" t="s">
        <v>1108</v>
      </c>
      <c r="T609" s="421" t="s">
        <v>1130</v>
      </c>
      <c r="U609" s="421" t="s">
        <v>1112</v>
      </c>
      <c r="V609" s="421" t="s">
        <v>3097</v>
      </c>
      <c r="W609" s="421" t="s">
        <v>3098</v>
      </c>
      <c r="X609" s="421" t="s">
        <v>3099</v>
      </c>
      <c r="Y609" s="421" t="s">
        <v>1117</v>
      </c>
      <c r="Z609" s="421" t="s">
        <v>1118</v>
      </c>
      <c r="AA609" s="421" t="s">
        <v>3100</v>
      </c>
      <c r="AB609" s="421" t="s">
        <v>3101</v>
      </c>
      <c r="AC609" s="421" t="s">
        <v>3102</v>
      </c>
      <c r="AD609" s="421" t="s">
        <v>3189</v>
      </c>
      <c r="AE609" s="421" t="s">
        <v>3190</v>
      </c>
      <c r="AF609" s="421" t="s">
        <v>2236</v>
      </c>
      <c r="AG609" s="421" t="s">
        <v>2237</v>
      </c>
      <c r="AH609" s="421" t="s">
        <v>3105</v>
      </c>
      <c r="AI609" s="421">
        <v>17280</v>
      </c>
      <c r="AJ609" s="421">
        <v>71.540000000000006</v>
      </c>
      <c r="AK609" s="421">
        <v>77.39</v>
      </c>
      <c r="AL609" s="421">
        <v>4</v>
      </c>
      <c r="AM609" s="421" t="s">
        <v>961</v>
      </c>
      <c r="AN609" s="421" t="s">
        <v>3191</v>
      </c>
      <c r="AO609" s="421" t="s">
        <v>1121</v>
      </c>
      <c r="AP609" s="421" t="s">
        <v>1121</v>
      </c>
      <c r="AQ609" s="421" t="s">
        <v>1108</v>
      </c>
      <c r="AR609" s="421" t="s">
        <v>3931</v>
      </c>
      <c r="AS609" s="421" t="s">
        <v>3952</v>
      </c>
      <c r="AT609" s="421" t="s">
        <v>3109</v>
      </c>
      <c r="AU609" s="421" t="s">
        <v>1142</v>
      </c>
      <c r="AV609" s="421" t="s">
        <v>2037</v>
      </c>
      <c r="AW609" s="421" t="s">
        <v>3110</v>
      </c>
      <c r="AX609" s="421" t="s">
        <v>3111</v>
      </c>
      <c r="AY609" s="421" t="s">
        <v>3193</v>
      </c>
      <c r="AZ609" s="421" t="s">
        <v>3113</v>
      </c>
      <c r="BA609" s="421" t="s">
        <v>3114</v>
      </c>
      <c r="BB609" s="421" t="s">
        <v>3115</v>
      </c>
      <c r="BC609" s="421">
        <v>1756.8</v>
      </c>
      <c r="BD609" s="421">
        <v>5392040.8300000001</v>
      </c>
      <c r="BE609" s="421">
        <v>0</v>
      </c>
      <c r="BF609" s="421">
        <v>19.48</v>
      </c>
      <c r="BG609" s="421">
        <v>4.4400000000000004</v>
      </c>
      <c r="BH609" s="421">
        <v>0</v>
      </c>
      <c r="BI609" s="421" t="s">
        <v>1149</v>
      </c>
    </row>
    <row r="610" spans="1:61" x14ac:dyDescent="0.25">
      <c r="A610" s="421">
        <v>607</v>
      </c>
      <c r="B610" s="421">
        <v>2015</v>
      </c>
      <c r="C610" s="421">
        <v>11</v>
      </c>
      <c r="D610" s="421">
        <v>18</v>
      </c>
      <c r="E610" s="421" t="s">
        <v>1475</v>
      </c>
      <c r="F610" s="421" t="s">
        <v>3273</v>
      </c>
      <c r="G610" s="421" t="s">
        <v>3289</v>
      </c>
      <c r="H610" s="421" t="s">
        <v>1107</v>
      </c>
      <c r="I610" s="421" t="s">
        <v>3950</v>
      </c>
      <c r="J610" s="421" t="s">
        <v>3953</v>
      </c>
      <c r="K610" s="421" t="s">
        <v>3093</v>
      </c>
      <c r="L610" s="421" t="s">
        <v>3094</v>
      </c>
      <c r="M610" s="421" t="s">
        <v>2667</v>
      </c>
      <c r="N610" s="421" t="s">
        <v>3093</v>
      </c>
      <c r="O610" s="421" t="s">
        <v>3094</v>
      </c>
      <c r="P610" s="421" t="s">
        <v>3095</v>
      </c>
      <c r="Q610" s="421" t="s">
        <v>3096</v>
      </c>
      <c r="R610" s="421" t="s">
        <v>1108</v>
      </c>
      <c r="S610" s="421" t="s">
        <v>1476</v>
      </c>
      <c r="T610" s="421" t="s">
        <v>1130</v>
      </c>
      <c r="U610" s="421" t="s">
        <v>3144</v>
      </c>
      <c r="V610" s="421" t="s">
        <v>3145</v>
      </c>
      <c r="W610" s="421" t="s">
        <v>3098</v>
      </c>
      <c r="X610" s="421" t="s">
        <v>3099</v>
      </c>
      <c r="Y610" s="421" t="s">
        <v>1117</v>
      </c>
      <c r="Z610" s="421" t="s">
        <v>1118</v>
      </c>
      <c r="AA610" s="421" t="s">
        <v>3100</v>
      </c>
      <c r="AB610" s="421" t="s">
        <v>3146</v>
      </c>
      <c r="AC610" s="421" t="s">
        <v>3102</v>
      </c>
      <c r="AD610" s="421" t="s">
        <v>3954</v>
      </c>
      <c r="AE610" s="421" t="s">
        <v>3305</v>
      </c>
      <c r="AF610" s="421" t="s">
        <v>2236</v>
      </c>
      <c r="AG610" s="421" t="s">
        <v>2237</v>
      </c>
      <c r="AH610" s="421" t="s">
        <v>3105</v>
      </c>
      <c r="AI610" s="421">
        <v>90200</v>
      </c>
      <c r="AJ610" s="421">
        <v>92.41</v>
      </c>
      <c r="AK610" s="421">
        <v>106</v>
      </c>
      <c r="AL610" s="421">
        <v>1</v>
      </c>
      <c r="AM610" s="421" t="s">
        <v>963</v>
      </c>
      <c r="AN610" s="421" t="s">
        <v>3210</v>
      </c>
      <c r="AO610" s="421" t="s">
        <v>1121</v>
      </c>
      <c r="AP610" s="421" t="s">
        <v>1121</v>
      </c>
      <c r="AQ610" s="421" t="s">
        <v>1476</v>
      </c>
      <c r="AR610" s="421" t="s">
        <v>3931</v>
      </c>
      <c r="AS610" s="421" t="s">
        <v>3955</v>
      </c>
      <c r="AT610" s="421" t="s">
        <v>3109</v>
      </c>
      <c r="AU610" s="421" t="s">
        <v>1341</v>
      </c>
      <c r="AV610" s="421" t="s">
        <v>962</v>
      </c>
      <c r="AW610" s="421" t="s">
        <v>3110</v>
      </c>
      <c r="AX610" s="421" t="s">
        <v>3111</v>
      </c>
      <c r="AY610" s="421" t="s">
        <v>3112</v>
      </c>
      <c r="AZ610" s="421" t="s">
        <v>3113</v>
      </c>
      <c r="BA610" s="421" t="s">
        <v>3114</v>
      </c>
      <c r="BB610" s="421" t="s">
        <v>3115</v>
      </c>
      <c r="BC610" s="421">
        <v>4092.7</v>
      </c>
      <c r="BD610" s="421">
        <v>12561478.539999999</v>
      </c>
      <c r="BE610" s="421">
        <v>0</v>
      </c>
      <c r="BF610" s="421">
        <v>0</v>
      </c>
      <c r="BG610" s="421">
        <v>0</v>
      </c>
      <c r="BH610" s="421">
        <v>0</v>
      </c>
      <c r="BI610" s="421" t="s">
        <v>1167</v>
      </c>
    </row>
    <row r="611" spans="1:61" x14ac:dyDescent="0.25">
      <c r="A611" s="421">
        <v>608</v>
      </c>
      <c r="B611" s="421">
        <v>2015</v>
      </c>
      <c r="C611" s="421">
        <v>11</v>
      </c>
      <c r="D611" s="421">
        <v>24</v>
      </c>
      <c r="E611" s="421" t="s">
        <v>1475</v>
      </c>
      <c r="F611" s="421" t="s">
        <v>3273</v>
      </c>
      <c r="G611" s="421" t="s">
        <v>3416</v>
      </c>
      <c r="H611" s="421" t="s">
        <v>1107</v>
      </c>
      <c r="I611" s="421" t="s">
        <v>2961</v>
      </c>
      <c r="J611" s="421" t="s">
        <v>3956</v>
      </c>
      <c r="K611" s="421" t="s">
        <v>3093</v>
      </c>
      <c r="L611" s="421" t="s">
        <v>3094</v>
      </c>
      <c r="M611" s="421" t="s">
        <v>2667</v>
      </c>
      <c r="N611" s="421" t="s">
        <v>3093</v>
      </c>
      <c r="O611" s="421" t="s">
        <v>3094</v>
      </c>
      <c r="P611" s="421" t="s">
        <v>3095</v>
      </c>
      <c r="Q611" s="421" t="s">
        <v>3113</v>
      </c>
      <c r="R611" s="421" t="s">
        <v>1108</v>
      </c>
      <c r="S611" s="421" t="s">
        <v>1108</v>
      </c>
      <c r="T611" s="421" t="s">
        <v>1130</v>
      </c>
      <c r="U611" s="421" t="s">
        <v>1112</v>
      </c>
      <c r="V611" s="421" t="s">
        <v>3097</v>
      </c>
      <c r="W611" s="421" t="s">
        <v>3098</v>
      </c>
      <c r="X611" s="421" t="s">
        <v>3099</v>
      </c>
      <c r="Y611" s="421" t="s">
        <v>1117</v>
      </c>
      <c r="Z611" s="421" t="s">
        <v>1118</v>
      </c>
      <c r="AA611" s="421" t="s">
        <v>3100</v>
      </c>
      <c r="AB611" s="421" t="s">
        <v>3101</v>
      </c>
      <c r="AC611" s="421" t="s">
        <v>3102</v>
      </c>
      <c r="AD611" s="421" t="s">
        <v>3196</v>
      </c>
      <c r="AE611" s="421" t="s">
        <v>3197</v>
      </c>
      <c r="AF611" s="421" t="s">
        <v>2236</v>
      </c>
      <c r="AG611" s="421" t="s">
        <v>2237</v>
      </c>
      <c r="AH611" s="421" t="s">
        <v>3105</v>
      </c>
      <c r="AI611" s="421">
        <v>18000</v>
      </c>
      <c r="AJ611" s="421">
        <v>68.22</v>
      </c>
      <c r="AK611" s="421">
        <v>74.27</v>
      </c>
      <c r="AL611" s="421">
        <v>4</v>
      </c>
      <c r="AM611" s="421" t="s">
        <v>967</v>
      </c>
      <c r="AN611" s="421" t="s">
        <v>3198</v>
      </c>
      <c r="AO611" s="421" t="s">
        <v>1121</v>
      </c>
      <c r="AP611" s="421" t="s">
        <v>1121</v>
      </c>
      <c r="AQ611" s="421" t="s">
        <v>1108</v>
      </c>
      <c r="AR611" s="421" t="s">
        <v>3931</v>
      </c>
      <c r="AS611" s="421" t="s">
        <v>3957</v>
      </c>
      <c r="AT611" s="421" t="s">
        <v>3109</v>
      </c>
      <c r="AU611" s="421" t="s">
        <v>1142</v>
      </c>
      <c r="AV611" s="421" t="s">
        <v>3130</v>
      </c>
      <c r="AW611" s="421" t="s">
        <v>3110</v>
      </c>
      <c r="AX611" s="421" t="s">
        <v>3111</v>
      </c>
      <c r="AY611" s="421" t="s">
        <v>3200</v>
      </c>
      <c r="AZ611" s="421" t="s">
        <v>3113</v>
      </c>
      <c r="BA611" s="421" t="s">
        <v>3114</v>
      </c>
      <c r="BB611" s="421" t="s">
        <v>3115</v>
      </c>
      <c r="BC611" s="421">
        <v>1296</v>
      </c>
      <c r="BD611" s="421">
        <v>4000518.72</v>
      </c>
      <c r="BE611" s="421">
        <v>0</v>
      </c>
      <c r="BF611" s="421">
        <v>0</v>
      </c>
      <c r="BG611" s="421">
        <v>0</v>
      </c>
      <c r="BH611" s="421">
        <v>0</v>
      </c>
      <c r="BI611" s="421" t="s">
        <v>1149</v>
      </c>
    </row>
    <row r="612" spans="1:61" x14ac:dyDescent="0.25">
      <c r="A612" s="421">
        <v>609</v>
      </c>
      <c r="B612" s="421">
        <v>2015</v>
      </c>
      <c r="C612" s="421">
        <v>11</v>
      </c>
      <c r="D612" s="421">
        <v>24</v>
      </c>
      <c r="E612" s="421" t="s">
        <v>1475</v>
      </c>
      <c r="F612" s="421" t="s">
        <v>3273</v>
      </c>
      <c r="G612" s="421" t="s">
        <v>3416</v>
      </c>
      <c r="H612" s="421" t="s">
        <v>1107</v>
      </c>
      <c r="I612" s="421" t="s">
        <v>2961</v>
      </c>
      <c r="J612" s="421" t="s">
        <v>3956</v>
      </c>
      <c r="K612" s="421" t="s">
        <v>3093</v>
      </c>
      <c r="L612" s="421" t="s">
        <v>3094</v>
      </c>
      <c r="M612" s="421" t="s">
        <v>2667</v>
      </c>
      <c r="N612" s="421" t="s">
        <v>3093</v>
      </c>
      <c r="O612" s="421" t="s">
        <v>3094</v>
      </c>
      <c r="P612" s="421" t="s">
        <v>3095</v>
      </c>
      <c r="Q612" s="421" t="s">
        <v>3113</v>
      </c>
      <c r="R612" s="421" t="s">
        <v>1108</v>
      </c>
      <c r="S612" s="421" t="s">
        <v>1108</v>
      </c>
      <c r="T612" s="421" t="s">
        <v>1130</v>
      </c>
      <c r="U612" s="421" t="s">
        <v>1112</v>
      </c>
      <c r="V612" s="421" t="s">
        <v>3097</v>
      </c>
      <c r="W612" s="421" t="s">
        <v>3098</v>
      </c>
      <c r="X612" s="421" t="s">
        <v>3099</v>
      </c>
      <c r="Y612" s="421" t="s">
        <v>1117</v>
      </c>
      <c r="Z612" s="421" t="s">
        <v>1118</v>
      </c>
      <c r="AA612" s="421" t="s">
        <v>3100</v>
      </c>
      <c r="AB612" s="421" t="s">
        <v>3101</v>
      </c>
      <c r="AC612" s="421" t="s">
        <v>3102</v>
      </c>
      <c r="AD612" s="421" t="s">
        <v>3196</v>
      </c>
      <c r="AE612" s="421" t="s">
        <v>3197</v>
      </c>
      <c r="AF612" s="421" t="s">
        <v>2236</v>
      </c>
      <c r="AG612" s="421" t="s">
        <v>2237</v>
      </c>
      <c r="AH612" s="421" t="s">
        <v>3105</v>
      </c>
      <c r="AI612" s="421">
        <v>741500</v>
      </c>
      <c r="AJ612" s="421">
        <v>2717.55</v>
      </c>
      <c r="AK612" s="421">
        <v>2958.87</v>
      </c>
      <c r="AL612" s="421">
        <v>3</v>
      </c>
      <c r="AM612" s="421" t="s">
        <v>967</v>
      </c>
      <c r="AN612" s="421" t="s">
        <v>3198</v>
      </c>
      <c r="AO612" s="421" t="s">
        <v>1121</v>
      </c>
      <c r="AP612" s="421" t="s">
        <v>1121</v>
      </c>
      <c r="AQ612" s="421" t="s">
        <v>1108</v>
      </c>
      <c r="AR612" s="421" t="s">
        <v>3931</v>
      </c>
      <c r="AS612" s="421" t="s">
        <v>3957</v>
      </c>
      <c r="AT612" s="421" t="s">
        <v>3109</v>
      </c>
      <c r="AU612" s="421" t="s">
        <v>1142</v>
      </c>
      <c r="AV612" s="421" t="s">
        <v>3130</v>
      </c>
      <c r="AW612" s="421" t="s">
        <v>3110</v>
      </c>
      <c r="AX612" s="421" t="s">
        <v>3111</v>
      </c>
      <c r="AY612" s="421" t="s">
        <v>3200</v>
      </c>
      <c r="AZ612" s="421" t="s">
        <v>3113</v>
      </c>
      <c r="BA612" s="421" t="s">
        <v>3114</v>
      </c>
      <c r="BB612" s="421" t="s">
        <v>3115</v>
      </c>
      <c r="BC612" s="421">
        <v>55836</v>
      </c>
      <c r="BD612" s="421">
        <v>172355681.52000001</v>
      </c>
      <c r="BE612" s="421">
        <v>0</v>
      </c>
      <c r="BF612" s="421">
        <v>0</v>
      </c>
      <c r="BG612" s="421">
        <v>0</v>
      </c>
      <c r="BH612" s="421">
        <v>0</v>
      </c>
      <c r="BI612" s="421" t="s">
        <v>1149</v>
      </c>
    </row>
    <row r="613" spans="1:61" x14ac:dyDescent="0.25">
      <c r="A613" s="421">
        <v>610</v>
      </c>
      <c r="B613" s="421">
        <v>2015</v>
      </c>
      <c r="C613" s="421">
        <v>11</v>
      </c>
      <c r="D613" s="421">
        <v>24</v>
      </c>
      <c r="E613" s="421" t="s">
        <v>1475</v>
      </c>
      <c r="F613" s="421" t="s">
        <v>3273</v>
      </c>
      <c r="G613" s="421" t="s">
        <v>3416</v>
      </c>
      <c r="H613" s="421" t="s">
        <v>1107</v>
      </c>
      <c r="I613" s="421" t="s">
        <v>2961</v>
      </c>
      <c r="J613" s="421" t="s">
        <v>3956</v>
      </c>
      <c r="K613" s="421" t="s">
        <v>3093</v>
      </c>
      <c r="L613" s="421" t="s">
        <v>3094</v>
      </c>
      <c r="M613" s="421" t="s">
        <v>2667</v>
      </c>
      <c r="N613" s="421" t="s">
        <v>3093</v>
      </c>
      <c r="O613" s="421" t="s">
        <v>3094</v>
      </c>
      <c r="P613" s="421" t="s">
        <v>3095</v>
      </c>
      <c r="Q613" s="421" t="s">
        <v>3113</v>
      </c>
      <c r="R613" s="421" t="s">
        <v>1108</v>
      </c>
      <c r="S613" s="421" t="s">
        <v>1108</v>
      </c>
      <c r="T613" s="421" t="s">
        <v>1130</v>
      </c>
      <c r="U613" s="421" t="s">
        <v>1112</v>
      </c>
      <c r="V613" s="421" t="s">
        <v>3097</v>
      </c>
      <c r="W613" s="421" t="s">
        <v>3098</v>
      </c>
      <c r="X613" s="421" t="s">
        <v>3099</v>
      </c>
      <c r="Y613" s="421" t="s">
        <v>1117</v>
      </c>
      <c r="Z613" s="421" t="s">
        <v>1118</v>
      </c>
      <c r="AA613" s="421" t="s">
        <v>3100</v>
      </c>
      <c r="AB613" s="421" t="s">
        <v>3101</v>
      </c>
      <c r="AC613" s="421" t="s">
        <v>3102</v>
      </c>
      <c r="AD613" s="421" t="s">
        <v>3196</v>
      </c>
      <c r="AE613" s="421" t="s">
        <v>3197</v>
      </c>
      <c r="AF613" s="421" t="s">
        <v>2236</v>
      </c>
      <c r="AG613" s="421" t="s">
        <v>2237</v>
      </c>
      <c r="AH613" s="421" t="s">
        <v>3105</v>
      </c>
      <c r="AI613" s="421">
        <v>1805000</v>
      </c>
      <c r="AJ613" s="421">
        <v>3484.08</v>
      </c>
      <c r="AK613" s="421">
        <v>3793.47</v>
      </c>
      <c r="AL613" s="421">
        <v>2</v>
      </c>
      <c r="AM613" s="421" t="s">
        <v>967</v>
      </c>
      <c r="AN613" s="421" t="s">
        <v>3198</v>
      </c>
      <c r="AO613" s="421" t="s">
        <v>1121</v>
      </c>
      <c r="AP613" s="421" t="s">
        <v>1121</v>
      </c>
      <c r="AQ613" s="421" t="s">
        <v>1108</v>
      </c>
      <c r="AR613" s="421" t="s">
        <v>3931</v>
      </c>
      <c r="AS613" s="421" t="s">
        <v>3957</v>
      </c>
      <c r="AT613" s="421" t="s">
        <v>3109</v>
      </c>
      <c r="AU613" s="421" t="s">
        <v>1142</v>
      </c>
      <c r="AV613" s="421" t="s">
        <v>3130</v>
      </c>
      <c r="AW613" s="421" t="s">
        <v>3110</v>
      </c>
      <c r="AX613" s="421" t="s">
        <v>3111</v>
      </c>
      <c r="AY613" s="421" t="s">
        <v>3200</v>
      </c>
      <c r="AZ613" s="421" t="s">
        <v>3113</v>
      </c>
      <c r="BA613" s="421" t="s">
        <v>3114</v>
      </c>
      <c r="BB613" s="421" t="s">
        <v>3115</v>
      </c>
      <c r="BC613" s="421">
        <v>38904</v>
      </c>
      <c r="BD613" s="421">
        <v>120089645.28</v>
      </c>
      <c r="BE613" s="421">
        <v>0</v>
      </c>
      <c r="BF613" s="421">
        <v>0</v>
      </c>
      <c r="BG613" s="421">
        <v>0</v>
      </c>
      <c r="BH613" s="421">
        <v>0</v>
      </c>
      <c r="BI613" s="421" t="s">
        <v>1149</v>
      </c>
    </row>
    <row r="614" spans="1:61" x14ac:dyDescent="0.25">
      <c r="A614" s="421">
        <v>611</v>
      </c>
      <c r="B614" s="421">
        <v>2015</v>
      </c>
      <c r="C614" s="421">
        <v>11</v>
      </c>
      <c r="D614" s="421">
        <v>24</v>
      </c>
      <c r="E614" s="421" t="s">
        <v>1475</v>
      </c>
      <c r="F614" s="421" t="s">
        <v>3273</v>
      </c>
      <c r="G614" s="421" t="s">
        <v>3416</v>
      </c>
      <c r="H614" s="421" t="s">
        <v>1107</v>
      </c>
      <c r="I614" s="421" t="s">
        <v>2961</v>
      </c>
      <c r="J614" s="421" t="s">
        <v>3956</v>
      </c>
      <c r="K614" s="421" t="s">
        <v>3093</v>
      </c>
      <c r="L614" s="421" t="s">
        <v>3094</v>
      </c>
      <c r="M614" s="421" t="s">
        <v>2667</v>
      </c>
      <c r="N614" s="421" t="s">
        <v>3093</v>
      </c>
      <c r="O614" s="421" t="s">
        <v>3094</v>
      </c>
      <c r="P614" s="421" t="s">
        <v>3095</v>
      </c>
      <c r="Q614" s="421" t="s">
        <v>3113</v>
      </c>
      <c r="R614" s="421" t="s">
        <v>1108</v>
      </c>
      <c r="S614" s="421" t="s">
        <v>1108</v>
      </c>
      <c r="T614" s="421" t="s">
        <v>1130</v>
      </c>
      <c r="U614" s="421" t="s">
        <v>1112</v>
      </c>
      <c r="V614" s="421" t="s">
        <v>3097</v>
      </c>
      <c r="W614" s="421" t="s">
        <v>3098</v>
      </c>
      <c r="X614" s="421" t="s">
        <v>3099</v>
      </c>
      <c r="Y614" s="421" t="s">
        <v>1117</v>
      </c>
      <c r="Z614" s="421" t="s">
        <v>1118</v>
      </c>
      <c r="AA614" s="421" t="s">
        <v>3100</v>
      </c>
      <c r="AB614" s="421" t="s">
        <v>3101</v>
      </c>
      <c r="AC614" s="421" t="s">
        <v>3102</v>
      </c>
      <c r="AD614" s="421" t="s">
        <v>3196</v>
      </c>
      <c r="AE614" s="421" t="s">
        <v>3197</v>
      </c>
      <c r="AF614" s="421" t="s">
        <v>2236</v>
      </c>
      <c r="AG614" s="421" t="s">
        <v>2237</v>
      </c>
      <c r="AH614" s="421" t="s">
        <v>3105</v>
      </c>
      <c r="AI614" s="421">
        <v>3945200</v>
      </c>
      <c r="AJ614" s="421">
        <v>7805.27</v>
      </c>
      <c r="AK614" s="421">
        <v>8498.4</v>
      </c>
      <c r="AL614" s="421">
        <v>1</v>
      </c>
      <c r="AM614" s="421" t="s">
        <v>967</v>
      </c>
      <c r="AN614" s="421" t="s">
        <v>3198</v>
      </c>
      <c r="AO614" s="421" t="s">
        <v>1121</v>
      </c>
      <c r="AP614" s="421" t="s">
        <v>1121</v>
      </c>
      <c r="AQ614" s="421" t="s">
        <v>1108</v>
      </c>
      <c r="AR614" s="421" t="s">
        <v>3931</v>
      </c>
      <c r="AS614" s="421" t="s">
        <v>3957</v>
      </c>
      <c r="AT614" s="421" t="s">
        <v>3109</v>
      </c>
      <c r="AU614" s="421" t="s">
        <v>1142</v>
      </c>
      <c r="AV614" s="421" t="s">
        <v>3130</v>
      </c>
      <c r="AW614" s="421" t="s">
        <v>3110</v>
      </c>
      <c r="AX614" s="421" t="s">
        <v>3111</v>
      </c>
      <c r="AY614" s="421" t="s">
        <v>3200</v>
      </c>
      <c r="AZ614" s="421" t="s">
        <v>3113</v>
      </c>
      <c r="BA614" s="421" t="s">
        <v>3114</v>
      </c>
      <c r="BB614" s="421" t="s">
        <v>3115</v>
      </c>
      <c r="BC614" s="421">
        <v>85319.1</v>
      </c>
      <c r="BD614" s="421">
        <v>263364704.25999999</v>
      </c>
      <c r="BE614" s="421">
        <v>0</v>
      </c>
      <c r="BF614" s="421">
        <v>0</v>
      </c>
      <c r="BG614" s="421">
        <v>0</v>
      </c>
      <c r="BH614" s="421">
        <v>0</v>
      </c>
      <c r="BI614" s="421" t="s">
        <v>1149</v>
      </c>
    </row>
    <row r="615" spans="1:61" x14ac:dyDescent="0.25">
      <c r="A615" s="421">
        <v>612</v>
      </c>
      <c r="B615" s="421">
        <v>2015</v>
      </c>
      <c r="C615" s="421">
        <v>11</v>
      </c>
      <c r="D615" s="421">
        <v>24</v>
      </c>
      <c r="E615" s="421" t="s">
        <v>1475</v>
      </c>
      <c r="F615" s="421" t="s">
        <v>3273</v>
      </c>
      <c r="G615" s="421" t="s">
        <v>3416</v>
      </c>
      <c r="H615" s="421" t="s">
        <v>1107</v>
      </c>
      <c r="I615" s="421" t="s">
        <v>2961</v>
      </c>
      <c r="J615" s="421" t="s">
        <v>3958</v>
      </c>
      <c r="K615" s="421" t="s">
        <v>3093</v>
      </c>
      <c r="L615" s="421" t="s">
        <v>3094</v>
      </c>
      <c r="M615" s="421" t="s">
        <v>2667</v>
      </c>
      <c r="N615" s="421" t="s">
        <v>3093</v>
      </c>
      <c r="O615" s="421" t="s">
        <v>3094</v>
      </c>
      <c r="P615" s="421" t="s">
        <v>3095</v>
      </c>
      <c r="Q615" s="421" t="s">
        <v>3113</v>
      </c>
      <c r="R615" s="421" t="s">
        <v>1108</v>
      </c>
      <c r="S615" s="421" t="s">
        <v>1108</v>
      </c>
      <c r="T615" s="421" t="s">
        <v>1130</v>
      </c>
      <c r="U615" s="421" t="s">
        <v>1112</v>
      </c>
      <c r="V615" s="421" t="s">
        <v>3097</v>
      </c>
      <c r="W615" s="421" t="s">
        <v>3098</v>
      </c>
      <c r="X615" s="421" t="s">
        <v>3099</v>
      </c>
      <c r="Y615" s="421" t="s">
        <v>1117</v>
      </c>
      <c r="Z615" s="421" t="s">
        <v>1118</v>
      </c>
      <c r="AA615" s="421" t="s">
        <v>3100</v>
      </c>
      <c r="AB615" s="421" t="s">
        <v>3101</v>
      </c>
      <c r="AC615" s="421" t="s">
        <v>3102</v>
      </c>
      <c r="AD615" s="421" t="s">
        <v>3959</v>
      </c>
      <c r="AE615" s="421" t="s">
        <v>3960</v>
      </c>
      <c r="AF615" s="421" t="s">
        <v>2236</v>
      </c>
      <c r="AG615" s="421" t="s">
        <v>2237</v>
      </c>
      <c r="AH615" s="421" t="s">
        <v>3105</v>
      </c>
      <c r="AI615" s="421">
        <v>991500</v>
      </c>
      <c r="AJ615" s="421">
        <v>3180.54</v>
      </c>
      <c r="AK615" s="421">
        <v>3482.13</v>
      </c>
      <c r="AL615" s="421">
        <v>1</v>
      </c>
      <c r="AM615" s="421" t="s">
        <v>3961</v>
      </c>
      <c r="AN615" s="421" t="s">
        <v>3962</v>
      </c>
      <c r="AO615" s="421" t="s">
        <v>1121</v>
      </c>
      <c r="AP615" s="421" t="s">
        <v>1121</v>
      </c>
      <c r="AQ615" s="421" t="s">
        <v>1108</v>
      </c>
      <c r="AR615" s="421" t="s">
        <v>3931</v>
      </c>
      <c r="AS615" s="421" t="s">
        <v>3963</v>
      </c>
      <c r="AT615" s="421" t="s">
        <v>3109</v>
      </c>
      <c r="AU615" s="421" t="s">
        <v>1142</v>
      </c>
      <c r="AV615" s="421" t="s">
        <v>2520</v>
      </c>
      <c r="AW615" s="421" t="s">
        <v>3110</v>
      </c>
      <c r="AX615" s="421" t="s">
        <v>3111</v>
      </c>
      <c r="AY615" s="421" t="s">
        <v>3112</v>
      </c>
      <c r="AZ615" s="421" t="s">
        <v>3113</v>
      </c>
      <c r="BA615" s="421" t="s">
        <v>3114</v>
      </c>
      <c r="BB615" s="421" t="s">
        <v>3115</v>
      </c>
      <c r="BC615" s="421">
        <v>42674.400000000001</v>
      </c>
      <c r="BD615" s="421">
        <v>131728191.40000001</v>
      </c>
      <c r="BE615" s="421">
        <v>0</v>
      </c>
      <c r="BF615" s="421">
        <v>512.42999999999995</v>
      </c>
      <c r="BG615" s="421">
        <v>107.97</v>
      </c>
      <c r="BH615" s="421">
        <v>0</v>
      </c>
      <c r="BI615" s="421" t="s">
        <v>1167</v>
      </c>
    </row>
    <row r="616" spans="1:61" x14ac:dyDescent="0.25">
      <c r="A616" s="421">
        <v>613</v>
      </c>
      <c r="B616" s="421">
        <v>2015</v>
      </c>
      <c r="C616" s="421">
        <v>11</v>
      </c>
      <c r="D616" s="421">
        <v>24</v>
      </c>
      <c r="E616" s="421" t="s">
        <v>1475</v>
      </c>
      <c r="F616" s="421" t="s">
        <v>3273</v>
      </c>
      <c r="G616" s="421" t="s">
        <v>3416</v>
      </c>
      <c r="H616" s="421" t="s">
        <v>1107</v>
      </c>
      <c r="I616" s="421" t="s">
        <v>2961</v>
      </c>
      <c r="J616" s="421" t="s">
        <v>3958</v>
      </c>
      <c r="K616" s="421" t="s">
        <v>3093</v>
      </c>
      <c r="L616" s="421" t="s">
        <v>3094</v>
      </c>
      <c r="M616" s="421" t="s">
        <v>2667</v>
      </c>
      <c r="N616" s="421" t="s">
        <v>3093</v>
      </c>
      <c r="O616" s="421" t="s">
        <v>3094</v>
      </c>
      <c r="P616" s="421" t="s">
        <v>3095</v>
      </c>
      <c r="Q616" s="421" t="s">
        <v>3113</v>
      </c>
      <c r="R616" s="421" t="s">
        <v>1108</v>
      </c>
      <c r="S616" s="421" t="s">
        <v>1108</v>
      </c>
      <c r="T616" s="421" t="s">
        <v>1130</v>
      </c>
      <c r="U616" s="421" t="s">
        <v>1112</v>
      </c>
      <c r="V616" s="421" t="s">
        <v>3097</v>
      </c>
      <c r="W616" s="421" t="s">
        <v>3098</v>
      </c>
      <c r="X616" s="421" t="s">
        <v>3099</v>
      </c>
      <c r="Y616" s="421" t="s">
        <v>1117</v>
      </c>
      <c r="Z616" s="421" t="s">
        <v>1118</v>
      </c>
      <c r="AA616" s="421" t="s">
        <v>3100</v>
      </c>
      <c r="AB616" s="421" t="s">
        <v>3101</v>
      </c>
      <c r="AC616" s="421" t="s">
        <v>3102</v>
      </c>
      <c r="AD616" s="421" t="s">
        <v>3959</v>
      </c>
      <c r="AE616" s="421" t="s">
        <v>3960</v>
      </c>
      <c r="AF616" s="421" t="s">
        <v>2236</v>
      </c>
      <c r="AG616" s="421" t="s">
        <v>2237</v>
      </c>
      <c r="AH616" s="421" t="s">
        <v>3105</v>
      </c>
      <c r="AI616" s="421">
        <v>174550</v>
      </c>
      <c r="AJ616" s="421">
        <v>794.92</v>
      </c>
      <c r="AK616" s="421">
        <v>870.29</v>
      </c>
      <c r="AL616" s="421">
        <v>3</v>
      </c>
      <c r="AM616" s="421" t="s">
        <v>3961</v>
      </c>
      <c r="AN616" s="421" t="s">
        <v>3962</v>
      </c>
      <c r="AO616" s="421" t="s">
        <v>1121</v>
      </c>
      <c r="AP616" s="421" t="s">
        <v>1121</v>
      </c>
      <c r="AQ616" s="421" t="s">
        <v>1108</v>
      </c>
      <c r="AR616" s="421" t="s">
        <v>3931</v>
      </c>
      <c r="AS616" s="421" t="s">
        <v>3963</v>
      </c>
      <c r="AT616" s="421" t="s">
        <v>3109</v>
      </c>
      <c r="AU616" s="421" t="s">
        <v>1142</v>
      </c>
      <c r="AV616" s="421" t="s">
        <v>2520</v>
      </c>
      <c r="AW616" s="421" t="s">
        <v>3110</v>
      </c>
      <c r="AX616" s="421" t="s">
        <v>3111</v>
      </c>
      <c r="AY616" s="421" t="s">
        <v>3112</v>
      </c>
      <c r="AZ616" s="421" t="s">
        <v>3113</v>
      </c>
      <c r="BA616" s="421" t="s">
        <v>3114</v>
      </c>
      <c r="BB616" s="421" t="s">
        <v>3115</v>
      </c>
      <c r="BC616" s="421">
        <v>20614.7</v>
      </c>
      <c r="BD616" s="421">
        <v>63633868.25</v>
      </c>
      <c r="BE616" s="421">
        <v>0</v>
      </c>
      <c r="BF616" s="421">
        <v>247.54</v>
      </c>
      <c r="BG616" s="421">
        <v>52.16</v>
      </c>
      <c r="BH616" s="421">
        <v>0</v>
      </c>
      <c r="BI616" s="421" t="s">
        <v>1167</v>
      </c>
    </row>
    <row r="617" spans="1:61" x14ac:dyDescent="0.25">
      <c r="A617" s="421">
        <v>614</v>
      </c>
      <c r="B617" s="421">
        <v>2015</v>
      </c>
      <c r="C617" s="421">
        <v>11</v>
      </c>
      <c r="D617" s="421">
        <v>24</v>
      </c>
      <c r="E617" s="421" t="s">
        <v>1475</v>
      </c>
      <c r="F617" s="421" t="s">
        <v>3273</v>
      </c>
      <c r="G617" s="421" t="s">
        <v>3416</v>
      </c>
      <c r="H617" s="421" t="s">
        <v>1107</v>
      </c>
      <c r="I617" s="421" t="s">
        <v>2961</v>
      </c>
      <c r="J617" s="421" t="s">
        <v>3958</v>
      </c>
      <c r="K617" s="421" t="s">
        <v>3093</v>
      </c>
      <c r="L617" s="421" t="s">
        <v>3094</v>
      </c>
      <c r="M617" s="421" t="s">
        <v>2667</v>
      </c>
      <c r="N617" s="421" t="s">
        <v>3093</v>
      </c>
      <c r="O617" s="421" t="s">
        <v>3094</v>
      </c>
      <c r="P617" s="421" t="s">
        <v>3095</v>
      </c>
      <c r="Q617" s="421" t="s">
        <v>3113</v>
      </c>
      <c r="R617" s="421" t="s">
        <v>1108</v>
      </c>
      <c r="S617" s="421" t="s">
        <v>1108</v>
      </c>
      <c r="T617" s="421" t="s">
        <v>1130</v>
      </c>
      <c r="U617" s="421" t="s">
        <v>1112</v>
      </c>
      <c r="V617" s="421" t="s">
        <v>3097</v>
      </c>
      <c r="W617" s="421" t="s">
        <v>3098</v>
      </c>
      <c r="X617" s="421" t="s">
        <v>3099</v>
      </c>
      <c r="Y617" s="421" t="s">
        <v>1117</v>
      </c>
      <c r="Z617" s="421" t="s">
        <v>1118</v>
      </c>
      <c r="AA617" s="421" t="s">
        <v>3100</v>
      </c>
      <c r="AB617" s="421" t="s">
        <v>3101</v>
      </c>
      <c r="AC617" s="421" t="s">
        <v>3102</v>
      </c>
      <c r="AD617" s="421" t="s">
        <v>3959</v>
      </c>
      <c r="AE617" s="421" t="s">
        <v>3960</v>
      </c>
      <c r="AF617" s="421" t="s">
        <v>2236</v>
      </c>
      <c r="AG617" s="421" t="s">
        <v>2237</v>
      </c>
      <c r="AH617" s="421" t="s">
        <v>3105</v>
      </c>
      <c r="AI617" s="421">
        <v>968500</v>
      </c>
      <c r="AJ617" s="421">
        <v>2406.1799999999998</v>
      </c>
      <c r="AK617" s="421">
        <v>2634.34</v>
      </c>
      <c r="AL617" s="421">
        <v>2</v>
      </c>
      <c r="AM617" s="421" t="s">
        <v>3961</v>
      </c>
      <c r="AN617" s="421" t="s">
        <v>3962</v>
      </c>
      <c r="AO617" s="421" t="s">
        <v>1121</v>
      </c>
      <c r="AP617" s="421" t="s">
        <v>1121</v>
      </c>
      <c r="AQ617" s="421" t="s">
        <v>1108</v>
      </c>
      <c r="AR617" s="421" t="s">
        <v>3931</v>
      </c>
      <c r="AS617" s="421" t="s">
        <v>3963</v>
      </c>
      <c r="AT617" s="421" t="s">
        <v>3109</v>
      </c>
      <c r="AU617" s="421" t="s">
        <v>1142</v>
      </c>
      <c r="AV617" s="421" t="s">
        <v>2520</v>
      </c>
      <c r="AW617" s="421" t="s">
        <v>3110</v>
      </c>
      <c r="AX617" s="421" t="s">
        <v>3111</v>
      </c>
      <c r="AY617" s="421" t="s">
        <v>3112</v>
      </c>
      <c r="AZ617" s="421" t="s">
        <v>3113</v>
      </c>
      <c r="BA617" s="421" t="s">
        <v>3114</v>
      </c>
      <c r="BB617" s="421" t="s">
        <v>3115</v>
      </c>
      <c r="BC617" s="421">
        <v>28316.9</v>
      </c>
      <c r="BD617" s="421">
        <v>87409173.25</v>
      </c>
      <c r="BE617" s="421">
        <v>0</v>
      </c>
      <c r="BF617" s="421">
        <v>340.03</v>
      </c>
      <c r="BG617" s="421">
        <v>71.64</v>
      </c>
      <c r="BH617" s="421">
        <v>0</v>
      </c>
      <c r="BI617" s="421" t="s">
        <v>1167</v>
      </c>
    </row>
    <row r="618" spans="1:61" x14ac:dyDescent="0.25">
      <c r="A618" s="421">
        <v>615</v>
      </c>
      <c r="B618" s="421">
        <v>2015</v>
      </c>
      <c r="C618" s="421">
        <v>11</v>
      </c>
      <c r="D618" s="421">
        <v>24</v>
      </c>
      <c r="E618" s="421" t="s">
        <v>1475</v>
      </c>
      <c r="F618" s="421" t="s">
        <v>3273</v>
      </c>
      <c r="G618" s="421" t="s">
        <v>3416</v>
      </c>
      <c r="H618" s="421" t="s">
        <v>1107</v>
      </c>
      <c r="I618" s="421" t="s">
        <v>2961</v>
      </c>
      <c r="J618" s="421" t="s">
        <v>3964</v>
      </c>
      <c r="K618" s="421" t="s">
        <v>3093</v>
      </c>
      <c r="L618" s="421" t="s">
        <v>3094</v>
      </c>
      <c r="M618" s="421" t="s">
        <v>2667</v>
      </c>
      <c r="N618" s="421" t="s">
        <v>3093</v>
      </c>
      <c r="O618" s="421" t="s">
        <v>3094</v>
      </c>
      <c r="P618" s="421" t="s">
        <v>3095</v>
      </c>
      <c r="Q618" s="421" t="s">
        <v>3113</v>
      </c>
      <c r="R618" s="421" t="s">
        <v>1108</v>
      </c>
      <c r="S618" s="421" t="s">
        <v>1108</v>
      </c>
      <c r="T618" s="421" t="s">
        <v>1130</v>
      </c>
      <c r="U618" s="421" t="s">
        <v>1112</v>
      </c>
      <c r="V618" s="421" t="s">
        <v>3097</v>
      </c>
      <c r="W618" s="421" t="s">
        <v>3098</v>
      </c>
      <c r="X618" s="421" t="s">
        <v>3099</v>
      </c>
      <c r="Y618" s="421" t="s">
        <v>1117</v>
      </c>
      <c r="Z618" s="421" t="s">
        <v>1118</v>
      </c>
      <c r="AA618" s="421" t="s">
        <v>3100</v>
      </c>
      <c r="AB618" s="421" t="s">
        <v>3101</v>
      </c>
      <c r="AC618" s="421" t="s">
        <v>3102</v>
      </c>
      <c r="AD618" s="421" t="s">
        <v>3125</v>
      </c>
      <c r="AE618" s="421" t="s">
        <v>3126</v>
      </c>
      <c r="AF618" s="421" t="s">
        <v>2236</v>
      </c>
      <c r="AG618" s="421" t="s">
        <v>2237</v>
      </c>
      <c r="AH618" s="421" t="s">
        <v>3105</v>
      </c>
      <c r="AI618" s="421">
        <v>90000</v>
      </c>
      <c r="AJ618" s="421">
        <v>249.6</v>
      </c>
      <c r="AK618" s="421">
        <v>291.64</v>
      </c>
      <c r="AL618" s="421">
        <v>2</v>
      </c>
      <c r="AM618" s="421" t="s">
        <v>962</v>
      </c>
      <c r="AN618" s="421" t="s">
        <v>3127</v>
      </c>
      <c r="AO618" s="421" t="s">
        <v>1121</v>
      </c>
      <c r="AP618" s="421" t="s">
        <v>1121</v>
      </c>
      <c r="AQ618" s="421" t="s">
        <v>1108</v>
      </c>
      <c r="AR618" s="421" t="s">
        <v>3931</v>
      </c>
      <c r="AS618" s="421" t="s">
        <v>3965</v>
      </c>
      <c r="AT618" s="421" t="s">
        <v>3109</v>
      </c>
      <c r="AU618" s="421" t="s">
        <v>1142</v>
      </c>
      <c r="AV618" s="421" t="s">
        <v>3130</v>
      </c>
      <c r="AW618" s="421" t="s">
        <v>3110</v>
      </c>
      <c r="AX618" s="421" t="s">
        <v>3111</v>
      </c>
      <c r="AY618" s="421" t="s">
        <v>3112</v>
      </c>
      <c r="AZ618" s="421" t="s">
        <v>3113</v>
      </c>
      <c r="BA618" s="421" t="s">
        <v>3114</v>
      </c>
      <c r="BB618" s="421" t="s">
        <v>3115</v>
      </c>
      <c r="BC618" s="421">
        <v>3528</v>
      </c>
      <c r="BD618" s="421">
        <v>10890300.960000001</v>
      </c>
      <c r="BE618" s="421">
        <v>0</v>
      </c>
      <c r="BF618" s="421">
        <v>256.35000000000002</v>
      </c>
      <c r="BG618" s="421">
        <v>0</v>
      </c>
      <c r="BH618" s="421">
        <v>0</v>
      </c>
      <c r="BI618" s="421" t="s">
        <v>1149</v>
      </c>
    </row>
    <row r="619" spans="1:61" x14ac:dyDescent="0.25">
      <c r="A619" s="421">
        <v>616</v>
      </c>
      <c r="B619" s="421">
        <v>2015</v>
      </c>
      <c r="C619" s="421">
        <v>11</v>
      </c>
      <c r="D619" s="421">
        <v>24</v>
      </c>
      <c r="E619" s="421" t="s">
        <v>1475</v>
      </c>
      <c r="F619" s="421" t="s">
        <v>3273</v>
      </c>
      <c r="G619" s="421" t="s">
        <v>3416</v>
      </c>
      <c r="H619" s="421" t="s">
        <v>1107</v>
      </c>
      <c r="I619" s="421" t="s">
        <v>2961</v>
      </c>
      <c r="J619" s="421" t="s">
        <v>3964</v>
      </c>
      <c r="K619" s="421" t="s">
        <v>3093</v>
      </c>
      <c r="L619" s="421" t="s">
        <v>3094</v>
      </c>
      <c r="M619" s="421" t="s">
        <v>2667</v>
      </c>
      <c r="N619" s="421" t="s">
        <v>3093</v>
      </c>
      <c r="O619" s="421" t="s">
        <v>3094</v>
      </c>
      <c r="P619" s="421" t="s">
        <v>3095</v>
      </c>
      <c r="Q619" s="421" t="s">
        <v>3113</v>
      </c>
      <c r="R619" s="421" t="s">
        <v>1108</v>
      </c>
      <c r="S619" s="421" t="s">
        <v>1108</v>
      </c>
      <c r="T619" s="421" t="s">
        <v>1130</v>
      </c>
      <c r="U619" s="421" t="s">
        <v>1112</v>
      </c>
      <c r="V619" s="421" t="s">
        <v>3097</v>
      </c>
      <c r="W619" s="421" t="s">
        <v>3098</v>
      </c>
      <c r="X619" s="421" t="s">
        <v>3099</v>
      </c>
      <c r="Y619" s="421" t="s">
        <v>1117</v>
      </c>
      <c r="Z619" s="421" t="s">
        <v>1118</v>
      </c>
      <c r="AA619" s="421" t="s">
        <v>3100</v>
      </c>
      <c r="AB619" s="421" t="s">
        <v>3101</v>
      </c>
      <c r="AC619" s="421" t="s">
        <v>3102</v>
      </c>
      <c r="AD619" s="421" t="s">
        <v>3125</v>
      </c>
      <c r="AE619" s="421" t="s">
        <v>3126</v>
      </c>
      <c r="AF619" s="421" t="s">
        <v>2236</v>
      </c>
      <c r="AG619" s="421" t="s">
        <v>2237</v>
      </c>
      <c r="AH619" s="421" t="s">
        <v>3105</v>
      </c>
      <c r="AI619" s="421">
        <v>914880</v>
      </c>
      <c r="AJ619" s="421">
        <v>2501.35</v>
      </c>
      <c r="AK619" s="421">
        <v>2922.69</v>
      </c>
      <c r="AL619" s="421">
        <v>1</v>
      </c>
      <c r="AM619" s="421" t="s">
        <v>962</v>
      </c>
      <c r="AN619" s="421" t="s">
        <v>3127</v>
      </c>
      <c r="AO619" s="421" t="s">
        <v>1121</v>
      </c>
      <c r="AP619" s="421" t="s">
        <v>1121</v>
      </c>
      <c r="AQ619" s="421" t="s">
        <v>1108</v>
      </c>
      <c r="AR619" s="421" t="s">
        <v>3931</v>
      </c>
      <c r="AS619" s="421" t="s">
        <v>3965</v>
      </c>
      <c r="AT619" s="421" t="s">
        <v>3109</v>
      </c>
      <c r="AU619" s="421" t="s">
        <v>1142</v>
      </c>
      <c r="AV619" s="421" t="s">
        <v>3130</v>
      </c>
      <c r="AW619" s="421" t="s">
        <v>3110</v>
      </c>
      <c r="AX619" s="421" t="s">
        <v>3111</v>
      </c>
      <c r="AY619" s="421" t="s">
        <v>3112</v>
      </c>
      <c r="AZ619" s="421" t="s">
        <v>3113</v>
      </c>
      <c r="BA619" s="421" t="s">
        <v>3114</v>
      </c>
      <c r="BB619" s="421" t="s">
        <v>3115</v>
      </c>
      <c r="BC619" s="421">
        <v>32962.6</v>
      </c>
      <c r="BD619" s="421">
        <v>101749612.93000001</v>
      </c>
      <c r="BE619" s="421">
        <v>0</v>
      </c>
      <c r="BF619" s="421">
        <v>2395.08</v>
      </c>
      <c r="BG619" s="421">
        <v>0</v>
      </c>
      <c r="BH619" s="421">
        <v>0</v>
      </c>
      <c r="BI619" s="421" t="s">
        <v>1149</v>
      </c>
    </row>
    <row r="620" spans="1:61" x14ac:dyDescent="0.25">
      <c r="A620" s="421">
        <v>617</v>
      </c>
      <c r="B620" s="421">
        <v>2015</v>
      </c>
      <c r="C620" s="421">
        <v>11</v>
      </c>
      <c r="D620" s="421">
        <v>24</v>
      </c>
      <c r="E620" s="421" t="s">
        <v>1475</v>
      </c>
      <c r="F620" s="421" t="s">
        <v>3273</v>
      </c>
      <c r="G620" s="421" t="s">
        <v>3416</v>
      </c>
      <c r="H620" s="421" t="s">
        <v>1107</v>
      </c>
      <c r="I620" s="421" t="s">
        <v>2961</v>
      </c>
      <c r="J620" s="421" t="s">
        <v>3964</v>
      </c>
      <c r="K620" s="421" t="s">
        <v>3093</v>
      </c>
      <c r="L620" s="421" t="s">
        <v>3094</v>
      </c>
      <c r="M620" s="421" t="s">
        <v>2667</v>
      </c>
      <c r="N620" s="421" t="s">
        <v>3093</v>
      </c>
      <c r="O620" s="421" t="s">
        <v>3094</v>
      </c>
      <c r="P620" s="421" t="s">
        <v>3095</v>
      </c>
      <c r="Q620" s="421" t="s">
        <v>3113</v>
      </c>
      <c r="R620" s="421" t="s">
        <v>1108</v>
      </c>
      <c r="S620" s="421" t="s">
        <v>1108</v>
      </c>
      <c r="T620" s="421" t="s">
        <v>1130</v>
      </c>
      <c r="U620" s="421" t="s">
        <v>1112</v>
      </c>
      <c r="V620" s="421" t="s">
        <v>3097</v>
      </c>
      <c r="W620" s="421" t="s">
        <v>3098</v>
      </c>
      <c r="X620" s="421" t="s">
        <v>3099</v>
      </c>
      <c r="Y620" s="421" t="s">
        <v>1117</v>
      </c>
      <c r="Z620" s="421" t="s">
        <v>1118</v>
      </c>
      <c r="AA620" s="421" t="s">
        <v>3100</v>
      </c>
      <c r="AB620" s="421" t="s">
        <v>3101</v>
      </c>
      <c r="AC620" s="421" t="s">
        <v>3102</v>
      </c>
      <c r="AD620" s="421" t="s">
        <v>3125</v>
      </c>
      <c r="AE620" s="421" t="s">
        <v>3126</v>
      </c>
      <c r="AF620" s="421" t="s">
        <v>2236</v>
      </c>
      <c r="AG620" s="421" t="s">
        <v>2237</v>
      </c>
      <c r="AH620" s="421" t="s">
        <v>3105</v>
      </c>
      <c r="AI620" s="421">
        <v>18000</v>
      </c>
      <c r="AJ620" s="421">
        <v>57.44</v>
      </c>
      <c r="AK620" s="421">
        <v>67.11</v>
      </c>
      <c r="AL620" s="421">
        <v>3</v>
      </c>
      <c r="AM620" s="421" t="s">
        <v>962</v>
      </c>
      <c r="AN620" s="421" t="s">
        <v>3127</v>
      </c>
      <c r="AO620" s="421" t="s">
        <v>1121</v>
      </c>
      <c r="AP620" s="421" t="s">
        <v>1121</v>
      </c>
      <c r="AQ620" s="421" t="s">
        <v>1108</v>
      </c>
      <c r="AR620" s="421" t="s">
        <v>3931</v>
      </c>
      <c r="AS620" s="421" t="s">
        <v>3965</v>
      </c>
      <c r="AT620" s="421" t="s">
        <v>3109</v>
      </c>
      <c r="AU620" s="421" t="s">
        <v>1142</v>
      </c>
      <c r="AV620" s="421" t="s">
        <v>3130</v>
      </c>
      <c r="AW620" s="421" t="s">
        <v>3110</v>
      </c>
      <c r="AX620" s="421" t="s">
        <v>3111</v>
      </c>
      <c r="AY620" s="421" t="s">
        <v>3112</v>
      </c>
      <c r="AZ620" s="421" t="s">
        <v>3113</v>
      </c>
      <c r="BA620" s="421" t="s">
        <v>3114</v>
      </c>
      <c r="BB620" s="421" t="s">
        <v>3115</v>
      </c>
      <c r="BC620" s="421">
        <v>2044.8</v>
      </c>
      <c r="BD620" s="421">
        <v>6311929.5300000003</v>
      </c>
      <c r="BE620" s="421">
        <v>0</v>
      </c>
      <c r="BF620" s="421">
        <v>148.58000000000001</v>
      </c>
      <c r="BG620" s="421">
        <v>0</v>
      </c>
      <c r="BH620" s="421">
        <v>0</v>
      </c>
      <c r="BI620" s="421" t="s">
        <v>1149</v>
      </c>
    </row>
    <row r="621" spans="1:61" x14ac:dyDescent="0.25">
      <c r="A621" s="421">
        <v>618</v>
      </c>
      <c r="B621" s="421">
        <v>2015</v>
      </c>
      <c r="C621" s="421">
        <v>11</v>
      </c>
      <c r="D621" s="421">
        <v>24</v>
      </c>
      <c r="E621" s="421" t="s">
        <v>1475</v>
      </c>
      <c r="F621" s="421" t="s">
        <v>3273</v>
      </c>
      <c r="G621" s="421" t="s">
        <v>3416</v>
      </c>
      <c r="H621" s="421" t="s">
        <v>1107</v>
      </c>
      <c r="I621" s="421" t="s">
        <v>2961</v>
      </c>
      <c r="J621" s="421" t="s">
        <v>3966</v>
      </c>
      <c r="K621" s="421" t="s">
        <v>3093</v>
      </c>
      <c r="L621" s="421" t="s">
        <v>3094</v>
      </c>
      <c r="M621" s="421" t="s">
        <v>2667</v>
      </c>
      <c r="N621" s="421" t="s">
        <v>3093</v>
      </c>
      <c r="O621" s="421" t="s">
        <v>3094</v>
      </c>
      <c r="P621" s="421" t="s">
        <v>3095</v>
      </c>
      <c r="Q621" s="421" t="s">
        <v>3096</v>
      </c>
      <c r="R621" s="421" t="s">
        <v>1108</v>
      </c>
      <c r="S621" s="421" t="s">
        <v>1542</v>
      </c>
      <c r="T621" s="421" t="s">
        <v>1130</v>
      </c>
      <c r="U621" s="421" t="s">
        <v>1112</v>
      </c>
      <c r="V621" s="421" t="s">
        <v>3097</v>
      </c>
      <c r="W621" s="421" t="s">
        <v>3098</v>
      </c>
      <c r="X621" s="421" t="s">
        <v>3099</v>
      </c>
      <c r="Y621" s="421" t="s">
        <v>1117</v>
      </c>
      <c r="Z621" s="421" t="s">
        <v>1118</v>
      </c>
      <c r="AA621" s="421" t="s">
        <v>3100</v>
      </c>
      <c r="AB621" s="421" t="s">
        <v>3101</v>
      </c>
      <c r="AC621" s="421" t="s">
        <v>3102</v>
      </c>
      <c r="AD621" s="421" t="s">
        <v>3967</v>
      </c>
      <c r="AE621" s="421" t="s">
        <v>3968</v>
      </c>
      <c r="AF621" s="421" t="s">
        <v>2236</v>
      </c>
      <c r="AG621" s="421" t="s">
        <v>2237</v>
      </c>
      <c r="AH621" s="421" t="s">
        <v>3105</v>
      </c>
      <c r="AI621" s="421">
        <v>189000</v>
      </c>
      <c r="AJ621" s="421">
        <v>329.78</v>
      </c>
      <c r="AK621" s="421">
        <v>357.32</v>
      </c>
      <c r="AL621" s="421">
        <v>2</v>
      </c>
      <c r="AM621" s="421" t="s">
        <v>3410</v>
      </c>
      <c r="AN621" s="421" t="s">
        <v>3969</v>
      </c>
      <c r="AO621" s="421" t="s">
        <v>1121</v>
      </c>
      <c r="AP621" s="421" t="s">
        <v>1121</v>
      </c>
      <c r="AQ621" s="421" t="s">
        <v>1542</v>
      </c>
      <c r="AR621" s="421" t="s">
        <v>3832</v>
      </c>
      <c r="AS621" s="421" t="s">
        <v>3970</v>
      </c>
      <c r="AT621" s="421" t="s">
        <v>3109</v>
      </c>
      <c r="AU621" s="421" t="s">
        <v>1142</v>
      </c>
      <c r="AV621" s="421" t="s">
        <v>2520</v>
      </c>
      <c r="AW621" s="421" t="s">
        <v>3110</v>
      </c>
      <c r="AX621" s="421" t="s">
        <v>3111</v>
      </c>
      <c r="AY621" s="421" t="s">
        <v>3112</v>
      </c>
      <c r="AZ621" s="421" t="s">
        <v>3113</v>
      </c>
      <c r="BA621" s="421" t="s">
        <v>3114</v>
      </c>
      <c r="BB621" s="421" t="s">
        <v>3115</v>
      </c>
      <c r="BC621" s="421">
        <v>4477.2</v>
      </c>
      <c r="BD621" s="421">
        <v>13820310.5</v>
      </c>
      <c r="BE621" s="421">
        <v>0</v>
      </c>
      <c r="BF621" s="421">
        <v>103.6</v>
      </c>
      <c r="BG621" s="421">
        <v>0</v>
      </c>
      <c r="BH621" s="421">
        <v>0</v>
      </c>
      <c r="BI621" s="421" t="s">
        <v>1167</v>
      </c>
    </row>
    <row r="622" spans="1:61" x14ac:dyDescent="0.25">
      <c r="A622" s="421">
        <v>619</v>
      </c>
      <c r="B622" s="421">
        <v>2015</v>
      </c>
      <c r="C622" s="421">
        <v>11</v>
      </c>
      <c r="D622" s="421">
        <v>24</v>
      </c>
      <c r="E622" s="421" t="s">
        <v>1475</v>
      </c>
      <c r="F622" s="421" t="s">
        <v>3273</v>
      </c>
      <c r="G622" s="421" t="s">
        <v>3416</v>
      </c>
      <c r="H622" s="421" t="s">
        <v>1107</v>
      </c>
      <c r="I622" s="421" t="s">
        <v>2961</v>
      </c>
      <c r="J622" s="421" t="s">
        <v>3966</v>
      </c>
      <c r="K622" s="421" t="s">
        <v>3093</v>
      </c>
      <c r="L622" s="421" t="s">
        <v>3094</v>
      </c>
      <c r="M622" s="421" t="s">
        <v>2667</v>
      </c>
      <c r="N622" s="421" t="s">
        <v>3093</v>
      </c>
      <c r="O622" s="421" t="s">
        <v>3094</v>
      </c>
      <c r="P622" s="421" t="s">
        <v>3095</v>
      </c>
      <c r="Q622" s="421" t="s">
        <v>3096</v>
      </c>
      <c r="R622" s="421" t="s">
        <v>1108</v>
      </c>
      <c r="S622" s="421" t="s">
        <v>1542</v>
      </c>
      <c r="T622" s="421" t="s">
        <v>1130</v>
      </c>
      <c r="U622" s="421" t="s">
        <v>1112</v>
      </c>
      <c r="V622" s="421" t="s">
        <v>3097</v>
      </c>
      <c r="W622" s="421" t="s">
        <v>3098</v>
      </c>
      <c r="X622" s="421" t="s">
        <v>3099</v>
      </c>
      <c r="Y622" s="421" t="s">
        <v>1117</v>
      </c>
      <c r="Z622" s="421" t="s">
        <v>1118</v>
      </c>
      <c r="AA622" s="421" t="s">
        <v>3100</v>
      </c>
      <c r="AB622" s="421" t="s">
        <v>3101</v>
      </c>
      <c r="AC622" s="421" t="s">
        <v>3102</v>
      </c>
      <c r="AD622" s="421" t="s">
        <v>3967</v>
      </c>
      <c r="AE622" s="421" t="s">
        <v>3968</v>
      </c>
      <c r="AF622" s="421" t="s">
        <v>2236</v>
      </c>
      <c r="AG622" s="421" t="s">
        <v>2237</v>
      </c>
      <c r="AH622" s="421" t="s">
        <v>3105</v>
      </c>
      <c r="AI622" s="421">
        <v>2748000</v>
      </c>
      <c r="AJ622" s="421">
        <v>5905.5</v>
      </c>
      <c r="AK622" s="421">
        <v>6398.75</v>
      </c>
      <c r="AL622" s="421">
        <v>1</v>
      </c>
      <c r="AM622" s="421" t="s">
        <v>3410</v>
      </c>
      <c r="AN622" s="421" t="s">
        <v>3969</v>
      </c>
      <c r="AO622" s="421" t="s">
        <v>1121</v>
      </c>
      <c r="AP622" s="421" t="s">
        <v>1121</v>
      </c>
      <c r="AQ622" s="421" t="s">
        <v>1542</v>
      </c>
      <c r="AR622" s="421" t="s">
        <v>3832</v>
      </c>
      <c r="AS622" s="421" t="s">
        <v>3970</v>
      </c>
      <c r="AT622" s="421" t="s">
        <v>3109</v>
      </c>
      <c r="AU622" s="421" t="s">
        <v>1142</v>
      </c>
      <c r="AV622" s="421" t="s">
        <v>2520</v>
      </c>
      <c r="AW622" s="421" t="s">
        <v>3110</v>
      </c>
      <c r="AX622" s="421" t="s">
        <v>3111</v>
      </c>
      <c r="AY622" s="421" t="s">
        <v>3112</v>
      </c>
      <c r="AZ622" s="421" t="s">
        <v>3113</v>
      </c>
      <c r="BA622" s="421" t="s">
        <v>3114</v>
      </c>
      <c r="BB622" s="421" t="s">
        <v>3115</v>
      </c>
      <c r="BC622" s="421">
        <v>74496</v>
      </c>
      <c r="BD622" s="421">
        <v>229955742.72</v>
      </c>
      <c r="BE622" s="421">
        <v>0</v>
      </c>
      <c r="BF622" s="421">
        <v>1723.86</v>
      </c>
      <c r="BG622" s="421">
        <v>0</v>
      </c>
      <c r="BH622" s="421">
        <v>0</v>
      </c>
      <c r="BI622" s="421" t="s">
        <v>1167</v>
      </c>
    </row>
    <row r="623" spans="1:61" x14ac:dyDescent="0.25">
      <c r="A623" s="421">
        <v>620</v>
      </c>
      <c r="B623" s="421">
        <v>2015</v>
      </c>
      <c r="C623" s="421">
        <v>11</v>
      </c>
      <c r="D623" s="421">
        <v>24</v>
      </c>
      <c r="E623" s="421" t="s">
        <v>1475</v>
      </c>
      <c r="F623" s="421" t="s">
        <v>3273</v>
      </c>
      <c r="G623" s="421" t="s">
        <v>3416</v>
      </c>
      <c r="H623" s="421" t="s">
        <v>1107</v>
      </c>
      <c r="I623" s="421" t="s">
        <v>2961</v>
      </c>
      <c r="J623" s="421" t="s">
        <v>3971</v>
      </c>
      <c r="K623" s="421" t="s">
        <v>3093</v>
      </c>
      <c r="L623" s="421" t="s">
        <v>3094</v>
      </c>
      <c r="M623" s="421" t="s">
        <v>2667</v>
      </c>
      <c r="N623" s="421" t="s">
        <v>3093</v>
      </c>
      <c r="O623" s="421" t="s">
        <v>3094</v>
      </c>
      <c r="P623" s="421" t="s">
        <v>3095</v>
      </c>
      <c r="Q623" s="421" t="s">
        <v>3113</v>
      </c>
      <c r="R623" s="421" t="s">
        <v>1108</v>
      </c>
      <c r="S623" s="421" t="s">
        <v>1108</v>
      </c>
      <c r="T623" s="421" t="s">
        <v>1130</v>
      </c>
      <c r="U623" s="421" t="s">
        <v>1112</v>
      </c>
      <c r="V623" s="421" t="s">
        <v>3097</v>
      </c>
      <c r="W623" s="421" t="s">
        <v>3098</v>
      </c>
      <c r="X623" s="421" t="s">
        <v>3099</v>
      </c>
      <c r="Y623" s="421" t="s">
        <v>1117</v>
      </c>
      <c r="Z623" s="421" t="s">
        <v>1118</v>
      </c>
      <c r="AA623" s="421" t="s">
        <v>3100</v>
      </c>
      <c r="AB623" s="421" t="s">
        <v>3101</v>
      </c>
      <c r="AC623" s="421" t="s">
        <v>3102</v>
      </c>
      <c r="AD623" s="421" t="s">
        <v>3972</v>
      </c>
      <c r="AE623" s="421" t="s">
        <v>3973</v>
      </c>
      <c r="AF623" s="421" t="s">
        <v>2236</v>
      </c>
      <c r="AG623" s="421" t="s">
        <v>2237</v>
      </c>
      <c r="AH623" s="421" t="s">
        <v>3105</v>
      </c>
      <c r="AI623" s="421">
        <v>502800</v>
      </c>
      <c r="AJ623" s="421">
        <v>1788.48</v>
      </c>
      <c r="AK623" s="421">
        <v>1967.84</v>
      </c>
      <c r="AL623" s="421">
        <v>3</v>
      </c>
      <c r="AM623" s="421" t="s">
        <v>3342</v>
      </c>
      <c r="AN623" s="421" t="s">
        <v>3343</v>
      </c>
      <c r="AO623" s="421" t="s">
        <v>1121</v>
      </c>
      <c r="AP623" s="421" t="s">
        <v>1121</v>
      </c>
      <c r="AQ623" s="421" t="s">
        <v>1108</v>
      </c>
      <c r="AR623" s="421" t="s">
        <v>3931</v>
      </c>
      <c r="AS623" s="421" t="s">
        <v>3974</v>
      </c>
      <c r="AT623" s="421" t="s">
        <v>3109</v>
      </c>
      <c r="AU623" s="421" t="s">
        <v>1142</v>
      </c>
      <c r="AV623" s="421" t="s">
        <v>3130</v>
      </c>
      <c r="AW623" s="421" t="s">
        <v>3110</v>
      </c>
      <c r="AX623" s="421" t="s">
        <v>3111</v>
      </c>
      <c r="AY623" s="421" t="s">
        <v>2868</v>
      </c>
      <c r="AZ623" s="421" t="s">
        <v>3113</v>
      </c>
      <c r="BA623" s="421" t="s">
        <v>3114</v>
      </c>
      <c r="BB623" s="421" t="s">
        <v>3115</v>
      </c>
      <c r="BC623" s="421">
        <v>36732</v>
      </c>
      <c r="BD623" s="421">
        <v>113385072.23999999</v>
      </c>
      <c r="BE623" s="421">
        <v>0</v>
      </c>
      <c r="BF623" s="421">
        <v>0</v>
      </c>
      <c r="BG623" s="421">
        <v>0</v>
      </c>
      <c r="BH623" s="421">
        <v>0</v>
      </c>
      <c r="BI623" s="421" t="s">
        <v>1149</v>
      </c>
    </row>
    <row r="624" spans="1:61" x14ac:dyDescent="0.25">
      <c r="A624" s="421">
        <v>621</v>
      </c>
      <c r="B624" s="421">
        <v>2015</v>
      </c>
      <c r="C624" s="421">
        <v>11</v>
      </c>
      <c r="D624" s="421">
        <v>24</v>
      </c>
      <c r="E624" s="421" t="s">
        <v>1475</v>
      </c>
      <c r="F624" s="421" t="s">
        <v>3273</v>
      </c>
      <c r="G624" s="421" t="s">
        <v>3416</v>
      </c>
      <c r="H624" s="421" t="s">
        <v>1107</v>
      </c>
      <c r="I624" s="421" t="s">
        <v>2961</v>
      </c>
      <c r="J624" s="421" t="s">
        <v>3971</v>
      </c>
      <c r="K624" s="421" t="s">
        <v>3093</v>
      </c>
      <c r="L624" s="421" t="s">
        <v>3094</v>
      </c>
      <c r="M624" s="421" t="s">
        <v>2667</v>
      </c>
      <c r="N624" s="421" t="s">
        <v>3093</v>
      </c>
      <c r="O624" s="421" t="s">
        <v>3094</v>
      </c>
      <c r="P624" s="421" t="s">
        <v>3095</v>
      </c>
      <c r="Q624" s="421" t="s">
        <v>3113</v>
      </c>
      <c r="R624" s="421" t="s">
        <v>1108</v>
      </c>
      <c r="S624" s="421" t="s">
        <v>1108</v>
      </c>
      <c r="T624" s="421" t="s">
        <v>1130</v>
      </c>
      <c r="U624" s="421" t="s">
        <v>1112</v>
      </c>
      <c r="V624" s="421" t="s">
        <v>3097</v>
      </c>
      <c r="W624" s="421" t="s">
        <v>3098</v>
      </c>
      <c r="X624" s="421" t="s">
        <v>3099</v>
      </c>
      <c r="Y624" s="421" t="s">
        <v>1117</v>
      </c>
      <c r="Z624" s="421" t="s">
        <v>1118</v>
      </c>
      <c r="AA624" s="421" t="s">
        <v>3100</v>
      </c>
      <c r="AB624" s="421" t="s">
        <v>3101</v>
      </c>
      <c r="AC624" s="421" t="s">
        <v>3102</v>
      </c>
      <c r="AD624" s="421" t="s">
        <v>3972</v>
      </c>
      <c r="AE624" s="421" t="s">
        <v>3973</v>
      </c>
      <c r="AF624" s="421" t="s">
        <v>2236</v>
      </c>
      <c r="AG624" s="421" t="s">
        <v>2237</v>
      </c>
      <c r="AH624" s="421" t="s">
        <v>3105</v>
      </c>
      <c r="AI624" s="421">
        <v>1084000</v>
      </c>
      <c r="AJ624" s="421">
        <v>1445.12</v>
      </c>
      <c r="AK624" s="421">
        <v>1590.04</v>
      </c>
      <c r="AL624" s="421">
        <v>2</v>
      </c>
      <c r="AM624" s="421" t="s">
        <v>3342</v>
      </c>
      <c r="AN624" s="421" t="s">
        <v>3343</v>
      </c>
      <c r="AO624" s="421" t="s">
        <v>1121</v>
      </c>
      <c r="AP624" s="421" t="s">
        <v>1121</v>
      </c>
      <c r="AQ624" s="421" t="s">
        <v>1108</v>
      </c>
      <c r="AR624" s="421" t="s">
        <v>3931</v>
      </c>
      <c r="AS624" s="421" t="s">
        <v>3974</v>
      </c>
      <c r="AT624" s="421" t="s">
        <v>3109</v>
      </c>
      <c r="AU624" s="421" t="s">
        <v>1142</v>
      </c>
      <c r="AV624" s="421" t="s">
        <v>3130</v>
      </c>
      <c r="AW624" s="421" t="s">
        <v>3110</v>
      </c>
      <c r="AX624" s="421" t="s">
        <v>3111</v>
      </c>
      <c r="AY624" s="421" t="s">
        <v>2868</v>
      </c>
      <c r="AZ624" s="421" t="s">
        <v>3113</v>
      </c>
      <c r="BA624" s="421" t="s">
        <v>3114</v>
      </c>
      <c r="BB624" s="421" t="s">
        <v>3115</v>
      </c>
      <c r="BC624" s="421">
        <v>20938.400000000001</v>
      </c>
      <c r="BD624" s="421">
        <v>64633071.880000003</v>
      </c>
      <c r="BE624" s="421">
        <v>0</v>
      </c>
      <c r="BF624" s="421">
        <v>0</v>
      </c>
      <c r="BG624" s="421">
        <v>0</v>
      </c>
      <c r="BH624" s="421">
        <v>0</v>
      </c>
      <c r="BI624" s="421" t="s">
        <v>1149</v>
      </c>
    </row>
    <row r="625" spans="1:61" x14ac:dyDescent="0.25">
      <c r="A625" s="421">
        <v>622</v>
      </c>
      <c r="B625" s="421">
        <v>2015</v>
      </c>
      <c r="C625" s="421">
        <v>11</v>
      </c>
      <c r="D625" s="421">
        <v>24</v>
      </c>
      <c r="E625" s="421" t="s">
        <v>1475</v>
      </c>
      <c r="F625" s="421" t="s">
        <v>3273</v>
      </c>
      <c r="G625" s="421" t="s">
        <v>3416</v>
      </c>
      <c r="H625" s="421" t="s">
        <v>1107</v>
      </c>
      <c r="I625" s="421" t="s">
        <v>2961</v>
      </c>
      <c r="J625" s="421" t="s">
        <v>3971</v>
      </c>
      <c r="K625" s="421" t="s">
        <v>3093</v>
      </c>
      <c r="L625" s="421" t="s">
        <v>3094</v>
      </c>
      <c r="M625" s="421" t="s">
        <v>2667</v>
      </c>
      <c r="N625" s="421" t="s">
        <v>3093</v>
      </c>
      <c r="O625" s="421" t="s">
        <v>3094</v>
      </c>
      <c r="P625" s="421" t="s">
        <v>3095</v>
      </c>
      <c r="Q625" s="421" t="s">
        <v>3113</v>
      </c>
      <c r="R625" s="421" t="s">
        <v>1108</v>
      </c>
      <c r="S625" s="421" t="s">
        <v>1108</v>
      </c>
      <c r="T625" s="421" t="s">
        <v>1130</v>
      </c>
      <c r="U625" s="421" t="s">
        <v>1112</v>
      </c>
      <c r="V625" s="421" t="s">
        <v>3097</v>
      </c>
      <c r="W625" s="421" t="s">
        <v>3098</v>
      </c>
      <c r="X625" s="421" t="s">
        <v>3099</v>
      </c>
      <c r="Y625" s="421" t="s">
        <v>1117</v>
      </c>
      <c r="Z625" s="421" t="s">
        <v>1118</v>
      </c>
      <c r="AA625" s="421" t="s">
        <v>3100</v>
      </c>
      <c r="AB625" s="421" t="s">
        <v>3101</v>
      </c>
      <c r="AC625" s="421" t="s">
        <v>3102</v>
      </c>
      <c r="AD625" s="421" t="s">
        <v>3972</v>
      </c>
      <c r="AE625" s="421" t="s">
        <v>3973</v>
      </c>
      <c r="AF625" s="421" t="s">
        <v>2236</v>
      </c>
      <c r="AG625" s="421" t="s">
        <v>2237</v>
      </c>
      <c r="AH625" s="421" t="s">
        <v>3105</v>
      </c>
      <c r="AI625" s="421">
        <v>1046600</v>
      </c>
      <c r="AJ625" s="421">
        <v>2796.96</v>
      </c>
      <c r="AK625" s="421">
        <v>3077.46</v>
      </c>
      <c r="AL625" s="421">
        <v>1</v>
      </c>
      <c r="AM625" s="421" t="s">
        <v>3342</v>
      </c>
      <c r="AN625" s="421" t="s">
        <v>3343</v>
      </c>
      <c r="AO625" s="421" t="s">
        <v>1121</v>
      </c>
      <c r="AP625" s="421" t="s">
        <v>1121</v>
      </c>
      <c r="AQ625" s="421" t="s">
        <v>1108</v>
      </c>
      <c r="AR625" s="421" t="s">
        <v>3931</v>
      </c>
      <c r="AS625" s="421" t="s">
        <v>3974</v>
      </c>
      <c r="AT625" s="421" t="s">
        <v>3109</v>
      </c>
      <c r="AU625" s="421" t="s">
        <v>1142</v>
      </c>
      <c r="AV625" s="421" t="s">
        <v>3130</v>
      </c>
      <c r="AW625" s="421" t="s">
        <v>3110</v>
      </c>
      <c r="AX625" s="421" t="s">
        <v>3111</v>
      </c>
      <c r="AY625" s="421" t="s">
        <v>2868</v>
      </c>
      <c r="AZ625" s="421" t="s">
        <v>3113</v>
      </c>
      <c r="BA625" s="421" t="s">
        <v>3114</v>
      </c>
      <c r="BB625" s="421" t="s">
        <v>3115</v>
      </c>
      <c r="BC625" s="421">
        <v>36867.800000000003</v>
      </c>
      <c r="BD625" s="421">
        <v>113804262.39</v>
      </c>
      <c r="BE625" s="421">
        <v>0</v>
      </c>
      <c r="BF625" s="421">
        <v>0</v>
      </c>
      <c r="BG625" s="421">
        <v>0</v>
      </c>
      <c r="BH625" s="421">
        <v>0</v>
      </c>
      <c r="BI625" s="421" t="s">
        <v>1149</v>
      </c>
    </row>
    <row r="626" spans="1:61" x14ac:dyDescent="0.25">
      <c r="A626" s="421">
        <v>623</v>
      </c>
      <c r="B626" s="421">
        <v>2015</v>
      </c>
      <c r="C626" s="421">
        <v>11</v>
      </c>
      <c r="D626" s="421">
        <v>26</v>
      </c>
      <c r="E626" s="421" t="s">
        <v>1475</v>
      </c>
      <c r="F626" s="421" t="s">
        <v>3273</v>
      </c>
      <c r="G626" s="421" t="s">
        <v>3915</v>
      </c>
      <c r="H626" s="421" t="s">
        <v>1107</v>
      </c>
      <c r="I626" s="421" t="s">
        <v>3975</v>
      </c>
      <c r="J626" s="421" t="s">
        <v>3976</v>
      </c>
      <c r="K626" s="421" t="s">
        <v>3093</v>
      </c>
      <c r="L626" s="421" t="s">
        <v>3094</v>
      </c>
      <c r="M626" s="421" t="s">
        <v>2667</v>
      </c>
      <c r="N626" s="421" t="s">
        <v>3093</v>
      </c>
      <c r="O626" s="421" t="s">
        <v>3094</v>
      </c>
      <c r="P626" s="421" t="s">
        <v>3095</v>
      </c>
      <c r="Q626" s="421" t="s">
        <v>3096</v>
      </c>
      <c r="R626" s="421" t="s">
        <v>1108</v>
      </c>
      <c r="S626" s="421" t="s">
        <v>1476</v>
      </c>
      <c r="T626" s="421" t="s">
        <v>1130</v>
      </c>
      <c r="U626" s="421" t="s">
        <v>3144</v>
      </c>
      <c r="V626" s="421" t="s">
        <v>3145</v>
      </c>
      <c r="W626" s="421" t="s">
        <v>3098</v>
      </c>
      <c r="X626" s="421" t="s">
        <v>3099</v>
      </c>
      <c r="Y626" s="421" t="s">
        <v>1117</v>
      </c>
      <c r="Z626" s="421" t="s">
        <v>1118</v>
      </c>
      <c r="AA626" s="421" t="s">
        <v>3100</v>
      </c>
      <c r="AB626" s="421" t="s">
        <v>3146</v>
      </c>
      <c r="AC626" s="421" t="s">
        <v>3102</v>
      </c>
      <c r="AD626" s="421" t="s">
        <v>3811</v>
      </c>
      <c r="AE626" s="421" t="s">
        <v>3812</v>
      </c>
      <c r="AF626" s="421" t="s">
        <v>2236</v>
      </c>
      <c r="AG626" s="421" t="s">
        <v>2237</v>
      </c>
      <c r="AH626" s="421" t="s">
        <v>3105</v>
      </c>
      <c r="AI626" s="421">
        <v>25000</v>
      </c>
      <c r="AJ626" s="421">
        <v>80.959999999999994</v>
      </c>
      <c r="AK626" s="421">
        <v>87</v>
      </c>
      <c r="AL626" s="421">
        <v>1</v>
      </c>
      <c r="AM626" s="421" t="s">
        <v>2135</v>
      </c>
      <c r="AN626" s="421" t="s">
        <v>2135</v>
      </c>
      <c r="AO626" s="421" t="s">
        <v>1121</v>
      </c>
      <c r="AP626" s="421" t="s">
        <v>1121</v>
      </c>
      <c r="AQ626" s="421" t="s">
        <v>1476</v>
      </c>
      <c r="AR626" s="421" t="s">
        <v>3931</v>
      </c>
      <c r="AS626" s="421" t="s">
        <v>3977</v>
      </c>
      <c r="AT626" s="421" t="s">
        <v>3109</v>
      </c>
      <c r="AU626" s="421" t="s">
        <v>1341</v>
      </c>
      <c r="AV626" s="421" t="s">
        <v>962</v>
      </c>
      <c r="AW626" s="421" t="s">
        <v>3110</v>
      </c>
      <c r="AX626" s="421" t="s">
        <v>3111</v>
      </c>
      <c r="AY626" s="421" t="s">
        <v>3112</v>
      </c>
      <c r="AZ626" s="421" t="s">
        <v>3113</v>
      </c>
      <c r="BA626" s="421" t="s">
        <v>3114</v>
      </c>
      <c r="BB626" s="421" t="s">
        <v>3115</v>
      </c>
      <c r="BC626" s="421">
        <v>1056</v>
      </c>
      <c r="BD626" s="421">
        <v>3273336</v>
      </c>
      <c r="BE626" s="421">
        <v>0</v>
      </c>
      <c r="BF626" s="421">
        <v>550</v>
      </c>
      <c r="BG626" s="421">
        <v>12</v>
      </c>
      <c r="BH626" s="421">
        <v>0</v>
      </c>
      <c r="BI626" s="421" t="s">
        <v>1167</v>
      </c>
    </row>
    <row r="627" spans="1:61" x14ac:dyDescent="0.25">
      <c r="A627" s="421">
        <v>624</v>
      </c>
      <c r="B627" s="421">
        <v>2015</v>
      </c>
      <c r="C627" s="421">
        <v>11</v>
      </c>
      <c r="D627" s="421">
        <v>26</v>
      </c>
      <c r="E627" s="421" t="s">
        <v>1475</v>
      </c>
      <c r="F627" s="421" t="s">
        <v>3273</v>
      </c>
      <c r="G627" s="421" t="s">
        <v>3915</v>
      </c>
      <c r="H627" s="421" t="s">
        <v>1107</v>
      </c>
      <c r="I627" s="421" t="s">
        <v>3975</v>
      </c>
      <c r="J627" s="421" t="s">
        <v>3978</v>
      </c>
      <c r="K627" s="421" t="s">
        <v>3093</v>
      </c>
      <c r="L627" s="421" t="s">
        <v>3094</v>
      </c>
      <c r="M627" s="421" t="s">
        <v>2667</v>
      </c>
      <c r="N627" s="421" t="s">
        <v>3093</v>
      </c>
      <c r="O627" s="421" t="s">
        <v>3094</v>
      </c>
      <c r="P627" s="421" t="s">
        <v>3095</v>
      </c>
      <c r="Q627" s="421" t="s">
        <v>3096</v>
      </c>
      <c r="R627" s="421" t="s">
        <v>1108</v>
      </c>
      <c r="S627" s="421" t="s">
        <v>1476</v>
      </c>
      <c r="T627" s="421" t="s">
        <v>1130</v>
      </c>
      <c r="U627" s="421" t="s">
        <v>3144</v>
      </c>
      <c r="V627" s="421" t="s">
        <v>3145</v>
      </c>
      <c r="W627" s="421" t="s">
        <v>3098</v>
      </c>
      <c r="X627" s="421" t="s">
        <v>3099</v>
      </c>
      <c r="Y627" s="421" t="s">
        <v>1117</v>
      </c>
      <c r="Z627" s="421" t="s">
        <v>1118</v>
      </c>
      <c r="AA627" s="421" t="s">
        <v>3100</v>
      </c>
      <c r="AB627" s="421" t="s">
        <v>3146</v>
      </c>
      <c r="AC627" s="421" t="s">
        <v>3102</v>
      </c>
      <c r="AD627" s="421" t="s">
        <v>3383</v>
      </c>
      <c r="AE627" s="421" t="s">
        <v>3979</v>
      </c>
      <c r="AF627" s="421" t="s">
        <v>2236</v>
      </c>
      <c r="AG627" s="421" t="s">
        <v>2237</v>
      </c>
      <c r="AH627" s="421" t="s">
        <v>3105</v>
      </c>
      <c r="AI627" s="421">
        <v>450250</v>
      </c>
      <c r="AJ627" s="421">
        <v>1288.28</v>
      </c>
      <c r="AK627" s="421">
        <v>1376</v>
      </c>
      <c r="AL627" s="421">
        <v>1</v>
      </c>
      <c r="AM627" s="421" t="s">
        <v>1933</v>
      </c>
      <c r="AN627" s="421" t="s">
        <v>3980</v>
      </c>
      <c r="AO627" s="421" t="s">
        <v>1121</v>
      </c>
      <c r="AP627" s="421" t="s">
        <v>1121</v>
      </c>
      <c r="AQ627" s="421" t="s">
        <v>1476</v>
      </c>
      <c r="AR627" s="421" t="s">
        <v>3931</v>
      </c>
      <c r="AS627" s="421" t="s">
        <v>3981</v>
      </c>
      <c r="AT627" s="421" t="s">
        <v>3109</v>
      </c>
      <c r="AU627" s="421" t="s">
        <v>1341</v>
      </c>
      <c r="AV627" s="421" t="s">
        <v>961</v>
      </c>
      <c r="AW627" s="421" t="s">
        <v>3110</v>
      </c>
      <c r="AX627" s="421" t="s">
        <v>3111</v>
      </c>
      <c r="AY627" s="421" t="s">
        <v>3112</v>
      </c>
      <c r="AZ627" s="421" t="s">
        <v>3113</v>
      </c>
      <c r="BA627" s="421" t="s">
        <v>3114</v>
      </c>
      <c r="BB627" s="421" t="s">
        <v>3115</v>
      </c>
      <c r="BC627" s="421">
        <v>18621.75</v>
      </c>
      <c r="BD627" s="421">
        <v>57722769.560000002</v>
      </c>
      <c r="BE627" s="421">
        <v>0</v>
      </c>
      <c r="BF627" s="421">
        <v>2907.28</v>
      </c>
      <c r="BG627" s="421">
        <v>53.82</v>
      </c>
      <c r="BH627" s="421">
        <v>0</v>
      </c>
      <c r="BI627" s="421" t="s">
        <v>1149</v>
      </c>
    </row>
    <row r="628" spans="1:61" x14ac:dyDescent="0.25">
      <c r="A628" s="421">
        <v>625</v>
      </c>
      <c r="B628" s="421">
        <v>2015</v>
      </c>
      <c r="C628" s="421">
        <v>11</v>
      </c>
      <c r="D628" s="421">
        <v>26</v>
      </c>
      <c r="E628" s="421" t="s">
        <v>1475</v>
      </c>
      <c r="F628" s="421" t="s">
        <v>3273</v>
      </c>
      <c r="G628" s="421" t="s">
        <v>3915</v>
      </c>
      <c r="H628" s="421" t="s">
        <v>1107</v>
      </c>
      <c r="I628" s="421" t="s">
        <v>3975</v>
      </c>
      <c r="J628" s="421" t="s">
        <v>3982</v>
      </c>
      <c r="K628" s="421" t="s">
        <v>3093</v>
      </c>
      <c r="L628" s="421" t="s">
        <v>3094</v>
      </c>
      <c r="M628" s="421" t="s">
        <v>2667</v>
      </c>
      <c r="N628" s="421" t="s">
        <v>3093</v>
      </c>
      <c r="O628" s="421" t="s">
        <v>3094</v>
      </c>
      <c r="P628" s="421" t="s">
        <v>3095</v>
      </c>
      <c r="Q628" s="421" t="s">
        <v>3113</v>
      </c>
      <c r="R628" s="421" t="s">
        <v>1108</v>
      </c>
      <c r="S628" s="421" t="s">
        <v>1108</v>
      </c>
      <c r="T628" s="421" t="s">
        <v>1130</v>
      </c>
      <c r="U628" s="421" t="s">
        <v>3144</v>
      </c>
      <c r="V628" s="421" t="s">
        <v>3145</v>
      </c>
      <c r="W628" s="421" t="s">
        <v>3098</v>
      </c>
      <c r="X628" s="421" t="s">
        <v>3099</v>
      </c>
      <c r="Y628" s="421" t="s">
        <v>1117</v>
      </c>
      <c r="Z628" s="421" t="s">
        <v>1118</v>
      </c>
      <c r="AA628" s="421" t="s">
        <v>3100</v>
      </c>
      <c r="AB628" s="421" t="s">
        <v>3146</v>
      </c>
      <c r="AC628" s="421" t="s">
        <v>3102</v>
      </c>
      <c r="AD628" s="421" t="s">
        <v>3213</v>
      </c>
      <c r="AE628" s="421" t="s">
        <v>3214</v>
      </c>
      <c r="AF628" s="421" t="s">
        <v>2236</v>
      </c>
      <c r="AG628" s="421" t="s">
        <v>2237</v>
      </c>
      <c r="AH628" s="421" t="s">
        <v>3105</v>
      </c>
      <c r="AI628" s="421">
        <v>228340</v>
      </c>
      <c r="AJ628" s="421">
        <v>651.24</v>
      </c>
      <c r="AK628" s="421">
        <v>703.34</v>
      </c>
      <c r="AL628" s="421">
        <v>1</v>
      </c>
      <c r="AM628" s="421" t="s">
        <v>2037</v>
      </c>
      <c r="AN628" s="421" t="s">
        <v>2039</v>
      </c>
      <c r="AO628" s="421" t="s">
        <v>1121</v>
      </c>
      <c r="AP628" s="421" t="s">
        <v>1121</v>
      </c>
      <c r="AQ628" s="421" t="s">
        <v>1108</v>
      </c>
      <c r="AR628" s="421" t="s">
        <v>3931</v>
      </c>
      <c r="AS628" s="421" t="s">
        <v>3983</v>
      </c>
      <c r="AT628" s="421" t="s">
        <v>3109</v>
      </c>
      <c r="AU628" s="421" t="s">
        <v>1341</v>
      </c>
      <c r="AV628" s="421" t="s">
        <v>2037</v>
      </c>
      <c r="AW628" s="421" t="s">
        <v>3110</v>
      </c>
      <c r="AX628" s="421" t="s">
        <v>3111</v>
      </c>
      <c r="AY628" s="421" t="s">
        <v>3112</v>
      </c>
      <c r="AZ628" s="421" t="s">
        <v>3113</v>
      </c>
      <c r="BA628" s="421" t="s">
        <v>3114</v>
      </c>
      <c r="BB628" s="421" t="s">
        <v>3115</v>
      </c>
      <c r="BC628" s="421">
        <v>11573.6</v>
      </c>
      <c r="BD628" s="421">
        <v>35875266.600000001</v>
      </c>
      <c r="BE628" s="421">
        <v>0</v>
      </c>
      <c r="BF628" s="421">
        <v>787.01</v>
      </c>
      <c r="BG628" s="421">
        <v>41.37</v>
      </c>
      <c r="BH628" s="421">
        <v>0</v>
      </c>
      <c r="BI628" s="421" t="s">
        <v>1149</v>
      </c>
    </row>
    <row r="629" spans="1:61" x14ac:dyDescent="0.25">
      <c r="A629" s="421">
        <v>626</v>
      </c>
      <c r="B629" s="421">
        <v>2015</v>
      </c>
      <c r="C629" s="421">
        <v>11</v>
      </c>
      <c r="D629" s="421">
        <v>26</v>
      </c>
      <c r="E629" s="421" t="s">
        <v>1475</v>
      </c>
      <c r="F629" s="421" t="s">
        <v>3273</v>
      </c>
      <c r="G629" s="421" t="s">
        <v>3915</v>
      </c>
      <c r="H629" s="421" t="s">
        <v>1107</v>
      </c>
      <c r="I629" s="421" t="s">
        <v>3975</v>
      </c>
      <c r="J629" s="421" t="s">
        <v>3982</v>
      </c>
      <c r="K629" s="421" t="s">
        <v>3093</v>
      </c>
      <c r="L629" s="421" t="s">
        <v>3094</v>
      </c>
      <c r="M629" s="421" t="s">
        <v>2667</v>
      </c>
      <c r="N629" s="421" t="s">
        <v>3093</v>
      </c>
      <c r="O629" s="421" t="s">
        <v>3094</v>
      </c>
      <c r="P629" s="421" t="s">
        <v>3095</v>
      </c>
      <c r="Q629" s="421" t="s">
        <v>3113</v>
      </c>
      <c r="R629" s="421" t="s">
        <v>1108</v>
      </c>
      <c r="S629" s="421" t="s">
        <v>1108</v>
      </c>
      <c r="T629" s="421" t="s">
        <v>1130</v>
      </c>
      <c r="U629" s="421" t="s">
        <v>3144</v>
      </c>
      <c r="V629" s="421" t="s">
        <v>3145</v>
      </c>
      <c r="W629" s="421" t="s">
        <v>3098</v>
      </c>
      <c r="X629" s="421" t="s">
        <v>3099</v>
      </c>
      <c r="Y629" s="421" t="s">
        <v>1117</v>
      </c>
      <c r="Z629" s="421" t="s">
        <v>1118</v>
      </c>
      <c r="AA629" s="421" t="s">
        <v>3100</v>
      </c>
      <c r="AB629" s="421" t="s">
        <v>3146</v>
      </c>
      <c r="AC629" s="421" t="s">
        <v>3102</v>
      </c>
      <c r="AD629" s="421" t="s">
        <v>3213</v>
      </c>
      <c r="AE629" s="421" t="s">
        <v>3214</v>
      </c>
      <c r="AF629" s="421" t="s">
        <v>1233</v>
      </c>
      <c r="AG629" s="421" t="s">
        <v>1234</v>
      </c>
      <c r="AH629" s="421" t="s">
        <v>3105</v>
      </c>
      <c r="AI629" s="421">
        <v>48</v>
      </c>
      <c r="AJ629" s="421">
        <v>17.7</v>
      </c>
      <c r="AK629" s="421">
        <v>19.11</v>
      </c>
      <c r="AL629" s="421">
        <v>3</v>
      </c>
      <c r="AM629" s="421" t="s">
        <v>2037</v>
      </c>
      <c r="AN629" s="421" t="s">
        <v>2039</v>
      </c>
      <c r="AO629" s="421" t="s">
        <v>1121</v>
      </c>
      <c r="AP629" s="421" t="s">
        <v>1121</v>
      </c>
      <c r="AQ629" s="421" t="s">
        <v>1108</v>
      </c>
      <c r="AR629" s="421" t="s">
        <v>3931</v>
      </c>
      <c r="AS629" s="421" t="s">
        <v>3983</v>
      </c>
      <c r="AT629" s="421" t="s">
        <v>3109</v>
      </c>
      <c r="AU629" s="421" t="s">
        <v>1341</v>
      </c>
      <c r="AV629" s="421" t="s">
        <v>2037</v>
      </c>
      <c r="AW629" s="421" t="s">
        <v>3110</v>
      </c>
      <c r="AX629" s="421" t="s">
        <v>3111</v>
      </c>
      <c r="AY629" s="421" t="s">
        <v>3112</v>
      </c>
      <c r="AZ629" s="421" t="s">
        <v>3113</v>
      </c>
      <c r="BA629" s="421" t="s">
        <v>3114</v>
      </c>
      <c r="BB629" s="421" t="s">
        <v>3115</v>
      </c>
      <c r="BC629" s="421">
        <v>40.799999999999997</v>
      </c>
      <c r="BD629" s="421">
        <v>126469.8</v>
      </c>
      <c r="BE629" s="421">
        <v>0</v>
      </c>
      <c r="BF629" s="421">
        <v>2.77</v>
      </c>
      <c r="BG629" s="421">
        <v>0.15</v>
      </c>
      <c r="BH629" s="421">
        <v>0</v>
      </c>
      <c r="BI629" s="421" t="s">
        <v>1149</v>
      </c>
    </row>
    <row r="630" spans="1:61" x14ac:dyDescent="0.25">
      <c r="A630" s="421">
        <v>627</v>
      </c>
      <c r="B630" s="421">
        <v>2015</v>
      </c>
      <c r="C630" s="421">
        <v>11</v>
      </c>
      <c r="D630" s="421">
        <v>26</v>
      </c>
      <c r="E630" s="421" t="s">
        <v>1475</v>
      </c>
      <c r="F630" s="421" t="s">
        <v>3273</v>
      </c>
      <c r="G630" s="421" t="s">
        <v>3915</v>
      </c>
      <c r="H630" s="421" t="s">
        <v>1107</v>
      </c>
      <c r="I630" s="421" t="s">
        <v>3975</v>
      </c>
      <c r="J630" s="421" t="s">
        <v>3982</v>
      </c>
      <c r="K630" s="421" t="s">
        <v>3093</v>
      </c>
      <c r="L630" s="421" t="s">
        <v>3094</v>
      </c>
      <c r="M630" s="421" t="s">
        <v>2667</v>
      </c>
      <c r="N630" s="421" t="s">
        <v>3093</v>
      </c>
      <c r="O630" s="421" t="s">
        <v>3094</v>
      </c>
      <c r="P630" s="421" t="s">
        <v>3095</v>
      </c>
      <c r="Q630" s="421" t="s">
        <v>3113</v>
      </c>
      <c r="R630" s="421" t="s">
        <v>1108</v>
      </c>
      <c r="S630" s="421" t="s">
        <v>1108</v>
      </c>
      <c r="T630" s="421" t="s">
        <v>1130</v>
      </c>
      <c r="U630" s="421" t="s">
        <v>3144</v>
      </c>
      <c r="V630" s="421" t="s">
        <v>3145</v>
      </c>
      <c r="W630" s="421" t="s">
        <v>3098</v>
      </c>
      <c r="X630" s="421" t="s">
        <v>3099</v>
      </c>
      <c r="Y630" s="421" t="s">
        <v>1117</v>
      </c>
      <c r="Z630" s="421" t="s">
        <v>1118</v>
      </c>
      <c r="AA630" s="421" t="s">
        <v>3100</v>
      </c>
      <c r="AB630" s="421" t="s">
        <v>3146</v>
      </c>
      <c r="AC630" s="421" t="s">
        <v>3102</v>
      </c>
      <c r="AD630" s="421" t="s">
        <v>3213</v>
      </c>
      <c r="AE630" s="421" t="s">
        <v>3214</v>
      </c>
      <c r="AF630" s="421" t="s">
        <v>1632</v>
      </c>
      <c r="AG630" s="421" t="s">
        <v>1633</v>
      </c>
      <c r="AH630" s="421" t="s">
        <v>1127</v>
      </c>
      <c r="AI630" s="421">
        <v>17.760000000000002</v>
      </c>
      <c r="AJ630" s="421">
        <v>17.760000000000002</v>
      </c>
      <c r="AK630" s="421">
        <v>19.18</v>
      </c>
      <c r="AL630" s="421">
        <v>2</v>
      </c>
      <c r="AM630" s="421" t="s">
        <v>2037</v>
      </c>
      <c r="AN630" s="421" t="s">
        <v>2039</v>
      </c>
      <c r="AO630" s="421" t="s">
        <v>1121</v>
      </c>
      <c r="AP630" s="421" t="s">
        <v>1121</v>
      </c>
      <c r="AQ630" s="421" t="s">
        <v>1108</v>
      </c>
      <c r="AR630" s="421" t="s">
        <v>3931</v>
      </c>
      <c r="AS630" s="421" t="s">
        <v>3983</v>
      </c>
      <c r="AT630" s="421" t="s">
        <v>3109</v>
      </c>
      <c r="AU630" s="421" t="s">
        <v>1341</v>
      </c>
      <c r="AV630" s="421" t="s">
        <v>2037</v>
      </c>
      <c r="AW630" s="421" t="s">
        <v>3110</v>
      </c>
      <c r="AX630" s="421" t="s">
        <v>3111</v>
      </c>
      <c r="AY630" s="421" t="s">
        <v>3112</v>
      </c>
      <c r="AZ630" s="421" t="s">
        <v>3113</v>
      </c>
      <c r="BA630" s="421" t="s">
        <v>3114</v>
      </c>
      <c r="BB630" s="421" t="s">
        <v>3115</v>
      </c>
      <c r="BC630" s="421">
        <v>273.60000000000002</v>
      </c>
      <c r="BD630" s="421">
        <v>848091.6</v>
      </c>
      <c r="BE630" s="421">
        <v>0</v>
      </c>
      <c r="BF630" s="421">
        <v>18.600000000000001</v>
      </c>
      <c r="BG630" s="421">
        <v>0.98</v>
      </c>
      <c r="BH630" s="421">
        <v>0</v>
      </c>
      <c r="BI630" s="421" t="s">
        <v>1149</v>
      </c>
    </row>
    <row r="631" spans="1:61" x14ac:dyDescent="0.25">
      <c r="A631" s="421">
        <v>628</v>
      </c>
      <c r="B631" s="421">
        <v>2015</v>
      </c>
      <c r="C631" s="421">
        <v>11</v>
      </c>
      <c r="D631" s="421">
        <v>26</v>
      </c>
      <c r="E631" s="421" t="s">
        <v>1475</v>
      </c>
      <c r="F631" s="421" t="s">
        <v>3273</v>
      </c>
      <c r="G631" s="421" t="s">
        <v>3915</v>
      </c>
      <c r="H631" s="421" t="s">
        <v>1107</v>
      </c>
      <c r="I631" s="421" t="s">
        <v>3975</v>
      </c>
      <c r="J631" s="421" t="s">
        <v>3982</v>
      </c>
      <c r="K631" s="421" t="s">
        <v>3093</v>
      </c>
      <c r="L631" s="421" t="s">
        <v>3094</v>
      </c>
      <c r="M631" s="421" t="s">
        <v>2667</v>
      </c>
      <c r="N631" s="421" t="s">
        <v>3093</v>
      </c>
      <c r="O631" s="421" t="s">
        <v>3094</v>
      </c>
      <c r="P631" s="421" t="s">
        <v>3095</v>
      </c>
      <c r="Q631" s="421" t="s">
        <v>3113</v>
      </c>
      <c r="R631" s="421" t="s">
        <v>1108</v>
      </c>
      <c r="S631" s="421" t="s">
        <v>1108</v>
      </c>
      <c r="T631" s="421" t="s">
        <v>1130</v>
      </c>
      <c r="U631" s="421" t="s">
        <v>3144</v>
      </c>
      <c r="V631" s="421" t="s">
        <v>3145</v>
      </c>
      <c r="W631" s="421" t="s">
        <v>3098</v>
      </c>
      <c r="X631" s="421" t="s">
        <v>3099</v>
      </c>
      <c r="Y631" s="421" t="s">
        <v>1117</v>
      </c>
      <c r="Z631" s="421" t="s">
        <v>1118</v>
      </c>
      <c r="AA631" s="421" t="s">
        <v>3100</v>
      </c>
      <c r="AB631" s="421" t="s">
        <v>3146</v>
      </c>
      <c r="AC631" s="421" t="s">
        <v>3102</v>
      </c>
      <c r="AD631" s="421" t="s">
        <v>3213</v>
      </c>
      <c r="AE631" s="421" t="s">
        <v>3214</v>
      </c>
      <c r="AF631" s="421" t="s">
        <v>1300</v>
      </c>
      <c r="AG631" s="421" t="s">
        <v>1301</v>
      </c>
      <c r="AH631" s="421" t="s">
        <v>1127</v>
      </c>
      <c r="AI631" s="421">
        <v>17</v>
      </c>
      <c r="AJ631" s="421">
        <v>17</v>
      </c>
      <c r="AK631" s="421">
        <v>18.36</v>
      </c>
      <c r="AL631" s="421">
        <v>4</v>
      </c>
      <c r="AM631" s="421" t="s">
        <v>2037</v>
      </c>
      <c r="AN631" s="421" t="s">
        <v>2039</v>
      </c>
      <c r="AO631" s="421" t="s">
        <v>1121</v>
      </c>
      <c r="AP631" s="421" t="s">
        <v>1121</v>
      </c>
      <c r="AQ631" s="421" t="s">
        <v>1108</v>
      </c>
      <c r="AR631" s="421" t="s">
        <v>3931</v>
      </c>
      <c r="AS631" s="421" t="s">
        <v>3983</v>
      </c>
      <c r="AT631" s="421" t="s">
        <v>3109</v>
      </c>
      <c r="AU631" s="421" t="s">
        <v>1341</v>
      </c>
      <c r="AV631" s="421" t="s">
        <v>2037</v>
      </c>
      <c r="AW631" s="421" t="s">
        <v>3110</v>
      </c>
      <c r="AX631" s="421" t="s">
        <v>3111</v>
      </c>
      <c r="AY631" s="421" t="s">
        <v>3112</v>
      </c>
      <c r="AZ631" s="421" t="s">
        <v>3113</v>
      </c>
      <c r="BA631" s="421" t="s">
        <v>3114</v>
      </c>
      <c r="BB631" s="421" t="s">
        <v>3115</v>
      </c>
      <c r="BC631" s="421">
        <v>97.2</v>
      </c>
      <c r="BD631" s="421">
        <v>301295.7</v>
      </c>
      <c r="BE631" s="421">
        <v>0</v>
      </c>
      <c r="BF631" s="421">
        <v>6.61</v>
      </c>
      <c r="BG631" s="421">
        <v>0.35</v>
      </c>
      <c r="BH631" s="421">
        <v>0</v>
      </c>
      <c r="BI631" s="421" t="s">
        <v>1149</v>
      </c>
    </row>
    <row r="632" spans="1:61" x14ac:dyDescent="0.25">
      <c r="A632" s="421">
        <v>629</v>
      </c>
      <c r="B632" s="421">
        <v>2015</v>
      </c>
      <c r="C632" s="421">
        <v>11</v>
      </c>
      <c r="D632" s="421">
        <v>30</v>
      </c>
      <c r="E632" s="421" t="s">
        <v>1475</v>
      </c>
      <c r="F632" s="421" t="s">
        <v>3273</v>
      </c>
      <c r="G632" s="421" t="s">
        <v>3524</v>
      </c>
      <c r="H632" s="421" t="s">
        <v>1107</v>
      </c>
      <c r="I632" s="421" t="s">
        <v>3984</v>
      </c>
      <c r="J632" s="421" t="s">
        <v>3985</v>
      </c>
      <c r="K632" s="421" t="s">
        <v>3093</v>
      </c>
      <c r="L632" s="421" t="s">
        <v>3094</v>
      </c>
      <c r="M632" s="421" t="s">
        <v>2667</v>
      </c>
      <c r="N632" s="421" t="s">
        <v>3093</v>
      </c>
      <c r="O632" s="421" t="s">
        <v>3094</v>
      </c>
      <c r="P632" s="421" t="s">
        <v>3095</v>
      </c>
      <c r="Q632" s="421" t="s">
        <v>3096</v>
      </c>
      <c r="R632" s="421" t="s">
        <v>1108</v>
      </c>
      <c r="S632" s="421" t="s">
        <v>1476</v>
      </c>
      <c r="T632" s="421" t="s">
        <v>1130</v>
      </c>
      <c r="U632" s="421" t="s">
        <v>3144</v>
      </c>
      <c r="V632" s="421" t="s">
        <v>3145</v>
      </c>
      <c r="W632" s="421" t="s">
        <v>3098</v>
      </c>
      <c r="X632" s="421" t="s">
        <v>3099</v>
      </c>
      <c r="Y632" s="421" t="s">
        <v>1117</v>
      </c>
      <c r="Z632" s="421" t="s">
        <v>1118</v>
      </c>
      <c r="AA632" s="421" t="s">
        <v>3100</v>
      </c>
      <c r="AB632" s="421" t="s">
        <v>3146</v>
      </c>
      <c r="AC632" s="421" t="s">
        <v>3102</v>
      </c>
      <c r="AD632" s="421" t="s">
        <v>3496</v>
      </c>
      <c r="AE632" s="421" t="s">
        <v>3497</v>
      </c>
      <c r="AF632" s="421" t="s">
        <v>2236</v>
      </c>
      <c r="AG632" s="421" t="s">
        <v>2237</v>
      </c>
      <c r="AH632" s="421" t="s">
        <v>3105</v>
      </c>
      <c r="AI632" s="421">
        <v>109000</v>
      </c>
      <c r="AJ632" s="421">
        <v>328.56</v>
      </c>
      <c r="AK632" s="421">
        <v>353</v>
      </c>
      <c r="AL632" s="421">
        <v>1</v>
      </c>
      <c r="AM632" s="421" t="s">
        <v>3498</v>
      </c>
      <c r="AN632" s="421" t="s">
        <v>3499</v>
      </c>
      <c r="AO632" s="421" t="s">
        <v>1121</v>
      </c>
      <c r="AP632" s="421" t="s">
        <v>1121</v>
      </c>
      <c r="AQ632" s="421" t="s">
        <v>1476</v>
      </c>
      <c r="AR632" s="421" t="s">
        <v>3931</v>
      </c>
      <c r="AS632" s="421" t="s">
        <v>3986</v>
      </c>
      <c r="AT632" s="421" t="s">
        <v>3109</v>
      </c>
      <c r="AU632" s="421" t="s">
        <v>1341</v>
      </c>
      <c r="AV632" s="421" t="s">
        <v>962</v>
      </c>
      <c r="AW632" s="421" t="s">
        <v>3110</v>
      </c>
      <c r="AX632" s="421" t="s">
        <v>3111</v>
      </c>
      <c r="AY632" s="421" t="s">
        <v>3112</v>
      </c>
      <c r="AZ632" s="421" t="s">
        <v>3113</v>
      </c>
      <c r="BA632" s="421" t="s">
        <v>3114</v>
      </c>
      <c r="BB632" s="421" t="s">
        <v>3115</v>
      </c>
      <c r="BC632" s="421">
        <v>4764.5</v>
      </c>
      <c r="BD632" s="421">
        <v>14775190.949999999</v>
      </c>
      <c r="BE632" s="421">
        <v>0</v>
      </c>
      <c r="BF632" s="421">
        <v>0</v>
      </c>
      <c r="BG632" s="421">
        <v>0</v>
      </c>
      <c r="BH632" s="421">
        <v>0</v>
      </c>
      <c r="BI632" s="421" t="s">
        <v>1167</v>
      </c>
    </row>
    <row r="633" spans="1:61" x14ac:dyDescent="0.25">
      <c r="A633" s="421">
        <v>630</v>
      </c>
      <c r="B633" s="421">
        <v>2015</v>
      </c>
      <c r="C633" s="421">
        <v>12</v>
      </c>
      <c r="D633" s="421">
        <v>3</v>
      </c>
      <c r="E633" s="421" t="s">
        <v>1475</v>
      </c>
      <c r="F633" s="421" t="s">
        <v>3284</v>
      </c>
      <c r="G633" s="421" t="s">
        <v>3325</v>
      </c>
      <c r="H633" s="421" t="s">
        <v>1107</v>
      </c>
      <c r="I633" s="421" t="s">
        <v>2978</v>
      </c>
      <c r="J633" s="421" t="s">
        <v>3987</v>
      </c>
      <c r="K633" s="421" t="s">
        <v>3093</v>
      </c>
      <c r="L633" s="421" t="s">
        <v>3094</v>
      </c>
      <c r="M633" s="421" t="s">
        <v>2667</v>
      </c>
      <c r="N633" s="421" t="s">
        <v>3093</v>
      </c>
      <c r="O633" s="421" t="s">
        <v>3094</v>
      </c>
      <c r="P633" s="421" t="s">
        <v>3095</v>
      </c>
      <c r="Q633" s="421" t="s">
        <v>3113</v>
      </c>
      <c r="R633" s="421" t="s">
        <v>1108</v>
      </c>
      <c r="S633" s="421" t="s">
        <v>1108</v>
      </c>
      <c r="T633" s="421" t="s">
        <v>1130</v>
      </c>
      <c r="U633" s="421" t="s">
        <v>3144</v>
      </c>
      <c r="V633" s="421" t="s">
        <v>3145</v>
      </c>
      <c r="W633" s="421" t="s">
        <v>3098</v>
      </c>
      <c r="X633" s="421" t="s">
        <v>3099</v>
      </c>
      <c r="Y633" s="421" t="s">
        <v>1117</v>
      </c>
      <c r="Z633" s="421" t="s">
        <v>1118</v>
      </c>
      <c r="AA633" s="421" t="s">
        <v>3100</v>
      </c>
      <c r="AB633" s="421" t="s">
        <v>3146</v>
      </c>
      <c r="AC633" s="421" t="s">
        <v>3102</v>
      </c>
      <c r="AD633" s="421" t="s">
        <v>3346</v>
      </c>
      <c r="AE633" s="421" t="s">
        <v>3347</v>
      </c>
      <c r="AF633" s="421" t="s">
        <v>1300</v>
      </c>
      <c r="AG633" s="421" t="s">
        <v>1301</v>
      </c>
      <c r="AH633" s="421" t="s">
        <v>1127</v>
      </c>
      <c r="AI633" s="421">
        <v>5.89</v>
      </c>
      <c r="AJ633" s="421">
        <v>5.89</v>
      </c>
      <c r="AK633" s="421">
        <v>12</v>
      </c>
      <c r="AL633" s="421">
        <v>1</v>
      </c>
      <c r="AM633" s="421" t="s">
        <v>3348</v>
      </c>
      <c r="AN633" s="421" t="s">
        <v>3349</v>
      </c>
      <c r="AO633" s="421" t="s">
        <v>1121</v>
      </c>
      <c r="AP633" s="421" t="s">
        <v>1121</v>
      </c>
      <c r="AQ633" s="421" t="s">
        <v>1108</v>
      </c>
      <c r="AR633" s="421" t="s">
        <v>3931</v>
      </c>
      <c r="AS633" s="421" t="s">
        <v>3988</v>
      </c>
      <c r="AT633" s="421" t="s">
        <v>3109</v>
      </c>
      <c r="AU633" s="421" t="s">
        <v>1341</v>
      </c>
      <c r="AV633" s="421" t="s">
        <v>3157</v>
      </c>
      <c r="AW633" s="421" t="s">
        <v>3110</v>
      </c>
      <c r="AX633" s="421" t="s">
        <v>3229</v>
      </c>
      <c r="AY633" s="421" t="s">
        <v>3112</v>
      </c>
      <c r="AZ633" s="421" t="s">
        <v>3113</v>
      </c>
      <c r="BA633" s="421" t="s">
        <v>3114</v>
      </c>
      <c r="BB633" s="421" t="s">
        <v>3230</v>
      </c>
      <c r="BC633" s="421">
        <v>1.5</v>
      </c>
      <c r="BD633" s="421">
        <v>4750</v>
      </c>
      <c r="BE633" s="421">
        <v>0</v>
      </c>
      <c r="BF633" s="421">
        <v>0</v>
      </c>
      <c r="BG633" s="421">
        <v>0</v>
      </c>
      <c r="BH633" s="421">
        <v>0</v>
      </c>
      <c r="BI633" s="421" t="s">
        <v>1149</v>
      </c>
    </row>
    <row r="634" spans="1:61" x14ac:dyDescent="0.25">
      <c r="A634" s="421">
        <v>631</v>
      </c>
      <c r="B634" s="421">
        <v>2015</v>
      </c>
      <c r="C634" s="421">
        <v>12</v>
      </c>
      <c r="D634" s="421">
        <v>9</v>
      </c>
      <c r="E634" s="421" t="s">
        <v>1475</v>
      </c>
      <c r="F634" s="421" t="s">
        <v>3284</v>
      </c>
      <c r="G634" s="421" t="s">
        <v>3132</v>
      </c>
      <c r="H634" s="421" t="s">
        <v>1107</v>
      </c>
      <c r="I634" s="421" t="s">
        <v>3022</v>
      </c>
      <c r="J634" s="421" t="s">
        <v>3989</v>
      </c>
      <c r="K634" s="421" t="s">
        <v>3093</v>
      </c>
      <c r="L634" s="421" t="s">
        <v>3094</v>
      </c>
      <c r="M634" s="421" t="s">
        <v>2667</v>
      </c>
      <c r="N634" s="421" t="s">
        <v>3093</v>
      </c>
      <c r="O634" s="421" t="s">
        <v>3094</v>
      </c>
      <c r="P634" s="421" t="s">
        <v>3095</v>
      </c>
      <c r="Q634" s="421" t="s">
        <v>3113</v>
      </c>
      <c r="R634" s="421" t="s">
        <v>1108</v>
      </c>
      <c r="S634" s="421" t="s">
        <v>1108</v>
      </c>
      <c r="T634" s="421" t="s">
        <v>1130</v>
      </c>
      <c r="U634" s="421" t="s">
        <v>1112</v>
      </c>
      <c r="V634" s="421" t="s">
        <v>3097</v>
      </c>
      <c r="W634" s="421" t="s">
        <v>3098</v>
      </c>
      <c r="X634" s="421" t="s">
        <v>3099</v>
      </c>
      <c r="Y634" s="421" t="s">
        <v>1117</v>
      </c>
      <c r="Z634" s="421" t="s">
        <v>1118</v>
      </c>
      <c r="AA634" s="421" t="s">
        <v>3100</v>
      </c>
      <c r="AB634" s="421" t="s">
        <v>3101</v>
      </c>
      <c r="AC634" s="421" t="s">
        <v>3102</v>
      </c>
      <c r="AD634" s="421" t="s">
        <v>3990</v>
      </c>
      <c r="AE634" s="421" t="s">
        <v>3991</v>
      </c>
      <c r="AF634" s="421" t="s">
        <v>2236</v>
      </c>
      <c r="AG634" s="421" t="s">
        <v>2237</v>
      </c>
      <c r="AH634" s="421" t="s">
        <v>3105</v>
      </c>
      <c r="AI634" s="421">
        <v>6000</v>
      </c>
      <c r="AJ634" s="421">
        <v>23.14</v>
      </c>
      <c r="AK634" s="421">
        <v>25.2</v>
      </c>
      <c r="AL634" s="421">
        <v>4</v>
      </c>
      <c r="AM634" s="421" t="s">
        <v>3992</v>
      </c>
      <c r="AN634" s="421" t="s">
        <v>3993</v>
      </c>
      <c r="AO634" s="421" t="s">
        <v>1121</v>
      </c>
      <c r="AP634" s="421" t="s">
        <v>1121</v>
      </c>
      <c r="AQ634" s="421" t="s">
        <v>1108</v>
      </c>
      <c r="AR634" s="421" t="s">
        <v>3994</v>
      </c>
      <c r="AS634" s="421" t="s">
        <v>3995</v>
      </c>
      <c r="AT634" s="421" t="s">
        <v>3109</v>
      </c>
      <c r="AU634" s="421" t="s">
        <v>1142</v>
      </c>
      <c r="AV634" s="421" t="s">
        <v>3130</v>
      </c>
      <c r="AW634" s="421" t="s">
        <v>3110</v>
      </c>
      <c r="AX634" s="421" t="s">
        <v>3111</v>
      </c>
      <c r="AY634" s="421" t="s">
        <v>3112</v>
      </c>
      <c r="AZ634" s="421" t="s">
        <v>3113</v>
      </c>
      <c r="BA634" s="421" t="s">
        <v>3114</v>
      </c>
      <c r="BB634" s="421" t="s">
        <v>3115</v>
      </c>
      <c r="BC634" s="421">
        <v>459.6</v>
      </c>
      <c r="BD634" s="421">
        <v>1510718.98</v>
      </c>
      <c r="BE634" s="421">
        <v>0</v>
      </c>
      <c r="BF634" s="421">
        <v>11.54</v>
      </c>
      <c r="BG634" s="421">
        <v>1.18</v>
      </c>
      <c r="BH634" s="421">
        <v>0</v>
      </c>
      <c r="BI634" s="421" t="s">
        <v>1149</v>
      </c>
    </row>
    <row r="635" spans="1:61" x14ac:dyDescent="0.25">
      <c r="A635" s="421">
        <v>632</v>
      </c>
      <c r="B635" s="421">
        <v>2015</v>
      </c>
      <c r="C635" s="421">
        <v>12</v>
      </c>
      <c r="D635" s="421">
        <v>9</v>
      </c>
      <c r="E635" s="421" t="s">
        <v>1475</v>
      </c>
      <c r="F635" s="421" t="s">
        <v>3284</v>
      </c>
      <c r="G635" s="421" t="s">
        <v>3132</v>
      </c>
      <c r="H635" s="421" t="s">
        <v>1107</v>
      </c>
      <c r="I635" s="421" t="s">
        <v>3022</v>
      </c>
      <c r="J635" s="421" t="s">
        <v>3989</v>
      </c>
      <c r="K635" s="421" t="s">
        <v>3093</v>
      </c>
      <c r="L635" s="421" t="s">
        <v>3094</v>
      </c>
      <c r="M635" s="421" t="s">
        <v>2667</v>
      </c>
      <c r="N635" s="421" t="s">
        <v>3093</v>
      </c>
      <c r="O635" s="421" t="s">
        <v>3094</v>
      </c>
      <c r="P635" s="421" t="s">
        <v>3095</v>
      </c>
      <c r="Q635" s="421" t="s">
        <v>3113</v>
      </c>
      <c r="R635" s="421" t="s">
        <v>1108</v>
      </c>
      <c r="S635" s="421" t="s">
        <v>1108</v>
      </c>
      <c r="T635" s="421" t="s">
        <v>1130</v>
      </c>
      <c r="U635" s="421" t="s">
        <v>1112</v>
      </c>
      <c r="V635" s="421" t="s">
        <v>3097</v>
      </c>
      <c r="W635" s="421" t="s">
        <v>3098</v>
      </c>
      <c r="X635" s="421" t="s">
        <v>3099</v>
      </c>
      <c r="Y635" s="421" t="s">
        <v>1117</v>
      </c>
      <c r="Z635" s="421" t="s">
        <v>1118</v>
      </c>
      <c r="AA635" s="421" t="s">
        <v>3100</v>
      </c>
      <c r="AB635" s="421" t="s">
        <v>3101</v>
      </c>
      <c r="AC635" s="421" t="s">
        <v>3102</v>
      </c>
      <c r="AD635" s="421" t="s">
        <v>3990</v>
      </c>
      <c r="AE635" s="421" t="s">
        <v>3991</v>
      </c>
      <c r="AF635" s="421" t="s">
        <v>2236</v>
      </c>
      <c r="AG635" s="421" t="s">
        <v>2237</v>
      </c>
      <c r="AH635" s="421" t="s">
        <v>3105</v>
      </c>
      <c r="AI635" s="421">
        <v>109500</v>
      </c>
      <c r="AJ635" s="421">
        <v>397.82</v>
      </c>
      <c r="AK635" s="421">
        <v>433.26</v>
      </c>
      <c r="AL635" s="421">
        <v>3</v>
      </c>
      <c r="AM635" s="421" t="s">
        <v>3992</v>
      </c>
      <c r="AN635" s="421" t="s">
        <v>3993</v>
      </c>
      <c r="AO635" s="421" t="s">
        <v>1121</v>
      </c>
      <c r="AP635" s="421" t="s">
        <v>1121</v>
      </c>
      <c r="AQ635" s="421" t="s">
        <v>1108</v>
      </c>
      <c r="AR635" s="421" t="s">
        <v>3994</v>
      </c>
      <c r="AS635" s="421" t="s">
        <v>3995</v>
      </c>
      <c r="AT635" s="421" t="s">
        <v>3109</v>
      </c>
      <c r="AU635" s="421" t="s">
        <v>1142</v>
      </c>
      <c r="AV635" s="421" t="s">
        <v>3130</v>
      </c>
      <c r="AW635" s="421" t="s">
        <v>3110</v>
      </c>
      <c r="AX635" s="421" t="s">
        <v>3111</v>
      </c>
      <c r="AY635" s="421" t="s">
        <v>3112</v>
      </c>
      <c r="AZ635" s="421" t="s">
        <v>3113</v>
      </c>
      <c r="BA635" s="421" t="s">
        <v>3114</v>
      </c>
      <c r="BB635" s="421" t="s">
        <v>3115</v>
      </c>
      <c r="BC635" s="421">
        <v>8489.1</v>
      </c>
      <c r="BD635" s="421">
        <v>27903926.370000001</v>
      </c>
      <c r="BE635" s="421">
        <v>0</v>
      </c>
      <c r="BF635" s="421">
        <v>213.24</v>
      </c>
      <c r="BG635" s="421">
        <v>21.76</v>
      </c>
      <c r="BH635" s="421">
        <v>0</v>
      </c>
      <c r="BI635" s="421" t="s">
        <v>1149</v>
      </c>
    </row>
    <row r="636" spans="1:61" x14ac:dyDescent="0.25">
      <c r="A636" s="421">
        <v>633</v>
      </c>
      <c r="B636" s="421">
        <v>2015</v>
      </c>
      <c r="C636" s="421">
        <v>12</v>
      </c>
      <c r="D636" s="421">
        <v>9</v>
      </c>
      <c r="E636" s="421" t="s">
        <v>1475</v>
      </c>
      <c r="F636" s="421" t="s">
        <v>3284</v>
      </c>
      <c r="G636" s="421" t="s">
        <v>3132</v>
      </c>
      <c r="H636" s="421" t="s">
        <v>1107</v>
      </c>
      <c r="I636" s="421" t="s">
        <v>3022</v>
      </c>
      <c r="J636" s="421" t="s">
        <v>3989</v>
      </c>
      <c r="K636" s="421" t="s">
        <v>3093</v>
      </c>
      <c r="L636" s="421" t="s">
        <v>3094</v>
      </c>
      <c r="M636" s="421" t="s">
        <v>2667</v>
      </c>
      <c r="N636" s="421" t="s">
        <v>3093</v>
      </c>
      <c r="O636" s="421" t="s">
        <v>3094</v>
      </c>
      <c r="P636" s="421" t="s">
        <v>3095</v>
      </c>
      <c r="Q636" s="421" t="s">
        <v>3113</v>
      </c>
      <c r="R636" s="421" t="s">
        <v>1108</v>
      </c>
      <c r="S636" s="421" t="s">
        <v>1108</v>
      </c>
      <c r="T636" s="421" t="s">
        <v>1130</v>
      </c>
      <c r="U636" s="421" t="s">
        <v>1112</v>
      </c>
      <c r="V636" s="421" t="s">
        <v>3097</v>
      </c>
      <c r="W636" s="421" t="s">
        <v>3098</v>
      </c>
      <c r="X636" s="421" t="s">
        <v>3099</v>
      </c>
      <c r="Y636" s="421" t="s">
        <v>1117</v>
      </c>
      <c r="Z636" s="421" t="s">
        <v>1118</v>
      </c>
      <c r="AA636" s="421" t="s">
        <v>3100</v>
      </c>
      <c r="AB636" s="421" t="s">
        <v>3101</v>
      </c>
      <c r="AC636" s="421" t="s">
        <v>3102</v>
      </c>
      <c r="AD636" s="421" t="s">
        <v>3990</v>
      </c>
      <c r="AE636" s="421" t="s">
        <v>3991</v>
      </c>
      <c r="AF636" s="421" t="s">
        <v>2236</v>
      </c>
      <c r="AG636" s="421" t="s">
        <v>2237</v>
      </c>
      <c r="AH636" s="421" t="s">
        <v>3105</v>
      </c>
      <c r="AI636" s="421">
        <v>59000</v>
      </c>
      <c r="AJ636" s="421">
        <v>232.86</v>
      </c>
      <c r="AK636" s="421">
        <v>253.6</v>
      </c>
      <c r="AL636" s="421">
        <v>2</v>
      </c>
      <c r="AM636" s="421" t="s">
        <v>3992</v>
      </c>
      <c r="AN636" s="421" t="s">
        <v>3993</v>
      </c>
      <c r="AO636" s="421" t="s">
        <v>1121</v>
      </c>
      <c r="AP636" s="421" t="s">
        <v>1121</v>
      </c>
      <c r="AQ636" s="421" t="s">
        <v>1108</v>
      </c>
      <c r="AR636" s="421" t="s">
        <v>3994</v>
      </c>
      <c r="AS636" s="421" t="s">
        <v>3995</v>
      </c>
      <c r="AT636" s="421" t="s">
        <v>3109</v>
      </c>
      <c r="AU636" s="421" t="s">
        <v>1142</v>
      </c>
      <c r="AV636" s="421" t="s">
        <v>3130</v>
      </c>
      <c r="AW636" s="421" t="s">
        <v>3110</v>
      </c>
      <c r="AX636" s="421" t="s">
        <v>3111</v>
      </c>
      <c r="AY636" s="421" t="s">
        <v>3112</v>
      </c>
      <c r="AZ636" s="421" t="s">
        <v>3113</v>
      </c>
      <c r="BA636" s="421" t="s">
        <v>3114</v>
      </c>
      <c r="BB636" s="421" t="s">
        <v>3115</v>
      </c>
      <c r="BC636" s="421">
        <v>3290.7</v>
      </c>
      <c r="BD636" s="421">
        <v>10816629.619999999</v>
      </c>
      <c r="BE636" s="421">
        <v>0</v>
      </c>
      <c r="BF636" s="421">
        <v>82.66</v>
      </c>
      <c r="BG636" s="421">
        <v>8.43</v>
      </c>
      <c r="BH636" s="421">
        <v>0</v>
      </c>
      <c r="BI636" s="421" t="s">
        <v>1149</v>
      </c>
    </row>
    <row r="637" spans="1:61" x14ac:dyDescent="0.25">
      <c r="A637" s="421">
        <v>634</v>
      </c>
      <c r="B637" s="421">
        <v>2015</v>
      </c>
      <c r="C637" s="421">
        <v>12</v>
      </c>
      <c r="D637" s="421">
        <v>9</v>
      </c>
      <c r="E637" s="421" t="s">
        <v>1475</v>
      </c>
      <c r="F637" s="421" t="s">
        <v>3284</v>
      </c>
      <c r="G637" s="421" t="s">
        <v>3132</v>
      </c>
      <c r="H637" s="421" t="s">
        <v>1107</v>
      </c>
      <c r="I637" s="421" t="s">
        <v>3022</v>
      </c>
      <c r="J637" s="421" t="s">
        <v>3989</v>
      </c>
      <c r="K637" s="421" t="s">
        <v>3093</v>
      </c>
      <c r="L637" s="421" t="s">
        <v>3094</v>
      </c>
      <c r="M637" s="421" t="s">
        <v>2667</v>
      </c>
      <c r="N637" s="421" t="s">
        <v>3093</v>
      </c>
      <c r="O637" s="421" t="s">
        <v>3094</v>
      </c>
      <c r="P637" s="421" t="s">
        <v>3095</v>
      </c>
      <c r="Q637" s="421" t="s">
        <v>3113</v>
      </c>
      <c r="R637" s="421" t="s">
        <v>1108</v>
      </c>
      <c r="S637" s="421" t="s">
        <v>1108</v>
      </c>
      <c r="T637" s="421" t="s">
        <v>1130</v>
      </c>
      <c r="U637" s="421" t="s">
        <v>1112</v>
      </c>
      <c r="V637" s="421" t="s">
        <v>3097</v>
      </c>
      <c r="W637" s="421" t="s">
        <v>3098</v>
      </c>
      <c r="X637" s="421" t="s">
        <v>3099</v>
      </c>
      <c r="Y637" s="421" t="s">
        <v>1117</v>
      </c>
      <c r="Z637" s="421" t="s">
        <v>1118</v>
      </c>
      <c r="AA637" s="421" t="s">
        <v>3100</v>
      </c>
      <c r="AB637" s="421" t="s">
        <v>3101</v>
      </c>
      <c r="AC637" s="421" t="s">
        <v>3102</v>
      </c>
      <c r="AD637" s="421" t="s">
        <v>3990</v>
      </c>
      <c r="AE637" s="421" t="s">
        <v>3991</v>
      </c>
      <c r="AF637" s="421" t="s">
        <v>2236</v>
      </c>
      <c r="AG637" s="421" t="s">
        <v>2237</v>
      </c>
      <c r="AH637" s="421" t="s">
        <v>3105</v>
      </c>
      <c r="AI637" s="421">
        <v>403250</v>
      </c>
      <c r="AJ637" s="421">
        <v>1285.72</v>
      </c>
      <c r="AK637" s="421">
        <v>1400.26</v>
      </c>
      <c r="AL637" s="421">
        <v>1</v>
      </c>
      <c r="AM637" s="421" t="s">
        <v>3992</v>
      </c>
      <c r="AN637" s="421" t="s">
        <v>3993</v>
      </c>
      <c r="AO637" s="421" t="s">
        <v>1121</v>
      </c>
      <c r="AP637" s="421" t="s">
        <v>1121</v>
      </c>
      <c r="AQ637" s="421" t="s">
        <v>1108</v>
      </c>
      <c r="AR637" s="421" t="s">
        <v>3994</v>
      </c>
      <c r="AS637" s="421" t="s">
        <v>3995</v>
      </c>
      <c r="AT637" s="421" t="s">
        <v>3109</v>
      </c>
      <c r="AU637" s="421" t="s">
        <v>1142</v>
      </c>
      <c r="AV637" s="421" t="s">
        <v>3130</v>
      </c>
      <c r="AW637" s="421" t="s">
        <v>3110</v>
      </c>
      <c r="AX637" s="421" t="s">
        <v>3111</v>
      </c>
      <c r="AY637" s="421" t="s">
        <v>3112</v>
      </c>
      <c r="AZ637" s="421" t="s">
        <v>3113</v>
      </c>
      <c r="BA637" s="421" t="s">
        <v>3114</v>
      </c>
      <c r="BB637" s="421" t="s">
        <v>3115</v>
      </c>
      <c r="BC637" s="421">
        <v>17618.3</v>
      </c>
      <c r="BD637" s="421">
        <v>57911880.640000001</v>
      </c>
      <c r="BE637" s="421">
        <v>0</v>
      </c>
      <c r="BF637" s="421">
        <v>442.56</v>
      </c>
      <c r="BG637" s="421">
        <v>45.15</v>
      </c>
      <c r="BH637" s="421">
        <v>0</v>
      </c>
      <c r="BI637" s="421" t="s">
        <v>1149</v>
      </c>
    </row>
    <row r="638" spans="1:61" x14ac:dyDescent="0.25">
      <c r="A638" s="421">
        <v>635</v>
      </c>
      <c r="B638" s="421">
        <v>2015</v>
      </c>
      <c r="C638" s="421">
        <v>12</v>
      </c>
      <c r="D638" s="421">
        <v>9</v>
      </c>
      <c r="E638" s="421" t="s">
        <v>1475</v>
      </c>
      <c r="F638" s="421" t="s">
        <v>3284</v>
      </c>
      <c r="G638" s="421" t="s">
        <v>3132</v>
      </c>
      <c r="H638" s="421" t="s">
        <v>1107</v>
      </c>
      <c r="I638" s="421" t="s">
        <v>3022</v>
      </c>
      <c r="J638" s="421" t="s">
        <v>3996</v>
      </c>
      <c r="K638" s="421" t="s">
        <v>3093</v>
      </c>
      <c r="L638" s="421" t="s">
        <v>3094</v>
      </c>
      <c r="M638" s="421" t="s">
        <v>2667</v>
      </c>
      <c r="N638" s="421" t="s">
        <v>3093</v>
      </c>
      <c r="O638" s="421" t="s">
        <v>3094</v>
      </c>
      <c r="P638" s="421" t="s">
        <v>3095</v>
      </c>
      <c r="Q638" s="421" t="s">
        <v>3113</v>
      </c>
      <c r="R638" s="421" t="s">
        <v>1108</v>
      </c>
      <c r="S638" s="421" t="s">
        <v>1108</v>
      </c>
      <c r="T638" s="421" t="s">
        <v>1130</v>
      </c>
      <c r="U638" s="421" t="s">
        <v>1112</v>
      </c>
      <c r="V638" s="421" t="s">
        <v>3097</v>
      </c>
      <c r="W638" s="421" t="s">
        <v>3098</v>
      </c>
      <c r="X638" s="421" t="s">
        <v>3099</v>
      </c>
      <c r="Y638" s="421" t="s">
        <v>1117</v>
      </c>
      <c r="Z638" s="421" t="s">
        <v>1118</v>
      </c>
      <c r="AA638" s="421" t="s">
        <v>3100</v>
      </c>
      <c r="AB638" s="421" t="s">
        <v>3101</v>
      </c>
      <c r="AC638" s="421" t="s">
        <v>3102</v>
      </c>
      <c r="AD638" s="421" t="s">
        <v>3802</v>
      </c>
      <c r="AE638" s="421" t="s">
        <v>3803</v>
      </c>
      <c r="AF638" s="421" t="s">
        <v>2236</v>
      </c>
      <c r="AG638" s="421" t="s">
        <v>2237</v>
      </c>
      <c r="AH638" s="421" t="s">
        <v>3105</v>
      </c>
      <c r="AI638" s="421">
        <v>4113200</v>
      </c>
      <c r="AJ638" s="421">
        <v>10955.14</v>
      </c>
      <c r="AK638" s="421">
        <v>11855.72</v>
      </c>
      <c r="AL638" s="421">
        <v>1</v>
      </c>
      <c r="AM638" s="421" t="s">
        <v>960</v>
      </c>
      <c r="AN638" s="421" t="s">
        <v>3804</v>
      </c>
      <c r="AO638" s="421" t="s">
        <v>1121</v>
      </c>
      <c r="AP638" s="421" t="s">
        <v>1121</v>
      </c>
      <c r="AQ638" s="421" t="s">
        <v>1108</v>
      </c>
      <c r="AR638" s="421" t="s">
        <v>3994</v>
      </c>
      <c r="AS638" s="421" t="s">
        <v>3997</v>
      </c>
      <c r="AT638" s="421" t="s">
        <v>3109</v>
      </c>
      <c r="AU638" s="421" t="s">
        <v>1142</v>
      </c>
      <c r="AV638" s="421" t="s">
        <v>3130</v>
      </c>
      <c r="AW638" s="421" t="s">
        <v>3110</v>
      </c>
      <c r="AX638" s="421" t="s">
        <v>3111</v>
      </c>
      <c r="AY638" s="421" t="s">
        <v>3112</v>
      </c>
      <c r="AZ638" s="421" t="s">
        <v>3113</v>
      </c>
      <c r="BA638" s="421" t="s">
        <v>3114</v>
      </c>
      <c r="BB638" s="421" t="s">
        <v>3115</v>
      </c>
      <c r="BC638" s="421">
        <v>132524.88</v>
      </c>
      <c r="BD638" s="421">
        <v>435613256.30000001</v>
      </c>
      <c r="BE638" s="421">
        <v>0</v>
      </c>
      <c r="BF638" s="421">
        <v>702.1</v>
      </c>
      <c r="BG638" s="421">
        <v>333.07</v>
      </c>
      <c r="BH638" s="421">
        <v>0</v>
      </c>
      <c r="BI638" s="421" t="s">
        <v>1167</v>
      </c>
    </row>
    <row r="639" spans="1:61" x14ac:dyDescent="0.25">
      <c r="A639" s="421">
        <v>636</v>
      </c>
      <c r="B639" s="421">
        <v>2015</v>
      </c>
      <c r="C639" s="421">
        <v>12</v>
      </c>
      <c r="D639" s="421">
        <v>9</v>
      </c>
      <c r="E639" s="421" t="s">
        <v>1475</v>
      </c>
      <c r="F639" s="421" t="s">
        <v>3284</v>
      </c>
      <c r="G639" s="421" t="s">
        <v>3132</v>
      </c>
      <c r="H639" s="421" t="s">
        <v>1107</v>
      </c>
      <c r="I639" s="421" t="s">
        <v>3022</v>
      </c>
      <c r="J639" s="421" t="s">
        <v>3996</v>
      </c>
      <c r="K639" s="421" t="s">
        <v>3093</v>
      </c>
      <c r="L639" s="421" t="s">
        <v>3094</v>
      </c>
      <c r="M639" s="421" t="s">
        <v>2667</v>
      </c>
      <c r="N639" s="421" t="s">
        <v>3093</v>
      </c>
      <c r="O639" s="421" t="s">
        <v>3094</v>
      </c>
      <c r="P639" s="421" t="s">
        <v>3095</v>
      </c>
      <c r="Q639" s="421" t="s">
        <v>3113</v>
      </c>
      <c r="R639" s="421" t="s">
        <v>1108</v>
      </c>
      <c r="S639" s="421" t="s">
        <v>1108</v>
      </c>
      <c r="T639" s="421" t="s">
        <v>1130</v>
      </c>
      <c r="U639" s="421" t="s">
        <v>1112</v>
      </c>
      <c r="V639" s="421" t="s">
        <v>3097</v>
      </c>
      <c r="W639" s="421" t="s">
        <v>3098</v>
      </c>
      <c r="X639" s="421" t="s">
        <v>3099</v>
      </c>
      <c r="Y639" s="421" t="s">
        <v>1117</v>
      </c>
      <c r="Z639" s="421" t="s">
        <v>1118</v>
      </c>
      <c r="AA639" s="421" t="s">
        <v>3100</v>
      </c>
      <c r="AB639" s="421" t="s">
        <v>3101</v>
      </c>
      <c r="AC639" s="421" t="s">
        <v>3102</v>
      </c>
      <c r="AD639" s="421" t="s">
        <v>3802</v>
      </c>
      <c r="AE639" s="421" t="s">
        <v>3803</v>
      </c>
      <c r="AF639" s="421" t="s">
        <v>2236</v>
      </c>
      <c r="AG639" s="421" t="s">
        <v>2237</v>
      </c>
      <c r="AH639" s="421" t="s">
        <v>3105</v>
      </c>
      <c r="AI639" s="421">
        <v>131800</v>
      </c>
      <c r="AJ639" s="421">
        <v>605.02</v>
      </c>
      <c r="AK639" s="421">
        <v>654.75</v>
      </c>
      <c r="AL639" s="421">
        <v>3</v>
      </c>
      <c r="AM639" s="421" t="s">
        <v>960</v>
      </c>
      <c r="AN639" s="421" t="s">
        <v>3804</v>
      </c>
      <c r="AO639" s="421" t="s">
        <v>1121</v>
      </c>
      <c r="AP639" s="421" t="s">
        <v>1121</v>
      </c>
      <c r="AQ639" s="421" t="s">
        <v>1108</v>
      </c>
      <c r="AR639" s="421" t="s">
        <v>3994</v>
      </c>
      <c r="AS639" s="421" t="s">
        <v>3997</v>
      </c>
      <c r="AT639" s="421" t="s">
        <v>3109</v>
      </c>
      <c r="AU639" s="421" t="s">
        <v>1142</v>
      </c>
      <c r="AV639" s="421" t="s">
        <v>3130</v>
      </c>
      <c r="AW639" s="421" t="s">
        <v>3110</v>
      </c>
      <c r="AX639" s="421" t="s">
        <v>3111</v>
      </c>
      <c r="AY639" s="421" t="s">
        <v>3112</v>
      </c>
      <c r="AZ639" s="421" t="s">
        <v>3113</v>
      </c>
      <c r="BA639" s="421" t="s">
        <v>3114</v>
      </c>
      <c r="BB639" s="421" t="s">
        <v>3115</v>
      </c>
      <c r="BC639" s="421">
        <v>13279.9</v>
      </c>
      <c r="BD639" s="421">
        <v>43651429.689999998</v>
      </c>
      <c r="BE639" s="421">
        <v>0</v>
      </c>
      <c r="BF639" s="421">
        <v>70.36</v>
      </c>
      <c r="BG639" s="421">
        <v>33.380000000000003</v>
      </c>
      <c r="BH639" s="421">
        <v>0</v>
      </c>
      <c r="BI639" s="421" t="s">
        <v>1167</v>
      </c>
    </row>
    <row r="640" spans="1:61" x14ac:dyDescent="0.25">
      <c r="A640" s="421">
        <v>637</v>
      </c>
      <c r="B640" s="421">
        <v>2015</v>
      </c>
      <c r="C640" s="421">
        <v>12</v>
      </c>
      <c r="D640" s="421">
        <v>9</v>
      </c>
      <c r="E640" s="421" t="s">
        <v>1475</v>
      </c>
      <c r="F640" s="421" t="s">
        <v>3284</v>
      </c>
      <c r="G640" s="421" t="s">
        <v>3132</v>
      </c>
      <c r="H640" s="421" t="s">
        <v>1107</v>
      </c>
      <c r="I640" s="421" t="s">
        <v>3022</v>
      </c>
      <c r="J640" s="421" t="s">
        <v>3996</v>
      </c>
      <c r="K640" s="421" t="s">
        <v>3093</v>
      </c>
      <c r="L640" s="421" t="s">
        <v>3094</v>
      </c>
      <c r="M640" s="421" t="s">
        <v>2667</v>
      </c>
      <c r="N640" s="421" t="s">
        <v>3093</v>
      </c>
      <c r="O640" s="421" t="s">
        <v>3094</v>
      </c>
      <c r="P640" s="421" t="s">
        <v>3095</v>
      </c>
      <c r="Q640" s="421" t="s">
        <v>3113</v>
      </c>
      <c r="R640" s="421" t="s">
        <v>1108</v>
      </c>
      <c r="S640" s="421" t="s">
        <v>1108</v>
      </c>
      <c r="T640" s="421" t="s">
        <v>1130</v>
      </c>
      <c r="U640" s="421" t="s">
        <v>1112</v>
      </c>
      <c r="V640" s="421" t="s">
        <v>3097</v>
      </c>
      <c r="W640" s="421" t="s">
        <v>3098</v>
      </c>
      <c r="X640" s="421" t="s">
        <v>3099</v>
      </c>
      <c r="Y640" s="421" t="s">
        <v>1117</v>
      </c>
      <c r="Z640" s="421" t="s">
        <v>1118</v>
      </c>
      <c r="AA640" s="421" t="s">
        <v>3100</v>
      </c>
      <c r="AB640" s="421" t="s">
        <v>3101</v>
      </c>
      <c r="AC640" s="421" t="s">
        <v>3102</v>
      </c>
      <c r="AD640" s="421" t="s">
        <v>3802</v>
      </c>
      <c r="AE640" s="421" t="s">
        <v>3803</v>
      </c>
      <c r="AF640" s="421" t="s">
        <v>2236</v>
      </c>
      <c r="AG640" s="421" t="s">
        <v>2237</v>
      </c>
      <c r="AH640" s="421" t="s">
        <v>3105</v>
      </c>
      <c r="AI640" s="421">
        <v>1898500</v>
      </c>
      <c r="AJ640" s="421">
        <v>3633.11</v>
      </c>
      <c r="AK640" s="421">
        <v>3931.77</v>
      </c>
      <c r="AL640" s="421">
        <v>2</v>
      </c>
      <c r="AM640" s="421" t="s">
        <v>960</v>
      </c>
      <c r="AN640" s="421" t="s">
        <v>3804</v>
      </c>
      <c r="AO640" s="421" t="s">
        <v>1121</v>
      </c>
      <c r="AP640" s="421" t="s">
        <v>1121</v>
      </c>
      <c r="AQ640" s="421" t="s">
        <v>1108</v>
      </c>
      <c r="AR640" s="421" t="s">
        <v>3994</v>
      </c>
      <c r="AS640" s="421" t="s">
        <v>3997</v>
      </c>
      <c r="AT640" s="421" t="s">
        <v>3109</v>
      </c>
      <c r="AU640" s="421" t="s">
        <v>1142</v>
      </c>
      <c r="AV640" s="421" t="s">
        <v>3130</v>
      </c>
      <c r="AW640" s="421" t="s">
        <v>3110</v>
      </c>
      <c r="AX640" s="421" t="s">
        <v>3111</v>
      </c>
      <c r="AY640" s="421" t="s">
        <v>3112</v>
      </c>
      <c r="AZ640" s="421" t="s">
        <v>3113</v>
      </c>
      <c r="BA640" s="421" t="s">
        <v>3114</v>
      </c>
      <c r="BB640" s="421" t="s">
        <v>3115</v>
      </c>
      <c r="BC640" s="421">
        <v>42949.8</v>
      </c>
      <c r="BD640" s="421">
        <v>141177281.09</v>
      </c>
      <c r="BE640" s="421">
        <v>0</v>
      </c>
      <c r="BF640" s="421">
        <v>227.54</v>
      </c>
      <c r="BG640" s="421">
        <v>107.94</v>
      </c>
      <c r="BH640" s="421">
        <v>0</v>
      </c>
      <c r="BI640" s="421" t="s">
        <v>1167</v>
      </c>
    </row>
    <row r="641" spans="1:61" x14ac:dyDescent="0.25">
      <c r="A641" s="421">
        <v>638</v>
      </c>
      <c r="B641" s="421">
        <v>2015</v>
      </c>
      <c r="C641" s="421">
        <v>12</v>
      </c>
      <c r="D641" s="421">
        <v>9</v>
      </c>
      <c r="E641" s="421" t="s">
        <v>1475</v>
      </c>
      <c r="F641" s="421" t="s">
        <v>3284</v>
      </c>
      <c r="G641" s="421" t="s">
        <v>3132</v>
      </c>
      <c r="H641" s="421" t="s">
        <v>1107</v>
      </c>
      <c r="I641" s="421" t="s">
        <v>3022</v>
      </c>
      <c r="J641" s="421" t="s">
        <v>3998</v>
      </c>
      <c r="K641" s="421" t="s">
        <v>3093</v>
      </c>
      <c r="L641" s="421" t="s">
        <v>3094</v>
      </c>
      <c r="M641" s="421" t="s">
        <v>2667</v>
      </c>
      <c r="N641" s="421" t="s">
        <v>3093</v>
      </c>
      <c r="O641" s="421" t="s">
        <v>3094</v>
      </c>
      <c r="P641" s="421" t="s">
        <v>3095</v>
      </c>
      <c r="Q641" s="421" t="s">
        <v>3113</v>
      </c>
      <c r="R641" s="421" t="s">
        <v>1108</v>
      </c>
      <c r="S641" s="421" t="s">
        <v>1108</v>
      </c>
      <c r="T641" s="421" t="s">
        <v>1130</v>
      </c>
      <c r="U641" s="421" t="s">
        <v>1112</v>
      </c>
      <c r="V641" s="421" t="s">
        <v>3097</v>
      </c>
      <c r="W641" s="421" t="s">
        <v>3098</v>
      </c>
      <c r="X641" s="421" t="s">
        <v>3099</v>
      </c>
      <c r="Y641" s="421" t="s">
        <v>1117</v>
      </c>
      <c r="Z641" s="421" t="s">
        <v>1118</v>
      </c>
      <c r="AA641" s="421" t="s">
        <v>3100</v>
      </c>
      <c r="AB641" s="421" t="s">
        <v>3101</v>
      </c>
      <c r="AC641" s="421" t="s">
        <v>3102</v>
      </c>
      <c r="AD641" s="421" t="s">
        <v>3990</v>
      </c>
      <c r="AE641" s="421" t="s">
        <v>3991</v>
      </c>
      <c r="AF641" s="421" t="s">
        <v>3375</v>
      </c>
      <c r="AG641" s="421" t="s">
        <v>3376</v>
      </c>
      <c r="AH641" s="421" t="s">
        <v>3105</v>
      </c>
      <c r="AI641" s="421">
        <v>150</v>
      </c>
      <c r="AJ641" s="421">
        <v>24.5</v>
      </c>
      <c r="AK641" s="421">
        <v>25.9</v>
      </c>
      <c r="AL641" s="421">
        <v>2</v>
      </c>
      <c r="AM641" s="421" t="s">
        <v>3992</v>
      </c>
      <c r="AN641" s="421" t="s">
        <v>3993</v>
      </c>
      <c r="AO641" s="421" t="s">
        <v>1121</v>
      </c>
      <c r="AP641" s="421" t="s">
        <v>1121</v>
      </c>
      <c r="AQ641" s="421" t="s">
        <v>1108</v>
      </c>
      <c r="AR641" s="421" t="s">
        <v>3994</v>
      </c>
      <c r="AS641" s="421" t="s">
        <v>3999</v>
      </c>
      <c r="AT641" s="421" t="s">
        <v>3109</v>
      </c>
      <c r="AU641" s="421" t="s">
        <v>1142</v>
      </c>
      <c r="AV641" s="421" t="s">
        <v>3130</v>
      </c>
      <c r="AW641" s="421" t="s">
        <v>3110</v>
      </c>
      <c r="AX641" s="421" t="s">
        <v>3229</v>
      </c>
      <c r="AY641" s="421" t="s">
        <v>3112</v>
      </c>
      <c r="AZ641" s="421" t="s">
        <v>3113</v>
      </c>
      <c r="BA641" s="421" t="s">
        <v>3114</v>
      </c>
      <c r="BB641" s="421" t="s">
        <v>3230</v>
      </c>
      <c r="BC641" s="421">
        <v>6</v>
      </c>
      <c r="BD641" s="421">
        <v>19722.18</v>
      </c>
      <c r="BE641" s="421">
        <v>0</v>
      </c>
      <c r="BF641" s="421">
        <v>0</v>
      </c>
      <c r="BG641" s="421">
        <v>0</v>
      </c>
      <c r="BH641" s="421">
        <v>0</v>
      </c>
      <c r="BI641" s="421" t="s">
        <v>1149</v>
      </c>
    </row>
    <row r="642" spans="1:61" x14ac:dyDescent="0.25">
      <c r="A642" s="421">
        <v>639</v>
      </c>
      <c r="B642" s="421">
        <v>2015</v>
      </c>
      <c r="C642" s="421">
        <v>12</v>
      </c>
      <c r="D642" s="421">
        <v>9</v>
      </c>
      <c r="E642" s="421" t="s">
        <v>1475</v>
      </c>
      <c r="F642" s="421" t="s">
        <v>3284</v>
      </c>
      <c r="G642" s="421" t="s">
        <v>3132</v>
      </c>
      <c r="H642" s="421" t="s">
        <v>1107</v>
      </c>
      <c r="I642" s="421" t="s">
        <v>3022</v>
      </c>
      <c r="J642" s="421" t="s">
        <v>3998</v>
      </c>
      <c r="K642" s="421" t="s">
        <v>3093</v>
      </c>
      <c r="L642" s="421" t="s">
        <v>3094</v>
      </c>
      <c r="M642" s="421" t="s">
        <v>2667</v>
      </c>
      <c r="N642" s="421" t="s">
        <v>3093</v>
      </c>
      <c r="O642" s="421" t="s">
        <v>3094</v>
      </c>
      <c r="P642" s="421" t="s">
        <v>3095</v>
      </c>
      <c r="Q642" s="421" t="s">
        <v>3113</v>
      </c>
      <c r="R642" s="421" t="s">
        <v>1108</v>
      </c>
      <c r="S642" s="421" t="s">
        <v>1108</v>
      </c>
      <c r="T642" s="421" t="s">
        <v>1130</v>
      </c>
      <c r="U642" s="421" t="s">
        <v>1112</v>
      </c>
      <c r="V642" s="421" t="s">
        <v>3097</v>
      </c>
      <c r="W642" s="421" t="s">
        <v>3098</v>
      </c>
      <c r="X642" s="421" t="s">
        <v>3099</v>
      </c>
      <c r="Y642" s="421" t="s">
        <v>1117</v>
      </c>
      <c r="Z642" s="421" t="s">
        <v>1118</v>
      </c>
      <c r="AA642" s="421" t="s">
        <v>3100</v>
      </c>
      <c r="AB642" s="421" t="s">
        <v>3101</v>
      </c>
      <c r="AC642" s="421" t="s">
        <v>3102</v>
      </c>
      <c r="AD642" s="421" t="s">
        <v>3990</v>
      </c>
      <c r="AE642" s="421" t="s">
        <v>3991</v>
      </c>
      <c r="AF642" s="421" t="s">
        <v>1300</v>
      </c>
      <c r="AG642" s="421" t="s">
        <v>1301</v>
      </c>
      <c r="AH642" s="421" t="s">
        <v>1127</v>
      </c>
      <c r="AI642" s="421">
        <v>40.299999999999997</v>
      </c>
      <c r="AJ642" s="421">
        <v>40.299999999999997</v>
      </c>
      <c r="AK642" s="421">
        <v>42.61</v>
      </c>
      <c r="AL642" s="421">
        <v>1</v>
      </c>
      <c r="AM642" s="421" t="s">
        <v>3992</v>
      </c>
      <c r="AN642" s="421" t="s">
        <v>3993</v>
      </c>
      <c r="AO642" s="421" t="s">
        <v>1121</v>
      </c>
      <c r="AP642" s="421" t="s">
        <v>1121</v>
      </c>
      <c r="AQ642" s="421" t="s">
        <v>1108</v>
      </c>
      <c r="AR642" s="421" t="s">
        <v>3994</v>
      </c>
      <c r="AS642" s="421" t="s">
        <v>3999</v>
      </c>
      <c r="AT642" s="421" t="s">
        <v>3109</v>
      </c>
      <c r="AU642" s="421" t="s">
        <v>1142</v>
      </c>
      <c r="AV642" s="421" t="s">
        <v>3130</v>
      </c>
      <c r="AW642" s="421" t="s">
        <v>3110</v>
      </c>
      <c r="AX642" s="421" t="s">
        <v>3229</v>
      </c>
      <c r="AY642" s="421" t="s">
        <v>3112</v>
      </c>
      <c r="AZ642" s="421" t="s">
        <v>3113</v>
      </c>
      <c r="BA642" s="421" t="s">
        <v>3114</v>
      </c>
      <c r="BB642" s="421" t="s">
        <v>3230</v>
      </c>
      <c r="BC642" s="421">
        <v>5.5</v>
      </c>
      <c r="BD642" s="421">
        <v>18078.66</v>
      </c>
      <c r="BE642" s="421">
        <v>0</v>
      </c>
      <c r="BF642" s="421">
        <v>0</v>
      </c>
      <c r="BG642" s="421">
        <v>0</v>
      </c>
      <c r="BH642" s="421">
        <v>0</v>
      </c>
      <c r="BI642" s="421" t="s">
        <v>1149</v>
      </c>
    </row>
    <row r="643" spans="1:61" x14ac:dyDescent="0.25">
      <c r="A643" s="421">
        <v>640</v>
      </c>
      <c r="B643" s="421">
        <v>2015</v>
      </c>
      <c r="C643" s="421">
        <v>12</v>
      </c>
      <c r="D643" s="421">
        <v>10</v>
      </c>
      <c r="E643" s="421" t="s">
        <v>1475</v>
      </c>
      <c r="F643" s="421" t="s">
        <v>3284</v>
      </c>
      <c r="G643" s="421" t="s">
        <v>3480</v>
      </c>
      <c r="H643" s="421" t="s">
        <v>1107</v>
      </c>
      <c r="I643" s="421" t="s">
        <v>3014</v>
      </c>
      <c r="J643" s="421" t="s">
        <v>4000</v>
      </c>
      <c r="K643" s="421" t="s">
        <v>3093</v>
      </c>
      <c r="L643" s="421" t="s">
        <v>3094</v>
      </c>
      <c r="M643" s="421" t="s">
        <v>2667</v>
      </c>
      <c r="N643" s="421" t="s">
        <v>3093</v>
      </c>
      <c r="O643" s="421" t="s">
        <v>3094</v>
      </c>
      <c r="P643" s="421" t="s">
        <v>3095</v>
      </c>
      <c r="Q643" s="421" t="s">
        <v>3113</v>
      </c>
      <c r="R643" s="421" t="s">
        <v>1108</v>
      </c>
      <c r="S643" s="421" t="s">
        <v>1108</v>
      </c>
      <c r="T643" s="421" t="s">
        <v>1130</v>
      </c>
      <c r="U643" s="421" t="s">
        <v>1112</v>
      </c>
      <c r="V643" s="421" t="s">
        <v>3097</v>
      </c>
      <c r="W643" s="421" t="s">
        <v>3098</v>
      </c>
      <c r="X643" s="421" t="s">
        <v>3099</v>
      </c>
      <c r="Y643" s="421" t="s">
        <v>1117</v>
      </c>
      <c r="Z643" s="421" t="s">
        <v>1118</v>
      </c>
      <c r="AA643" s="421" t="s">
        <v>3100</v>
      </c>
      <c r="AB643" s="421" t="s">
        <v>3101</v>
      </c>
      <c r="AC643" s="421" t="s">
        <v>3102</v>
      </c>
      <c r="AD643" s="421" t="s">
        <v>3251</v>
      </c>
      <c r="AE643" s="421" t="s">
        <v>3252</v>
      </c>
      <c r="AF643" s="421" t="s">
        <v>2236</v>
      </c>
      <c r="AG643" s="421" t="s">
        <v>2237</v>
      </c>
      <c r="AH643" s="421" t="s">
        <v>3105</v>
      </c>
      <c r="AI643" s="421">
        <v>186000</v>
      </c>
      <c r="AJ643" s="421">
        <v>583.89</v>
      </c>
      <c r="AK643" s="421">
        <v>631.16</v>
      </c>
      <c r="AL643" s="421">
        <v>2</v>
      </c>
      <c r="AM643" s="421" t="s">
        <v>3253</v>
      </c>
      <c r="AN643" s="421" t="s">
        <v>3254</v>
      </c>
      <c r="AO643" s="421" t="s">
        <v>1121</v>
      </c>
      <c r="AP643" s="421" t="s">
        <v>1121</v>
      </c>
      <c r="AQ643" s="421" t="s">
        <v>1108</v>
      </c>
      <c r="AR643" s="421" t="s">
        <v>3994</v>
      </c>
      <c r="AS643" s="421" t="s">
        <v>4001</v>
      </c>
      <c r="AT643" s="421" t="s">
        <v>3109</v>
      </c>
      <c r="AU643" s="421" t="s">
        <v>1142</v>
      </c>
      <c r="AV643" s="421" t="s">
        <v>2037</v>
      </c>
      <c r="AW643" s="421" t="s">
        <v>3110</v>
      </c>
      <c r="AX643" s="421" t="s">
        <v>3111</v>
      </c>
      <c r="AY643" s="421" t="s">
        <v>3112</v>
      </c>
      <c r="AZ643" s="421" t="s">
        <v>3113</v>
      </c>
      <c r="BA643" s="421" t="s">
        <v>3114</v>
      </c>
      <c r="BB643" s="421" t="s">
        <v>3115</v>
      </c>
      <c r="BC643" s="421">
        <v>6998.4</v>
      </c>
      <c r="BD643" s="421">
        <v>23052869.559999999</v>
      </c>
      <c r="BE643" s="421">
        <v>0</v>
      </c>
      <c r="BF643" s="421">
        <v>408.71</v>
      </c>
      <c r="BG643" s="421">
        <v>18.52</v>
      </c>
      <c r="BH643" s="421">
        <v>0</v>
      </c>
      <c r="BI643" s="421" t="s">
        <v>3256</v>
      </c>
    </row>
    <row r="644" spans="1:61" x14ac:dyDescent="0.25">
      <c r="A644" s="421">
        <v>641</v>
      </c>
      <c r="B644" s="421">
        <v>2015</v>
      </c>
      <c r="C644" s="421">
        <v>12</v>
      </c>
      <c r="D644" s="421">
        <v>10</v>
      </c>
      <c r="E644" s="421" t="s">
        <v>1475</v>
      </c>
      <c r="F644" s="421" t="s">
        <v>3284</v>
      </c>
      <c r="G644" s="421" t="s">
        <v>3480</v>
      </c>
      <c r="H644" s="421" t="s">
        <v>1107</v>
      </c>
      <c r="I644" s="421" t="s">
        <v>3014</v>
      </c>
      <c r="J644" s="421" t="s">
        <v>4000</v>
      </c>
      <c r="K644" s="421" t="s">
        <v>3093</v>
      </c>
      <c r="L644" s="421" t="s">
        <v>3094</v>
      </c>
      <c r="M644" s="421" t="s">
        <v>2667</v>
      </c>
      <c r="N644" s="421" t="s">
        <v>3093</v>
      </c>
      <c r="O644" s="421" t="s">
        <v>3094</v>
      </c>
      <c r="P644" s="421" t="s">
        <v>3095</v>
      </c>
      <c r="Q644" s="421" t="s">
        <v>3113</v>
      </c>
      <c r="R644" s="421" t="s">
        <v>1108</v>
      </c>
      <c r="S644" s="421" t="s">
        <v>1108</v>
      </c>
      <c r="T644" s="421" t="s">
        <v>1130</v>
      </c>
      <c r="U644" s="421" t="s">
        <v>1112</v>
      </c>
      <c r="V644" s="421" t="s">
        <v>3097</v>
      </c>
      <c r="W644" s="421" t="s">
        <v>3098</v>
      </c>
      <c r="X644" s="421" t="s">
        <v>3099</v>
      </c>
      <c r="Y644" s="421" t="s">
        <v>1117</v>
      </c>
      <c r="Z644" s="421" t="s">
        <v>1118</v>
      </c>
      <c r="AA644" s="421" t="s">
        <v>3100</v>
      </c>
      <c r="AB644" s="421" t="s">
        <v>3101</v>
      </c>
      <c r="AC644" s="421" t="s">
        <v>3102</v>
      </c>
      <c r="AD644" s="421" t="s">
        <v>3251</v>
      </c>
      <c r="AE644" s="421" t="s">
        <v>3252</v>
      </c>
      <c r="AF644" s="421" t="s">
        <v>2236</v>
      </c>
      <c r="AG644" s="421" t="s">
        <v>2237</v>
      </c>
      <c r="AH644" s="421" t="s">
        <v>3105</v>
      </c>
      <c r="AI644" s="421">
        <v>918000</v>
      </c>
      <c r="AJ644" s="421">
        <v>2561.75</v>
      </c>
      <c r="AK644" s="421">
        <v>2769.15</v>
      </c>
      <c r="AL644" s="421">
        <v>1</v>
      </c>
      <c r="AM644" s="421" t="s">
        <v>3253</v>
      </c>
      <c r="AN644" s="421" t="s">
        <v>3254</v>
      </c>
      <c r="AO644" s="421" t="s">
        <v>1121</v>
      </c>
      <c r="AP644" s="421" t="s">
        <v>1121</v>
      </c>
      <c r="AQ644" s="421" t="s">
        <v>1108</v>
      </c>
      <c r="AR644" s="421" t="s">
        <v>3994</v>
      </c>
      <c r="AS644" s="421" t="s">
        <v>4001</v>
      </c>
      <c r="AT644" s="421" t="s">
        <v>3109</v>
      </c>
      <c r="AU644" s="421" t="s">
        <v>1142</v>
      </c>
      <c r="AV644" s="421" t="s">
        <v>2037</v>
      </c>
      <c r="AW644" s="421" t="s">
        <v>3110</v>
      </c>
      <c r="AX644" s="421" t="s">
        <v>3111</v>
      </c>
      <c r="AY644" s="421" t="s">
        <v>3112</v>
      </c>
      <c r="AZ644" s="421" t="s">
        <v>3113</v>
      </c>
      <c r="BA644" s="421" t="s">
        <v>3114</v>
      </c>
      <c r="BB644" s="421" t="s">
        <v>3115</v>
      </c>
      <c r="BC644" s="421">
        <v>30970.6</v>
      </c>
      <c r="BD644" s="421">
        <v>102017775.81</v>
      </c>
      <c r="BE644" s="421">
        <v>0</v>
      </c>
      <c r="BF644" s="421">
        <v>1808.69</v>
      </c>
      <c r="BG644" s="421">
        <v>81.95</v>
      </c>
      <c r="BH644" s="421">
        <v>0</v>
      </c>
      <c r="BI644" s="421" t="s">
        <v>3256</v>
      </c>
    </row>
    <row r="645" spans="1:61" x14ac:dyDescent="0.25">
      <c r="A645" s="421">
        <v>642</v>
      </c>
      <c r="B645" s="421">
        <v>2015</v>
      </c>
      <c r="C645" s="421">
        <v>12</v>
      </c>
      <c r="D645" s="421">
        <v>10</v>
      </c>
      <c r="E645" s="421" t="s">
        <v>1475</v>
      </c>
      <c r="F645" s="421" t="s">
        <v>3284</v>
      </c>
      <c r="G645" s="421" t="s">
        <v>3480</v>
      </c>
      <c r="H645" s="421" t="s">
        <v>1107</v>
      </c>
      <c r="I645" s="421" t="s">
        <v>3014</v>
      </c>
      <c r="J645" s="421" t="s">
        <v>4000</v>
      </c>
      <c r="K645" s="421" t="s">
        <v>3093</v>
      </c>
      <c r="L645" s="421" t="s">
        <v>3094</v>
      </c>
      <c r="M645" s="421" t="s">
        <v>2667</v>
      </c>
      <c r="N645" s="421" t="s">
        <v>3093</v>
      </c>
      <c r="O645" s="421" t="s">
        <v>3094</v>
      </c>
      <c r="P645" s="421" t="s">
        <v>3095</v>
      </c>
      <c r="Q645" s="421" t="s">
        <v>3113</v>
      </c>
      <c r="R645" s="421" t="s">
        <v>1108</v>
      </c>
      <c r="S645" s="421" t="s">
        <v>1108</v>
      </c>
      <c r="T645" s="421" t="s">
        <v>1130</v>
      </c>
      <c r="U645" s="421" t="s">
        <v>1112</v>
      </c>
      <c r="V645" s="421" t="s">
        <v>3097</v>
      </c>
      <c r="W645" s="421" t="s">
        <v>3098</v>
      </c>
      <c r="X645" s="421" t="s">
        <v>3099</v>
      </c>
      <c r="Y645" s="421" t="s">
        <v>1117</v>
      </c>
      <c r="Z645" s="421" t="s">
        <v>1118</v>
      </c>
      <c r="AA645" s="421" t="s">
        <v>3100</v>
      </c>
      <c r="AB645" s="421" t="s">
        <v>3101</v>
      </c>
      <c r="AC645" s="421" t="s">
        <v>3102</v>
      </c>
      <c r="AD645" s="421" t="s">
        <v>3251</v>
      </c>
      <c r="AE645" s="421" t="s">
        <v>3252</v>
      </c>
      <c r="AF645" s="421" t="s">
        <v>2236</v>
      </c>
      <c r="AG645" s="421" t="s">
        <v>2237</v>
      </c>
      <c r="AH645" s="421" t="s">
        <v>3105</v>
      </c>
      <c r="AI645" s="421">
        <v>226000</v>
      </c>
      <c r="AJ645" s="421">
        <v>828.08</v>
      </c>
      <c r="AK645" s="421">
        <v>895.12</v>
      </c>
      <c r="AL645" s="421">
        <v>3</v>
      </c>
      <c r="AM645" s="421" t="s">
        <v>3253</v>
      </c>
      <c r="AN645" s="421" t="s">
        <v>3254</v>
      </c>
      <c r="AO645" s="421" t="s">
        <v>1121</v>
      </c>
      <c r="AP645" s="421" t="s">
        <v>1121</v>
      </c>
      <c r="AQ645" s="421" t="s">
        <v>1108</v>
      </c>
      <c r="AR645" s="421" t="s">
        <v>3994</v>
      </c>
      <c r="AS645" s="421" t="s">
        <v>4001</v>
      </c>
      <c r="AT645" s="421" t="s">
        <v>3109</v>
      </c>
      <c r="AU645" s="421" t="s">
        <v>1142</v>
      </c>
      <c r="AV645" s="421" t="s">
        <v>2037</v>
      </c>
      <c r="AW645" s="421" t="s">
        <v>3110</v>
      </c>
      <c r="AX645" s="421" t="s">
        <v>3111</v>
      </c>
      <c r="AY645" s="421" t="s">
        <v>3112</v>
      </c>
      <c r="AZ645" s="421" t="s">
        <v>3113</v>
      </c>
      <c r="BA645" s="421" t="s">
        <v>3114</v>
      </c>
      <c r="BB645" s="421" t="s">
        <v>3115</v>
      </c>
      <c r="BC645" s="421">
        <v>17218.400000000001</v>
      </c>
      <c r="BD645" s="421">
        <v>56717753.960000001</v>
      </c>
      <c r="BE645" s="421">
        <v>0</v>
      </c>
      <c r="BF645" s="421">
        <v>1005.56</v>
      </c>
      <c r="BG645" s="421">
        <v>45.56</v>
      </c>
      <c r="BH645" s="421">
        <v>0</v>
      </c>
      <c r="BI645" s="421" t="s">
        <v>3256</v>
      </c>
    </row>
    <row r="646" spans="1:61" x14ac:dyDescent="0.25">
      <c r="A646" s="421">
        <v>643</v>
      </c>
      <c r="B646" s="421">
        <v>2015</v>
      </c>
      <c r="C646" s="421">
        <v>12</v>
      </c>
      <c r="D646" s="421">
        <v>10</v>
      </c>
      <c r="E646" s="421" t="s">
        <v>1475</v>
      </c>
      <c r="F646" s="421" t="s">
        <v>3284</v>
      </c>
      <c r="G646" s="421" t="s">
        <v>3480</v>
      </c>
      <c r="H646" s="421" t="s">
        <v>1107</v>
      </c>
      <c r="I646" s="421" t="s">
        <v>3014</v>
      </c>
      <c r="J646" s="421" t="s">
        <v>4000</v>
      </c>
      <c r="K646" s="421" t="s">
        <v>3093</v>
      </c>
      <c r="L646" s="421" t="s">
        <v>3094</v>
      </c>
      <c r="M646" s="421" t="s">
        <v>2667</v>
      </c>
      <c r="N646" s="421" t="s">
        <v>3093</v>
      </c>
      <c r="O646" s="421" t="s">
        <v>3094</v>
      </c>
      <c r="P646" s="421" t="s">
        <v>3095</v>
      </c>
      <c r="Q646" s="421" t="s">
        <v>3113</v>
      </c>
      <c r="R646" s="421" t="s">
        <v>1108</v>
      </c>
      <c r="S646" s="421" t="s">
        <v>1108</v>
      </c>
      <c r="T646" s="421" t="s">
        <v>1130</v>
      </c>
      <c r="U646" s="421" t="s">
        <v>1112</v>
      </c>
      <c r="V646" s="421" t="s">
        <v>3097</v>
      </c>
      <c r="W646" s="421" t="s">
        <v>3098</v>
      </c>
      <c r="X646" s="421" t="s">
        <v>3099</v>
      </c>
      <c r="Y646" s="421" t="s">
        <v>1117</v>
      </c>
      <c r="Z646" s="421" t="s">
        <v>1118</v>
      </c>
      <c r="AA646" s="421" t="s">
        <v>3100</v>
      </c>
      <c r="AB646" s="421" t="s">
        <v>3101</v>
      </c>
      <c r="AC646" s="421" t="s">
        <v>3102</v>
      </c>
      <c r="AD646" s="421" t="s">
        <v>3251</v>
      </c>
      <c r="AE646" s="421" t="s">
        <v>3252</v>
      </c>
      <c r="AF646" s="421" t="s">
        <v>2236</v>
      </c>
      <c r="AG646" s="421" t="s">
        <v>2237</v>
      </c>
      <c r="AH646" s="421" t="s">
        <v>3105</v>
      </c>
      <c r="AI646" s="421">
        <v>6000</v>
      </c>
      <c r="AJ646" s="421">
        <v>23.62</v>
      </c>
      <c r="AK646" s="421">
        <v>25.53</v>
      </c>
      <c r="AL646" s="421">
        <v>4</v>
      </c>
      <c r="AM646" s="421" t="s">
        <v>3253</v>
      </c>
      <c r="AN646" s="421" t="s">
        <v>3254</v>
      </c>
      <c r="AO646" s="421" t="s">
        <v>1121</v>
      </c>
      <c r="AP646" s="421" t="s">
        <v>1121</v>
      </c>
      <c r="AQ646" s="421" t="s">
        <v>1108</v>
      </c>
      <c r="AR646" s="421" t="s">
        <v>3994</v>
      </c>
      <c r="AS646" s="421" t="s">
        <v>4001</v>
      </c>
      <c r="AT646" s="421" t="s">
        <v>3109</v>
      </c>
      <c r="AU646" s="421" t="s">
        <v>1142</v>
      </c>
      <c r="AV646" s="421" t="s">
        <v>2037</v>
      </c>
      <c r="AW646" s="421" t="s">
        <v>3110</v>
      </c>
      <c r="AX646" s="421" t="s">
        <v>3111</v>
      </c>
      <c r="AY646" s="421" t="s">
        <v>3112</v>
      </c>
      <c r="AZ646" s="421" t="s">
        <v>3113</v>
      </c>
      <c r="BA646" s="421" t="s">
        <v>3114</v>
      </c>
      <c r="BB646" s="421" t="s">
        <v>3115</v>
      </c>
      <c r="BC646" s="421">
        <v>463.2</v>
      </c>
      <c r="BD646" s="421">
        <v>1525790.06</v>
      </c>
      <c r="BE646" s="421">
        <v>0</v>
      </c>
      <c r="BF646" s="421">
        <v>27.05</v>
      </c>
      <c r="BG646" s="421">
        <v>1.23</v>
      </c>
      <c r="BH646" s="421">
        <v>0</v>
      </c>
      <c r="BI646" s="421" t="s">
        <v>3256</v>
      </c>
    </row>
    <row r="647" spans="1:61" x14ac:dyDescent="0.25">
      <c r="A647" s="421">
        <v>644</v>
      </c>
      <c r="B647" s="421">
        <v>2015</v>
      </c>
      <c r="C647" s="421">
        <v>12</v>
      </c>
      <c r="D647" s="421">
        <v>12</v>
      </c>
      <c r="E647" s="421" t="s">
        <v>1475</v>
      </c>
      <c r="F647" s="421" t="s">
        <v>3284</v>
      </c>
      <c r="G647" s="421" t="s">
        <v>3284</v>
      </c>
      <c r="H647" s="421" t="s">
        <v>1107</v>
      </c>
      <c r="I647" s="421" t="s">
        <v>3034</v>
      </c>
      <c r="J647" s="421" t="s">
        <v>4002</v>
      </c>
      <c r="K647" s="421" t="s">
        <v>3093</v>
      </c>
      <c r="L647" s="421" t="s">
        <v>3094</v>
      </c>
      <c r="M647" s="421" t="s">
        <v>2667</v>
      </c>
      <c r="N647" s="421" t="s">
        <v>3093</v>
      </c>
      <c r="O647" s="421" t="s">
        <v>3094</v>
      </c>
      <c r="P647" s="421" t="s">
        <v>3095</v>
      </c>
      <c r="Q647" s="421" t="s">
        <v>3113</v>
      </c>
      <c r="R647" s="421" t="s">
        <v>1108</v>
      </c>
      <c r="S647" s="421" t="s">
        <v>1108</v>
      </c>
      <c r="T647" s="421" t="s">
        <v>1130</v>
      </c>
      <c r="U647" s="421" t="s">
        <v>1112</v>
      </c>
      <c r="V647" s="421" t="s">
        <v>3097</v>
      </c>
      <c r="W647" s="421" t="s">
        <v>3098</v>
      </c>
      <c r="X647" s="421" t="s">
        <v>3099</v>
      </c>
      <c r="Y647" s="421" t="s">
        <v>1117</v>
      </c>
      <c r="Z647" s="421" t="s">
        <v>1118</v>
      </c>
      <c r="AA647" s="421" t="s">
        <v>3100</v>
      </c>
      <c r="AB647" s="421" t="s">
        <v>3101</v>
      </c>
      <c r="AC647" s="421" t="s">
        <v>3102</v>
      </c>
      <c r="AD647" s="421" t="s">
        <v>3125</v>
      </c>
      <c r="AE647" s="421" t="s">
        <v>3126</v>
      </c>
      <c r="AF647" s="421" t="s">
        <v>2236</v>
      </c>
      <c r="AG647" s="421" t="s">
        <v>2237</v>
      </c>
      <c r="AH647" s="421" t="s">
        <v>3105</v>
      </c>
      <c r="AI647" s="421">
        <v>74000</v>
      </c>
      <c r="AJ647" s="421">
        <v>177.18</v>
      </c>
      <c r="AK647" s="421">
        <v>204.7</v>
      </c>
      <c r="AL647" s="421">
        <v>2</v>
      </c>
      <c r="AM647" s="421" t="s">
        <v>962</v>
      </c>
      <c r="AN647" s="421" t="s">
        <v>3127</v>
      </c>
      <c r="AO647" s="421" t="s">
        <v>1121</v>
      </c>
      <c r="AP647" s="421" t="s">
        <v>1121</v>
      </c>
      <c r="AQ647" s="421" t="s">
        <v>1108</v>
      </c>
      <c r="AR647" s="421" t="s">
        <v>3891</v>
      </c>
      <c r="AS647" s="421" t="s">
        <v>4003</v>
      </c>
      <c r="AT647" s="421" t="s">
        <v>3109</v>
      </c>
      <c r="AU647" s="421" t="s">
        <v>1142</v>
      </c>
      <c r="AV647" s="421" t="s">
        <v>3130</v>
      </c>
      <c r="AW647" s="421" t="s">
        <v>3110</v>
      </c>
      <c r="AX647" s="421" t="s">
        <v>3111</v>
      </c>
      <c r="AY647" s="421" t="s">
        <v>3112</v>
      </c>
      <c r="AZ647" s="421" t="s">
        <v>3113</v>
      </c>
      <c r="BA647" s="421" t="s">
        <v>3114</v>
      </c>
      <c r="BB647" s="421" t="s">
        <v>3115</v>
      </c>
      <c r="BC647" s="421">
        <v>2720.8</v>
      </c>
      <c r="BD647" s="421">
        <v>8976898.6799999997</v>
      </c>
      <c r="BE647" s="421">
        <v>0</v>
      </c>
      <c r="BF647" s="421">
        <v>177.3</v>
      </c>
      <c r="BG647" s="421">
        <v>0</v>
      </c>
      <c r="BH647" s="421">
        <v>0</v>
      </c>
      <c r="BI647" s="421" t="s">
        <v>1149</v>
      </c>
    </row>
    <row r="648" spans="1:61" x14ac:dyDescent="0.25">
      <c r="A648" s="421">
        <v>645</v>
      </c>
      <c r="B648" s="421">
        <v>2015</v>
      </c>
      <c r="C648" s="421">
        <v>12</v>
      </c>
      <c r="D648" s="421">
        <v>12</v>
      </c>
      <c r="E648" s="421" t="s">
        <v>1475</v>
      </c>
      <c r="F648" s="421" t="s">
        <v>3284</v>
      </c>
      <c r="G648" s="421" t="s">
        <v>3284</v>
      </c>
      <c r="H648" s="421" t="s">
        <v>1107</v>
      </c>
      <c r="I648" s="421" t="s">
        <v>3034</v>
      </c>
      <c r="J648" s="421" t="s">
        <v>4002</v>
      </c>
      <c r="K648" s="421" t="s">
        <v>3093</v>
      </c>
      <c r="L648" s="421" t="s">
        <v>3094</v>
      </c>
      <c r="M648" s="421" t="s">
        <v>2667</v>
      </c>
      <c r="N648" s="421" t="s">
        <v>3093</v>
      </c>
      <c r="O648" s="421" t="s">
        <v>3094</v>
      </c>
      <c r="P648" s="421" t="s">
        <v>3095</v>
      </c>
      <c r="Q648" s="421" t="s">
        <v>3113</v>
      </c>
      <c r="R648" s="421" t="s">
        <v>1108</v>
      </c>
      <c r="S648" s="421" t="s">
        <v>1108</v>
      </c>
      <c r="T648" s="421" t="s">
        <v>1130</v>
      </c>
      <c r="U648" s="421" t="s">
        <v>1112</v>
      </c>
      <c r="V648" s="421" t="s">
        <v>3097</v>
      </c>
      <c r="W648" s="421" t="s">
        <v>3098</v>
      </c>
      <c r="X648" s="421" t="s">
        <v>3099</v>
      </c>
      <c r="Y648" s="421" t="s">
        <v>1117</v>
      </c>
      <c r="Z648" s="421" t="s">
        <v>1118</v>
      </c>
      <c r="AA648" s="421" t="s">
        <v>3100</v>
      </c>
      <c r="AB648" s="421" t="s">
        <v>3101</v>
      </c>
      <c r="AC648" s="421" t="s">
        <v>3102</v>
      </c>
      <c r="AD648" s="421" t="s">
        <v>3125</v>
      </c>
      <c r="AE648" s="421" t="s">
        <v>3126</v>
      </c>
      <c r="AF648" s="421" t="s">
        <v>2236</v>
      </c>
      <c r="AG648" s="421" t="s">
        <v>2237</v>
      </c>
      <c r="AH648" s="421" t="s">
        <v>3105</v>
      </c>
      <c r="AI648" s="421">
        <v>639600</v>
      </c>
      <c r="AJ648" s="421">
        <v>2285.42</v>
      </c>
      <c r="AK648" s="421">
        <v>2640.49</v>
      </c>
      <c r="AL648" s="421">
        <v>1</v>
      </c>
      <c r="AM648" s="421" t="s">
        <v>962</v>
      </c>
      <c r="AN648" s="421" t="s">
        <v>3127</v>
      </c>
      <c r="AO648" s="421" t="s">
        <v>1121</v>
      </c>
      <c r="AP648" s="421" t="s">
        <v>1121</v>
      </c>
      <c r="AQ648" s="421" t="s">
        <v>1108</v>
      </c>
      <c r="AR648" s="421" t="s">
        <v>3891</v>
      </c>
      <c r="AS648" s="421" t="s">
        <v>4003</v>
      </c>
      <c r="AT648" s="421" t="s">
        <v>3109</v>
      </c>
      <c r="AU648" s="421" t="s">
        <v>1142</v>
      </c>
      <c r="AV648" s="421" t="s">
        <v>3130</v>
      </c>
      <c r="AW648" s="421" t="s">
        <v>3110</v>
      </c>
      <c r="AX648" s="421" t="s">
        <v>3111</v>
      </c>
      <c r="AY648" s="421" t="s">
        <v>3112</v>
      </c>
      <c r="AZ648" s="421" t="s">
        <v>3113</v>
      </c>
      <c r="BA648" s="421" t="s">
        <v>3114</v>
      </c>
      <c r="BB648" s="421" t="s">
        <v>3115</v>
      </c>
      <c r="BC648" s="421">
        <v>31866.799999999999</v>
      </c>
      <c r="BD648" s="421">
        <v>105140045.23999999</v>
      </c>
      <c r="BE648" s="421">
        <v>0</v>
      </c>
      <c r="BF648" s="421">
        <v>2076.63</v>
      </c>
      <c r="BG648" s="421">
        <v>0</v>
      </c>
      <c r="BH648" s="421">
        <v>0</v>
      </c>
      <c r="BI648" s="421" t="s">
        <v>1149</v>
      </c>
    </row>
    <row r="649" spans="1:61" x14ac:dyDescent="0.25">
      <c r="A649" s="421">
        <v>646</v>
      </c>
      <c r="B649" s="421">
        <v>2015</v>
      </c>
      <c r="C649" s="421">
        <v>12</v>
      </c>
      <c r="D649" s="421">
        <v>12</v>
      </c>
      <c r="E649" s="421" t="s">
        <v>1475</v>
      </c>
      <c r="F649" s="421" t="s">
        <v>3284</v>
      </c>
      <c r="G649" s="421" t="s">
        <v>3284</v>
      </c>
      <c r="H649" s="421" t="s">
        <v>1107</v>
      </c>
      <c r="I649" s="421" t="s">
        <v>3034</v>
      </c>
      <c r="J649" s="421" t="s">
        <v>4002</v>
      </c>
      <c r="K649" s="421" t="s">
        <v>3093</v>
      </c>
      <c r="L649" s="421" t="s">
        <v>3094</v>
      </c>
      <c r="M649" s="421" t="s">
        <v>2667</v>
      </c>
      <c r="N649" s="421" t="s">
        <v>3093</v>
      </c>
      <c r="O649" s="421" t="s">
        <v>3094</v>
      </c>
      <c r="P649" s="421" t="s">
        <v>3095</v>
      </c>
      <c r="Q649" s="421" t="s">
        <v>3113</v>
      </c>
      <c r="R649" s="421" t="s">
        <v>1108</v>
      </c>
      <c r="S649" s="421" t="s">
        <v>1108</v>
      </c>
      <c r="T649" s="421" t="s">
        <v>1130</v>
      </c>
      <c r="U649" s="421" t="s">
        <v>1112</v>
      </c>
      <c r="V649" s="421" t="s">
        <v>3097</v>
      </c>
      <c r="W649" s="421" t="s">
        <v>3098</v>
      </c>
      <c r="X649" s="421" t="s">
        <v>3099</v>
      </c>
      <c r="Y649" s="421" t="s">
        <v>1117</v>
      </c>
      <c r="Z649" s="421" t="s">
        <v>1118</v>
      </c>
      <c r="AA649" s="421" t="s">
        <v>3100</v>
      </c>
      <c r="AB649" s="421" t="s">
        <v>3101</v>
      </c>
      <c r="AC649" s="421" t="s">
        <v>3102</v>
      </c>
      <c r="AD649" s="421" t="s">
        <v>3125</v>
      </c>
      <c r="AE649" s="421" t="s">
        <v>3126</v>
      </c>
      <c r="AF649" s="421" t="s">
        <v>2236</v>
      </c>
      <c r="AG649" s="421" t="s">
        <v>2237</v>
      </c>
      <c r="AH649" s="421" t="s">
        <v>3105</v>
      </c>
      <c r="AI649" s="421">
        <v>24400</v>
      </c>
      <c r="AJ649" s="421">
        <v>110.59</v>
      </c>
      <c r="AK649" s="421">
        <v>127.77</v>
      </c>
      <c r="AL649" s="421">
        <v>4</v>
      </c>
      <c r="AM649" s="421" t="s">
        <v>962</v>
      </c>
      <c r="AN649" s="421" t="s">
        <v>3127</v>
      </c>
      <c r="AO649" s="421" t="s">
        <v>1121</v>
      </c>
      <c r="AP649" s="421" t="s">
        <v>1121</v>
      </c>
      <c r="AQ649" s="421" t="s">
        <v>1108</v>
      </c>
      <c r="AR649" s="421" t="s">
        <v>3891</v>
      </c>
      <c r="AS649" s="421" t="s">
        <v>4003</v>
      </c>
      <c r="AT649" s="421" t="s">
        <v>3109</v>
      </c>
      <c r="AU649" s="421" t="s">
        <v>1142</v>
      </c>
      <c r="AV649" s="421" t="s">
        <v>3130</v>
      </c>
      <c r="AW649" s="421" t="s">
        <v>3110</v>
      </c>
      <c r="AX649" s="421" t="s">
        <v>3111</v>
      </c>
      <c r="AY649" s="421" t="s">
        <v>3112</v>
      </c>
      <c r="AZ649" s="421" t="s">
        <v>3113</v>
      </c>
      <c r="BA649" s="421" t="s">
        <v>3114</v>
      </c>
      <c r="BB649" s="421" t="s">
        <v>3115</v>
      </c>
      <c r="BC649" s="421">
        <v>3238.8</v>
      </c>
      <c r="BD649" s="421">
        <v>10685967.16</v>
      </c>
      <c r="BE649" s="421">
        <v>0</v>
      </c>
      <c r="BF649" s="421">
        <v>211.06</v>
      </c>
      <c r="BG649" s="421">
        <v>0</v>
      </c>
      <c r="BH649" s="421">
        <v>0</v>
      </c>
      <c r="BI649" s="421" t="s">
        <v>1149</v>
      </c>
    </row>
    <row r="650" spans="1:61" x14ac:dyDescent="0.25">
      <c r="A650" s="421">
        <v>647</v>
      </c>
      <c r="B650" s="421">
        <v>2015</v>
      </c>
      <c r="C650" s="421">
        <v>12</v>
      </c>
      <c r="D650" s="421">
        <v>12</v>
      </c>
      <c r="E650" s="421" t="s">
        <v>1475</v>
      </c>
      <c r="F650" s="421" t="s">
        <v>3284</v>
      </c>
      <c r="G650" s="421" t="s">
        <v>3284</v>
      </c>
      <c r="H650" s="421" t="s">
        <v>1107</v>
      </c>
      <c r="I650" s="421" t="s">
        <v>3034</v>
      </c>
      <c r="J650" s="421" t="s">
        <v>4002</v>
      </c>
      <c r="K650" s="421" t="s">
        <v>3093</v>
      </c>
      <c r="L650" s="421" t="s">
        <v>3094</v>
      </c>
      <c r="M650" s="421" t="s">
        <v>2667</v>
      </c>
      <c r="N650" s="421" t="s">
        <v>3093</v>
      </c>
      <c r="O650" s="421" t="s">
        <v>3094</v>
      </c>
      <c r="P650" s="421" t="s">
        <v>3095</v>
      </c>
      <c r="Q650" s="421" t="s">
        <v>3113</v>
      </c>
      <c r="R650" s="421" t="s">
        <v>1108</v>
      </c>
      <c r="S650" s="421" t="s">
        <v>1108</v>
      </c>
      <c r="T650" s="421" t="s">
        <v>1130</v>
      </c>
      <c r="U650" s="421" t="s">
        <v>1112</v>
      </c>
      <c r="V650" s="421" t="s">
        <v>3097</v>
      </c>
      <c r="W650" s="421" t="s">
        <v>3098</v>
      </c>
      <c r="X650" s="421" t="s">
        <v>3099</v>
      </c>
      <c r="Y650" s="421" t="s">
        <v>1117</v>
      </c>
      <c r="Z650" s="421" t="s">
        <v>1118</v>
      </c>
      <c r="AA650" s="421" t="s">
        <v>3100</v>
      </c>
      <c r="AB650" s="421" t="s">
        <v>3101</v>
      </c>
      <c r="AC650" s="421" t="s">
        <v>3102</v>
      </c>
      <c r="AD650" s="421" t="s">
        <v>3125</v>
      </c>
      <c r="AE650" s="421" t="s">
        <v>3126</v>
      </c>
      <c r="AF650" s="421" t="s">
        <v>2236</v>
      </c>
      <c r="AG650" s="421" t="s">
        <v>2237</v>
      </c>
      <c r="AH650" s="421" t="s">
        <v>3105</v>
      </c>
      <c r="AI650" s="421">
        <v>46000</v>
      </c>
      <c r="AJ650" s="421">
        <v>163.57</v>
      </c>
      <c r="AK650" s="421">
        <v>188.98</v>
      </c>
      <c r="AL650" s="421">
        <v>3</v>
      </c>
      <c r="AM650" s="421" t="s">
        <v>962</v>
      </c>
      <c r="AN650" s="421" t="s">
        <v>3127</v>
      </c>
      <c r="AO650" s="421" t="s">
        <v>1121</v>
      </c>
      <c r="AP650" s="421" t="s">
        <v>1121</v>
      </c>
      <c r="AQ650" s="421" t="s">
        <v>1108</v>
      </c>
      <c r="AR650" s="421" t="s">
        <v>3891</v>
      </c>
      <c r="AS650" s="421" t="s">
        <v>4003</v>
      </c>
      <c r="AT650" s="421" t="s">
        <v>3109</v>
      </c>
      <c r="AU650" s="421" t="s">
        <v>1142</v>
      </c>
      <c r="AV650" s="421" t="s">
        <v>3130</v>
      </c>
      <c r="AW650" s="421" t="s">
        <v>3110</v>
      </c>
      <c r="AX650" s="421" t="s">
        <v>3111</v>
      </c>
      <c r="AY650" s="421" t="s">
        <v>3112</v>
      </c>
      <c r="AZ650" s="421" t="s">
        <v>3113</v>
      </c>
      <c r="BA650" s="421" t="s">
        <v>3114</v>
      </c>
      <c r="BB650" s="421" t="s">
        <v>3115</v>
      </c>
      <c r="BC650" s="421">
        <v>5140.8</v>
      </c>
      <c r="BD650" s="421">
        <v>16961349.879999999</v>
      </c>
      <c r="BE650" s="421">
        <v>0</v>
      </c>
      <c r="BF650" s="421">
        <v>335.01</v>
      </c>
      <c r="BG650" s="421">
        <v>0</v>
      </c>
      <c r="BH650" s="421">
        <v>0</v>
      </c>
      <c r="BI650" s="421" t="s">
        <v>1149</v>
      </c>
    </row>
    <row r="651" spans="1:61" x14ac:dyDescent="0.25">
      <c r="A651" s="421">
        <v>648</v>
      </c>
      <c r="B651" s="421">
        <v>2015</v>
      </c>
      <c r="C651" s="421">
        <v>12</v>
      </c>
      <c r="D651" s="421">
        <v>16</v>
      </c>
      <c r="E651" s="421" t="s">
        <v>1475</v>
      </c>
      <c r="F651" s="421" t="s">
        <v>3284</v>
      </c>
      <c r="G651" s="421" t="s">
        <v>3489</v>
      </c>
      <c r="H651" s="421" t="s">
        <v>1107</v>
      </c>
      <c r="I651" s="421" t="s">
        <v>3040</v>
      </c>
      <c r="J651" s="421" t="s">
        <v>4004</v>
      </c>
      <c r="K651" s="421" t="s">
        <v>3093</v>
      </c>
      <c r="L651" s="421" t="s">
        <v>3094</v>
      </c>
      <c r="M651" s="421" t="s">
        <v>2667</v>
      </c>
      <c r="N651" s="421" t="s">
        <v>3093</v>
      </c>
      <c r="O651" s="421" t="s">
        <v>3094</v>
      </c>
      <c r="P651" s="421" t="s">
        <v>3095</v>
      </c>
      <c r="Q651" s="421" t="s">
        <v>3096</v>
      </c>
      <c r="R651" s="421" t="s">
        <v>1108</v>
      </c>
      <c r="S651" s="421" t="s">
        <v>1542</v>
      </c>
      <c r="T651" s="421" t="s">
        <v>1130</v>
      </c>
      <c r="U651" s="421" t="s">
        <v>1112</v>
      </c>
      <c r="V651" s="421" t="s">
        <v>3097</v>
      </c>
      <c r="W651" s="421" t="s">
        <v>3098</v>
      </c>
      <c r="X651" s="421" t="s">
        <v>3099</v>
      </c>
      <c r="Y651" s="421" t="s">
        <v>1117</v>
      </c>
      <c r="Z651" s="421" t="s">
        <v>1118</v>
      </c>
      <c r="AA651" s="421" t="s">
        <v>3100</v>
      </c>
      <c r="AB651" s="421" t="s">
        <v>3101</v>
      </c>
      <c r="AC651" s="421" t="s">
        <v>3102</v>
      </c>
      <c r="AD651" s="421" t="s">
        <v>3176</v>
      </c>
      <c r="AE651" s="421" t="s">
        <v>3177</v>
      </c>
      <c r="AF651" s="421" t="s">
        <v>2236</v>
      </c>
      <c r="AG651" s="421" t="s">
        <v>2237</v>
      </c>
      <c r="AH651" s="421" t="s">
        <v>3105</v>
      </c>
      <c r="AI651" s="421">
        <v>148800</v>
      </c>
      <c r="AJ651" s="421">
        <v>759.67</v>
      </c>
      <c r="AK651" s="421">
        <v>865.5</v>
      </c>
      <c r="AL651" s="421">
        <v>2</v>
      </c>
      <c r="AM651" s="421" t="s">
        <v>1547</v>
      </c>
      <c r="AN651" s="421" t="s">
        <v>3178</v>
      </c>
      <c r="AO651" s="421" t="s">
        <v>1121</v>
      </c>
      <c r="AP651" s="421" t="s">
        <v>1121</v>
      </c>
      <c r="AQ651" s="421" t="s">
        <v>1542</v>
      </c>
      <c r="AR651" s="421" t="s">
        <v>3994</v>
      </c>
      <c r="AS651" s="421" t="s">
        <v>4005</v>
      </c>
      <c r="AT651" s="421" t="s">
        <v>3109</v>
      </c>
      <c r="AU651" s="421" t="s">
        <v>1142</v>
      </c>
      <c r="AV651" s="421" t="s">
        <v>3130</v>
      </c>
      <c r="AW651" s="421" t="s">
        <v>3110</v>
      </c>
      <c r="AX651" s="421" t="s">
        <v>3111</v>
      </c>
      <c r="AY651" s="421" t="s">
        <v>3112</v>
      </c>
      <c r="AZ651" s="421" t="s">
        <v>3113</v>
      </c>
      <c r="BA651" s="421" t="s">
        <v>3114</v>
      </c>
      <c r="BB651" s="421" t="s">
        <v>3115</v>
      </c>
      <c r="BC651" s="421">
        <v>19732</v>
      </c>
      <c r="BD651" s="421">
        <v>65669674.560000002</v>
      </c>
      <c r="BE651" s="421">
        <v>0</v>
      </c>
      <c r="BF651" s="421">
        <v>823.97</v>
      </c>
      <c r="BG651" s="421">
        <v>51.39</v>
      </c>
      <c r="BH651" s="421">
        <v>0</v>
      </c>
      <c r="BI651" s="421" t="s">
        <v>1331</v>
      </c>
    </row>
    <row r="652" spans="1:61" x14ac:dyDescent="0.25">
      <c r="A652" s="421">
        <v>649</v>
      </c>
      <c r="B652" s="421">
        <v>2015</v>
      </c>
      <c r="C652" s="421">
        <v>12</v>
      </c>
      <c r="D652" s="421">
        <v>16</v>
      </c>
      <c r="E652" s="421" t="s">
        <v>1475</v>
      </c>
      <c r="F652" s="421" t="s">
        <v>3284</v>
      </c>
      <c r="G652" s="421" t="s">
        <v>3489</v>
      </c>
      <c r="H652" s="421" t="s">
        <v>1107</v>
      </c>
      <c r="I652" s="421" t="s">
        <v>3040</v>
      </c>
      <c r="J652" s="421" t="s">
        <v>4004</v>
      </c>
      <c r="K652" s="421" t="s">
        <v>3093</v>
      </c>
      <c r="L652" s="421" t="s">
        <v>3094</v>
      </c>
      <c r="M652" s="421" t="s">
        <v>2667</v>
      </c>
      <c r="N652" s="421" t="s">
        <v>3093</v>
      </c>
      <c r="O652" s="421" t="s">
        <v>3094</v>
      </c>
      <c r="P652" s="421" t="s">
        <v>3095</v>
      </c>
      <c r="Q652" s="421" t="s">
        <v>3096</v>
      </c>
      <c r="R652" s="421" t="s">
        <v>1108</v>
      </c>
      <c r="S652" s="421" t="s">
        <v>1542</v>
      </c>
      <c r="T652" s="421" t="s">
        <v>1130</v>
      </c>
      <c r="U652" s="421" t="s">
        <v>1112</v>
      </c>
      <c r="V652" s="421" t="s">
        <v>3097</v>
      </c>
      <c r="W652" s="421" t="s">
        <v>3098</v>
      </c>
      <c r="X652" s="421" t="s">
        <v>3099</v>
      </c>
      <c r="Y652" s="421" t="s">
        <v>1117</v>
      </c>
      <c r="Z652" s="421" t="s">
        <v>1118</v>
      </c>
      <c r="AA652" s="421" t="s">
        <v>3100</v>
      </c>
      <c r="AB652" s="421" t="s">
        <v>3101</v>
      </c>
      <c r="AC652" s="421" t="s">
        <v>3102</v>
      </c>
      <c r="AD652" s="421" t="s">
        <v>3176</v>
      </c>
      <c r="AE652" s="421" t="s">
        <v>3177</v>
      </c>
      <c r="AF652" s="421" t="s">
        <v>2236</v>
      </c>
      <c r="AG652" s="421" t="s">
        <v>2237</v>
      </c>
      <c r="AH652" s="421" t="s">
        <v>3105</v>
      </c>
      <c r="AI652" s="421">
        <v>176000</v>
      </c>
      <c r="AJ652" s="421">
        <v>313.82</v>
      </c>
      <c r="AK652" s="421">
        <v>357.53</v>
      </c>
      <c r="AL652" s="421">
        <v>1</v>
      </c>
      <c r="AM652" s="421" t="s">
        <v>1547</v>
      </c>
      <c r="AN652" s="421" t="s">
        <v>3178</v>
      </c>
      <c r="AO652" s="421" t="s">
        <v>1121</v>
      </c>
      <c r="AP652" s="421" t="s">
        <v>1121</v>
      </c>
      <c r="AQ652" s="421" t="s">
        <v>1542</v>
      </c>
      <c r="AR652" s="421" t="s">
        <v>3994</v>
      </c>
      <c r="AS652" s="421" t="s">
        <v>4005</v>
      </c>
      <c r="AT652" s="421" t="s">
        <v>3109</v>
      </c>
      <c r="AU652" s="421" t="s">
        <v>1142</v>
      </c>
      <c r="AV652" s="421" t="s">
        <v>3130</v>
      </c>
      <c r="AW652" s="421" t="s">
        <v>3110</v>
      </c>
      <c r="AX652" s="421" t="s">
        <v>3111</v>
      </c>
      <c r="AY652" s="421" t="s">
        <v>3112</v>
      </c>
      <c r="AZ652" s="421" t="s">
        <v>3113</v>
      </c>
      <c r="BA652" s="421" t="s">
        <v>3114</v>
      </c>
      <c r="BB652" s="421" t="s">
        <v>3115</v>
      </c>
      <c r="BC652" s="421">
        <v>4934</v>
      </c>
      <c r="BD652" s="421">
        <v>16420746.720000001</v>
      </c>
      <c r="BE652" s="421">
        <v>0</v>
      </c>
      <c r="BF652" s="421">
        <v>206.03</v>
      </c>
      <c r="BG652" s="421">
        <v>12.85</v>
      </c>
      <c r="BH652" s="421">
        <v>0</v>
      </c>
      <c r="BI652" s="421" t="s">
        <v>1331</v>
      </c>
    </row>
    <row r="653" spans="1:61" x14ac:dyDescent="0.25">
      <c r="A653" s="421">
        <v>650</v>
      </c>
      <c r="B653" s="421">
        <v>2015</v>
      </c>
      <c r="C653" s="421">
        <v>12</v>
      </c>
      <c r="D653" s="421">
        <v>16</v>
      </c>
      <c r="E653" s="421" t="s">
        <v>1475</v>
      </c>
      <c r="F653" s="421" t="s">
        <v>3284</v>
      </c>
      <c r="G653" s="421" t="s">
        <v>3489</v>
      </c>
      <c r="H653" s="421" t="s">
        <v>1107</v>
      </c>
      <c r="I653" s="421" t="s">
        <v>3040</v>
      </c>
      <c r="J653" s="421" t="s">
        <v>4006</v>
      </c>
      <c r="K653" s="421" t="s">
        <v>3093</v>
      </c>
      <c r="L653" s="421" t="s">
        <v>3094</v>
      </c>
      <c r="M653" s="421" t="s">
        <v>2667</v>
      </c>
      <c r="N653" s="421" t="s">
        <v>3093</v>
      </c>
      <c r="O653" s="421" t="s">
        <v>3094</v>
      </c>
      <c r="P653" s="421" t="s">
        <v>3095</v>
      </c>
      <c r="Q653" s="421" t="s">
        <v>3113</v>
      </c>
      <c r="R653" s="421" t="s">
        <v>1108</v>
      </c>
      <c r="S653" s="421" t="s">
        <v>1108</v>
      </c>
      <c r="T653" s="421" t="s">
        <v>1130</v>
      </c>
      <c r="U653" s="421" t="s">
        <v>1112</v>
      </c>
      <c r="V653" s="421" t="s">
        <v>3097</v>
      </c>
      <c r="W653" s="421" t="s">
        <v>3098</v>
      </c>
      <c r="X653" s="421" t="s">
        <v>3099</v>
      </c>
      <c r="Y653" s="421" t="s">
        <v>1117</v>
      </c>
      <c r="Z653" s="421" t="s">
        <v>1118</v>
      </c>
      <c r="AA653" s="421" t="s">
        <v>3100</v>
      </c>
      <c r="AB653" s="421" t="s">
        <v>3101</v>
      </c>
      <c r="AC653" s="421" t="s">
        <v>3102</v>
      </c>
      <c r="AD653" s="421" t="s">
        <v>3304</v>
      </c>
      <c r="AE653" s="421" t="s">
        <v>3305</v>
      </c>
      <c r="AF653" s="421" t="s">
        <v>2236</v>
      </c>
      <c r="AG653" s="421" t="s">
        <v>2237</v>
      </c>
      <c r="AH653" s="421" t="s">
        <v>3105</v>
      </c>
      <c r="AI653" s="421">
        <v>202550</v>
      </c>
      <c r="AJ653" s="421">
        <v>348.47</v>
      </c>
      <c r="AK653" s="421">
        <v>379.28</v>
      </c>
      <c r="AL653" s="421">
        <v>2</v>
      </c>
      <c r="AM653" s="421" t="s">
        <v>963</v>
      </c>
      <c r="AN653" s="421" t="s">
        <v>3210</v>
      </c>
      <c r="AO653" s="421" t="s">
        <v>1121</v>
      </c>
      <c r="AP653" s="421" t="s">
        <v>1121</v>
      </c>
      <c r="AQ653" s="421" t="s">
        <v>1108</v>
      </c>
      <c r="AR653" s="421" t="s">
        <v>3994</v>
      </c>
      <c r="AS653" s="421" t="s">
        <v>4007</v>
      </c>
      <c r="AT653" s="421" t="s">
        <v>3109</v>
      </c>
      <c r="AU653" s="421" t="s">
        <v>1142</v>
      </c>
      <c r="AV653" s="421" t="s">
        <v>2037</v>
      </c>
      <c r="AW653" s="421" t="s">
        <v>3110</v>
      </c>
      <c r="AX653" s="421" t="s">
        <v>3111</v>
      </c>
      <c r="AY653" s="421" t="s">
        <v>3112</v>
      </c>
      <c r="AZ653" s="421" t="s">
        <v>3113</v>
      </c>
      <c r="BA653" s="421" t="s">
        <v>3114</v>
      </c>
      <c r="BB653" s="421" t="s">
        <v>3115</v>
      </c>
      <c r="BC653" s="421">
        <v>5052.6000000000004</v>
      </c>
      <c r="BD653" s="421">
        <v>16815457</v>
      </c>
      <c r="BE653" s="421">
        <v>0</v>
      </c>
      <c r="BF653" s="421">
        <v>93.02</v>
      </c>
      <c r="BG653" s="421">
        <v>12.86</v>
      </c>
      <c r="BH653" s="421">
        <v>0</v>
      </c>
      <c r="BI653" s="421" t="s">
        <v>1167</v>
      </c>
    </row>
    <row r="654" spans="1:61" x14ac:dyDescent="0.25">
      <c r="A654" s="421">
        <v>651</v>
      </c>
      <c r="B654" s="421">
        <v>2015</v>
      </c>
      <c r="C654" s="421">
        <v>12</v>
      </c>
      <c r="D654" s="421">
        <v>16</v>
      </c>
      <c r="E654" s="421" t="s">
        <v>1475</v>
      </c>
      <c r="F654" s="421" t="s">
        <v>3284</v>
      </c>
      <c r="G654" s="421" t="s">
        <v>3489</v>
      </c>
      <c r="H654" s="421" t="s">
        <v>1107</v>
      </c>
      <c r="I654" s="421" t="s">
        <v>3040</v>
      </c>
      <c r="J654" s="421" t="s">
        <v>4006</v>
      </c>
      <c r="K654" s="421" t="s">
        <v>3093</v>
      </c>
      <c r="L654" s="421" t="s">
        <v>3094</v>
      </c>
      <c r="M654" s="421" t="s">
        <v>2667</v>
      </c>
      <c r="N654" s="421" t="s">
        <v>3093</v>
      </c>
      <c r="O654" s="421" t="s">
        <v>3094</v>
      </c>
      <c r="P654" s="421" t="s">
        <v>3095</v>
      </c>
      <c r="Q654" s="421" t="s">
        <v>3113</v>
      </c>
      <c r="R654" s="421" t="s">
        <v>1108</v>
      </c>
      <c r="S654" s="421" t="s">
        <v>1108</v>
      </c>
      <c r="T654" s="421" t="s">
        <v>1130</v>
      </c>
      <c r="U654" s="421" t="s">
        <v>1112</v>
      </c>
      <c r="V654" s="421" t="s">
        <v>3097</v>
      </c>
      <c r="W654" s="421" t="s">
        <v>3098</v>
      </c>
      <c r="X654" s="421" t="s">
        <v>3099</v>
      </c>
      <c r="Y654" s="421" t="s">
        <v>1117</v>
      </c>
      <c r="Z654" s="421" t="s">
        <v>1118</v>
      </c>
      <c r="AA654" s="421" t="s">
        <v>3100</v>
      </c>
      <c r="AB654" s="421" t="s">
        <v>3101</v>
      </c>
      <c r="AC654" s="421" t="s">
        <v>3102</v>
      </c>
      <c r="AD654" s="421" t="s">
        <v>3304</v>
      </c>
      <c r="AE654" s="421" t="s">
        <v>3305</v>
      </c>
      <c r="AF654" s="421" t="s">
        <v>2236</v>
      </c>
      <c r="AG654" s="421" t="s">
        <v>2237</v>
      </c>
      <c r="AH654" s="421" t="s">
        <v>3105</v>
      </c>
      <c r="AI654" s="421">
        <v>2613000</v>
      </c>
      <c r="AJ654" s="421">
        <v>5585.91</v>
      </c>
      <c r="AK654" s="421">
        <v>6079.91</v>
      </c>
      <c r="AL654" s="421">
        <v>1</v>
      </c>
      <c r="AM654" s="421" t="s">
        <v>963</v>
      </c>
      <c r="AN654" s="421" t="s">
        <v>3210</v>
      </c>
      <c r="AO654" s="421" t="s">
        <v>1121</v>
      </c>
      <c r="AP654" s="421" t="s">
        <v>1121</v>
      </c>
      <c r="AQ654" s="421" t="s">
        <v>1108</v>
      </c>
      <c r="AR654" s="421" t="s">
        <v>3994</v>
      </c>
      <c r="AS654" s="421" t="s">
        <v>4007</v>
      </c>
      <c r="AT654" s="421" t="s">
        <v>3109</v>
      </c>
      <c r="AU654" s="421" t="s">
        <v>1142</v>
      </c>
      <c r="AV654" s="421" t="s">
        <v>2037</v>
      </c>
      <c r="AW654" s="421" t="s">
        <v>3110</v>
      </c>
      <c r="AX654" s="421" t="s">
        <v>3111</v>
      </c>
      <c r="AY654" s="421" t="s">
        <v>3112</v>
      </c>
      <c r="AZ654" s="421" t="s">
        <v>3113</v>
      </c>
      <c r="BA654" s="421" t="s">
        <v>3114</v>
      </c>
      <c r="BB654" s="421" t="s">
        <v>3115</v>
      </c>
      <c r="BC654" s="421">
        <v>69359.100000000006</v>
      </c>
      <c r="BD654" s="421">
        <v>230832633.52000001</v>
      </c>
      <c r="BE654" s="421">
        <v>0</v>
      </c>
      <c r="BF654" s="421">
        <v>1276.98</v>
      </c>
      <c r="BG654" s="421">
        <v>176.59</v>
      </c>
      <c r="BH654" s="421">
        <v>0</v>
      </c>
      <c r="BI654" s="421" t="s">
        <v>1167</v>
      </c>
    </row>
    <row r="655" spans="1:61" x14ac:dyDescent="0.25">
      <c r="A655" s="421">
        <v>652</v>
      </c>
      <c r="B655" s="421">
        <v>2015</v>
      </c>
      <c r="C655" s="421">
        <v>12</v>
      </c>
      <c r="D655" s="421">
        <v>16</v>
      </c>
      <c r="E655" s="421" t="s">
        <v>1475</v>
      </c>
      <c r="F655" s="421" t="s">
        <v>3284</v>
      </c>
      <c r="G655" s="421" t="s">
        <v>3489</v>
      </c>
      <c r="H655" s="421" t="s">
        <v>1107</v>
      </c>
      <c r="I655" s="421" t="s">
        <v>3040</v>
      </c>
      <c r="J655" s="421" t="s">
        <v>4008</v>
      </c>
      <c r="K655" s="421" t="s">
        <v>3093</v>
      </c>
      <c r="L655" s="421" t="s">
        <v>3094</v>
      </c>
      <c r="M655" s="421" t="s">
        <v>2667</v>
      </c>
      <c r="N655" s="421" t="s">
        <v>3093</v>
      </c>
      <c r="O655" s="421" t="s">
        <v>3094</v>
      </c>
      <c r="P655" s="421" t="s">
        <v>3095</v>
      </c>
      <c r="Q655" s="421" t="s">
        <v>3113</v>
      </c>
      <c r="R655" s="421" t="s">
        <v>1108</v>
      </c>
      <c r="S655" s="421" t="s">
        <v>1108</v>
      </c>
      <c r="T655" s="421" t="s">
        <v>1130</v>
      </c>
      <c r="U655" s="421" t="s">
        <v>1112</v>
      </c>
      <c r="V655" s="421" t="s">
        <v>3097</v>
      </c>
      <c r="W655" s="421" t="s">
        <v>3098</v>
      </c>
      <c r="X655" s="421" t="s">
        <v>3099</v>
      </c>
      <c r="Y655" s="421" t="s">
        <v>1117</v>
      </c>
      <c r="Z655" s="421" t="s">
        <v>1118</v>
      </c>
      <c r="AA655" s="421" t="s">
        <v>3100</v>
      </c>
      <c r="AB655" s="421" t="s">
        <v>3101</v>
      </c>
      <c r="AC655" s="421" t="s">
        <v>3102</v>
      </c>
      <c r="AD655" s="421" t="s">
        <v>3125</v>
      </c>
      <c r="AE655" s="421" t="s">
        <v>3126</v>
      </c>
      <c r="AF655" s="421" t="s">
        <v>1387</v>
      </c>
      <c r="AG655" s="421" t="s">
        <v>1388</v>
      </c>
      <c r="AH655" s="421" t="s">
        <v>3105</v>
      </c>
      <c r="AI655" s="421">
        <v>162</v>
      </c>
      <c r="AJ655" s="421">
        <v>16.600000000000001</v>
      </c>
      <c r="AK655" s="421">
        <v>18.39</v>
      </c>
      <c r="AL655" s="421">
        <v>2</v>
      </c>
      <c r="AM655" s="421" t="s">
        <v>962</v>
      </c>
      <c r="AN655" s="421" t="s">
        <v>3127</v>
      </c>
      <c r="AO655" s="421" t="s">
        <v>1121</v>
      </c>
      <c r="AP655" s="421" t="s">
        <v>1121</v>
      </c>
      <c r="AQ655" s="421" t="s">
        <v>1108</v>
      </c>
      <c r="AR655" s="421" t="s">
        <v>3994</v>
      </c>
      <c r="AS655" s="421" t="s">
        <v>4009</v>
      </c>
      <c r="AT655" s="421" t="s">
        <v>3109</v>
      </c>
      <c r="AU655" s="421" t="s">
        <v>1142</v>
      </c>
      <c r="AV655" s="421" t="s">
        <v>2037</v>
      </c>
      <c r="AW655" s="421" t="s">
        <v>3110</v>
      </c>
      <c r="AX655" s="421" t="s">
        <v>3111</v>
      </c>
      <c r="AY655" s="421" t="s">
        <v>3112</v>
      </c>
      <c r="AZ655" s="421" t="s">
        <v>3113</v>
      </c>
      <c r="BA655" s="421" t="s">
        <v>3114</v>
      </c>
      <c r="BB655" s="421" t="s">
        <v>3115</v>
      </c>
      <c r="BC655" s="421">
        <v>222.9</v>
      </c>
      <c r="BD655" s="421">
        <v>741829.03</v>
      </c>
      <c r="BE655" s="421">
        <v>0</v>
      </c>
      <c r="BF655" s="421">
        <v>32.5</v>
      </c>
      <c r="BG655" s="421">
        <v>0</v>
      </c>
      <c r="BH655" s="421">
        <v>0</v>
      </c>
      <c r="BI655" s="421" t="s">
        <v>1149</v>
      </c>
    </row>
    <row r="656" spans="1:61" x14ac:dyDescent="0.25">
      <c r="A656" s="421">
        <v>653</v>
      </c>
      <c r="B656" s="421">
        <v>2015</v>
      </c>
      <c r="C656" s="421">
        <v>12</v>
      </c>
      <c r="D656" s="421">
        <v>16</v>
      </c>
      <c r="E656" s="421" t="s">
        <v>1475</v>
      </c>
      <c r="F656" s="421" t="s">
        <v>3284</v>
      </c>
      <c r="G656" s="421" t="s">
        <v>3489</v>
      </c>
      <c r="H656" s="421" t="s">
        <v>1107</v>
      </c>
      <c r="I656" s="421" t="s">
        <v>3040</v>
      </c>
      <c r="J656" s="421" t="s">
        <v>4008</v>
      </c>
      <c r="K656" s="421" t="s">
        <v>3093</v>
      </c>
      <c r="L656" s="421" t="s">
        <v>3094</v>
      </c>
      <c r="M656" s="421" t="s">
        <v>2667</v>
      </c>
      <c r="N656" s="421" t="s">
        <v>3093</v>
      </c>
      <c r="O656" s="421" t="s">
        <v>3094</v>
      </c>
      <c r="P656" s="421" t="s">
        <v>3095</v>
      </c>
      <c r="Q656" s="421" t="s">
        <v>3113</v>
      </c>
      <c r="R656" s="421" t="s">
        <v>1108</v>
      </c>
      <c r="S656" s="421" t="s">
        <v>1108</v>
      </c>
      <c r="T656" s="421" t="s">
        <v>1130</v>
      </c>
      <c r="U656" s="421" t="s">
        <v>1112</v>
      </c>
      <c r="V656" s="421" t="s">
        <v>3097</v>
      </c>
      <c r="W656" s="421" t="s">
        <v>3098</v>
      </c>
      <c r="X656" s="421" t="s">
        <v>3099</v>
      </c>
      <c r="Y656" s="421" t="s">
        <v>1117</v>
      </c>
      <c r="Z656" s="421" t="s">
        <v>1118</v>
      </c>
      <c r="AA656" s="421" t="s">
        <v>3100</v>
      </c>
      <c r="AB656" s="421" t="s">
        <v>3101</v>
      </c>
      <c r="AC656" s="421" t="s">
        <v>3102</v>
      </c>
      <c r="AD656" s="421" t="s">
        <v>3125</v>
      </c>
      <c r="AE656" s="421" t="s">
        <v>3126</v>
      </c>
      <c r="AF656" s="421" t="s">
        <v>1512</v>
      </c>
      <c r="AG656" s="421" t="s">
        <v>1513</v>
      </c>
      <c r="AH656" s="421" t="s">
        <v>3105</v>
      </c>
      <c r="AI656" s="421">
        <v>2000</v>
      </c>
      <c r="AJ656" s="421">
        <v>17.86</v>
      </c>
      <c r="AK656" s="421">
        <v>19.78</v>
      </c>
      <c r="AL656" s="421">
        <v>1</v>
      </c>
      <c r="AM656" s="421" t="s">
        <v>962</v>
      </c>
      <c r="AN656" s="421" t="s">
        <v>3127</v>
      </c>
      <c r="AO656" s="421" t="s">
        <v>1121</v>
      </c>
      <c r="AP656" s="421" t="s">
        <v>1121</v>
      </c>
      <c r="AQ656" s="421" t="s">
        <v>1108</v>
      </c>
      <c r="AR656" s="421" t="s">
        <v>3994</v>
      </c>
      <c r="AS656" s="421" t="s">
        <v>4009</v>
      </c>
      <c r="AT656" s="421" t="s">
        <v>3109</v>
      </c>
      <c r="AU656" s="421" t="s">
        <v>1142</v>
      </c>
      <c r="AV656" s="421" t="s">
        <v>2037</v>
      </c>
      <c r="AW656" s="421" t="s">
        <v>3110</v>
      </c>
      <c r="AX656" s="421" t="s">
        <v>3111</v>
      </c>
      <c r="AY656" s="421" t="s">
        <v>3112</v>
      </c>
      <c r="AZ656" s="421" t="s">
        <v>3113</v>
      </c>
      <c r="BA656" s="421" t="s">
        <v>3114</v>
      </c>
      <c r="BB656" s="421" t="s">
        <v>3115</v>
      </c>
      <c r="BC656" s="421">
        <v>120</v>
      </c>
      <c r="BD656" s="421">
        <v>399369.6</v>
      </c>
      <c r="BE656" s="421">
        <v>0</v>
      </c>
      <c r="BF656" s="421">
        <v>17.5</v>
      </c>
      <c r="BG656" s="421">
        <v>0</v>
      </c>
      <c r="BH656" s="421">
        <v>0</v>
      </c>
      <c r="BI656" s="421" t="s">
        <v>1149</v>
      </c>
    </row>
    <row r="657" spans="1:61" x14ac:dyDescent="0.25">
      <c r="A657" s="421">
        <v>654</v>
      </c>
      <c r="B657" s="421">
        <v>2015</v>
      </c>
      <c r="C657" s="421">
        <v>12</v>
      </c>
      <c r="D657" s="421">
        <v>16</v>
      </c>
      <c r="E657" s="421" t="s">
        <v>1475</v>
      </c>
      <c r="F657" s="421" t="s">
        <v>3284</v>
      </c>
      <c r="G657" s="421" t="s">
        <v>3489</v>
      </c>
      <c r="H657" s="421" t="s">
        <v>1107</v>
      </c>
      <c r="I657" s="421" t="s">
        <v>3040</v>
      </c>
      <c r="J657" s="421" t="s">
        <v>4010</v>
      </c>
      <c r="K657" s="421" t="s">
        <v>3093</v>
      </c>
      <c r="L657" s="421" t="s">
        <v>3094</v>
      </c>
      <c r="M657" s="421" t="s">
        <v>2667</v>
      </c>
      <c r="N657" s="421" t="s">
        <v>3093</v>
      </c>
      <c r="O657" s="421" t="s">
        <v>3094</v>
      </c>
      <c r="P657" s="421" t="s">
        <v>3095</v>
      </c>
      <c r="Q657" s="421" t="s">
        <v>3113</v>
      </c>
      <c r="R657" s="421" t="s">
        <v>1108</v>
      </c>
      <c r="S657" s="421" t="s">
        <v>1108</v>
      </c>
      <c r="T657" s="421" t="s">
        <v>1130</v>
      </c>
      <c r="U657" s="421" t="s">
        <v>1112</v>
      </c>
      <c r="V657" s="421" t="s">
        <v>3097</v>
      </c>
      <c r="W657" s="421" t="s">
        <v>3098</v>
      </c>
      <c r="X657" s="421" t="s">
        <v>3099</v>
      </c>
      <c r="Y657" s="421" t="s">
        <v>1117</v>
      </c>
      <c r="Z657" s="421" t="s">
        <v>1118</v>
      </c>
      <c r="AA657" s="421" t="s">
        <v>3100</v>
      </c>
      <c r="AB657" s="421" t="s">
        <v>3101</v>
      </c>
      <c r="AC657" s="421" t="s">
        <v>3102</v>
      </c>
      <c r="AD657" s="421" t="s">
        <v>3125</v>
      </c>
      <c r="AE657" s="421" t="s">
        <v>3126</v>
      </c>
      <c r="AF657" s="421" t="s">
        <v>2236</v>
      </c>
      <c r="AG657" s="421" t="s">
        <v>2237</v>
      </c>
      <c r="AH657" s="421" t="s">
        <v>3105</v>
      </c>
      <c r="AI657" s="421">
        <v>10000</v>
      </c>
      <c r="AJ657" s="421">
        <v>42.01</v>
      </c>
      <c r="AK657" s="421">
        <v>49.76</v>
      </c>
      <c r="AL657" s="421">
        <v>2</v>
      </c>
      <c r="AM657" s="421" t="s">
        <v>962</v>
      </c>
      <c r="AN657" s="421" t="s">
        <v>3127</v>
      </c>
      <c r="AO657" s="421" t="s">
        <v>1121</v>
      </c>
      <c r="AP657" s="421" t="s">
        <v>1121</v>
      </c>
      <c r="AQ657" s="421" t="s">
        <v>1108</v>
      </c>
      <c r="AR657" s="421" t="s">
        <v>3994</v>
      </c>
      <c r="AS657" s="421" t="s">
        <v>4011</v>
      </c>
      <c r="AT657" s="421" t="s">
        <v>3109</v>
      </c>
      <c r="AU657" s="421" t="s">
        <v>1142</v>
      </c>
      <c r="AV657" s="421" t="s">
        <v>2037</v>
      </c>
      <c r="AW657" s="421" t="s">
        <v>3110</v>
      </c>
      <c r="AX657" s="421" t="s">
        <v>3111</v>
      </c>
      <c r="AY657" s="421" t="s">
        <v>3112</v>
      </c>
      <c r="AZ657" s="421" t="s">
        <v>3113</v>
      </c>
      <c r="BA657" s="421" t="s">
        <v>3114</v>
      </c>
      <c r="BB657" s="421" t="s">
        <v>3115</v>
      </c>
      <c r="BC657" s="421">
        <v>1271.2</v>
      </c>
      <c r="BD657" s="421">
        <v>4230655.29</v>
      </c>
      <c r="BE657" s="421">
        <v>0</v>
      </c>
      <c r="BF657" s="421">
        <v>90.92</v>
      </c>
      <c r="BG657" s="421">
        <v>0</v>
      </c>
      <c r="BH657" s="421">
        <v>0</v>
      </c>
      <c r="BI657" s="421" t="s">
        <v>1149</v>
      </c>
    </row>
    <row r="658" spans="1:61" x14ac:dyDescent="0.25">
      <c r="A658" s="421">
        <v>655</v>
      </c>
      <c r="B658" s="421">
        <v>2015</v>
      </c>
      <c r="C658" s="421">
        <v>12</v>
      </c>
      <c r="D658" s="421">
        <v>16</v>
      </c>
      <c r="E658" s="421" t="s">
        <v>1475</v>
      </c>
      <c r="F658" s="421" t="s">
        <v>3284</v>
      </c>
      <c r="G658" s="421" t="s">
        <v>3489</v>
      </c>
      <c r="H658" s="421" t="s">
        <v>1107</v>
      </c>
      <c r="I658" s="421" t="s">
        <v>3040</v>
      </c>
      <c r="J658" s="421" t="s">
        <v>4010</v>
      </c>
      <c r="K658" s="421" t="s">
        <v>3093</v>
      </c>
      <c r="L658" s="421" t="s">
        <v>3094</v>
      </c>
      <c r="M658" s="421" t="s">
        <v>2667</v>
      </c>
      <c r="N658" s="421" t="s">
        <v>3093</v>
      </c>
      <c r="O658" s="421" t="s">
        <v>3094</v>
      </c>
      <c r="P658" s="421" t="s">
        <v>3095</v>
      </c>
      <c r="Q658" s="421" t="s">
        <v>3113</v>
      </c>
      <c r="R658" s="421" t="s">
        <v>1108</v>
      </c>
      <c r="S658" s="421" t="s">
        <v>1108</v>
      </c>
      <c r="T658" s="421" t="s">
        <v>1130</v>
      </c>
      <c r="U658" s="421" t="s">
        <v>1112</v>
      </c>
      <c r="V658" s="421" t="s">
        <v>3097</v>
      </c>
      <c r="W658" s="421" t="s">
        <v>3098</v>
      </c>
      <c r="X658" s="421" t="s">
        <v>3099</v>
      </c>
      <c r="Y658" s="421" t="s">
        <v>1117</v>
      </c>
      <c r="Z658" s="421" t="s">
        <v>1118</v>
      </c>
      <c r="AA658" s="421" t="s">
        <v>3100</v>
      </c>
      <c r="AB658" s="421" t="s">
        <v>3101</v>
      </c>
      <c r="AC658" s="421" t="s">
        <v>3102</v>
      </c>
      <c r="AD658" s="421" t="s">
        <v>3125</v>
      </c>
      <c r="AE658" s="421" t="s">
        <v>3126</v>
      </c>
      <c r="AF658" s="421" t="s">
        <v>2236</v>
      </c>
      <c r="AG658" s="421" t="s">
        <v>2237</v>
      </c>
      <c r="AH658" s="421" t="s">
        <v>3105</v>
      </c>
      <c r="AI658" s="421">
        <v>759020</v>
      </c>
      <c r="AJ658" s="421">
        <v>2245.19</v>
      </c>
      <c r="AK658" s="421">
        <v>2659.65</v>
      </c>
      <c r="AL658" s="421">
        <v>1</v>
      </c>
      <c r="AM658" s="421" t="s">
        <v>962</v>
      </c>
      <c r="AN658" s="421" t="s">
        <v>3127</v>
      </c>
      <c r="AO658" s="421" t="s">
        <v>1121</v>
      </c>
      <c r="AP658" s="421" t="s">
        <v>1121</v>
      </c>
      <c r="AQ658" s="421" t="s">
        <v>1108</v>
      </c>
      <c r="AR658" s="421" t="s">
        <v>3994</v>
      </c>
      <c r="AS658" s="421" t="s">
        <v>4011</v>
      </c>
      <c r="AT658" s="421" t="s">
        <v>3109</v>
      </c>
      <c r="AU658" s="421" t="s">
        <v>1142</v>
      </c>
      <c r="AV658" s="421" t="s">
        <v>2037</v>
      </c>
      <c r="AW658" s="421" t="s">
        <v>3110</v>
      </c>
      <c r="AX658" s="421" t="s">
        <v>3111</v>
      </c>
      <c r="AY658" s="421" t="s">
        <v>3112</v>
      </c>
      <c r="AZ658" s="421" t="s">
        <v>3113</v>
      </c>
      <c r="BA658" s="421" t="s">
        <v>3114</v>
      </c>
      <c r="BB658" s="421" t="s">
        <v>3115</v>
      </c>
      <c r="BC658" s="421">
        <v>37877.199999999997</v>
      </c>
      <c r="BD658" s="421">
        <v>126058351.77</v>
      </c>
      <c r="BE658" s="421">
        <v>0</v>
      </c>
      <c r="BF658" s="421">
        <v>2709.08</v>
      </c>
      <c r="BG658" s="421">
        <v>0</v>
      </c>
      <c r="BH658" s="421">
        <v>0</v>
      </c>
      <c r="BI658" s="421" t="s">
        <v>1149</v>
      </c>
    </row>
    <row r="659" spans="1:61" x14ac:dyDescent="0.25">
      <c r="A659" s="421">
        <v>656</v>
      </c>
      <c r="B659" s="421">
        <v>2015</v>
      </c>
      <c r="C659" s="421">
        <v>12</v>
      </c>
      <c r="D659" s="421">
        <v>16</v>
      </c>
      <c r="E659" s="421" t="s">
        <v>1475</v>
      </c>
      <c r="F659" s="421" t="s">
        <v>3284</v>
      </c>
      <c r="G659" s="421" t="s">
        <v>3489</v>
      </c>
      <c r="H659" s="421" t="s">
        <v>1901</v>
      </c>
      <c r="I659" s="421" t="s">
        <v>3040</v>
      </c>
      <c r="J659" s="421" t="s">
        <v>4012</v>
      </c>
      <c r="K659" s="421" t="s">
        <v>3994</v>
      </c>
      <c r="L659" s="421" t="s">
        <v>4013</v>
      </c>
      <c r="M659" s="421" t="s">
        <v>2667</v>
      </c>
      <c r="N659" s="421" t="s">
        <v>3093</v>
      </c>
      <c r="O659" s="421" t="s">
        <v>3094</v>
      </c>
      <c r="P659" s="421" t="s">
        <v>3095</v>
      </c>
      <c r="Q659" s="421" t="s">
        <v>3113</v>
      </c>
      <c r="R659" s="421" t="s">
        <v>1108</v>
      </c>
      <c r="S659" s="421" t="s">
        <v>1108</v>
      </c>
      <c r="T659" s="421" t="s">
        <v>1130</v>
      </c>
      <c r="U659" s="421" t="s">
        <v>3144</v>
      </c>
      <c r="V659" s="421" t="s">
        <v>3145</v>
      </c>
      <c r="W659" s="421" t="s">
        <v>3098</v>
      </c>
      <c r="X659" s="421" t="s">
        <v>3099</v>
      </c>
      <c r="Y659" s="421" t="s">
        <v>1117</v>
      </c>
      <c r="Z659" s="421" t="s">
        <v>1118</v>
      </c>
      <c r="AA659" s="421" t="s">
        <v>3100</v>
      </c>
      <c r="AB659" s="421" t="s">
        <v>3146</v>
      </c>
      <c r="AC659" s="421" t="s">
        <v>3102</v>
      </c>
      <c r="AD659" s="421" t="s">
        <v>3346</v>
      </c>
      <c r="AE659" s="421" t="s">
        <v>3347</v>
      </c>
      <c r="AF659" s="421" t="s">
        <v>2236</v>
      </c>
      <c r="AG659" s="421" t="s">
        <v>2237</v>
      </c>
      <c r="AH659" s="421" t="s">
        <v>3105</v>
      </c>
      <c r="AI659" s="421">
        <v>153500</v>
      </c>
      <c r="AJ659" s="421">
        <v>369.12</v>
      </c>
      <c r="AK659" s="421">
        <v>392.06</v>
      </c>
      <c r="AL659" s="421">
        <v>3</v>
      </c>
      <c r="AM659" s="421" t="s">
        <v>3348</v>
      </c>
      <c r="AN659" s="421" t="s">
        <v>3349</v>
      </c>
      <c r="AO659" s="421" t="s">
        <v>1121</v>
      </c>
      <c r="AP659" s="421" t="s">
        <v>1121</v>
      </c>
      <c r="AQ659" s="421" t="s">
        <v>1108</v>
      </c>
      <c r="AR659" s="421" t="s">
        <v>3931</v>
      </c>
      <c r="AS659" s="421" t="s">
        <v>4014</v>
      </c>
      <c r="AT659" s="421" t="s">
        <v>3109</v>
      </c>
      <c r="AU659" s="421" t="s">
        <v>1341</v>
      </c>
      <c r="AV659" s="421" t="s">
        <v>3157</v>
      </c>
      <c r="AW659" s="421" t="s">
        <v>3110</v>
      </c>
      <c r="AX659" s="421" t="s">
        <v>3111</v>
      </c>
      <c r="AY659" s="421" t="s">
        <v>3112</v>
      </c>
      <c r="AZ659" s="421" t="s">
        <v>3113</v>
      </c>
      <c r="BA659" s="421" t="s">
        <v>3114</v>
      </c>
      <c r="BB659" s="421" t="s">
        <v>3115</v>
      </c>
      <c r="BC659" s="421">
        <v>5622.35</v>
      </c>
      <c r="BD659" s="421">
        <v>18711630.579999998</v>
      </c>
      <c r="BE659" s="421">
        <v>0</v>
      </c>
      <c r="BF659" s="421">
        <v>796.57</v>
      </c>
      <c r="BG659" s="421">
        <v>26.42</v>
      </c>
      <c r="BH659" s="421">
        <v>0</v>
      </c>
      <c r="BI659" s="421" t="s">
        <v>1149</v>
      </c>
    </row>
    <row r="660" spans="1:61" x14ac:dyDescent="0.25">
      <c r="A660" s="421">
        <v>657</v>
      </c>
      <c r="B660" s="421">
        <v>2015</v>
      </c>
      <c r="C660" s="421">
        <v>12</v>
      </c>
      <c r="D660" s="421">
        <v>16</v>
      </c>
      <c r="E660" s="421" t="s">
        <v>1475</v>
      </c>
      <c r="F660" s="421" t="s">
        <v>3284</v>
      </c>
      <c r="G660" s="421" t="s">
        <v>3489</v>
      </c>
      <c r="H660" s="421" t="s">
        <v>1901</v>
      </c>
      <c r="I660" s="421" t="s">
        <v>3040</v>
      </c>
      <c r="J660" s="421" t="s">
        <v>4012</v>
      </c>
      <c r="K660" s="421" t="s">
        <v>3994</v>
      </c>
      <c r="L660" s="421" t="s">
        <v>4013</v>
      </c>
      <c r="M660" s="421" t="s">
        <v>2667</v>
      </c>
      <c r="N660" s="421" t="s">
        <v>3093</v>
      </c>
      <c r="O660" s="421" t="s">
        <v>3094</v>
      </c>
      <c r="P660" s="421" t="s">
        <v>3095</v>
      </c>
      <c r="Q660" s="421" t="s">
        <v>3113</v>
      </c>
      <c r="R660" s="421" t="s">
        <v>1108</v>
      </c>
      <c r="S660" s="421" t="s">
        <v>1108</v>
      </c>
      <c r="T660" s="421" t="s">
        <v>1130</v>
      </c>
      <c r="U660" s="421" t="s">
        <v>3144</v>
      </c>
      <c r="V660" s="421" t="s">
        <v>3145</v>
      </c>
      <c r="W660" s="421" t="s">
        <v>3098</v>
      </c>
      <c r="X660" s="421" t="s">
        <v>3099</v>
      </c>
      <c r="Y660" s="421" t="s">
        <v>1117</v>
      </c>
      <c r="Z660" s="421" t="s">
        <v>1118</v>
      </c>
      <c r="AA660" s="421" t="s">
        <v>3100</v>
      </c>
      <c r="AB660" s="421" t="s">
        <v>3146</v>
      </c>
      <c r="AC660" s="421" t="s">
        <v>3102</v>
      </c>
      <c r="AD660" s="421" t="s">
        <v>3346</v>
      </c>
      <c r="AE660" s="421" t="s">
        <v>3347</v>
      </c>
      <c r="AF660" s="421" t="s">
        <v>1387</v>
      </c>
      <c r="AG660" s="421" t="s">
        <v>1388</v>
      </c>
      <c r="AH660" s="421" t="s">
        <v>3105</v>
      </c>
      <c r="AI660" s="421">
        <v>54</v>
      </c>
      <c r="AJ660" s="421">
        <v>19.62</v>
      </c>
      <c r="AK660" s="421">
        <v>20.83</v>
      </c>
      <c r="AL660" s="421">
        <v>2</v>
      </c>
      <c r="AM660" s="421" t="s">
        <v>3348</v>
      </c>
      <c r="AN660" s="421" t="s">
        <v>3349</v>
      </c>
      <c r="AO660" s="421" t="s">
        <v>1121</v>
      </c>
      <c r="AP660" s="421" t="s">
        <v>1121</v>
      </c>
      <c r="AQ660" s="421" t="s">
        <v>1108</v>
      </c>
      <c r="AR660" s="421" t="s">
        <v>3931</v>
      </c>
      <c r="AS660" s="421" t="s">
        <v>4014</v>
      </c>
      <c r="AT660" s="421" t="s">
        <v>3109</v>
      </c>
      <c r="AU660" s="421" t="s">
        <v>1341</v>
      </c>
      <c r="AV660" s="421" t="s">
        <v>3157</v>
      </c>
      <c r="AW660" s="421" t="s">
        <v>3110</v>
      </c>
      <c r="AX660" s="421" t="s">
        <v>3111</v>
      </c>
      <c r="AY660" s="421" t="s">
        <v>3112</v>
      </c>
      <c r="AZ660" s="421" t="s">
        <v>3113</v>
      </c>
      <c r="BA660" s="421" t="s">
        <v>3114</v>
      </c>
      <c r="BB660" s="421" t="s">
        <v>3115</v>
      </c>
      <c r="BC660" s="421">
        <v>67.5</v>
      </c>
      <c r="BD660" s="421">
        <v>224645.4</v>
      </c>
      <c r="BE660" s="421">
        <v>0</v>
      </c>
      <c r="BF660" s="421">
        <v>9.56</v>
      </c>
      <c r="BG660" s="421">
        <v>0.32</v>
      </c>
      <c r="BH660" s="421">
        <v>0</v>
      </c>
      <c r="BI660" s="421" t="s">
        <v>1149</v>
      </c>
    </row>
    <row r="661" spans="1:61" x14ac:dyDescent="0.25">
      <c r="A661" s="421">
        <v>658</v>
      </c>
      <c r="B661" s="421">
        <v>2015</v>
      </c>
      <c r="C661" s="421">
        <v>12</v>
      </c>
      <c r="D661" s="421">
        <v>16</v>
      </c>
      <c r="E661" s="421" t="s">
        <v>1475</v>
      </c>
      <c r="F661" s="421" t="s">
        <v>3284</v>
      </c>
      <c r="G661" s="421" t="s">
        <v>3489</v>
      </c>
      <c r="H661" s="421" t="s">
        <v>1901</v>
      </c>
      <c r="I661" s="421" t="s">
        <v>3040</v>
      </c>
      <c r="J661" s="421" t="s">
        <v>4012</v>
      </c>
      <c r="K661" s="421" t="s">
        <v>3994</v>
      </c>
      <c r="L661" s="421" t="s">
        <v>4013</v>
      </c>
      <c r="M661" s="421" t="s">
        <v>2667</v>
      </c>
      <c r="N661" s="421" t="s">
        <v>3093</v>
      </c>
      <c r="O661" s="421" t="s">
        <v>3094</v>
      </c>
      <c r="P661" s="421" t="s">
        <v>3095</v>
      </c>
      <c r="Q661" s="421" t="s">
        <v>3113</v>
      </c>
      <c r="R661" s="421" t="s">
        <v>1108</v>
      </c>
      <c r="S661" s="421" t="s">
        <v>1108</v>
      </c>
      <c r="T661" s="421" t="s">
        <v>1130</v>
      </c>
      <c r="U661" s="421" t="s">
        <v>3144</v>
      </c>
      <c r="V661" s="421" t="s">
        <v>3145</v>
      </c>
      <c r="W661" s="421" t="s">
        <v>3098</v>
      </c>
      <c r="X661" s="421" t="s">
        <v>3099</v>
      </c>
      <c r="Y661" s="421" t="s">
        <v>1117</v>
      </c>
      <c r="Z661" s="421" t="s">
        <v>1118</v>
      </c>
      <c r="AA661" s="421" t="s">
        <v>3100</v>
      </c>
      <c r="AB661" s="421" t="s">
        <v>3146</v>
      </c>
      <c r="AC661" s="421" t="s">
        <v>3102</v>
      </c>
      <c r="AD661" s="421" t="s">
        <v>3346</v>
      </c>
      <c r="AE661" s="421" t="s">
        <v>3347</v>
      </c>
      <c r="AF661" s="421" t="s">
        <v>1392</v>
      </c>
      <c r="AG661" s="421" t="s">
        <v>1393</v>
      </c>
      <c r="AH661" s="421" t="s">
        <v>3105</v>
      </c>
      <c r="AI661" s="421">
        <v>8</v>
      </c>
      <c r="AJ661" s="421">
        <v>2.91</v>
      </c>
      <c r="AK661" s="421">
        <v>3.09</v>
      </c>
      <c r="AL661" s="421">
        <v>1</v>
      </c>
      <c r="AM661" s="421" t="s">
        <v>3348</v>
      </c>
      <c r="AN661" s="421" t="s">
        <v>3349</v>
      </c>
      <c r="AO661" s="421" t="s">
        <v>1121</v>
      </c>
      <c r="AP661" s="421" t="s">
        <v>1121</v>
      </c>
      <c r="AQ661" s="421" t="s">
        <v>1108</v>
      </c>
      <c r="AR661" s="421" t="s">
        <v>3931</v>
      </c>
      <c r="AS661" s="421" t="s">
        <v>4014</v>
      </c>
      <c r="AT661" s="421" t="s">
        <v>3109</v>
      </c>
      <c r="AU661" s="421" t="s">
        <v>1341</v>
      </c>
      <c r="AV661" s="421" t="s">
        <v>3157</v>
      </c>
      <c r="AW661" s="421" t="s">
        <v>3110</v>
      </c>
      <c r="AX661" s="421" t="s">
        <v>3111</v>
      </c>
      <c r="AY661" s="421" t="s">
        <v>3112</v>
      </c>
      <c r="AZ661" s="421" t="s">
        <v>3113</v>
      </c>
      <c r="BA661" s="421" t="s">
        <v>3114</v>
      </c>
      <c r="BB661" s="421" t="s">
        <v>3115</v>
      </c>
      <c r="BC661" s="421">
        <v>276</v>
      </c>
      <c r="BD661" s="421">
        <v>918550.08</v>
      </c>
      <c r="BE661" s="421">
        <v>0</v>
      </c>
      <c r="BF661" s="421">
        <v>39.1</v>
      </c>
      <c r="BG661" s="421">
        <v>1.3</v>
      </c>
      <c r="BH661" s="421">
        <v>0</v>
      </c>
      <c r="BI661" s="421" t="s">
        <v>1149</v>
      </c>
    </row>
    <row r="662" spans="1:61" x14ac:dyDescent="0.25">
      <c r="A662" s="421">
        <v>659</v>
      </c>
      <c r="B662" s="421">
        <v>2015</v>
      </c>
      <c r="C662" s="421">
        <v>12</v>
      </c>
      <c r="D662" s="421">
        <v>16</v>
      </c>
      <c r="E662" s="421" t="s">
        <v>1475</v>
      </c>
      <c r="F662" s="421" t="s">
        <v>3284</v>
      </c>
      <c r="G662" s="421" t="s">
        <v>3489</v>
      </c>
      <c r="H662" s="421" t="s">
        <v>1107</v>
      </c>
      <c r="I662" s="421" t="s">
        <v>3040</v>
      </c>
      <c r="J662" s="421" t="s">
        <v>4015</v>
      </c>
      <c r="K662" s="421" t="s">
        <v>3093</v>
      </c>
      <c r="L662" s="421" t="s">
        <v>3094</v>
      </c>
      <c r="M662" s="421" t="s">
        <v>2667</v>
      </c>
      <c r="N662" s="421" t="s">
        <v>3093</v>
      </c>
      <c r="O662" s="421" t="s">
        <v>3094</v>
      </c>
      <c r="P662" s="421" t="s">
        <v>3095</v>
      </c>
      <c r="Q662" s="421" t="s">
        <v>3096</v>
      </c>
      <c r="R662" s="421" t="s">
        <v>1108</v>
      </c>
      <c r="S662" s="421" t="s">
        <v>1542</v>
      </c>
      <c r="T662" s="421" t="s">
        <v>1130</v>
      </c>
      <c r="U662" s="421" t="s">
        <v>1112</v>
      </c>
      <c r="V662" s="421" t="s">
        <v>3097</v>
      </c>
      <c r="W662" s="421" t="s">
        <v>3098</v>
      </c>
      <c r="X662" s="421" t="s">
        <v>3099</v>
      </c>
      <c r="Y662" s="421" t="s">
        <v>1117</v>
      </c>
      <c r="Z662" s="421" t="s">
        <v>1118</v>
      </c>
      <c r="AA662" s="421" t="s">
        <v>3100</v>
      </c>
      <c r="AB662" s="421" t="s">
        <v>3101</v>
      </c>
      <c r="AC662" s="421" t="s">
        <v>3102</v>
      </c>
      <c r="AD662" s="421" t="s">
        <v>3103</v>
      </c>
      <c r="AE662" s="421" t="s">
        <v>3104</v>
      </c>
      <c r="AF662" s="421" t="s">
        <v>2236</v>
      </c>
      <c r="AG662" s="421" t="s">
        <v>2237</v>
      </c>
      <c r="AH662" s="421" t="s">
        <v>3105</v>
      </c>
      <c r="AI662" s="421">
        <v>1325000</v>
      </c>
      <c r="AJ662" s="421">
        <v>4608.41</v>
      </c>
      <c r="AK662" s="421">
        <v>4998.88</v>
      </c>
      <c r="AL662" s="421">
        <v>3</v>
      </c>
      <c r="AM662" s="421" t="s">
        <v>959</v>
      </c>
      <c r="AN662" s="421" t="s">
        <v>3106</v>
      </c>
      <c r="AO662" s="421" t="s">
        <v>1121</v>
      </c>
      <c r="AP662" s="421" t="s">
        <v>1121</v>
      </c>
      <c r="AQ662" s="421" t="s">
        <v>1542</v>
      </c>
      <c r="AR662" s="421" t="s">
        <v>3994</v>
      </c>
      <c r="AS662" s="421" t="s">
        <v>4016</v>
      </c>
      <c r="AT662" s="421" t="s">
        <v>3109</v>
      </c>
      <c r="AU662" s="421" t="s">
        <v>1142</v>
      </c>
      <c r="AV662" s="421" t="s">
        <v>1547</v>
      </c>
      <c r="AW662" s="421" t="s">
        <v>3110</v>
      </c>
      <c r="AX662" s="421" t="s">
        <v>3111</v>
      </c>
      <c r="AY662" s="421" t="s">
        <v>3112</v>
      </c>
      <c r="AZ662" s="421" t="s">
        <v>3113</v>
      </c>
      <c r="BA662" s="421" t="s">
        <v>3114</v>
      </c>
      <c r="BB662" s="421" t="s">
        <v>3115</v>
      </c>
      <c r="BC662" s="421">
        <v>96692.6</v>
      </c>
      <c r="BD662" s="421">
        <v>321800708.19999999</v>
      </c>
      <c r="BE662" s="421">
        <v>0</v>
      </c>
      <c r="BF662" s="421">
        <v>0</v>
      </c>
      <c r="BG662" s="421">
        <v>0</v>
      </c>
      <c r="BH662" s="421">
        <v>0</v>
      </c>
      <c r="BI662" s="421" t="s">
        <v>1167</v>
      </c>
    </row>
    <row r="663" spans="1:61" x14ac:dyDescent="0.25">
      <c r="A663" s="421">
        <v>660</v>
      </c>
      <c r="B663" s="421">
        <v>2015</v>
      </c>
      <c r="C663" s="421">
        <v>12</v>
      </c>
      <c r="D663" s="421">
        <v>16</v>
      </c>
      <c r="E663" s="421" t="s">
        <v>1475</v>
      </c>
      <c r="F663" s="421" t="s">
        <v>3284</v>
      </c>
      <c r="G663" s="421" t="s">
        <v>3489</v>
      </c>
      <c r="H663" s="421" t="s">
        <v>1107</v>
      </c>
      <c r="I663" s="421" t="s">
        <v>3040</v>
      </c>
      <c r="J663" s="421" t="s">
        <v>4015</v>
      </c>
      <c r="K663" s="421" t="s">
        <v>3093</v>
      </c>
      <c r="L663" s="421" t="s">
        <v>3094</v>
      </c>
      <c r="M663" s="421" t="s">
        <v>2667</v>
      </c>
      <c r="N663" s="421" t="s">
        <v>3093</v>
      </c>
      <c r="O663" s="421" t="s">
        <v>3094</v>
      </c>
      <c r="P663" s="421" t="s">
        <v>3095</v>
      </c>
      <c r="Q663" s="421" t="s">
        <v>3096</v>
      </c>
      <c r="R663" s="421" t="s">
        <v>1108</v>
      </c>
      <c r="S663" s="421" t="s">
        <v>1542</v>
      </c>
      <c r="T663" s="421" t="s">
        <v>1130</v>
      </c>
      <c r="U663" s="421" t="s">
        <v>1112</v>
      </c>
      <c r="V663" s="421" t="s">
        <v>3097</v>
      </c>
      <c r="W663" s="421" t="s">
        <v>3098</v>
      </c>
      <c r="X663" s="421" t="s">
        <v>3099</v>
      </c>
      <c r="Y663" s="421" t="s">
        <v>1117</v>
      </c>
      <c r="Z663" s="421" t="s">
        <v>1118</v>
      </c>
      <c r="AA663" s="421" t="s">
        <v>3100</v>
      </c>
      <c r="AB663" s="421" t="s">
        <v>3101</v>
      </c>
      <c r="AC663" s="421" t="s">
        <v>3102</v>
      </c>
      <c r="AD663" s="421" t="s">
        <v>3103</v>
      </c>
      <c r="AE663" s="421" t="s">
        <v>3104</v>
      </c>
      <c r="AF663" s="421" t="s">
        <v>2236</v>
      </c>
      <c r="AG663" s="421" t="s">
        <v>2237</v>
      </c>
      <c r="AH663" s="421" t="s">
        <v>3105</v>
      </c>
      <c r="AI663" s="421">
        <v>74000</v>
      </c>
      <c r="AJ663" s="421">
        <v>165.57</v>
      </c>
      <c r="AK663" s="421">
        <v>179.59</v>
      </c>
      <c r="AL663" s="421">
        <v>2</v>
      </c>
      <c r="AM663" s="421" t="s">
        <v>959</v>
      </c>
      <c r="AN663" s="421" t="s">
        <v>3106</v>
      </c>
      <c r="AO663" s="421" t="s">
        <v>1121</v>
      </c>
      <c r="AP663" s="421" t="s">
        <v>1121</v>
      </c>
      <c r="AQ663" s="421" t="s">
        <v>1542</v>
      </c>
      <c r="AR663" s="421" t="s">
        <v>3994</v>
      </c>
      <c r="AS663" s="421" t="s">
        <v>4016</v>
      </c>
      <c r="AT663" s="421" t="s">
        <v>3109</v>
      </c>
      <c r="AU663" s="421" t="s">
        <v>1142</v>
      </c>
      <c r="AV663" s="421" t="s">
        <v>1547</v>
      </c>
      <c r="AW663" s="421" t="s">
        <v>3110</v>
      </c>
      <c r="AX663" s="421" t="s">
        <v>3111</v>
      </c>
      <c r="AY663" s="421" t="s">
        <v>3112</v>
      </c>
      <c r="AZ663" s="421" t="s">
        <v>3113</v>
      </c>
      <c r="BA663" s="421" t="s">
        <v>3114</v>
      </c>
      <c r="BB663" s="421" t="s">
        <v>3115</v>
      </c>
      <c r="BC663" s="421">
        <v>1939.3</v>
      </c>
      <c r="BD663" s="421">
        <v>6454145.54</v>
      </c>
      <c r="BE663" s="421">
        <v>0</v>
      </c>
      <c r="BF663" s="421">
        <v>0</v>
      </c>
      <c r="BG663" s="421">
        <v>0</v>
      </c>
      <c r="BH663" s="421">
        <v>0</v>
      </c>
      <c r="BI663" s="421" t="s">
        <v>1167</v>
      </c>
    </row>
    <row r="664" spans="1:61" x14ac:dyDescent="0.25">
      <c r="A664" s="421">
        <v>661</v>
      </c>
      <c r="B664" s="421">
        <v>2015</v>
      </c>
      <c r="C664" s="421">
        <v>12</v>
      </c>
      <c r="D664" s="421">
        <v>16</v>
      </c>
      <c r="E664" s="421" t="s">
        <v>1475</v>
      </c>
      <c r="F664" s="421" t="s">
        <v>3284</v>
      </c>
      <c r="G664" s="421" t="s">
        <v>3489</v>
      </c>
      <c r="H664" s="421" t="s">
        <v>1107</v>
      </c>
      <c r="I664" s="421" t="s">
        <v>3040</v>
      </c>
      <c r="J664" s="421" t="s">
        <v>4015</v>
      </c>
      <c r="K664" s="421" t="s">
        <v>3093</v>
      </c>
      <c r="L664" s="421" t="s">
        <v>3094</v>
      </c>
      <c r="M664" s="421" t="s">
        <v>2667</v>
      </c>
      <c r="N664" s="421" t="s">
        <v>3093</v>
      </c>
      <c r="O664" s="421" t="s">
        <v>3094</v>
      </c>
      <c r="P664" s="421" t="s">
        <v>3095</v>
      </c>
      <c r="Q664" s="421" t="s">
        <v>3096</v>
      </c>
      <c r="R664" s="421" t="s">
        <v>1108</v>
      </c>
      <c r="S664" s="421" t="s">
        <v>1542</v>
      </c>
      <c r="T664" s="421" t="s">
        <v>1130</v>
      </c>
      <c r="U664" s="421" t="s">
        <v>1112</v>
      </c>
      <c r="V664" s="421" t="s">
        <v>3097</v>
      </c>
      <c r="W664" s="421" t="s">
        <v>3098</v>
      </c>
      <c r="X664" s="421" t="s">
        <v>3099</v>
      </c>
      <c r="Y664" s="421" t="s">
        <v>1117</v>
      </c>
      <c r="Z664" s="421" t="s">
        <v>1118</v>
      </c>
      <c r="AA664" s="421" t="s">
        <v>3100</v>
      </c>
      <c r="AB664" s="421" t="s">
        <v>3101</v>
      </c>
      <c r="AC664" s="421" t="s">
        <v>3102</v>
      </c>
      <c r="AD664" s="421" t="s">
        <v>3103</v>
      </c>
      <c r="AE664" s="421" t="s">
        <v>3104</v>
      </c>
      <c r="AF664" s="421" t="s">
        <v>2236</v>
      </c>
      <c r="AG664" s="421" t="s">
        <v>2237</v>
      </c>
      <c r="AH664" s="421" t="s">
        <v>3105</v>
      </c>
      <c r="AI664" s="421">
        <v>4345500</v>
      </c>
      <c r="AJ664" s="421">
        <v>9966.49</v>
      </c>
      <c r="AK664" s="421">
        <v>10810.97</v>
      </c>
      <c r="AL664" s="421">
        <v>1</v>
      </c>
      <c r="AM664" s="421" t="s">
        <v>959</v>
      </c>
      <c r="AN664" s="421" t="s">
        <v>3106</v>
      </c>
      <c r="AO664" s="421" t="s">
        <v>1121</v>
      </c>
      <c r="AP664" s="421" t="s">
        <v>1121</v>
      </c>
      <c r="AQ664" s="421" t="s">
        <v>1542</v>
      </c>
      <c r="AR664" s="421" t="s">
        <v>3994</v>
      </c>
      <c r="AS664" s="421" t="s">
        <v>4016</v>
      </c>
      <c r="AT664" s="421" t="s">
        <v>3109</v>
      </c>
      <c r="AU664" s="421" t="s">
        <v>1142</v>
      </c>
      <c r="AV664" s="421" t="s">
        <v>1547</v>
      </c>
      <c r="AW664" s="421" t="s">
        <v>3110</v>
      </c>
      <c r="AX664" s="421" t="s">
        <v>3111</v>
      </c>
      <c r="AY664" s="421" t="s">
        <v>3112</v>
      </c>
      <c r="AZ664" s="421" t="s">
        <v>3113</v>
      </c>
      <c r="BA664" s="421" t="s">
        <v>3114</v>
      </c>
      <c r="BB664" s="421" t="s">
        <v>3115</v>
      </c>
      <c r="BC664" s="421">
        <v>106871.4</v>
      </c>
      <c r="BD664" s="421">
        <v>355676568.91000003</v>
      </c>
      <c r="BE664" s="421">
        <v>0</v>
      </c>
      <c r="BF664" s="421">
        <v>0</v>
      </c>
      <c r="BG664" s="421">
        <v>0</v>
      </c>
      <c r="BH664" s="421">
        <v>0</v>
      </c>
      <c r="BI664" s="421" t="s">
        <v>1167</v>
      </c>
    </row>
    <row r="665" spans="1:61" x14ac:dyDescent="0.25">
      <c r="A665" s="421">
        <v>662</v>
      </c>
      <c r="B665" s="421">
        <v>2015</v>
      </c>
      <c r="C665" s="421">
        <v>12</v>
      </c>
      <c r="D665" s="421">
        <v>16</v>
      </c>
      <c r="E665" s="421" t="s">
        <v>1475</v>
      </c>
      <c r="F665" s="421" t="s">
        <v>3284</v>
      </c>
      <c r="G665" s="421" t="s">
        <v>3489</v>
      </c>
      <c r="H665" s="421" t="s">
        <v>1107</v>
      </c>
      <c r="I665" s="421" t="s">
        <v>3040</v>
      </c>
      <c r="J665" s="421" t="s">
        <v>4017</v>
      </c>
      <c r="K665" s="421" t="s">
        <v>3093</v>
      </c>
      <c r="L665" s="421" t="s">
        <v>3094</v>
      </c>
      <c r="M665" s="421" t="s">
        <v>2667</v>
      </c>
      <c r="N665" s="421" t="s">
        <v>3093</v>
      </c>
      <c r="O665" s="421" t="s">
        <v>3094</v>
      </c>
      <c r="P665" s="421" t="s">
        <v>3095</v>
      </c>
      <c r="Q665" s="421" t="s">
        <v>3113</v>
      </c>
      <c r="R665" s="421" t="s">
        <v>1108</v>
      </c>
      <c r="S665" s="421" t="s">
        <v>1108</v>
      </c>
      <c r="T665" s="421" t="s">
        <v>1130</v>
      </c>
      <c r="U665" s="421" t="s">
        <v>1112</v>
      </c>
      <c r="V665" s="421" t="s">
        <v>3097</v>
      </c>
      <c r="W665" s="421" t="s">
        <v>3098</v>
      </c>
      <c r="X665" s="421" t="s">
        <v>3099</v>
      </c>
      <c r="Y665" s="421" t="s">
        <v>1117</v>
      </c>
      <c r="Z665" s="421" t="s">
        <v>1118</v>
      </c>
      <c r="AA665" s="421" t="s">
        <v>3100</v>
      </c>
      <c r="AB665" s="421" t="s">
        <v>3101</v>
      </c>
      <c r="AC665" s="421" t="s">
        <v>3102</v>
      </c>
      <c r="AD665" s="421" t="s">
        <v>3304</v>
      </c>
      <c r="AE665" s="421" t="s">
        <v>3305</v>
      </c>
      <c r="AF665" s="421" t="s">
        <v>1300</v>
      </c>
      <c r="AG665" s="421" t="s">
        <v>1301</v>
      </c>
      <c r="AH665" s="421" t="s">
        <v>1127</v>
      </c>
      <c r="AI665" s="421">
        <v>24.28</v>
      </c>
      <c r="AJ665" s="421">
        <v>24.28</v>
      </c>
      <c r="AK665" s="421">
        <v>28.09</v>
      </c>
      <c r="AL665" s="421">
        <v>1</v>
      </c>
      <c r="AM665" s="421" t="s">
        <v>963</v>
      </c>
      <c r="AN665" s="421" t="s">
        <v>3210</v>
      </c>
      <c r="AO665" s="421" t="s">
        <v>1121</v>
      </c>
      <c r="AP665" s="421" t="s">
        <v>1121</v>
      </c>
      <c r="AQ665" s="421" t="s">
        <v>1108</v>
      </c>
      <c r="AR665" s="421" t="s">
        <v>3994</v>
      </c>
      <c r="AS665" s="421" t="s">
        <v>4018</v>
      </c>
      <c r="AT665" s="421" t="s">
        <v>3109</v>
      </c>
      <c r="AU665" s="421" t="s">
        <v>1142</v>
      </c>
      <c r="AV665" s="421" t="s">
        <v>2037</v>
      </c>
      <c r="AW665" s="421" t="s">
        <v>3110</v>
      </c>
      <c r="AX665" s="421" t="s">
        <v>3229</v>
      </c>
      <c r="AY665" s="421" t="s">
        <v>3112</v>
      </c>
      <c r="AZ665" s="421" t="s">
        <v>3113</v>
      </c>
      <c r="BA665" s="421" t="s">
        <v>3114</v>
      </c>
      <c r="BB665" s="421" t="s">
        <v>3230</v>
      </c>
      <c r="BC665" s="421">
        <v>5</v>
      </c>
      <c r="BD665" s="421">
        <v>16640.400000000001</v>
      </c>
      <c r="BE665" s="421">
        <v>0</v>
      </c>
      <c r="BF665" s="421">
        <v>0</v>
      </c>
      <c r="BG665" s="421">
        <v>0</v>
      </c>
      <c r="BH665" s="421">
        <v>0</v>
      </c>
      <c r="BI665" s="421" t="s">
        <v>1167</v>
      </c>
    </row>
    <row r="666" spans="1:61" x14ac:dyDescent="0.25">
      <c r="A666" s="421">
        <v>663</v>
      </c>
      <c r="B666" s="421">
        <v>2015</v>
      </c>
      <c r="C666" s="421">
        <v>12</v>
      </c>
      <c r="D666" s="421">
        <v>16</v>
      </c>
      <c r="E666" s="421" t="s">
        <v>1475</v>
      </c>
      <c r="F666" s="421" t="s">
        <v>3284</v>
      </c>
      <c r="G666" s="421" t="s">
        <v>3489</v>
      </c>
      <c r="H666" s="421" t="s">
        <v>1107</v>
      </c>
      <c r="I666" s="421" t="s">
        <v>3040</v>
      </c>
      <c r="J666" s="421" t="s">
        <v>4017</v>
      </c>
      <c r="K666" s="421" t="s">
        <v>3093</v>
      </c>
      <c r="L666" s="421" t="s">
        <v>3094</v>
      </c>
      <c r="M666" s="421" t="s">
        <v>2667</v>
      </c>
      <c r="N666" s="421" t="s">
        <v>3093</v>
      </c>
      <c r="O666" s="421" t="s">
        <v>3094</v>
      </c>
      <c r="P666" s="421" t="s">
        <v>3095</v>
      </c>
      <c r="Q666" s="421" t="s">
        <v>3113</v>
      </c>
      <c r="R666" s="421" t="s">
        <v>1108</v>
      </c>
      <c r="S666" s="421" t="s">
        <v>1108</v>
      </c>
      <c r="T666" s="421" t="s">
        <v>1130</v>
      </c>
      <c r="U666" s="421" t="s">
        <v>1112</v>
      </c>
      <c r="V666" s="421" t="s">
        <v>3097</v>
      </c>
      <c r="W666" s="421" t="s">
        <v>3098</v>
      </c>
      <c r="X666" s="421" t="s">
        <v>3099</v>
      </c>
      <c r="Y666" s="421" t="s">
        <v>1117</v>
      </c>
      <c r="Z666" s="421" t="s">
        <v>1118</v>
      </c>
      <c r="AA666" s="421" t="s">
        <v>3100</v>
      </c>
      <c r="AB666" s="421" t="s">
        <v>3101</v>
      </c>
      <c r="AC666" s="421" t="s">
        <v>3102</v>
      </c>
      <c r="AD666" s="421" t="s">
        <v>3304</v>
      </c>
      <c r="AE666" s="421" t="s">
        <v>3305</v>
      </c>
      <c r="AF666" s="421" t="s">
        <v>1512</v>
      </c>
      <c r="AG666" s="421" t="s">
        <v>1513</v>
      </c>
      <c r="AH666" s="421" t="s">
        <v>3105</v>
      </c>
      <c r="AI666" s="421">
        <v>100</v>
      </c>
      <c r="AJ666" s="421">
        <v>0.42</v>
      </c>
      <c r="AK666" s="421">
        <v>0.48</v>
      </c>
      <c r="AL666" s="421">
        <v>2</v>
      </c>
      <c r="AM666" s="421" t="s">
        <v>963</v>
      </c>
      <c r="AN666" s="421" t="s">
        <v>3210</v>
      </c>
      <c r="AO666" s="421" t="s">
        <v>1121</v>
      </c>
      <c r="AP666" s="421" t="s">
        <v>1121</v>
      </c>
      <c r="AQ666" s="421" t="s">
        <v>1108</v>
      </c>
      <c r="AR666" s="421" t="s">
        <v>3994</v>
      </c>
      <c r="AS666" s="421" t="s">
        <v>4018</v>
      </c>
      <c r="AT666" s="421" t="s">
        <v>3109</v>
      </c>
      <c r="AU666" s="421" t="s">
        <v>1142</v>
      </c>
      <c r="AV666" s="421" t="s">
        <v>2037</v>
      </c>
      <c r="AW666" s="421" t="s">
        <v>3110</v>
      </c>
      <c r="AX666" s="421" t="s">
        <v>3229</v>
      </c>
      <c r="AY666" s="421" t="s">
        <v>3112</v>
      </c>
      <c r="AZ666" s="421" t="s">
        <v>3113</v>
      </c>
      <c r="BA666" s="421" t="s">
        <v>3114</v>
      </c>
      <c r="BB666" s="421" t="s">
        <v>3230</v>
      </c>
      <c r="BC666" s="421">
        <v>3</v>
      </c>
      <c r="BD666" s="421">
        <v>9984.24</v>
      </c>
      <c r="BE666" s="421">
        <v>0</v>
      </c>
      <c r="BF666" s="421">
        <v>0</v>
      </c>
      <c r="BG666" s="421">
        <v>0</v>
      </c>
      <c r="BH666" s="421">
        <v>0</v>
      </c>
      <c r="BI666" s="421" t="s">
        <v>1167</v>
      </c>
    </row>
    <row r="667" spans="1:61" x14ac:dyDescent="0.25">
      <c r="A667" s="421">
        <v>664</v>
      </c>
      <c r="B667" s="421">
        <v>2015</v>
      </c>
      <c r="C667" s="421">
        <v>12</v>
      </c>
      <c r="D667" s="421">
        <v>16</v>
      </c>
      <c r="E667" s="421" t="s">
        <v>1475</v>
      </c>
      <c r="F667" s="421" t="s">
        <v>3284</v>
      </c>
      <c r="G667" s="421" t="s">
        <v>3489</v>
      </c>
      <c r="H667" s="421" t="s">
        <v>1107</v>
      </c>
      <c r="I667" s="421" t="s">
        <v>3040</v>
      </c>
      <c r="J667" s="421" t="s">
        <v>4019</v>
      </c>
      <c r="K667" s="421" t="s">
        <v>3093</v>
      </c>
      <c r="L667" s="421" t="s">
        <v>3094</v>
      </c>
      <c r="M667" s="421" t="s">
        <v>2667</v>
      </c>
      <c r="N667" s="421" t="s">
        <v>3093</v>
      </c>
      <c r="O667" s="421" t="s">
        <v>3094</v>
      </c>
      <c r="P667" s="421" t="s">
        <v>3095</v>
      </c>
      <c r="Q667" s="421" t="s">
        <v>3096</v>
      </c>
      <c r="R667" s="421" t="s">
        <v>1108</v>
      </c>
      <c r="S667" s="421" t="s">
        <v>1542</v>
      </c>
      <c r="T667" s="421" t="s">
        <v>1130</v>
      </c>
      <c r="U667" s="421" t="s">
        <v>1112</v>
      </c>
      <c r="V667" s="421" t="s">
        <v>3097</v>
      </c>
      <c r="W667" s="421" t="s">
        <v>3098</v>
      </c>
      <c r="X667" s="421" t="s">
        <v>3099</v>
      </c>
      <c r="Y667" s="421" t="s">
        <v>1117</v>
      </c>
      <c r="Z667" s="421" t="s">
        <v>1118</v>
      </c>
      <c r="AA667" s="421" t="s">
        <v>3100</v>
      </c>
      <c r="AB667" s="421" t="s">
        <v>3101</v>
      </c>
      <c r="AC667" s="421" t="s">
        <v>3102</v>
      </c>
      <c r="AD667" s="421" t="s">
        <v>3103</v>
      </c>
      <c r="AE667" s="421" t="s">
        <v>3104</v>
      </c>
      <c r="AF667" s="421" t="s">
        <v>1300</v>
      </c>
      <c r="AG667" s="421" t="s">
        <v>1301</v>
      </c>
      <c r="AH667" s="421" t="s">
        <v>1127</v>
      </c>
      <c r="AI667" s="421">
        <v>5.87</v>
      </c>
      <c r="AJ667" s="421">
        <v>5.87</v>
      </c>
      <c r="AK667" s="421">
        <v>6.8</v>
      </c>
      <c r="AL667" s="421">
        <v>1</v>
      </c>
      <c r="AM667" s="421" t="s">
        <v>959</v>
      </c>
      <c r="AN667" s="421" t="s">
        <v>3106</v>
      </c>
      <c r="AO667" s="421" t="s">
        <v>1121</v>
      </c>
      <c r="AP667" s="421" t="s">
        <v>1121</v>
      </c>
      <c r="AQ667" s="421" t="s">
        <v>1542</v>
      </c>
      <c r="AR667" s="421" t="s">
        <v>3994</v>
      </c>
      <c r="AS667" s="421" t="s">
        <v>4020</v>
      </c>
      <c r="AT667" s="421" t="s">
        <v>3109</v>
      </c>
      <c r="AU667" s="421" t="s">
        <v>1142</v>
      </c>
      <c r="AV667" s="421" t="s">
        <v>1547</v>
      </c>
      <c r="AW667" s="421" t="s">
        <v>3110</v>
      </c>
      <c r="AX667" s="421" t="s">
        <v>3229</v>
      </c>
      <c r="AY667" s="421" t="s">
        <v>3112</v>
      </c>
      <c r="AZ667" s="421" t="s">
        <v>3113</v>
      </c>
      <c r="BA667" s="421" t="s">
        <v>3114</v>
      </c>
      <c r="BB667" s="421" t="s">
        <v>3230</v>
      </c>
      <c r="BC667" s="421">
        <v>1.25</v>
      </c>
      <c r="BD667" s="421">
        <v>4160.1000000000004</v>
      </c>
      <c r="BE667" s="421">
        <v>0</v>
      </c>
      <c r="BF667" s="421">
        <v>0</v>
      </c>
      <c r="BG667" s="421">
        <v>0</v>
      </c>
      <c r="BH667" s="421">
        <v>0</v>
      </c>
      <c r="BI667" s="421" t="s">
        <v>1167</v>
      </c>
    </row>
    <row r="668" spans="1:61" x14ac:dyDescent="0.25">
      <c r="A668" s="421">
        <v>665</v>
      </c>
      <c r="B668" s="421">
        <v>2015</v>
      </c>
      <c r="C668" s="421">
        <v>12</v>
      </c>
      <c r="D668" s="421">
        <v>22</v>
      </c>
      <c r="E668" s="421" t="s">
        <v>1475</v>
      </c>
      <c r="F668" s="421" t="s">
        <v>3284</v>
      </c>
      <c r="G668" s="421" t="s">
        <v>3507</v>
      </c>
      <c r="H668" s="421" t="s">
        <v>1107</v>
      </c>
      <c r="I668" s="421" t="s">
        <v>4021</v>
      </c>
      <c r="J668" s="421" t="s">
        <v>4022</v>
      </c>
      <c r="K668" s="421" t="s">
        <v>3093</v>
      </c>
      <c r="L668" s="421" t="s">
        <v>3094</v>
      </c>
      <c r="M668" s="421" t="s">
        <v>2667</v>
      </c>
      <c r="N668" s="421" t="s">
        <v>3093</v>
      </c>
      <c r="O668" s="421" t="s">
        <v>3094</v>
      </c>
      <c r="P668" s="421" t="s">
        <v>3095</v>
      </c>
      <c r="Q668" s="421" t="s">
        <v>3113</v>
      </c>
      <c r="R668" s="421" t="s">
        <v>1108</v>
      </c>
      <c r="S668" s="421" t="s">
        <v>1108</v>
      </c>
      <c r="T668" s="421" t="s">
        <v>1130</v>
      </c>
      <c r="U668" s="421" t="s">
        <v>1112</v>
      </c>
      <c r="V668" s="421" t="s">
        <v>3097</v>
      </c>
      <c r="W668" s="421" t="s">
        <v>3098</v>
      </c>
      <c r="X668" s="421" t="s">
        <v>3099</v>
      </c>
      <c r="Y668" s="421" t="s">
        <v>1117</v>
      </c>
      <c r="Z668" s="421" t="s">
        <v>1118</v>
      </c>
      <c r="AA668" s="421" t="s">
        <v>3100</v>
      </c>
      <c r="AB668" s="421" t="s">
        <v>3101</v>
      </c>
      <c r="AC668" s="421" t="s">
        <v>3102</v>
      </c>
      <c r="AD668" s="421" t="s">
        <v>3232</v>
      </c>
      <c r="AE668" s="421" t="s">
        <v>3233</v>
      </c>
      <c r="AF668" s="421" t="s">
        <v>2236</v>
      </c>
      <c r="AG668" s="421" t="s">
        <v>2237</v>
      </c>
      <c r="AH668" s="421" t="s">
        <v>3105</v>
      </c>
      <c r="AI668" s="421">
        <v>1411000</v>
      </c>
      <c r="AJ668" s="421">
        <v>4443.47</v>
      </c>
      <c r="AK668" s="421">
        <v>4823.07</v>
      </c>
      <c r="AL668" s="421">
        <v>2</v>
      </c>
      <c r="AM668" s="421" t="s">
        <v>3234</v>
      </c>
      <c r="AN668" s="421" t="s">
        <v>3235</v>
      </c>
      <c r="AO668" s="421" t="s">
        <v>1121</v>
      </c>
      <c r="AP668" s="421" t="s">
        <v>1121</v>
      </c>
      <c r="AQ668" s="421" t="s">
        <v>1108</v>
      </c>
      <c r="AR668" s="421" t="s">
        <v>3994</v>
      </c>
      <c r="AS668" s="421" t="s">
        <v>4023</v>
      </c>
      <c r="AT668" s="421" t="s">
        <v>3109</v>
      </c>
      <c r="AU668" s="421" t="s">
        <v>1142</v>
      </c>
      <c r="AV668" s="421" t="s">
        <v>2037</v>
      </c>
      <c r="AW668" s="421" t="s">
        <v>3110</v>
      </c>
      <c r="AX668" s="421" t="s">
        <v>3111</v>
      </c>
      <c r="AY668" s="421" t="s">
        <v>3112</v>
      </c>
      <c r="AZ668" s="421" t="s">
        <v>3113</v>
      </c>
      <c r="BA668" s="421" t="s">
        <v>3114</v>
      </c>
      <c r="BB668" s="421" t="s">
        <v>3115</v>
      </c>
      <c r="BC668" s="421">
        <v>44122.8</v>
      </c>
      <c r="BD668" s="421">
        <v>147048055.56</v>
      </c>
      <c r="BE668" s="421">
        <v>0</v>
      </c>
      <c r="BF668" s="421">
        <v>592.48</v>
      </c>
      <c r="BG668" s="421">
        <v>111.79</v>
      </c>
      <c r="BH668" s="421">
        <v>0</v>
      </c>
      <c r="BI668" s="421" t="s">
        <v>1167</v>
      </c>
    </row>
    <row r="669" spans="1:61" x14ac:dyDescent="0.25">
      <c r="A669" s="421">
        <v>666</v>
      </c>
      <c r="B669" s="421">
        <v>2015</v>
      </c>
      <c r="C669" s="421">
        <v>12</v>
      </c>
      <c r="D669" s="421">
        <v>22</v>
      </c>
      <c r="E669" s="421" t="s">
        <v>1475</v>
      </c>
      <c r="F669" s="421" t="s">
        <v>3284</v>
      </c>
      <c r="G669" s="421" t="s">
        <v>3507</v>
      </c>
      <c r="H669" s="421" t="s">
        <v>1107</v>
      </c>
      <c r="I669" s="421" t="s">
        <v>4021</v>
      </c>
      <c r="J669" s="421" t="s">
        <v>4022</v>
      </c>
      <c r="K669" s="421" t="s">
        <v>3093</v>
      </c>
      <c r="L669" s="421" t="s">
        <v>3094</v>
      </c>
      <c r="M669" s="421" t="s">
        <v>2667</v>
      </c>
      <c r="N669" s="421" t="s">
        <v>3093</v>
      </c>
      <c r="O669" s="421" t="s">
        <v>3094</v>
      </c>
      <c r="P669" s="421" t="s">
        <v>3095</v>
      </c>
      <c r="Q669" s="421" t="s">
        <v>3113</v>
      </c>
      <c r="R669" s="421" t="s">
        <v>1108</v>
      </c>
      <c r="S669" s="421" t="s">
        <v>1108</v>
      </c>
      <c r="T669" s="421" t="s">
        <v>1130</v>
      </c>
      <c r="U669" s="421" t="s">
        <v>1112</v>
      </c>
      <c r="V669" s="421" t="s">
        <v>3097</v>
      </c>
      <c r="W669" s="421" t="s">
        <v>3098</v>
      </c>
      <c r="X669" s="421" t="s">
        <v>3099</v>
      </c>
      <c r="Y669" s="421" t="s">
        <v>1117</v>
      </c>
      <c r="Z669" s="421" t="s">
        <v>1118</v>
      </c>
      <c r="AA669" s="421" t="s">
        <v>3100</v>
      </c>
      <c r="AB669" s="421" t="s">
        <v>3101</v>
      </c>
      <c r="AC669" s="421" t="s">
        <v>3102</v>
      </c>
      <c r="AD669" s="421" t="s">
        <v>3232</v>
      </c>
      <c r="AE669" s="421" t="s">
        <v>3233</v>
      </c>
      <c r="AF669" s="421" t="s">
        <v>2236</v>
      </c>
      <c r="AG669" s="421" t="s">
        <v>2237</v>
      </c>
      <c r="AH669" s="421" t="s">
        <v>3105</v>
      </c>
      <c r="AI669" s="421">
        <v>386300</v>
      </c>
      <c r="AJ669" s="421">
        <v>1109.2</v>
      </c>
      <c r="AK669" s="421">
        <v>1203.95</v>
      </c>
      <c r="AL669" s="421">
        <v>1</v>
      </c>
      <c r="AM669" s="421" t="s">
        <v>3234</v>
      </c>
      <c r="AN669" s="421" t="s">
        <v>3235</v>
      </c>
      <c r="AO669" s="421" t="s">
        <v>1121</v>
      </c>
      <c r="AP669" s="421" t="s">
        <v>1121</v>
      </c>
      <c r="AQ669" s="421" t="s">
        <v>1108</v>
      </c>
      <c r="AR669" s="421" t="s">
        <v>3994</v>
      </c>
      <c r="AS669" s="421" t="s">
        <v>4023</v>
      </c>
      <c r="AT669" s="421" t="s">
        <v>3109</v>
      </c>
      <c r="AU669" s="421" t="s">
        <v>1142</v>
      </c>
      <c r="AV669" s="421" t="s">
        <v>2037</v>
      </c>
      <c r="AW669" s="421" t="s">
        <v>3110</v>
      </c>
      <c r="AX669" s="421" t="s">
        <v>3111</v>
      </c>
      <c r="AY669" s="421" t="s">
        <v>3112</v>
      </c>
      <c r="AZ669" s="421" t="s">
        <v>3113</v>
      </c>
      <c r="BA669" s="421" t="s">
        <v>3114</v>
      </c>
      <c r="BB669" s="421" t="s">
        <v>3115</v>
      </c>
      <c r="BC669" s="421">
        <v>12440.9</v>
      </c>
      <c r="BD669" s="421">
        <v>41461787.43</v>
      </c>
      <c r="BE669" s="421">
        <v>0</v>
      </c>
      <c r="BF669" s="421">
        <v>167.06</v>
      </c>
      <c r="BG669" s="421">
        <v>31.52</v>
      </c>
      <c r="BH669" s="421">
        <v>0</v>
      </c>
      <c r="BI669" s="421" t="s">
        <v>1167</v>
      </c>
    </row>
    <row r="670" spans="1:61" x14ac:dyDescent="0.25">
      <c r="A670" s="421">
        <v>667</v>
      </c>
      <c r="B670" s="421">
        <v>2015</v>
      </c>
      <c r="C670" s="421">
        <v>12</v>
      </c>
      <c r="D670" s="421">
        <v>22</v>
      </c>
      <c r="E670" s="421" t="s">
        <v>1475</v>
      </c>
      <c r="F670" s="421" t="s">
        <v>3284</v>
      </c>
      <c r="G670" s="421" t="s">
        <v>3507</v>
      </c>
      <c r="H670" s="421" t="s">
        <v>1107</v>
      </c>
      <c r="I670" s="421" t="s">
        <v>4021</v>
      </c>
      <c r="J670" s="421" t="s">
        <v>4022</v>
      </c>
      <c r="K670" s="421" t="s">
        <v>3093</v>
      </c>
      <c r="L670" s="421" t="s">
        <v>3094</v>
      </c>
      <c r="M670" s="421" t="s">
        <v>2667</v>
      </c>
      <c r="N670" s="421" t="s">
        <v>3093</v>
      </c>
      <c r="O670" s="421" t="s">
        <v>3094</v>
      </c>
      <c r="P670" s="421" t="s">
        <v>3095</v>
      </c>
      <c r="Q670" s="421" t="s">
        <v>3113</v>
      </c>
      <c r="R670" s="421" t="s">
        <v>1108</v>
      </c>
      <c r="S670" s="421" t="s">
        <v>1108</v>
      </c>
      <c r="T670" s="421" t="s">
        <v>1130</v>
      </c>
      <c r="U670" s="421" t="s">
        <v>1112</v>
      </c>
      <c r="V670" s="421" t="s">
        <v>3097</v>
      </c>
      <c r="W670" s="421" t="s">
        <v>3098</v>
      </c>
      <c r="X670" s="421" t="s">
        <v>3099</v>
      </c>
      <c r="Y670" s="421" t="s">
        <v>1117</v>
      </c>
      <c r="Z670" s="421" t="s">
        <v>1118</v>
      </c>
      <c r="AA670" s="421" t="s">
        <v>3100</v>
      </c>
      <c r="AB670" s="421" t="s">
        <v>3101</v>
      </c>
      <c r="AC670" s="421" t="s">
        <v>3102</v>
      </c>
      <c r="AD670" s="421" t="s">
        <v>3232</v>
      </c>
      <c r="AE670" s="421" t="s">
        <v>3233</v>
      </c>
      <c r="AF670" s="421" t="s">
        <v>2236</v>
      </c>
      <c r="AG670" s="421" t="s">
        <v>2237</v>
      </c>
      <c r="AH670" s="421" t="s">
        <v>3105</v>
      </c>
      <c r="AI670" s="421">
        <v>18000</v>
      </c>
      <c r="AJ670" s="421">
        <v>67.86</v>
      </c>
      <c r="AK670" s="421">
        <v>73.650000000000006</v>
      </c>
      <c r="AL670" s="421">
        <v>4</v>
      </c>
      <c r="AM670" s="421" t="s">
        <v>3234</v>
      </c>
      <c r="AN670" s="421" t="s">
        <v>3235</v>
      </c>
      <c r="AO670" s="421" t="s">
        <v>1121</v>
      </c>
      <c r="AP670" s="421" t="s">
        <v>1121</v>
      </c>
      <c r="AQ670" s="421" t="s">
        <v>1108</v>
      </c>
      <c r="AR670" s="421" t="s">
        <v>3994</v>
      </c>
      <c r="AS670" s="421" t="s">
        <v>4023</v>
      </c>
      <c r="AT670" s="421" t="s">
        <v>3109</v>
      </c>
      <c r="AU670" s="421" t="s">
        <v>1142</v>
      </c>
      <c r="AV670" s="421" t="s">
        <v>2037</v>
      </c>
      <c r="AW670" s="421" t="s">
        <v>3110</v>
      </c>
      <c r="AX670" s="421" t="s">
        <v>3111</v>
      </c>
      <c r="AY670" s="421" t="s">
        <v>3112</v>
      </c>
      <c r="AZ670" s="421" t="s">
        <v>3113</v>
      </c>
      <c r="BA670" s="421" t="s">
        <v>3114</v>
      </c>
      <c r="BB670" s="421" t="s">
        <v>3115</v>
      </c>
      <c r="BC670" s="421">
        <v>1173.5999999999999</v>
      </c>
      <c r="BD670" s="421">
        <v>3911256.72</v>
      </c>
      <c r="BE670" s="421">
        <v>0</v>
      </c>
      <c r="BF670" s="421">
        <v>15.76</v>
      </c>
      <c r="BG670" s="421">
        <v>2.97</v>
      </c>
      <c r="BH670" s="421">
        <v>0</v>
      </c>
      <c r="BI670" s="421" t="s">
        <v>1167</v>
      </c>
    </row>
    <row r="671" spans="1:61" x14ac:dyDescent="0.25">
      <c r="A671" s="421">
        <v>668</v>
      </c>
      <c r="B671" s="421">
        <v>2015</v>
      </c>
      <c r="C671" s="421">
        <v>12</v>
      </c>
      <c r="D671" s="421">
        <v>22</v>
      </c>
      <c r="E671" s="421" t="s">
        <v>1475</v>
      </c>
      <c r="F671" s="421" t="s">
        <v>3284</v>
      </c>
      <c r="G671" s="421" t="s">
        <v>3507</v>
      </c>
      <c r="H671" s="421" t="s">
        <v>1107</v>
      </c>
      <c r="I671" s="421" t="s">
        <v>4021</v>
      </c>
      <c r="J671" s="421" t="s">
        <v>4022</v>
      </c>
      <c r="K671" s="421" t="s">
        <v>3093</v>
      </c>
      <c r="L671" s="421" t="s">
        <v>3094</v>
      </c>
      <c r="M671" s="421" t="s">
        <v>2667</v>
      </c>
      <c r="N671" s="421" t="s">
        <v>3093</v>
      </c>
      <c r="O671" s="421" t="s">
        <v>3094</v>
      </c>
      <c r="P671" s="421" t="s">
        <v>3095</v>
      </c>
      <c r="Q671" s="421" t="s">
        <v>3113</v>
      </c>
      <c r="R671" s="421" t="s">
        <v>1108</v>
      </c>
      <c r="S671" s="421" t="s">
        <v>1108</v>
      </c>
      <c r="T671" s="421" t="s">
        <v>1130</v>
      </c>
      <c r="U671" s="421" t="s">
        <v>1112</v>
      </c>
      <c r="V671" s="421" t="s">
        <v>3097</v>
      </c>
      <c r="W671" s="421" t="s">
        <v>3098</v>
      </c>
      <c r="X671" s="421" t="s">
        <v>3099</v>
      </c>
      <c r="Y671" s="421" t="s">
        <v>1117</v>
      </c>
      <c r="Z671" s="421" t="s">
        <v>1118</v>
      </c>
      <c r="AA671" s="421" t="s">
        <v>3100</v>
      </c>
      <c r="AB671" s="421" t="s">
        <v>3101</v>
      </c>
      <c r="AC671" s="421" t="s">
        <v>3102</v>
      </c>
      <c r="AD671" s="421" t="s">
        <v>3232</v>
      </c>
      <c r="AE671" s="421" t="s">
        <v>3233</v>
      </c>
      <c r="AF671" s="421" t="s">
        <v>2236</v>
      </c>
      <c r="AG671" s="421" t="s">
        <v>2237</v>
      </c>
      <c r="AH671" s="421" t="s">
        <v>3105</v>
      </c>
      <c r="AI671" s="421">
        <v>156000</v>
      </c>
      <c r="AJ671" s="421">
        <v>551.97</v>
      </c>
      <c r="AK671" s="421">
        <v>599.12</v>
      </c>
      <c r="AL671" s="421">
        <v>3</v>
      </c>
      <c r="AM671" s="421" t="s">
        <v>3234</v>
      </c>
      <c r="AN671" s="421" t="s">
        <v>3235</v>
      </c>
      <c r="AO671" s="421" t="s">
        <v>1121</v>
      </c>
      <c r="AP671" s="421" t="s">
        <v>1121</v>
      </c>
      <c r="AQ671" s="421" t="s">
        <v>1108</v>
      </c>
      <c r="AR671" s="421" t="s">
        <v>3994</v>
      </c>
      <c r="AS671" s="421" t="s">
        <v>4023</v>
      </c>
      <c r="AT671" s="421" t="s">
        <v>3109</v>
      </c>
      <c r="AU671" s="421" t="s">
        <v>1142</v>
      </c>
      <c r="AV671" s="421" t="s">
        <v>2037</v>
      </c>
      <c r="AW671" s="421" t="s">
        <v>3110</v>
      </c>
      <c r="AX671" s="421" t="s">
        <v>3111</v>
      </c>
      <c r="AY671" s="421" t="s">
        <v>3112</v>
      </c>
      <c r="AZ671" s="421" t="s">
        <v>3113</v>
      </c>
      <c r="BA671" s="421" t="s">
        <v>3114</v>
      </c>
      <c r="BB671" s="421" t="s">
        <v>3115</v>
      </c>
      <c r="BC671" s="421">
        <v>10031.700000000001</v>
      </c>
      <c r="BD671" s="421">
        <v>33432646.59</v>
      </c>
      <c r="BE671" s="421">
        <v>0</v>
      </c>
      <c r="BF671" s="421">
        <v>134.71</v>
      </c>
      <c r="BG671" s="421">
        <v>25.42</v>
      </c>
      <c r="BH671" s="421">
        <v>0</v>
      </c>
      <c r="BI671" s="421" t="s">
        <v>1167</v>
      </c>
    </row>
    <row r="672" spans="1:61" x14ac:dyDescent="0.25">
      <c r="A672" s="421">
        <v>669</v>
      </c>
      <c r="B672" s="421">
        <v>2015</v>
      </c>
      <c r="C672" s="421">
        <v>12</v>
      </c>
      <c r="D672" s="421">
        <v>28</v>
      </c>
      <c r="E672" s="421" t="s">
        <v>1475</v>
      </c>
      <c r="F672" s="421" t="s">
        <v>3284</v>
      </c>
      <c r="G672" s="421" t="s">
        <v>3206</v>
      </c>
      <c r="H672" s="421" t="s">
        <v>1107</v>
      </c>
      <c r="I672" s="421" t="s">
        <v>4024</v>
      </c>
      <c r="J672" s="421" t="s">
        <v>4025</v>
      </c>
      <c r="K672" s="421" t="s">
        <v>3093</v>
      </c>
      <c r="L672" s="421" t="s">
        <v>3094</v>
      </c>
      <c r="M672" s="421" t="s">
        <v>2667</v>
      </c>
      <c r="N672" s="421" t="s">
        <v>3093</v>
      </c>
      <c r="O672" s="421" t="s">
        <v>3094</v>
      </c>
      <c r="P672" s="421" t="s">
        <v>3095</v>
      </c>
      <c r="Q672" s="421" t="s">
        <v>3096</v>
      </c>
      <c r="R672" s="421" t="s">
        <v>1108</v>
      </c>
      <c r="S672" s="421" t="s">
        <v>1542</v>
      </c>
      <c r="T672" s="421" t="s">
        <v>1130</v>
      </c>
      <c r="U672" s="421" t="s">
        <v>1112</v>
      </c>
      <c r="V672" s="421" t="s">
        <v>3097</v>
      </c>
      <c r="W672" s="421" t="s">
        <v>3098</v>
      </c>
      <c r="X672" s="421" t="s">
        <v>3099</v>
      </c>
      <c r="Y672" s="421" t="s">
        <v>1117</v>
      </c>
      <c r="Z672" s="421" t="s">
        <v>1118</v>
      </c>
      <c r="AA672" s="421" t="s">
        <v>3100</v>
      </c>
      <c r="AB672" s="421" t="s">
        <v>3101</v>
      </c>
      <c r="AC672" s="421" t="s">
        <v>3102</v>
      </c>
      <c r="AD672" s="421" t="s">
        <v>4026</v>
      </c>
      <c r="AE672" s="421" t="s">
        <v>4027</v>
      </c>
      <c r="AF672" s="421" t="s">
        <v>2236</v>
      </c>
      <c r="AG672" s="421" t="s">
        <v>2237</v>
      </c>
      <c r="AH672" s="421" t="s">
        <v>3105</v>
      </c>
      <c r="AI672" s="421">
        <v>122000</v>
      </c>
      <c r="AJ672" s="421">
        <v>358.04</v>
      </c>
      <c r="AK672" s="421">
        <v>388.06</v>
      </c>
      <c r="AL672" s="421">
        <v>2</v>
      </c>
      <c r="AM672" s="421" t="s">
        <v>2429</v>
      </c>
      <c r="AN672" s="421" t="s">
        <v>4028</v>
      </c>
      <c r="AO672" s="421" t="s">
        <v>1121</v>
      </c>
      <c r="AP672" s="421" t="s">
        <v>1121</v>
      </c>
      <c r="AQ672" s="421" t="s">
        <v>1542</v>
      </c>
      <c r="AR672" s="421" t="s">
        <v>3994</v>
      </c>
      <c r="AS672" s="421" t="s">
        <v>4029</v>
      </c>
      <c r="AT672" s="421" t="s">
        <v>3109</v>
      </c>
      <c r="AU672" s="421" t="s">
        <v>1142</v>
      </c>
      <c r="AV672" s="421" t="s">
        <v>2520</v>
      </c>
      <c r="AW672" s="421" t="s">
        <v>3110</v>
      </c>
      <c r="AX672" s="421" t="s">
        <v>3111</v>
      </c>
      <c r="AY672" s="421" t="s">
        <v>3112</v>
      </c>
      <c r="AZ672" s="421" t="s">
        <v>3113</v>
      </c>
      <c r="BA672" s="421" t="s">
        <v>3114</v>
      </c>
      <c r="BB672" s="421" t="s">
        <v>3115</v>
      </c>
      <c r="BC672" s="421">
        <v>4807</v>
      </c>
      <c r="BD672" s="421">
        <v>15247948.210000001</v>
      </c>
      <c r="BE672" s="421">
        <v>0</v>
      </c>
      <c r="BF672" s="421">
        <v>74.53</v>
      </c>
      <c r="BG672" s="421">
        <v>12.2</v>
      </c>
      <c r="BH672" s="421">
        <v>0</v>
      </c>
      <c r="BI672" s="421" t="s">
        <v>1331</v>
      </c>
    </row>
    <row r="673" spans="1:61" x14ac:dyDescent="0.25">
      <c r="A673" s="421">
        <v>670</v>
      </c>
      <c r="B673" s="421">
        <v>2015</v>
      </c>
      <c r="C673" s="421">
        <v>12</v>
      </c>
      <c r="D673" s="421">
        <v>28</v>
      </c>
      <c r="E673" s="421" t="s">
        <v>1475</v>
      </c>
      <c r="F673" s="421" t="s">
        <v>3284</v>
      </c>
      <c r="G673" s="421" t="s">
        <v>3206</v>
      </c>
      <c r="H673" s="421" t="s">
        <v>1107</v>
      </c>
      <c r="I673" s="421" t="s">
        <v>4024</v>
      </c>
      <c r="J673" s="421" t="s">
        <v>4025</v>
      </c>
      <c r="K673" s="421" t="s">
        <v>3093</v>
      </c>
      <c r="L673" s="421" t="s">
        <v>3094</v>
      </c>
      <c r="M673" s="421" t="s">
        <v>2667</v>
      </c>
      <c r="N673" s="421" t="s">
        <v>3093</v>
      </c>
      <c r="O673" s="421" t="s">
        <v>3094</v>
      </c>
      <c r="P673" s="421" t="s">
        <v>3095</v>
      </c>
      <c r="Q673" s="421" t="s">
        <v>3096</v>
      </c>
      <c r="R673" s="421" t="s">
        <v>1108</v>
      </c>
      <c r="S673" s="421" t="s">
        <v>1542</v>
      </c>
      <c r="T673" s="421" t="s">
        <v>1130</v>
      </c>
      <c r="U673" s="421" t="s">
        <v>1112</v>
      </c>
      <c r="V673" s="421" t="s">
        <v>3097</v>
      </c>
      <c r="W673" s="421" t="s">
        <v>3098</v>
      </c>
      <c r="X673" s="421" t="s">
        <v>3099</v>
      </c>
      <c r="Y673" s="421" t="s">
        <v>1117</v>
      </c>
      <c r="Z673" s="421" t="s">
        <v>1118</v>
      </c>
      <c r="AA673" s="421" t="s">
        <v>3100</v>
      </c>
      <c r="AB673" s="421" t="s">
        <v>3101</v>
      </c>
      <c r="AC673" s="421" t="s">
        <v>3102</v>
      </c>
      <c r="AD673" s="421" t="s">
        <v>4026</v>
      </c>
      <c r="AE673" s="421" t="s">
        <v>4027</v>
      </c>
      <c r="AF673" s="421" t="s">
        <v>2236</v>
      </c>
      <c r="AG673" s="421" t="s">
        <v>2237</v>
      </c>
      <c r="AH673" s="421" t="s">
        <v>3105</v>
      </c>
      <c r="AI673" s="421">
        <v>12000</v>
      </c>
      <c r="AJ673" s="421">
        <v>42.12</v>
      </c>
      <c r="AK673" s="421">
        <v>45.65</v>
      </c>
      <c r="AL673" s="421">
        <v>3</v>
      </c>
      <c r="AM673" s="421" t="s">
        <v>2429</v>
      </c>
      <c r="AN673" s="421" t="s">
        <v>4028</v>
      </c>
      <c r="AO673" s="421" t="s">
        <v>1121</v>
      </c>
      <c r="AP673" s="421" t="s">
        <v>1121</v>
      </c>
      <c r="AQ673" s="421" t="s">
        <v>1542</v>
      </c>
      <c r="AR673" s="421" t="s">
        <v>3994</v>
      </c>
      <c r="AS673" s="421" t="s">
        <v>4029</v>
      </c>
      <c r="AT673" s="421" t="s">
        <v>3109</v>
      </c>
      <c r="AU673" s="421" t="s">
        <v>1142</v>
      </c>
      <c r="AV673" s="421" t="s">
        <v>2520</v>
      </c>
      <c r="AW673" s="421" t="s">
        <v>3110</v>
      </c>
      <c r="AX673" s="421" t="s">
        <v>3111</v>
      </c>
      <c r="AY673" s="421" t="s">
        <v>3112</v>
      </c>
      <c r="AZ673" s="421" t="s">
        <v>3113</v>
      </c>
      <c r="BA673" s="421" t="s">
        <v>3114</v>
      </c>
      <c r="BB673" s="421" t="s">
        <v>3115</v>
      </c>
      <c r="BC673" s="421">
        <v>1092</v>
      </c>
      <c r="BD673" s="421">
        <v>3463856.76</v>
      </c>
      <c r="BE673" s="421">
        <v>0</v>
      </c>
      <c r="BF673" s="421">
        <v>16.93</v>
      </c>
      <c r="BG673" s="421">
        <v>2.77</v>
      </c>
      <c r="BH673" s="421">
        <v>0</v>
      </c>
      <c r="BI673" s="421" t="s">
        <v>1331</v>
      </c>
    </row>
    <row r="674" spans="1:61" x14ac:dyDescent="0.25">
      <c r="A674" s="421">
        <v>671</v>
      </c>
      <c r="B674" s="421">
        <v>2015</v>
      </c>
      <c r="C674" s="421">
        <v>12</v>
      </c>
      <c r="D674" s="421">
        <v>28</v>
      </c>
      <c r="E674" s="421" t="s">
        <v>1475</v>
      </c>
      <c r="F674" s="421" t="s">
        <v>3284</v>
      </c>
      <c r="G674" s="421" t="s">
        <v>3206</v>
      </c>
      <c r="H674" s="421" t="s">
        <v>1107</v>
      </c>
      <c r="I674" s="421" t="s">
        <v>4024</v>
      </c>
      <c r="J674" s="421" t="s">
        <v>4025</v>
      </c>
      <c r="K674" s="421" t="s">
        <v>3093</v>
      </c>
      <c r="L674" s="421" t="s">
        <v>3094</v>
      </c>
      <c r="M674" s="421" t="s">
        <v>2667</v>
      </c>
      <c r="N674" s="421" t="s">
        <v>3093</v>
      </c>
      <c r="O674" s="421" t="s">
        <v>3094</v>
      </c>
      <c r="P674" s="421" t="s">
        <v>3095</v>
      </c>
      <c r="Q674" s="421" t="s">
        <v>3096</v>
      </c>
      <c r="R674" s="421" t="s">
        <v>1108</v>
      </c>
      <c r="S674" s="421" t="s">
        <v>1542</v>
      </c>
      <c r="T674" s="421" t="s">
        <v>1130</v>
      </c>
      <c r="U674" s="421" t="s">
        <v>1112</v>
      </c>
      <c r="V674" s="421" t="s">
        <v>3097</v>
      </c>
      <c r="W674" s="421" t="s">
        <v>3098</v>
      </c>
      <c r="X674" s="421" t="s">
        <v>3099</v>
      </c>
      <c r="Y674" s="421" t="s">
        <v>1117</v>
      </c>
      <c r="Z674" s="421" t="s">
        <v>1118</v>
      </c>
      <c r="AA674" s="421" t="s">
        <v>3100</v>
      </c>
      <c r="AB674" s="421" t="s">
        <v>3101</v>
      </c>
      <c r="AC674" s="421" t="s">
        <v>3102</v>
      </c>
      <c r="AD674" s="421" t="s">
        <v>4026</v>
      </c>
      <c r="AE674" s="421" t="s">
        <v>4027</v>
      </c>
      <c r="AF674" s="421" t="s">
        <v>2236</v>
      </c>
      <c r="AG674" s="421" t="s">
        <v>2237</v>
      </c>
      <c r="AH674" s="421" t="s">
        <v>3105</v>
      </c>
      <c r="AI674" s="421">
        <v>526400</v>
      </c>
      <c r="AJ674" s="421">
        <v>1341.23</v>
      </c>
      <c r="AK674" s="421">
        <v>1453.68</v>
      </c>
      <c r="AL674" s="421">
        <v>1</v>
      </c>
      <c r="AM674" s="421" t="s">
        <v>2429</v>
      </c>
      <c r="AN674" s="421" t="s">
        <v>4028</v>
      </c>
      <c r="AO674" s="421" t="s">
        <v>1121</v>
      </c>
      <c r="AP674" s="421" t="s">
        <v>1121</v>
      </c>
      <c r="AQ674" s="421" t="s">
        <v>1542</v>
      </c>
      <c r="AR674" s="421" t="s">
        <v>3994</v>
      </c>
      <c r="AS674" s="421" t="s">
        <v>4029</v>
      </c>
      <c r="AT674" s="421" t="s">
        <v>3109</v>
      </c>
      <c r="AU674" s="421" t="s">
        <v>1142</v>
      </c>
      <c r="AV674" s="421" t="s">
        <v>2520</v>
      </c>
      <c r="AW674" s="421" t="s">
        <v>3110</v>
      </c>
      <c r="AX674" s="421" t="s">
        <v>3111</v>
      </c>
      <c r="AY674" s="421" t="s">
        <v>3112</v>
      </c>
      <c r="AZ674" s="421" t="s">
        <v>3113</v>
      </c>
      <c r="BA674" s="421" t="s">
        <v>3114</v>
      </c>
      <c r="BB674" s="421" t="s">
        <v>3115</v>
      </c>
      <c r="BC674" s="421">
        <v>18609.849999999999</v>
      </c>
      <c r="BD674" s="421">
        <v>59031002.490000002</v>
      </c>
      <c r="BE674" s="421">
        <v>0</v>
      </c>
      <c r="BF674" s="421">
        <v>288.54000000000002</v>
      </c>
      <c r="BG674" s="421">
        <v>47.24</v>
      </c>
      <c r="BH674" s="421">
        <v>0</v>
      </c>
      <c r="BI674" s="421" t="s">
        <v>1331</v>
      </c>
    </row>
    <row r="675" spans="1:61" x14ac:dyDescent="0.25">
      <c r="A675" s="421">
        <v>672</v>
      </c>
      <c r="B675" s="421">
        <v>2015</v>
      </c>
      <c r="C675" s="421">
        <v>12</v>
      </c>
      <c r="D675" s="421">
        <v>30</v>
      </c>
      <c r="E675" s="421" t="s">
        <v>1475</v>
      </c>
      <c r="F675" s="421" t="s">
        <v>3284</v>
      </c>
      <c r="G675" s="421" t="s">
        <v>3524</v>
      </c>
      <c r="H675" s="421" t="s">
        <v>1107</v>
      </c>
      <c r="I675" s="421" t="s">
        <v>3050</v>
      </c>
      <c r="J675" s="421" t="s">
        <v>4030</v>
      </c>
      <c r="K675" s="421" t="s">
        <v>3093</v>
      </c>
      <c r="L675" s="421" t="s">
        <v>3094</v>
      </c>
      <c r="M675" s="421" t="s">
        <v>2667</v>
      </c>
      <c r="N675" s="421" t="s">
        <v>3093</v>
      </c>
      <c r="O675" s="421" t="s">
        <v>3094</v>
      </c>
      <c r="P675" s="421" t="s">
        <v>3095</v>
      </c>
      <c r="Q675" s="421" t="s">
        <v>3096</v>
      </c>
      <c r="R675" s="421" t="s">
        <v>1108</v>
      </c>
      <c r="S675" s="421" t="s">
        <v>1542</v>
      </c>
      <c r="T675" s="421" t="s">
        <v>1130</v>
      </c>
      <c r="U675" s="421" t="s">
        <v>1112</v>
      </c>
      <c r="V675" s="421" t="s">
        <v>3097</v>
      </c>
      <c r="W675" s="421" t="s">
        <v>3098</v>
      </c>
      <c r="X675" s="421" t="s">
        <v>3099</v>
      </c>
      <c r="Y675" s="421" t="s">
        <v>1117</v>
      </c>
      <c r="Z675" s="421" t="s">
        <v>1118</v>
      </c>
      <c r="AA675" s="421" t="s">
        <v>3100</v>
      </c>
      <c r="AB675" s="421" t="s">
        <v>3101</v>
      </c>
      <c r="AC675" s="421" t="s">
        <v>3102</v>
      </c>
      <c r="AD675" s="421" t="s">
        <v>3275</v>
      </c>
      <c r="AE675" s="421" t="s">
        <v>3276</v>
      </c>
      <c r="AF675" s="421" t="s">
        <v>1300</v>
      </c>
      <c r="AG675" s="421" t="s">
        <v>1301</v>
      </c>
      <c r="AH675" s="421" t="s">
        <v>1127</v>
      </c>
      <c r="AI675" s="421">
        <v>5.83</v>
      </c>
      <c r="AJ675" s="421">
        <v>5.83</v>
      </c>
      <c r="AK675" s="421">
        <v>6.76</v>
      </c>
      <c r="AL675" s="421">
        <v>1</v>
      </c>
      <c r="AM675" s="421" t="s">
        <v>3277</v>
      </c>
      <c r="AN675" s="421" t="s">
        <v>3278</v>
      </c>
      <c r="AO675" s="421" t="s">
        <v>1121</v>
      </c>
      <c r="AP675" s="421" t="s">
        <v>1121</v>
      </c>
      <c r="AQ675" s="421" t="s">
        <v>1542</v>
      </c>
      <c r="AR675" s="421" t="s">
        <v>3994</v>
      </c>
      <c r="AS675" s="421" t="s">
        <v>4031</v>
      </c>
      <c r="AT675" s="421" t="s">
        <v>3109</v>
      </c>
      <c r="AU675" s="421" t="s">
        <v>1142</v>
      </c>
      <c r="AV675" s="421" t="s">
        <v>2520</v>
      </c>
      <c r="AW675" s="421" t="s">
        <v>3110</v>
      </c>
      <c r="AX675" s="421" t="s">
        <v>3229</v>
      </c>
      <c r="AY675" s="421" t="s">
        <v>3112</v>
      </c>
      <c r="AZ675" s="421" t="s">
        <v>3113</v>
      </c>
      <c r="BA675" s="421" t="s">
        <v>3114</v>
      </c>
      <c r="BB675" s="421" t="s">
        <v>3230</v>
      </c>
      <c r="BC675" s="421">
        <v>1.25</v>
      </c>
      <c r="BD675" s="421">
        <v>3944.02</v>
      </c>
      <c r="BE675" s="421">
        <v>0</v>
      </c>
      <c r="BF675" s="421">
        <v>0</v>
      </c>
      <c r="BG675" s="421">
        <v>0</v>
      </c>
      <c r="BH675" s="421">
        <v>0</v>
      </c>
      <c r="BI675" s="421" t="s">
        <v>1331</v>
      </c>
    </row>
    <row r="676" spans="1:61" x14ac:dyDescent="0.25">
      <c r="A676" s="421">
        <v>673</v>
      </c>
      <c r="B676" s="421">
        <v>2015</v>
      </c>
      <c r="C676" s="421">
        <v>12</v>
      </c>
      <c r="D676" s="421">
        <v>30</v>
      </c>
      <c r="E676" s="421" t="s">
        <v>1475</v>
      </c>
      <c r="F676" s="421" t="s">
        <v>3284</v>
      </c>
      <c r="G676" s="421" t="s">
        <v>3524</v>
      </c>
      <c r="H676" s="421" t="s">
        <v>1107</v>
      </c>
      <c r="I676" s="421" t="s">
        <v>3050</v>
      </c>
      <c r="J676" s="421" t="s">
        <v>4032</v>
      </c>
      <c r="K676" s="421" t="s">
        <v>3093</v>
      </c>
      <c r="L676" s="421" t="s">
        <v>3094</v>
      </c>
      <c r="M676" s="421" t="s">
        <v>2667</v>
      </c>
      <c r="N676" s="421" t="s">
        <v>3093</v>
      </c>
      <c r="O676" s="421" t="s">
        <v>3094</v>
      </c>
      <c r="P676" s="421" t="s">
        <v>3095</v>
      </c>
      <c r="Q676" s="421" t="s">
        <v>3113</v>
      </c>
      <c r="R676" s="421" t="s">
        <v>1108</v>
      </c>
      <c r="S676" s="421" t="s">
        <v>1108</v>
      </c>
      <c r="T676" s="421" t="s">
        <v>1130</v>
      </c>
      <c r="U676" s="421" t="s">
        <v>1112</v>
      </c>
      <c r="V676" s="421" t="s">
        <v>3097</v>
      </c>
      <c r="W676" s="421" t="s">
        <v>3098</v>
      </c>
      <c r="X676" s="421" t="s">
        <v>3099</v>
      </c>
      <c r="Y676" s="421" t="s">
        <v>1117</v>
      </c>
      <c r="Z676" s="421" t="s">
        <v>1118</v>
      </c>
      <c r="AA676" s="421" t="s">
        <v>3100</v>
      </c>
      <c r="AB676" s="421" t="s">
        <v>3101</v>
      </c>
      <c r="AC676" s="421" t="s">
        <v>3102</v>
      </c>
      <c r="AD676" s="421" t="s">
        <v>3269</v>
      </c>
      <c r="AE676" s="421" t="s">
        <v>3378</v>
      </c>
      <c r="AF676" s="421" t="s">
        <v>2236</v>
      </c>
      <c r="AG676" s="421" t="s">
        <v>2237</v>
      </c>
      <c r="AH676" s="421" t="s">
        <v>3105</v>
      </c>
      <c r="AI676" s="421">
        <v>3000</v>
      </c>
      <c r="AJ676" s="421">
        <v>11.23</v>
      </c>
      <c r="AK676" s="421">
        <v>12.16</v>
      </c>
      <c r="AL676" s="421">
        <v>4</v>
      </c>
      <c r="AM676" s="421" t="s">
        <v>966</v>
      </c>
      <c r="AN676" s="421" t="s">
        <v>3271</v>
      </c>
      <c r="AO676" s="421" t="s">
        <v>1121</v>
      </c>
      <c r="AP676" s="421" t="s">
        <v>1121</v>
      </c>
      <c r="AQ676" s="421" t="s">
        <v>1108</v>
      </c>
      <c r="AR676" s="421" t="s">
        <v>3994</v>
      </c>
      <c r="AS676" s="421" t="s">
        <v>4033</v>
      </c>
      <c r="AT676" s="421" t="s">
        <v>3109</v>
      </c>
      <c r="AU676" s="421" t="s">
        <v>1142</v>
      </c>
      <c r="AV676" s="421" t="s">
        <v>2520</v>
      </c>
      <c r="AW676" s="421" t="s">
        <v>3110</v>
      </c>
      <c r="AX676" s="421" t="s">
        <v>3111</v>
      </c>
      <c r="AY676" s="421" t="s">
        <v>3112</v>
      </c>
      <c r="AZ676" s="421" t="s">
        <v>3113</v>
      </c>
      <c r="BA676" s="421" t="s">
        <v>3114</v>
      </c>
      <c r="BB676" s="421" t="s">
        <v>3115</v>
      </c>
      <c r="BC676" s="421">
        <v>209.4</v>
      </c>
      <c r="BD676" s="421">
        <v>660703.06000000006</v>
      </c>
      <c r="BE676" s="421">
        <v>0</v>
      </c>
      <c r="BF676" s="421">
        <v>2.58</v>
      </c>
      <c r="BG676" s="421">
        <v>0.53</v>
      </c>
      <c r="BH676" s="421">
        <v>0</v>
      </c>
      <c r="BI676" s="421" t="s">
        <v>1167</v>
      </c>
    </row>
    <row r="677" spans="1:61" x14ac:dyDescent="0.25">
      <c r="A677" s="421">
        <v>674</v>
      </c>
      <c r="B677" s="421">
        <v>2015</v>
      </c>
      <c r="C677" s="421">
        <v>12</v>
      </c>
      <c r="D677" s="421">
        <v>30</v>
      </c>
      <c r="E677" s="421" t="s">
        <v>1475</v>
      </c>
      <c r="F677" s="421" t="s">
        <v>3284</v>
      </c>
      <c r="G677" s="421" t="s">
        <v>3524</v>
      </c>
      <c r="H677" s="421" t="s">
        <v>1107</v>
      </c>
      <c r="I677" s="421" t="s">
        <v>3050</v>
      </c>
      <c r="J677" s="421" t="s">
        <v>4032</v>
      </c>
      <c r="K677" s="421" t="s">
        <v>3093</v>
      </c>
      <c r="L677" s="421" t="s">
        <v>3094</v>
      </c>
      <c r="M677" s="421" t="s">
        <v>2667</v>
      </c>
      <c r="N677" s="421" t="s">
        <v>3093</v>
      </c>
      <c r="O677" s="421" t="s">
        <v>3094</v>
      </c>
      <c r="P677" s="421" t="s">
        <v>3095</v>
      </c>
      <c r="Q677" s="421" t="s">
        <v>3113</v>
      </c>
      <c r="R677" s="421" t="s">
        <v>1108</v>
      </c>
      <c r="S677" s="421" t="s">
        <v>1108</v>
      </c>
      <c r="T677" s="421" t="s">
        <v>1130</v>
      </c>
      <c r="U677" s="421" t="s">
        <v>1112</v>
      </c>
      <c r="V677" s="421" t="s">
        <v>3097</v>
      </c>
      <c r="W677" s="421" t="s">
        <v>3098</v>
      </c>
      <c r="X677" s="421" t="s">
        <v>3099</v>
      </c>
      <c r="Y677" s="421" t="s">
        <v>1117</v>
      </c>
      <c r="Z677" s="421" t="s">
        <v>1118</v>
      </c>
      <c r="AA677" s="421" t="s">
        <v>3100</v>
      </c>
      <c r="AB677" s="421" t="s">
        <v>3101</v>
      </c>
      <c r="AC677" s="421" t="s">
        <v>3102</v>
      </c>
      <c r="AD677" s="421" t="s">
        <v>3269</v>
      </c>
      <c r="AE677" s="421" t="s">
        <v>3378</v>
      </c>
      <c r="AF677" s="421" t="s">
        <v>2236</v>
      </c>
      <c r="AG677" s="421" t="s">
        <v>2237</v>
      </c>
      <c r="AH677" s="421" t="s">
        <v>3105</v>
      </c>
      <c r="AI677" s="421">
        <v>109600</v>
      </c>
      <c r="AJ677" s="421">
        <v>541.91</v>
      </c>
      <c r="AK677" s="421">
        <v>586.97</v>
      </c>
      <c r="AL677" s="421">
        <v>3</v>
      </c>
      <c r="AM677" s="421" t="s">
        <v>966</v>
      </c>
      <c r="AN677" s="421" t="s">
        <v>3271</v>
      </c>
      <c r="AO677" s="421" t="s">
        <v>1121</v>
      </c>
      <c r="AP677" s="421" t="s">
        <v>1121</v>
      </c>
      <c r="AQ677" s="421" t="s">
        <v>1108</v>
      </c>
      <c r="AR677" s="421" t="s">
        <v>3994</v>
      </c>
      <c r="AS677" s="421" t="s">
        <v>4033</v>
      </c>
      <c r="AT677" s="421" t="s">
        <v>3109</v>
      </c>
      <c r="AU677" s="421" t="s">
        <v>1142</v>
      </c>
      <c r="AV677" s="421" t="s">
        <v>2520</v>
      </c>
      <c r="AW677" s="421" t="s">
        <v>3110</v>
      </c>
      <c r="AX677" s="421" t="s">
        <v>3111</v>
      </c>
      <c r="AY677" s="421" t="s">
        <v>3112</v>
      </c>
      <c r="AZ677" s="421" t="s">
        <v>3113</v>
      </c>
      <c r="BA677" s="421" t="s">
        <v>3114</v>
      </c>
      <c r="BB677" s="421" t="s">
        <v>3115</v>
      </c>
      <c r="BC677" s="421">
        <v>12053.6</v>
      </c>
      <c r="BD677" s="421">
        <v>38031759.789999999</v>
      </c>
      <c r="BE677" s="421">
        <v>0</v>
      </c>
      <c r="BF677" s="421">
        <v>148.28</v>
      </c>
      <c r="BG677" s="421">
        <v>30.5</v>
      </c>
      <c r="BH677" s="421">
        <v>0</v>
      </c>
      <c r="BI677" s="421" t="s">
        <v>1167</v>
      </c>
    </row>
    <row r="678" spans="1:61" x14ac:dyDescent="0.25">
      <c r="A678" s="421">
        <v>675</v>
      </c>
      <c r="B678" s="421">
        <v>2015</v>
      </c>
      <c r="C678" s="421">
        <v>12</v>
      </c>
      <c r="D678" s="421">
        <v>30</v>
      </c>
      <c r="E678" s="421" t="s">
        <v>1475</v>
      </c>
      <c r="F678" s="421" t="s">
        <v>3284</v>
      </c>
      <c r="G678" s="421" t="s">
        <v>3524</v>
      </c>
      <c r="H678" s="421" t="s">
        <v>1107</v>
      </c>
      <c r="I678" s="421" t="s">
        <v>3050</v>
      </c>
      <c r="J678" s="421" t="s">
        <v>4032</v>
      </c>
      <c r="K678" s="421" t="s">
        <v>3093</v>
      </c>
      <c r="L678" s="421" t="s">
        <v>3094</v>
      </c>
      <c r="M678" s="421" t="s">
        <v>2667</v>
      </c>
      <c r="N678" s="421" t="s">
        <v>3093</v>
      </c>
      <c r="O678" s="421" t="s">
        <v>3094</v>
      </c>
      <c r="P678" s="421" t="s">
        <v>3095</v>
      </c>
      <c r="Q678" s="421" t="s">
        <v>3113</v>
      </c>
      <c r="R678" s="421" t="s">
        <v>1108</v>
      </c>
      <c r="S678" s="421" t="s">
        <v>1108</v>
      </c>
      <c r="T678" s="421" t="s">
        <v>1130</v>
      </c>
      <c r="U678" s="421" t="s">
        <v>1112</v>
      </c>
      <c r="V678" s="421" t="s">
        <v>3097</v>
      </c>
      <c r="W678" s="421" t="s">
        <v>3098</v>
      </c>
      <c r="X678" s="421" t="s">
        <v>3099</v>
      </c>
      <c r="Y678" s="421" t="s">
        <v>1117</v>
      </c>
      <c r="Z678" s="421" t="s">
        <v>1118</v>
      </c>
      <c r="AA678" s="421" t="s">
        <v>3100</v>
      </c>
      <c r="AB678" s="421" t="s">
        <v>3101</v>
      </c>
      <c r="AC678" s="421" t="s">
        <v>3102</v>
      </c>
      <c r="AD678" s="421" t="s">
        <v>3269</v>
      </c>
      <c r="AE678" s="421" t="s">
        <v>3378</v>
      </c>
      <c r="AF678" s="421" t="s">
        <v>2236</v>
      </c>
      <c r="AG678" s="421" t="s">
        <v>2237</v>
      </c>
      <c r="AH678" s="421" t="s">
        <v>3105</v>
      </c>
      <c r="AI678" s="421">
        <v>955500</v>
      </c>
      <c r="AJ678" s="421">
        <v>1884.62</v>
      </c>
      <c r="AK678" s="421">
        <v>2041.33</v>
      </c>
      <c r="AL678" s="421">
        <v>2</v>
      </c>
      <c r="AM678" s="421" t="s">
        <v>966</v>
      </c>
      <c r="AN678" s="421" t="s">
        <v>3271</v>
      </c>
      <c r="AO678" s="421" t="s">
        <v>1121</v>
      </c>
      <c r="AP678" s="421" t="s">
        <v>1121</v>
      </c>
      <c r="AQ678" s="421" t="s">
        <v>1108</v>
      </c>
      <c r="AR678" s="421" t="s">
        <v>3994</v>
      </c>
      <c r="AS678" s="421" t="s">
        <v>4033</v>
      </c>
      <c r="AT678" s="421" t="s">
        <v>3109</v>
      </c>
      <c r="AU678" s="421" t="s">
        <v>1142</v>
      </c>
      <c r="AV678" s="421" t="s">
        <v>2520</v>
      </c>
      <c r="AW678" s="421" t="s">
        <v>3110</v>
      </c>
      <c r="AX678" s="421" t="s">
        <v>3111</v>
      </c>
      <c r="AY678" s="421" t="s">
        <v>3112</v>
      </c>
      <c r="AZ678" s="421" t="s">
        <v>3113</v>
      </c>
      <c r="BA678" s="421" t="s">
        <v>3114</v>
      </c>
      <c r="BB678" s="421" t="s">
        <v>3115</v>
      </c>
      <c r="BC678" s="421">
        <v>22784.2</v>
      </c>
      <c r="BD678" s="421">
        <v>71889163.519999996</v>
      </c>
      <c r="BE678" s="421">
        <v>0</v>
      </c>
      <c r="BF678" s="421">
        <v>280.27999999999997</v>
      </c>
      <c r="BG678" s="421">
        <v>57.66</v>
      </c>
      <c r="BH678" s="421">
        <v>0</v>
      </c>
      <c r="BI678" s="421" t="s">
        <v>1167</v>
      </c>
    </row>
    <row r="679" spans="1:61" x14ac:dyDescent="0.25">
      <c r="A679" s="421">
        <v>676</v>
      </c>
      <c r="B679" s="421">
        <v>2015</v>
      </c>
      <c r="C679" s="421">
        <v>12</v>
      </c>
      <c r="D679" s="421">
        <v>30</v>
      </c>
      <c r="E679" s="421" t="s">
        <v>1475</v>
      </c>
      <c r="F679" s="421" t="s">
        <v>3284</v>
      </c>
      <c r="G679" s="421" t="s">
        <v>3524</v>
      </c>
      <c r="H679" s="421" t="s">
        <v>1107</v>
      </c>
      <c r="I679" s="421" t="s">
        <v>3050</v>
      </c>
      <c r="J679" s="421" t="s">
        <v>4032</v>
      </c>
      <c r="K679" s="421" t="s">
        <v>3093</v>
      </c>
      <c r="L679" s="421" t="s">
        <v>3094</v>
      </c>
      <c r="M679" s="421" t="s">
        <v>2667</v>
      </c>
      <c r="N679" s="421" t="s">
        <v>3093</v>
      </c>
      <c r="O679" s="421" t="s">
        <v>3094</v>
      </c>
      <c r="P679" s="421" t="s">
        <v>3095</v>
      </c>
      <c r="Q679" s="421" t="s">
        <v>3113</v>
      </c>
      <c r="R679" s="421" t="s">
        <v>1108</v>
      </c>
      <c r="S679" s="421" t="s">
        <v>1108</v>
      </c>
      <c r="T679" s="421" t="s">
        <v>1130</v>
      </c>
      <c r="U679" s="421" t="s">
        <v>1112</v>
      </c>
      <c r="V679" s="421" t="s">
        <v>3097</v>
      </c>
      <c r="W679" s="421" t="s">
        <v>3098</v>
      </c>
      <c r="X679" s="421" t="s">
        <v>3099</v>
      </c>
      <c r="Y679" s="421" t="s">
        <v>1117</v>
      </c>
      <c r="Z679" s="421" t="s">
        <v>1118</v>
      </c>
      <c r="AA679" s="421" t="s">
        <v>3100</v>
      </c>
      <c r="AB679" s="421" t="s">
        <v>3101</v>
      </c>
      <c r="AC679" s="421" t="s">
        <v>3102</v>
      </c>
      <c r="AD679" s="421" t="s">
        <v>3269</v>
      </c>
      <c r="AE679" s="421" t="s">
        <v>3378</v>
      </c>
      <c r="AF679" s="421" t="s">
        <v>2236</v>
      </c>
      <c r="AG679" s="421" t="s">
        <v>2237</v>
      </c>
      <c r="AH679" s="421" t="s">
        <v>3105</v>
      </c>
      <c r="AI679" s="421">
        <v>1723500</v>
      </c>
      <c r="AJ679" s="421">
        <v>4585.74</v>
      </c>
      <c r="AK679" s="421">
        <v>4967.0600000000004</v>
      </c>
      <c r="AL679" s="421">
        <v>1</v>
      </c>
      <c r="AM679" s="421" t="s">
        <v>966</v>
      </c>
      <c r="AN679" s="421" t="s">
        <v>3271</v>
      </c>
      <c r="AO679" s="421" t="s">
        <v>1121</v>
      </c>
      <c r="AP679" s="421" t="s">
        <v>1121</v>
      </c>
      <c r="AQ679" s="421" t="s">
        <v>1108</v>
      </c>
      <c r="AR679" s="421" t="s">
        <v>3994</v>
      </c>
      <c r="AS679" s="421" t="s">
        <v>4033</v>
      </c>
      <c r="AT679" s="421" t="s">
        <v>3109</v>
      </c>
      <c r="AU679" s="421" t="s">
        <v>1142</v>
      </c>
      <c r="AV679" s="421" t="s">
        <v>2520</v>
      </c>
      <c r="AW679" s="421" t="s">
        <v>3110</v>
      </c>
      <c r="AX679" s="421" t="s">
        <v>3111</v>
      </c>
      <c r="AY679" s="421" t="s">
        <v>3112</v>
      </c>
      <c r="AZ679" s="421" t="s">
        <v>3113</v>
      </c>
      <c r="BA679" s="421" t="s">
        <v>3114</v>
      </c>
      <c r="BB679" s="421" t="s">
        <v>3115</v>
      </c>
      <c r="BC679" s="421">
        <v>50308.5</v>
      </c>
      <c r="BD679" s="421">
        <v>158734385.37</v>
      </c>
      <c r="BE679" s="421">
        <v>0</v>
      </c>
      <c r="BF679" s="421">
        <v>618.87</v>
      </c>
      <c r="BG679" s="421">
        <v>127.32</v>
      </c>
      <c r="BH679" s="421">
        <v>0</v>
      </c>
      <c r="BI679" s="421" t="s">
        <v>1167</v>
      </c>
    </row>
    <row r="680" spans="1:61" x14ac:dyDescent="0.25">
      <c r="A680" s="421">
        <v>677</v>
      </c>
      <c r="B680" s="421">
        <v>2015</v>
      </c>
      <c r="C680" s="421">
        <v>12</v>
      </c>
      <c r="D680" s="421">
        <v>30</v>
      </c>
      <c r="E680" s="421" t="s">
        <v>1475</v>
      </c>
      <c r="F680" s="421" t="s">
        <v>3284</v>
      </c>
      <c r="G680" s="421" t="s">
        <v>3524</v>
      </c>
      <c r="H680" s="421" t="s">
        <v>1107</v>
      </c>
      <c r="I680" s="421" t="s">
        <v>3050</v>
      </c>
      <c r="J680" s="421" t="s">
        <v>4034</v>
      </c>
      <c r="K680" s="421" t="s">
        <v>3093</v>
      </c>
      <c r="L680" s="421" t="s">
        <v>3094</v>
      </c>
      <c r="M680" s="421" t="s">
        <v>2667</v>
      </c>
      <c r="N680" s="421" t="s">
        <v>3093</v>
      </c>
      <c r="O680" s="421" t="s">
        <v>3094</v>
      </c>
      <c r="P680" s="421" t="s">
        <v>3095</v>
      </c>
      <c r="Q680" s="421" t="s">
        <v>3096</v>
      </c>
      <c r="R680" s="421" t="s">
        <v>1108</v>
      </c>
      <c r="S680" s="421" t="s">
        <v>1476</v>
      </c>
      <c r="T680" s="421" t="s">
        <v>1130</v>
      </c>
      <c r="U680" s="421" t="s">
        <v>3144</v>
      </c>
      <c r="V680" s="421" t="s">
        <v>3145</v>
      </c>
      <c r="W680" s="421" t="s">
        <v>3098</v>
      </c>
      <c r="X680" s="421" t="s">
        <v>3099</v>
      </c>
      <c r="Y680" s="421" t="s">
        <v>1117</v>
      </c>
      <c r="Z680" s="421" t="s">
        <v>1118</v>
      </c>
      <c r="AA680" s="421" t="s">
        <v>3100</v>
      </c>
      <c r="AB680" s="421" t="s">
        <v>3146</v>
      </c>
      <c r="AC680" s="421" t="s">
        <v>3102</v>
      </c>
      <c r="AD680" s="421" t="s">
        <v>3269</v>
      </c>
      <c r="AE680" s="421" t="s">
        <v>3333</v>
      </c>
      <c r="AF680" s="421" t="s">
        <v>2236</v>
      </c>
      <c r="AG680" s="421" t="s">
        <v>2237</v>
      </c>
      <c r="AH680" s="421" t="s">
        <v>3105</v>
      </c>
      <c r="AI680" s="421">
        <v>58800</v>
      </c>
      <c r="AJ680" s="421">
        <v>238.44</v>
      </c>
      <c r="AK680" s="421">
        <v>257</v>
      </c>
      <c r="AL680" s="421">
        <v>1</v>
      </c>
      <c r="AM680" s="421" t="s">
        <v>966</v>
      </c>
      <c r="AN680" s="421" t="s">
        <v>3271</v>
      </c>
      <c r="AO680" s="421" t="s">
        <v>1121</v>
      </c>
      <c r="AP680" s="421" t="s">
        <v>1121</v>
      </c>
      <c r="AQ680" s="421" t="s">
        <v>1476</v>
      </c>
      <c r="AR680" s="421" t="s">
        <v>3994</v>
      </c>
      <c r="AS680" s="421" t="s">
        <v>4035</v>
      </c>
      <c r="AT680" s="421" t="s">
        <v>3109</v>
      </c>
      <c r="AU680" s="421" t="s">
        <v>1341</v>
      </c>
      <c r="AV680" s="421" t="s">
        <v>962</v>
      </c>
      <c r="AW680" s="421" t="s">
        <v>3110</v>
      </c>
      <c r="AX680" s="421" t="s">
        <v>3111</v>
      </c>
      <c r="AY680" s="421" t="s">
        <v>3112</v>
      </c>
      <c r="AZ680" s="421" t="s">
        <v>3113</v>
      </c>
      <c r="BA680" s="421" t="s">
        <v>3114</v>
      </c>
      <c r="BB680" s="421" t="s">
        <v>3115</v>
      </c>
      <c r="BC680" s="421">
        <v>4349.8999999999996</v>
      </c>
      <c r="BD680" s="421">
        <v>13724891.470000001</v>
      </c>
      <c r="BE680" s="421">
        <v>0</v>
      </c>
      <c r="BF680" s="421">
        <v>760.45</v>
      </c>
      <c r="BG680" s="421">
        <v>12.78</v>
      </c>
      <c r="BH680" s="421">
        <v>0</v>
      </c>
      <c r="BI680" s="421" t="s">
        <v>1167</v>
      </c>
    </row>
    <row r="681" spans="1:61" x14ac:dyDescent="0.25">
      <c r="A681" s="421">
        <v>678</v>
      </c>
      <c r="B681" s="421">
        <v>2015</v>
      </c>
      <c r="C681" s="421">
        <v>12</v>
      </c>
      <c r="D681" s="421">
        <v>30</v>
      </c>
      <c r="E681" s="421" t="s">
        <v>1475</v>
      </c>
      <c r="F681" s="421" t="s">
        <v>3284</v>
      </c>
      <c r="G681" s="421" t="s">
        <v>3524</v>
      </c>
      <c r="H681" s="421" t="s">
        <v>1107</v>
      </c>
      <c r="I681" s="421" t="s">
        <v>3050</v>
      </c>
      <c r="J681" s="421" t="s">
        <v>4036</v>
      </c>
      <c r="K681" s="421" t="s">
        <v>3093</v>
      </c>
      <c r="L681" s="421" t="s">
        <v>3094</v>
      </c>
      <c r="M681" s="421" t="s">
        <v>2667</v>
      </c>
      <c r="N681" s="421" t="s">
        <v>3093</v>
      </c>
      <c r="O681" s="421" t="s">
        <v>3094</v>
      </c>
      <c r="P681" s="421" t="s">
        <v>3095</v>
      </c>
      <c r="Q681" s="421" t="s">
        <v>3096</v>
      </c>
      <c r="R681" s="421" t="s">
        <v>1108</v>
      </c>
      <c r="S681" s="421" t="s">
        <v>1542</v>
      </c>
      <c r="T681" s="421" t="s">
        <v>1130</v>
      </c>
      <c r="U681" s="421" t="s">
        <v>1112</v>
      </c>
      <c r="V681" s="421" t="s">
        <v>3097</v>
      </c>
      <c r="W681" s="421" t="s">
        <v>3098</v>
      </c>
      <c r="X681" s="421" t="s">
        <v>3099</v>
      </c>
      <c r="Y681" s="421" t="s">
        <v>1117</v>
      </c>
      <c r="Z681" s="421" t="s">
        <v>1118</v>
      </c>
      <c r="AA681" s="421" t="s">
        <v>3100</v>
      </c>
      <c r="AB681" s="421" t="s">
        <v>3101</v>
      </c>
      <c r="AC681" s="421" t="s">
        <v>3102</v>
      </c>
      <c r="AD681" s="421" t="s">
        <v>3275</v>
      </c>
      <c r="AE681" s="421" t="s">
        <v>3276</v>
      </c>
      <c r="AF681" s="421" t="s">
        <v>2236</v>
      </c>
      <c r="AG681" s="421" t="s">
        <v>2237</v>
      </c>
      <c r="AH681" s="421" t="s">
        <v>3105</v>
      </c>
      <c r="AI681" s="421">
        <v>218500</v>
      </c>
      <c r="AJ681" s="421">
        <v>647.61</v>
      </c>
      <c r="AK681" s="421">
        <v>700.1</v>
      </c>
      <c r="AL681" s="421">
        <v>2</v>
      </c>
      <c r="AM681" s="421" t="s">
        <v>3277</v>
      </c>
      <c r="AN681" s="421" t="s">
        <v>3278</v>
      </c>
      <c r="AO681" s="421" t="s">
        <v>1121</v>
      </c>
      <c r="AP681" s="421" t="s">
        <v>1121</v>
      </c>
      <c r="AQ681" s="421" t="s">
        <v>1542</v>
      </c>
      <c r="AR681" s="421" t="s">
        <v>3994</v>
      </c>
      <c r="AS681" s="421" t="s">
        <v>4037</v>
      </c>
      <c r="AT681" s="421" t="s">
        <v>3109</v>
      </c>
      <c r="AU681" s="421" t="s">
        <v>1142</v>
      </c>
      <c r="AV681" s="421" t="s">
        <v>2520</v>
      </c>
      <c r="AW681" s="421" t="s">
        <v>3110</v>
      </c>
      <c r="AX681" s="421" t="s">
        <v>3111</v>
      </c>
      <c r="AY681" s="421" t="s">
        <v>3112</v>
      </c>
      <c r="AZ681" s="421" t="s">
        <v>3113</v>
      </c>
      <c r="BA681" s="421" t="s">
        <v>3114</v>
      </c>
      <c r="BB681" s="421" t="s">
        <v>3115</v>
      </c>
      <c r="BC681" s="421">
        <v>7641.2</v>
      </c>
      <c r="BD681" s="421">
        <v>24109667.059999999</v>
      </c>
      <c r="BE681" s="421">
        <v>0</v>
      </c>
      <c r="BF681" s="421">
        <v>64.349999999999994</v>
      </c>
      <c r="BG681" s="421">
        <v>19.260000000000002</v>
      </c>
      <c r="BH681" s="421">
        <v>0</v>
      </c>
      <c r="BI681" s="421" t="s">
        <v>1331</v>
      </c>
    </row>
    <row r="682" spans="1:61" x14ac:dyDescent="0.25">
      <c r="A682" s="421">
        <v>679</v>
      </c>
      <c r="B682" s="421">
        <v>2015</v>
      </c>
      <c r="C682" s="421">
        <v>12</v>
      </c>
      <c r="D682" s="421">
        <v>30</v>
      </c>
      <c r="E682" s="421" t="s">
        <v>1475</v>
      </c>
      <c r="F682" s="421" t="s">
        <v>3284</v>
      </c>
      <c r="G682" s="421" t="s">
        <v>3524</v>
      </c>
      <c r="H682" s="421" t="s">
        <v>1107</v>
      </c>
      <c r="I682" s="421" t="s">
        <v>3050</v>
      </c>
      <c r="J682" s="421" t="s">
        <v>4036</v>
      </c>
      <c r="K682" s="421" t="s">
        <v>3093</v>
      </c>
      <c r="L682" s="421" t="s">
        <v>3094</v>
      </c>
      <c r="M682" s="421" t="s">
        <v>2667</v>
      </c>
      <c r="N682" s="421" t="s">
        <v>3093</v>
      </c>
      <c r="O682" s="421" t="s">
        <v>3094</v>
      </c>
      <c r="P682" s="421" t="s">
        <v>3095</v>
      </c>
      <c r="Q682" s="421" t="s">
        <v>3096</v>
      </c>
      <c r="R682" s="421" t="s">
        <v>1108</v>
      </c>
      <c r="S682" s="421" t="s">
        <v>1542</v>
      </c>
      <c r="T682" s="421" t="s">
        <v>1130</v>
      </c>
      <c r="U682" s="421" t="s">
        <v>1112</v>
      </c>
      <c r="V682" s="421" t="s">
        <v>3097</v>
      </c>
      <c r="W682" s="421" t="s">
        <v>3098</v>
      </c>
      <c r="X682" s="421" t="s">
        <v>3099</v>
      </c>
      <c r="Y682" s="421" t="s">
        <v>1117</v>
      </c>
      <c r="Z682" s="421" t="s">
        <v>1118</v>
      </c>
      <c r="AA682" s="421" t="s">
        <v>3100</v>
      </c>
      <c r="AB682" s="421" t="s">
        <v>3101</v>
      </c>
      <c r="AC682" s="421" t="s">
        <v>3102</v>
      </c>
      <c r="AD682" s="421" t="s">
        <v>3275</v>
      </c>
      <c r="AE682" s="421" t="s">
        <v>3276</v>
      </c>
      <c r="AF682" s="421" t="s">
        <v>2236</v>
      </c>
      <c r="AG682" s="421" t="s">
        <v>2237</v>
      </c>
      <c r="AH682" s="421" t="s">
        <v>3105</v>
      </c>
      <c r="AI682" s="421">
        <v>5100000</v>
      </c>
      <c r="AJ682" s="421">
        <v>12531.24</v>
      </c>
      <c r="AK682" s="421">
        <v>13547.09</v>
      </c>
      <c r="AL682" s="421">
        <v>1</v>
      </c>
      <c r="AM682" s="421" t="s">
        <v>3277</v>
      </c>
      <c r="AN682" s="421" t="s">
        <v>3278</v>
      </c>
      <c r="AO682" s="421" t="s">
        <v>1121</v>
      </c>
      <c r="AP682" s="421" t="s">
        <v>1121</v>
      </c>
      <c r="AQ682" s="421" t="s">
        <v>1542</v>
      </c>
      <c r="AR682" s="421" t="s">
        <v>3994</v>
      </c>
      <c r="AS682" s="421" t="s">
        <v>4037</v>
      </c>
      <c r="AT682" s="421" t="s">
        <v>3109</v>
      </c>
      <c r="AU682" s="421" t="s">
        <v>1142</v>
      </c>
      <c r="AV682" s="421" t="s">
        <v>2520</v>
      </c>
      <c r="AW682" s="421" t="s">
        <v>3110</v>
      </c>
      <c r="AX682" s="421" t="s">
        <v>3111</v>
      </c>
      <c r="AY682" s="421" t="s">
        <v>3112</v>
      </c>
      <c r="AZ682" s="421" t="s">
        <v>3113</v>
      </c>
      <c r="BA682" s="421" t="s">
        <v>3114</v>
      </c>
      <c r="BB682" s="421" t="s">
        <v>3115</v>
      </c>
      <c r="BC682" s="421">
        <v>143883.20000000001</v>
      </c>
      <c r="BD682" s="421">
        <v>453983150.30000001</v>
      </c>
      <c r="BE682" s="421">
        <v>0</v>
      </c>
      <c r="BF682" s="421">
        <v>1211.75</v>
      </c>
      <c r="BG682" s="421">
        <v>362.74</v>
      </c>
      <c r="BH682" s="421">
        <v>0</v>
      </c>
      <c r="BI682" s="421" t="s">
        <v>1331</v>
      </c>
    </row>
    <row r="683" spans="1:61" x14ac:dyDescent="0.25">
      <c r="A683" s="421">
        <v>680</v>
      </c>
      <c r="B683" s="421">
        <v>2015</v>
      </c>
      <c r="C683" s="421">
        <v>12</v>
      </c>
      <c r="D683" s="421">
        <v>30</v>
      </c>
      <c r="E683" s="421" t="s">
        <v>1475</v>
      </c>
      <c r="F683" s="421" t="s">
        <v>3284</v>
      </c>
      <c r="G683" s="421" t="s">
        <v>3524</v>
      </c>
      <c r="H683" s="421" t="s">
        <v>1107</v>
      </c>
      <c r="I683" s="421" t="s">
        <v>3050</v>
      </c>
      <c r="J683" s="421" t="s">
        <v>4038</v>
      </c>
      <c r="K683" s="421" t="s">
        <v>3093</v>
      </c>
      <c r="L683" s="421" t="s">
        <v>3094</v>
      </c>
      <c r="M683" s="421" t="s">
        <v>2667</v>
      </c>
      <c r="N683" s="421" t="s">
        <v>3093</v>
      </c>
      <c r="O683" s="421" t="s">
        <v>3094</v>
      </c>
      <c r="P683" s="421" t="s">
        <v>3095</v>
      </c>
      <c r="Q683" s="421" t="s">
        <v>3096</v>
      </c>
      <c r="R683" s="421" t="s">
        <v>1108</v>
      </c>
      <c r="S683" s="421" t="s">
        <v>1542</v>
      </c>
      <c r="T683" s="421" t="s">
        <v>1130</v>
      </c>
      <c r="U683" s="421" t="s">
        <v>1112</v>
      </c>
      <c r="V683" s="421" t="s">
        <v>3097</v>
      </c>
      <c r="W683" s="421" t="s">
        <v>3098</v>
      </c>
      <c r="X683" s="421" t="s">
        <v>3099</v>
      </c>
      <c r="Y683" s="421" t="s">
        <v>1117</v>
      </c>
      <c r="Z683" s="421" t="s">
        <v>1118</v>
      </c>
      <c r="AA683" s="421" t="s">
        <v>3100</v>
      </c>
      <c r="AB683" s="421" t="s">
        <v>3101</v>
      </c>
      <c r="AC683" s="421" t="s">
        <v>3102</v>
      </c>
      <c r="AD683" s="421" t="s">
        <v>3275</v>
      </c>
      <c r="AE683" s="421" t="s">
        <v>3276</v>
      </c>
      <c r="AF683" s="421" t="s">
        <v>2236</v>
      </c>
      <c r="AG683" s="421" t="s">
        <v>2237</v>
      </c>
      <c r="AH683" s="421" t="s">
        <v>3105</v>
      </c>
      <c r="AI683" s="421">
        <v>15000</v>
      </c>
      <c r="AJ683" s="421">
        <v>52.33</v>
      </c>
      <c r="AK683" s="421">
        <v>56.98</v>
      </c>
      <c r="AL683" s="421">
        <v>1</v>
      </c>
      <c r="AM683" s="421" t="s">
        <v>3277</v>
      </c>
      <c r="AN683" s="421" t="s">
        <v>3278</v>
      </c>
      <c r="AO683" s="421" t="s">
        <v>1121</v>
      </c>
      <c r="AP683" s="421" t="s">
        <v>1121</v>
      </c>
      <c r="AQ683" s="421" t="s">
        <v>1542</v>
      </c>
      <c r="AR683" s="421" t="s">
        <v>3994</v>
      </c>
      <c r="AS683" s="421" t="s">
        <v>4039</v>
      </c>
      <c r="AT683" s="421" t="s">
        <v>3109</v>
      </c>
      <c r="AU683" s="421" t="s">
        <v>1142</v>
      </c>
      <c r="AV683" s="421" t="s">
        <v>2520</v>
      </c>
      <c r="AW683" s="421" t="s">
        <v>3110</v>
      </c>
      <c r="AX683" s="421" t="s">
        <v>3111</v>
      </c>
      <c r="AY683" s="421" t="s">
        <v>3112</v>
      </c>
      <c r="AZ683" s="421" t="s">
        <v>3113</v>
      </c>
      <c r="BA683" s="421" t="s">
        <v>3114</v>
      </c>
      <c r="BB683" s="421" t="s">
        <v>3115</v>
      </c>
      <c r="BC683" s="421">
        <v>1176</v>
      </c>
      <c r="BD683" s="421">
        <v>3710538.72</v>
      </c>
      <c r="BE683" s="421">
        <v>0</v>
      </c>
      <c r="BF683" s="421">
        <v>50</v>
      </c>
      <c r="BG683" s="421">
        <v>12</v>
      </c>
      <c r="BH683" s="421">
        <v>0</v>
      </c>
      <c r="BI683" s="421" t="s">
        <v>1331</v>
      </c>
    </row>
    <row r="684" spans="1:61" x14ac:dyDescent="0.25">
      <c r="A684" s="421">
        <v>681</v>
      </c>
      <c r="B684" s="421">
        <v>2015</v>
      </c>
      <c r="C684" s="421">
        <v>12</v>
      </c>
      <c r="D684" s="421">
        <v>30</v>
      </c>
      <c r="E684" s="421" t="s">
        <v>1475</v>
      </c>
      <c r="F684" s="421" t="s">
        <v>3284</v>
      </c>
      <c r="G684" s="421" t="s">
        <v>3524</v>
      </c>
      <c r="H684" s="421" t="s">
        <v>1107</v>
      </c>
      <c r="I684" s="421" t="s">
        <v>3050</v>
      </c>
      <c r="J684" s="421" t="s">
        <v>4036</v>
      </c>
      <c r="K684" s="421" t="s">
        <v>3093</v>
      </c>
      <c r="L684" s="421" t="s">
        <v>3094</v>
      </c>
      <c r="M684" s="421" t="s">
        <v>2667</v>
      </c>
      <c r="N684" s="421" t="s">
        <v>3093</v>
      </c>
      <c r="O684" s="421" t="s">
        <v>3094</v>
      </c>
      <c r="P684" s="421" t="s">
        <v>3095</v>
      </c>
      <c r="Q684" s="421" t="s">
        <v>3096</v>
      </c>
      <c r="R684" s="421" t="s">
        <v>1108</v>
      </c>
      <c r="S684" s="421" t="s">
        <v>1542</v>
      </c>
      <c r="T684" s="421" t="s">
        <v>1130</v>
      </c>
      <c r="U684" s="421" t="s">
        <v>1112</v>
      </c>
      <c r="V684" s="421" t="s">
        <v>3097</v>
      </c>
      <c r="W684" s="421" t="s">
        <v>3098</v>
      </c>
      <c r="X684" s="421" t="s">
        <v>3099</v>
      </c>
      <c r="Y684" s="421" t="s">
        <v>1117</v>
      </c>
      <c r="Z684" s="421" t="s">
        <v>1118</v>
      </c>
      <c r="AA684" s="421" t="s">
        <v>3100</v>
      </c>
      <c r="AB684" s="421" t="s">
        <v>3101</v>
      </c>
      <c r="AC684" s="421" t="s">
        <v>3102</v>
      </c>
      <c r="AD684" s="421" t="s">
        <v>3275</v>
      </c>
      <c r="AE684" s="421" t="s">
        <v>3276</v>
      </c>
      <c r="AF684" s="421" t="s">
        <v>2236</v>
      </c>
      <c r="AG684" s="421" t="s">
        <v>2237</v>
      </c>
      <c r="AH684" s="421" t="s">
        <v>3105</v>
      </c>
      <c r="AI684" s="421">
        <v>588000</v>
      </c>
      <c r="AJ684" s="421">
        <v>2170.83</v>
      </c>
      <c r="AK684" s="421">
        <v>2346.81</v>
      </c>
      <c r="AL684" s="421">
        <v>3</v>
      </c>
      <c r="AM684" s="421" t="s">
        <v>3277</v>
      </c>
      <c r="AN684" s="421" t="s">
        <v>3278</v>
      </c>
      <c r="AO684" s="421" t="s">
        <v>1121</v>
      </c>
      <c r="AP684" s="421" t="s">
        <v>1121</v>
      </c>
      <c r="AQ684" s="421" t="s">
        <v>1542</v>
      </c>
      <c r="AR684" s="421" t="s">
        <v>3994</v>
      </c>
      <c r="AS684" s="421" t="s">
        <v>4037</v>
      </c>
      <c r="AT684" s="421" t="s">
        <v>3109</v>
      </c>
      <c r="AU684" s="421" t="s">
        <v>1142</v>
      </c>
      <c r="AV684" s="421" t="s">
        <v>2520</v>
      </c>
      <c r="AW684" s="421" t="s">
        <v>3110</v>
      </c>
      <c r="AX684" s="421" t="s">
        <v>3111</v>
      </c>
      <c r="AY684" s="421" t="s">
        <v>3112</v>
      </c>
      <c r="AZ684" s="421" t="s">
        <v>3113</v>
      </c>
      <c r="BA684" s="421" t="s">
        <v>3114</v>
      </c>
      <c r="BB684" s="421" t="s">
        <v>3115</v>
      </c>
      <c r="BC684" s="421">
        <v>47958.2</v>
      </c>
      <c r="BD684" s="421">
        <v>151318671.80000001</v>
      </c>
      <c r="BE684" s="421">
        <v>0</v>
      </c>
      <c r="BF684" s="421">
        <v>403.89</v>
      </c>
      <c r="BG684" s="421">
        <v>120.91</v>
      </c>
      <c r="BH684" s="421">
        <v>0</v>
      </c>
      <c r="BI684" s="421" t="s">
        <v>1331</v>
      </c>
    </row>
    <row r="685" spans="1:61" x14ac:dyDescent="0.25">
      <c r="A685" s="421">
        <v>682</v>
      </c>
      <c r="B685" s="421">
        <v>2015</v>
      </c>
      <c r="C685" s="421">
        <v>12</v>
      </c>
      <c r="D685" s="421">
        <v>30</v>
      </c>
      <c r="E685" s="421" t="s">
        <v>1475</v>
      </c>
      <c r="F685" s="421" t="s">
        <v>3284</v>
      </c>
      <c r="G685" s="421" t="s">
        <v>3524</v>
      </c>
      <c r="H685" s="421" t="s">
        <v>1901</v>
      </c>
      <c r="I685" s="421" t="s">
        <v>3050</v>
      </c>
      <c r="J685" s="421" t="s">
        <v>4040</v>
      </c>
      <c r="K685" s="421" t="s">
        <v>3994</v>
      </c>
      <c r="L685" s="421" t="s">
        <v>4041</v>
      </c>
      <c r="M685" s="421" t="s">
        <v>2667</v>
      </c>
      <c r="N685" s="421" t="s">
        <v>3093</v>
      </c>
      <c r="O685" s="421" t="s">
        <v>3094</v>
      </c>
      <c r="P685" s="421" t="s">
        <v>3095</v>
      </c>
      <c r="Q685" s="421" t="s">
        <v>3096</v>
      </c>
      <c r="R685" s="421" t="s">
        <v>1108</v>
      </c>
      <c r="S685" s="421" t="s">
        <v>1476</v>
      </c>
      <c r="T685" s="421" t="s">
        <v>1130</v>
      </c>
      <c r="U685" s="421" t="s">
        <v>3144</v>
      </c>
      <c r="V685" s="421" t="s">
        <v>3145</v>
      </c>
      <c r="W685" s="421" t="s">
        <v>3098</v>
      </c>
      <c r="X685" s="421" t="s">
        <v>3099</v>
      </c>
      <c r="Y685" s="421" t="s">
        <v>1117</v>
      </c>
      <c r="Z685" s="421" t="s">
        <v>1118</v>
      </c>
      <c r="AA685" s="421" t="s">
        <v>3100</v>
      </c>
      <c r="AB685" s="421" t="s">
        <v>3146</v>
      </c>
      <c r="AC685" s="421" t="s">
        <v>3102</v>
      </c>
      <c r="AD685" s="421" t="s">
        <v>3515</v>
      </c>
      <c r="AE685" s="421" t="s">
        <v>3516</v>
      </c>
      <c r="AF685" s="421" t="s">
        <v>2236</v>
      </c>
      <c r="AG685" s="421" t="s">
        <v>2237</v>
      </c>
      <c r="AH685" s="421" t="s">
        <v>3105</v>
      </c>
      <c r="AI685" s="421">
        <v>2500</v>
      </c>
      <c r="AJ685" s="421">
        <v>8.31</v>
      </c>
      <c r="AK685" s="421">
        <v>8.9600000000000009</v>
      </c>
      <c r="AL685" s="421">
        <v>2</v>
      </c>
      <c r="AM685" s="421" t="s">
        <v>2135</v>
      </c>
      <c r="AN685" s="421" t="s">
        <v>2135</v>
      </c>
      <c r="AO685" s="421" t="s">
        <v>1121</v>
      </c>
      <c r="AP685" s="421" t="s">
        <v>1121</v>
      </c>
      <c r="AQ685" s="421" t="s">
        <v>1476</v>
      </c>
      <c r="AR685" s="421" t="s">
        <v>3994</v>
      </c>
      <c r="AS685" s="421" t="s">
        <v>4042</v>
      </c>
      <c r="AT685" s="421" t="s">
        <v>3109</v>
      </c>
      <c r="AU685" s="421" t="s">
        <v>1341</v>
      </c>
      <c r="AV685" s="421" t="s">
        <v>962</v>
      </c>
      <c r="AW685" s="421" t="s">
        <v>3110</v>
      </c>
      <c r="AX685" s="421" t="s">
        <v>3111</v>
      </c>
      <c r="AY685" s="421" t="s">
        <v>3112</v>
      </c>
      <c r="AZ685" s="421" t="s">
        <v>3113</v>
      </c>
      <c r="BA685" s="421" t="s">
        <v>3114</v>
      </c>
      <c r="BB685" s="421" t="s">
        <v>3115</v>
      </c>
      <c r="BC685" s="421">
        <v>297</v>
      </c>
      <c r="BD685" s="421">
        <v>937100.34</v>
      </c>
      <c r="BE685" s="421">
        <v>0</v>
      </c>
      <c r="BF685" s="421">
        <v>68.09</v>
      </c>
      <c r="BG685" s="421">
        <v>1.43</v>
      </c>
      <c r="BH685" s="421">
        <v>2.42</v>
      </c>
      <c r="BI685" s="421" t="s">
        <v>1167</v>
      </c>
    </row>
    <row r="686" spans="1:61" x14ac:dyDescent="0.25">
      <c r="A686" s="421">
        <v>683</v>
      </c>
      <c r="B686" s="421">
        <v>2015</v>
      </c>
      <c r="C686" s="421">
        <v>12</v>
      </c>
      <c r="D686" s="421">
        <v>30</v>
      </c>
      <c r="E686" s="421" t="s">
        <v>1475</v>
      </c>
      <c r="F686" s="421" t="s">
        <v>3284</v>
      </c>
      <c r="G686" s="421" t="s">
        <v>3524</v>
      </c>
      <c r="H686" s="421" t="s">
        <v>1901</v>
      </c>
      <c r="I686" s="421" t="s">
        <v>3050</v>
      </c>
      <c r="J686" s="421" t="s">
        <v>4040</v>
      </c>
      <c r="K686" s="421" t="s">
        <v>3994</v>
      </c>
      <c r="L686" s="421" t="s">
        <v>4041</v>
      </c>
      <c r="M686" s="421" t="s">
        <v>2667</v>
      </c>
      <c r="N686" s="421" t="s">
        <v>3093</v>
      </c>
      <c r="O686" s="421" t="s">
        <v>3094</v>
      </c>
      <c r="P686" s="421" t="s">
        <v>3095</v>
      </c>
      <c r="Q686" s="421" t="s">
        <v>3096</v>
      </c>
      <c r="R686" s="421" t="s">
        <v>1108</v>
      </c>
      <c r="S686" s="421" t="s">
        <v>1476</v>
      </c>
      <c r="T686" s="421" t="s">
        <v>1130</v>
      </c>
      <c r="U686" s="421" t="s">
        <v>3144</v>
      </c>
      <c r="V686" s="421" t="s">
        <v>3145</v>
      </c>
      <c r="W686" s="421" t="s">
        <v>3098</v>
      </c>
      <c r="X686" s="421" t="s">
        <v>3099</v>
      </c>
      <c r="Y686" s="421" t="s">
        <v>1117</v>
      </c>
      <c r="Z686" s="421" t="s">
        <v>1118</v>
      </c>
      <c r="AA686" s="421" t="s">
        <v>3100</v>
      </c>
      <c r="AB686" s="421" t="s">
        <v>3146</v>
      </c>
      <c r="AC686" s="421" t="s">
        <v>3102</v>
      </c>
      <c r="AD686" s="421" t="s">
        <v>3515</v>
      </c>
      <c r="AE686" s="421" t="s">
        <v>3516</v>
      </c>
      <c r="AF686" s="421" t="s">
        <v>2236</v>
      </c>
      <c r="AG686" s="421" t="s">
        <v>2237</v>
      </c>
      <c r="AH686" s="421" t="s">
        <v>3105</v>
      </c>
      <c r="AI686" s="421">
        <v>218500</v>
      </c>
      <c r="AJ686" s="421">
        <v>484.97</v>
      </c>
      <c r="AK686" s="421">
        <v>523.03</v>
      </c>
      <c r="AL686" s="421">
        <v>1</v>
      </c>
      <c r="AM686" s="421" t="s">
        <v>2135</v>
      </c>
      <c r="AN686" s="421" t="s">
        <v>2135</v>
      </c>
      <c r="AO686" s="421" t="s">
        <v>1121</v>
      </c>
      <c r="AP686" s="421" t="s">
        <v>1121</v>
      </c>
      <c r="AQ686" s="421" t="s">
        <v>1476</v>
      </c>
      <c r="AR686" s="421" t="s">
        <v>3994</v>
      </c>
      <c r="AS686" s="421" t="s">
        <v>4042</v>
      </c>
      <c r="AT686" s="421" t="s">
        <v>3109</v>
      </c>
      <c r="AU686" s="421" t="s">
        <v>1341</v>
      </c>
      <c r="AV686" s="421" t="s">
        <v>962</v>
      </c>
      <c r="AW686" s="421" t="s">
        <v>3110</v>
      </c>
      <c r="AX686" s="421" t="s">
        <v>3111</v>
      </c>
      <c r="AY686" s="421" t="s">
        <v>3112</v>
      </c>
      <c r="AZ686" s="421" t="s">
        <v>3113</v>
      </c>
      <c r="BA686" s="421" t="s">
        <v>3114</v>
      </c>
      <c r="BB686" s="421" t="s">
        <v>3115</v>
      </c>
      <c r="BC686" s="421">
        <v>6080.75</v>
      </c>
      <c r="BD686" s="421">
        <v>19186104.010000002</v>
      </c>
      <c r="BE686" s="421">
        <v>0</v>
      </c>
      <c r="BF686" s="421">
        <v>1394.12</v>
      </c>
      <c r="BG686" s="421">
        <v>29.37</v>
      </c>
      <c r="BH686" s="421">
        <v>49.58</v>
      </c>
      <c r="BI686" s="421" t="s">
        <v>1167</v>
      </c>
    </row>
    <row r="687" spans="1:61" x14ac:dyDescent="0.25">
      <c r="A687" s="421">
        <v>684</v>
      </c>
      <c r="B687" s="421">
        <v>2015</v>
      </c>
      <c r="C687" s="421">
        <v>12</v>
      </c>
      <c r="D687" s="421">
        <v>30</v>
      </c>
      <c r="E687" s="421" t="s">
        <v>1475</v>
      </c>
      <c r="F687" s="421" t="s">
        <v>3284</v>
      </c>
      <c r="G687" s="421" t="s">
        <v>3524</v>
      </c>
      <c r="H687" s="421" t="s">
        <v>1107</v>
      </c>
      <c r="I687" s="421" t="s">
        <v>3050</v>
      </c>
      <c r="J687" s="421" t="s">
        <v>4043</v>
      </c>
      <c r="K687" s="421" t="s">
        <v>3093</v>
      </c>
      <c r="L687" s="421" t="s">
        <v>3094</v>
      </c>
      <c r="M687" s="421" t="s">
        <v>2667</v>
      </c>
      <c r="N687" s="421" t="s">
        <v>3093</v>
      </c>
      <c r="O687" s="421" t="s">
        <v>3094</v>
      </c>
      <c r="P687" s="421" t="s">
        <v>3095</v>
      </c>
      <c r="Q687" s="421" t="s">
        <v>3096</v>
      </c>
      <c r="R687" s="421" t="s">
        <v>1108</v>
      </c>
      <c r="S687" s="421" t="s">
        <v>1476</v>
      </c>
      <c r="T687" s="421" t="s">
        <v>1130</v>
      </c>
      <c r="U687" s="421" t="s">
        <v>3144</v>
      </c>
      <c r="V687" s="421" t="s">
        <v>3145</v>
      </c>
      <c r="W687" s="421" t="s">
        <v>3098</v>
      </c>
      <c r="X687" s="421" t="s">
        <v>3099</v>
      </c>
      <c r="Y687" s="421" t="s">
        <v>1117</v>
      </c>
      <c r="Z687" s="421" t="s">
        <v>1118</v>
      </c>
      <c r="AA687" s="421" t="s">
        <v>3100</v>
      </c>
      <c r="AB687" s="421" t="s">
        <v>3146</v>
      </c>
      <c r="AC687" s="421" t="s">
        <v>3102</v>
      </c>
      <c r="AD687" s="421" t="s">
        <v>3327</v>
      </c>
      <c r="AE687" s="421" t="s">
        <v>3328</v>
      </c>
      <c r="AF687" s="421" t="s">
        <v>2236</v>
      </c>
      <c r="AG687" s="421" t="s">
        <v>2237</v>
      </c>
      <c r="AH687" s="421" t="s">
        <v>3105</v>
      </c>
      <c r="AI687" s="421">
        <v>309100</v>
      </c>
      <c r="AJ687" s="421">
        <v>733.5</v>
      </c>
      <c r="AK687" s="421">
        <v>787.91</v>
      </c>
      <c r="AL687" s="421">
        <v>1</v>
      </c>
      <c r="AM687" s="421" t="s">
        <v>3329</v>
      </c>
      <c r="AN687" s="421" t="s">
        <v>3330</v>
      </c>
      <c r="AO687" s="421" t="s">
        <v>1121</v>
      </c>
      <c r="AP687" s="421" t="s">
        <v>1121</v>
      </c>
      <c r="AQ687" s="421" t="s">
        <v>1476</v>
      </c>
      <c r="AR687" s="421" t="s">
        <v>3994</v>
      </c>
      <c r="AS687" s="421" t="s">
        <v>4044</v>
      </c>
      <c r="AT687" s="421" t="s">
        <v>3109</v>
      </c>
      <c r="AU687" s="421" t="s">
        <v>1341</v>
      </c>
      <c r="AV687" s="421" t="s">
        <v>961</v>
      </c>
      <c r="AW687" s="421" t="s">
        <v>3110</v>
      </c>
      <c r="AX687" s="421" t="s">
        <v>3111</v>
      </c>
      <c r="AY687" s="421" t="s">
        <v>3112</v>
      </c>
      <c r="AZ687" s="421" t="s">
        <v>3113</v>
      </c>
      <c r="BA687" s="421" t="s">
        <v>3114</v>
      </c>
      <c r="BB687" s="421" t="s">
        <v>3115</v>
      </c>
      <c r="BC687" s="421">
        <v>14817.6</v>
      </c>
      <c r="BD687" s="421">
        <v>46752787.869999997</v>
      </c>
      <c r="BE687" s="421">
        <v>0</v>
      </c>
      <c r="BF687" s="421">
        <v>2270.4499999999998</v>
      </c>
      <c r="BG687" s="421">
        <v>45.82</v>
      </c>
      <c r="BH687" s="421">
        <v>0</v>
      </c>
      <c r="BI687" s="421" t="s">
        <v>1149</v>
      </c>
    </row>
    <row r="688" spans="1:61" x14ac:dyDescent="0.25">
      <c r="A688" s="421">
        <v>685</v>
      </c>
      <c r="B688" s="421">
        <v>2015</v>
      </c>
      <c r="C688" s="421">
        <v>12</v>
      </c>
      <c r="D688" s="421">
        <v>30</v>
      </c>
      <c r="E688" s="421" t="s">
        <v>1475</v>
      </c>
      <c r="F688" s="421" t="s">
        <v>3284</v>
      </c>
      <c r="G688" s="421" t="s">
        <v>3524</v>
      </c>
      <c r="H688" s="421" t="s">
        <v>1107</v>
      </c>
      <c r="I688" s="421" t="s">
        <v>3050</v>
      </c>
      <c r="J688" s="421" t="s">
        <v>4043</v>
      </c>
      <c r="K688" s="421" t="s">
        <v>3093</v>
      </c>
      <c r="L688" s="421" t="s">
        <v>3094</v>
      </c>
      <c r="M688" s="421" t="s">
        <v>2667</v>
      </c>
      <c r="N688" s="421" t="s">
        <v>3093</v>
      </c>
      <c r="O688" s="421" t="s">
        <v>3094</v>
      </c>
      <c r="P688" s="421" t="s">
        <v>3095</v>
      </c>
      <c r="Q688" s="421" t="s">
        <v>3096</v>
      </c>
      <c r="R688" s="421" t="s">
        <v>1108</v>
      </c>
      <c r="S688" s="421" t="s">
        <v>1476</v>
      </c>
      <c r="T688" s="421" t="s">
        <v>1130</v>
      </c>
      <c r="U688" s="421" t="s">
        <v>3144</v>
      </c>
      <c r="V688" s="421" t="s">
        <v>3145</v>
      </c>
      <c r="W688" s="421" t="s">
        <v>3098</v>
      </c>
      <c r="X688" s="421" t="s">
        <v>3099</v>
      </c>
      <c r="Y688" s="421" t="s">
        <v>1117</v>
      </c>
      <c r="Z688" s="421" t="s">
        <v>1118</v>
      </c>
      <c r="AA688" s="421" t="s">
        <v>3100</v>
      </c>
      <c r="AB688" s="421" t="s">
        <v>3146</v>
      </c>
      <c r="AC688" s="421" t="s">
        <v>3102</v>
      </c>
      <c r="AD688" s="421" t="s">
        <v>3327</v>
      </c>
      <c r="AE688" s="421" t="s">
        <v>3328</v>
      </c>
      <c r="AF688" s="421" t="s">
        <v>1233</v>
      </c>
      <c r="AG688" s="421" t="s">
        <v>1234</v>
      </c>
      <c r="AH688" s="421" t="s">
        <v>3105</v>
      </c>
      <c r="AI688" s="421">
        <v>60</v>
      </c>
      <c r="AJ688" s="421">
        <v>35.92</v>
      </c>
      <c r="AK688" s="421">
        <v>38.58</v>
      </c>
      <c r="AL688" s="421">
        <v>2</v>
      </c>
      <c r="AM688" s="421" t="s">
        <v>3329</v>
      </c>
      <c r="AN688" s="421" t="s">
        <v>3330</v>
      </c>
      <c r="AO688" s="421" t="s">
        <v>1121</v>
      </c>
      <c r="AP688" s="421" t="s">
        <v>1121</v>
      </c>
      <c r="AQ688" s="421" t="s">
        <v>1476</v>
      </c>
      <c r="AR688" s="421" t="s">
        <v>3994</v>
      </c>
      <c r="AS688" s="421" t="s">
        <v>4044</v>
      </c>
      <c r="AT688" s="421" t="s">
        <v>3109</v>
      </c>
      <c r="AU688" s="421" t="s">
        <v>1341</v>
      </c>
      <c r="AV688" s="421" t="s">
        <v>961</v>
      </c>
      <c r="AW688" s="421" t="s">
        <v>3110</v>
      </c>
      <c r="AX688" s="421" t="s">
        <v>3111</v>
      </c>
      <c r="AY688" s="421" t="s">
        <v>3112</v>
      </c>
      <c r="AZ688" s="421" t="s">
        <v>3113</v>
      </c>
      <c r="BA688" s="421" t="s">
        <v>3114</v>
      </c>
      <c r="BB688" s="421" t="s">
        <v>3115</v>
      </c>
      <c r="BC688" s="421">
        <v>55.2</v>
      </c>
      <c r="BD688" s="421">
        <v>174168.14</v>
      </c>
      <c r="BE688" s="421">
        <v>0</v>
      </c>
      <c r="BF688" s="421">
        <v>8.4600000000000009</v>
      </c>
      <c r="BG688" s="421">
        <v>0.17</v>
      </c>
      <c r="BH688" s="421">
        <v>0</v>
      </c>
      <c r="BI688" s="421" t="s">
        <v>1149</v>
      </c>
    </row>
    <row r="689" spans="1:61" x14ac:dyDescent="0.25">
      <c r="A689" s="421">
        <v>686</v>
      </c>
      <c r="B689" s="421">
        <v>2015</v>
      </c>
      <c r="C689" s="421">
        <v>12</v>
      </c>
      <c r="D689" s="421">
        <v>30</v>
      </c>
      <c r="E689" s="421" t="s">
        <v>1475</v>
      </c>
      <c r="F689" s="421" t="s">
        <v>3284</v>
      </c>
      <c r="G689" s="421" t="s">
        <v>3524</v>
      </c>
      <c r="H689" s="421" t="s">
        <v>1107</v>
      </c>
      <c r="I689" s="421" t="s">
        <v>3050</v>
      </c>
      <c r="J689" s="421" t="s">
        <v>4043</v>
      </c>
      <c r="K689" s="421" t="s">
        <v>3093</v>
      </c>
      <c r="L689" s="421" t="s">
        <v>3094</v>
      </c>
      <c r="M689" s="421" t="s">
        <v>2667</v>
      </c>
      <c r="N689" s="421" t="s">
        <v>3093</v>
      </c>
      <c r="O689" s="421" t="s">
        <v>3094</v>
      </c>
      <c r="P689" s="421" t="s">
        <v>3095</v>
      </c>
      <c r="Q689" s="421" t="s">
        <v>3096</v>
      </c>
      <c r="R689" s="421" t="s">
        <v>1108</v>
      </c>
      <c r="S689" s="421" t="s">
        <v>1476</v>
      </c>
      <c r="T689" s="421" t="s">
        <v>1130</v>
      </c>
      <c r="U689" s="421" t="s">
        <v>3144</v>
      </c>
      <c r="V689" s="421" t="s">
        <v>3145</v>
      </c>
      <c r="W689" s="421" t="s">
        <v>3098</v>
      </c>
      <c r="X689" s="421" t="s">
        <v>3099</v>
      </c>
      <c r="Y689" s="421" t="s">
        <v>1117</v>
      </c>
      <c r="Z689" s="421" t="s">
        <v>1118</v>
      </c>
      <c r="AA689" s="421" t="s">
        <v>3100</v>
      </c>
      <c r="AB689" s="421" t="s">
        <v>3146</v>
      </c>
      <c r="AC689" s="421" t="s">
        <v>3102</v>
      </c>
      <c r="AD689" s="421" t="s">
        <v>3327</v>
      </c>
      <c r="AE689" s="421" t="s">
        <v>3328</v>
      </c>
      <c r="AF689" s="421" t="s">
        <v>1249</v>
      </c>
      <c r="AG689" s="421" t="s">
        <v>1250</v>
      </c>
      <c r="AH689" s="421" t="s">
        <v>3105</v>
      </c>
      <c r="AI689" s="421">
        <v>21</v>
      </c>
      <c r="AJ689" s="421">
        <v>0.3</v>
      </c>
      <c r="AK689" s="421">
        <v>0.32</v>
      </c>
      <c r="AL689" s="421">
        <v>6</v>
      </c>
      <c r="AM689" s="421" t="s">
        <v>3329</v>
      </c>
      <c r="AN689" s="421" t="s">
        <v>3330</v>
      </c>
      <c r="AO689" s="421" t="s">
        <v>1121</v>
      </c>
      <c r="AP689" s="421" t="s">
        <v>1121</v>
      </c>
      <c r="AQ689" s="421" t="s">
        <v>1476</v>
      </c>
      <c r="AR689" s="421" t="s">
        <v>3994</v>
      </c>
      <c r="AS689" s="421" t="s">
        <v>4044</v>
      </c>
      <c r="AT689" s="421" t="s">
        <v>3109</v>
      </c>
      <c r="AU689" s="421" t="s">
        <v>1341</v>
      </c>
      <c r="AV689" s="421" t="s">
        <v>961</v>
      </c>
      <c r="AW689" s="421" t="s">
        <v>3110</v>
      </c>
      <c r="AX689" s="421" t="s">
        <v>3111</v>
      </c>
      <c r="AY689" s="421" t="s">
        <v>3112</v>
      </c>
      <c r="AZ689" s="421" t="s">
        <v>3113</v>
      </c>
      <c r="BA689" s="421" t="s">
        <v>3114</v>
      </c>
      <c r="BB689" s="421" t="s">
        <v>3115</v>
      </c>
      <c r="BC689" s="421">
        <v>18.899999999999999</v>
      </c>
      <c r="BD689" s="421">
        <v>59633.65</v>
      </c>
      <c r="BE689" s="421">
        <v>0</v>
      </c>
      <c r="BF689" s="421">
        <v>2.9</v>
      </c>
      <c r="BG689" s="421">
        <v>0.06</v>
      </c>
      <c r="BH689" s="421">
        <v>0</v>
      </c>
      <c r="BI689" s="421" t="s">
        <v>1149</v>
      </c>
    </row>
    <row r="690" spans="1:61" x14ac:dyDescent="0.25">
      <c r="A690" s="421">
        <v>687</v>
      </c>
      <c r="B690" s="421">
        <v>2015</v>
      </c>
      <c r="C690" s="421">
        <v>12</v>
      </c>
      <c r="D690" s="421">
        <v>30</v>
      </c>
      <c r="E690" s="421" t="s">
        <v>1475</v>
      </c>
      <c r="F690" s="421" t="s">
        <v>3284</v>
      </c>
      <c r="G690" s="421" t="s">
        <v>3524</v>
      </c>
      <c r="H690" s="421" t="s">
        <v>1107</v>
      </c>
      <c r="I690" s="421" t="s">
        <v>3050</v>
      </c>
      <c r="J690" s="421" t="s">
        <v>4043</v>
      </c>
      <c r="K690" s="421" t="s">
        <v>3093</v>
      </c>
      <c r="L690" s="421" t="s">
        <v>3094</v>
      </c>
      <c r="M690" s="421" t="s">
        <v>2667</v>
      </c>
      <c r="N690" s="421" t="s">
        <v>3093</v>
      </c>
      <c r="O690" s="421" t="s">
        <v>3094</v>
      </c>
      <c r="P690" s="421" t="s">
        <v>3095</v>
      </c>
      <c r="Q690" s="421" t="s">
        <v>3096</v>
      </c>
      <c r="R690" s="421" t="s">
        <v>1108</v>
      </c>
      <c r="S690" s="421" t="s">
        <v>1476</v>
      </c>
      <c r="T690" s="421" t="s">
        <v>1130</v>
      </c>
      <c r="U690" s="421" t="s">
        <v>3144</v>
      </c>
      <c r="V690" s="421" t="s">
        <v>3145</v>
      </c>
      <c r="W690" s="421" t="s">
        <v>3098</v>
      </c>
      <c r="X690" s="421" t="s">
        <v>3099</v>
      </c>
      <c r="Y690" s="421" t="s">
        <v>1117</v>
      </c>
      <c r="Z690" s="421" t="s">
        <v>1118</v>
      </c>
      <c r="AA690" s="421" t="s">
        <v>3100</v>
      </c>
      <c r="AB690" s="421" t="s">
        <v>3146</v>
      </c>
      <c r="AC690" s="421" t="s">
        <v>3102</v>
      </c>
      <c r="AD690" s="421" t="s">
        <v>3327</v>
      </c>
      <c r="AE690" s="421" t="s">
        <v>3328</v>
      </c>
      <c r="AF690" s="421" t="s">
        <v>1896</v>
      </c>
      <c r="AG690" s="421" t="s">
        <v>1897</v>
      </c>
      <c r="AH690" s="421" t="s">
        <v>3105</v>
      </c>
      <c r="AI690" s="421">
        <v>51</v>
      </c>
      <c r="AJ690" s="421">
        <v>0.3</v>
      </c>
      <c r="AK690" s="421">
        <v>0.32</v>
      </c>
      <c r="AL690" s="421">
        <v>8</v>
      </c>
      <c r="AM690" s="421" t="s">
        <v>3329</v>
      </c>
      <c r="AN690" s="421" t="s">
        <v>3330</v>
      </c>
      <c r="AO690" s="421" t="s">
        <v>1121</v>
      </c>
      <c r="AP690" s="421" t="s">
        <v>1121</v>
      </c>
      <c r="AQ690" s="421" t="s">
        <v>1476</v>
      </c>
      <c r="AR690" s="421" t="s">
        <v>3994</v>
      </c>
      <c r="AS690" s="421" t="s">
        <v>4044</v>
      </c>
      <c r="AT690" s="421" t="s">
        <v>3109</v>
      </c>
      <c r="AU690" s="421" t="s">
        <v>1341</v>
      </c>
      <c r="AV690" s="421" t="s">
        <v>961</v>
      </c>
      <c r="AW690" s="421" t="s">
        <v>3110</v>
      </c>
      <c r="AX690" s="421" t="s">
        <v>3111</v>
      </c>
      <c r="AY690" s="421" t="s">
        <v>3112</v>
      </c>
      <c r="AZ690" s="421" t="s">
        <v>3113</v>
      </c>
      <c r="BA690" s="421" t="s">
        <v>3114</v>
      </c>
      <c r="BB690" s="421" t="s">
        <v>3115</v>
      </c>
      <c r="BC690" s="421">
        <v>29.58</v>
      </c>
      <c r="BD690" s="421">
        <v>93331.4</v>
      </c>
      <c r="BE690" s="421">
        <v>0</v>
      </c>
      <c r="BF690" s="421">
        <v>4.53</v>
      </c>
      <c r="BG690" s="421">
        <v>0.09</v>
      </c>
      <c r="BH690" s="421">
        <v>0</v>
      </c>
      <c r="BI690" s="421" t="s">
        <v>1149</v>
      </c>
    </row>
    <row r="691" spans="1:61" x14ac:dyDescent="0.25">
      <c r="A691" s="421">
        <v>688</v>
      </c>
      <c r="B691" s="421">
        <v>2015</v>
      </c>
      <c r="C691" s="421">
        <v>12</v>
      </c>
      <c r="D691" s="421">
        <v>30</v>
      </c>
      <c r="E691" s="421" t="s">
        <v>1475</v>
      </c>
      <c r="F691" s="421" t="s">
        <v>3284</v>
      </c>
      <c r="G691" s="421" t="s">
        <v>3524</v>
      </c>
      <c r="H691" s="421" t="s">
        <v>1107</v>
      </c>
      <c r="I691" s="421" t="s">
        <v>3050</v>
      </c>
      <c r="J691" s="421" t="s">
        <v>4043</v>
      </c>
      <c r="K691" s="421" t="s">
        <v>3093</v>
      </c>
      <c r="L691" s="421" t="s">
        <v>3094</v>
      </c>
      <c r="M691" s="421" t="s">
        <v>2667</v>
      </c>
      <c r="N691" s="421" t="s">
        <v>3093</v>
      </c>
      <c r="O691" s="421" t="s">
        <v>3094</v>
      </c>
      <c r="P691" s="421" t="s">
        <v>3095</v>
      </c>
      <c r="Q691" s="421" t="s">
        <v>3096</v>
      </c>
      <c r="R691" s="421" t="s">
        <v>1108</v>
      </c>
      <c r="S691" s="421" t="s">
        <v>1476</v>
      </c>
      <c r="T691" s="421" t="s">
        <v>1130</v>
      </c>
      <c r="U691" s="421" t="s">
        <v>3144</v>
      </c>
      <c r="V691" s="421" t="s">
        <v>3145</v>
      </c>
      <c r="W691" s="421" t="s">
        <v>3098</v>
      </c>
      <c r="X691" s="421" t="s">
        <v>3099</v>
      </c>
      <c r="Y691" s="421" t="s">
        <v>1117</v>
      </c>
      <c r="Z691" s="421" t="s">
        <v>1118</v>
      </c>
      <c r="AA691" s="421" t="s">
        <v>3100</v>
      </c>
      <c r="AB691" s="421" t="s">
        <v>3146</v>
      </c>
      <c r="AC691" s="421" t="s">
        <v>3102</v>
      </c>
      <c r="AD691" s="421" t="s">
        <v>3327</v>
      </c>
      <c r="AE691" s="421" t="s">
        <v>3328</v>
      </c>
      <c r="AF691" s="421" t="s">
        <v>1387</v>
      </c>
      <c r="AG691" s="421" t="s">
        <v>1388</v>
      </c>
      <c r="AH691" s="421" t="s">
        <v>3105</v>
      </c>
      <c r="AI691" s="421">
        <v>300</v>
      </c>
      <c r="AJ691" s="421">
        <v>33.76</v>
      </c>
      <c r="AK691" s="421">
        <v>36.26</v>
      </c>
      <c r="AL691" s="421">
        <v>9</v>
      </c>
      <c r="AM691" s="421" t="s">
        <v>3329</v>
      </c>
      <c r="AN691" s="421" t="s">
        <v>3330</v>
      </c>
      <c r="AO691" s="421" t="s">
        <v>1121</v>
      </c>
      <c r="AP691" s="421" t="s">
        <v>1121</v>
      </c>
      <c r="AQ691" s="421" t="s">
        <v>1476</v>
      </c>
      <c r="AR691" s="421" t="s">
        <v>3994</v>
      </c>
      <c r="AS691" s="421" t="s">
        <v>4044</v>
      </c>
      <c r="AT691" s="421" t="s">
        <v>3109</v>
      </c>
      <c r="AU691" s="421" t="s">
        <v>1341</v>
      </c>
      <c r="AV691" s="421" t="s">
        <v>961</v>
      </c>
      <c r="AW691" s="421" t="s">
        <v>3110</v>
      </c>
      <c r="AX691" s="421" t="s">
        <v>3111</v>
      </c>
      <c r="AY691" s="421" t="s">
        <v>3112</v>
      </c>
      <c r="AZ691" s="421" t="s">
        <v>3113</v>
      </c>
      <c r="BA691" s="421" t="s">
        <v>3114</v>
      </c>
      <c r="BB691" s="421" t="s">
        <v>3115</v>
      </c>
      <c r="BC691" s="421">
        <v>375</v>
      </c>
      <c r="BD691" s="421">
        <v>1183207.5</v>
      </c>
      <c r="BE691" s="421">
        <v>0</v>
      </c>
      <c r="BF691" s="421">
        <v>57.46</v>
      </c>
      <c r="BG691" s="421">
        <v>1.1599999999999999</v>
      </c>
      <c r="BH691" s="421">
        <v>0</v>
      </c>
      <c r="BI691" s="421" t="s">
        <v>1149</v>
      </c>
    </row>
    <row r="692" spans="1:61" x14ac:dyDescent="0.25">
      <c r="A692" s="421">
        <v>689</v>
      </c>
      <c r="B692" s="421">
        <v>2015</v>
      </c>
      <c r="C692" s="421">
        <v>12</v>
      </c>
      <c r="D692" s="421">
        <v>30</v>
      </c>
      <c r="E692" s="421" t="s">
        <v>1475</v>
      </c>
      <c r="F692" s="421" t="s">
        <v>3284</v>
      </c>
      <c r="G692" s="421" t="s">
        <v>3524</v>
      </c>
      <c r="H692" s="421" t="s">
        <v>1107</v>
      </c>
      <c r="I692" s="421" t="s">
        <v>3050</v>
      </c>
      <c r="J692" s="421" t="s">
        <v>4043</v>
      </c>
      <c r="K692" s="421" t="s">
        <v>3093</v>
      </c>
      <c r="L692" s="421" t="s">
        <v>3094</v>
      </c>
      <c r="M692" s="421" t="s">
        <v>2667</v>
      </c>
      <c r="N692" s="421" t="s">
        <v>3093</v>
      </c>
      <c r="O692" s="421" t="s">
        <v>3094</v>
      </c>
      <c r="P692" s="421" t="s">
        <v>3095</v>
      </c>
      <c r="Q692" s="421" t="s">
        <v>3096</v>
      </c>
      <c r="R692" s="421" t="s">
        <v>1108</v>
      </c>
      <c r="S692" s="421" t="s">
        <v>1476</v>
      </c>
      <c r="T692" s="421" t="s">
        <v>1130</v>
      </c>
      <c r="U692" s="421" t="s">
        <v>3144</v>
      </c>
      <c r="V692" s="421" t="s">
        <v>3145</v>
      </c>
      <c r="W692" s="421" t="s">
        <v>3098</v>
      </c>
      <c r="X692" s="421" t="s">
        <v>3099</v>
      </c>
      <c r="Y692" s="421" t="s">
        <v>1117</v>
      </c>
      <c r="Z692" s="421" t="s">
        <v>1118</v>
      </c>
      <c r="AA692" s="421" t="s">
        <v>3100</v>
      </c>
      <c r="AB692" s="421" t="s">
        <v>3146</v>
      </c>
      <c r="AC692" s="421" t="s">
        <v>3102</v>
      </c>
      <c r="AD692" s="421" t="s">
        <v>3327</v>
      </c>
      <c r="AE692" s="421" t="s">
        <v>3328</v>
      </c>
      <c r="AF692" s="421" t="s">
        <v>1471</v>
      </c>
      <c r="AG692" s="421" t="s">
        <v>1472</v>
      </c>
      <c r="AH692" s="421" t="s">
        <v>3105</v>
      </c>
      <c r="AI692" s="421">
        <v>818</v>
      </c>
      <c r="AJ692" s="421">
        <v>55.91</v>
      </c>
      <c r="AK692" s="421">
        <v>60.05</v>
      </c>
      <c r="AL692" s="421">
        <v>10</v>
      </c>
      <c r="AM692" s="421" t="s">
        <v>3329</v>
      </c>
      <c r="AN692" s="421" t="s">
        <v>3330</v>
      </c>
      <c r="AO692" s="421" t="s">
        <v>1121</v>
      </c>
      <c r="AP692" s="421" t="s">
        <v>1121</v>
      </c>
      <c r="AQ692" s="421" t="s">
        <v>1476</v>
      </c>
      <c r="AR692" s="421" t="s">
        <v>3994</v>
      </c>
      <c r="AS692" s="421" t="s">
        <v>4044</v>
      </c>
      <c r="AT692" s="421" t="s">
        <v>3109</v>
      </c>
      <c r="AU692" s="421" t="s">
        <v>1341</v>
      </c>
      <c r="AV692" s="421" t="s">
        <v>961</v>
      </c>
      <c r="AW692" s="421" t="s">
        <v>3110</v>
      </c>
      <c r="AX692" s="421" t="s">
        <v>3111</v>
      </c>
      <c r="AY692" s="421" t="s">
        <v>3112</v>
      </c>
      <c r="AZ692" s="421" t="s">
        <v>3113</v>
      </c>
      <c r="BA692" s="421" t="s">
        <v>3114</v>
      </c>
      <c r="BB692" s="421" t="s">
        <v>3115</v>
      </c>
      <c r="BC692" s="421">
        <v>1035.42</v>
      </c>
      <c r="BD692" s="421">
        <v>3266977.89</v>
      </c>
      <c r="BE692" s="421">
        <v>0</v>
      </c>
      <c r="BF692" s="421">
        <v>158.65</v>
      </c>
      <c r="BG692" s="421">
        <v>3.2</v>
      </c>
      <c r="BH692" s="421">
        <v>0</v>
      </c>
      <c r="BI692" s="421" t="s">
        <v>1149</v>
      </c>
    </row>
    <row r="693" spans="1:61" x14ac:dyDescent="0.25">
      <c r="A693" s="421">
        <v>690</v>
      </c>
      <c r="B693" s="421">
        <v>2015</v>
      </c>
      <c r="C693" s="421">
        <v>12</v>
      </c>
      <c r="D693" s="421">
        <v>30</v>
      </c>
      <c r="E693" s="421" t="s">
        <v>1475</v>
      </c>
      <c r="F693" s="421" t="s">
        <v>3284</v>
      </c>
      <c r="G693" s="421" t="s">
        <v>3524</v>
      </c>
      <c r="H693" s="421" t="s">
        <v>1107</v>
      </c>
      <c r="I693" s="421" t="s">
        <v>3050</v>
      </c>
      <c r="J693" s="421" t="s">
        <v>4043</v>
      </c>
      <c r="K693" s="421" t="s">
        <v>3093</v>
      </c>
      <c r="L693" s="421" t="s">
        <v>3094</v>
      </c>
      <c r="M693" s="421" t="s">
        <v>2667</v>
      </c>
      <c r="N693" s="421" t="s">
        <v>3093</v>
      </c>
      <c r="O693" s="421" t="s">
        <v>3094</v>
      </c>
      <c r="P693" s="421" t="s">
        <v>3095</v>
      </c>
      <c r="Q693" s="421" t="s">
        <v>3096</v>
      </c>
      <c r="R693" s="421" t="s">
        <v>1108</v>
      </c>
      <c r="S693" s="421" t="s">
        <v>1476</v>
      </c>
      <c r="T693" s="421" t="s">
        <v>1130</v>
      </c>
      <c r="U693" s="421" t="s">
        <v>3144</v>
      </c>
      <c r="V693" s="421" t="s">
        <v>3145</v>
      </c>
      <c r="W693" s="421" t="s">
        <v>3098</v>
      </c>
      <c r="X693" s="421" t="s">
        <v>3099</v>
      </c>
      <c r="Y693" s="421" t="s">
        <v>1117</v>
      </c>
      <c r="Z693" s="421" t="s">
        <v>1118</v>
      </c>
      <c r="AA693" s="421" t="s">
        <v>3100</v>
      </c>
      <c r="AB693" s="421" t="s">
        <v>3146</v>
      </c>
      <c r="AC693" s="421" t="s">
        <v>3102</v>
      </c>
      <c r="AD693" s="421" t="s">
        <v>3327</v>
      </c>
      <c r="AE693" s="421" t="s">
        <v>3328</v>
      </c>
      <c r="AF693" s="421" t="s">
        <v>1632</v>
      </c>
      <c r="AG693" s="421" t="s">
        <v>1633</v>
      </c>
      <c r="AH693" s="421" t="s">
        <v>1127</v>
      </c>
      <c r="AI693" s="421">
        <v>67.98</v>
      </c>
      <c r="AJ693" s="421">
        <v>67.98</v>
      </c>
      <c r="AK693" s="421">
        <v>73.02</v>
      </c>
      <c r="AL693" s="421">
        <v>4</v>
      </c>
      <c r="AM693" s="421" t="s">
        <v>3329</v>
      </c>
      <c r="AN693" s="421" t="s">
        <v>3330</v>
      </c>
      <c r="AO693" s="421" t="s">
        <v>1121</v>
      </c>
      <c r="AP693" s="421" t="s">
        <v>1121</v>
      </c>
      <c r="AQ693" s="421" t="s">
        <v>1476</v>
      </c>
      <c r="AR693" s="421" t="s">
        <v>3994</v>
      </c>
      <c r="AS693" s="421" t="s">
        <v>4044</v>
      </c>
      <c r="AT693" s="421" t="s">
        <v>3109</v>
      </c>
      <c r="AU693" s="421" t="s">
        <v>1341</v>
      </c>
      <c r="AV693" s="421" t="s">
        <v>961</v>
      </c>
      <c r="AW693" s="421" t="s">
        <v>3110</v>
      </c>
      <c r="AX693" s="421" t="s">
        <v>3111</v>
      </c>
      <c r="AY693" s="421" t="s">
        <v>3112</v>
      </c>
      <c r="AZ693" s="421" t="s">
        <v>3113</v>
      </c>
      <c r="BA693" s="421" t="s">
        <v>3114</v>
      </c>
      <c r="BB693" s="421" t="s">
        <v>3115</v>
      </c>
      <c r="BC693" s="421">
        <v>500.82</v>
      </c>
      <c r="BD693" s="421">
        <v>1580197.28</v>
      </c>
      <c r="BE693" s="421">
        <v>0</v>
      </c>
      <c r="BF693" s="421">
        <v>76.739999999999995</v>
      </c>
      <c r="BG693" s="421">
        <v>1.55</v>
      </c>
      <c r="BH693" s="421">
        <v>0</v>
      </c>
      <c r="BI693" s="421" t="s">
        <v>1149</v>
      </c>
    </row>
    <row r="694" spans="1:61" x14ac:dyDescent="0.25">
      <c r="A694" s="421">
        <v>691</v>
      </c>
      <c r="B694" s="421">
        <v>2015</v>
      </c>
      <c r="C694" s="421">
        <v>12</v>
      </c>
      <c r="D694" s="421">
        <v>30</v>
      </c>
      <c r="E694" s="421" t="s">
        <v>1475</v>
      </c>
      <c r="F694" s="421" t="s">
        <v>3284</v>
      </c>
      <c r="G694" s="421" t="s">
        <v>3524</v>
      </c>
      <c r="H694" s="421" t="s">
        <v>1107</v>
      </c>
      <c r="I694" s="421" t="s">
        <v>3050</v>
      </c>
      <c r="J694" s="421" t="s">
        <v>4043</v>
      </c>
      <c r="K694" s="421" t="s">
        <v>3093</v>
      </c>
      <c r="L694" s="421" t="s">
        <v>3094</v>
      </c>
      <c r="M694" s="421" t="s">
        <v>2667</v>
      </c>
      <c r="N694" s="421" t="s">
        <v>3093</v>
      </c>
      <c r="O694" s="421" t="s">
        <v>3094</v>
      </c>
      <c r="P694" s="421" t="s">
        <v>3095</v>
      </c>
      <c r="Q694" s="421" t="s">
        <v>3096</v>
      </c>
      <c r="R694" s="421" t="s">
        <v>1108</v>
      </c>
      <c r="S694" s="421" t="s">
        <v>1476</v>
      </c>
      <c r="T694" s="421" t="s">
        <v>1130</v>
      </c>
      <c r="U694" s="421" t="s">
        <v>3144</v>
      </c>
      <c r="V694" s="421" t="s">
        <v>3145</v>
      </c>
      <c r="W694" s="421" t="s">
        <v>3098</v>
      </c>
      <c r="X694" s="421" t="s">
        <v>3099</v>
      </c>
      <c r="Y694" s="421" t="s">
        <v>1117</v>
      </c>
      <c r="Z694" s="421" t="s">
        <v>1118</v>
      </c>
      <c r="AA694" s="421" t="s">
        <v>3100</v>
      </c>
      <c r="AB694" s="421" t="s">
        <v>3146</v>
      </c>
      <c r="AC694" s="421" t="s">
        <v>3102</v>
      </c>
      <c r="AD694" s="421" t="s">
        <v>3327</v>
      </c>
      <c r="AE694" s="421" t="s">
        <v>3328</v>
      </c>
      <c r="AF694" s="421" t="s">
        <v>1170</v>
      </c>
      <c r="AG694" s="421" t="s">
        <v>1171</v>
      </c>
      <c r="AH694" s="421" t="s">
        <v>1127</v>
      </c>
      <c r="AI694" s="421">
        <v>18.760000000000002</v>
      </c>
      <c r="AJ694" s="421">
        <v>18.760000000000002</v>
      </c>
      <c r="AK694" s="421">
        <v>20.149999999999999</v>
      </c>
      <c r="AL694" s="421">
        <v>5</v>
      </c>
      <c r="AM694" s="421" t="s">
        <v>3329</v>
      </c>
      <c r="AN694" s="421" t="s">
        <v>3330</v>
      </c>
      <c r="AO694" s="421" t="s">
        <v>1121</v>
      </c>
      <c r="AP694" s="421" t="s">
        <v>1121</v>
      </c>
      <c r="AQ694" s="421" t="s">
        <v>1476</v>
      </c>
      <c r="AR694" s="421" t="s">
        <v>3994</v>
      </c>
      <c r="AS694" s="421" t="s">
        <v>4044</v>
      </c>
      <c r="AT694" s="421" t="s">
        <v>3109</v>
      </c>
      <c r="AU694" s="421" t="s">
        <v>1341</v>
      </c>
      <c r="AV694" s="421" t="s">
        <v>961</v>
      </c>
      <c r="AW694" s="421" t="s">
        <v>3110</v>
      </c>
      <c r="AX694" s="421" t="s">
        <v>3111</v>
      </c>
      <c r="AY694" s="421" t="s">
        <v>3112</v>
      </c>
      <c r="AZ694" s="421" t="s">
        <v>3113</v>
      </c>
      <c r="BA694" s="421" t="s">
        <v>3114</v>
      </c>
      <c r="BB694" s="421" t="s">
        <v>3115</v>
      </c>
      <c r="BC694" s="421">
        <v>67.319999999999993</v>
      </c>
      <c r="BD694" s="421">
        <v>212409.41</v>
      </c>
      <c r="BE694" s="421">
        <v>0</v>
      </c>
      <c r="BF694" s="421">
        <v>10.32</v>
      </c>
      <c r="BG694" s="421">
        <v>0.21</v>
      </c>
      <c r="BH694" s="421">
        <v>0</v>
      </c>
      <c r="BI694" s="421" t="s">
        <v>1149</v>
      </c>
    </row>
    <row r="695" spans="1:61" x14ac:dyDescent="0.25">
      <c r="A695" s="421">
        <v>692</v>
      </c>
      <c r="B695" s="421">
        <v>2015</v>
      </c>
      <c r="C695" s="421">
        <v>12</v>
      </c>
      <c r="D695" s="421">
        <v>30</v>
      </c>
      <c r="E695" s="421" t="s">
        <v>1475</v>
      </c>
      <c r="F695" s="421" t="s">
        <v>3284</v>
      </c>
      <c r="G695" s="421" t="s">
        <v>3524</v>
      </c>
      <c r="H695" s="421" t="s">
        <v>1107</v>
      </c>
      <c r="I695" s="421" t="s">
        <v>3050</v>
      </c>
      <c r="J695" s="421" t="s">
        <v>4043</v>
      </c>
      <c r="K695" s="421" t="s">
        <v>3093</v>
      </c>
      <c r="L695" s="421" t="s">
        <v>3094</v>
      </c>
      <c r="M695" s="421" t="s">
        <v>2667</v>
      </c>
      <c r="N695" s="421" t="s">
        <v>3093</v>
      </c>
      <c r="O695" s="421" t="s">
        <v>3094</v>
      </c>
      <c r="P695" s="421" t="s">
        <v>3095</v>
      </c>
      <c r="Q695" s="421" t="s">
        <v>3096</v>
      </c>
      <c r="R695" s="421" t="s">
        <v>1108</v>
      </c>
      <c r="S695" s="421" t="s">
        <v>1476</v>
      </c>
      <c r="T695" s="421" t="s">
        <v>1130</v>
      </c>
      <c r="U695" s="421" t="s">
        <v>3144</v>
      </c>
      <c r="V695" s="421" t="s">
        <v>3145</v>
      </c>
      <c r="W695" s="421" t="s">
        <v>3098</v>
      </c>
      <c r="X695" s="421" t="s">
        <v>3099</v>
      </c>
      <c r="Y695" s="421" t="s">
        <v>1117</v>
      </c>
      <c r="Z695" s="421" t="s">
        <v>1118</v>
      </c>
      <c r="AA695" s="421" t="s">
        <v>3100</v>
      </c>
      <c r="AB695" s="421" t="s">
        <v>3146</v>
      </c>
      <c r="AC695" s="421" t="s">
        <v>3102</v>
      </c>
      <c r="AD695" s="421" t="s">
        <v>3327</v>
      </c>
      <c r="AE695" s="421" t="s">
        <v>3328</v>
      </c>
      <c r="AF695" s="421" t="s">
        <v>1865</v>
      </c>
      <c r="AG695" s="421" t="s">
        <v>1866</v>
      </c>
      <c r="AH695" s="421" t="s">
        <v>1127</v>
      </c>
      <c r="AI695" s="421">
        <v>41.9</v>
      </c>
      <c r="AJ695" s="421">
        <v>41.9</v>
      </c>
      <c r="AK695" s="421">
        <v>45</v>
      </c>
      <c r="AL695" s="421">
        <v>7</v>
      </c>
      <c r="AM695" s="421" t="s">
        <v>3329</v>
      </c>
      <c r="AN695" s="421" t="s">
        <v>3330</v>
      </c>
      <c r="AO695" s="421" t="s">
        <v>1121</v>
      </c>
      <c r="AP695" s="421" t="s">
        <v>1121</v>
      </c>
      <c r="AQ695" s="421" t="s">
        <v>1476</v>
      </c>
      <c r="AR695" s="421" t="s">
        <v>3994</v>
      </c>
      <c r="AS695" s="421" t="s">
        <v>4044</v>
      </c>
      <c r="AT695" s="421" t="s">
        <v>3109</v>
      </c>
      <c r="AU695" s="421" t="s">
        <v>1341</v>
      </c>
      <c r="AV695" s="421" t="s">
        <v>961</v>
      </c>
      <c r="AW695" s="421" t="s">
        <v>3110</v>
      </c>
      <c r="AX695" s="421" t="s">
        <v>3111</v>
      </c>
      <c r="AY695" s="421" t="s">
        <v>3112</v>
      </c>
      <c r="AZ695" s="421" t="s">
        <v>3113</v>
      </c>
      <c r="BA695" s="421" t="s">
        <v>3114</v>
      </c>
      <c r="BB695" s="421" t="s">
        <v>3115</v>
      </c>
      <c r="BC695" s="421">
        <v>469.2</v>
      </c>
      <c r="BD695" s="421">
        <v>1480429.22</v>
      </c>
      <c r="BE695" s="421">
        <v>0</v>
      </c>
      <c r="BF695" s="421">
        <v>71.89</v>
      </c>
      <c r="BG695" s="421">
        <v>1.45</v>
      </c>
      <c r="BH695" s="421">
        <v>0</v>
      </c>
      <c r="BI695" s="421" t="s">
        <v>1149</v>
      </c>
    </row>
    <row r="696" spans="1:61" x14ac:dyDescent="0.25">
      <c r="A696" s="421">
        <v>693</v>
      </c>
      <c r="B696" s="421">
        <v>2015</v>
      </c>
      <c r="C696" s="421">
        <v>12</v>
      </c>
      <c r="D696" s="421">
        <v>30</v>
      </c>
      <c r="E696" s="421" t="s">
        <v>1475</v>
      </c>
      <c r="F696" s="421" t="s">
        <v>3284</v>
      </c>
      <c r="G696" s="421" t="s">
        <v>3524</v>
      </c>
      <c r="H696" s="421" t="s">
        <v>1107</v>
      </c>
      <c r="I696" s="421" t="s">
        <v>3050</v>
      </c>
      <c r="J696" s="421" t="s">
        <v>4043</v>
      </c>
      <c r="K696" s="421" t="s">
        <v>3093</v>
      </c>
      <c r="L696" s="421" t="s">
        <v>3094</v>
      </c>
      <c r="M696" s="421" t="s">
        <v>2667</v>
      </c>
      <c r="N696" s="421" t="s">
        <v>3093</v>
      </c>
      <c r="O696" s="421" t="s">
        <v>3094</v>
      </c>
      <c r="P696" s="421" t="s">
        <v>3095</v>
      </c>
      <c r="Q696" s="421" t="s">
        <v>3096</v>
      </c>
      <c r="R696" s="421" t="s">
        <v>1108</v>
      </c>
      <c r="S696" s="421" t="s">
        <v>1476</v>
      </c>
      <c r="T696" s="421" t="s">
        <v>1130</v>
      </c>
      <c r="U696" s="421" t="s">
        <v>3144</v>
      </c>
      <c r="V696" s="421" t="s">
        <v>3145</v>
      </c>
      <c r="W696" s="421" t="s">
        <v>3098</v>
      </c>
      <c r="X696" s="421" t="s">
        <v>3099</v>
      </c>
      <c r="Y696" s="421" t="s">
        <v>1117</v>
      </c>
      <c r="Z696" s="421" t="s">
        <v>1118</v>
      </c>
      <c r="AA696" s="421" t="s">
        <v>3100</v>
      </c>
      <c r="AB696" s="421" t="s">
        <v>3146</v>
      </c>
      <c r="AC696" s="421" t="s">
        <v>3102</v>
      </c>
      <c r="AD696" s="421" t="s">
        <v>3327</v>
      </c>
      <c r="AE696" s="421" t="s">
        <v>3328</v>
      </c>
      <c r="AF696" s="421" t="s">
        <v>1620</v>
      </c>
      <c r="AG696" s="421" t="s">
        <v>1621</v>
      </c>
      <c r="AH696" s="421" t="s">
        <v>1127</v>
      </c>
      <c r="AI696" s="421">
        <v>9.64</v>
      </c>
      <c r="AJ696" s="421">
        <v>9.64</v>
      </c>
      <c r="AK696" s="421">
        <v>10.35</v>
      </c>
      <c r="AL696" s="421">
        <v>3</v>
      </c>
      <c r="AM696" s="421" t="s">
        <v>3329</v>
      </c>
      <c r="AN696" s="421" t="s">
        <v>3330</v>
      </c>
      <c r="AO696" s="421" t="s">
        <v>1121</v>
      </c>
      <c r="AP696" s="421" t="s">
        <v>1121</v>
      </c>
      <c r="AQ696" s="421" t="s">
        <v>1476</v>
      </c>
      <c r="AR696" s="421" t="s">
        <v>3994</v>
      </c>
      <c r="AS696" s="421" t="s">
        <v>4044</v>
      </c>
      <c r="AT696" s="421" t="s">
        <v>3109</v>
      </c>
      <c r="AU696" s="421" t="s">
        <v>1341</v>
      </c>
      <c r="AV696" s="421" t="s">
        <v>961</v>
      </c>
      <c r="AW696" s="421" t="s">
        <v>3110</v>
      </c>
      <c r="AX696" s="421" t="s">
        <v>3111</v>
      </c>
      <c r="AY696" s="421" t="s">
        <v>3112</v>
      </c>
      <c r="AZ696" s="421" t="s">
        <v>3113</v>
      </c>
      <c r="BA696" s="421" t="s">
        <v>3114</v>
      </c>
      <c r="BB696" s="421" t="s">
        <v>3115</v>
      </c>
      <c r="BC696" s="421">
        <v>109.65</v>
      </c>
      <c r="BD696" s="421">
        <v>345969.87</v>
      </c>
      <c r="BE696" s="421">
        <v>0</v>
      </c>
      <c r="BF696" s="421">
        <v>16.8</v>
      </c>
      <c r="BG696" s="421">
        <v>0.34</v>
      </c>
      <c r="BH696" s="421">
        <v>0</v>
      </c>
      <c r="BI696" s="421" t="s">
        <v>1149</v>
      </c>
    </row>
    <row r="697" spans="1:61" x14ac:dyDescent="0.25">
      <c r="A697" s="421">
        <v>694</v>
      </c>
      <c r="B697" s="421">
        <v>2015</v>
      </c>
      <c r="C697" s="421">
        <v>12</v>
      </c>
      <c r="D697" s="421">
        <v>30</v>
      </c>
      <c r="E697" s="421" t="s">
        <v>1475</v>
      </c>
      <c r="F697" s="421" t="s">
        <v>3284</v>
      </c>
      <c r="G697" s="421" t="s">
        <v>3524</v>
      </c>
      <c r="H697" s="421" t="s">
        <v>1107</v>
      </c>
      <c r="I697" s="421" t="s">
        <v>3050</v>
      </c>
      <c r="J697" s="421" t="s">
        <v>4045</v>
      </c>
      <c r="K697" s="421" t="s">
        <v>3093</v>
      </c>
      <c r="L697" s="421" t="s">
        <v>3094</v>
      </c>
      <c r="M697" s="421" t="s">
        <v>2667</v>
      </c>
      <c r="N697" s="421" t="s">
        <v>3093</v>
      </c>
      <c r="O697" s="421" t="s">
        <v>3094</v>
      </c>
      <c r="P697" s="421" t="s">
        <v>3095</v>
      </c>
      <c r="Q697" s="421" t="s">
        <v>3113</v>
      </c>
      <c r="R697" s="421" t="s">
        <v>1108</v>
      </c>
      <c r="S697" s="421" t="s">
        <v>1108</v>
      </c>
      <c r="T697" s="421" t="s">
        <v>1130</v>
      </c>
      <c r="U697" s="421" t="s">
        <v>3144</v>
      </c>
      <c r="V697" s="421" t="s">
        <v>3145</v>
      </c>
      <c r="W697" s="421" t="s">
        <v>3098</v>
      </c>
      <c r="X697" s="421" t="s">
        <v>3099</v>
      </c>
      <c r="Y697" s="421" t="s">
        <v>1117</v>
      </c>
      <c r="Z697" s="421" t="s">
        <v>1118</v>
      </c>
      <c r="AA697" s="421" t="s">
        <v>3100</v>
      </c>
      <c r="AB697" s="421" t="s">
        <v>3146</v>
      </c>
      <c r="AC697" s="421" t="s">
        <v>3102</v>
      </c>
      <c r="AD697" s="421" t="s">
        <v>3213</v>
      </c>
      <c r="AE697" s="421" t="s">
        <v>3214</v>
      </c>
      <c r="AF697" s="421" t="s">
        <v>2236</v>
      </c>
      <c r="AG697" s="421" t="s">
        <v>2237</v>
      </c>
      <c r="AH697" s="421" t="s">
        <v>3105</v>
      </c>
      <c r="AI697" s="421">
        <v>79430</v>
      </c>
      <c r="AJ697" s="421">
        <v>271.68</v>
      </c>
      <c r="AK697" s="421">
        <v>291</v>
      </c>
      <c r="AL697" s="421">
        <v>1</v>
      </c>
      <c r="AM697" s="421" t="s">
        <v>2037</v>
      </c>
      <c r="AN697" s="421" t="s">
        <v>2039</v>
      </c>
      <c r="AO697" s="421" t="s">
        <v>1121</v>
      </c>
      <c r="AP697" s="421" t="s">
        <v>1121</v>
      </c>
      <c r="AQ697" s="421" t="s">
        <v>1108</v>
      </c>
      <c r="AR697" s="421" t="s">
        <v>3994</v>
      </c>
      <c r="AS697" s="421" t="s">
        <v>4046</v>
      </c>
      <c r="AT697" s="421" t="s">
        <v>3109</v>
      </c>
      <c r="AU697" s="421" t="s">
        <v>1341</v>
      </c>
      <c r="AV697" s="421" t="s">
        <v>2037</v>
      </c>
      <c r="AW697" s="421" t="s">
        <v>3110</v>
      </c>
      <c r="AX697" s="421" t="s">
        <v>3131</v>
      </c>
      <c r="AY697" s="421" t="s">
        <v>3112</v>
      </c>
      <c r="AZ697" s="421" t="s">
        <v>3113</v>
      </c>
      <c r="BA697" s="421" t="s">
        <v>3114</v>
      </c>
      <c r="BB697" s="421" t="s">
        <v>3115</v>
      </c>
      <c r="BC697" s="421">
        <v>4622.5</v>
      </c>
      <c r="BD697" s="421">
        <v>14585004.449999999</v>
      </c>
      <c r="BE697" s="421">
        <v>0</v>
      </c>
      <c r="BF697" s="421">
        <v>392.14</v>
      </c>
      <c r="BG697" s="421">
        <v>12.54</v>
      </c>
      <c r="BH697" s="421">
        <v>0</v>
      </c>
      <c r="BI697" s="421" t="s">
        <v>1149</v>
      </c>
    </row>
    <row r="698" spans="1:61" x14ac:dyDescent="0.25">
      <c r="A698" s="421">
        <v>695</v>
      </c>
      <c r="B698" s="421">
        <v>2015</v>
      </c>
      <c r="C698" s="421">
        <v>12</v>
      </c>
      <c r="D698" s="421">
        <v>30</v>
      </c>
      <c r="E698" s="421" t="s">
        <v>1475</v>
      </c>
      <c r="F698" s="421" t="s">
        <v>3284</v>
      </c>
      <c r="G698" s="421" t="s">
        <v>3524</v>
      </c>
      <c r="H698" s="421" t="s">
        <v>1107</v>
      </c>
      <c r="I698" s="421" t="s">
        <v>3050</v>
      </c>
      <c r="J698" s="421" t="s">
        <v>4047</v>
      </c>
      <c r="K698" s="421" t="s">
        <v>3093</v>
      </c>
      <c r="L698" s="421" t="s">
        <v>3094</v>
      </c>
      <c r="M698" s="421" t="s">
        <v>2667</v>
      </c>
      <c r="N698" s="421" t="s">
        <v>3093</v>
      </c>
      <c r="O698" s="421" t="s">
        <v>3094</v>
      </c>
      <c r="P698" s="421" t="s">
        <v>3095</v>
      </c>
      <c r="Q698" s="421" t="s">
        <v>3096</v>
      </c>
      <c r="R698" s="421" t="s">
        <v>1108</v>
      </c>
      <c r="S698" s="421" t="s">
        <v>1542</v>
      </c>
      <c r="T698" s="421" t="s">
        <v>1130</v>
      </c>
      <c r="U698" s="421" t="s">
        <v>1112</v>
      </c>
      <c r="V698" s="421" t="s">
        <v>3097</v>
      </c>
      <c r="W698" s="421" t="s">
        <v>3098</v>
      </c>
      <c r="X698" s="421" t="s">
        <v>3099</v>
      </c>
      <c r="Y698" s="421" t="s">
        <v>1117</v>
      </c>
      <c r="Z698" s="421" t="s">
        <v>1118</v>
      </c>
      <c r="AA698" s="421" t="s">
        <v>3100</v>
      </c>
      <c r="AB698" s="421" t="s">
        <v>3101</v>
      </c>
      <c r="AC698" s="421" t="s">
        <v>3102</v>
      </c>
      <c r="AD698" s="421" t="s">
        <v>3170</v>
      </c>
      <c r="AE698" s="421" t="s">
        <v>3171</v>
      </c>
      <c r="AF698" s="421" t="s">
        <v>2236</v>
      </c>
      <c r="AG698" s="421" t="s">
        <v>2237</v>
      </c>
      <c r="AH698" s="421" t="s">
        <v>3105</v>
      </c>
      <c r="AI698" s="421">
        <v>1115000</v>
      </c>
      <c r="AJ698" s="421">
        <v>2727.08</v>
      </c>
      <c r="AK698" s="421">
        <v>2950.23</v>
      </c>
      <c r="AL698" s="421">
        <v>1</v>
      </c>
      <c r="AM698" s="421" t="s">
        <v>2429</v>
      </c>
      <c r="AN698" s="421" t="s">
        <v>3172</v>
      </c>
      <c r="AO698" s="421" t="s">
        <v>1121</v>
      </c>
      <c r="AP698" s="421" t="s">
        <v>1121</v>
      </c>
      <c r="AQ698" s="421" t="s">
        <v>1542</v>
      </c>
      <c r="AR698" s="421" t="s">
        <v>3994</v>
      </c>
      <c r="AS698" s="421" t="s">
        <v>4048</v>
      </c>
      <c r="AT698" s="421" t="s">
        <v>3109</v>
      </c>
      <c r="AU698" s="421" t="s">
        <v>1142</v>
      </c>
      <c r="AV698" s="421" t="s">
        <v>2520</v>
      </c>
      <c r="AW698" s="421" t="s">
        <v>3110</v>
      </c>
      <c r="AX698" s="421" t="s">
        <v>3111</v>
      </c>
      <c r="AY698" s="421" t="s">
        <v>3112</v>
      </c>
      <c r="AZ698" s="421" t="s">
        <v>3113</v>
      </c>
      <c r="BA698" s="421" t="s">
        <v>3114</v>
      </c>
      <c r="BB698" s="421" t="s">
        <v>3115</v>
      </c>
      <c r="BC698" s="421">
        <v>34624.6</v>
      </c>
      <c r="BD698" s="421">
        <v>109248230.41</v>
      </c>
      <c r="BE698" s="421">
        <v>0</v>
      </c>
      <c r="BF698" s="421">
        <v>438.34</v>
      </c>
      <c r="BG698" s="421">
        <v>87.66</v>
      </c>
      <c r="BH698" s="421">
        <v>0</v>
      </c>
      <c r="BI698" s="421" t="s">
        <v>1331</v>
      </c>
    </row>
    <row r="699" spans="1:61" x14ac:dyDescent="0.25">
      <c r="A699" s="421">
        <v>696</v>
      </c>
      <c r="B699" s="421">
        <v>2015</v>
      </c>
      <c r="C699" s="421">
        <v>12</v>
      </c>
      <c r="D699" s="421">
        <v>30</v>
      </c>
      <c r="E699" s="421" t="s">
        <v>1475</v>
      </c>
      <c r="F699" s="421" t="s">
        <v>3284</v>
      </c>
      <c r="G699" s="421" t="s">
        <v>3524</v>
      </c>
      <c r="H699" s="421" t="s">
        <v>1107</v>
      </c>
      <c r="I699" s="421" t="s">
        <v>3050</v>
      </c>
      <c r="J699" s="421" t="s">
        <v>4047</v>
      </c>
      <c r="K699" s="421" t="s">
        <v>3093</v>
      </c>
      <c r="L699" s="421" t="s">
        <v>3094</v>
      </c>
      <c r="M699" s="421" t="s">
        <v>2667</v>
      </c>
      <c r="N699" s="421" t="s">
        <v>3093</v>
      </c>
      <c r="O699" s="421" t="s">
        <v>3094</v>
      </c>
      <c r="P699" s="421" t="s">
        <v>3095</v>
      </c>
      <c r="Q699" s="421" t="s">
        <v>3096</v>
      </c>
      <c r="R699" s="421" t="s">
        <v>1108</v>
      </c>
      <c r="S699" s="421" t="s">
        <v>1542</v>
      </c>
      <c r="T699" s="421" t="s">
        <v>1130</v>
      </c>
      <c r="U699" s="421" t="s">
        <v>1112</v>
      </c>
      <c r="V699" s="421" t="s">
        <v>3097</v>
      </c>
      <c r="W699" s="421" t="s">
        <v>3098</v>
      </c>
      <c r="X699" s="421" t="s">
        <v>3099</v>
      </c>
      <c r="Y699" s="421" t="s">
        <v>1117</v>
      </c>
      <c r="Z699" s="421" t="s">
        <v>1118</v>
      </c>
      <c r="AA699" s="421" t="s">
        <v>3100</v>
      </c>
      <c r="AB699" s="421" t="s">
        <v>3101</v>
      </c>
      <c r="AC699" s="421" t="s">
        <v>3102</v>
      </c>
      <c r="AD699" s="421" t="s">
        <v>3170</v>
      </c>
      <c r="AE699" s="421" t="s">
        <v>3171</v>
      </c>
      <c r="AF699" s="421" t="s">
        <v>2236</v>
      </c>
      <c r="AG699" s="421" t="s">
        <v>2237</v>
      </c>
      <c r="AH699" s="421" t="s">
        <v>3105</v>
      </c>
      <c r="AI699" s="421">
        <v>241500</v>
      </c>
      <c r="AJ699" s="421">
        <v>693.88</v>
      </c>
      <c r="AK699" s="421">
        <v>750.66</v>
      </c>
      <c r="AL699" s="421">
        <v>2</v>
      </c>
      <c r="AM699" s="421" t="s">
        <v>2429</v>
      </c>
      <c r="AN699" s="421" t="s">
        <v>3172</v>
      </c>
      <c r="AO699" s="421" t="s">
        <v>1121</v>
      </c>
      <c r="AP699" s="421" t="s">
        <v>1121</v>
      </c>
      <c r="AQ699" s="421" t="s">
        <v>1542</v>
      </c>
      <c r="AR699" s="421" t="s">
        <v>3994</v>
      </c>
      <c r="AS699" s="421" t="s">
        <v>4048</v>
      </c>
      <c r="AT699" s="421" t="s">
        <v>3109</v>
      </c>
      <c r="AU699" s="421" t="s">
        <v>1142</v>
      </c>
      <c r="AV699" s="421" t="s">
        <v>2520</v>
      </c>
      <c r="AW699" s="421" t="s">
        <v>3110</v>
      </c>
      <c r="AX699" s="421" t="s">
        <v>3111</v>
      </c>
      <c r="AY699" s="421" t="s">
        <v>3112</v>
      </c>
      <c r="AZ699" s="421" t="s">
        <v>3113</v>
      </c>
      <c r="BA699" s="421" t="s">
        <v>3114</v>
      </c>
      <c r="BB699" s="421" t="s">
        <v>3115</v>
      </c>
      <c r="BC699" s="421">
        <v>8857.7999999999993</v>
      </c>
      <c r="BD699" s="421">
        <v>27948307.710000001</v>
      </c>
      <c r="BE699" s="421">
        <v>0</v>
      </c>
      <c r="BF699" s="421">
        <v>112.14</v>
      </c>
      <c r="BG699" s="421">
        <v>22.43</v>
      </c>
      <c r="BH699" s="421">
        <v>0</v>
      </c>
      <c r="BI699" s="421" t="s">
        <v>1331</v>
      </c>
    </row>
    <row r="700" spans="1:61" x14ac:dyDescent="0.25">
      <c r="A700" s="421">
        <v>697</v>
      </c>
      <c r="B700" s="421">
        <v>2015</v>
      </c>
      <c r="C700" s="421">
        <v>12</v>
      </c>
      <c r="D700" s="421">
        <v>30</v>
      </c>
      <c r="E700" s="421" t="s">
        <v>1475</v>
      </c>
      <c r="F700" s="421" t="s">
        <v>3284</v>
      </c>
      <c r="G700" s="421" t="s">
        <v>3524</v>
      </c>
      <c r="H700" s="421" t="s">
        <v>1107</v>
      </c>
      <c r="I700" s="421" t="s">
        <v>3050</v>
      </c>
      <c r="J700" s="421" t="s">
        <v>4047</v>
      </c>
      <c r="K700" s="421" t="s">
        <v>3093</v>
      </c>
      <c r="L700" s="421" t="s">
        <v>3094</v>
      </c>
      <c r="M700" s="421" t="s">
        <v>2667</v>
      </c>
      <c r="N700" s="421" t="s">
        <v>3093</v>
      </c>
      <c r="O700" s="421" t="s">
        <v>3094</v>
      </c>
      <c r="P700" s="421" t="s">
        <v>3095</v>
      </c>
      <c r="Q700" s="421" t="s">
        <v>3096</v>
      </c>
      <c r="R700" s="421" t="s">
        <v>1108</v>
      </c>
      <c r="S700" s="421" t="s">
        <v>1542</v>
      </c>
      <c r="T700" s="421" t="s">
        <v>1130</v>
      </c>
      <c r="U700" s="421" t="s">
        <v>1112</v>
      </c>
      <c r="V700" s="421" t="s">
        <v>3097</v>
      </c>
      <c r="W700" s="421" t="s">
        <v>3098</v>
      </c>
      <c r="X700" s="421" t="s">
        <v>3099</v>
      </c>
      <c r="Y700" s="421" t="s">
        <v>1117</v>
      </c>
      <c r="Z700" s="421" t="s">
        <v>1118</v>
      </c>
      <c r="AA700" s="421" t="s">
        <v>3100</v>
      </c>
      <c r="AB700" s="421" t="s">
        <v>3101</v>
      </c>
      <c r="AC700" s="421" t="s">
        <v>3102</v>
      </c>
      <c r="AD700" s="421" t="s">
        <v>3170</v>
      </c>
      <c r="AE700" s="421" t="s">
        <v>3171</v>
      </c>
      <c r="AF700" s="421" t="s">
        <v>2236</v>
      </c>
      <c r="AG700" s="421" t="s">
        <v>2237</v>
      </c>
      <c r="AH700" s="421" t="s">
        <v>3105</v>
      </c>
      <c r="AI700" s="421">
        <v>58000</v>
      </c>
      <c r="AJ700" s="421">
        <v>214.02</v>
      </c>
      <c r="AK700" s="421">
        <v>231.53</v>
      </c>
      <c r="AL700" s="421">
        <v>3</v>
      </c>
      <c r="AM700" s="421" t="s">
        <v>2429</v>
      </c>
      <c r="AN700" s="421" t="s">
        <v>3172</v>
      </c>
      <c r="AO700" s="421" t="s">
        <v>1121</v>
      </c>
      <c r="AP700" s="421" t="s">
        <v>1121</v>
      </c>
      <c r="AQ700" s="421" t="s">
        <v>1542</v>
      </c>
      <c r="AR700" s="421" t="s">
        <v>3994</v>
      </c>
      <c r="AS700" s="421" t="s">
        <v>4048</v>
      </c>
      <c r="AT700" s="421" t="s">
        <v>3109</v>
      </c>
      <c r="AU700" s="421" t="s">
        <v>1142</v>
      </c>
      <c r="AV700" s="421" t="s">
        <v>2520</v>
      </c>
      <c r="AW700" s="421" t="s">
        <v>3110</v>
      </c>
      <c r="AX700" s="421" t="s">
        <v>3111</v>
      </c>
      <c r="AY700" s="421" t="s">
        <v>3112</v>
      </c>
      <c r="AZ700" s="421" t="s">
        <v>3113</v>
      </c>
      <c r="BA700" s="421" t="s">
        <v>3114</v>
      </c>
      <c r="BB700" s="421" t="s">
        <v>3115</v>
      </c>
      <c r="BC700" s="421">
        <v>4532</v>
      </c>
      <c r="BD700" s="421">
        <v>14299457.039999999</v>
      </c>
      <c r="BE700" s="421">
        <v>0</v>
      </c>
      <c r="BF700" s="421">
        <v>57.37</v>
      </c>
      <c r="BG700" s="421">
        <v>11.47</v>
      </c>
      <c r="BH700" s="421">
        <v>0</v>
      </c>
      <c r="BI700" s="421" t="s">
        <v>1331</v>
      </c>
    </row>
    <row r="701" spans="1:61" x14ac:dyDescent="0.25">
      <c r="A701" s="421">
        <v>698</v>
      </c>
      <c r="B701" s="421">
        <v>2015</v>
      </c>
      <c r="C701" s="421">
        <v>12</v>
      </c>
      <c r="D701" s="421">
        <v>30</v>
      </c>
      <c r="E701" s="421" t="s">
        <v>1475</v>
      </c>
      <c r="F701" s="421" t="s">
        <v>3284</v>
      </c>
      <c r="G701" s="421" t="s">
        <v>3524</v>
      </c>
      <c r="H701" s="421" t="s">
        <v>1107</v>
      </c>
      <c r="I701" s="421" t="s">
        <v>3050</v>
      </c>
      <c r="J701" s="421" t="s">
        <v>4047</v>
      </c>
      <c r="K701" s="421" t="s">
        <v>3093</v>
      </c>
      <c r="L701" s="421" t="s">
        <v>3094</v>
      </c>
      <c r="M701" s="421" t="s">
        <v>2667</v>
      </c>
      <c r="N701" s="421" t="s">
        <v>3093</v>
      </c>
      <c r="O701" s="421" t="s">
        <v>3094</v>
      </c>
      <c r="P701" s="421" t="s">
        <v>3095</v>
      </c>
      <c r="Q701" s="421" t="s">
        <v>3096</v>
      </c>
      <c r="R701" s="421" t="s">
        <v>1108</v>
      </c>
      <c r="S701" s="421" t="s">
        <v>1542</v>
      </c>
      <c r="T701" s="421" t="s">
        <v>1130</v>
      </c>
      <c r="U701" s="421" t="s">
        <v>1112</v>
      </c>
      <c r="V701" s="421" t="s">
        <v>3097</v>
      </c>
      <c r="W701" s="421" t="s">
        <v>3098</v>
      </c>
      <c r="X701" s="421" t="s">
        <v>3099</v>
      </c>
      <c r="Y701" s="421" t="s">
        <v>1117</v>
      </c>
      <c r="Z701" s="421" t="s">
        <v>1118</v>
      </c>
      <c r="AA701" s="421" t="s">
        <v>3100</v>
      </c>
      <c r="AB701" s="421" t="s">
        <v>3101</v>
      </c>
      <c r="AC701" s="421" t="s">
        <v>3102</v>
      </c>
      <c r="AD701" s="421" t="s">
        <v>3170</v>
      </c>
      <c r="AE701" s="421" t="s">
        <v>3171</v>
      </c>
      <c r="AF701" s="421" t="s">
        <v>2236</v>
      </c>
      <c r="AG701" s="421" t="s">
        <v>2237</v>
      </c>
      <c r="AH701" s="421" t="s">
        <v>3105</v>
      </c>
      <c r="AI701" s="421">
        <v>12000</v>
      </c>
      <c r="AJ701" s="421">
        <v>47.28</v>
      </c>
      <c r="AK701" s="421">
        <v>51.14</v>
      </c>
      <c r="AL701" s="421">
        <v>4</v>
      </c>
      <c r="AM701" s="421" t="s">
        <v>2429</v>
      </c>
      <c r="AN701" s="421" t="s">
        <v>3172</v>
      </c>
      <c r="AO701" s="421" t="s">
        <v>1121</v>
      </c>
      <c r="AP701" s="421" t="s">
        <v>1121</v>
      </c>
      <c r="AQ701" s="421" t="s">
        <v>1542</v>
      </c>
      <c r="AR701" s="421" t="s">
        <v>3994</v>
      </c>
      <c r="AS701" s="421" t="s">
        <v>4048</v>
      </c>
      <c r="AT701" s="421" t="s">
        <v>3109</v>
      </c>
      <c r="AU701" s="421" t="s">
        <v>1142</v>
      </c>
      <c r="AV701" s="421" t="s">
        <v>2520</v>
      </c>
      <c r="AW701" s="421" t="s">
        <v>3110</v>
      </c>
      <c r="AX701" s="421" t="s">
        <v>3111</v>
      </c>
      <c r="AY701" s="421" t="s">
        <v>3112</v>
      </c>
      <c r="AZ701" s="421" t="s">
        <v>3113</v>
      </c>
      <c r="BA701" s="421" t="s">
        <v>3114</v>
      </c>
      <c r="BB701" s="421" t="s">
        <v>3115</v>
      </c>
      <c r="BC701" s="421">
        <v>960</v>
      </c>
      <c r="BD701" s="421">
        <v>3029011.2</v>
      </c>
      <c r="BE701" s="421">
        <v>0</v>
      </c>
      <c r="BF701" s="421">
        <v>12.15</v>
      </c>
      <c r="BG701" s="421">
        <v>2.4300000000000002</v>
      </c>
      <c r="BH701" s="421">
        <v>0</v>
      </c>
      <c r="BI701" s="421" t="s">
        <v>1331</v>
      </c>
    </row>
    <row r="702" spans="1:61" x14ac:dyDescent="0.25">
      <c r="A702" s="421">
        <v>699</v>
      </c>
      <c r="B702" s="421">
        <v>2015</v>
      </c>
      <c r="C702" s="421">
        <v>12</v>
      </c>
      <c r="D702" s="421">
        <v>30</v>
      </c>
      <c r="E702" s="421" t="s">
        <v>1475</v>
      </c>
      <c r="F702" s="421" t="s">
        <v>3284</v>
      </c>
      <c r="G702" s="421" t="s">
        <v>3524</v>
      </c>
      <c r="H702" s="421" t="s">
        <v>1107</v>
      </c>
      <c r="I702" s="421" t="s">
        <v>3050</v>
      </c>
      <c r="J702" s="421" t="s">
        <v>4049</v>
      </c>
      <c r="K702" s="421" t="s">
        <v>3093</v>
      </c>
      <c r="L702" s="421" t="s">
        <v>3094</v>
      </c>
      <c r="M702" s="421" t="s">
        <v>2667</v>
      </c>
      <c r="N702" s="421" t="s">
        <v>3093</v>
      </c>
      <c r="O702" s="421" t="s">
        <v>3094</v>
      </c>
      <c r="P702" s="421" t="s">
        <v>3095</v>
      </c>
      <c r="Q702" s="421" t="s">
        <v>3096</v>
      </c>
      <c r="R702" s="421" t="s">
        <v>1108</v>
      </c>
      <c r="S702" s="421" t="s">
        <v>1542</v>
      </c>
      <c r="T702" s="421" t="s">
        <v>1130</v>
      </c>
      <c r="U702" s="421" t="s">
        <v>1112</v>
      </c>
      <c r="V702" s="421" t="s">
        <v>3097</v>
      </c>
      <c r="W702" s="421" t="s">
        <v>3098</v>
      </c>
      <c r="X702" s="421" t="s">
        <v>3099</v>
      </c>
      <c r="Y702" s="421" t="s">
        <v>1117</v>
      </c>
      <c r="Z702" s="421" t="s">
        <v>1118</v>
      </c>
      <c r="AA702" s="421" t="s">
        <v>3100</v>
      </c>
      <c r="AB702" s="421" t="s">
        <v>3101</v>
      </c>
      <c r="AC702" s="421" t="s">
        <v>3102</v>
      </c>
      <c r="AD702" s="421" t="s">
        <v>3170</v>
      </c>
      <c r="AE702" s="421" t="s">
        <v>3171</v>
      </c>
      <c r="AF702" s="421" t="s">
        <v>1471</v>
      </c>
      <c r="AG702" s="421" t="s">
        <v>1472</v>
      </c>
      <c r="AH702" s="421" t="s">
        <v>3105</v>
      </c>
      <c r="AI702" s="421">
        <v>720</v>
      </c>
      <c r="AJ702" s="421">
        <v>19.54</v>
      </c>
      <c r="AK702" s="421">
        <v>20.76</v>
      </c>
      <c r="AL702" s="421">
        <v>1</v>
      </c>
      <c r="AM702" s="421" t="s">
        <v>2429</v>
      </c>
      <c r="AN702" s="421" t="s">
        <v>3172</v>
      </c>
      <c r="AO702" s="421" t="s">
        <v>1121</v>
      </c>
      <c r="AP702" s="421" t="s">
        <v>1121</v>
      </c>
      <c r="AQ702" s="421" t="s">
        <v>1542</v>
      </c>
      <c r="AR702" s="421" t="s">
        <v>3994</v>
      </c>
      <c r="AS702" s="421" t="s">
        <v>4050</v>
      </c>
      <c r="AT702" s="421" t="s">
        <v>3109</v>
      </c>
      <c r="AU702" s="421" t="s">
        <v>1142</v>
      </c>
      <c r="AV702" s="421" t="s">
        <v>2520</v>
      </c>
      <c r="AW702" s="421" t="s">
        <v>3110</v>
      </c>
      <c r="AX702" s="421" t="s">
        <v>3111</v>
      </c>
      <c r="AY702" s="421" t="s">
        <v>3112</v>
      </c>
      <c r="AZ702" s="421" t="s">
        <v>3113</v>
      </c>
      <c r="BA702" s="421" t="s">
        <v>3114</v>
      </c>
      <c r="BB702" s="421" t="s">
        <v>3115</v>
      </c>
      <c r="BC702" s="421">
        <v>249.12</v>
      </c>
      <c r="BD702" s="421">
        <v>786028.4</v>
      </c>
      <c r="BE702" s="421">
        <v>0</v>
      </c>
      <c r="BF702" s="421">
        <v>50</v>
      </c>
      <c r="BG702" s="421">
        <v>12</v>
      </c>
      <c r="BH702" s="421">
        <v>0</v>
      </c>
      <c r="BI702" s="421" t="s">
        <v>1331</v>
      </c>
    </row>
  </sheetData>
  <autoFilter ref="A3:BI702"/>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E272"/>
  <sheetViews>
    <sheetView workbookViewId="0"/>
  </sheetViews>
  <sheetFormatPr baseColWidth="10" defaultColWidth="21" defaultRowHeight="15" x14ac:dyDescent="0.25"/>
  <cols>
    <col min="1" max="16384" width="21" style="421"/>
  </cols>
  <sheetData>
    <row r="2" spans="1:135" x14ac:dyDescent="0.25">
      <c r="C2" s="422" t="s">
        <v>969</v>
      </c>
      <c r="D2" s="422"/>
    </row>
    <row r="3" spans="1:135" x14ac:dyDescent="0.25">
      <c r="A3" s="423" t="s">
        <v>970</v>
      </c>
      <c r="B3" s="423" t="s">
        <v>971</v>
      </c>
      <c r="C3" s="423" t="s">
        <v>972</v>
      </c>
      <c r="D3" s="423" t="s">
        <v>973</v>
      </c>
      <c r="E3" s="423" t="s">
        <v>974</v>
      </c>
      <c r="F3" s="423" t="s">
        <v>975</v>
      </c>
      <c r="G3" s="423" t="s">
        <v>976</v>
      </c>
      <c r="H3" s="423" t="s">
        <v>977</v>
      </c>
      <c r="I3" s="423" t="s">
        <v>978</v>
      </c>
      <c r="J3" s="423" t="s">
        <v>979</v>
      </c>
      <c r="K3" s="423" t="s">
        <v>980</v>
      </c>
      <c r="L3" s="423" t="s">
        <v>981</v>
      </c>
      <c r="M3" s="423" t="s">
        <v>982</v>
      </c>
      <c r="N3" s="423" t="s">
        <v>983</v>
      </c>
      <c r="O3" s="423" t="s">
        <v>984</v>
      </c>
      <c r="P3" s="423" t="s">
        <v>985</v>
      </c>
      <c r="Q3" s="423" t="s">
        <v>986</v>
      </c>
      <c r="R3" s="423" t="s">
        <v>987</v>
      </c>
      <c r="S3" s="423" t="s">
        <v>988</v>
      </c>
      <c r="T3" s="423" t="s">
        <v>989</v>
      </c>
      <c r="U3" s="423" t="s">
        <v>990</v>
      </c>
      <c r="V3" s="423" t="s">
        <v>991</v>
      </c>
      <c r="W3" s="423" t="s">
        <v>992</v>
      </c>
      <c r="X3" s="423" t="s">
        <v>993</v>
      </c>
      <c r="Y3" s="423" t="s">
        <v>994</v>
      </c>
      <c r="Z3" s="423" t="s">
        <v>995</v>
      </c>
      <c r="AA3" s="423" t="s">
        <v>996</v>
      </c>
      <c r="AB3" s="423" t="s">
        <v>997</v>
      </c>
      <c r="AC3" s="423" t="s">
        <v>998</v>
      </c>
      <c r="AD3" s="423" t="s">
        <v>999</v>
      </c>
      <c r="AE3" s="423" t="s">
        <v>1000</v>
      </c>
      <c r="AF3" s="423" t="s">
        <v>1001</v>
      </c>
      <c r="AG3" s="423" t="s">
        <v>1002</v>
      </c>
      <c r="AH3" s="423" t="s">
        <v>1003</v>
      </c>
      <c r="AI3" s="423" t="s">
        <v>1004</v>
      </c>
      <c r="AJ3" s="423" t="s">
        <v>1005</v>
      </c>
      <c r="AK3" s="423" t="s">
        <v>1006</v>
      </c>
      <c r="AL3" s="423" t="s">
        <v>1007</v>
      </c>
      <c r="AM3" s="423" t="s">
        <v>1008</v>
      </c>
      <c r="AN3" s="423" t="s">
        <v>1009</v>
      </c>
      <c r="AO3" s="423" t="s">
        <v>1010</v>
      </c>
      <c r="AP3" s="423" t="s">
        <v>1011</v>
      </c>
      <c r="AQ3" s="423" t="s">
        <v>1012</v>
      </c>
      <c r="AR3" s="423" t="s">
        <v>1013</v>
      </c>
      <c r="AS3" s="423" t="s">
        <v>1014</v>
      </c>
      <c r="AT3" s="423" t="s">
        <v>1015</v>
      </c>
      <c r="AU3" s="423" t="s">
        <v>1016</v>
      </c>
      <c r="AV3" s="423" t="s">
        <v>1017</v>
      </c>
      <c r="AW3" s="423" t="s">
        <v>1018</v>
      </c>
      <c r="AX3" s="423" t="s">
        <v>1019</v>
      </c>
      <c r="AY3" s="423" t="s">
        <v>1020</v>
      </c>
      <c r="AZ3" s="423" t="s">
        <v>1021</v>
      </c>
      <c r="BA3" s="423" t="s">
        <v>30</v>
      </c>
      <c r="BB3" s="423" t="s">
        <v>1022</v>
      </c>
      <c r="BC3" s="423" t="s">
        <v>1023</v>
      </c>
      <c r="BD3" s="423" t="s">
        <v>1024</v>
      </c>
      <c r="BE3" s="423" t="s">
        <v>1025</v>
      </c>
      <c r="BF3" s="423" t="s">
        <v>1026</v>
      </c>
      <c r="BG3" s="423" t="s">
        <v>1027</v>
      </c>
      <c r="BH3" s="423" t="s">
        <v>1028</v>
      </c>
      <c r="BI3" s="423" t="s">
        <v>1029</v>
      </c>
      <c r="BJ3" s="423" t="s">
        <v>1030</v>
      </c>
      <c r="BK3" s="423" t="s">
        <v>1031</v>
      </c>
      <c r="BL3" s="423" t="s">
        <v>1032</v>
      </c>
      <c r="BM3" s="423" t="s">
        <v>1033</v>
      </c>
      <c r="BN3" s="423" t="s">
        <v>1034</v>
      </c>
      <c r="BO3" s="423" t="s">
        <v>1035</v>
      </c>
      <c r="BP3" s="423" t="s">
        <v>1036</v>
      </c>
      <c r="BQ3" s="423" t="s">
        <v>1037</v>
      </c>
      <c r="BR3" s="423" t="s">
        <v>1038</v>
      </c>
      <c r="BS3" s="423" t="s">
        <v>1039</v>
      </c>
      <c r="BT3" s="423" t="s">
        <v>1040</v>
      </c>
      <c r="BU3" s="423" t="s">
        <v>1041</v>
      </c>
      <c r="BV3" s="423" t="s">
        <v>1042</v>
      </c>
      <c r="BW3" s="423" t="s">
        <v>1043</v>
      </c>
      <c r="BX3" s="423" t="s">
        <v>1044</v>
      </c>
      <c r="BY3" s="423" t="s">
        <v>1045</v>
      </c>
      <c r="BZ3" s="423" t="s">
        <v>1046</v>
      </c>
      <c r="CA3" s="423" t="s">
        <v>1047</v>
      </c>
      <c r="CB3" s="423" t="s">
        <v>1048</v>
      </c>
      <c r="CC3" s="423" t="s">
        <v>1049</v>
      </c>
      <c r="CD3" s="423" t="s">
        <v>1050</v>
      </c>
      <c r="CE3" s="423" t="s">
        <v>1051</v>
      </c>
      <c r="CF3" s="423" t="s">
        <v>1052</v>
      </c>
      <c r="CG3" s="423" t="s">
        <v>1053</v>
      </c>
      <c r="CH3" s="423" t="s">
        <v>1054</v>
      </c>
      <c r="CI3" s="423" t="s">
        <v>1055</v>
      </c>
      <c r="CJ3" s="423" t="s">
        <v>1056</v>
      </c>
      <c r="CK3" s="423" t="s">
        <v>1057</v>
      </c>
      <c r="CL3" s="423" t="s">
        <v>1058</v>
      </c>
      <c r="CM3" s="423" t="s">
        <v>1059</v>
      </c>
      <c r="CN3" s="423" t="s">
        <v>1060</v>
      </c>
      <c r="CO3" s="423" t="s">
        <v>1061</v>
      </c>
      <c r="CP3" s="423" t="s">
        <v>1062</v>
      </c>
      <c r="CQ3" s="423" t="s">
        <v>1063</v>
      </c>
      <c r="CR3" s="423" t="s">
        <v>1064</v>
      </c>
      <c r="CS3" s="423" t="s">
        <v>1065</v>
      </c>
      <c r="CT3" s="423" t="s">
        <v>1066</v>
      </c>
      <c r="CU3" s="423" t="s">
        <v>1067</v>
      </c>
      <c r="CV3" s="423" t="s">
        <v>1068</v>
      </c>
      <c r="CW3" s="423" t="s">
        <v>1069</v>
      </c>
      <c r="CX3" s="423" t="s">
        <v>1070</v>
      </c>
      <c r="CY3" s="423" t="s">
        <v>1071</v>
      </c>
      <c r="CZ3" s="423" t="s">
        <v>1072</v>
      </c>
      <c r="DA3" s="423" t="s">
        <v>1073</v>
      </c>
      <c r="DB3" s="423" t="s">
        <v>1074</v>
      </c>
      <c r="DC3" s="423" t="s">
        <v>1075</v>
      </c>
      <c r="DD3" s="423" t="s">
        <v>1076</v>
      </c>
      <c r="DE3" s="423" t="s">
        <v>1077</v>
      </c>
      <c r="DF3" s="423" t="s">
        <v>1078</v>
      </c>
      <c r="DG3" s="423" t="s">
        <v>1079</v>
      </c>
      <c r="DH3" s="423" t="s">
        <v>1080</v>
      </c>
      <c r="DI3" s="423" t="s">
        <v>1081</v>
      </c>
      <c r="DJ3" s="423" t="s">
        <v>1082</v>
      </c>
      <c r="DK3" s="423" t="s">
        <v>1083</v>
      </c>
      <c r="DL3" s="423" t="s">
        <v>1084</v>
      </c>
      <c r="DM3" s="423" t="s">
        <v>1085</v>
      </c>
      <c r="DN3" s="423" t="s">
        <v>1086</v>
      </c>
      <c r="DO3" s="423" t="s">
        <v>1087</v>
      </c>
      <c r="DP3" s="423" t="s">
        <v>1088</v>
      </c>
      <c r="DQ3" s="423" t="s">
        <v>1089</v>
      </c>
      <c r="DR3" s="423" t="s">
        <v>1090</v>
      </c>
      <c r="DS3" s="423" t="s">
        <v>1091</v>
      </c>
      <c r="DT3" s="423" t="s">
        <v>1092</v>
      </c>
      <c r="DU3" s="423" t="s">
        <v>1093</v>
      </c>
      <c r="DV3" s="423" t="s">
        <v>1094</v>
      </c>
      <c r="DW3" s="423" t="s">
        <v>1095</v>
      </c>
      <c r="DX3" s="423" t="s">
        <v>1096</v>
      </c>
      <c r="DY3" s="423" t="s">
        <v>1097</v>
      </c>
      <c r="DZ3" s="423" t="s">
        <v>1098</v>
      </c>
      <c r="EA3" s="423" t="s">
        <v>1099</v>
      </c>
      <c r="EB3" s="423" t="s">
        <v>1100</v>
      </c>
      <c r="EC3" s="423" t="s">
        <v>1101</v>
      </c>
      <c r="ED3" s="423" t="s">
        <v>1102</v>
      </c>
      <c r="EE3" s="423" t="s">
        <v>1103</v>
      </c>
    </row>
    <row r="4" spans="1:135" x14ac:dyDescent="0.25">
      <c r="A4" s="421">
        <v>1</v>
      </c>
      <c r="B4" s="421">
        <v>2015</v>
      </c>
      <c r="C4" s="421">
        <v>1</v>
      </c>
      <c r="D4" s="421">
        <v>6</v>
      </c>
      <c r="E4" s="424">
        <v>42010</v>
      </c>
      <c r="F4" s="421" t="s">
        <v>1104</v>
      </c>
      <c r="G4" s="421" t="s">
        <v>1105</v>
      </c>
      <c r="H4" s="421" t="s">
        <v>1106</v>
      </c>
      <c r="I4" s="421" t="s">
        <v>1107</v>
      </c>
      <c r="J4" s="421" t="s">
        <v>1108</v>
      </c>
      <c r="K4" s="421" t="s">
        <v>1109</v>
      </c>
      <c r="L4" s="421" t="s">
        <v>1110</v>
      </c>
      <c r="O4" s="421" t="s">
        <v>1111</v>
      </c>
      <c r="R4" s="421" t="s">
        <v>1111</v>
      </c>
      <c r="S4" s="421" t="s">
        <v>1112</v>
      </c>
      <c r="T4" s="421" t="s">
        <v>1113</v>
      </c>
      <c r="U4" s="421" t="s">
        <v>1114</v>
      </c>
      <c r="V4" s="421" t="s">
        <v>1115</v>
      </c>
      <c r="W4" s="421" t="s">
        <v>1116</v>
      </c>
      <c r="X4" s="421" t="s">
        <v>1117</v>
      </c>
      <c r="Y4" s="421" t="s">
        <v>1118</v>
      </c>
      <c r="Z4" s="421" t="s">
        <v>1119</v>
      </c>
      <c r="AA4" s="421" t="s">
        <v>1120</v>
      </c>
      <c r="AB4" s="421" t="s">
        <v>1121</v>
      </c>
      <c r="AC4" s="421" t="s">
        <v>1122</v>
      </c>
      <c r="AD4" s="421" t="s">
        <v>1123</v>
      </c>
      <c r="AE4" s="421" t="s">
        <v>1124</v>
      </c>
      <c r="AF4" s="421" t="s">
        <v>1125</v>
      </c>
      <c r="AG4" s="421" t="s">
        <v>1126</v>
      </c>
      <c r="AH4" s="421">
        <v>6804</v>
      </c>
      <c r="AI4" s="421" t="s">
        <v>1127</v>
      </c>
      <c r="AJ4" s="421">
        <v>378</v>
      </c>
      <c r="AK4" s="421">
        <v>1</v>
      </c>
      <c r="AL4" s="421" t="s">
        <v>1128</v>
      </c>
      <c r="AM4" s="421">
        <v>6804</v>
      </c>
      <c r="AN4" s="421">
        <v>6917.4</v>
      </c>
      <c r="AO4" s="421" t="s">
        <v>1120</v>
      </c>
      <c r="AP4" s="421" t="s">
        <v>1129</v>
      </c>
      <c r="AR4" s="421" t="s">
        <v>1130</v>
      </c>
      <c r="AT4" s="421" t="s">
        <v>1131</v>
      </c>
      <c r="AU4" s="421" t="s">
        <v>1132</v>
      </c>
      <c r="AV4" s="421" t="s">
        <v>1133</v>
      </c>
      <c r="AW4" s="421" t="s">
        <v>1134</v>
      </c>
      <c r="AX4" s="421" t="s">
        <v>1134</v>
      </c>
      <c r="AY4" s="421" t="s">
        <v>1134</v>
      </c>
      <c r="AZ4" s="421" t="s">
        <v>1121</v>
      </c>
      <c r="BA4" s="421" t="s">
        <v>1135</v>
      </c>
      <c r="BB4" s="421" t="s">
        <v>1134</v>
      </c>
      <c r="BC4" s="421" t="s">
        <v>1136</v>
      </c>
      <c r="BD4" s="421" t="s">
        <v>1137</v>
      </c>
      <c r="BE4" s="421" t="s">
        <v>1138</v>
      </c>
      <c r="BF4" s="421" t="s">
        <v>1139</v>
      </c>
      <c r="BG4" s="421" t="s">
        <v>1140</v>
      </c>
      <c r="BH4" s="421" t="s">
        <v>1141</v>
      </c>
      <c r="BI4" s="421" t="s">
        <v>1142</v>
      </c>
      <c r="BJ4" s="421" t="s">
        <v>1143</v>
      </c>
      <c r="BK4" s="421" t="s">
        <v>1105</v>
      </c>
      <c r="BL4" s="421" t="s">
        <v>1144</v>
      </c>
      <c r="BM4" s="421" t="s">
        <v>1145</v>
      </c>
      <c r="BN4" s="421" t="s">
        <v>1146</v>
      </c>
      <c r="BO4" s="421">
        <v>0</v>
      </c>
      <c r="BR4" s="421">
        <v>0</v>
      </c>
      <c r="BS4" s="421">
        <v>0</v>
      </c>
      <c r="BT4" s="421">
        <v>0</v>
      </c>
      <c r="BU4" s="424">
        <v>42003</v>
      </c>
      <c r="BX4" s="421">
        <v>2392.46</v>
      </c>
      <c r="BY4" s="421" t="s">
        <v>1147</v>
      </c>
      <c r="BZ4" s="421">
        <v>13478.05</v>
      </c>
      <c r="CA4" s="421">
        <v>32245695.502999999</v>
      </c>
      <c r="CB4" s="421">
        <v>5.39</v>
      </c>
      <c r="CC4" s="421">
        <v>0</v>
      </c>
      <c r="CD4" s="421">
        <v>1300</v>
      </c>
      <c r="CE4" s="421">
        <v>1305.3900000000001</v>
      </c>
      <c r="CF4" s="421">
        <v>0</v>
      </c>
      <c r="CG4" s="421">
        <v>14783.44</v>
      </c>
      <c r="CH4" s="421">
        <v>0</v>
      </c>
      <c r="CI4" s="421">
        <v>14783.44</v>
      </c>
      <c r="CJ4" s="421">
        <v>35368788.862400003</v>
      </c>
      <c r="CK4" s="421">
        <v>0</v>
      </c>
      <c r="CL4" s="421">
        <v>35368789</v>
      </c>
      <c r="CM4" s="421">
        <v>0</v>
      </c>
      <c r="CN4" s="421">
        <v>0</v>
      </c>
      <c r="CO4" s="421">
        <v>0</v>
      </c>
      <c r="CP4" s="421">
        <v>0</v>
      </c>
      <c r="CQ4" s="421">
        <v>16</v>
      </c>
      <c r="CR4" s="421">
        <v>35368789</v>
      </c>
      <c r="CS4" s="421">
        <v>5659000</v>
      </c>
      <c r="CT4" s="421">
        <v>5659000</v>
      </c>
      <c r="CU4" s="421">
        <v>0</v>
      </c>
      <c r="CV4" s="421">
        <v>0</v>
      </c>
      <c r="CW4" s="421">
        <v>0</v>
      </c>
      <c r="CX4" s="421">
        <v>0</v>
      </c>
      <c r="CY4" s="421">
        <v>0</v>
      </c>
      <c r="CZ4" s="421">
        <v>0</v>
      </c>
      <c r="DA4" s="421">
        <v>0</v>
      </c>
      <c r="DB4" s="421">
        <v>0</v>
      </c>
      <c r="DC4" s="421">
        <v>0</v>
      </c>
      <c r="DD4" s="421">
        <v>0</v>
      </c>
      <c r="DE4" s="421">
        <v>0</v>
      </c>
      <c r="DF4" s="421">
        <v>0</v>
      </c>
      <c r="DG4" s="421">
        <v>0</v>
      </c>
      <c r="DH4" s="421">
        <v>0</v>
      </c>
      <c r="DI4" s="421">
        <v>0</v>
      </c>
      <c r="DJ4" s="421">
        <v>0</v>
      </c>
      <c r="DK4" s="421">
        <v>0</v>
      </c>
      <c r="DL4" s="421">
        <v>0</v>
      </c>
      <c r="DM4" s="421">
        <v>0</v>
      </c>
      <c r="DN4" s="421">
        <v>0</v>
      </c>
      <c r="DO4" s="421">
        <v>0</v>
      </c>
      <c r="DP4" s="421">
        <v>0</v>
      </c>
      <c r="DQ4" s="421">
        <v>0</v>
      </c>
      <c r="DR4" s="421">
        <v>0</v>
      </c>
      <c r="DS4" s="421">
        <v>0</v>
      </c>
      <c r="DT4" s="421">
        <v>0</v>
      </c>
      <c r="DU4" s="421">
        <v>0</v>
      </c>
      <c r="DV4" s="421">
        <v>0</v>
      </c>
      <c r="DW4" s="421">
        <v>0</v>
      </c>
      <c r="DX4" s="421">
        <v>0</v>
      </c>
      <c r="DY4" s="421">
        <v>5659000</v>
      </c>
      <c r="DZ4" s="421">
        <v>5659000</v>
      </c>
      <c r="EA4" s="421">
        <v>0</v>
      </c>
      <c r="EB4" s="421">
        <v>0</v>
      </c>
      <c r="EC4" s="421" t="s">
        <v>1148</v>
      </c>
      <c r="ED4" s="421" t="s">
        <v>1149</v>
      </c>
      <c r="EE4" s="421" t="s">
        <v>1149</v>
      </c>
    </row>
    <row r="5" spans="1:135" x14ac:dyDescent="0.25">
      <c r="A5" s="421">
        <v>2</v>
      </c>
      <c r="B5" s="421">
        <v>2015</v>
      </c>
      <c r="C5" s="421">
        <v>1</v>
      </c>
      <c r="D5" s="421">
        <v>7</v>
      </c>
      <c r="E5" s="424">
        <v>42011</v>
      </c>
      <c r="F5" s="421" t="s">
        <v>1150</v>
      </c>
      <c r="G5" s="421" t="s">
        <v>1151</v>
      </c>
      <c r="H5" s="421" t="s">
        <v>1152</v>
      </c>
      <c r="I5" s="421" t="s">
        <v>1107</v>
      </c>
      <c r="J5" s="421" t="s">
        <v>1108</v>
      </c>
      <c r="K5" s="421" t="s">
        <v>1109</v>
      </c>
      <c r="L5" s="421" t="s">
        <v>1110</v>
      </c>
      <c r="O5" s="421" t="s">
        <v>1111</v>
      </c>
      <c r="R5" s="421" t="s">
        <v>1111</v>
      </c>
      <c r="S5" s="421" t="s">
        <v>1112</v>
      </c>
      <c r="T5" s="421" t="s">
        <v>1113</v>
      </c>
      <c r="U5" s="421" t="s">
        <v>1114</v>
      </c>
      <c r="V5" s="421" t="s">
        <v>1115</v>
      </c>
      <c r="W5" s="421" t="s">
        <v>1116</v>
      </c>
      <c r="X5" s="421" t="s">
        <v>1117</v>
      </c>
      <c r="Y5" s="421" t="s">
        <v>1118</v>
      </c>
      <c r="Z5" s="421" t="s">
        <v>1119</v>
      </c>
      <c r="AA5" s="421" t="s">
        <v>1120</v>
      </c>
      <c r="AB5" s="421" t="s">
        <v>1121</v>
      </c>
      <c r="AC5" s="421" t="s">
        <v>1122</v>
      </c>
      <c r="AD5" s="421" t="s">
        <v>1123</v>
      </c>
      <c r="AE5" s="421" t="s">
        <v>1153</v>
      </c>
      <c r="AF5" s="421" t="s">
        <v>1154</v>
      </c>
      <c r="AG5" s="421" t="s">
        <v>1155</v>
      </c>
      <c r="AH5" s="421">
        <v>20000</v>
      </c>
      <c r="AI5" s="421" t="s">
        <v>1127</v>
      </c>
      <c r="AJ5" s="421">
        <v>800</v>
      </c>
      <c r="AK5" s="421">
        <v>1</v>
      </c>
      <c r="AL5" s="421" t="s">
        <v>1128</v>
      </c>
      <c r="AM5" s="421">
        <v>20000</v>
      </c>
      <c r="AN5" s="421">
        <v>20100</v>
      </c>
      <c r="AO5" s="421" t="s">
        <v>1120</v>
      </c>
      <c r="AP5" s="421" t="s">
        <v>1129</v>
      </c>
      <c r="AR5" s="421" t="s">
        <v>1130</v>
      </c>
      <c r="AT5" s="421" t="s">
        <v>1131</v>
      </c>
      <c r="AU5" s="421" t="s">
        <v>1132</v>
      </c>
      <c r="AV5" s="421" t="s">
        <v>1133</v>
      </c>
      <c r="AW5" s="421" t="s">
        <v>960</v>
      </c>
      <c r="AX5" s="421" t="s">
        <v>960</v>
      </c>
      <c r="AY5" s="421" t="s">
        <v>960</v>
      </c>
      <c r="AZ5" s="421" t="s">
        <v>1121</v>
      </c>
      <c r="BA5" s="421" t="s">
        <v>1156</v>
      </c>
      <c r="BB5" s="421" t="s">
        <v>960</v>
      </c>
      <c r="BC5" s="421" t="s">
        <v>1157</v>
      </c>
      <c r="BD5" s="421" t="s">
        <v>1158</v>
      </c>
      <c r="BE5" s="421" t="s">
        <v>1159</v>
      </c>
      <c r="BF5" s="421" t="s">
        <v>1160</v>
      </c>
      <c r="BG5" s="421" t="s">
        <v>1161</v>
      </c>
      <c r="BH5" s="421" t="s">
        <v>1162</v>
      </c>
      <c r="BI5" s="421" t="s">
        <v>1142</v>
      </c>
      <c r="BJ5" s="421" t="s">
        <v>1163</v>
      </c>
      <c r="BK5" s="421" t="s">
        <v>1151</v>
      </c>
      <c r="BL5" s="421" t="s">
        <v>1144</v>
      </c>
      <c r="BM5" s="421" t="s">
        <v>1164</v>
      </c>
      <c r="BN5" s="421" t="s">
        <v>1165</v>
      </c>
      <c r="BO5" s="421">
        <v>0</v>
      </c>
      <c r="BR5" s="421">
        <v>0</v>
      </c>
      <c r="BS5" s="421">
        <v>0</v>
      </c>
      <c r="BT5" s="421">
        <v>0</v>
      </c>
      <c r="BU5" s="424">
        <v>41977</v>
      </c>
      <c r="BX5" s="421">
        <v>2392.46</v>
      </c>
      <c r="BY5" s="421" t="s">
        <v>1166</v>
      </c>
      <c r="BZ5" s="421">
        <v>44000</v>
      </c>
      <c r="CA5" s="421">
        <v>105268240</v>
      </c>
      <c r="CB5" s="421">
        <v>17.600000000000001</v>
      </c>
      <c r="CC5" s="421">
        <v>0</v>
      </c>
      <c r="CD5" s="421">
        <v>3203</v>
      </c>
      <c r="CE5" s="421">
        <v>3220.6</v>
      </c>
      <c r="CF5" s="421">
        <v>0</v>
      </c>
      <c r="CG5" s="421">
        <v>47220.6</v>
      </c>
      <c r="CH5" s="421">
        <v>0</v>
      </c>
      <c r="CI5" s="421">
        <v>47220.6</v>
      </c>
      <c r="CJ5" s="421">
        <v>112973396.676</v>
      </c>
      <c r="CK5" s="421">
        <v>0</v>
      </c>
      <c r="CL5" s="421">
        <v>112973397</v>
      </c>
      <c r="CM5" s="421">
        <v>0</v>
      </c>
      <c r="CN5" s="421">
        <v>0</v>
      </c>
      <c r="CO5" s="421">
        <v>0</v>
      </c>
      <c r="CP5" s="421">
        <v>0</v>
      </c>
      <c r="CQ5" s="421">
        <v>16</v>
      </c>
      <c r="CR5" s="421">
        <v>112973397</v>
      </c>
      <c r="CS5" s="421">
        <v>18076000</v>
      </c>
      <c r="CT5" s="421">
        <v>18076000</v>
      </c>
      <c r="CU5" s="421">
        <v>0</v>
      </c>
      <c r="CV5" s="421">
        <v>0</v>
      </c>
      <c r="CW5" s="421">
        <v>0</v>
      </c>
      <c r="CX5" s="421">
        <v>0</v>
      </c>
      <c r="CY5" s="421">
        <v>0</v>
      </c>
      <c r="CZ5" s="421">
        <v>0</v>
      </c>
      <c r="DA5" s="421">
        <v>0</v>
      </c>
      <c r="DB5" s="421">
        <v>0</v>
      </c>
      <c r="DC5" s="421">
        <v>0</v>
      </c>
      <c r="DD5" s="421">
        <v>0</v>
      </c>
      <c r="DE5" s="421">
        <v>0</v>
      </c>
      <c r="DF5" s="421">
        <v>0</v>
      </c>
      <c r="DG5" s="421">
        <v>0</v>
      </c>
      <c r="DH5" s="421">
        <v>0</v>
      </c>
      <c r="DI5" s="421">
        <v>0</v>
      </c>
      <c r="DJ5" s="421">
        <v>0</v>
      </c>
      <c r="DK5" s="421">
        <v>0</v>
      </c>
      <c r="DL5" s="421">
        <v>0</v>
      </c>
      <c r="DM5" s="421">
        <v>0</v>
      </c>
      <c r="DN5" s="421">
        <v>0</v>
      </c>
      <c r="DO5" s="421">
        <v>0</v>
      </c>
      <c r="DP5" s="421">
        <v>0</v>
      </c>
      <c r="DQ5" s="421">
        <v>0</v>
      </c>
      <c r="DR5" s="421">
        <v>0</v>
      </c>
      <c r="DS5" s="421">
        <v>0</v>
      </c>
      <c r="DT5" s="421">
        <v>0</v>
      </c>
      <c r="DU5" s="421">
        <v>0</v>
      </c>
      <c r="DV5" s="421">
        <v>0</v>
      </c>
      <c r="DW5" s="421">
        <v>0</v>
      </c>
      <c r="DX5" s="421">
        <v>0</v>
      </c>
      <c r="DY5" s="421">
        <v>18076000</v>
      </c>
      <c r="DZ5" s="421">
        <v>18076000</v>
      </c>
      <c r="EA5" s="421">
        <v>0</v>
      </c>
      <c r="EB5" s="421">
        <v>0</v>
      </c>
      <c r="EC5" s="421" t="s">
        <v>1148</v>
      </c>
      <c r="ED5" s="421" t="s">
        <v>1167</v>
      </c>
      <c r="EE5" s="421" t="s">
        <v>1167</v>
      </c>
    </row>
    <row r="6" spans="1:135" x14ac:dyDescent="0.25">
      <c r="A6" s="421">
        <v>3</v>
      </c>
      <c r="B6" s="421">
        <v>2015</v>
      </c>
      <c r="C6" s="421">
        <v>1</v>
      </c>
      <c r="D6" s="421">
        <v>7</v>
      </c>
      <c r="E6" s="424">
        <v>42011</v>
      </c>
      <c r="F6" s="421" t="s">
        <v>1168</v>
      </c>
      <c r="G6" s="421" t="s">
        <v>1169</v>
      </c>
      <c r="H6" s="421" t="s">
        <v>1106</v>
      </c>
      <c r="I6" s="421" t="s">
        <v>1107</v>
      </c>
      <c r="J6" s="421" t="s">
        <v>1108</v>
      </c>
      <c r="K6" s="421" t="s">
        <v>1109</v>
      </c>
      <c r="L6" s="421" t="s">
        <v>1110</v>
      </c>
      <c r="O6" s="421" t="s">
        <v>1111</v>
      </c>
      <c r="R6" s="421" t="s">
        <v>1111</v>
      </c>
      <c r="S6" s="421" t="s">
        <v>1112</v>
      </c>
      <c r="T6" s="421" t="s">
        <v>1113</v>
      </c>
      <c r="U6" s="421" t="s">
        <v>1114</v>
      </c>
      <c r="V6" s="421" t="s">
        <v>1115</v>
      </c>
      <c r="W6" s="421" t="s">
        <v>1116</v>
      </c>
      <c r="X6" s="421" t="s">
        <v>1117</v>
      </c>
      <c r="Y6" s="421" t="s">
        <v>1118</v>
      </c>
      <c r="Z6" s="421" t="s">
        <v>1119</v>
      </c>
      <c r="AA6" s="421" t="s">
        <v>1120</v>
      </c>
      <c r="AB6" s="421" t="s">
        <v>1121</v>
      </c>
      <c r="AC6" s="421" t="s">
        <v>1122</v>
      </c>
      <c r="AD6" s="421" t="s">
        <v>1123</v>
      </c>
      <c r="AE6" s="421" t="s">
        <v>1170</v>
      </c>
      <c r="AF6" s="421" t="s">
        <v>1171</v>
      </c>
      <c r="AG6" s="421" t="s">
        <v>1172</v>
      </c>
      <c r="AH6" s="421">
        <v>3893.6</v>
      </c>
      <c r="AI6" s="421" t="s">
        <v>1127</v>
      </c>
      <c r="AJ6" s="421">
        <v>393</v>
      </c>
      <c r="AK6" s="421">
        <v>1</v>
      </c>
      <c r="AL6" s="421" t="s">
        <v>1173</v>
      </c>
      <c r="AM6" s="421">
        <v>3893.6</v>
      </c>
      <c r="AN6" s="421">
        <v>4911.2</v>
      </c>
      <c r="AO6" s="421" t="s">
        <v>1120</v>
      </c>
      <c r="AP6" s="421" t="s">
        <v>1129</v>
      </c>
      <c r="AR6" s="421" t="s">
        <v>1130</v>
      </c>
      <c r="AT6" s="421" t="s">
        <v>1131</v>
      </c>
      <c r="AU6" s="421" t="s">
        <v>1132</v>
      </c>
      <c r="AV6" s="421" t="s">
        <v>1133</v>
      </c>
      <c r="AW6" s="421" t="s">
        <v>960</v>
      </c>
      <c r="AX6" s="421" t="s">
        <v>960</v>
      </c>
      <c r="AY6" s="421" t="s">
        <v>960</v>
      </c>
      <c r="AZ6" s="421" t="s">
        <v>1121</v>
      </c>
      <c r="BA6" s="421" t="s">
        <v>1174</v>
      </c>
      <c r="BB6" s="421" t="s">
        <v>960</v>
      </c>
      <c r="BC6" s="421" t="s">
        <v>1175</v>
      </c>
      <c r="BD6" s="421" t="s">
        <v>1176</v>
      </c>
      <c r="BE6" s="421" t="s">
        <v>1177</v>
      </c>
      <c r="BF6" s="421" t="s">
        <v>1178</v>
      </c>
      <c r="BG6" s="421" t="s">
        <v>1140</v>
      </c>
      <c r="BH6" s="421" t="s">
        <v>1179</v>
      </c>
      <c r="BI6" s="421" t="s">
        <v>1142</v>
      </c>
      <c r="BJ6" s="421" t="s">
        <v>1180</v>
      </c>
      <c r="BK6" s="421" t="s">
        <v>1169</v>
      </c>
      <c r="BL6" s="421" t="s">
        <v>1144</v>
      </c>
      <c r="BM6" s="421" t="s">
        <v>1181</v>
      </c>
      <c r="BN6" s="421" t="s">
        <v>1182</v>
      </c>
      <c r="BO6" s="421">
        <v>0</v>
      </c>
      <c r="BR6" s="421">
        <v>0</v>
      </c>
      <c r="BS6" s="421">
        <v>0</v>
      </c>
      <c r="BT6" s="421">
        <v>0</v>
      </c>
      <c r="BU6" s="424">
        <v>41964</v>
      </c>
      <c r="BX6" s="421">
        <v>2392.46</v>
      </c>
      <c r="BY6" s="421" t="s">
        <v>1183</v>
      </c>
      <c r="BZ6" s="421">
        <v>24548.55</v>
      </c>
      <c r="CA6" s="421">
        <v>58731423.932999998</v>
      </c>
      <c r="CB6" s="421">
        <v>9.82</v>
      </c>
      <c r="CC6" s="421">
        <v>0</v>
      </c>
      <c r="CD6" s="421">
        <v>4183.8</v>
      </c>
      <c r="CE6" s="421">
        <v>4193.62</v>
      </c>
      <c r="CF6" s="421">
        <v>0</v>
      </c>
      <c r="CG6" s="421">
        <v>28742.17</v>
      </c>
      <c r="CH6" s="421">
        <v>0</v>
      </c>
      <c r="CI6" s="421">
        <v>28742.17</v>
      </c>
      <c r="CJ6" s="421">
        <v>68764492.038200006</v>
      </c>
      <c r="CK6" s="421">
        <v>15</v>
      </c>
      <c r="CL6" s="421">
        <v>68764492</v>
      </c>
      <c r="CM6" s="421">
        <v>10315000</v>
      </c>
      <c r="CN6" s="421">
        <v>10315000</v>
      </c>
      <c r="CO6" s="421">
        <v>0</v>
      </c>
      <c r="CP6" s="421">
        <v>0</v>
      </c>
      <c r="CQ6" s="421">
        <v>16</v>
      </c>
      <c r="CR6" s="421">
        <v>79079492</v>
      </c>
      <c r="CS6" s="421">
        <v>12653000</v>
      </c>
      <c r="CT6" s="421">
        <v>12653000</v>
      </c>
      <c r="CU6" s="421">
        <v>0</v>
      </c>
      <c r="CV6" s="421">
        <v>0</v>
      </c>
      <c r="CW6" s="421">
        <v>0</v>
      </c>
      <c r="CX6" s="421">
        <v>0</v>
      </c>
      <c r="CY6" s="421">
        <v>0</v>
      </c>
      <c r="CZ6" s="421">
        <v>0</v>
      </c>
      <c r="DA6" s="421">
        <v>0</v>
      </c>
      <c r="DB6" s="421">
        <v>0</v>
      </c>
      <c r="DC6" s="421">
        <v>0</v>
      </c>
      <c r="DD6" s="421">
        <v>0</v>
      </c>
      <c r="DE6" s="421">
        <v>0</v>
      </c>
      <c r="DF6" s="421">
        <v>0</v>
      </c>
      <c r="DG6" s="421">
        <v>0</v>
      </c>
      <c r="DH6" s="421">
        <v>0</v>
      </c>
      <c r="DI6" s="421">
        <v>0</v>
      </c>
      <c r="DJ6" s="421">
        <v>0</v>
      </c>
      <c r="DK6" s="421">
        <v>0</v>
      </c>
      <c r="DL6" s="421">
        <v>0</v>
      </c>
      <c r="DM6" s="421">
        <v>0</v>
      </c>
      <c r="DN6" s="421">
        <v>0</v>
      </c>
      <c r="DO6" s="421">
        <v>0</v>
      </c>
      <c r="DP6" s="421">
        <v>0</v>
      </c>
      <c r="DQ6" s="421">
        <v>0</v>
      </c>
      <c r="DR6" s="421">
        <v>0</v>
      </c>
      <c r="DS6" s="421">
        <v>0</v>
      </c>
      <c r="DT6" s="421">
        <v>0</v>
      </c>
      <c r="DU6" s="421">
        <v>0</v>
      </c>
      <c r="DV6" s="421">
        <v>0</v>
      </c>
      <c r="DW6" s="421">
        <v>0</v>
      </c>
      <c r="DX6" s="421">
        <v>0</v>
      </c>
      <c r="DY6" s="421">
        <v>22968000</v>
      </c>
      <c r="DZ6" s="421">
        <v>22968000</v>
      </c>
      <c r="EA6" s="421">
        <v>0</v>
      </c>
      <c r="EB6" s="421">
        <v>0</v>
      </c>
      <c r="EC6" s="421" t="s">
        <v>1148</v>
      </c>
      <c r="ED6" s="421" t="s">
        <v>1167</v>
      </c>
      <c r="EE6" s="421" t="s">
        <v>1167</v>
      </c>
    </row>
    <row r="7" spans="1:135" x14ac:dyDescent="0.25">
      <c r="A7" s="421">
        <v>4</v>
      </c>
      <c r="B7" s="421">
        <v>2015</v>
      </c>
      <c r="C7" s="421">
        <v>1</v>
      </c>
      <c r="D7" s="421">
        <v>7</v>
      </c>
      <c r="E7" s="424">
        <v>42011</v>
      </c>
      <c r="F7" s="421" t="s">
        <v>1184</v>
      </c>
      <c r="G7" s="421" t="s">
        <v>1185</v>
      </c>
      <c r="H7" s="421" t="s">
        <v>1152</v>
      </c>
      <c r="I7" s="421" t="s">
        <v>1107</v>
      </c>
      <c r="J7" s="421" t="s">
        <v>1108</v>
      </c>
      <c r="K7" s="421" t="s">
        <v>1109</v>
      </c>
      <c r="L7" s="421" t="s">
        <v>1110</v>
      </c>
      <c r="O7" s="421" t="s">
        <v>1111</v>
      </c>
      <c r="R7" s="421" t="s">
        <v>1111</v>
      </c>
      <c r="S7" s="421" t="s">
        <v>1112</v>
      </c>
      <c r="T7" s="421" t="s">
        <v>1113</v>
      </c>
      <c r="U7" s="421" t="s">
        <v>1114</v>
      </c>
      <c r="V7" s="421" t="s">
        <v>1115</v>
      </c>
      <c r="W7" s="421" t="s">
        <v>1116</v>
      </c>
      <c r="X7" s="421" t="s">
        <v>1117</v>
      </c>
      <c r="Y7" s="421" t="s">
        <v>1118</v>
      </c>
      <c r="Z7" s="421" t="s">
        <v>1119</v>
      </c>
      <c r="AA7" s="421" t="s">
        <v>1120</v>
      </c>
      <c r="AB7" s="421" t="s">
        <v>1121</v>
      </c>
      <c r="AC7" s="421" t="s">
        <v>1122</v>
      </c>
      <c r="AD7" s="421" t="s">
        <v>1123</v>
      </c>
      <c r="AE7" s="421" t="s">
        <v>1186</v>
      </c>
      <c r="AF7" s="421" t="s">
        <v>1187</v>
      </c>
      <c r="AG7" s="421" t="s">
        <v>1188</v>
      </c>
      <c r="AH7" s="421">
        <v>6200</v>
      </c>
      <c r="AI7" s="421" t="s">
        <v>1189</v>
      </c>
      <c r="AJ7" s="421">
        <v>62</v>
      </c>
      <c r="AK7" s="421">
        <v>1</v>
      </c>
      <c r="AL7" s="421" t="s">
        <v>1173</v>
      </c>
      <c r="AM7" s="421">
        <v>415</v>
      </c>
      <c r="AN7" s="421">
        <v>477</v>
      </c>
      <c r="AO7" s="421" t="s">
        <v>1120</v>
      </c>
      <c r="AP7" s="421" t="s">
        <v>1129</v>
      </c>
      <c r="AR7" s="421" t="s">
        <v>1130</v>
      </c>
      <c r="AT7" s="421" t="s">
        <v>1131</v>
      </c>
      <c r="AU7" s="421" t="s">
        <v>1190</v>
      </c>
      <c r="AV7" s="421" t="s">
        <v>1191</v>
      </c>
      <c r="AW7" s="421" t="s">
        <v>960</v>
      </c>
      <c r="AX7" s="421" t="s">
        <v>960</v>
      </c>
      <c r="AY7" s="421" t="s">
        <v>960</v>
      </c>
      <c r="AZ7" s="421" t="s">
        <v>1121</v>
      </c>
      <c r="BA7" s="421" t="s">
        <v>1192</v>
      </c>
      <c r="BB7" s="421" t="s">
        <v>960</v>
      </c>
      <c r="BC7" s="421" t="s">
        <v>1193</v>
      </c>
      <c r="BD7" s="421" t="s">
        <v>1194</v>
      </c>
      <c r="BE7" s="421" t="s">
        <v>1195</v>
      </c>
      <c r="BF7" s="421" t="s">
        <v>1178</v>
      </c>
      <c r="BG7" s="421" t="s">
        <v>1140</v>
      </c>
      <c r="BH7" s="421" t="s">
        <v>1196</v>
      </c>
      <c r="BI7" s="421" t="s">
        <v>1142</v>
      </c>
      <c r="BJ7" s="421" t="s">
        <v>1180</v>
      </c>
      <c r="BK7" s="421" t="s">
        <v>1185</v>
      </c>
      <c r="BL7" s="421" t="s">
        <v>1197</v>
      </c>
      <c r="BM7" s="421" t="s">
        <v>1198</v>
      </c>
      <c r="BN7" s="421" t="s">
        <v>1199</v>
      </c>
      <c r="BO7" s="421">
        <v>0</v>
      </c>
      <c r="BR7" s="421">
        <v>0</v>
      </c>
      <c r="BS7" s="421">
        <v>0</v>
      </c>
      <c r="BT7" s="421">
        <v>0</v>
      </c>
      <c r="BU7" s="424">
        <v>41964</v>
      </c>
      <c r="BX7" s="421">
        <v>2392.46</v>
      </c>
      <c r="BY7" s="421" t="s">
        <v>1183</v>
      </c>
      <c r="BZ7" s="421">
        <v>10000.799999999999</v>
      </c>
      <c r="CA7" s="421">
        <v>23926513.967999998</v>
      </c>
      <c r="CB7" s="421">
        <v>4</v>
      </c>
      <c r="CC7" s="421">
        <v>0</v>
      </c>
      <c r="CD7" s="421">
        <v>1300</v>
      </c>
      <c r="CE7" s="421">
        <v>1304</v>
      </c>
      <c r="CF7" s="421">
        <v>0</v>
      </c>
      <c r="CG7" s="421">
        <v>11304.8</v>
      </c>
      <c r="CH7" s="421">
        <v>0</v>
      </c>
      <c r="CI7" s="421">
        <v>11304.8</v>
      </c>
      <c r="CJ7" s="421">
        <v>27046281.807999998</v>
      </c>
      <c r="CK7" s="421">
        <v>15</v>
      </c>
      <c r="CL7" s="421">
        <v>27046282</v>
      </c>
      <c r="CM7" s="421">
        <v>4057000</v>
      </c>
      <c r="CN7" s="421">
        <v>4057000</v>
      </c>
      <c r="CO7" s="421">
        <v>0</v>
      </c>
      <c r="CP7" s="421">
        <v>0</v>
      </c>
      <c r="CQ7" s="421">
        <v>16</v>
      </c>
      <c r="CR7" s="421">
        <v>31103282</v>
      </c>
      <c r="CS7" s="421">
        <v>4977000</v>
      </c>
      <c r="CT7" s="421">
        <v>4977000</v>
      </c>
      <c r="CU7" s="421">
        <v>0</v>
      </c>
      <c r="CV7" s="421">
        <v>0</v>
      </c>
      <c r="CW7" s="421">
        <v>0</v>
      </c>
      <c r="CX7" s="421">
        <v>0</v>
      </c>
      <c r="CY7" s="421">
        <v>0</v>
      </c>
      <c r="CZ7" s="421">
        <v>0</v>
      </c>
      <c r="DA7" s="421">
        <v>0</v>
      </c>
      <c r="DB7" s="421">
        <v>0</v>
      </c>
      <c r="DC7" s="421">
        <v>0</v>
      </c>
      <c r="DD7" s="421">
        <v>0</v>
      </c>
      <c r="DE7" s="421">
        <v>0</v>
      </c>
      <c r="DF7" s="421">
        <v>0</v>
      </c>
      <c r="DG7" s="421">
        <v>0</v>
      </c>
      <c r="DH7" s="421">
        <v>0</v>
      </c>
      <c r="DI7" s="421">
        <v>0</v>
      </c>
      <c r="DJ7" s="421">
        <v>0</v>
      </c>
      <c r="DK7" s="421">
        <v>0</v>
      </c>
      <c r="DL7" s="421">
        <v>0</v>
      </c>
      <c r="DM7" s="421">
        <v>0</v>
      </c>
      <c r="DN7" s="421">
        <v>0</v>
      </c>
      <c r="DO7" s="421">
        <v>0</v>
      </c>
      <c r="DP7" s="421">
        <v>0</v>
      </c>
      <c r="DQ7" s="421">
        <v>0</v>
      </c>
      <c r="DR7" s="421">
        <v>0</v>
      </c>
      <c r="DS7" s="421">
        <v>0</v>
      </c>
      <c r="DT7" s="421">
        <v>0</v>
      </c>
      <c r="DU7" s="421">
        <v>0</v>
      </c>
      <c r="DV7" s="421">
        <v>0</v>
      </c>
      <c r="DW7" s="421">
        <v>0</v>
      </c>
      <c r="DX7" s="421">
        <v>0</v>
      </c>
      <c r="DY7" s="421">
        <v>9034000</v>
      </c>
      <c r="DZ7" s="421">
        <v>9034000</v>
      </c>
      <c r="EA7" s="421">
        <v>0</v>
      </c>
      <c r="EB7" s="421">
        <v>0</v>
      </c>
      <c r="EC7" s="421" t="s">
        <v>1148</v>
      </c>
      <c r="ED7" s="421" t="s">
        <v>1167</v>
      </c>
      <c r="EE7" s="421" t="s">
        <v>1167</v>
      </c>
    </row>
    <row r="8" spans="1:135" x14ac:dyDescent="0.25">
      <c r="A8" s="421">
        <v>5</v>
      </c>
      <c r="B8" s="421">
        <v>2015</v>
      </c>
      <c r="C8" s="421">
        <v>1</v>
      </c>
      <c r="D8" s="421">
        <v>7</v>
      </c>
      <c r="E8" s="424">
        <v>42011</v>
      </c>
      <c r="F8" s="421" t="s">
        <v>1200</v>
      </c>
      <c r="G8" s="421" t="s">
        <v>1201</v>
      </c>
      <c r="H8" s="421" t="s">
        <v>1152</v>
      </c>
      <c r="I8" s="421" t="s">
        <v>1107</v>
      </c>
      <c r="J8" s="421" t="s">
        <v>1108</v>
      </c>
      <c r="K8" s="421" t="s">
        <v>1202</v>
      </c>
      <c r="L8" s="421" t="s">
        <v>1110</v>
      </c>
      <c r="O8" s="421" t="s">
        <v>1111</v>
      </c>
      <c r="R8" s="421" t="s">
        <v>1111</v>
      </c>
      <c r="S8" s="421" t="s">
        <v>1112</v>
      </c>
      <c r="T8" s="421" t="s">
        <v>1113</v>
      </c>
      <c r="U8" s="421" t="s">
        <v>1114</v>
      </c>
      <c r="V8" s="421" t="s">
        <v>1115</v>
      </c>
      <c r="W8" s="421" t="s">
        <v>1116</v>
      </c>
      <c r="X8" s="421" t="s">
        <v>1117</v>
      </c>
      <c r="Y8" s="421" t="s">
        <v>1118</v>
      </c>
      <c r="Z8" s="421" t="s">
        <v>1119</v>
      </c>
      <c r="AA8" s="421" t="s">
        <v>1120</v>
      </c>
      <c r="AB8" s="421" t="s">
        <v>1121</v>
      </c>
      <c r="AC8" s="421" t="s">
        <v>1122</v>
      </c>
      <c r="AD8" s="421" t="s">
        <v>1123</v>
      </c>
      <c r="AE8" s="421" t="s">
        <v>1203</v>
      </c>
      <c r="AF8" s="421" t="s">
        <v>1204</v>
      </c>
      <c r="AG8" s="421" t="s">
        <v>1205</v>
      </c>
      <c r="AH8" s="421">
        <v>43000</v>
      </c>
      <c r="AI8" s="421" t="s">
        <v>1127</v>
      </c>
      <c r="AJ8" s="421">
        <v>8</v>
      </c>
      <c r="AK8" s="421">
        <v>1</v>
      </c>
      <c r="AL8" s="421" t="s">
        <v>1206</v>
      </c>
      <c r="AM8" s="421">
        <v>43000</v>
      </c>
      <c r="AN8" s="421">
        <v>43200</v>
      </c>
      <c r="AO8" s="421" t="s">
        <v>1120</v>
      </c>
      <c r="AP8" s="421" t="s">
        <v>1129</v>
      </c>
      <c r="AR8" s="421" t="s">
        <v>1130</v>
      </c>
      <c r="AT8" s="421" t="s">
        <v>1131</v>
      </c>
      <c r="AU8" s="421" t="s">
        <v>1132</v>
      </c>
      <c r="AV8" s="421" t="s">
        <v>1133</v>
      </c>
      <c r="AW8" s="421" t="s">
        <v>1207</v>
      </c>
      <c r="AX8" s="421" t="s">
        <v>1207</v>
      </c>
      <c r="AY8" s="421" t="s">
        <v>1208</v>
      </c>
      <c r="AZ8" s="421" t="s">
        <v>1121</v>
      </c>
      <c r="BA8" s="421" t="s">
        <v>1209</v>
      </c>
      <c r="BB8" s="421" t="s">
        <v>1208</v>
      </c>
      <c r="BC8" s="421" t="s">
        <v>1210</v>
      </c>
      <c r="BD8" s="421" t="s">
        <v>1211</v>
      </c>
      <c r="BE8" s="421" t="s">
        <v>1212</v>
      </c>
      <c r="BF8" s="421" t="s">
        <v>1213</v>
      </c>
      <c r="BG8" s="421" t="s">
        <v>1214</v>
      </c>
      <c r="BH8" s="421" t="s">
        <v>1215</v>
      </c>
      <c r="BI8" s="421" t="s">
        <v>1142</v>
      </c>
      <c r="BJ8" s="421" t="s">
        <v>1180</v>
      </c>
      <c r="BK8" s="421" t="s">
        <v>1201</v>
      </c>
      <c r="BL8" s="421" t="s">
        <v>1197</v>
      </c>
      <c r="BM8" s="421" t="s">
        <v>1216</v>
      </c>
      <c r="BN8" s="421" t="s">
        <v>1165</v>
      </c>
      <c r="BO8" s="421">
        <v>0</v>
      </c>
      <c r="BR8" s="421">
        <v>0</v>
      </c>
      <c r="BS8" s="421">
        <v>0</v>
      </c>
      <c r="BT8" s="421">
        <v>0</v>
      </c>
      <c r="BU8" s="424">
        <v>41950</v>
      </c>
      <c r="BX8" s="421">
        <v>2392.46</v>
      </c>
      <c r="BY8" s="421" t="s">
        <v>1147</v>
      </c>
      <c r="BZ8" s="421">
        <v>120400</v>
      </c>
      <c r="CA8" s="421">
        <v>288052184</v>
      </c>
      <c r="CB8" s="421">
        <v>48.16</v>
      </c>
      <c r="CC8" s="421">
        <v>0</v>
      </c>
      <c r="CD8" s="421">
        <v>1900</v>
      </c>
      <c r="CE8" s="421">
        <v>1948.16</v>
      </c>
      <c r="CF8" s="421">
        <v>0</v>
      </c>
      <c r="CG8" s="421">
        <v>122348.16</v>
      </c>
      <c r="CH8" s="421">
        <v>0</v>
      </c>
      <c r="CI8" s="421">
        <v>122348.16</v>
      </c>
      <c r="CJ8" s="421">
        <v>292713078.87360001</v>
      </c>
      <c r="CK8" s="421">
        <v>0</v>
      </c>
      <c r="CL8" s="421">
        <v>292713079</v>
      </c>
      <c r="CM8" s="421">
        <v>0</v>
      </c>
      <c r="CN8" s="421">
        <v>0</v>
      </c>
      <c r="CO8" s="421">
        <v>0</v>
      </c>
      <c r="CP8" s="421">
        <v>0</v>
      </c>
      <c r="CQ8" s="421">
        <v>0</v>
      </c>
      <c r="CR8" s="421">
        <v>292713079</v>
      </c>
      <c r="CS8" s="421">
        <v>0</v>
      </c>
      <c r="CT8" s="421">
        <v>0</v>
      </c>
      <c r="CU8" s="421">
        <v>0</v>
      </c>
      <c r="CV8" s="421">
        <v>0</v>
      </c>
      <c r="CW8" s="421">
        <v>0</v>
      </c>
      <c r="CX8" s="421">
        <v>0</v>
      </c>
      <c r="CY8" s="421">
        <v>0</v>
      </c>
      <c r="CZ8" s="421">
        <v>0</v>
      </c>
      <c r="DA8" s="421">
        <v>0</v>
      </c>
      <c r="DB8" s="421">
        <v>0</v>
      </c>
      <c r="DC8" s="421">
        <v>0</v>
      </c>
      <c r="DD8" s="421">
        <v>0</v>
      </c>
      <c r="DE8" s="421">
        <v>0</v>
      </c>
      <c r="DF8" s="421">
        <v>0</v>
      </c>
      <c r="DG8" s="421">
        <v>0</v>
      </c>
      <c r="DH8" s="421">
        <v>0</v>
      </c>
      <c r="DI8" s="421">
        <v>0</v>
      </c>
      <c r="DJ8" s="421">
        <v>0</v>
      </c>
      <c r="DK8" s="421">
        <v>0</v>
      </c>
      <c r="DL8" s="421">
        <v>0</v>
      </c>
      <c r="DM8" s="421">
        <v>0</v>
      </c>
      <c r="DN8" s="421">
        <v>0</v>
      </c>
      <c r="DO8" s="421">
        <v>0</v>
      </c>
      <c r="DP8" s="421">
        <v>0</v>
      </c>
      <c r="DQ8" s="421">
        <v>0</v>
      </c>
      <c r="DR8" s="421">
        <v>0</v>
      </c>
      <c r="DS8" s="421">
        <v>0</v>
      </c>
      <c r="DT8" s="421">
        <v>0</v>
      </c>
      <c r="DU8" s="421">
        <v>0</v>
      </c>
      <c r="DV8" s="421">
        <v>0</v>
      </c>
      <c r="DW8" s="421">
        <v>0</v>
      </c>
      <c r="DX8" s="421">
        <v>0</v>
      </c>
      <c r="DY8" s="421">
        <v>0</v>
      </c>
      <c r="DZ8" s="421">
        <v>0</v>
      </c>
      <c r="EA8" s="421">
        <v>0</v>
      </c>
      <c r="EB8" s="421">
        <v>0</v>
      </c>
      <c r="EC8" s="421" t="s">
        <v>1148</v>
      </c>
      <c r="ED8" s="421" t="s">
        <v>1149</v>
      </c>
      <c r="EE8" s="421" t="s">
        <v>1149</v>
      </c>
    </row>
    <row r="9" spans="1:135" x14ac:dyDescent="0.25">
      <c r="A9" s="421">
        <v>6</v>
      </c>
      <c r="B9" s="421">
        <v>2015</v>
      </c>
      <c r="C9" s="421">
        <v>1</v>
      </c>
      <c r="D9" s="421">
        <v>10</v>
      </c>
      <c r="E9" s="424">
        <v>42014</v>
      </c>
      <c r="F9" s="421" t="s">
        <v>1217</v>
      </c>
      <c r="G9" s="421" t="s">
        <v>1218</v>
      </c>
      <c r="H9" s="421" t="s">
        <v>1152</v>
      </c>
      <c r="I9" s="421" t="s">
        <v>1107</v>
      </c>
      <c r="J9" s="421" t="s">
        <v>1108</v>
      </c>
      <c r="K9" s="421" t="s">
        <v>1109</v>
      </c>
      <c r="L9" s="421" t="s">
        <v>1110</v>
      </c>
      <c r="O9" s="421" t="s">
        <v>1111</v>
      </c>
      <c r="R9" s="421" t="s">
        <v>1111</v>
      </c>
      <c r="S9" s="421" t="s">
        <v>1112</v>
      </c>
      <c r="T9" s="421" t="s">
        <v>1113</v>
      </c>
      <c r="U9" s="421" t="s">
        <v>1114</v>
      </c>
      <c r="V9" s="421" t="s">
        <v>1115</v>
      </c>
      <c r="W9" s="421" t="s">
        <v>1116</v>
      </c>
      <c r="X9" s="421" t="s">
        <v>1117</v>
      </c>
      <c r="Y9" s="421" t="s">
        <v>1118</v>
      </c>
      <c r="Z9" s="421" t="s">
        <v>1119</v>
      </c>
      <c r="AA9" s="421" t="s">
        <v>1120</v>
      </c>
      <c r="AB9" s="421" t="s">
        <v>1121</v>
      </c>
      <c r="AC9" s="421" t="s">
        <v>1122</v>
      </c>
      <c r="AD9" s="421" t="s">
        <v>1123</v>
      </c>
      <c r="AE9" s="421" t="s">
        <v>1219</v>
      </c>
      <c r="AF9" s="421" t="s">
        <v>1220</v>
      </c>
      <c r="AG9" s="421" t="s">
        <v>1221</v>
      </c>
      <c r="AH9" s="421">
        <v>9000</v>
      </c>
      <c r="AI9" s="421" t="s">
        <v>1127</v>
      </c>
      <c r="AJ9" s="421">
        <v>20</v>
      </c>
      <c r="AK9" s="421">
        <v>1</v>
      </c>
      <c r="AL9" s="421" t="s">
        <v>1206</v>
      </c>
      <c r="AM9" s="421">
        <v>9000</v>
      </c>
      <c r="AN9" s="421">
        <v>10008</v>
      </c>
      <c r="AO9" s="421" t="s">
        <v>1120</v>
      </c>
      <c r="AP9" s="421" t="s">
        <v>1129</v>
      </c>
      <c r="AR9" s="421" t="s">
        <v>1130</v>
      </c>
      <c r="AT9" s="421" t="s">
        <v>1131</v>
      </c>
      <c r="AU9" s="421" t="s">
        <v>1132</v>
      </c>
      <c r="AV9" s="421" t="s">
        <v>1133</v>
      </c>
      <c r="AW9" s="421" t="s">
        <v>960</v>
      </c>
      <c r="AX9" s="421" t="s">
        <v>960</v>
      </c>
      <c r="AY9" s="421" t="s">
        <v>960</v>
      </c>
      <c r="AZ9" s="421" t="s">
        <v>1121</v>
      </c>
      <c r="BA9" s="421" t="s">
        <v>1222</v>
      </c>
      <c r="BB9" s="421" t="s">
        <v>960</v>
      </c>
      <c r="BC9" s="421" t="s">
        <v>1223</v>
      </c>
      <c r="BD9" s="421" t="s">
        <v>1224</v>
      </c>
      <c r="BE9" s="421" t="s">
        <v>1225</v>
      </c>
      <c r="BF9" s="421" t="s">
        <v>1226</v>
      </c>
      <c r="BG9" s="421" t="s">
        <v>1197</v>
      </c>
      <c r="BH9" s="421" t="s">
        <v>1227</v>
      </c>
      <c r="BI9" s="421" t="s">
        <v>1142</v>
      </c>
      <c r="BJ9" s="421" t="s">
        <v>1180</v>
      </c>
      <c r="BK9" s="421" t="s">
        <v>1218</v>
      </c>
      <c r="BL9" s="421" t="s">
        <v>1228</v>
      </c>
      <c r="BM9" s="421" t="s">
        <v>1229</v>
      </c>
      <c r="BN9" s="421" t="s">
        <v>1230</v>
      </c>
      <c r="BO9" s="421">
        <v>0</v>
      </c>
      <c r="BR9" s="421">
        <v>0</v>
      </c>
      <c r="BS9" s="421">
        <v>0</v>
      </c>
      <c r="BT9" s="421">
        <v>0</v>
      </c>
      <c r="BU9" s="424">
        <v>41980</v>
      </c>
      <c r="BX9" s="421">
        <v>2392.46</v>
      </c>
      <c r="BY9" s="421" t="s">
        <v>1147</v>
      </c>
      <c r="BZ9" s="421">
        <v>35995</v>
      </c>
      <c r="CA9" s="421">
        <v>86116597.700000003</v>
      </c>
      <c r="CB9" s="421">
        <v>75</v>
      </c>
      <c r="CC9" s="421">
        <v>0</v>
      </c>
      <c r="CD9" s="421">
        <v>3814.63</v>
      </c>
      <c r="CE9" s="421">
        <v>3889.63</v>
      </c>
      <c r="CF9" s="421">
        <v>0</v>
      </c>
      <c r="CG9" s="421">
        <v>39884.629999999997</v>
      </c>
      <c r="CH9" s="421">
        <v>0</v>
      </c>
      <c r="CI9" s="421">
        <v>39884.629999999997</v>
      </c>
      <c r="CJ9" s="421">
        <v>95422381.889799997</v>
      </c>
      <c r="CK9" s="421">
        <v>5</v>
      </c>
      <c r="CL9" s="421">
        <v>95422382</v>
      </c>
      <c r="CM9" s="421">
        <v>4771000</v>
      </c>
      <c r="CN9" s="421">
        <v>4771000</v>
      </c>
      <c r="CO9" s="421">
        <v>0</v>
      </c>
      <c r="CP9" s="421">
        <v>0</v>
      </c>
      <c r="CQ9" s="421">
        <v>16</v>
      </c>
      <c r="CR9" s="421">
        <v>100193382</v>
      </c>
      <c r="CS9" s="421">
        <v>16031000</v>
      </c>
      <c r="CT9" s="421">
        <v>16031000</v>
      </c>
      <c r="CU9" s="421">
        <v>0</v>
      </c>
      <c r="CV9" s="421">
        <v>0</v>
      </c>
      <c r="CW9" s="421">
        <v>0</v>
      </c>
      <c r="CX9" s="421">
        <v>0</v>
      </c>
      <c r="CY9" s="421">
        <v>0</v>
      </c>
      <c r="CZ9" s="421">
        <v>0</v>
      </c>
      <c r="DA9" s="421">
        <v>0</v>
      </c>
      <c r="DB9" s="421">
        <v>0</v>
      </c>
      <c r="DC9" s="421">
        <v>0</v>
      </c>
      <c r="DD9" s="421">
        <v>0</v>
      </c>
      <c r="DE9" s="421">
        <v>0</v>
      </c>
      <c r="DF9" s="421">
        <v>0</v>
      </c>
      <c r="DG9" s="421">
        <v>0</v>
      </c>
      <c r="DH9" s="421">
        <v>0</v>
      </c>
      <c r="DI9" s="421">
        <v>0</v>
      </c>
      <c r="DJ9" s="421">
        <v>0</v>
      </c>
      <c r="DK9" s="421">
        <v>0</v>
      </c>
      <c r="DL9" s="421">
        <v>0</v>
      </c>
      <c r="DM9" s="421">
        <v>0</v>
      </c>
      <c r="DN9" s="421">
        <v>0</v>
      </c>
      <c r="DO9" s="421">
        <v>0</v>
      </c>
      <c r="DP9" s="421">
        <v>0</v>
      </c>
      <c r="DQ9" s="421">
        <v>0</v>
      </c>
      <c r="DR9" s="421">
        <v>0</v>
      </c>
      <c r="DS9" s="421">
        <v>0</v>
      </c>
      <c r="DT9" s="421">
        <v>0</v>
      </c>
      <c r="DU9" s="421">
        <v>0</v>
      </c>
      <c r="DV9" s="421">
        <v>0</v>
      </c>
      <c r="DW9" s="421">
        <v>0</v>
      </c>
      <c r="DX9" s="421">
        <v>0</v>
      </c>
      <c r="DY9" s="421">
        <v>20802000</v>
      </c>
      <c r="DZ9" s="421">
        <v>20802000</v>
      </c>
      <c r="EA9" s="421">
        <v>0</v>
      </c>
      <c r="EB9" s="421">
        <v>0</v>
      </c>
      <c r="EC9" s="421" t="s">
        <v>1148</v>
      </c>
      <c r="ED9" s="421" t="s">
        <v>1167</v>
      </c>
      <c r="EE9" s="421" t="s">
        <v>1167</v>
      </c>
    </row>
    <row r="10" spans="1:135" x14ac:dyDescent="0.25">
      <c r="A10" s="421">
        <v>7</v>
      </c>
      <c r="B10" s="421">
        <v>2015</v>
      </c>
      <c r="C10" s="421">
        <v>1</v>
      </c>
      <c r="D10" s="421">
        <v>15</v>
      </c>
      <c r="E10" s="424">
        <v>42019</v>
      </c>
      <c r="F10" s="421" t="s">
        <v>1231</v>
      </c>
      <c r="G10" s="421" t="s">
        <v>1232</v>
      </c>
      <c r="H10" s="421" t="s">
        <v>1106</v>
      </c>
      <c r="I10" s="421" t="s">
        <v>1107</v>
      </c>
      <c r="J10" s="421" t="s">
        <v>1108</v>
      </c>
      <c r="K10" s="421" t="s">
        <v>1109</v>
      </c>
      <c r="L10" s="421" t="s">
        <v>1110</v>
      </c>
      <c r="O10" s="421" t="s">
        <v>1111</v>
      </c>
      <c r="R10" s="421" t="s">
        <v>1111</v>
      </c>
      <c r="S10" s="421" t="s">
        <v>1112</v>
      </c>
      <c r="T10" s="421" t="s">
        <v>1113</v>
      </c>
      <c r="U10" s="421" t="s">
        <v>1114</v>
      </c>
      <c r="V10" s="421" t="s">
        <v>1115</v>
      </c>
      <c r="W10" s="421" t="s">
        <v>1116</v>
      </c>
      <c r="X10" s="421" t="s">
        <v>1117</v>
      </c>
      <c r="Y10" s="421" t="s">
        <v>1118</v>
      </c>
      <c r="Z10" s="421" t="s">
        <v>1119</v>
      </c>
      <c r="AA10" s="421" t="s">
        <v>1120</v>
      </c>
      <c r="AB10" s="421" t="s">
        <v>1121</v>
      </c>
      <c r="AC10" s="421" t="s">
        <v>1122</v>
      </c>
      <c r="AD10" s="421" t="s">
        <v>1123</v>
      </c>
      <c r="AE10" s="421" t="s">
        <v>1233</v>
      </c>
      <c r="AF10" s="421" t="s">
        <v>1234</v>
      </c>
      <c r="AG10" s="421" t="s">
        <v>1235</v>
      </c>
      <c r="AH10" s="421">
        <v>109888</v>
      </c>
      <c r="AI10" s="421" t="s">
        <v>1189</v>
      </c>
      <c r="AJ10" s="421">
        <v>1113</v>
      </c>
      <c r="AK10" s="421">
        <v>1</v>
      </c>
      <c r="AL10" s="421" t="s">
        <v>1173</v>
      </c>
      <c r="AM10" s="421">
        <v>9590.98</v>
      </c>
      <c r="AN10" s="421">
        <v>10699.83</v>
      </c>
      <c r="AO10" s="421" t="s">
        <v>1120</v>
      </c>
      <c r="AP10" s="421" t="s">
        <v>1129</v>
      </c>
      <c r="AR10" s="421" t="s">
        <v>1130</v>
      </c>
      <c r="AT10" s="421" t="s">
        <v>1131</v>
      </c>
      <c r="AU10" s="421" t="s">
        <v>1190</v>
      </c>
      <c r="AV10" s="421" t="s">
        <v>1191</v>
      </c>
      <c r="AW10" s="421" t="s">
        <v>960</v>
      </c>
      <c r="AX10" s="421" t="s">
        <v>960</v>
      </c>
      <c r="AY10" s="421" t="s">
        <v>960</v>
      </c>
      <c r="AZ10" s="421" t="s">
        <v>1121</v>
      </c>
      <c r="BA10" s="421" t="s">
        <v>1236</v>
      </c>
      <c r="BB10" s="421" t="s">
        <v>960</v>
      </c>
      <c r="BC10" s="421" t="s">
        <v>1237</v>
      </c>
      <c r="BD10" s="421" t="s">
        <v>1238</v>
      </c>
      <c r="BE10" s="421" t="s">
        <v>1239</v>
      </c>
      <c r="BF10" s="421" t="s">
        <v>1240</v>
      </c>
      <c r="BG10" s="421" t="s">
        <v>1241</v>
      </c>
      <c r="BH10" s="421" t="s">
        <v>1242</v>
      </c>
      <c r="BI10" s="421" t="s">
        <v>1142</v>
      </c>
      <c r="BJ10" s="421" t="s">
        <v>1243</v>
      </c>
      <c r="BK10" s="421" t="s">
        <v>1232</v>
      </c>
      <c r="BL10" s="421" t="s">
        <v>1244</v>
      </c>
      <c r="BM10" s="421" t="s">
        <v>1245</v>
      </c>
      <c r="BN10" s="421" t="s">
        <v>1246</v>
      </c>
      <c r="BO10" s="421">
        <v>0</v>
      </c>
      <c r="BR10" s="421">
        <v>0</v>
      </c>
      <c r="BS10" s="421">
        <v>0</v>
      </c>
      <c r="BT10" s="421">
        <v>0</v>
      </c>
      <c r="BU10" s="424">
        <v>41964</v>
      </c>
      <c r="BX10" s="421">
        <v>2405.0300000000002</v>
      </c>
      <c r="BY10" s="421" t="s">
        <v>1183</v>
      </c>
      <c r="BZ10" s="421">
        <v>36139.97</v>
      </c>
      <c r="CA10" s="421">
        <v>86917712.049099997</v>
      </c>
      <c r="CB10" s="421">
        <v>14.46</v>
      </c>
      <c r="CC10" s="421">
        <v>0</v>
      </c>
      <c r="CD10" s="421">
        <v>5580</v>
      </c>
      <c r="CE10" s="421">
        <v>5594.46</v>
      </c>
      <c r="CF10" s="421">
        <v>0</v>
      </c>
      <c r="CG10" s="421">
        <v>41734.43</v>
      </c>
      <c r="CH10" s="421">
        <v>0</v>
      </c>
      <c r="CI10" s="421">
        <v>41734.43</v>
      </c>
      <c r="CJ10" s="421">
        <v>100372556.1829</v>
      </c>
      <c r="CK10" s="421">
        <v>15</v>
      </c>
      <c r="CL10" s="421">
        <v>100372556</v>
      </c>
      <c r="CM10" s="421">
        <v>15056000</v>
      </c>
      <c r="CN10" s="421">
        <v>15056000</v>
      </c>
      <c r="CO10" s="421">
        <v>0</v>
      </c>
      <c r="CP10" s="421">
        <v>0</v>
      </c>
      <c r="CQ10" s="421">
        <v>16</v>
      </c>
      <c r="CR10" s="421">
        <v>115428556</v>
      </c>
      <c r="CS10" s="421">
        <v>18469000</v>
      </c>
      <c r="CT10" s="421">
        <v>18469000</v>
      </c>
      <c r="CU10" s="421">
        <v>0</v>
      </c>
      <c r="CV10" s="421">
        <v>0</v>
      </c>
      <c r="CW10" s="421">
        <v>0</v>
      </c>
      <c r="CX10" s="421">
        <v>0</v>
      </c>
      <c r="CY10" s="421">
        <v>0</v>
      </c>
      <c r="CZ10" s="421">
        <v>0</v>
      </c>
      <c r="DA10" s="421">
        <v>0</v>
      </c>
      <c r="DB10" s="421">
        <v>0</v>
      </c>
      <c r="DC10" s="421">
        <v>0</v>
      </c>
      <c r="DD10" s="421">
        <v>0</v>
      </c>
      <c r="DE10" s="421">
        <v>0</v>
      </c>
      <c r="DF10" s="421">
        <v>0</v>
      </c>
      <c r="DG10" s="421">
        <v>0</v>
      </c>
      <c r="DH10" s="421">
        <v>0</v>
      </c>
      <c r="DI10" s="421">
        <v>0</v>
      </c>
      <c r="DJ10" s="421">
        <v>0</v>
      </c>
      <c r="DK10" s="421">
        <v>0</v>
      </c>
      <c r="DL10" s="421">
        <v>0</v>
      </c>
      <c r="DM10" s="421">
        <v>0</v>
      </c>
      <c r="DN10" s="421">
        <v>0</v>
      </c>
      <c r="DO10" s="421">
        <v>0</v>
      </c>
      <c r="DP10" s="421">
        <v>0</v>
      </c>
      <c r="DQ10" s="421">
        <v>0</v>
      </c>
      <c r="DR10" s="421">
        <v>0</v>
      </c>
      <c r="DS10" s="421">
        <v>0</v>
      </c>
      <c r="DT10" s="421">
        <v>0</v>
      </c>
      <c r="DU10" s="421">
        <v>0</v>
      </c>
      <c r="DV10" s="421">
        <v>0</v>
      </c>
      <c r="DW10" s="421">
        <v>0</v>
      </c>
      <c r="DX10" s="421">
        <v>0</v>
      </c>
      <c r="DY10" s="421">
        <v>33525000</v>
      </c>
      <c r="DZ10" s="421">
        <v>33525000</v>
      </c>
      <c r="EA10" s="421">
        <v>0</v>
      </c>
      <c r="EB10" s="421">
        <v>0</v>
      </c>
      <c r="EC10" s="421" t="s">
        <v>1148</v>
      </c>
      <c r="ED10" s="421" t="s">
        <v>1167</v>
      </c>
      <c r="EE10" s="421" t="s">
        <v>1167</v>
      </c>
    </row>
    <row r="11" spans="1:135" x14ac:dyDescent="0.25">
      <c r="A11" s="421">
        <v>8</v>
      </c>
      <c r="B11" s="421">
        <v>2015</v>
      </c>
      <c r="C11" s="421">
        <v>1</v>
      </c>
      <c r="D11" s="421">
        <v>19</v>
      </c>
      <c r="E11" s="424">
        <v>42023</v>
      </c>
      <c r="F11" s="421" t="s">
        <v>1247</v>
      </c>
      <c r="G11" s="421" t="s">
        <v>1248</v>
      </c>
      <c r="H11" s="421" t="s">
        <v>1152</v>
      </c>
      <c r="I11" s="421" t="s">
        <v>1107</v>
      </c>
      <c r="J11" s="421" t="s">
        <v>1108</v>
      </c>
      <c r="K11" s="421" t="s">
        <v>1109</v>
      </c>
      <c r="L11" s="421" t="s">
        <v>1110</v>
      </c>
      <c r="O11" s="421" t="s">
        <v>1111</v>
      </c>
      <c r="R11" s="421" t="s">
        <v>1111</v>
      </c>
      <c r="S11" s="421" t="s">
        <v>1112</v>
      </c>
      <c r="T11" s="421" t="s">
        <v>1113</v>
      </c>
      <c r="U11" s="421" t="s">
        <v>1114</v>
      </c>
      <c r="V11" s="421" t="s">
        <v>1115</v>
      </c>
      <c r="W11" s="421" t="s">
        <v>1116</v>
      </c>
      <c r="X11" s="421" t="s">
        <v>1117</v>
      </c>
      <c r="Y11" s="421" t="s">
        <v>1118</v>
      </c>
      <c r="Z11" s="421" t="s">
        <v>1119</v>
      </c>
      <c r="AA11" s="421" t="s">
        <v>1120</v>
      </c>
      <c r="AB11" s="421" t="s">
        <v>1121</v>
      </c>
      <c r="AC11" s="421" t="s">
        <v>1122</v>
      </c>
      <c r="AD11" s="421" t="s">
        <v>1123</v>
      </c>
      <c r="AE11" s="421" t="s">
        <v>1249</v>
      </c>
      <c r="AF11" s="421" t="s">
        <v>1250</v>
      </c>
      <c r="AG11" s="421" t="s">
        <v>1251</v>
      </c>
      <c r="AH11" s="421">
        <v>81384</v>
      </c>
      <c r="AI11" s="421" t="s">
        <v>1189</v>
      </c>
      <c r="AJ11" s="421">
        <v>1070</v>
      </c>
      <c r="AK11" s="421">
        <v>1</v>
      </c>
      <c r="AL11" s="421" t="s">
        <v>1173</v>
      </c>
      <c r="AM11" s="421">
        <v>12248</v>
      </c>
      <c r="AN11" s="421">
        <v>12992.5</v>
      </c>
      <c r="AO11" s="421" t="s">
        <v>1120</v>
      </c>
      <c r="AP11" s="421" t="s">
        <v>1129</v>
      </c>
      <c r="AR11" s="421" t="s">
        <v>1130</v>
      </c>
      <c r="AT11" s="421" t="s">
        <v>1131</v>
      </c>
      <c r="AU11" s="421" t="s">
        <v>1132</v>
      </c>
      <c r="AV11" s="421" t="s">
        <v>1133</v>
      </c>
      <c r="AW11" s="421" t="s">
        <v>960</v>
      </c>
      <c r="AX11" s="421" t="s">
        <v>960</v>
      </c>
      <c r="AY11" s="421" t="s">
        <v>960</v>
      </c>
      <c r="AZ11" s="421" t="s">
        <v>1121</v>
      </c>
      <c r="BA11" s="421" t="s">
        <v>1252</v>
      </c>
      <c r="BB11" s="421" t="s">
        <v>960</v>
      </c>
      <c r="BC11" s="421" t="s">
        <v>1253</v>
      </c>
      <c r="BD11" s="421" t="s">
        <v>1254</v>
      </c>
      <c r="BE11" s="421" t="s">
        <v>1255</v>
      </c>
      <c r="BF11" s="421" t="s">
        <v>1256</v>
      </c>
      <c r="BG11" s="421" t="s">
        <v>1244</v>
      </c>
      <c r="BH11" s="421" t="s">
        <v>1257</v>
      </c>
      <c r="BI11" s="421" t="s">
        <v>1142</v>
      </c>
      <c r="BJ11" s="421" t="s">
        <v>1180</v>
      </c>
      <c r="BK11" s="421" t="s">
        <v>1248</v>
      </c>
      <c r="BL11" s="421" t="s">
        <v>1258</v>
      </c>
      <c r="BM11" s="421" t="s">
        <v>1259</v>
      </c>
      <c r="BN11" s="421" t="s">
        <v>1260</v>
      </c>
      <c r="BO11" s="421">
        <v>0</v>
      </c>
      <c r="BR11" s="421">
        <v>0</v>
      </c>
      <c r="BS11" s="421">
        <v>0</v>
      </c>
      <c r="BT11" s="421">
        <v>0</v>
      </c>
      <c r="BU11" s="424">
        <v>41986</v>
      </c>
      <c r="BX11" s="421">
        <v>2398.91</v>
      </c>
      <c r="BY11" s="421" t="s">
        <v>1183</v>
      </c>
      <c r="BZ11" s="421">
        <v>42857.27</v>
      </c>
      <c r="CA11" s="421">
        <v>102810733.5757</v>
      </c>
      <c r="CB11" s="421">
        <v>17.14</v>
      </c>
      <c r="CC11" s="421">
        <v>0</v>
      </c>
      <c r="CD11" s="421">
        <v>4764.1000000000004</v>
      </c>
      <c r="CE11" s="421">
        <v>4781.24</v>
      </c>
      <c r="CF11" s="421">
        <v>0</v>
      </c>
      <c r="CG11" s="421">
        <v>47638.51</v>
      </c>
      <c r="CH11" s="421">
        <v>0</v>
      </c>
      <c r="CI11" s="421">
        <v>47638.51</v>
      </c>
      <c r="CJ11" s="421">
        <v>114280498.02410001</v>
      </c>
      <c r="CK11" s="421">
        <v>15</v>
      </c>
      <c r="CL11" s="421">
        <v>114280498</v>
      </c>
      <c r="CM11" s="421">
        <v>17142000</v>
      </c>
      <c r="CN11" s="421">
        <v>17142000</v>
      </c>
      <c r="CO11" s="421">
        <v>0</v>
      </c>
      <c r="CP11" s="421">
        <v>0</v>
      </c>
      <c r="CQ11" s="421">
        <v>16</v>
      </c>
      <c r="CR11" s="421">
        <v>131422498</v>
      </c>
      <c r="CS11" s="421">
        <v>21028000</v>
      </c>
      <c r="CT11" s="421">
        <v>21028000</v>
      </c>
      <c r="CU11" s="421">
        <v>0</v>
      </c>
      <c r="CV11" s="421">
        <v>0</v>
      </c>
      <c r="CW11" s="421">
        <v>0</v>
      </c>
      <c r="CX11" s="421">
        <v>0</v>
      </c>
      <c r="CY11" s="421">
        <v>0</v>
      </c>
      <c r="CZ11" s="421">
        <v>0</v>
      </c>
      <c r="DA11" s="421">
        <v>0</v>
      </c>
      <c r="DB11" s="421">
        <v>0</v>
      </c>
      <c r="DC11" s="421">
        <v>0</v>
      </c>
      <c r="DD11" s="421">
        <v>0</v>
      </c>
      <c r="DE11" s="421">
        <v>0</v>
      </c>
      <c r="DF11" s="421">
        <v>0</v>
      </c>
      <c r="DG11" s="421">
        <v>0</v>
      </c>
      <c r="DH11" s="421">
        <v>0</v>
      </c>
      <c r="DI11" s="421">
        <v>0</v>
      </c>
      <c r="DJ11" s="421">
        <v>0</v>
      </c>
      <c r="DK11" s="421">
        <v>0</v>
      </c>
      <c r="DL11" s="421">
        <v>0</v>
      </c>
      <c r="DM11" s="421">
        <v>0</v>
      </c>
      <c r="DN11" s="421">
        <v>0</v>
      </c>
      <c r="DO11" s="421">
        <v>0</v>
      </c>
      <c r="DP11" s="421">
        <v>0</v>
      </c>
      <c r="DQ11" s="421">
        <v>0</v>
      </c>
      <c r="DR11" s="421">
        <v>0</v>
      </c>
      <c r="DS11" s="421">
        <v>0</v>
      </c>
      <c r="DT11" s="421">
        <v>0</v>
      </c>
      <c r="DU11" s="421">
        <v>0</v>
      </c>
      <c r="DV11" s="421">
        <v>0</v>
      </c>
      <c r="DW11" s="421">
        <v>0</v>
      </c>
      <c r="DX11" s="421">
        <v>0</v>
      </c>
      <c r="DY11" s="421">
        <v>38170000</v>
      </c>
      <c r="DZ11" s="421">
        <v>38170000</v>
      </c>
      <c r="EA11" s="421">
        <v>0</v>
      </c>
      <c r="EB11" s="421">
        <v>0</v>
      </c>
      <c r="EC11" s="421" t="s">
        <v>1148</v>
      </c>
      <c r="ED11" s="421" t="s">
        <v>1167</v>
      </c>
      <c r="EE11" s="421" t="s">
        <v>1167</v>
      </c>
    </row>
    <row r="12" spans="1:135" x14ac:dyDescent="0.25">
      <c r="A12" s="421">
        <v>9</v>
      </c>
      <c r="B12" s="421">
        <v>2015</v>
      </c>
      <c r="C12" s="421">
        <v>1</v>
      </c>
      <c r="D12" s="421">
        <v>21</v>
      </c>
      <c r="E12" s="424">
        <v>42025</v>
      </c>
      <c r="F12" s="421" t="s">
        <v>1261</v>
      </c>
      <c r="G12" s="421" t="s">
        <v>1262</v>
      </c>
      <c r="H12" s="421" t="s">
        <v>1152</v>
      </c>
      <c r="I12" s="421" t="s">
        <v>1107</v>
      </c>
      <c r="J12" s="421" t="s">
        <v>1108</v>
      </c>
      <c r="K12" s="421" t="s">
        <v>1109</v>
      </c>
      <c r="L12" s="421" t="s">
        <v>1110</v>
      </c>
      <c r="O12" s="421" t="s">
        <v>1111</v>
      </c>
      <c r="R12" s="421" t="s">
        <v>1111</v>
      </c>
      <c r="S12" s="421" t="s">
        <v>1112</v>
      </c>
      <c r="T12" s="421" t="s">
        <v>1113</v>
      </c>
      <c r="U12" s="421" t="s">
        <v>1114</v>
      </c>
      <c r="V12" s="421" t="s">
        <v>1115</v>
      </c>
      <c r="W12" s="421" t="s">
        <v>1116</v>
      </c>
      <c r="X12" s="421" t="s">
        <v>1117</v>
      </c>
      <c r="Y12" s="421" t="s">
        <v>1118</v>
      </c>
      <c r="Z12" s="421" t="s">
        <v>1119</v>
      </c>
      <c r="AA12" s="421" t="s">
        <v>1120</v>
      </c>
      <c r="AB12" s="421" t="s">
        <v>1121</v>
      </c>
      <c r="AC12" s="421" t="s">
        <v>1122</v>
      </c>
      <c r="AD12" s="421" t="s">
        <v>1263</v>
      </c>
      <c r="AE12" s="421" t="s">
        <v>1264</v>
      </c>
      <c r="AF12" s="421" t="s">
        <v>1265</v>
      </c>
      <c r="AG12" s="421" t="s">
        <v>1266</v>
      </c>
      <c r="AH12" s="421">
        <v>4000</v>
      </c>
      <c r="AI12" s="421" t="s">
        <v>1127</v>
      </c>
      <c r="AJ12" s="421">
        <v>9</v>
      </c>
      <c r="AK12" s="421">
        <v>1</v>
      </c>
      <c r="AL12" s="421" t="s">
        <v>1267</v>
      </c>
      <c r="AM12" s="421">
        <v>4000</v>
      </c>
      <c r="AN12" s="421">
        <v>4200</v>
      </c>
      <c r="AO12" s="421" t="s">
        <v>1120</v>
      </c>
      <c r="AP12" s="421" t="s">
        <v>1129</v>
      </c>
      <c r="AR12" s="421" t="s">
        <v>1130</v>
      </c>
      <c r="AT12" s="421" t="s">
        <v>1131</v>
      </c>
      <c r="AU12" s="421" t="s">
        <v>1132</v>
      </c>
      <c r="AV12" s="421" t="s">
        <v>1133</v>
      </c>
      <c r="AW12" s="421" t="s">
        <v>964</v>
      </c>
      <c r="AX12" s="421" t="s">
        <v>964</v>
      </c>
      <c r="AY12" s="421" t="s">
        <v>964</v>
      </c>
      <c r="AZ12" s="421" t="s">
        <v>1121</v>
      </c>
      <c r="BA12" s="421" t="s">
        <v>1268</v>
      </c>
      <c r="BB12" s="421" t="s">
        <v>964</v>
      </c>
      <c r="BC12" s="421" t="s">
        <v>1269</v>
      </c>
      <c r="BD12" s="421" t="s">
        <v>1270</v>
      </c>
      <c r="BE12" s="421" t="s">
        <v>1271</v>
      </c>
      <c r="BF12" s="421" t="s">
        <v>1272</v>
      </c>
      <c r="BG12" s="421" t="s">
        <v>1273</v>
      </c>
      <c r="BH12" s="421" t="s">
        <v>1274</v>
      </c>
      <c r="BI12" s="421" t="s">
        <v>1142</v>
      </c>
      <c r="BJ12" s="421" t="s">
        <v>1275</v>
      </c>
      <c r="BK12" s="421" t="s">
        <v>1262</v>
      </c>
      <c r="BL12" s="421" t="s">
        <v>1276</v>
      </c>
      <c r="BM12" s="421" t="s">
        <v>1277</v>
      </c>
      <c r="BN12" s="421" t="s">
        <v>1182</v>
      </c>
      <c r="BO12" s="421">
        <v>0</v>
      </c>
      <c r="BR12" s="421">
        <v>0</v>
      </c>
      <c r="BS12" s="421">
        <v>0</v>
      </c>
      <c r="BT12" s="421">
        <v>0</v>
      </c>
      <c r="BU12" s="424">
        <v>41968</v>
      </c>
      <c r="BX12" s="421">
        <v>2398.91</v>
      </c>
      <c r="BY12" s="421" t="s">
        <v>1147</v>
      </c>
      <c r="BZ12" s="421">
        <v>26600</v>
      </c>
      <c r="CA12" s="421">
        <v>63811006</v>
      </c>
      <c r="CB12" s="421">
        <v>10.64</v>
      </c>
      <c r="CC12" s="421">
        <v>0</v>
      </c>
      <c r="CD12" s="421">
        <v>2454.6</v>
      </c>
      <c r="CE12" s="421">
        <v>2465.2399999999998</v>
      </c>
      <c r="CF12" s="421">
        <v>0</v>
      </c>
      <c r="CG12" s="421">
        <v>29065.24</v>
      </c>
      <c r="CH12" s="421">
        <v>0</v>
      </c>
      <c r="CI12" s="421">
        <v>29065.24</v>
      </c>
      <c r="CJ12" s="421">
        <v>69724894.888400003</v>
      </c>
      <c r="CK12" s="421">
        <v>5</v>
      </c>
      <c r="CL12" s="421">
        <v>69724895</v>
      </c>
      <c r="CM12" s="421">
        <v>3486000</v>
      </c>
      <c r="CN12" s="421">
        <v>3486000</v>
      </c>
      <c r="CO12" s="421">
        <v>0</v>
      </c>
      <c r="CP12" s="421">
        <v>0</v>
      </c>
      <c r="CQ12" s="421">
        <v>16</v>
      </c>
      <c r="CR12" s="421">
        <v>73210895</v>
      </c>
      <c r="CS12" s="421">
        <v>11714000</v>
      </c>
      <c r="CT12" s="421">
        <v>11714000</v>
      </c>
      <c r="CU12" s="421">
        <v>0</v>
      </c>
      <c r="CV12" s="421">
        <v>0</v>
      </c>
      <c r="CW12" s="421">
        <v>0</v>
      </c>
      <c r="CX12" s="421">
        <v>0</v>
      </c>
      <c r="CY12" s="421">
        <v>0</v>
      </c>
      <c r="CZ12" s="421">
        <v>0</v>
      </c>
      <c r="DA12" s="421">
        <v>0</v>
      </c>
      <c r="DB12" s="421">
        <v>0</v>
      </c>
      <c r="DC12" s="421">
        <v>0</v>
      </c>
      <c r="DD12" s="421">
        <v>0</v>
      </c>
      <c r="DE12" s="421">
        <v>0</v>
      </c>
      <c r="DF12" s="421">
        <v>0</v>
      </c>
      <c r="DG12" s="421">
        <v>0</v>
      </c>
      <c r="DH12" s="421">
        <v>0</v>
      </c>
      <c r="DI12" s="421">
        <v>0</v>
      </c>
      <c r="DJ12" s="421">
        <v>0</v>
      </c>
      <c r="DK12" s="421">
        <v>0</v>
      </c>
      <c r="DL12" s="421">
        <v>0</v>
      </c>
      <c r="DM12" s="421">
        <v>0</v>
      </c>
      <c r="DN12" s="421">
        <v>0</v>
      </c>
      <c r="DO12" s="421">
        <v>0</v>
      </c>
      <c r="DP12" s="421">
        <v>0</v>
      </c>
      <c r="DQ12" s="421">
        <v>0</v>
      </c>
      <c r="DR12" s="421">
        <v>0</v>
      </c>
      <c r="DS12" s="421">
        <v>0</v>
      </c>
      <c r="DT12" s="421">
        <v>0</v>
      </c>
      <c r="DU12" s="421">
        <v>0</v>
      </c>
      <c r="DV12" s="421">
        <v>0</v>
      </c>
      <c r="DW12" s="421">
        <v>0</v>
      </c>
      <c r="DX12" s="421">
        <v>0</v>
      </c>
      <c r="DY12" s="421">
        <v>15200000</v>
      </c>
      <c r="DZ12" s="421">
        <v>15200000</v>
      </c>
      <c r="EA12" s="421">
        <v>0</v>
      </c>
      <c r="EB12" s="421">
        <v>0</v>
      </c>
      <c r="EC12" s="421" t="s">
        <v>1148</v>
      </c>
      <c r="ED12" s="421" t="s">
        <v>1278</v>
      </c>
      <c r="EE12" s="421" t="s">
        <v>1278</v>
      </c>
    </row>
    <row r="13" spans="1:135" x14ac:dyDescent="0.25">
      <c r="A13" s="421">
        <v>10</v>
      </c>
      <c r="B13" s="421">
        <v>2015</v>
      </c>
      <c r="C13" s="421">
        <v>1</v>
      </c>
      <c r="D13" s="421">
        <v>26</v>
      </c>
      <c r="E13" s="424">
        <v>42030</v>
      </c>
      <c r="F13" s="421" t="s">
        <v>1279</v>
      </c>
      <c r="G13" s="421" t="s">
        <v>1280</v>
      </c>
      <c r="H13" s="421" t="s">
        <v>1152</v>
      </c>
      <c r="I13" s="421" t="s">
        <v>1281</v>
      </c>
      <c r="J13" s="421" t="s">
        <v>1108</v>
      </c>
      <c r="K13" s="421" t="s">
        <v>1202</v>
      </c>
      <c r="L13" s="421" t="s">
        <v>1110</v>
      </c>
      <c r="O13" s="421" t="s">
        <v>1111</v>
      </c>
      <c r="R13" s="421" t="s">
        <v>1111</v>
      </c>
      <c r="S13" s="421" t="s">
        <v>1112</v>
      </c>
      <c r="T13" s="421" t="s">
        <v>1113</v>
      </c>
      <c r="U13" s="421" t="s">
        <v>1114</v>
      </c>
      <c r="V13" s="421" t="s">
        <v>1115</v>
      </c>
      <c r="W13" s="421" t="s">
        <v>1116</v>
      </c>
      <c r="X13" s="421" t="s">
        <v>1117</v>
      </c>
      <c r="Y13" s="421" t="s">
        <v>1118</v>
      </c>
      <c r="Z13" s="421" t="s">
        <v>1119</v>
      </c>
      <c r="AA13" s="421" t="s">
        <v>1120</v>
      </c>
      <c r="AB13" s="421" t="s">
        <v>1121</v>
      </c>
      <c r="AC13" s="421" t="s">
        <v>1122</v>
      </c>
      <c r="AD13" s="421" t="s">
        <v>1263</v>
      </c>
      <c r="AE13" s="421" t="s">
        <v>1203</v>
      </c>
      <c r="AF13" s="421" t="s">
        <v>1204</v>
      </c>
      <c r="AG13" s="421" t="s">
        <v>1282</v>
      </c>
      <c r="AH13" s="421">
        <v>43000</v>
      </c>
      <c r="AI13" s="421" t="s">
        <v>1127</v>
      </c>
      <c r="AJ13" s="421">
        <v>2</v>
      </c>
      <c r="AK13" s="421">
        <v>1</v>
      </c>
      <c r="AL13" s="421" t="s">
        <v>1283</v>
      </c>
      <c r="AM13" s="421">
        <v>43000</v>
      </c>
      <c r="AN13" s="421">
        <v>43485</v>
      </c>
      <c r="AO13" s="421" t="s">
        <v>1120</v>
      </c>
      <c r="AP13" s="421" t="s">
        <v>1129</v>
      </c>
      <c r="AR13" s="421" t="s">
        <v>1130</v>
      </c>
      <c r="AT13" s="421" t="s">
        <v>1131</v>
      </c>
      <c r="AU13" s="421" t="s">
        <v>1132</v>
      </c>
      <c r="AV13" s="421" t="s">
        <v>1133</v>
      </c>
      <c r="AW13" s="421" t="s">
        <v>1207</v>
      </c>
      <c r="AX13" s="421" t="s">
        <v>1207</v>
      </c>
      <c r="AY13" s="421" t="s">
        <v>1208</v>
      </c>
      <c r="AZ13" s="421" t="s">
        <v>1121</v>
      </c>
      <c r="BA13" s="421" t="s">
        <v>1209</v>
      </c>
      <c r="BB13" s="421" t="s">
        <v>1208</v>
      </c>
      <c r="BC13" s="421" t="s">
        <v>1210</v>
      </c>
      <c r="BD13" s="421" t="s">
        <v>1211</v>
      </c>
      <c r="BE13" s="421" t="s">
        <v>1212</v>
      </c>
      <c r="BF13" s="421" t="s">
        <v>1284</v>
      </c>
      <c r="BG13" s="421" t="s">
        <v>1285</v>
      </c>
      <c r="BH13" s="421" t="s">
        <v>1286</v>
      </c>
      <c r="BI13" s="421" t="s">
        <v>1142</v>
      </c>
      <c r="BJ13" s="421" t="s">
        <v>1243</v>
      </c>
      <c r="BK13" s="421" t="s">
        <v>1280</v>
      </c>
      <c r="BL13" s="421" t="s">
        <v>1287</v>
      </c>
      <c r="BM13" s="421" t="s">
        <v>1288</v>
      </c>
      <c r="BN13" s="421" t="s">
        <v>1244</v>
      </c>
      <c r="BO13" s="421">
        <v>0</v>
      </c>
      <c r="BR13" s="421">
        <v>0</v>
      </c>
      <c r="BS13" s="421">
        <v>0</v>
      </c>
      <c r="BT13" s="421">
        <v>0</v>
      </c>
      <c r="BU13" s="424">
        <v>42025</v>
      </c>
      <c r="BX13" s="421">
        <v>2370.75</v>
      </c>
      <c r="BY13" s="421" t="s">
        <v>1147</v>
      </c>
      <c r="BZ13" s="421">
        <v>111800</v>
      </c>
      <c r="CA13" s="421">
        <v>265049850</v>
      </c>
      <c r="CB13" s="421">
        <v>44.72</v>
      </c>
      <c r="CC13" s="421">
        <v>0</v>
      </c>
      <c r="CD13" s="421">
        <v>1680</v>
      </c>
      <c r="CE13" s="421">
        <v>1724.72</v>
      </c>
      <c r="CF13" s="421">
        <v>0</v>
      </c>
      <c r="CG13" s="421">
        <v>113524.72</v>
      </c>
      <c r="CH13" s="421">
        <v>0</v>
      </c>
      <c r="CI13" s="421">
        <v>113524.72</v>
      </c>
      <c r="CJ13" s="421">
        <v>269138729.94</v>
      </c>
      <c r="CK13" s="421">
        <v>0</v>
      </c>
      <c r="CL13" s="421">
        <v>269138730</v>
      </c>
      <c r="CM13" s="421">
        <v>0</v>
      </c>
      <c r="CN13" s="421">
        <v>0</v>
      </c>
      <c r="CO13" s="421">
        <v>0</v>
      </c>
      <c r="CP13" s="421">
        <v>0</v>
      </c>
      <c r="CQ13" s="421">
        <v>0</v>
      </c>
      <c r="CR13" s="421">
        <v>269138730</v>
      </c>
      <c r="CS13" s="421">
        <v>0</v>
      </c>
      <c r="CT13" s="421">
        <v>0</v>
      </c>
      <c r="CU13" s="421">
        <v>0</v>
      </c>
      <c r="CV13" s="421">
        <v>0</v>
      </c>
      <c r="CW13" s="421">
        <v>0</v>
      </c>
      <c r="CX13" s="421">
        <v>0</v>
      </c>
      <c r="CY13" s="421">
        <v>0</v>
      </c>
      <c r="CZ13" s="421">
        <v>0</v>
      </c>
      <c r="DA13" s="421">
        <v>0</v>
      </c>
      <c r="DB13" s="421">
        <v>0</v>
      </c>
      <c r="DC13" s="421">
        <v>0</v>
      </c>
      <c r="DD13" s="421">
        <v>0</v>
      </c>
      <c r="DE13" s="421">
        <v>0</v>
      </c>
      <c r="DF13" s="421">
        <v>0</v>
      </c>
      <c r="DG13" s="421">
        <v>0</v>
      </c>
      <c r="DH13" s="421">
        <v>0</v>
      </c>
      <c r="DI13" s="421">
        <v>0</v>
      </c>
      <c r="DJ13" s="421">
        <v>0</v>
      </c>
      <c r="DK13" s="421">
        <v>0</v>
      </c>
      <c r="DL13" s="421">
        <v>0</v>
      </c>
      <c r="DM13" s="421">
        <v>0</v>
      </c>
      <c r="DN13" s="421">
        <v>0</v>
      </c>
      <c r="DO13" s="421">
        <v>0</v>
      </c>
      <c r="DP13" s="421">
        <v>0</v>
      </c>
      <c r="DQ13" s="421">
        <v>0</v>
      </c>
      <c r="DR13" s="421">
        <v>0</v>
      </c>
      <c r="DS13" s="421">
        <v>0</v>
      </c>
      <c r="DT13" s="421">
        <v>0</v>
      </c>
      <c r="DU13" s="421">
        <v>0</v>
      </c>
      <c r="DV13" s="421">
        <v>0</v>
      </c>
      <c r="DW13" s="421">
        <v>0</v>
      </c>
      <c r="DX13" s="421">
        <v>0</v>
      </c>
      <c r="DY13" s="421">
        <v>0</v>
      </c>
      <c r="DZ13" s="421">
        <v>0</v>
      </c>
      <c r="EA13" s="421">
        <v>0</v>
      </c>
      <c r="EB13" s="421">
        <v>0</v>
      </c>
      <c r="EC13" s="421" t="s">
        <v>1148</v>
      </c>
      <c r="ED13" s="421" t="s">
        <v>1149</v>
      </c>
      <c r="EE13" s="421" t="s">
        <v>1149</v>
      </c>
    </row>
    <row r="14" spans="1:135" x14ac:dyDescent="0.25">
      <c r="A14" s="421">
        <v>11</v>
      </c>
      <c r="B14" s="421">
        <v>2015</v>
      </c>
      <c r="C14" s="421">
        <v>1</v>
      </c>
      <c r="D14" s="421">
        <v>28</v>
      </c>
      <c r="E14" s="424">
        <v>42032</v>
      </c>
      <c r="F14" s="421" t="s">
        <v>1289</v>
      </c>
      <c r="G14" s="421" t="s">
        <v>1290</v>
      </c>
      <c r="H14" s="421" t="s">
        <v>1152</v>
      </c>
      <c r="I14" s="421" t="s">
        <v>1107</v>
      </c>
      <c r="J14" s="421" t="s">
        <v>1108</v>
      </c>
      <c r="K14" s="421" t="s">
        <v>1202</v>
      </c>
      <c r="L14" s="421" t="s">
        <v>1110</v>
      </c>
      <c r="O14" s="421" t="s">
        <v>1111</v>
      </c>
      <c r="R14" s="421" t="s">
        <v>1111</v>
      </c>
      <c r="S14" s="421" t="s">
        <v>1112</v>
      </c>
      <c r="T14" s="421" t="s">
        <v>1113</v>
      </c>
      <c r="U14" s="421" t="s">
        <v>1114</v>
      </c>
      <c r="V14" s="421" t="s">
        <v>1115</v>
      </c>
      <c r="W14" s="421" t="s">
        <v>1116</v>
      </c>
      <c r="X14" s="421" t="s">
        <v>1117</v>
      </c>
      <c r="Y14" s="421" t="s">
        <v>1118</v>
      </c>
      <c r="Z14" s="421" t="s">
        <v>1119</v>
      </c>
      <c r="AA14" s="421" t="s">
        <v>1120</v>
      </c>
      <c r="AB14" s="421" t="s">
        <v>1121</v>
      </c>
      <c r="AC14" s="421" t="s">
        <v>1122</v>
      </c>
      <c r="AD14" s="421" t="s">
        <v>1263</v>
      </c>
      <c r="AE14" s="421" t="s">
        <v>1203</v>
      </c>
      <c r="AF14" s="421" t="s">
        <v>1204</v>
      </c>
      <c r="AG14" s="421" t="s">
        <v>1291</v>
      </c>
      <c r="AH14" s="421">
        <v>21500</v>
      </c>
      <c r="AI14" s="421" t="s">
        <v>1127</v>
      </c>
      <c r="AJ14" s="421">
        <v>1</v>
      </c>
      <c r="AK14" s="421">
        <v>1</v>
      </c>
      <c r="AL14" s="421" t="s">
        <v>1206</v>
      </c>
      <c r="AM14" s="421">
        <v>21500</v>
      </c>
      <c r="AN14" s="421">
        <v>21743</v>
      </c>
      <c r="AO14" s="421" t="s">
        <v>1120</v>
      </c>
      <c r="AP14" s="421" t="s">
        <v>1129</v>
      </c>
      <c r="AR14" s="421" t="s">
        <v>1130</v>
      </c>
      <c r="AT14" s="421" t="s">
        <v>1131</v>
      </c>
      <c r="AU14" s="421" t="s">
        <v>1132</v>
      </c>
      <c r="AV14" s="421" t="s">
        <v>1133</v>
      </c>
      <c r="AW14" s="421" t="s">
        <v>1207</v>
      </c>
      <c r="AX14" s="421" t="s">
        <v>1207</v>
      </c>
      <c r="AY14" s="421" t="s">
        <v>1208</v>
      </c>
      <c r="AZ14" s="421" t="s">
        <v>1121</v>
      </c>
      <c r="BA14" s="421" t="s">
        <v>1209</v>
      </c>
      <c r="BB14" s="421" t="s">
        <v>1208</v>
      </c>
      <c r="BC14" s="421" t="s">
        <v>1210</v>
      </c>
      <c r="BD14" s="421" t="s">
        <v>1211</v>
      </c>
      <c r="BE14" s="421" t="s">
        <v>1212</v>
      </c>
      <c r="BF14" s="421" t="s">
        <v>1292</v>
      </c>
      <c r="BG14" s="421" t="s">
        <v>1293</v>
      </c>
      <c r="BH14" s="421" t="s">
        <v>1294</v>
      </c>
      <c r="BI14" s="421" t="s">
        <v>1142</v>
      </c>
      <c r="BJ14" s="421" t="s">
        <v>1275</v>
      </c>
      <c r="BK14" s="421" t="s">
        <v>1290</v>
      </c>
      <c r="BL14" s="421" t="s">
        <v>1295</v>
      </c>
      <c r="BM14" s="421" t="s">
        <v>1296</v>
      </c>
      <c r="BN14" s="421" t="s">
        <v>1297</v>
      </c>
      <c r="BO14" s="421">
        <v>0</v>
      </c>
      <c r="BR14" s="421">
        <v>0</v>
      </c>
      <c r="BS14" s="421">
        <v>0</v>
      </c>
      <c r="BT14" s="421">
        <v>0</v>
      </c>
      <c r="BU14" s="424">
        <v>42023</v>
      </c>
      <c r="BX14" s="421">
        <v>2370.75</v>
      </c>
      <c r="BY14" s="421" t="s">
        <v>1147</v>
      </c>
      <c r="BZ14" s="421">
        <v>55900</v>
      </c>
      <c r="CA14" s="421">
        <v>132524925</v>
      </c>
      <c r="CB14" s="421">
        <v>22.36</v>
      </c>
      <c r="CC14" s="421">
        <v>0</v>
      </c>
      <c r="CD14" s="421">
        <v>1175.47</v>
      </c>
      <c r="CE14" s="421">
        <v>1197.83</v>
      </c>
      <c r="CF14" s="421">
        <v>0</v>
      </c>
      <c r="CG14" s="421">
        <v>57097.83</v>
      </c>
      <c r="CH14" s="421">
        <v>0</v>
      </c>
      <c r="CI14" s="421">
        <v>57097.83</v>
      </c>
      <c r="CJ14" s="421">
        <v>135364680.4725</v>
      </c>
      <c r="CK14" s="421">
        <v>0</v>
      </c>
      <c r="CL14" s="421">
        <v>135364680</v>
      </c>
      <c r="CM14" s="421">
        <v>0</v>
      </c>
      <c r="CN14" s="421">
        <v>0</v>
      </c>
      <c r="CO14" s="421">
        <v>0</v>
      </c>
      <c r="CP14" s="421">
        <v>0</v>
      </c>
      <c r="CQ14" s="421">
        <v>0</v>
      </c>
      <c r="CR14" s="421">
        <v>135364680</v>
      </c>
      <c r="CS14" s="421">
        <v>0</v>
      </c>
      <c r="CT14" s="421">
        <v>0</v>
      </c>
      <c r="CU14" s="421">
        <v>0</v>
      </c>
      <c r="CV14" s="421">
        <v>0</v>
      </c>
      <c r="CW14" s="421">
        <v>0</v>
      </c>
      <c r="CX14" s="421">
        <v>0</v>
      </c>
      <c r="CY14" s="421">
        <v>0</v>
      </c>
      <c r="CZ14" s="421">
        <v>0</v>
      </c>
      <c r="DA14" s="421">
        <v>0</v>
      </c>
      <c r="DB14" s="421">
        <v>0</v>
      </c>
      <c r="DC14" s="421">
        <v>0</v>
      </c>
      <c r="DD14" s="421">
        <v>0</v>
      </c>
      <c r="DE14" s="421">
        <v>0</v>
      </c>
      <c r="DF14" s="421">
        <v>0</v>
      </c>
      <c r="DG14" s="421">
        <v>0</v>
      </c>
      <c r="DH14" s="421">
        <v>0</v>
      </c>
      <c r="DI14" s="421">
        <v>0</v>
      </c>
      <c r="DJ14" s="421">
        <v>0</v>
      </c>
      <c r="DK14" s="421">
        <v>0</v>
      </c>
      <c r="DL14" s="421">
        <v>0</v>
      </c>
      <c r="DM14" s="421">
        <v>0</v>
      </c>
      <c r="DN14" s="421">
        <v>0</v>
      </c>
      <c r="DO14" s="421">
        <v>0</v>
      </c>
      <c r="DP14" s="421">
        <v>0</v>
      </c>
      <c r="DQ14" s="421">
        <v>0</v>
      </c>
      <c r="DR14" s="421">
        <v>0</v>
      </c>
      <c r="DS14" s="421">
        <v>0</v>
      </c>
      <c r="DT14" s="421">
        <v>0</v>
      </c>
      <c r="DU14" s="421">
        <v>0</v>
      </c>
      <c r="DV14" s="421">
        <v>0</v>
      </c>
      <c r="DW14" s="421">
        <v>0</v>
      </c>
      <c r="DX14" s="421">
        <v>0</v>
      </c>
      <c r="DY14" s="421">
        <v>0</v>
      </c>
      <c r="DZ14" s="421">
        <v>0</v>
      </c>
      <c r="EA14" s="421">
        <v>0</v>
      </c>
      <c r="EB14" s="421">
        <v>0</v>
      </c>
      <c r="EC14" s="421" t="s">
        <v>1148</v>
      </c>
      <c r="ED14" s="421" t="s">
        <v>1149</v>
      </c>
      <c r="EE14" s="421" t="s">
        <v>1149</v>
      </c>
    </row>
    <row r="15" spans="1:135" x14ac:dyDescent="0.25">
      <c r="A15" s="421">
        <v>12</v>
      </c>
      <c r="B15" s="421">
        <v>2015</v>
      </c>
      <c r="C15" s="421">
        <v>2</v>
      </c>
      <c r="D15" s="421">
        <v>3</v>
      </c>
      <c r="E15" s="424">
        <v>42038</v>
      </c>
      <c r="F15" s="421" t="s">
        <v>1298</v>
      </c>
      <c r="G15" s="421" t="s">
        <v>1299</v>
      </c>
      <c r="H15" s="421" t="s">
        <v>1106</v>
      </c>
      <c r="I15" s="421" t="s">
        <v>1107</v>
      </c>
      <c r="J15" s="421" t="s">
        <v>1108</v>
      </c>
      <c r="K15" s="421" t="s">
        <v>1109</v>
      </c>
      <c r="L15" s="421" t="s">
        <v>1110</v>
      </c>
      <c r="O15" s="421" t="s">
        <v>1111</v>
      </c>
      <c r="R15" s="421" t="s">
        <v>1111</v>
      </c>
      <c r="S15" s="421" t="s">
        <v>1112</v>
      </c>
      <c r="T15" s="421" t="s">
        <v>1113</v>
      </c>
      <c r="U15" s="421" t="s">
        <v>1114</v>
      </c>
      <c r="V15" s="421" t="s">
        <v>1115</v>
      </c>
      <c r="W15" s="421" t="s">
        <v>1116</v>
      </c>
      <c r="X15" s="421" t="s">
        <v>1117</v>
      </c>
      <c r="Y15" s="421" t="s">
        <v>1118</v>
      </c>
      <c r="Z15" s="421" t="s">
        <v>1119</v>
      </c>
      <c r="AA15" s="421" t="s">
        <v>1120</v>
      </c>
      <c r="AB15" s="421" t="s">
        <v>1121</v>
      </c>
      <c r="AC15" s="421" t="s">
        <v>1122</v>
      </c>
      <c r="AD15" s="421" t="s">
        <v>1263</v>
      </c>
      <c r="AE15" s="421" t="s">
        <v>1300</v>
      </c>
      <c r="AF15" s="421" t="s">
        <v>1301</v>
      </c>
      <c r="AG15" s="421" t="s">
        <v>1302</v>
      </c>
      <c r="AH15" s="421">
        <v>1771</v>
      </c>
      <c r="AI15" s="421" t="s">
        <v>1127</v>
      </c>
      <c r="AJ15" s="421">
        <v>473</v>
      </c>
      <c r="AK15" s="421">
        <v>1</v>
      </c>
      <c r="AL15" s="421" t="s">
        <v>1173</v>
      </c>
      <c r="AM15" s="421">
        <v>1771</v>
      </c>
      <c r="AN15" s="421">
        <v>1960.2</v>
      </c>
      <c r="AO15" s="421" t="s">
        <v>1120</v>
      </c>
      <c r="AP15" s="421" t="s">
        <v>1129</v>
      </c>
      <c r="AR15" s="421" t="s">
        <v>1130</v>
      </c>
      <c r="AT15" s="421" t="s">
        <v>1131</v>
      </c>
      <c r="AU15" s="421" t="s">
        <v>1303</v>
      </c>
      <c r="AV15" s="421" t="s">
        <v>1304</v>
      </c>
      <c r="AW15" s="421" t="s">
        <v>960</v>
      </c>
      <c r="AX15" s="421" t="s">
        <v>960</v>
      </c>
      <c r="AY15" s="421" t="s">
        <v>960</v>
      </c>
      <c r="AZ15" s="421" t="s">
        <v>1121</v>
      </c>
      <c r="BA15" s="421" t="s">
        <v>1305</v>
      </c>
      <c r="BB15" s="421" t="s">
        <v>960</v>
      </c>
      <c r="BC15" s="421" t="s">
        <v>1175</v>
      </c>
      <c r="BD15" s="421" t="s">
        <v>1306</v>
      </c>
      <c r="BE15" s="421" t="s">
        <v>1307</v>
      </c>
      <c r="BF15" s="421" t="s">
        <v>1308</v>
      </c>
      <c r="BG15" s="421" t="s">
        <v>1276</v>
      </c>
      <c r="BH15" s="421" t="s">
        <v>1309</v>
      </c>
      <c r="BI15" s="421" t="s">
        <v>1142</v>
      </c>
      <c r="BJ15" s="421" t="s">
        <v>1180</v>
      </c>
      <c r="BK15" s="421" t="s">
        <v>1299</v>
      </c>
      <c r="BL15" s="421" t="s">
        <v>1310</v>
      </c>
      <c r="BM15" s="421" t="s">
        <v>1311</v>
      </c>
      <c r="BN15" s="421" t="s">
        <v>1312</v>
      </c>
      <c r="BO15" s="421">
        <v>0</v>
      </c>
      <c r="BR15" s="421">
        <v>0</v>
      </c>
      <c r="BS15" s="421">
        <v>0</v>
      </c>
      <c r="BT15" s="421">
        <v>0</v>
      </c>
      <c r="BU15" s="424">
        <v>41995</v>
      </c>
      <c r="BX15" s="421">
        <v>2397.35</v>
      </c>
      <c r="BY15" s="421" t="s">
        <v>1183</v>
      </c>
      <c r="BZ15" s="421">
        <v>29430.720000000001</v>
      </c>
      <c r="CA15" s="421">
        <v>70555736.591999993</v>
      </c>
      <c r="CB15" s="421">
        <v>11.77</v>
      </c>
      <c r="CC15" s="421">
        <v>0</v>
      </c>
      <c r="CD15" s="421">
        <v>1946.8</v>
      </c>
      <c r="CE15" s="421">
        <v>1958.57</v>
      </c>
      <c r="CF15" s="421">
        <v>0</v>
      </c>
      <c r="CG15" s="421">
        <v>31389.29</v>
      </c>
      <c r="CH15" s="421">
        <v>0</v>
      </c>
      <c r="CI15" s="421">
        <v>31389.29</v>
      </c>
      <c r="CJ15" s="421">
        <v>75251114.381500006</v>
      </c>
      <c r="CK15" s="421">
        <v>15</v>
      </c>
      <c r="CL15" s="421">
        <v>75251114</v>
      </c>
      <c r="CM15" s="421">
        <v>11288000</v>
      </c>
      <c r="CN15" s="421">
        <v>11288000</v>
      </c>
      <c r="CO15" s="421">
        <v>0</v>
      </c>
      <c r="CP15" s="421">
        <v>0</v>
      </c>
      <c r="CQ15" s="421">
        <v>16</v>
      </c>
      <c r="CR15" s="421">
        <v>86539114</v>
      </c>
      <c r="CS15" s="421">
        <v>13846000</v>
      </c>
      <c r="CT15" s="421">
        <v>13846000</v>
      </c>
      <c r="CU15" s="421">
        <v>0</v>
      </c>
      <c r="CV15" s="421">
        <v>0</v>
      </c>
      <c r="CW15" s="421">
        <v>0</v>
      </c>
      <c r="CX15" s="421">
        <v>0</v>
      </c>
      <c r="CY15" s="421">
        <v>0</v>
      </c>
      <c r="CZ15" s="421">
        <v>0</v>
      </c>
      <c r="DA15" s="421">
        <v>0</v>
      </c>
      <c r="DB15" s="421">
        <v>0</v>
      </c>
      <c r="DC15" s="421">
        <v>0</v>
      </c>
      <c r="DD15" s="421">
        <v>0</v>
      </c>
      <c r="DE15" s="421">
        <v>0</v>
      </c>
      <c r="DF15" s="421">
        <v>0</v>
      </c>
      <c r="DG15" s="421">
        <v>0</v>
      </c>
      <c r="DH15" s="421">
        <v>0</v>
      </c>
      <c r="DI15" s="421">
        <v>0</v>
      </c>
      <c r="DJ15" s="421">
        <v>0</v>
      </c>
      <c r="DK15" s="421">
        <v>0</v>
      </c>
      <c r="DL15" s="421">
        <v>0</v>
      </c>
      <c r="DM15" s="421">
        <v>0</v>
      </c>
      <c r="DN15" s="421">
        <v>0</v>
      </c>
      <c r="DO15" s="421">
        <v>0</v>
      </c>
      <c r="DP15" s="421">
        <v>0</v>
      </c>
      <c r="DQ15" s="421">
        <v>0</v>
      </c>
      <c r="DR15" s="421">
        <v>0</v>
      </c>
      <c r="DS15" s="421">
        <v>0</v>
      </c>
      <c r="DT15" s="421">
        <v>0</v>
      </c>
      <c r="DU15" s="421">
        <v>0</v>
      </c>
      <c r="DV15" s="421">
        <v>0</v>
      </c>
      <c r="DW15" s="421">
        <v>0</v>
      </c>
      <c r="DX15" s="421">
        <v>0</v>
      </c>
      <c r="DY15" s="421">
        <v>25134000</v>
      </c>
      <c r="DZ15" s="421">
        <v>25134000</v>
      </c>
      <c r="EA15" s="421">
        <v>0</v>
      </c>
      <c r="EB15" s="421">
        <v>0</v>
      </c>
      <c r="EC15" s="421" t="s">
        <v>1148</v>
      </c>
      <c r="ED15" s="421" t="s">
        <v>1167</v>
      </c>
      <c r="EE15" s="421" t="s">
        <v>1167</v>
      </c>
    </row>
    <row r="16" spans="1:135" x14ac:dyDescent="0.25">
      <c r="A16" s="421">
        <v>13</v>
      </c>
      <c r="B16" s="421">
        <v>2015</v>
      </c>
      <c r="C16" s="421">
        <v>2</v>
      </c>
      <c r="D16" s="421">
        <v>3</v>
      </c>
      <c r="E16" s="424">
        <v>42038</v>
      </c>
      <c r="F16" s="421" t="s">
        <v>1313</v>
      </c>
      <c r="G16" s="421" t="s">
        <v>1314</v>
      </c>
      <c r="H16" s="421" t="s">
        <v>1152</v>
      </c>
      <c r="I16" s="421" t="s">
        <v>1107</v>
      </c>
      <c r="J16" s="421" t="s">
        <v>1108</v>
      </c>
      <c r="K16" s="421" t="s">
        <v>1109</v>
      </c>
      <c r="L16" s="421" t="s">
        <v>1110</v>
      </c>
      <c r="O16" s="421" t="s">
        <v>1111</v>
      </c>
      <c r="R16" s="421" t="s">
        <v>1111</v>
      </c>
      <c r="S16" s="421" t="s">
        <v>1112</v>
      </c>
      <c r="T16" s="421" t="s">
        <v>1113</v>
      </c>
      <c r="U16" s="421" t="s">
        <v>1114</v>
      </c>
      <c r="V16" s="421" t="s">
        <v>1115</v>
      </c>
      <c r="W16" s="421" t="s">
        <v>1116</v>
      </c>
      <c r="X16" s="421" t="s">
        <v>1117</v>
      </c>
      <c r="Y16" s="421" t="s">
        <v>1118</v>
      </c>
      <c r="Z16" s="421" t="s">
        <v>1119</v>
      </c>
      <c r="AA16" s="421" t="s">
        <v>1120</v>
      </c>
      <c r="AB16" s="421" t="s">
        <v>1121</v>
      </c>
      <c r="AC16" s="421" t="s">
        <v>1122</v>
      </c>
      <c r="AD16" s="421" t="s">
        <v>1263</v>
      </c>
      <c r="AE16" s="421" t="s">
        <v>1315</v>
      </c>
      <c r="AF16" s="421" t="s">
        <v>1316</v>
      </c>
      <c r="AG16" s="421" t="s">
        <v>1317</v>
      </c>
      <c r="AH16" s="421">
        <v>4000</v>
      </c>
      <c r="AI16" s="421" t="s">
        <v>1127</v>
      </c>
      <c r="AJ16" s="421">
        <v>160</v>
      </c>
      <c r="AK16" s="421">
        <v>1</v>
      </c>
      <c r="AL16" s="421" t="s">
        <v>1318</v>
      </c>
      <c r="AM16" s="421">
        <v>4000</v>
      </c>
      <c r="AN16" s="421">
        <v>4400</v>
      </c>
      <c r="AO16" s="421" t="s">
        <v>1120</v>
      </c>
      <c r="AP16" s="421" t="s">
        <v>1129</v>
      </c>
      <c r="AR16" s="421" t="s">
        <v>1130</v>
      </c>
      <c r="AT16" s="421" t="s">
        <v>1131</v>
      </c>
      <c r="AU16" s="421" t="s">
        <v>1319</v>
      </c>
      <c r="AV16" s="421" t="s">
        <v>1320</v>
      </c>
      <c r="AW16" s="421" t="s">
        <v>1321</v>
      </c>
      <c r="AX16" s="421" t="s">
        <v>1321</v>
      </c>
      <c r="AY16" s="421" t="s">
        <v>1321</v>
      </c>
      <c r="AZ16" s="421" t="s">
        <v>1121</v>
      </c>
      <c r="BA16" s="421" t="s">
        <v>1322</v>
      </c>
      <c r="BB16" s="421" t="s">
        <v>1321</v>
      </c>
      <c r="BC16" s="421" t="s">
        <v>1323</v>
      </c>
      <c r="BD16" s="421" t="s">
        <v>1324</v>
      </c>
      <c r="BE16" s="421" t="s">
        <v>1325</v>
      </c>
      <c r="BF16" s="421" t="s">
        <v>1326</v>
      </c>
      <c r="BG16" s="421" t="s">
        <v>1285</v>
      </c>
      <c r="BH16" s="421" t="s">
        <v>1327</v>
      </c>
      <c r="BI16" s="421" t="s">
        <v>1142</v>
      </c>
      <c r="BJ16" s="421" t="s">
        <v>1163</v>
      </c>
      <c r="BK16" s="421" t="s">
        <v>1314</v>
      </c>
      <c r="BL16" s="421" t="s">
        <v>1328</v>
      </c>
      <c r="BM16" s="421" t="s">
        <v>1329</v>
      </c>
      <c r="BN16" s="421" t="s">
        <v>1330</v>
      </c>
      <c r="BO16" s="421">
        <v>0</v>
      </c>
      <c r="BR16" s="421">
        <v>0</v>
      </c>
      <c r="BS16" s="421">
        <v>0</v>
      </c>
      <c r="BT16" s="421">
        <v>0</v>
      </c>
      <c r="BU16" s="424">
        <v>42010</v>
      </c>
      <c r="BX16" s="421">
        <v>2397.35</v>
      </c>
      <c r="BY16" s="421" t="s">
        <v>1147</v>
      </c>
      <c r="BZ16" s="421">
        <v>102617.68</v>
      </c>
      <c r="CA16" s="421">
        <v>246010495.148</v>
      </c>
      <c r="CB16" s="421">
        <v>41.05</v>
      </c>
      <c r="CC16" s="421">
        <v>0</v>
      </c>
      <c r="CD16" s="421">
        <v>1601.11</v>
      </c>
      <c r="CE16" s="421">
        <v>1642.16</v>
      </c>
      <c r="CF16" s="421">
        <v>0</v>
      </c>
      <c r="CG16" s="421">
        <v>104259.84</v>
      </c>
      <c r="CH16" s="421">
        <v>0</v>
      </c>
      <c r="CI16" s="421">
        <v>104259.84</v>
      </c>
      <c r="CJ16" s="421">
        <v>249947327.42399999</v>
      </c>
      <c r="CK16" s="421">
        <v>0</v>
      </c>
      <c r="CL16" s="421">
        <v>249947327</v>
      </c>
      <c r="CM16" s="421">
        <v>0</v>
      </c>
      <c r="CN16" s="421">
        <v>0</v>
      </c>
      <c r="CO16" s="421">
        <v>0</v>
      </c>
      <c r="CP16" s="421">
        <v>0</v>
      </c>
      <c r="CQ16" s="421">
        <v>16</v>
      </c>
      <c r="CR16" s="421">
        <v>249947327</v>
      </c>
      <c r="CS16" s="421">
        <v>39992000</v>
      </c>
      <c r="CT16" s="421">
        <v>39992000</v>
      </c>
      <c r="CU16" s="421">
        <v>0</v>
      </c>
      <c r="CV16" s="421">
        <v>0</v>
      </c>
      <c r="CW16" s="421">
        <v>0</v>
      </c>
      <c r="CX16" s="421">
        <v>0</v>
      </c>
      <c r="CY16" s="421">
        <v>0</v>
      </c>
      <c r="CZ16" s="421">
        <v>0</v>
      </c>
      <c r="DA16" s="421">
        <v>0</v>
      </c>
      <c r="DB16" s="421">
        <v>0</v>
      </c>
      <c r="DC16" s="421">
        <v>0</v>
      </c>
      <c r="DD16" s="421">
        <v>0</v>
      </c>
      <c r="DE16" s="421">
        <v>0</v>
      </c>
      <c r="DF16" s="421">
        <v>0</v>
      </c>
      <c r="DG16" s="421">
        <v>0</v>
      </c>
      <c r="DH16" s="421">
        <v>0</v>
      </c>
      <c r="DI16" s="421">
        <v>0</v>
      </c>
      <c r="DJ16" s="421">
        <v>0</v>
      </c>
      <c r="DK16" s="421">
        <v>0</v>
      </c>
      <c r="DL16" s="421">
        <v>0</v>
      </c>
      <c r="DM16" s="421">
        <v>0</v>
      </c>
      <c r="DN16" s="421">
        <v>0</v>
      </c>
      <c r="DO16" s="421">
        <v>0</v>
      </c>
      <c r="DP16" s="421">
        <v>0</v>
      </c>
      <c r="DQ16" s="421">
        <v>0</v>
      </c>
      <c r="DR16" s="421">
        <v>0</v>
      </c>
      <c r="DS16" s="421">
        <v>0</v>
      </c>
      <c r="DT16" s="421">
        <v>0</v>
      </c>
      <c r="DU16" s="421">
        <v>0</v>
      </c>
      <c r="DV16" s="421">
        <v>0</v>
      </c>
      <c r="DW16" s="421">
        <v>0</v>
      </c>
      <c r="DX16" s="421">
        <v>0</v>
      </c>
      <c r="DY16" s="421">
        <v>39992000</v>
      </c>
      <c r="DZ16" s="421">
        <v>39992000</v>
      </c>
      <c r="EA16" s="421">
        <v>0</v>
      </c>
      <c r="EB16" s="421">
        <v>0</v>
      </c>
      <c r="EC16" s="421" t="s">
        <v>1148</v>
      </c>
      <c r="ED16" s="421" t="s">
        <v>1331</v>
      </c>
      <c r="EE16" s="421" t="s">
        <v>1331</v>
      </c>
    </row>
    <row r="17" spans="1:135" x14ac:dyDescent="0.25">
      <c r="A17" s="421">
        <v>14</v>
      </c>
      <c r="B17" s="421">
        <v>2015</v>
      </c>
      <c r="C17" s="421">
        <v>2</v>
      </c>
      <c r="D17" s="421">
        <v>6</v>
      </c>
      <c r="E17" s="424">
        <v>42041</v>
      </c>
      <c r="F17" s="421" t="s">
        <v>1332</v>
      </c>
      <c r="G17" s="421" t="s">
        <v>1333</v>
      </c>
      <c r="H17" s="421" t="s">
        <v>1106</v>
      </c>
      <c r="I17" s="421" t="s">
        <v>1107</v>
      </c>
      <c r="J17" s="421" t="s">
        <v>1108</v>
      </c>
      <c r="K17" s="421" t="s">
        <v>1109</v>
      </c>
      <c r="L17" s="421" t="s">
        <v>1110</v>
      </c>
      <c r="O17" s="421" t="s">
        <v>1111</v>
      </c>
      <c r="R17" s="421" t="s">
        <v>1111</v>
      </c>
      <c r="S17" s="421" t="s">
        <v>1112</v>
      </c>
      <c r="T17" s="421" t="s">
        <v>1113</v>
      </c>
      <c r="U17" s="421" t="s">
        <v>1114</v>
      </c>
      <c r="V17" s="421" t="s">
        <v>1115</v>
      </c>
      <c r="W17" s="421" t="s">
        <v>1116</v>
      </c>
      <c r="X17" s="421" t="s">
        <v>1117</v>
      </c>
      <c r="Y17" s="421" t="s">
        <v>1118</v>
      </c>
      <c r="Z17" s="421" t="s">
        <v>1119</v>
      </c>
      <c r="AA17" s="421" t="s">
        <v>1120</v>
      </c>
      <c r="AB17" s="421" t="s">
        <v>1121</v>
      </c>
      <c r="AC17" s="421" t="s">
        <v>1122</v>
      </c>
      <c r="AD17" s="421" t="s">
        <v>1263</v>
      </c>
      <c r="AE17" s="421" t="s">
        <v>1249</v>
      </c>
      <c r="AF17" s="421" t="s">
        <v>1250</v>
      </c>
      <c r="AG17" s="421" t="s">
        <v>1334</v>
      </c>
      <c r="AH17" s="421">
        <v>720</v>
      </c>
      <c r="AI17" s="421" t="s">
        <v>1189</v>
      </c>
      <c r="AJ17" s="421">
        <v>10</v>
      </c>
      <c r="AK17" s="421">
        <v>1</v>
      </c>
      <c r="AL17" s="421" t="s">
        <v>1335</v>
      </c>
      <c r="AM17" s="421">
        <v>110</v>
      </c>
      <c r="AN17" s="421">
        <v>117</v>
      </c>
      <c r="AO17" s="421" t="s">
        <v>1120</v>
      </c>
      <c r="AP17" s="421" t="s">
        <v>1129</v>
      </c>
      <c r="AR17" s="421" t="s">
        <v>1130</v>
      </c>
      <c r="AT17" s="421" t="s">
        <v>1131</v>
      </c>
      <c r="AU17" s="421" t="s">
        <v>1336</v>
      </c>
      <c r="AV17" s="421" t="s">
        <v>1337</v>
      </c>
      <c r="AW17" s="421" t="s">
        <v>960</v>
      </c>
      <c r="AX17" s="421" t="s">
        <v>960</v>
      </c>
      <c r="AY17" s="421" t="s">
        <v>960</v>
      </c>
      <c r="AZ17" s="421" t="s">
        <v>1121</v>
      </c>
      <c r="BA17" s="421" t="s">
        <v>1252</v>
      </c>
      <c r="BB17" s="421" t="s">
        <v>960</v>
      </c>
      <c r="BC17" s="421" t="s">
        <v>1253</v>
      </c>
      <c r="BD17" s="421" t="s">
        <v>1254</v>
      </c>
      <c r="BE17" s="421" t="s">
        <v>1255</v>
      </c>
      <c r="BF17" s="421" t="s">
        <v>1338</v>
      </c>
      <c r="BG17" s="421" t="s">
        <v>1339</v>
      </c>
      <c r="BH17" s="421" t="s">
        <v>1340</v>
      </c>
      <c r="BI17" s="421" t="s">
        <v>1341</v>
      </c>
      <c r="BJ17" s="421" t="s">
        <v>1342</v>
      </c>
      <c r="BK17" s="421" t="s">
        <v>1333</v>
      </c>
      <c r="BL17" s="421" t="s">
        <v>1343</v>
      </c>
      <c r="BM17" s="421" t="s">
        <v>1344</v>
      </c>
      <c r="BN17" s="421" t="s">
        <v>1345</v>
      </c>
      <c r="BO17" s="421">
        <v>0</v>
      </c>
      <c r="BR17" s="421">
        <v>0</v>
      </c>
      <c r="BS17" s="421">
        <v>0</v>
      </c>
      <c r="BT17" s="421">
        <v>0</v>
      </c>
      <c r="BU17" s="424">
        <v>42024</v>
      </c>
      <c r="BX17" s="421">
        <v>2397.35</v>
      </c>
      <c r="BY17" s="421" t="s">
        <v>1147</v>
      </c>
      <c r="BZ17" s="421">
        <v>401.04</v>
      </c>
      <c r="CA17" s="421">
        <v>961433.24399999995</v>
      </c>
      <c r="CB17" s="421">
        <v>0.74</v>
      </c>
      <c r="CC17" s="421">
        <v>0</v>
      </c>
      <c r="CD17" s="421">
        <v>1459.31</v>
      </c>
      <c r="CE17" s="421">
        <v>1460.05</v>
      </c>
      <c r="CF17" s="421">
        <v>0</v>
      </c>
      <c r="CG17" s="421">
        <v>1861.09</v>
      </c>
      <c r="CH17" s="421">
        <v>0</v>
      </c>
      <c r="CI17" s="421">
        <v>1861.09</v>
      </c>
      <c r="CJ17" s="421">
        <v>4461684.1114999996</v>
      </c>
      <c r="CK17" s="421">
        <v>15</v>
      </c>
      <c r="CL17" s="421">
        <v>4461684</v>
      </c>
      <c r="CM17" s="421">
        <v>669000</v>
      </c>
      <c r="CN17" s="421">
        <v>669000</v>
      </c>
      <c r="CO17" s="421">
        <v>0</v>
      </c>
      <c r="CP17" s="421">
        <v>0</v>
      </c>
      <c r="CQ17" s="421">
        <v>16</v>
      </c>
      <c r="CR17" s="421">
        <v>5130684</v>
      </c>
      <c r="CS17" s="421">
        <v>821000</v>
      </c>
      <c r="CT17" s="421">
        <v>821000</v>
      </c>
      <c r="CU17" s="421">
        <v>0</v>
      </c>
      <c r="CV17" s="421">
        <v>0</v>
      </c>
      <c r="CW17" s="421">
        <v>0</v>
      </c>
      <c r="CX17" s="421">
        <v>0</v>
      </c>
      <c r="CY17" s="421">
        <v>0</v>
      </c>
      <c r="CZ17" s="421">
        <v>0</v>
      </c>
      <c r="DA17" s="421">
        <v>0</v>
      </c>
      <c r="DB17" s="421">
        <v>0</v>
      </c>
      <c r="DC17" s="421">
        <v>0</v>
      </c>
      <c r="DD17" s="421">
        <v>0</v>
      </c>
      <c r="DE17" s="421">
        <v>0</v>
      </c>
      <c r="DF17" s="421">
        <v>0</v>
      </c>
      <c r="DG17" s="421">
        <v>0</v>
      </c>
      <c r="DH17" s="421">
        <v>0</v>
      </c>
      <c r="DI17" s="421">
        <v>0</v>
      </c>
      <c r="DJ17" s="421">
        <v>0</v>
      </c>
      <c r="DK17" s="421">
        <v>0</v>
      </c>
      <c r="DL17" s="421">
        <v>0</v>
      </c>
      <c r="DM17" s="421">
        <v>0</v>
      </c>
      <c r="DN17" s="421">
        <v>0</v>
      </c>
      <c r="DO17" s="421">
        <v>0</v>
      </c>
      <c r="DP17" s="421">
        <v>0</v>
      </c>
      <c r="DQ17" s="421">
        <v>0</v>
      </c>
      <c r="DR17" s="421">
        <v>0</v>
      </c>
      <c r="DS17" s="421">
        <v>0</v>
      </c>
      <c r="DT17" s="421">
        <v>0</v>
      </c>
      <c r="DU17" s="421">
        <v>0</v>
      </c>
      <c r="DV17" s="421">
        <v>0</v>
      </c>
      <c r="DW17" s="421">
        <v>0</v>
      </c>
      <c r="DX17" s="421">
        <v>0</v>
      </c>
      <c r="DY17" s="421">
        <v>1490000</v>
      </c>
      <c r="DZ17" s="421">
        <v>1490000</v>
      </c>
      <c r="EA17" s="421">
        <v>0</v>
      </c>
      <c r="EB17" s="421">
        <v>0</v>
      </c>
      <c r="EC17" s="421" t="s">
        <v>1148</v>
      </c>
      <c r="ED17" s="421" t="s">
        <v>1167</v>
      </c>
      <c r="EE17" s="421" t="s">
        <v>1167</v>
      </c>
    </row>
    <row r="18" spans="1:135" x14ac:dyDescent="0.25">
      <c r="A18" s="421">
        <v>15</v>
      </c>
      <c r="B18" s="421">
        <v>2015</v>
      </c>
      <c r="C18" s="421">
        <v>2</v>
      </c>
      <c r="D18" s="421">
        <v>6</v>
      </c>
      <c r="E18" s="424">
        <v>42041</v>
      </c>
      <c r="F18" s="421" t="s">
        <v>1346</v>
      </c>
      <c r="G18" s="421" t="s">
        <v>1347</v>
      </c>
      <c r="H18" s="421" t="s">
        <v>1106</v>
      </c>
      <c r="I18" s="421" t="s">
        <v>1107</v>
      </c>
      <c r="J18" s="421" t="s">
        <v>1108</v>
      </c>
      <c r="K18" s="421" t="s">
        <v>1202</v>
      </c>
      <c r="L18" s="421" t="s">
        <v>1110</v>
      </c>
      <c r="O18" s="421" t="s">
        <v>1111</v>
      </c>
      <c r="R18" s="421" t="s">
        <v>1111</v>
      </c>
      <c r="S18" s="421" t="s">
        <v>1112</v>
      </c>
      <c r="T18" s="421" t="s">
        <v>1113</v>
      </c>
      <c r="U18" s="421" t="s">
        <v>1114</v>
      </c>
      <c r="V18" s="421" t="s">
        <v>1115</v>
      </c>
      <c r="W18" s="421" t="s">
        <v>1116</v>
      </c>
      <c r="X18" s="421" t="s">
        <v>1117</v>
      </c>
      <c r="Y18" s="421" t="s">
        <v>1118</v>
      </c>
      <c r="Z18" s="421" t="s">
        <v>1119</v>
      </c>
      <c r="AA18" s="421" t="s">
        <v>1120</v>
      </c>
      <c r="AB18" s="421" t="s">
        <v>1121</v>
      </c>
      <c r="AC18" s="421" t="s">
        <v>1122</v>
      </c>
      <c r="AD18" s="421" t="s">
        <v>1263</v>
      </c>
      <c r="AE18" s="421" t="s">
        <v>1203</v>
      </c>
      <c r="AF18" s="421" t="s">
        <v>1204</v>
      </c>
      <c r="AG18" s="421" t="s">
        <v>1348</v>
      </c>
      <c r="AH18" s="421">
        <v>21500</v>
      </c>
      <c r="AI18" s="421" t="s">
        <v>1127</v>
      </c>
      <c r="AJ18" s="421">
        <v>1</v>
      </c>
      <c r="AK18" s="421">
        <v>1</v>
      </c>
      <c r="AL18" s="421" t="s">
        <v>1283</v>
      </c>
      <c r="AM18" s="421">
        <v>21500</v>
      </c>
      <c r="AN18" s="421">
        <v>21743</v>
      </c>
      <c r="AO18" s="421" t="s">
        <v>1120</v>
      </c>
      <c r="AP18" s="421" t="s">
        <v>1129</v>
      </c>
      <c r="AR18" s="421" t="s">
        <v>1130</v>
      </c>
      <c r="AT18" s="421" t="s">
        <v>1131</v>
      </c>
      <c r="AU18" s="421" t="s">
        <v>1132</v>
      </c>
      <c r="AV18" s="421" t="s">
        <v>1133</v>
      </c>
      <c r="AW18" s="421" t="s">
        <v>1207</v>
      </c>
      <c r="AX18" s="421" t="s">
        <v>1207</v>
      </c>
      <c r="AY18" s="421" t="s">
        <v>1208</v>
      </c>
      <c r="AZ18" s="421" t="s">
        <v>1121</v>
      </c>
      <c r="BA18" s="421" t="s">
        <v>1209</v>
      </c>
      <c r="BB18" s="421" t="s">
        <v>1208</v>
      </c>
      <c r="BC18" s="421" t="s">
        <v>1210</v>
      </c>
      <c r="BD18" s="421" t="s">
        <v>1211</v>
      </c>
      <c r="BE18" s="421" t="s">
        <v>1212</v>
      </c>
      <c r="BF18" s="421" t="s">
        <v>1349</v>
      </c>
      <c r="BG18" s="421" t="s">
        <v>1328</v>
      </c>
      <c r="BH18" s="421" t="s">
        <v>1350</v>
      </c>
      <c r="BI18" s="421" t="s">
        <v>1142</v>
      </c>
      <c r="BJ18" s="421" t="s">
        <v>1243</v>
      </c>
      <c r="BK18" s="421" t="s">
        <v>1347</v>
      </c>
      <c r="BL18" s="421" t="s">
        <v>1343</v>
      </c>
      <c r="BM18" s="421" t="s">
        <v>1351</v>
      </c>
      <c r="BN18" s="421" t="s">
        <v>1352</v>
      </c>
      <c r="BO18" s="421">
        <v>0</v>
      </c>
      <c r="BR18" s="421">
        <v>0</v>
      </c>
      <c r="BS18" s="421">
        <v>0</v>
      </c>
      <c r="BT18" s="421">
        <v>0</v>
      </c>
      <c r="BU18" s="424">
        <v>42031</v>
      </c>
      <c r="BX18" s="421">
        <v>2397.35</v>
      </c>
      <c r="BY18" s="421" t="s">
        <v>1147</v>
      </c>
      <c r="BZ18" s="421">
        <v>55900</v>
      </c>
      <c r="CA18" s="421">
        <v>134011865</v>
      </c>
      <c r="CB18" s="421">
        <v>22.36</v>
      </c>
      <c r="CC18" s="421">
        <v>0</v>
      </c>
      <c r="CD18" s="421">
        <v>880</v>
      </c>
      <c r="CE18" s="421">
        <v>902.36</v>
      </c>
      <c r="CF18" s="421">
        <v>0</v>
      </c>
      <c r="CG18" s="421">
        <v>56802.36</v>
      </c>
      <c r="CH18" s="421">
        <v>0</v>
      </c>
      <c r="CI18" s="421">
        <v>56802.36</v>
      </c>
      <c r="CJ18" s="421">
        <v>136175137.74599999</v>
      </c>
      <c r="CK18" s="421">
        <v>0</v>
      </c>
      <c r="CL18" s="421">
        <v>136175138</v>
      </c>
      <c r="CM18" s="421">
        <v>0</v>
      </c>
      <c r="CN18" s="421">
        <v>0</v>
      </c>
      <c r="CO18" s="421">
        <v>0</v>
      </c>
      <c r="CP18" s="421">
        <v>0</v>
      </c>
      <c r="CQ18" s="421">
        <v>0</v>
      </c>
      <c r="CR18" s="421">
        <v>136175138</v>
      </c>
      <c r="CS18" s="421">
        <v>0</v>
      </c>
      <c r="CT18" s="421">
        <v>0</v>
      </c>
      <c r="CU18" s="421">
        <v>0</v>
      </c>
      <c r="CV18" s="421">
        <v>0</v>
      </c>
      <c r="CW18" s="421">
        <v>0</v>
      </c>
      <c r="CX18" s="421">
        <v>0</v>
      </c>
      <c r="CY18" s="421">
        <v>0</v>
      </c>
      <c r="CZ18" s="421">
        <v>0</v>
      </c>
      <c r="DA18" s="421">
        <v>0</v>
      </c>
      <c r="DB18" s="421">
        <v>0</v>
      </c>
      <c r="DC18" s="421">
        <v>0</v>
      </c>
      <c r="DD18" s="421">
        <v>0</v>
      </c>
      <c r="DE18" s="421">
        <v>0</v>
      </c>
      <c r="DF18" s="421">
        <v>0</v>
      </c>
      <c r="DG18" s="421">
        <v>0</v>
      </c>
      <c r="DH18" s="421">
        <v>0</v>
      </c>
      <c r="DI18" s="421">
        <v>0</v>
      </c>
      <c r="DJ18" s="421">
        <v>0</v>
      </c>
      <c r="DK18" s="421">
        <v>0</v>
      </c>
      <c r="DL18" s="421">
        <v>0</v>
      </c>
      <c r="DM18" s="421">
        <v>0</v>
      </c>
      <c r="DN18" s="421">
        <v>0</v>
      </c>
      <c r="DO18" s="421">
        <v>0</v>
      </c>
      <c r="DP18" s="421">
        <v>0</v>
      </c>
      <c r="DQ18" s="421">
        <v>0</v>
      </c>
      <c r="DR18" s="421">
        <v>0</v>
      </c>
      <c r="DS18" s="421">
        <v>0</v>
      </c>
      <c r="DT18" s="421">
        <v>0</v>
      </c>
      <c r="DU18" s="421">
        <v>0</v>
      </c>
      <c r="DV18" s="421">
        <v>0</v>
      </c>
      <c r="DW18" s="421">
        <v>0</v>
      </c>
      <c r="DX18" s="421">
        <v>0</v>
      </c>
      <c r="DY18" s="421">
        <v>0</v>
      </c>
      <c r="DZ18" s="421">
        <v>0</v>
      </c>
      <c r="EA18" s="421">
        <v>0</v>
      </c>
      <c r="EB18" s="421">
        <v>0</v>
      </c>
      <c r="EC18" s="421" t="s">
        <v>1148</v>
      </c>
      <c r="ED18" s="421" t="s">
        <v>1149</v>
      </c>
      <c r="EE18" s="421" t="s">
        <v>1149</v>
      </c>
    </row>
    <row r="19" spans="1:135" x14ac:dyDescent="0.25">
      <c r="A19" s="421">
        <v>16</v>
      </c>
      <c r="B19" s="421">
        <v>2015</v>
      </c>
      <c r="C19" s="421">
        <v>2</v>
      </c>
      <c r="D19" s="421">
        <v>6</v>
      </c>
      <c r="E19" s="424">
        <v>42041</v>
      </c>
      <c r="F19" s="421" t="s">
        <v>1353</v>
      </c>
      <c r="G19" s="421" t="s">
        <v>1354</v>
      </c>
      <c r="H19" s="421" t="s">
        <v>1152</v>
      </c>
      <c r="I19" s="421" t="s">
        <v>1107</v>
      </c>
      <c r="J19" s="421" t="s">
        <v>1108</v>
      </c>
      <c r="K19" s="421" t="s">
        <v>1202</v>
      </c>
      <c r="L19" s="421" t="s">
        <v>1110</v>
      </c>
      <c r="O19" s="421" t="s">
        <v>1111</v>
      </c>
      <c r="R19" s="421" t="s">
        <v>1111</v>
      </c>
      <c r="S19" s="421" t="s">
        <v>1112</v>
      </c>
      <c r="T19" s="421" t="s">
        <v>1113</v>
      </c>
      <c r="U19" s="421" t="s">
        <v>1114</v>
      </c>
      <c r="V19" s="421" t="s">
        <v>1115</v>
      </c>
      <c r="W19" s="421" t="s">
        <v>1116</v>
      </c>
      <c r="X19" s="421" t="s">
        <v>1117</v>
      </c>
      <c r="Y19" s="421" t="s">
        <v>1118</v>
      </c>
      <c r="Z19" s="421" t="s">
        <v>1119</v>
      </c>
      <c r="AA19" s="421" t="s">
        <v>1120</v>
      </c>
      <c r="AB19" s="421" t="s">
        <v>1121</v>
      </c>
      <c r="AC19" s="421" t="s">
        <v>1122</v>
      </c>
      <c r="AD19" s="421" t="s">
        <v>1263</v>
      </c>
      <c r="AE19" s="421" t="s">
        <v>1203</v>
      </c>
      <c r="AF19" s="421" t="s">
        <v>1204</v>
      </c>
      <c r="AG19" s="421" t="s">
        <v>1355</v>
      </c>
      <c r="AH19" s="421">
        <v>21500</v>
      </c>
      <c r="AI19" s="421" t="s">
        <v>1127</v>
      </c>
      <c r="AJ19" s="421">
        <v>1</v>
      </c>
      <c r="AK19" s="421">
        <v>1</v>
      </c>
      <c r="AL19" s="421" t="s">
        <v>1283</v>
      </c>
      <c r="AM19" s="421">
        <v>21500</v>
      </c>
      <c r="AN19" s="421">
        <v>21743</v>
      </c>
      <c r="AO19" s="421" t="s">
        <v>1120</v>
      </c>
      <c r="AP19" s="421" t="s">
        <v>1129</v>
      </c>
      <c r="AR19" s="421" t="s">
        <v>1130</v>
      </c>
      <c r="AT19" s="421" t="s">
        <v>1131</v>
      </c>
      <c r="AU19" s="421" t="s">
        <v>1132</v>
      </c>
      <c r="AV19" s="421" t="s">
        <v>1133</v>
      </c>
      <c r="AW19" s="421" t="s">
        <v>1207</v>
      </c>
      <c r="AX19" s="421" t="s">
        <v>1207</v>
      </c>
      <c r="AY19" s="421" t="s">
        <v>1208</v>
      </c>
      <c r="AZ19" s="421" t="s">
        <v>1121</v>
      </c>
      <c r="BA19" s="421" t="s">
        <v>1209</v>
      </c>
      <c r="BB19" s="421" t="s">
        <v>1208</v>
      </c>
      <c r="BC19" s="421" t="s">
        <v>1210</v>
      </c>
      <c r="BD19" s="421" t="s">
        <v>1211</v>
      </c>
      <c r="BE19" s="421" t="s">
        <v>1212</v>
      </c>
      <c r="BF19" s="421" t="s">
        <v>1356</v>
      </c>
      <c r="BG19" s="421" t="s">
        <v>1357</v>
      </c>
      <c r="BH19" s="421" t="s">
        <v>1358</v>
      </c>
      <c r="BI19" s="421" t="s">
        <v>1142</v>
      </c>
      <c r="BJ19" s="421" t="s">
        <v>1275</v>
      </c>
      <c r="BK19" s="421" t="s">
        <v>1354</v>
      </c>
      <c r="BL19" s="421" t="s">
        <v>1343</v>
      </c>
      <c r="BM19" s="421" t="s">
        <v>1359</v>
      </c>
      <c r="BN19" s="421" t="s">
        <v>1258</v>
      </c>
      <c r="BO19" s="421">
        <v>0</v>
      </c>
      <c r="BR19" s="421">
        <v>0</v>
      </c>
      <c r="BS19" s="421">
        <v>0</v>
      </c>
      <c r="BT19" s="421">
        <v>0</v>
      </c>
      <c r="BU19" s="424">
        <v>42028</v>
      </c>
      <c r="BX19" s="421">
        <v>2397.35</v>
      </c>
      <c r="BY19" s="421" t="s">
        <v>1147</v>
      </c>
      <c r="BZ19" s="421">
        <v>55900</v>
      </c>
      <c r="CA19" s="421">
        <v>134011865</v>
      </c>
      <c r="CB19" s="421">
        <v>22.36</v>
      </c>
      <c r="CC19" s="421">
        <v>0</v>
      </c>
      <c r="CD19" s="421">
        <v>1174.42</v>
      </c>
      <c r="CE19" s="421">
        <v>1196.78</v>
      </c>
      <c r="CF19" s="421">
        <v>0</v>
      </c>
      <c r="CG19" s="421">
        <v>57096.78</v>
      </c>
      <c r="CH19" s="421">
        <v>0</v>
      </c>
      <c r="CI19" s="421">
        <v>57096.78</v>
      </c>
      <c r="CJ19" s="421">
        <v>136880965.53299999</v>
      </c>
      <c r="CK19" s="421">
        <v>0</v>
      </c>
      <c r="CL19" s="421">
        <v>136880966</v>
      </c>
      <c r="CM19" s="421">
        <v>0</v>
      </c>
      <c r="CN19" s="421">
        <v>0</v>
      </c>
      <c r="CO19" s="421">
        <v>0</v>
      </c>
      <c r="CP19" s="421">
        <v>0</v>
      </c>
      <c r="CQ19" s="421">
        <v>0</v>
      </c>
      <c r="CR19" s="421">
        <v>136880966</v>
      </c>
      <c r="CS19" s="421">
        <v>0</v>
      </c>
      <c r="CT19" s="421">
        <v>0</v>
      </c>
      <c r="CU19" s="421">
        <v>0</v>
      </c>
      <c r="CV19" s="421">
        <v>0</v>
      </c>
      <c r="CW19" s="421">
        <v>0</v>
      </c>
      <c r="CX19" s="421">
        <v>0</v>
      </c>
      <c r="CY19" s="421">
        <v>0</v>
      </c>
      <c r="CZ19" s="421">
        <v>0</v>
      </c>
      <c r="DA19" s="421">
        <v>0</v>
      </c>
      <c r="DB19" s="421">
        <v>0</v>
      </c>
      <c r="DC19" s="421">
        <v>0</v>
      </c>
      <c r="DD19" s="421">
        <v>0</v>
      </c>
      <c r="DE19" s="421">
        <v>0</v>
      </c>
      <c r="DF19" s="421">
        <v>0</v>
      </c>
      <c r="DG19" s="421">
        <v>0</v>
      </c>
      <c r="DH19" s="421">
        <v>0</v>
      </c>
      <c r="DI19" s="421">
        <v>0</v>
      </c>
      <c r="DJ19" s="421">
        <v>0</v>
      </c>
      <c r="DK19" s="421">
        <v>0</v>
      </c>
      <c r="DL19" s="421">
        <v>0</v>
      </c>
      <c r="DM19" s="421">
        <v>0</v>
      </c>
      <c r="DN19" s="421">
        <v>0</v>
      </c>
      <c r="DO19" s="421">
        <v>0</v>
      </c>
      <c r="DP19" s="421">
        <v>0</v>
      </c>
      <c r="DQ19" s="421">
        <v>0</v>
      </c>
      <c r="DR19" s="421">
        <v>0</v>
      </c>
      <c r="DS19" s="421">
        <v>0</v>
      </c>
      <c r="DT19" s="421">
        <v>0</v>
      </c>
      <c r="DU19" s="421">
        <v>0</v>
      </c>
      <c r="DV19" s="421">
        <v>0</v>
      </c>
      <c r="DW19" s="421">
        <v>0</v>
      </c>
      <c r="DX19" s="421">
        <v>0</v>
      </c>
      <c r="DY19" s="421">
        <v>0</v>
      </c>
      <c r="DZ19" s="421">
        <v>0</v>
      </c>
      <c r="EA19" s="421">
        <v>0</v>
      </c>
      <c r="EB19" s="421">
        <v>0</v>
      </c>
      <c r="EC19" s="421" t="s">
        <v>1148</v>
      </c>
      <c r="ED19" s="421" t="s">
        <v>1149</v>
      </c>
      <c r="EE19" s="421" t="s">
        <v>1149</v>
      </c>
    </row>
    <row r="20" spans="1:135" x14ac:dyDescent="0.25">
      <c r="A20" s="421">
        <v>17</v>
      </c>
      <c r="B20" s="421">
        <v>2015</v>
      </c>
      <c r="C20" s="421">
        <v>2</v>
      </c>
      <c r="D20" s="421">
        <v>10</v>
      </c>
      <c r="E20" s="424">
        <v>42045</v>
      </c>
      <c r="F20" s="421" t="s">
        <v>1360</v>
      </c>
      <c r="G20" s="421" t="s">
        <v>1361</v>
      </c>
      <c r="H20" s="421" t="s">
        <v>1362</v>
      </c>
      <c r="I20" s="421" t="s">
        <v>1107</v>
      </c>
      <c r="J20" s="421" t="s">
        <v>1108</v>
      </c>
      <c r="K20" s="421" t="s">
        <v>1109</v>
      </c>
      <c r="L20" s="421" t="s">
        <v>1110</v>
      </c>
      <c r="O20" s="421" t="s">
        <v>1111</v>
      </c>
      <c r="R20" s="421" t="s">
        <v>1111</v>
      </c>
      <c r="S20" s="421" t="s">
        <v>1112</v>
      </c>
      <c r="T20" s="421" t="s">
        <v>1113</v>
      </c>
      <c r="U20" s="421" t="s">
        <v>1114</v>
      </c>
      <c r="V20" s="421" t="s">
        <v>1115</v>
      </c>
      <c r="W20" s="421" t="s">
        <v>1116</v>
      </c>
      <c r="X20" s="421" t="s">
        <v>1117</v>
      </c>
      <c r="Y20" s="421" t="s">
        <v>1118</v>
      </c>
      <c r="Z20" s="421" t="s">
        <v>1119</v>
      </c>
      <c r="AA20" s="421" t="s">
        <v>1120</v>
      </c>
      <c r="AB20" s="421" t="s">
        <v>1121</v>
      </c>
      <c r="AC20" s="421" t="s">
        <v>1122</v>
      </c>
      <c r="AD20" s="421" t="s">
        <v>1263</v>
      </c>
      <c r="AE20" s="421" t="s">
        <v>1264</v>
      </c>
      <c r="AF20" s="421" t="s">
        <v>1265</v>
      </c>
      <c r="AG20" s="421" t="s">
        <v>1363</v>
      </c>
      <c r="AH20" s="421">
        <v>8103.52</v>
      </c>
      <c r="AI20" s="421" t="s">
        <v>1127</v>
      </c>
      <c r="AJ20" s="421">
        <v>11</v>
      </c>
      <c r="AK20" s="421">
        <v>1</v>
      </c>
      <c r="AL20" s="421" t="s">
        <v>1206</v>
      </c>
      <c r="AM20" s="421">
        <v>8103.52</v>
      </c>
      <c r="AN20" s="421">
        <v>8545.32</v>
      </c>
      <c r="AO20" s="421" t="s">
        <v>1120</v>
      </c>
      <c r="AP20" s="421" t="s">
        <v>1129</v>
      </c>
      <c r="AR20" s="421" t="s">
        <v>1130</v>
      </c>
      <c r="AT20" s="421" t="s">
        <v>1131</v>
      </c>
      <c r="AU20" s="421" t="s">
        <v>1132</v>
      </c>
      <c r="AV20" s="421" t="s">
        <v>1133</v>
      </c>
      <c r="AW20" s="421" t="s">
        <v>962</v>
      </c>
      <c r="AX20" s="421" t="s">
        <v>962</v>
      </c>
      <c r="AY20" s="421" t="s">
        <v>962</v>
      </c>
      <c r="AZ20" s="421" t="s">
        <v>1121</v>
      </c>
      <c r="BA20" s="421" t="s">
        <v>1364</v>
      </c>
      <c r="BB20" s="421" t="s">
        <v>962</v>
      </c>
      <c r="BC20" s="421" t="s">
        <v>1365</v>
      </c>
      <c r="BD20" s="421" t="s">
        <v>1366</v>
      </c>
      <c r="BE20" s="421" t="s">
        <v>1367</v>
      </c>
      <c r="BF20" s="421" t="s">
        <v>1349</v>
      </c>
      <c r="BG20" s="421" t="s">
        <v>1328</v>
      </c>
      <c r="BH20" s="421" t="s">
        <v>1368</v>
      </c>
      <c r="BI20" s="421" t="s">
        <v>1142</v>
      </c>
      <c r="BJ20" s="421" t="s">
        <v>1243</v>
      </c>
      <c r="BK20" s="421" t="s">
        <v>1361</v>
      </c>
      <c r="BL20" s="421" t="s">
        <v>1369</v>
      </c>
      <c r="BM20" s="421" t="s">
        <v>1370</v>
      </c>
      <c r="BN20" s="421" t="s">
        <v>1228</v>
      </c>
      <c r="BO20" s="421">
        <v>0</v>
      </c>
      <c r="BR20" s="421">
        <v>0</v>
      </c>
      <c r="BS20" s="421">
        <v>0</v>
      </c>
      <c r="BT20" s="421">
        <v>0</v>
      </c>
      <c r="BU20" s="424">
        <v>42022</v>
      </c>
      <c r="BX20" s="421">
        <v>2384.5300000000002</v>
      </c>
      <c r="BY20" s="421" t="s">
        <v>1147</v>
      </c>
      <c r="BZ20" s="421">
        <v>67678.080000000002</v>
      </c>
      <c r="CA20" s="421">
        <v>161380412.1024</v>
      </c>
      <c r="CB20" s="421">
        <v>27.07</v>
      </c>
      <c r="CC20" s="421">
        <v>0</v>
      </c>
      <c r="CD20" s="421">
        <v>1560.17</v>
      </c>
      <c r="CE20" s="421">
        <v>1587.24</v>
      </c>
      <c r="CF20" s="421">
        <v>0</v>
      </c>
      <c r="CG20" s="421">
        <v>69265.320000000007</v>
      </c>
      <c r="CH20" s="421">
        <v>0</v>
      </c>
      <c r="CI20" s="421">
        <v>69265.320000000007</v>
      </c>
      <c r="CJ20" s="421">
        <v>165165233.49959999</v>
      </c>
      <c r="CK20" s="421">
        <v>5</v>
      </c>
      <c r="CL20" s="421">
        <v>165165233</v>
      </c>
      <c r="CM20" s="421">
        <v>8258000</v>
      </c>
      <c r="CN20" s="421">
        <v>8258000</v>
      </c>
      <c r="CO20" s="421">
        <v>0</v>
      </c>
      <c r="CP20" s="421">
        <v>0</v>
      </c>
      <c r="CQ20" s="421">
        <v>16</v>
      </c>
      <c r="CR20" s="421">
        <v>173423233</v>
      </c>
      <c r="CS20" s="421">
        <v>27748000</v>
      </c>
      <c r="CT20" s="421">
        <v>27748000</v>
      </c>
      <c r="CU20" s="421">
        <v>0</v>
      </c>
      <c r="CV20" s="421">
        <v>0</v>
      </c>
      <c r="CW20" s="421">
        <v>0</v>
      </c>
      <c r="CX20" s="421">
        <v>0</v>
      </c>
      <c r="CY20" s="421">
        <v>0</v>
      </c>
      <c r="CZ20" s="421">
        <v>0</v>
      </c>
      <c r="DA20" s="421">
        <v>0</v>
      </c>
      <c r="DB20" s="421">
        <v>0</v>
      </c>
      <c r="DC20" s="421">
        <v>0</v>
      </c>
      <c r="DD20" s="421">
        <v>0</v>
      </c>
      <c r="DE20" s="421">
        <v>0</v>
      </c>
      <c r="DF20" s="421">
        <v>0</v>
      </c>
      <c r="DG20" s="421">
        <v>0</v>
      </c>
      <c r="DH20" s="421">
        <v>0</v>
      </c>
      <c r="DI20" s="421">
        <v>0</v>
      </c>
      <c r="DJ20" s="421">
        <v>0</v>
      </c>
      <c r="DK20" s="421">
        <v>0</v>
      </c>
      <c r="DL20" s="421">
        <v>0</v>
      </c>
      <c r="DM20" s="421">
        <v>0</v>
      </c>
      <c r="DN20" s="421">
        <v>0</v>
      </c>
      <c r="DO20" s="421">
        <v>0</v>
      </c>
      <c r="DP20" s="421">
        <v>0</v>
      </c>
      <c r="DQ20" s="421">
        <v>0</v>
      </c>
      <c r="DR20" s="421">
        <v>0</v>
      </c>
      <c r="DS20" s="421">
        <v>0</v>
      </c>
      <c r="DT20" s="421">
        <v>0</v>
      </c>
      <c r="DU20" s="421">
        <v>0</v>
      </c>
      <c r="DV20" s="421">
        <v>0</v>
      </c>
      <c r="DW20" s="421">
        <v>0</v>
      </c>
      <c r="DX20" s="421">
        <v>0</v>
      </c>
      <c r="DY20" s="421">
        <v>36006000</v>
      </c>
      <c r="DZ20" s="421">
        <v>36006000</v>
      </c>
      <c r="EA20" s="421">
        <v>0</v>
      </c>
      <c r="EB20" s="421">
        <v>0</v>
      </c>
      <c r="EC20" s="421" t="s">
        <v>1148</v>
      </c>
      <c r="ED20" s="421" t="s">
        <v>1149</v>
      </c>
      <c r="EE20" s="421" t="s">
        <v>1149</v>
      </c>
    </row>
    <row r="21" spans="1:135" x14ac:dyDescent="0.25">
      <c r="A21" s="421">
        <v>18</v>
      </c>
      <c r="B21" s="421">
        <v>2015</v>
      </c>
      <c r="C21" s="421">
        <v>2</v>
      </c>
      <c r="D21" s="421">
        <v>10</v>
      </c>
      <c r="E21" s="424">
        <v>42045</v>
      </c>
      <c r="F21" s="421" t="s">
        <v>1371</v>
      </c>
      <c r="G21" s="421" t="s">
        <v>1372</v>
      </c>
      <c r="H21" s="421" t="s">
        <v>1152</v>
      </c>
      <c r="I21" s="421" t="s">
        <v>1107</v>
      </c>
      <c r="J21" s="421" t="s">
        <v>1108</v>
      </c>
      <c r="K21" s="421" t="s">
        <v>1109</v>
      </c>
      <c r="L21" s="421" t="s">
        <v>1110</v>
      </c>
      <c r="O21" s="421" t="s">
        <v>1111</v>
      </c>
      <c r="R21" s="421" t="s">
        <v>1111</v>
      </c>
      <c r="S21" s="421" t="s">
        <v>1112</v>
      </c>
      <c r="T21" s="421" t="s">
        <v>1113</v>
      </c>
      <c r="U21" s="421" t="s">
        <v>1114</v>
      </c>
      <c r="V21" s="421" t="s">
        <v>1115</v>
      </c>
      <c r="W21" s="421" t="s">
        <v>1116</v>
      </c>
      <c r="X21" s="421" t="s">
        <v>1117</v>
      </c>
      <c r="Y21" s="421" t="s">
        <v>1118</v>
      </c>
      <c r="Z21" s="421" t="s">
        <v>1119</v>
      </c>
      <c r="AA21" s="421" t="s">
        <v>1120</v>
      </c>
      <c r="AB21" s="421" t="s">
        <v>1121</v>
      </c>
      <c r="AC21" s="421" t="s">
        <v>1122</v>
      </c>
      <c r="AD21" s="421" t="s">
        <v>1263</v>
      </c>
      <c r="AE21" s="421" t="s">
        <v>1373</v>
      </c>
      <c r="AF21" s="421" t="s">
        <v>1374</v>
      </c>
      <c r="AG21" s="421" t="s">
        <v>1375</v>
      </c>
      <c r="AH21" s="421">
        <v>10000</v>
      </c>
      <c r="AI21" s="421" t="s">
        <v>1189</v>
      </c>
      <c r="AJ21" s="421">
        <v>402</v>
      </c>
      <c r="AK21" s="421">
        <v>5</v>
      </c>
      <c r="AL21" s="421" t="s">
        <v>1173</v>
      </c>
      <c r="AM21" s="421">
        <v>120</v>
      </c>
      <c r="AN21" s="421">
        <v>136.77000000000001</v>
      </c>
      <c r="AO21" s="421" t="s">
        <v>1120</v>
      </c>
      <c r="AP21" s="421" t="s">
        <v>1129</v>
      </c>
      <c r="AR21" s="421" t="s">
        <v>1130</v>
      </c>
      <c r="AT21" s="421" t="s">
        <v>1131</v>
      </c>
      <c r="AU21" s="421" t="s">
        <v>1190</v>
      </c>
      <c r="AV21" s="421" t="s">
        <v>1191</v>
      </c>
      <c r="AW21" s="421" t="s">
        <v>960</v>
      </c>
      <c r="AX21" s="421" t="s">
        <v>960</v>
      </c>
      <c r="AY21" s="421" t="s">
        <v>960</v>
      </c>
      <c r="AZ21" s="421" t="s">
        <v>1121</v>
      </c>
      <c r="BA21" s="421" t="s">
        <v>1376</v>
      </c>
      <c r="BB21" s="421" t="s">
        <v>960</v>
      </c>
      <c r="BC21" s="421" t="s">
        <v>1377</v>
      </c>
      <c r="BD21" s="421" t="s">
        <v>1378</v>
      </c>
      <c r="BE21" s="421" t="s">
        <v>1379</v>
      </c>
      <c r="BF21" s="421" t="s">
        <v>1380</v>
      </c>
      <c r="BG21" s="421" t="s">
        <v>1310</v>
      </c>
      <c r="BH21" s="421" t="s">
        <v>1381</v>
      </c>
      <c r="BI21" s="421" t="s">
        <v>1142</v>
      </c>
      <c r="BJ21" s="421" t="s">
        <v>1180</v>
      </c>
      <c r="BK21" s="421" t="s">
        <v>1372</v>
      </c>
      <c r="BL21" s="421" t="s">
        <v>1382</v>
      </c>
      <c r="BM21" s="421" t="s">
        <v>1383</v>
      </c>
      <c r="BN21" s="421" t="s">
        <v>1384</v>
      </c>
      <c r="BO21" s="421">
        <v>0</v>
      </c>
      <c r="BR21" s="421">
        <v>0</v>
      </c>
      <c r="BS21" s="421">
        <v>0</v>
      </c>
      <c r="BT21" s="421">
        <v>0</v>
      </c>
      <c r="BU21" s="424">
        <v>42003</v>
      </c>
      <c r="BX21" s="421">
        <v>2384.5300000000002</v>
      </c>
      <c r="BY21" s="421" t="s">
        <v>1183</v>
      </c>
      <c r="BZ21" s="421">
        <v>2700</v>
      </c>
      <c r="CA21" s="421">
        <v>6438231</v>
      </c>
      <c r="CB21" s="421">
        <v>1.08</v>
      </c>
      <c r="CC21" s="421">
        <v>0</v>
      </c>
      <c r="CD21" s="421">
        <v>163.12</v>
      </c>
      <c r="CE21" s="421">
        <v>164.2</v>
      </c>
      <c r="CF21" s="421">
        <v>0</v>
      </c>
      <c r="CG21" s="421">
        <v>2864.2</v>
      </c>
      <c r="CH21" s="421">
        <v>0</v>
      </c>
      <c r="CI21" s="421">
        <v>2864.2</v>
      </c>
      <c r="CJ21" s="421">
        <v>6829770.8260000004</v>
      </c>
      <c r="CK21" s="421">
        <v>5</v>
      </c>
      <c r="CL21" s="421">
        <v>6829771</v>
      </c>
      <c r="CM21" s="421">
        <v>341000</v>
      </c>
      <c r="CN21" s="421">
        <v>341000</v>
      </c>
      <c r="CO21" s="421">
        <v>0</v>
      </c>
      <c r="CP21" s="421">
        <v>0</v>
      </c>
      <c r="CQ21" s="421">
        <v>16</v>
      </c>
      <c r="CR21" s="421">
        <v>7170771</v>
      </c>
      <c r="CS21" s="421">
        <v>1147000</v>
      </c>
      <c r="CT21" s="421">
        <v>1147000</v>
      </c>
      <c r="CU21" s="421">
        <v>0</v>
      </c>
      <c r="CV21" s="421">
        <v>0</v>
      </c>
      <c r="CW21" s="421">
        <v>0</v>
      </c>
      <c r="CX21" s="421">
        <v>0</v>
      </c>
      <c r="CY21" s="421">
        <v>0</v>
      </c>
      <c r="CZ21" s="421">
        <v>0</v>
      </c>
      <c r="DA21" s="421">
        <v>0</v>
      </c>
      <c r="DB21" s="421">
        <v>0</v>
      </c>
      <c r="DC21" s="421">
        <v>0</v>
      </c>
      <c r="DD21" s="421">
        <v>0</v>
      </c>
      <c r="DE21" s="421">
        <v>0</v>
      </c>
      <c r="DF21" s="421">
        <v>0</v>
      </c>
      <c r="DG21" s="421">
        <v>0</v>
      </c>
      <c r="DH21" s="421">
        <v>0</v>
      </c>
      <c r="DI21" s="421">
        <v>0</v>
      </c>
      <c r="DJ21" s="421">
        <v>0</v>
      </c>
      <c r="DK21" s="421">
        <v>0</v>
      </c>
      <c r="DL21" s="421">
        <v>0</v>
      </c>
      <c r="DM21" s="421">
        <v>0</v>
      </c>
      <c r="DN21" s="421">
        <v>0</v>
      </c>
      <c r="DO21" s="421">
        <v>0</v>
      </c>
      <c r="DP21" s="421">
        <v>0</v>
      </c>
      <c r="DQ21" s="421">
        <v>0</v>
      </c>
      <c r="DR21" s="421">
        <v>0</v>
      </c>
      <c r="DS21" s="421">
        <v>0</v>
      </c>
      <c r="DT21" s="421">
        <v>0</v>
      </c>
      <c r="DU21" s="421">
        <v>0</v>
      </c>
      <c r="DV21" s="421">
        <v>0</v>
      </c>
      <c r="DW21" s="421">
        <v>0</v>
      </c>
      <c r="DX21" s="421">
        <v>0</v>
      </c>
      <c r="DY21" s="421">
        <v>1488000</v>
      </c>
      <c r="DZ21" s="421">
        <v>1488000</v>
      </c>
      <c r="EA21" s="421">
        <v>0</v>
      </c>
      <c r="EB21" s="421">
        <v>0</v>
      </c>
      <c r="EC21" s="421" t="s">
        <v>1148</v>
      </c>
      <c r="ED21" s="421" t="s">
        <v>1167</v>
      </c>
      <c r="EE21" s="421" t="s">
        <v>1167</v>
      </c>
    </row>
    <row r="22" spans="1:135" x14ac:dyDescent="0.25">
      <c r="A22" s="421">
        <v>19</v>
      </c>
      <c r="B22" s="421">
        <v>2015</v>
      </c>
      <c r="C22" s="421">
        <v>2</v>
      </c>
      <c r="D22" s="421">
        <v>10</v>
      </c>
      <c r="E22" s="424">
        <v>42045</v>
      </c>
      <c r="F22" s="421" t="s">
        <v>1385</v>
      </c>
      <c r="G22" s="421" t="s">
        <v>1386</v>
      </c>
      <c r="H22" s="421" t="s">
        <v>1152</v>
      </c>
      <c r="I22" s="421" t="s">
        <v>1107</v>
      </c>
      <c r="J22" s="421" t="s">
        <v>1108</v>
      </c>
      <c r="K22" s="421" t="s">
        <v>1109</v>
      </c>
      <c r="L22" s="421" t="s">
        <v>1110</v>
      </c>
      <c r="O22" s="421" t="s">
        <v>1111</v>
      </c>
      <c r="R22" s="421" t="s">
        <v>1111</v>
      </c>
      <c r="S22" s="421" t="s">
        <v>1112</v>
      </c>
      <c r="T22" s="421" t="s">
        <v>1113</v>
      </c>
      <c r="U22" s="421" t="s">
        <v>1114</v>
      </c>
      <c r="V22" s="421" t="s">
        <v>1115</v>
      </c>
      <c r="W22" s="421" t="s">
        <v>1116</v>
      </c>
      <c r="X22" s="421" t="s">
        <v>1117</v>
      </c>
      <c r="Y22" s="421" t="s">
        <v>1118</v>
      </c>
      <c r="Z22" s="421" t="s">
        <v>1119</v>
      </c>
      <c r="AA22" s="421" t="s">
        <v>1120</v>
      </c>
      <c r="AB22" s="421" t="s">
        <v>1121</v>
      </c>
      <c r="AC22" s="421" t="s">
        <v>1122</v>
      </c>
      <c r="AD22" s="421" t="s">
        <v>1263</v>
      </c>
      <c r="AE22" s="421" t="s">
        <v>1387</v>
      </c>
      <c r="AF22" s="421" t="s">
        <v>1388</v>
      </c>
      <c r="AG22" s="421" t="s">
        <v>1389</v>
      </c>
      <c r="AH22" s="421">
        <v>24000</v>
      </c>
      <c r="AI22" s="421" t="s">
        <v>1189</v>
      </c>
      <c r="AJ22" s="421">
        <v>402</v>
      </c>
      <c r="AK22" s="421">
        <v>5</v>
      </c>
      <c r="AL22" s="421" t="s">
        <v>1173</v>
      </c>
      <c r="AM22" s="421">
        <v>1872</v>
      </c>
      <c r="AN22" s="421">
        <v>2133.5500000000002</v>
      </c>
      <c r="AO22" s="421" t="s">
        <v>1120</v>
      </c>
      <c r="AP22" s="421" t="s">
        <v>1129</v>
      </c>
      <c r="AR22" s="421" t="s">
        <v>1130</v>
      </c>
      <c r="AT22" s="421" t="s">
        <v>1131</v>
      </c>
      <c r="AU22" s="421" t="s">
        <v>1190</v>
      </c>
      <c r="AV22" s="421" t="s">
        <v>1191</v>
      </c>
      <c r="AW22" s="421" t="s">
        <v>960</v>
      </c>
      <c r="AX22" s="421" t="s">
        <v>960</v>
      </c>
      <c r="AY22" s="421" t="s">
        <v>960</v>
      </c>
      <c r="AZ22" s="421" t="s">
        <v>1121</v>
      </c>
      <c r="BA22" s="421" t="s">
        <v>1376</v>
      </c>
      <c r="BB22" s="421" t="s">
        <v>960</v>
      </c>
      <c r="BC22" s="421" t="s">
        <v>1377</v>
      </c>
      <c r="BD22" s="421" t="s">
        <v>1378</v>
      </c>
      <c r="BE22" s="421" t="s">
        <v>1379</v>
      </c>
      <c r="BF22" s="421" t="s">
        <v>1380</v>
      </c>
      <c r="BG22" s="421" t="s">
        <v>1310</v>
      </c>
      <c r="BH22" s="421" t="s">
        <v>1381</v>
      </c>
      <c r="BI22" s="421" t="s">
        <v>1142</v>
      </c>
      <c r="BJ22" s="421" t="s">
        <v>1180</v>
      </c>
      <c r="BK22" s="421" t="s">
        <v>1386</v>
      </c>
      <c r="BL22" s="421" t="s">
        <v>1382</v>
      </c>
      <c r="BM22" s="421" t="s">
        <v>1383</v>
      </c>
      <c r="BN22" s="421" t="s">
        <v>1384</v>
      </c>
      <c r="BO22" s="421">
        <v>0</v>
      </c>
      <c r="BR22" s="421">
        <v>0</v>
      </c>
      <c r="BS22" s="421">
        <v>0</v>
      </c>
      <c r="BT22" s="421">
        <v>0</v>
      </c>
      <c r="BU22" s="424">
        <v>42003</v>
      </c>
      <c r="BX22" s="421">
        <v>2384.5300000000002</v>
      </c>
      <c r="BY22" s="421" t="s">
        <v>1183</v>
      </c>
      <c r="BZ22" s="421">
        <v>13200</v>
      </c>
      <c r="CA22" s="421">
        <v>31475796</v>
      </c>
      <c r="CB22" s="421">
        <v>5.28</v>
      </c>
      <c r="CC22" s="421">
        <v>0</v>
      </c>
      <c r="CD22" s="421">
        <v>2544.73</v>
      </c>
      <c r="CE22" s="421">
        <v>2550.0100000000002</v>
      </c>
      <c r="CF22" s="421">
        <v>0</v>
      </c>
      <c r="CG22" s="421">
        <v>15750.01</v>
      </c>
      <c r="CH22" s="421">
        <v>0</v>
      </c>
      <c r="CI22" s="421">
        <v>15750.01</v>
      </c>
      <c r="CJ22" s="421">
        <v>37556371.345299996</v>
      </c>
      <c r="CK22" s="421">
        <v>0</v>
      </c>
      <c r="CL22" s="421">
        <v>37556371</v>
      </c>
      <c r="CM22" s="421">
        <v>0</v>
      </c>
      <c r="CN22" s="421">
        <v>0</v>
      </c>
      <c r="CO22" s="421">
        <v>0</v>
      </c>
      <c r="CP22" s="421">
        <v>0</v>
      </c>
      <c r="CQ22" s="421">
        <v>16</v>
      </c>
      <c r="CR22" s="421">
        <v>37556371</v>
      </c>
      <c r="CS22" s="421">
        <v>6009000</v>
      </c>
      <c r="CT22" s="421">
        <v>6009000</v>
      </c>
      <c r="CU22" s="421">
        <v>0</v>
      </c>
      <c r="CV22" s="421">
        <v>0</v>
      </c>
      <c r="CW22" s="421">
        <v>0</v>
      </c>
      <c r="CX22" s="421">
        <v>0</v>
      </c>
      <c r="CY22" s="421">
        <v>0</v>
      </c>
      <c r="CZ22" s="421">
        <v>0</v>
      </c>
      <c r="DA22" s="421">
        <v>0</v>
      </c>
      <c r="DB22" s="421">
        <v>0</v>
      </c>
      <c r="DC22" s="421">
        <v>0</v>
      </c>
      <c r="DD22" s="421">
        <v>0</v>
      </c>
      <c r="DE22" s="421">
        <v>0</v>
      </c>
      <c r="DF22" s="421">
        <v>0</v>
      </c>
      <c r="DG22" s="421">
        <v>0</v>
      </c>
      <c r="DH22" s="421">
        <v>0</v>
      </c>
      <c r="DI22" s="421">
        <v>0</v>
      </c>
      <c r="DJ22" s="421">
        <v>0</v>
      </c>
      <c r="DK22" s="421">
        <v>0</v>
      </c>
      <c r="DL22" s="421">
        <v>0</v>
      </c>
      <c r="DM22" s="421">
        <v>0</v>
      </c>
      <c r="DN22" s="421">
        <v>0</v>
      </c>
      <c r="DO22" s="421">
        <v>0</v>
      </c>
      <c r="DP22" s="421">
        <v>0</v>
      </c>
      <c r="DQ22" s="421">
        <v>0</v>
      </c>
      <c r="DR22" s="421">
        <v>0</v>
      </c>
      <c r="DS22" s="421">
        <v>0</v>
      </c>
      <c r="DT22" s="421">
        <v>0</v>
      </c>
      <c r="DU22" s="421">
        <v>0</v>
      </c>
      <c r="DV22" s="421">
        <v>0</v>
      </c>
      <c r="DW22" s="421">
        <v>0</v>
      </c>
      <c r="DX22" s="421">
        <v>0</v>
      </c>
      <c r="DY22" s="421">
        <v>6009000</v>
      </c>
      <c r="DZ22" s="421">
        <v>6009000</v>
      </c>
      <c r="EA22" s="421">
        <v>0</v>
      </c>
      <c r="EB22" s="421">
        <v>0</v>
      </c>
      <c r="EC22" s="421" t="s">
        <v>1148</v>
      </c>
      <c r="ED22" s="421" t="s">
        <v>1167</v>
      </c>
      <c r="EE22" s="421" t="s">
        <v>1167</v>
      </c>
    </row>
    <row r="23" spans="1:135" x14ac:dyDescent="0.25">
      <c r="A23" s="421">
        <v>20</v>
      </c>
      <c r="B23" s="421">
        <v>2015</v>
      </c>
      <c r="C23" s="421">
        <v>2</v>
      </c>
      <c r="D23" s="421">
        <v>10</v>
      </c>
      <c r="E23" s="424">
        <v>42045</v>
      </c>
      <c r="F23" s="421" t="s">
        <v>1390</v>
      </c>
      <c r="G23" s="421" t="s">
        <v>1391</v>
      </c>
      <c r="H23" s="421" t="s">
        <v>1152</v>
      </c>
      <c r="I23" s="421" t="s">
        <v>1107</v>
      </c>
      <c r="J23" s="421" t="s">
        <v>1108</v>
      </c>
      <c r="K23" s="421" t="s">
        <v>1109</v>
      </c>
      <c r="L23" s="421" t="s">
        <v>1110</v>
      </c>
      <c r="O23" s="421" t="s">
        <v>1111</v>
      </c>
      <c r="R23" s="421" t="s">
        <v>1111</v>
      </c>
      <c r="S23" s="421" t="s">
        <v>1112</v>
      </c>
      <c r="T23" s="421" t="s">
        <v>1113</v>
      </c>
      <c r="U23" s="421" t="s">
        <v>1114</v>
      </c>
      <c r="V23" s="421" t="s">
        <v>1115</v>
      </c>
      <c r="W23" s="421" t="s">
        <v>1116</v>
      </c>
      <c r="X23" s="421" t="s">
        <v>1117</v>
      </c>
      <c r="Y23" s="421" t="s">
        <v>1118</v>
      </c>
      <c r="Z23" s="421" t="s">
        <v>1119</v>
      </c>
      <c r="AA23" s="421" t="s">
        <v>1120</v>
      </c>
      <c r="AB23" s="421" t="s">
        <v>1121</v>
      </c>
      <c r="AC23" s="421" t="s">
        <v>1122</v>
      </c>
      <c r="AD23" s="421" t="s">
        <v>1263</v>
      </c>
      <c r="AE23" s="421" t="s">
        <v>1392</v>
      </c>
      <c r="AF23" s="421" t="s">
        <v>1393</v>
      </c>
      <c r="AG23" s="421" t="s">
        <v>1394</v>
      </c>
      <c r="AH23" s="421">
        <v>72</v>
      </c>
      <c r="AI23" s="421" t="s">
        <v>1189</v>
      </c>
      <c r="AJ23" s="421">
        <v>402</v>
      </c>
      <c r="AK23" s="421">
        <v>5</v>
      </c>
      <c r="AL23" s="421" t="s">
        <v>1173</v>
      </c>
      <c r="AM23" s="421">
        <v>108</v>
      </c>
      <c r="AN23" s="421">
        <v>123.09</v>
      </c>
      <c r="AO23" s="421" t="s">
        <v>1120</v>
      </c>
      <c r="AP23" s="421" t="s">
        <v>1129</v>
      </c>
      <c r="AR23" s="421" t="s">
        <v>1130</v>
      </c>
      <c r="AT23" s="421" t="s">
        <v>1131</v>
      </c>
      <c r="AU23" s="421" t="s">
        <v>1190</v>
      </c>
      <c r="AV23" s="421" t="s">
        <v>1191</v>
      </c>
      <c r="AW23" s="421" t="s">
        <v>960</v>
      </c>
      <c r="AX23" s="421" t="s">
        <v>960</v>
      </c>
      <c r="AY23" s="421" t="s">
        <v>960</v>
      </c>
      <c r="AZ23" s="421" t="s">
        <v>1121</v>
      </c>
      <c r="BA23" s="421" t="s">
        <v>1376</v>
      </c>
      <c r="BB23" s="421" t="s">
        <v>960</v>
      </c>
      <c r="BC23" s="421" t="s">
        <v>1377</v>
      </c>
      <c r="BD23" s="421" t="s">
        <v>1378</v>
      </c>
      <c r="BE23" s="421" t="s">
        <v>1379</v>
      </c>
      <c r="BF23" s="421" t="s">
        <v>1380</v>
      </c>
      <c r="BG23" s="421" t="s">
        <v>1310</v>
      </c>
      <c r="BH23" s="421" t="s">
        <v>1381</v>
      </c>
      <c r="BI23" s="421" t="s">
        <v>1142</v>
      </c>
      <c r="BJ23" s="421" t="s">
        <v>1180</v>
      </c>
      <c r="BK23" s="421" t="s">
        <v>1391</v>
      </c>
      <c r="BL23" s="421" t="s">
        <v>1382</v>
      </c>
      <c r="BM23" s="421" t="s">
        <v>1383</v>
      </c>
      <c r="BN23" s="421" t="s">
        <v>1384</v>
      </c>
      <c r="BO23" s="421">
        <v>0</v>
      </c>
      <c r="BR23" s="421">
        <v>0</v>
      </c>
      <c r="BS23" s="421">
        <v>0</v>
      </c>
      <c r="BT23" s="421">
        <v>0</v>
      </c>
      <c r="BU23" s="424">
        <v>42003</v>
      </c>
      <c r="BX23" s="421">
        <v>2384.5300000000002</v>
      </c>
      <c r="BY23" s="421" t="s">
        <v>1183</v>
      </c>
      <c r="BZ23" s="421">
        <v>1857.6</v>
      </c>
      <c r="CA23" s="421">
        <v>4429502.9280000003</v>
      </c>
      <c r="CB23" s="421">
        <v>0.74</v>
      </c>
      <c r="CC23" s="421">
        <v>0</v>
      </c>
      <c r="CD23" s="421">
        <v>146.81</v>
      </c>
      <c r="CE23" s="421">
        <v>147.55000000000001</v>
      </c>
      <c r="CF23" s="421">
        <v>0</v>
      </c>
      <c r="CG23" s="421">
        <v>2005.15</v>
      </c>
      <c r="CH23" s="421">
        <v>0</v>
      </c>
      <c r="CI23" s="421">
        <v>2005.15</v>
      </c>
      <c r="CJ23" s="421">
        <v>4781340.3295</v>
      </c>
      <c r="CK23" s="421">
        <v>0</v>
      </c>
      <c r="CL23" s="421">
        <v>4781340</v>
      </c>
      <c r="CM23" s="421">
        <v>0</v>
      </c>
      <c r="CN23" s="421">
        <v>0</v>
      </c>
      <c r="CO23" s="421">
        <v>0</v>
      </c>
      <c r="CP23" s="421">
        <v>0</v>
      </c>
      <c r="CQ23" s="421">
        <v>16</v>
      </c>
      <c r="CR23" s="421">
        <v>4781340</v>
      </c>
      <c r="CS23" s="421">
        <v>765000</v>
      </c>
      <c r="CT23" s="421">
        <v>765000</v>
      </c>
      <c r="CU23" s="421">
        <v>0</v>
      </c>
      <c r="CV23" s="421">
        <v>0</v>
      </c>
      <c r="CW23" s="421">
        <v>0</v>
      </c>
      <c r="CX23" s="421">
        <v>0</v>
      </c>
      <c r="CY23" s="421">
        <v>0</v>
      </c>
      <c r="CZ23" s="421">
        <v>0</v>
      </c>
      <c r="DA23" s="421">
        <v>0</v>
      </c>
      <c r="DB23" s="421">
        <v>0</v>
      </c>
      <c r="DC23" s="421">
        <v>0</v>
      </c>
      <c r="DD23" s="421">
        <v>0</v>
      </c>
      <c r="DE23" s="421">
        <v>0</v>
      </c>
      <c r="DF23" s="421">
        <v>0</v>
      </c>
      <c r="DG23" s="421">
        <v>0</v>
      </c>
      <c r="DH23" s="421">
        <v>0</v>
      </c>
      <c r="DI23" s="421">
        <v>0</v>
      </c>
      <c r="DJ23" s="421">
        <v>0</v>
      </c>
      <c r="DK23" s="421">
        <v>0</v>
      </c>
      <c r="DL23" s="421">
        <v>0</v>
      </c>
      <c r="DM23" s="421">
        <v>0</v>
      </c>
      <c r="DN23" s="421">
        <v>0</v>
      </c>
      <c r="DO23" s="421">
        <v>0</v>
      </c>
      <c r="DP23" s="421">
        <v>0</v>
      </c>
      <c r="DQ23" s="421">
        <v>0</v>
      </c>
      <c r="DR23" s="421">
        <v>0</v>
      </c>
      <c r="DS23" s="421">
        <v>0</v>
      </c>
      <c r="DT23" s="421">
        <v>0</v>
      </c>
      <c r="DU23" s="421">
        <v>0</v>
      </c>
      <c r="DV23" s="421">
        <v>0</v>
      </c>
      <c r="DW23" s="421">
        <v>0</v>
      </c>
      <c r="DX23" s="421">
        <v>0</v>
      </c>
      <c r="DY23" s="421">
        <v>765000</v>
      </c>
      <c r="DZ23" s="421">
        <v>765000</v>
      </c>
      <c r="EA23" s="421">
        <v>0</v>
      </c>
      <c r="EB23" s="421">
        <v>0</v>
      </c>
      <c r="EC23" s="421" t="s">
        <v>1148</v>
      </c>
      <c r="ED23" s="421" t="s">
        <v>1167</v>
      </c>
      <c r="EE23" s="421" t="s">
        <v>1167</v>
      </c>
    </row>
    <row r="24" spans="1:135" x14ac:dyDescent="0.25">
      <c r="A24" s="421">
        <v>21</v>
      </c>
      <c r="B24" s="421">
        <v>2015</v>
      </c>
      <c r="C24" s="421">
        <v>2</v>
      </c>
      <c r="D24" s="421">
        <v>10</v>
      </c>
      <c r="E24" s="424">
        <v>42045</v>
      </c>
      <c r="F24" s="421" t="s">
        <v>1395</v>
      </c>
      <c r="G24" s="421" t="s">
        <v>1396</v>
      </c>
      <c r="H24" s="421" t="s">
        <v>1152</v>
      </c>
      <c r="I24" s="421" t="s">
        <v>1107</v>
      </c>
      <c r="J24" s="421" t="s">
        <v>1108</v>
      </c>
      <c r="K24" s="421" t="s">
        <v>1109</v>
      </c>
      <c r="L24" s="421" t="s">
        <v>1110</v>
      </c>
      <c r="O24" s="421" t="s">
        <v>1111</v>
      </c>
      <c r="R24" s="421" t="s">
        <v>1111</v>
      </c>
      <c r="S24" s="421" t="s">
        <v>1112</v>
      </c>
      <c r="T24" s="421" t="s">
        <v>1113</v>
      </c>
      <c r="U24" s="421" t="s">
        <v>1114</v>
      </c>
      <c r="V24" s="421" t="s">
        <v>1115</v>
      </c>
      <c r="W24" s="421" t="s">
        <v>1116</v>
      </c>
      <c r="X24" s="421" t="s">
        <v>1117</v>
      </c>
      <c r="Y24" s="421" t="s">
        <v>1118</v>
      </c>
      <c r="Z24" s="421" t="s">
        <v>1119</v>
      </c>
      <c r="AA24" s="421" t="s">
        <v>1120</v>
      </c>
      <c r="AB24" s="421" t="s">
        <v>1121</v>
      </c>
      <c r="AC24" s="421" t="s">
        <v>1122</v>
      </c>
      <c r="AD24" s="421" t="s">
        <v>1263</v>
      </c>
      <c r="AE24" s="421" t="s">
        <v>1397</v>
      </c>
      <c r="AF24" s="421" t="s">
        <v>1398</v>
      </c>
      <c r="AG24" s="421" t="s">
        <v>1399</v>
      </c>
      <c r="AH24" s="421">
        <v>100</v>
      </c>
      <c r="AI24" s="421" t="s">
        <v>1189</v>
      </c>
      <c r="AJ24" s="421">
        <v>402</v>
      </c>
      <c r="AK24" s="421">
        <v>5</v>
      </c>
      <c r="AL24" s="421" t="s">
        <v>1173</v>
      </c>
      <c r="AM24" s="421">
        <v>250</v>
      </c>
      <c r="AN24" s="421">
        <v>284.93</v>
      </c>
      <c r="AO24" s="421" t="s">
        <v>1120</v>
      </c>
      <c r="AP24" s="421" t="s">
        <v>1129</v>
      </c>
      <c r="AR24" s="421" t="s">
        <v>1130</v>
      </c>
      <c r="AT24" s="421" t="s">
        <v>1131</v>
      </c>
      <c r="AU24" s="421" t="s">
        <v>1190</v>
      </c>
      <c r="AV24" s="421" t="s">
        <v>1191</v>
      </c>
      <c r="AW24" s="421" t="s">
        <v>960</v>
      </c>
      <c r="AX24" s="421" t="s">
        <v>960</v>
      </c>
      <c r="AY24" s="421" t="s">
        <v>960</v>
      </c>
      <c r="AZ24" s="421" t="s">
        <v>1121</v>
      </c>
      <c r="BA24" s="421" t="s">
        <v>1376</v>
      </c>
      <c r="BB24" s="421" t="s">
        <v>960</v>
      </c>
      <c r="BC24" s="421" t="s">
        <v>1377</v>
      </c>
      <c r="BD24" s="421" t="s">
        <v>1378</v>
      </c>
      <c r="BE24" s="421" t="s">
        <v>1379</v>
      </c>
      <c r="BF24" s="421" t="s">
        <v>1380</v>
      </c>
      <c r="BG24" s="421" t="s">
        <v>1310</v>
      </c>
      <c r="BH24" s="421" t="s">
        <v>1381</v>
      </c>
      <c r="BI24" s="421" t="s">
        <v>1142</v>
      </c>
      <c r="BJ24" s="421" t="s">
        <v>1180</v>
      </c>
      <c r="BK24" s="421" t="s">
        <v>1396</v>
      </c>
      <c r="BL24" s="421" t="s">
        <v>1382</v>
      </c>
      <c r="BM24" s="421" t="s">
        <v>1383</v>
      </c>
      <c r="BN24" s="421" t="s">
        <v>1384</v>
      </c>
      <c r="BO24" s="421">
        <v>0</v>
      </c>
      <c r="BR24" s="421">
        <v>0</v>
      </c>
      <c r="BS24" s="421">
        <v>0</v>
      </c>
      <c r="BT24" s="421">
        <v>0</v>
      </c>
      <c r="BU24" s="424">
        <v>42003</v>
      </c>
      <c r="BX24" s="421">
        <v>2384.5300000000002</v>
      </c>
      <c r="BY24" s="421" t="s">
        <v>1183</v>
      </c>
      <c r="BZ24" s="421">
        <v>1080</v>
      </c>
      <c r="CA24" s="421">
        <v>2575292.4</v>
      </c>
      <c r="CB24" s="421">
        <v>0.43</v>
      </c>
      <c r="CC24" s="421">
        <v>0</v>
      </c>
      <c r="CD24" s="421">
        <v>339.84</v>
      </c>
      <c r="CE24" s="421">
        <v>340.27</v>
      </c>
      <c r="CF24" s="421">
        <v>0</v>
      </c>
      <c r="CG24" s="421">
        <v>1420.27</v>
      </c>
      <c r="CH24" s="421">
        <v>0</v>
      </c>
      <c r="CI24" s="421">
        <v>1420.27</v>
      </c>
      <c r="CJ24" s="421">
        <v>3386676.4230999998</v>
      </c>
      <c r="CK24" s="421">
        <v>0</v>
      </c>
      <c r="CL24" s="421">
        <v>3386676</v>
      </c>
      <c r="CM24" s="421">
        <v>0</v>
      </c>
      <c r="CN24" s="421">
        <v>0</v>
      </c>
      <c r="CO24" s="421">
        <v>0</v>
      </c>
      <c r="CP24" s="421">
        <v>0</v>
      </c>
      <c r="CQ24" s="421">
        <v>16</v>
      </c>
      <c r="CR24" s="421">
        <v>3386676</v>
      </c>
      <c r="CS24" s="421">
        <v>542000</v>
      </c>
      <c r="CT24" s="421">
        <v>542000</v>
      </c>
      <c r="CU24" s="421">
        <v>0</v>
      </c>
      <c r="CV24" s="421">
        <v>0</v>
      </c>
      <c r="CW24" s="421">
        <v>0</v>
      </c>
      <c r="CX24" s="421">
        <v>0</v>
      </c>
      <c r="CY24" s="421">
        <v>0</v>
      </c>
      <c r="CZ24" s="421">
        <v>0</v>
      </c>
      <c r="DA24" s="421">
        <v>0</v>
      </c>
      <c r="DB24" s="421">
        <v>0</v>
      </c>
      <c r="DC24" s="421">
        <v>0</v>
      </c>
      <c r="DD24" s="421">
        <v>0</v>
      </c>
      <c r="DE24" s="421">
        <v>0</v>
      </c>
      <c r="DF24" s="421">
        <v>0</v>
      </c>
      <c r="DG24" s="421">
        <v>0</v>
      </c>
      <c r="DH24" s="421">
        <v>0</v>
      </c>
      <c r="DI24" s="421">
        <v>0</v>
      </c>
      <c r="DJ24" s="421">
        <v>0</v>
      </c>
      <c r="DK24" s="421">
        <v>0</v>
      </c>
      <c r="DL24" s="421">
        <v>0</v>
      </c>
      <c r="DM24" s="421">
        <v>0</v>
      </c>
      <c r="DN24" s="421">
        <v>0</v>
      </c>
      <c r="DO24" s="421">
        <v>0</v>
      </c>
      <c r="DP24" s="421">
        <v>0</v>
      </c>
      <c r="DQ24" s="421">
        <v>0</v>
      </c>
      <c r="DR24" s="421">
        <v>0</v>
      </c>
      <c r="DS24" s="421">
        <v>0</v>
      </c>
      <c r="DT24" s="421">
        <v>0</v>
      </c>
      <c r="DU24" s="421">
        <v>0</v>
      </c>
      <c r="DV24" s="421">
        <v>0</v>
      </c>
      <c r="DW24" s="421">
        <v>0</v>
      </c>
      <c r="DX24" s="421">
        <v>0</v>
      </c>
      <c r="DY24" s="421">
        <v>542000</v>
      </c>
      <c r="DZ24" s="421">
        <v>542000</v>
      </c>
      <c r="EA24" s="421">
        <v>0</v>
      </c>
      <c r="EB24" s="421">
        <v>0</v>
      </c>
      <c r="EC24" s="421" t="s">
        <v>1148</v>
      </c>
      <c r="ED24" s="421" t="s">
        <v>1167</v>
      </c>
      <c r="EE24" s="421" t="s">
        <v>1167</v>
      </c>
    </row>
    <row r="25" spans="1:135" x14ac:dyDescent="0.25">
      <c r="A25" s="421">
        <v>22</v>
      </c>
      <c r="B25" s="421">
        <v>2015</v>
      </c>
      <c r="C25" s="421">
        <v>2</v>
      </c>
      <c r="D25" s="421">
        <v>10</v>
      </c>
      <c r="E25" s="424">
        <v>42045</v>
      </c>
      <c r="F25" s="421" t="s">
        <v>1400</v>
      </c>
      <c r="G25" s="421" t="s">
        <v>1401</v>
      </c>
      <c r="H25" s="421" t="s">
        <v>1152</v>
      </c>
      <c r="I25" s="421" t="s">
        <v>1107</v>
      </c>
      <c r="J25" s="421" t="s">
        <v>1108</v>
      </c>
      <c r="K25" s="421" t="s">
        <v>1109</v>
      </c>
      <c r="L25" s="421" t="s">
        <v>1110</v>
      </c>
      <c r="O25" s="421" t="s">
        <v>1111</v>
      </c>
      <c r="R25" s="421" t="s">
        <v>1111</v>
      </c>
      <c r="S25" s="421" t="s">
        <v>1112</v>
      </c>
      <c r="T25" s="421" t="s">
        <v>1113</v>
      </c>
      <c r="U25" s="421" t="s">
        <v>1114</v>
      </c>
      <c r="V25" s="421" t="s">
        <v>1115</v>
      </c>
      <c r="W25" s="421" t="s">
        <v>1116</v>
      </c>
      <c r="X25" s="421" t="s">
        <v>1117</v>
      </c>
      <c r="Y25" s="421" t="s">
        <v>1118</v>
      </c>
      <c r="Z25" s="421" t="s">
        <v>1119</v>
      </c>
      <c r="AA25" s="421" t="s">
        <v>1120</v>
      </c>
      <c r="AB25" s="421" t="s">
        <v>1121</v>
      </c>
      <c r="AC25" s="421" t="s">
        <v>1122</v>
      </c>
      <c r="AD25" s="421" t="s">
        <v>1263</v>
      </c>
      <c r="AE25" s="421" t="s">
        <v>1402</v>
      </c>
      <c r="AF25" s="421" t="s">
        <v>1403</v>
      </c>
      <c r="AG25" s="421" t="s">
        <v>1404</v>
      </c>
      <c r="AH25" s="421">
        <v>240634</v>
      </c>
      <c r="AI25" s="421" t="s">
        <v>1189</v>
      </c>
      <c r="AJ25" s="421">
        <v>402</v>
      </c>
      <c r="AK25" s="421">
        <v>5</v>
      </c>
      <c r="AL25" s="421" t="s">
        <v>1173</v>
      </c>
      <c r="AM25" s="421">
        <v>954.5</v>
      </c>
      <c r="AN25" s="421">
        <v>1087.8599999999999</v>
      </c>
      <c r="AO25" s="421" t="s">
        <v>1120</v>
      </c>
      <c r="AP25" s="421" t="s">
        <v>1129</v>
      </c>
      <c r="AR25" s="421" t="s">
        <v>1130</v>
      </c>
      <c r="AT25" s="421" t="s">
        <v>1131</v>
      </c>
      <c r="AU25" s="421" t="s">
        <v>1190</v>
      </c>
      <c r="AV25" s="421" t="s">
        <v>1191</v>
      </c>
      <c r="AW25" s="421" t="s">
        <v>960</v>
      </c>
      <c r="AX25" s="421" t="s">
        <v>960</v>
      </c>
      <c r="AY25" s="421" t="s">
        <v>960</v>
      </c>
      <c r="AZ25" s="421" t="s">
        <v>1121</v>
      </c>
      <c r="BA25" s="421" t="s">
        <v>1376</v>
      </c>
      <c r="BB25" s="421" t="s">
        <v>960</v>
      </c>
      <c r="BC25" s="421" t="s">
        <v>1377</v>
      </c>
      <c r="BD25" s="421" t="s">
        <v>1378</v>
      </c>
      <c r="BE25" s="421" t="s">
        <v>1379</v>
      </c>
      <c r="BF25" s="421" t="s">
        <v>1380</v>
      </c>
      <c r="BG25" s="421" t="s">
        <v>1310</v>
      </c>
      <c r="BH25" s="421" t="s">
        <v>1381</v>
      </c>
      <c r="BI25" s="421" t="s">
        <v>1142</v>
      </c>
      <c r="BJ25" s="421" t="s">
        <v>1180</v>
      </c>
      <c r="BK25" s="421" t="s">
        <v>1401</v>
      </c>
      <c r="BL25" s="421" t="s">
        <v>1382</v>
      </c>
      <c r="BM25" s="421" t="s">
        <v>1383</v>
      </c>
      <c r="BN25" s="421" t="s">
        <v>1384</v>
      </c>
      <c r="BO25" s="421">
        <v>0</v>
      </c>
      <c r="BR25" s="421">
        <v>0</v>
      </c>
      <c r="BS25" s="421">
        <v>0</v>
      </c>
      <c r="BT25" s="421">
        <v>0</v>
      </c>
      <c r="BU25" s="424">
        <v>42003</v>
      </c>
      <c r="BX25" s="421">
        <v>2384.5300000000002</v>
      </c>
      <c r="BY25" s="421" t="s">
        <v>1183</v>
      </c>
      <c r="BZ25" s="421">
        <v>6801</v>
      </c>
      <c r="CA25" s="421">
        <v>16217188.529999999</v>
      </c>
      <c r="CB25" s="421">
        <v>2.73</v>
      </c>
      <c r="CC25" s="421">
        <v>0</v>
      </c>
      <c r="CD25" s="421">
        <v>1297.5</v>
      </c>
      <c r="CE25" s="421">
        <v>1300.23</v>
      </c>
      <c r="CF25" s="421">
        <v>0</v>
      </c>
      <c r="CG25" s="421">
        <v>8101.23</v>
      </c>
      <c r="CH25" s="421">
        <v>0</v>
      </c>
      <c r="CI25" s="421">
        <v>8101.23</v>
      </c>
      <c r="CJ25" s="421">
        <v>19317625.971900001</v>
      </c>
      <c r="CK25" s="421">
        <v>10</v>
      </c>
      <c r="CL25" s="421">
        <v>19317626</v>
      </c>
      <c r="CM25" s="421">
        <v>1932000</v>
      </c>
      <c r="CN25" s="421">
        <v>1932000</v>
      </c>
      <c r="CO25" s="421">
        <v>0</v>
      </c>
      <c r="CP25" s="421">
        <v>0</v>
      </c>
      <c r="CQ25" s="421">
        <v>16</v>
      </c>
      <c r="CR25" s="421">
        <v>21249626</v>
      </c>
      <c r="CS25" s="421">
        <v>3400000</v>
      </c>
      <c r="CT25" s="421">
        <v>3400000</v>
      </c>
      <c r="CU25" s="421">
        <v>0</v>
      </c>
      <c r="CV25" s="421">
        <v>0</v>
      </c>
      <c r="CW25" s="421">
        <v>0</v>
      </c>
      <c r="CX25" s="421">
        <v>0</v>
      </c>
      <c r="CY25" s="421">
        <v>0</v>
      </c>
      <c r="CZ25" s="421">
        <v>0</v>
      </c>
      <c r="DA25" s="421">
        <v>0</v>
      </c>
      <c r="DB25" s="421">
        <v>0</v>
      </c>
      <c r="DC25" s="421">
        <v>0</v>
      </c>
      <c r="DD25" s="421">
        <v>0</v>
      </c>
      <c r="DE25" s="421">
        <v>0</v>
      </c>
      <c r="DF25" s="421">
        <v>0</v>
      </c>
      <c r="DG25" s="421">
        <v>0</v>
      </c>
      <c r="DH25" s="421">
        <v>0</v>
      </c>
      <c r="DI25" s="421">
        <v>0</v>
      </c>
      <c r="DJ25" s="421">
        <v>0</v>
      </c>
      <c r="DK25" s="421">
        <v>0</v>
      </c>
      <c r="DL25" s="421">
        <v>0</v>
      </c>
      <c r="DM25" s="421">
        <v>0</v>
      </c>
      <c r="DN25" s="421">
        <v>0</v>
      </c>
      <c r="DO25" s="421">
        <v>0</v>
      </c>
      <c r="DP25" s="421">
        <v>0</v>
      </c>
      <c r="DQ25" s="421">
        <v>0</v>
      </c>
      <c r="DR25" s="421">
        <v>0</v>
      </c>
      <c r="DS25" s="421">
        <v>0</v>
      </c>
      <c r="DT25" s="421">
        <v>0</v>
      </c>
      <c r="DU25" s="421">
        <v>0</v>
      </c>
      <c r="DV25" s="421">
        <v>0</v>
      </c>
      <c r="DW25" s="421">
        <v>0</v>
      </c>
      <c r="DX25" s="421">
        <v>0</v>
      </c>
      <c r="DY25" s="421">
        <v>5332000</v>
      </c>
      <c r="DZ25" s="421">
        <v>5332000</v>
      </c>
      <c r="EA25" s="421">
        <v>0</v>
      </c>
      <c r="EB25" s="421">
        <v>0</v>
      </c>
      <c r="EC25" s="421" t="s">
        <v>1148</v>
      </c>
      <c r="ED25" s="421" t="s">
        <v>1167</v>
      </c>
      <c r="EE25" s="421" t="s">
        <v>1167</v>
      </c>
    </row>
    <row r="26" spans="1:135" x14ac:dyDescent="0.25">
      <c r="A26" s="421">
        <v>23</v>
      </c>
      <c r="B26" s="421">
        <v>2015</v>
      </c>
      <c r="C26" s="421">
        <v>2</v>
      </c>
      <c r="D26" s="421">
        <v>10</v>
      </c>
      <c r="E26" s="424">
        <v>42045</v>
      </c>
      <c r="F26" s="421" t="s">
        <v>1405</v>
      </c>
      <c r="G26" s="421" t="s">
        <v>1406</v>
      </c>
      <c r="H26" s="421" t="s">
        <v>1152</v>
      </c>
      <c r="I26" s="421" t="s">
        <v>1107</v>
      </c>
      <c r="J26" s="421" t="s">
        <v>1108</v>
      </c>
      <c r="K26" s="421" t="s">
        <v>1109</v>
      </c>
      <c r="L26" s="421" t="s">
        <v>1110</v>
      </c>
      <c r="O26" s="421" t="s">
        <v>1111</v>
      </c>
      <c r="R26" s="421" t="s">
        <v>1111</v>
      </c>
      <c r="S26" s="421" t="s">
        <v>1112</v>
      </c>
      <c r="T26" s="421" t="s">
        <v>1113</v>
      </c>
      <c r="U26" s="421" t="s">
        <v>1114</v>
      </c>
      <c r="V26" s="421" t="s">
        <v>1115</v>
      </c>
      <c r="W26" s="421" t="s">
        <v>1116</v>
      </c>
      <c r="X26" s="421" t="s">
        <v>1117</v>
      </c>
      <c r="Y26" s="421" t="s">
        <v>1118</v>
      </c>
      <c r="Z26" s="421" t="s">
        <v>1119</v>
      </c>
      <c r="AA26" s="421" t="s">
        <v>1120</v>
      </c>
      <c r="AB26" s="421" t="s">
        <v>1121</v>
      </c>
      <c r="AC26" s="421" t="s">
        <v>1122</v>
      </c>
      <c r="AD26" s="421" t="s">
        <v>1263</v>
      </c>
      <c r="AE26" s="421" t="s">
        <v>1407</v>
      </c>
      <c r="AF26" s="421" t="s">
        <v>1408</v>
      </c>
      <c r="AG26" s="421" t="s">
        <v>1409</v>
      </c>
      <c r="AH26" s="421">
        <v>16700</v>
      </c>
      <c r="AI26" s="421" t="s">
        <v>1127</v>
      </c>
      <c r="AJ26" s="421">
        <v>80</v>
      </c>
      <c r="AK26" s="421">
        <v>1</v>
      </c>
      <c r="AL26" s="421" t="s">
        <v>1267</v>
      </c>
      <c r="AM26" s="421">
        <v>16700</v>
      </c>
      <c r="AN26" s="421">
        <v>18050</v>
      </c>
      <c r="AO26" s="421" t="s">
        <v>1120</v>
      </c>
      <c r="AP26" s="421" t="s">
        <v>1129</v>
      </c>
      <c r="AR26" s="421" t="s">
        <v>1130</v>
      </c>
      <c r="AT26" s="421" t="s">
        <v>1131</v>
      </c>
      <c r="AU26" s="421" t="s">
        <v>1132</v>
      </c>
      <c r="AV26" s="421" t="s">
        <v>1133</v>
      </c>
      <c r="AW26" s="421" t="s">
        <v>962</v>
      </c>
      <c r="AX26" s="421" t="s">
        <v>962</v>
      </c>
      <c r="AY26" s="421" t="s">
        <v>962</v>
      </c>
      <c r="AZ26" s="421" t="s">
        <v>1121</v>
      </c>
      <c r="BA26" s="421" t="s">
        <v>1410</v>
      </c>
      <c r="BB26" s="421" t="s">
        <v>962</v>
      </c>
      <c r="BC26" s="421" t="s">
        <v>1411</v>
      </c>
      <c r="BD26" s="421" t="s">
        <v>1412</v>
      </c>
      <c r="BE26" s="421" t="s">
        <v>1413</v>
      </c>
      <c r="BF26" s="421" t="s">
        <v>1414</v>
      </c>
      <c r="BG26" s="421" t="s">
        <v>1415</v>
      </c>
      <c r="BH26" s="421" t="s">
        <v>1416</v>
      </c>
      <c r="BI26" s="421" t="s">
        <v>1142</v>
      </c>
      <c r="BJ26" s="421" t="s">
        <v>1417</v>
      </c>
      <c r="BK26" s="421" t="s">
        <v>1406</v>
      </c>
      <c r="BL26" s="421" t="s">
        <v>1382</v>
      </c>
      <c r="BM26" s="421" t="s">
        <v>1418</v>
      </c>
      <c r="BN26" s="421" t="s">
        <v>1285</v>
      </c>
      <c r="BO26" s="421">
        <v>0</v>
      </c>
      <c r="BR26" s="421">
        <v>0</v>
      </c>
      <c r="BS26" s="421">
        <v>0</v>
      </c>
      <c r="BT26" s="421">
        <v>0</v>
      </c>
      <c r="BU26" s="424">
        <v>42034</v>
      </c>
      <c r="BX26" s="421">
        <v>2384.5300000000002</v>
      </c>
      <c r="BY26" s="421" t="s">
        <v>1147</v>
      </c>
      <c r="BZ26" s="421">
        <v>62720</v>
      </c>
      <c r="CA26" s="421">
        <v>149557721.59999999</v>
      </c>
      <c r="CB26" s="421">
        <v>72</v>
      </c>
      <c r="CC26" s="421">
        <v>0</v>
      </c>
      <c r="CD26" s="421">
        <v>3050</v>
      </c>
      <c r="CE26" s="421">
        <v>3122</v>
      </c>
      <c r="CF26" s="421">
        <v>0</v>
      </c>
      <c r="CG26" s="421">
        <v>65842</v>
      </c>
      <c r="CH26" s="421">
        <v>0</v>
      </c>
      <c r="CI26" s="421">
        <v>65842</v>
      </c>
      <c r="CJ26" s="421">
        <v>157002224.25999999</v>
      </c>
      <c r="CK26" s="421">
        <v>0</v>
      </c>
      <c r="CL26" s="421">
        <v>157002224</v>
      </c>
      <c r="CM26" s="421">
        <v>0</v>
      </c>
      <c r="CN26" s="421">
        <v>0</v>
      </c>
      <c r="CO26" s="421">
        <v>0</v>
      </c>
      <c r="CP26" s="421">
        <v>0</v>
      </c>
      <c r="CQ26" s="421">
        <v>16</v>
      </c>
      <c r="CR26" s="421">
        <v>157002224</v>
      </c>
      <c r="CS26" s="421">
        <v>25120000</v>
      </c>
      <c r="CT26" s="421">
        <v>25120000</v>
      </c>
      <c r="CU26" s="421">
        <v>0</v>
      </c>
      <c r="CV26" s="421">
        <v>0</v>
      </c>
      <c r="CW26" s="421">
        <v>0</v>
      </c>
      <c r="CX26" s="421">
        <v>0</v>
      </c>
      <c r="CY26" s="421">
        <v>0</v>
      </c>
      <c r="CZ26" s="421">
        <v>0</v>
      </c>
      <c r="DA26" s="421">
        <v>0</v>
      </c>
      <c r="DB26" s="421">
        <v>0</v>
      </c>
      <c r="DC26" s="421">
        <v>0</v>
      </c>
      <c r="DD26" s="421">
        <v>0</v>
      </c>
      <c r="DE26" s="421">
        <v>0</v>
      </c>
      <c r="DF26" s="421">
        <v>0</v>
      </c>
      <c r="DG26" s="421">
        <v>0</v>
      </c>
      <c r="DH26" s="421">
        <v>0</v>
      </c>
      <c r="DI26" s="421">
        <v>0</v>
      </c>
      <c r="DJ26" s="421">
        <v>0</v>
      </c>
      <c r="DK26" s="421">
        <v>0</v>
      </c>
      <c r="DL26" s="421">
        <v>0</v>
      </c>
      <c r="DM26" s="421">
        <v>0</v>
      </c>
      <c r="DN26" s="421">
        <v>0</v>
      </c>
      <c r="DO26" s="421">
        <v>0</v>
      </c>
      <c r="DP26" s="421">
        <v>0</v>
      </c>
      <c r="DQ26" s="421">
        <v>0</v>
      </c>
      <c r="DR26" s="421">
        <v>0</v>
      </c>
      <c r="DS26" s="421">
        <v>0</v>
      </c>
      <c r="DT26" s="421">
        <v>0</v>
      </c>
      <c r="DU26" s="421">
        <v>0</v>
      </c>
      <c r="DV26" s="421">
        <v>0</v>
      </c>
      <c r="DW26" s="421">
        <v>0</v>
      </c>
      <c r="DX26" s="421">
        <v>0</v>
      </c>
      <c r="DY26" s="421">
        <v>25120000</v>
      </c>
      <c r="DZ26" s="421">
        <v>25120000</v>
      </c>
      <c r="EA26" s="421">
        <v>0</v>
      </c>
      <c r="EB26" s="421">
        <v>0</v>
      </c>
      <c r="EC26" s="421" t="s">
        <v>1148</v>
      </c>
      <c r="ED26" s="421" t="s">
        <v>1149</v>
      </c>
      <c r="EE26" s="421" t="s">
        <v>1149</v>
      </c>
    </row>
    <row r="27" spans="1:135" x14ac:dyDescent="0.25">
      <c r="A27" s="421">
        <v>24</v>
      </c>
      <c r="B27" s="421">
        <v>2015</v>
      </c>
      <c r="C27" s="421">
        <v>2</v>
      </c>
      <c r="D27" s="421">
        <v>10</v>
      </c>
      <c r="E27" s="424">
        <v>42045</v>
      </c>
      <c r="F27" s="421" t="s">
        <v>1419</v>
      </c>
      <c r="G27" s="421" t="s">
        <v>1420</v>
      </c>
      <c r="H27" s="421" t="s">
        <v>1152</v>
      </c>
      <c r="I27" s="421" t="s">
        <v>1107</v>
      </c>
      <c r="J27" s="421" t="s">
        <v>1108</v>
      </c>
      <c r="K27" s="421" t="s">
        <v>1109</v>
      </c>
      <c r="L27" s="421" t="s">
        <v>1110</v>
      </c>
      <c r="O27" s="421" t="s">
        <v>1111</v>
      </c>
      <c r="R27" s="421" t="s">
        <v>1111</v>
      </c>
      <c r="S27" s="421" t="s">
        <v>1112</v>
      </c>
      <c r="T27" s="421" t="s">
        <v>1113</v>
      </c>
      <c r="U27" s="421" t="s">
        <v>1114</v>
      </c>
      <c r="V27" s="421" t="s">
        <v>1115</v>
      </c>
      <c r="W27" s="421" t="s">
        <v>1116</v>
      </c>
      <c r="X27" s="421" t="s">
        <v>1117</v>
      </c>
      <c r="Y27" s="421" t="s">
        <v>1118</v>
      </c>
      <c r="Z27" s="421" t="s">
        <v>1119</v>
      </c>
      <c r="AA27" s="421" t="s">
        <v>1120</v>
      </c>
      <c r="AB27" s="421" t="s">
        <v>1121</v>
      </c>
      <c r="AC27" s="421" t="s">
        <v>1122</v>
      </c>
      <c r="AD27" s="421" t="s">
        <v>1263</v>
      </c>
      <c r="AE27" s="421" t="s">
        <v>1264</v>
      </c>
      <c r="AF27" s="421" t="s">
        <v>1265</v>
      </c>
      <c r="AG27" s="421" t="s">
        <v>1421</v>
      </c>
      <c r="AH27" s="421">
        <v>12022.58</v>
      </c>
      <c r="AI27" s="421" t="s">
        <v>1127</v>
      </c>
      <c r="AJ27" s="421">
        <v>7</v>
      </c>
      <c r="AK27" s="421">
        <v>1</v>
      </c>
      <c r="AL27" s="421" t="s">
        <v>1267</v>
      </c>
      <c r="AM27" s="421">
        <v>12022.58</v>
      </c>
      <c r="AN27" s="421">
        <v>12696.21</v>
      </c>
      <c r="AO27" s="421" t="s">
        <v>1120</v>
      </c>
      <c r="AP27" s="421" t="s">
        <v>1129</v>
      </c>
      <c r="AR27" s="421" t="s">
        <v>1130</v>
      </c>
      <c r="AT27" s="421" t="s">
        <v>1131</v>
      </c>
      <c r="AU27" s="421" t="s">
        <v>1132</v>
      </c>
      <c r="AV27" s="421" t="s">
        <v>1133</v>
      </c>
      <c r="AW27" s="421" t="s">
        <v>962</v>
      </c>
      <c r="AX27" s="421" t="s">
        <v>962</v>
      </c>
      <c r="AY27" s="421" t="s">
        <v>962</v>
      </c>
      <c r="AZ27" s="421" t="s">
        <v>1121</v>
      </c>
      <c r="BA27" s="421" t="s">
        <v>1364</v>
      </c>
      <c r="BB27" s="421" t="s">
        <v>962</v>
      </c>
      <c r="BC27" s="421" t="s">
        <v>1365</v>
      </c>
      <c r="BD27" s="421" t="s">
        <v>1366</v>
      </c>
      <c r="BE27" s="421" t="s">
        <v>1367</v>
      </c>
      <c r="BF27" s="421" t="s">
        <v>1284</v>
      </c>
      <c r="BG27" s="421" t="s">
        <v>1285</v>
      </c>
      <c r="BH27" s="421" t="s">
        <v>1422</v>
      </c>
      <c r="BI27" s="421" t="s">
        <v>1142</v>
      </c>
      <c r="BJ27" s="421" t="s">
        <v>1243</v>
      </c>
      <c r="BK27" s="421" t="s">
        <v>1420</v>
      </c>
      <c r="BL27" s="421" t="s">
        <v>1382</v>
      </c>
      <c r="BM27" s="421" t="s">
        <v>1423</v>
      </c>
      <c r="BN27" s="421" t="s">
        <v>1144</v>
      </c>
      <c r="BO27" s="421">
        <v>0</v>
      </c>
      <c r="BR27" s="421">
        <v>0</v>
      </c>
      <c r="BS27" s="421">
        <v>0</v>
      </c>
      <c r="BT27" s="421">
        <v>0</v>
      </c>
      <c r="BU27" s="424">
        <v>42015</v>
      </c>
      <c r="BX27" s="421">
        <v>2384.5300000000002</v>
      </c>
      <c r="BY27" s="421" t="s">
        <v>1147</v>
      </c>
      <c r="BZ27" s="421">
        <v>127707.5</v>
      </c>
      <c r="CA27" s="421">
        <v>304522364.97500002</v>
      </c>
      <c r="CB27" s="421">
        <v>51.08</v>
      </c>
      <c r="CC27" s="421">
        <v>0</v>
      </c>
      <c r="CD27" s="421">
        <v>1365.83</v>
      </c>
      <c r="CE27" s="421">
        <v>1416.91</v>
      </c>
      <c r="CF27" s="421">
        <v>0</v>
      </c>
      <c r="CG27" s="421">
        <v>129124.41</v>
      </c>
      <c r="CH27" s="421">
        <v>0</v>
      </c>
      <c r="CI27" s="421">
        <v>129124.41</v>
      </c>
      <c r="CJ27" s="421">
        <v>307901029.37730002</v>
      </c>
      <c r="CK27" s="421">
        <v>5</v>
      </c>
      <c r="CL27" s="421">
        <v>307901029</v>
      </c>
      <c r="CM27" s="421">
        <v>15395000</v>
      </c>
      <c r="CN27" s="421">
        <v>15395000</v>
      </c>
      <c r="CO27" s="421">
        <v>0</v>
      </c>
      <c r="CP27" s="421">
        <v>0</v>
      </c>
      <c r="CQ27" s="421">
        <v>16</v>
      </c>
      <c r="CR27" s="421">
        <v>323296029</v>
      </c>
      <c r="CS27" s="421">
        <v>51727000</v>
      </c>
      <c r="CT27" s="421">
        <v>51727000</v>
      </c>
      <c r="CU27" s="421">
        <v>0</v>
      </c>
      <c r="CV27" s="421">
        <v>0</v>
      </c>
      <c r="CW27" s="421">
        <v>0</v>
      </c>
      <c r="CX27" s="421">
        <v>0</v>
      </c>
      <c r="CY27" s="421">
        <v>0</v>
      </c>
      <c r="CZ27" s="421">
        <v>0</v>
      </c>
      <c r="DA27" s="421">
        <v>0</v>
      </c>
      <c r="DB27" s="421">
        <v>0</v>
      </c>
      <c r="DC27" s="421">
        <v>0</v>
      </c>
      <c r="DD27" s="421">
        <v>0</v>
      </c>
      <c r="DE27" s="421">
        <v>0</v>
      </c>
      <c r="DF27" s="421">
        <v>0</v>
      </c>
      <c r="DG27" s="421">
        <v>0</v>
      </c>
      <c r="DH27" s="421">
        <v>0</v>
      </c>
      <c r="DI27" s="421">
        <v>0</v>
      </c>
      <c r="DJ27" s="421">
        <v>0</v>
      </c>
      <c r="DK27" s="421">
        <v>0</v>
      </c>
      <c r="DL27" s="421">
        <v>0</v>
      </c>
      <c r="DM27" s="421">
        <v>0</v>
      </c>
      <c r="DN27" s="421">
        <v>0</v>
      </c>
      <c r="DO27" s="421">
        <v>0</v>
      </c>
      <c r="DP27" s="421">
        <v>0</v>
      </c>
      <c r="DQ27" s="421">
        <v>0</v>
      </c>
      <c r="DR27" s="421">
        <v>0</v>
      </c>
      <c r="DS27" s="421">
        <v>0</v>
      </c>
      <c r="DT27" s="421">
        <v>0</v>
      </c>
      <c r="DU27" s="421">
        <v>0</v>
      </c>
      <c r="DV27" s="421">
        <v>0</v>
      </c>
      <c r="DW27" s="421">
        <v>0</v>
      </c>
      <c r="DX27" s="421">
        <v>0</v>
      </c>
      <c r="DY27" s="421">
        <v>67122000</v>
      </c>
      <c r="DZ27" s="421">
        <v>67122000</v>
      </c>
      <c r="EA27" s="421">
        <v>0</v>
      </c>
      <c r="EB27" s="421">
        <v>0</v>
      </c>
      <c r="EC27" s="421" t="s">
        <v>1148</v>
      </c>
      <c r="ED27" s="421" t="s">
        <v>1149</v>
      </c>
      <c r="EE27" s="421" t="s">
        <v>1149</v>
      </c>
    </row>
    <row r="28" spans="1:135" x14ac:dyDescent="0.25">
      <c r="A28" s="421">
        <v>25</v>
      </c>
      <c r="B28" s="421">
        <v>2015</v>
      </c>
      <c r="C28" s="421">
        <v>2</v>
      </c>
      <c r="D28" s="421">
        <v>10</v>
      </c>
      <c r="E28" s="424">
        <v>42045</v>
      </c>
      <c r="F28" s="421" t="s">
        <v>1424</v>
      </c>
      <c r="G28" s="421" t="s">
        <v>1425</v>
      </c>
      <c r="H28" s="421" t="s">
        <v>1152</v>
      </c>
      <c r="I28" s="421" t="s">
        <v>1107</v>
      </c>
      <c r="J28" s="421" t="s">
        <v>1108</v>
      </c>
      <c r="K28" s="421" t="s">
        <v>1109</v>
      </c>
      <c r="L28" s="421" t="s">
        <v>1110</v>
      </c>
      <c r="O28" s="421" t="s">
        <v>1111</v>
      </c>
      <c r="R28" s="421" t="s">
        <v>1111</v>
      </c>
      <c r="S28" s="421" t="s">
        <v>1112</v>
      </c>
      <c r="T28" s="421" t="s">
        <v>1113</v>
      </c>
      <c r="U28" s="421" t="s">
        <v>1114</v>
      </c>
      <c r="V28" s="421" t="s">
        <v>1115</v>
      </c>
      <c r="W28" s="421" t="s">
        <v>1116</v>
      </c>
      <c r="X28" s="421" t="s">
        <v>1117</v>
      </c>
      <c r="Y28" s="421" t="s">
        <v>1118</v>
      </c>
      <c r="Z28" s="421" t="s">
        <v>1119</v>
      </c>
      <c r="AA28" s="421" t="s">
        <v>1120</v>
      </c>
      <c r="AB28" s="421" t="s">
        <v>1121</v>
      </c>
      <c r="AC28" s="421" t="s">
        <v>1122</v>
      </c>
      <c r="AD28" s="421" t="s">
        <v>1263</v>
      </c>
      <c r="AE28" s="421" t="s">
        <v>1264</v>
      </c>
      <c r="AF28" s="421" t="s">
        <v>1265</v>
      </c>
      <c r="AG28" s="421" t="s">
        <v>1426</v>
      </c>
      <c r="AH28" s="421">
        <v>6191.6</v>
      </c>
      <c r="AI28" s="421" t="s">
        <v>1127</v>
      </c>
      <c r="AJ28" s="421">
        <v>7</v>
      </c>
      <c r="AK28" s="421">
        <v>1</v>
      </c>
      <c r="AL28" s="421" t="s">
        <v>1267</v>
      </c>
      <c r="AM28" s="421">
        <v>6191.6</v>
      </c>
      <c r="AN28" s="421">
        <v>6501.18</v>
      </c>
      <c r="AO28" s="421" t="s">
        <v>1427</v>
      </c>
      <c r="AP28" s="421" t="s">
        <v>1129</v>
      </c>
      <c r="AR28" s="421" t="s">
        <v>1130</v>
      </c>
      <c r="AT28" s="421" t="s">
        <v>1131</v>
      </c>
      <c r="AU28" s="421" t="s">
        <v>1132</v>
      </c>
      <c r="AV28" s="421" t="s">
        <v>1133</v>
      </c>
      <c r="AW28" s="421" t="s">
        <v>962</v>
      </c>
      <c r="AX28" s="421" t="s">
        <v>962</v>
      </c>
      <c r="AY28" s="421" t="s">
        <v>962</v>
      </c>
      <c r="AZ28" s="421" t="s">
        <v>1121</v>
      </c>
      <c r="BA28" s="421" t="s">
        <v>1364</v>
      </c>
      <c r="BB28" s="421" t="s">
        <v>962</v>
      </c>
      <c r="BC28" s="421" t="s">
        <v>1365</v>
      </c>
      <c r="BD28" s="421" t="s">
        <v>1366</v>
      </c>
      <c r="BE28" s="421" t="s">
        <v>1367</v>
      </c>
      <c r="BF28" s="421" t="s">
        <v>1284</v>
      </c>
      <c r="BG28" s="421" t="s">
        <v>1285</v>
      </c>
      <c r="BH28" s="421" t="s">
        <v>1422</v>
      </c>
      <c r="BI28" s="421" t="s">
        <v>1142</v>
      </c>
      <c r="BJ28" s="421" t="s">
        <v>1243</v>
      </c>
      <c r="BK28" s="421" t="s">
        <v>1425</v>
      </c>
      <c r="BL28" s="421" t="s">
        <v>1382</v>
      </c>
      <c r="BM28" s="421" t="s">
        <v>1423</v>
      </c>
      <c r="BN28" s="421" t="s">
        <v>1144</v>
      </c>
      <c r="BO28" s="421">
        <v>0</v>
      </c>
      <c r="BR28" s="421">
        <v>0</v>
      </c>
      <c r="BS28" s="421">
        <v>0</v>
      </c>
      <c r="BT28" s="421">
        <v>0</v>
      </c>
      <c r="BU28" s="424">
        <v>42015</v>
      </c>
      <c r="BX28" s="421">
        <v>2384.5300000000002</v>
      </c>
      <c r="BY28" s="421" t="s">
        <v>1147</v>
      </c>
      <c r="BZ28" s="421">
        <v>49245.23</v>
      </c>
      <c r="CA28" s="421">
        <v>117426728.29189999</v>
      </c>
      <c r="CB28" s="421">
        <v>19.7</v>
      </c>
      <c r="CC28" s="421">
        <v>0</v>
      </c>
      <c r="CD28" s="421">
        <v>699.38</v>
      </c>
      <c r="CE28" s="421">
        <v>719.08</v>
      </c>
      <c r="CF28" s="421">
        <v>0</v>
      </c>
      <c r="CG28" s="421">
        <v>49964.31</v>
      </c>
      <c r="CH28" s="421">
        <v>0</v>
      </c>
      <c r="CI28" s="421">
        <v>49964.31</v>
      </c>
      <c r="CJ28" s="421">
        <v>119141396.1243</v>
      </c>
      <c r="CK28" s="421">
        <v>2</v>
      </c>
      <c r="CL28" s="421">
        <v>119141396</v>
      </c>
      <c r="CM28" s="421">
        <v>2383000</v>
      </c>
      <c r="CN28" s="421">
        <v>2383000</v>
      </c>
      <c r="CO28" s="421">
        <v>0</v>
      </c>
      <c r="CP28" s="421">
        <v>0</v>
      </c>
      <c r="CQ28" s="421">
        <v>16</v>
      </c>
      <c r="CR28" s="421">
        <v>121524396</v>
      </c>
      <c r="CS28" s="421">
        <v>19444000</v>
      </c>
      <c r="CT28" s="421">
        <v>19444000</v>
      </c>
      <c r="CU28" s="421">
        <v>0</v>
      </c>
      <c r="CV28" s="421">
        <v>0</v>
      </c>
      <c r="CW28" s="421">
        <v>0</v>
      </c>
      <c r="CX28" s="421">
        <v>0</v>
      </c>
      <c r="CY28" s="421">
        <v>0</v>
      </c>
      <c r="CZ28" s="421">
        <v>0</v>
      </c>
      <c r="DA28" s="421">
        <v>0</v>
      </c>
      <c r="DB28" s="421">
        <v>0</v>
      </c>
      <c r="DC28" s="421">
        <v>0</v>
      </c>
      <c r="DD28" s="421">
        <v>0</v>
      </c>
      <c r="DE28" s="421">
        <v>0</v>
      </c>
      <c r="DF28" s="421">
        <v>0</v>
      </c>
      <c r="DG28" s="421">
        <v>0</v>
      </c>
      <c r="DH28" s="421">
        <v>0</v>
      </c>
      <c r="DI28" s="421">
        <v>0</v>
      </c>
      <c r="DJ28" s="421">
        <v>0</v>
      </c>
      <c r="DK28" s="421">
        <v>0</v>
      </c>
      <c r="DL28" s="421">
        <v>0</v>
      </c>
      <c r="DM28" s="421">
        <v>0</v>
      </c>
      <c r="DN28" s="421">
        <v>0</v>
      </c>
      <c r="DO28" s="421">
        <v>0</v>
      </c>
      <c r="DP28" s="421">
        <v>0</v>
      </c>
      <c r="DQ28" s="421">
        <v>0</v>
      </c>
      <c r="DR28" s="421">
        <v>0</v>
      </c>
      <c r="DS28" s="421">
        <v>0</v>
      </c>
      <c r="DT28" s="421">
        <v>0</v>
      </c>
      <c r="DU28" s="421">
        <v>0</v>
      </c>
      <c r="DV28" s="421">
        <v>0</v>
      </c>
      <c r="DW28" s="421">
        <v>0</v>
      </c>
      <c r="DX28" s="421">
        <v>0</v>
      </c>
      <c r="DY28" s="421">
        <v>21827000</v>
      </c>
      <c r="DZ28" s="421">
        <v>21827000</v>
      </c>
      <c r="EA28" s="421">
        <v>0</v>
      </c>
      <c r="EB28" s="421">
        <v>0</v>
      </c>
      <c r="EC28" s="421" t="s">
        <v>1148</v>
      </c>
      <c r="ED28" s="421" t="s">
        <v>1149</v>
      </c>
      <c r="EE28" s="421" t="s">
        <v>1149</v>
      </c>
    </row>
    <row r="29" spans="1:135" x14ac:dyDescent="0.25">
      <c r="A29" s="421">
        <v>26</v>
      </c>
      <c r="B29" s="421">
        <v>2015</v>
      </c>
      <c r="C29" s="421">
        <v>2</v>
      </c>
      <c r="D29" s="421">
        <v>11</v>
      </c>
      <c r="E29" s="424">
        <v>42046</v>
      </c>
      <c r="F29" s="421" t="s">
        <v>1428</v>
      </c>
      <c r="G29" s="421" t="s">
        <v>1429</v>
      </c>
      <c r="H29" s="421" t="s">
        <v>1106</v>
      </c>
      <c r="I29" s="421" t="s">
        <v>1107</v>
      </c>
      <c r="J29" s="421" t="s">
        <v>1108</v>
      </c>
      <c r="K29" s="421" t="s">
        <v>1109</v>
      </c>
      <c r="L29" s="421" t="s">
        <v>1110</v>
      </c>
      <c r="O29" s="421" t="s">
        <v>1111</v>
      </c>
      <c r="R29" s="421" t="s">
        <v>1111</v>
      </c>
      <c r="S29" s="421" t="s">
        <v>1112</v>
      </c>
      <c r="T29" s="421" t="s">
        <v>1113</v>
      </c>
      <c r="U29" s="421" t="s">
        <v>1114</v>
      </c>
      <c r="V29" s="421" t="s">
        <v>1115</v>
      </c>
      <c r="W29" s="421" t="s">
        <v>1116</v>
      </c>
      <c r="X29" s="421" t="s">
        <v>1117</v>
      </c>
      <c r="Y29" s="421" t="s">
        <v>1118</v>
      </c>
      <c r="Z29" s="421" t="s">
        <v>1119</v>
      </c>
      <c r="AA29" s="421" t="s">
        <v>1120</v>
      </c>
      <c r="AB29" s="421" t="s">
        <v>1121</v>
      </c>
      <c r="AC29" s="421" t="s">
        <v>1122</v>
      </c>
      <c r="AD29" s="421" t="s">
        <v>1263</v>
      </c>
      <c r="AE29" s="421" t="s">
        <v>1170</v>
      </c>
      <c r="AF29" s="421" t="s">
        <v>1171</v>
      </c>
      <c r="AG29" s="421" t="s">
        <v>1430</v>
      </c>
      <c r="AH29" s="421">
        <v>1181.9000000000001</v>
      </c>
      <c r="AI29" s="421" t="s">
        <v>1127</v>
      </c>
      <c r="AJ29" s="421">
        <v>162</v>
      </c>
      <c r="AK29" s="421">
        <v>1</v>
      </c>
      <c r="AL29" s="421" t="s">
        <v>1335</v>
      </c>
      <c r="AM29" s="421">
        <v>1181.9000000000001</v>
      </c>
      <c r="AN29" s="421">
        <v>1916</v>
      </c>
      <c r="AO29" s="421" t="s">
        <v>1120</v>
      </c>
      <c r="AP29" s="421" t="s">
        <v>1129</v>
      </c>
      <c r="AR29" s="421" t="s">
        <v>1130</v>
      </c>
      <c r="AT29" s="421" t="s">
        <v>1131</v>
      </c>
      <c r="AU29" s="421" t="s">
        <v>1190</v>
      </c>
      <c r="AV29" s="421" t="s">
        <v>1191</v>
      </c>
      <c r="AW29" s="421" t="s">
        <v>960</v>
      </c>
      <c r="AX29" s="421" t="s">
        <v>960</v>
      </c>
      <c r="AY29" s="421" t="s">
        <v>960</v>
      </c>
      <c r="AZ29" s="421" t="s">
        <v>1121</v>
      </c>
      <c r="BA29" s="421" t="s">
        <v>1431</v>
      </c>
      <c r="BB29" s="421" t="s">
        <v>960</v>
      </c>
      <c r="BC29" s="421" t="s">
        <v>1432</v>
      </c>
      <c r="BD29" s="421" t="s">
        <v>1433</v>
      </c>
      <c r="BE29" s="421" t="s">
        <v>1434</v>
      </c>
      <c r="BF29" s="421" t="s">
        <v>1435</v>
      </c>
      <c r="BG29" s="421" t="s">
        <v>1382</v>
      </c>
      <c r="BH29" s="421" t="s">
        <v>1436</v>
      </c>
      <c r="BI29" s="421" t="s">
        <v>1341</v>
      </c>
      <c r="BJ29" s="421" t="s">
        <v>1342</v>
      </c>
      <c r="BK29" s="421" t="s">
        <v>1429</v>
      </c>
      <c r="BL29" s="421" t="s">
        <v>1437</v>
      </c>
      <c r="BM29" s="421" t="s">
        <v>1438</v>
      </c>
      <c r="BN29" s="421" t="s">
        <v>1339</v>
      </c>
      <c r="BO29" s="421">
        <v>0</v>
      </c>
      <c r="BR29" s="421">
        <v>0</v>
      </c>
      <c r="BS29" s="421">
        <v>0</v>
      </c>
      <c r="BT29" s="421">
        <v>0</v>
      </c>
      <c r="BU29" s="424">
        <v>42040</v>
      </c>
      <c r="BX29" s="421">
        <v>2384.5300000000002</v>
      </c>
      <c r="BY29" s="421" t="s">
        <v>1183</v>
      </c>
      <c r="BZ29" s="421">
        <v>11628.51</v>
      </c>
      <c r="CA29" s="421">
        <v>27728530.950300001</v>
      </c>
      <c r="CB29" s="421">
        <v>4.6500000000000004</v>
      </c>
      <c r="CC29" s="421">
        <v>0</v>
      </c>
      <c r="CD29" s="421">
        <v>13304.48</v>
      </c>
      <c r="CE29" s="421">
        <v>13309.13</v>
      </c>
      <c r="CF29" s="421">
        <v>0</v>
      </c>
      <c r="CG29" s="421">
        <v>24937.64</v>
      </c>
      <c r="CH29" s="421">
        <v>0</v>
      </c>
      <c r="CI29" s="421">
        <v>24937.64</v>
      </c>
      <c r="CJ29" s="421">
        <v>59464550.709200002</v>
      </c>
      <c r="CK29" s="421">
        <v>15</v>
      </c>
      <c r="CL29" s="421">
        <v>59464551</v>
      </c>
      <c r="CM29" s="421">
        <v>8920000</v>
      </c>
      <c r="CN29" s="421">
        <v>8920000</v>
      </c>
      <c r="CO29" s="421">
        <v>0</v>
      </c>
      <c r="CP29" s="421">
        <v>0</v>
      </c>
      <c r="CQ29" s="421">
        <v>16</v>
      </c>
      <c r="CR29" s="421">
        <v>68384551</v>
      </c>
      <c r="CS29" s="421">
        <v>10942000</v>
      </c>
      <c r="CT29" s="421">
        <v>10942000</v>
      </c>
      <c r="CU29" s="421">
        <v>0</v>
      </c>
      <c r="CV29" s="421">
        <v>0</v>
      </c>
      <c r="CW29" s="421">
        <v>0</v>
      </c>
      <c r="CX29" s="421">
        <v>0</v>
      </c>
      <c r="CY29" s="421">
        <v>0</v>
      </c>
      <c r="CZ29" s="421">
        <v>0</v>
      </c>
      <c r="DA29" s="421">
        <v>0</v>
      </c>
      <c r="DB29" s="421">
        <v>0</v>
      </c>
      <c r="DC29" s="421">
        <v>0</v>
      </c>
      <c r="DD29" s="421">
        <v>0</v>
      </c>
      <c r="DE29" s="421">
        <v>0</v>
      </c>
      <c r="DF29" s="421">
        <v>0</v>
      </c>
      <c r="DG29" s="421">
        <v>0</v>
      </c>
      <c r="DH29" s="421">
        <v>0</v>
      </c>
      <c r="DI29" s="421">
        <v>0</v>
      </c>
      <c r="DJ29" s="421">
        <v>0</v>
      </c>
      <c r="DK29" s="421">
        <v>0</v>
      </c>
      <c r="DL29" s="421">
        <v>0</v>
      </c>
      <c r="DM29" s="421">
        <v>0</v>
      </c>
      <c r="DN29" s="421">
        <v>0</v>
      </c>
      <c r="DO29" s="421">
        <v>0</v>
      </c>
      <c r="DP29" s="421">
        <v>0</v>
      </c>
      <c r="DQ29" s="421">
        <v>0</v>
      </c>
      <c r="DR29" s="421">
        <v>0</v>
      </c>
      <c r="DS29" s="421">
        <v>0</v>
      </c>
      <c r="DT29" s="421">
        <v>0</v>
      </c>
      <c r="DU29" s="421">
        <v>0</v>
      </c>
      <c r="DV29" s="421">
        <v>0</v>
      </c>
      <c r="DW29" s="421">
        <v>0</v>
      </c>
      <c r="DX29" s="421">
        <v>0</v>
      </c>
      <c r="DY29" s="421">
        <v>19862000</v>
      </c>
      <c r="DZ29" s="421">
        <v>19862000</v>
      </c>
      <c r="EA29" s="421">
        <v>0</v>
      </c>
      <c r="EB29" s="421">
        <v>0</v>
      </c>
      <c r="EC29" s="421" t="s">
        <v>1148</v>
      </c>
      <c r="ED29" s="421" t="s">
        <v>1167</v>
      </c>
      <c r="EE29" s="421" t="s">
        <v>1167</v>
      </c>
    </row>
    <row r="30" spans="1:135" x14ac:dyDescent="0.25">
      <c r="A30" s="421">
        <v>27</v>
      </c>
      <c r="B30" s="421">
        <v>2015</v>
      </c>
      <c r="C30" s="421">
        <v>2</v>
      </c>
      <c r="D30" s="421">
        <v>11</v>
      </c>
      <c r="E30" s="424">
        <v>42046</v>
      </c>
      <c r="F30" s="421" t="s">
        <v>1439</v>
      </c>
      <c r="G30" s="421" t="s">
        <v>1440</v>
      </c>
      <c r="H30" s="421" t="s">
        <v>1152</v>
      </c>
      <c r="I30" s="421" t="s">
        <v>1281</v>
      </c>
      <c r="J30" s="421" t="s">
        <v>1108</v>
      </c>
      <c r="K30" s="421" t="s">
        <v>1202</v>
      </c>
      <c r="L30" s="421" t="s">
        <v>1110</v>
      </c>
      <c r="O30" s="421" t="s">
        <v>1111</v>
      </c>
      <c r="R30" s="421" t="s">
        <v>1111</v>
      </c>
      <c r="S30" s="421" t="s">
        <v>1112</v>
      </c>
      <c r="T30" s="421" t="s">
        <v>1113</v>
      </c>
      <c r="U30" s="421" t="s">
        <v>1114</v>
      </c>
      <c r="V30" s="421" t="s">
        <v>1115</v>
      </c>
      <c r="W30" s="421" t="s">
        <v>1116</v>
      </c>
      <c r="X30" s="421" t="s">
        <v>1117</v>
      </c>
      <c r="Y30" s="421" t="s">
        <v>1118</v>
      </c>
      <c r="Z30" s="421" t="s">
        <v>1119</v>
      </c>
      <c r="AA30" s="421" t="s">
        <v>1120</v>
      </c>
      <c r="AB30" s="421" t="s">
        <v>1121</v>
      </c>
      <c r="AC30" s="421" t="s">
        <v>1122</v>
      </c>
      <c r="AD30" s="421" t="s">
        <v>1263</v>
      </c>
      <c r="AE30" s="421" t="s">
        <v>1203</v>
      </c>
      <c r="AF30" s="421" t="s">
        <v>1204</v>
      </c>
      <c r="AG30" s="421" t="s">
        <v>1441</v>
      </c>
      <c r="AH30" s="421">
        <v>43000</v>
      </c>
      <c r="AI30" s="421" t="s">
        <v>1127</v>
      </c>
      <c r="AJ30" s="421">
        <v>2</v>
      </c>
      <c r="AK30" s="421">
        <v>1</v>
      </c>
      <c r="AL30" s="421" t="s">
        <v>1283</v>
      </c>
      <c r="AM30" s="421">
        <v>43000</v>
      </c>
      <c r="AN30" s="421">
        <v>43485</v>
      </c>
      <c r="AO30" s="421" t="s">
        <v>1120</v>
      </c>
      <c r="AP30" s="421" t="s">
        <v>1129</v>
      </c>
      <c r="AR30" s="421" t="s">
        <v>1130</v>
      </c>
      <c r="AT30" s="421" t="s">
        <v>1131</v>
      </c>
      <c r="AU30" s="421" t="s">
        <v>1190</v>
      </c>
      <c r="AV30" s="421" t="s">
        <v>1191</v>
      </c>
      <c r="AW30" s="421" t="s">
        <v>1207</v>
      </c>
      <c r="AX30" s="421" t="s">
        <v>1207</v>
      </c>
      <c r="AY30" s="421" t="s">
        <v>1208</v>
      </c>
      <c r="AZ30" s="421" t="s">
        <v>1121</v>
      </c>
      <c r="BA30" s="421" t="s">
        <v>1209</v>
      </c>
      <c r="BB30" s="421" t="s">
        <v>1208</v>
      </c>
      <c r="BC30" s="421" t="s">
        <v>1210</v>
      </c>
      <c r="BD30" s="421" t="s">
        <v>1211</v>
      </c>
      <c r="BE30" s="421" t="s">
        <v>1212</v>
      </c>
      <c r="BI30" s="421" t="s">
        <v>1142</v>
      </c>
      <c r="BJ30" s="421" t="s">
        <v>1342</v>
      </c>
      <c r="BK30" s="421" t="s">
        <v>1440</v>
      </c>
      <c r="BL30" s="421" t="s">
        <v>1437</v>
      </c>
      <c r="BM30" s="421" t="s">
        <v>1442</v>
      </c>
      <c r="BN30" s="421" t="s">
        <v>1357</v>
      </c>
      <c r="BO30" s="421">
        <v>0</v>
      </c>
      <c r="BR30" s="421">
        <v>0</v>
      </c>
      <c r="BS30" s="421">
        <v>0</v>
      </c>
      <c r="BT30" s="421">
        <v>0</v>
      </c>
      <c r="BU30" s="424">
        <v>38718</v>
      </c>
      <c r="BX30" s="421">
        <v>2384.5300000000002</v>
      </c>
      <c r="BY30" s="421" t="s">
        <v>1147</v>
      </c>
      <c r="BZ30" s="421">
        <v>111800</v>
      </c>
      <c r="CA30" s="421">
        <v>266590454</v>
      </c>
      <c r="CB30" s="421">
        <v>44.72</v>
      </c>
      <c r="CC30" s="421">
        <v>0</v>
      </c>
      <c r="CD30" s="421">
        <v>2514</v>
      </c>
      <c r="CE30" s="421">
        <v>2558.7199999999998</v>
      </c>
      <c r="CF30" s="421">
        <v>0</v>
      </c>
      <c r="CG30" s="421">
        <v>114358.72</v>
      </c>
      <c r="CH30" s="421">
        <v>0</v>
      </c>
      <c r="CI30" s="421">
        <v>114358.72</v>
      </c>
      <c r="CJ30" s="421">
        <v>272691798.60159999</v>
      </c>
      <c r="CK30" s="421">
        <v>0</v>
      </c>
      <c r="CL30" s="421">
        <v>272691799</v>
      </c>
      <c r="CM30" s="421">
        <v>0</v>
      </c>
      <c r="CN30" s="421">
        <v>0</v>
      </c>
      <c r="CO30" s="421">
        <v>0</v>
      </c>
      <c r="CP30" s="421">
        <v>0</v>
      </c>
      <c r="CQ30" s="421">
        <v>0</v>
      </c>
      <c r="CR30" s="421">
        <v>272691799</v>
      </c>
      <c r="CS30" s="421">
        <v>0</v>
      </c>
      <c r="CT30" s="421">
        <v>0</v>
      </c>
      <c r="CU30" s="421">
        <v>0</v>
      </c>
      <c r="CV30" s="421">
        <v>0</v>
      </c>
      <c r="CW30" s="421">
        <v>0</v>
      </c>
      <c r="CX30" s="421">
        <v>0</v>
      </c>
      <c r="CY30" s="421">
        <v>0</v>
      </c>
      <c r="CZ30" s="421">
        <v>0</v>
      </c>
      <c r="DA30" s="421">
        <v>0</v>
      </c>
      <c r="DB30" s="421">
        <v>0</v>
      </c>
      <c r="DC30" s="421">
        <v>0</v>
      </c>
      <c r="DD30" s="421">
        <v>0</v>
      </c>
      <c r="DE30" s="421">
        <v>0</v>
      </c>
      <c r="DF30" s="421">
        <v>0</v>
      </c>
      <c r="DG30" s="421">
        <v>0</v>
      </c>
      <c r="DH30" s="421">
        <v>0</v>
      </c>
      <c r="DI30" s="421">
        <v>0</v>
      </c>
      <c r="DJ30" s="421">
        <v>0</v>
      </c>
      <c r="DK30" s="421">
        <v>0</v>
      </c>
      <c r="DL30" s="421">
        <v>0</v>
      </c>
      <c r="DM30" s="421">
        <v>0</v>
      </c>
      <c r="DN30" s="421">
        <v>0</v>
      </c>
      <c r="DO30" s="421">
        <v>0</v>
      </c>
      <c r="DP30" s="421">
        <v>0</v>
      </c>
      <c r="DQ30" s="421">
        <v>0</v>
      </c>
      <c r="DR30" s="421">
        <v>0</v>
      </c>
      <c r="DS30" s="421">
        <v>0</v>
      </c>
      <c r="DT30" s="421">
        <v>0</v>
      </c>
      <c r="DU30" s="421">
        <v>0</v>
      </c>
      <c r="DV30" s="421">
        <v>0</v>
      </c>
      <c r="DW30" s="421">
        <v>0</v>
      </c>
      <c r="DX30" s="421">
        <v>0</v>
      </c>
      <c r="DY30" s="421">
        <v>0</v>
      </c>
      <c r="DZ30" s="421">
        <v>0</v>
      </c>
      <c r="EA30" s="421">
        <v>0</v>
      </c>
      <c r="EB30" s="421">
        <v>0</v>
      </c>
      <c r="EC30" s="421" t="s">
        <v>1148</v>
      </c>
      <c r="ED30" s="421" t="s">
        <v>1149</v>
      </c>
      <c r="EE30" s="421" t="s">
        <v>1149</v>
      </c>
    </row>
    <row r="31" spans="1:135" x14ac:dyDescent="0.25">
      <c r="A31" s="421">
        <v>28</v>
      </c>
      <c r="B31" s="421">
        <v>2015</v>
      </c>
      <c r="C31" s="421">
        <v>2</v>
      </c>
      <c r="D31" s="421">
        <v>12</v>
      </c>
      <c r="E31" s="424">
        <v>42047</v>
      </c>
      <c r="F31" s="421" t="s">
        <v>1443</v>
      </c>
      <c r="G31" s="421" t="s">
        <v>1444</v>
      </c>
      <c r="H31" s="421" t="s">
        <v>1106</v>
      </c>
      <c r="I31" s="421" t="s">
        <v>1107</v>
      </c>
      <c r="J31" s="421" t="s">
        <v>1108</v>
      </c>
      <c r="K31" s="421" t="s">
        <v>1202</v>
      </c>
      <c r="L31" s="421" t="s">
        <v>1110</v>
      </c>
      <c r="O31" s="421" t="s">
        <v>1111</v>
      </c>
      <c r="R31" s="421" t="s">
        <v>1111</v>
      </c>
      <c r="S31" s="421" t="s">
        <v>1112</v>
      </c>
      <c r="T31" s="421" t="s">
        <v>1113</v>
      </c>
      <c r="U31" s="421" t="s">
        <v>1114</v>
      </c>
      <c r="V31" s="421" t="s">
        <v>1115</v>
      </c>
      <c r="W31" s="421" t="s">
        <v>1116</v>
      </c>
      <c r="X31" s="421" t="s">
        <v>1117</v>
      </c>
      <c r="Y31" s="421" t="s">
        <v>1118</v>
      </c>
      <c r="Z31" s="421" t="s">
        <v>1119</v>
      </c>
      <c r="AA31" s="421" t="s">
        <v>1120</v>
      </c>
      <c r="AB31" s="421" t="s">
        <v>1121</v>
      </c>
      <c r="AC31" s="421" t="s">
        <v>1122</v>
      </c>
      <c r="AD31" s="421" t="s">
        <v>1263</v>
      </c>
      <c r="AE31" s="421" t="s">
        <v>1203</v>
      </c>
      <c r="AF31" s="421" t="s">
        <v>1204</v>
      </c>
      <c r="AG31" s="421" t="s">
        <v>1445</v>
      </c>
      <c r="AH31" s="421">
        <v>86000</v>
      </c>
      <c r="AI31" s="421" t="s">
        <v>1127</v>
      </c>
      <c r="AJ31" s="421">
        <v>4</v>
      </c>
      <c r="AK31" s="421">
        <v>1</v>
      </c>
      <c r="AL31" s="421" t="s">
        <v>1283</v>
      </c>
      <c r="AM31" s="421">
        <v>86000</v>
      </c>
      <c r="AN31" s="421">
        <v>86971</v>
      </c>
      <c r="AO31" s="421" t="s">
        <v>1120</v>
      </c>
      <c r="AP31" s="421" t="s">
        <v>1129</v>
      </c>
      <c r="AR31" s="421" t="s">
        <v>1130</v>
      </c>
      <c r="AT31" s="421" t="s">
        <v>1131</v>
      </c>
      <c r="AU31" s="421" t="s">
        <v>1319</v>
      </c>
      <c r="AV31" s="421" t="s">
        <v>1320</v>
      </c>
      <c r="AW31" s="421" t="s">
        <v>1207</v>
      </c>
      <c r="AX31" s="421" t="s">
        <v>1207</v>
      </c>
      <c r="AY31" s="421" t="s">
        <v>1208</v>
      </c>
      <c r="AZ31" s="421" t="s">
        <v>1121</v>
      </c>
      <c r="BA31" s="421" t="s">
        <v>1209</v>
      </c>
      <c r="BB31" s="421" t="s">
        <v>1208</v>
      </c>
      <c r="BC31" s="421" t="s">
        <v>1210</v>
      </c>
      <c r="BD31" s="421" t="s">
        <v>1211</v>
      </c>
      <c r="BE31" s="421" t="s">
        <v>1212</v>
      </c>
      <c r="BF31" s="421" t="s">
        <v>1446</v>
      </c>
      <c r="BG31" s="421" t="s">
        <v>1382</v>
      </c>
      <c r="BH31" s="421" t="s">
        <v>1447</v>
      </c>
      <c r="BI31" s="421" t="s">
        <v>1142</v>
      </c>
      <c r="BJ31" s="421" t="s">
        <v>1163</v>
      </c>
      <c r="BK31" s="421" t="s">
        <v>1444</v>
      </c>
      <c r="BL31" s="421" t="s">
        <v>1448</v>
      </c>
      <c r="BM31" s="421" t="s">
        <v>1449</v>
      </c>
      <c r="BN31" s="421" t="s">
        <v>1352</v>
      </c>
      <c r="BO31" s="421">
        <v>0</v>
      </c>
      <c r="BR31" s="421">
        <v>0</v>
      </c>
      <c r="BS31" s="421">
        <v>0</v>
      </c>
      <c r="BT31" s="421">
        <v>0</v>
      </c>
      <c r="BU31" s="424">
        <v>42029</v>
      </c>
      <c r="BX31" s="421">
        <v>2384.5300000000002</v>
      </c>
      <c r="BY31" s="421" t="s">
        <v>1147</v>
      </c>
      <c r="BZ31" s="421">
        <v>223600</v>
      </c>
      <c r="CA31" s="421">
        <v>533180908</v>
      </c>
      <c r="CB31" s="421">
        <v>89.44</v>
      </c>
      <c r="CC31" s="421">
        <v>0</v>
      </c>
      <c r="CD31" s="421">
        <v>5028</v>
      </c>
      <c r="CE31" s="421">
        <v>5117.4399999999996</v>
      </c>
      <c r="CF31" s="421">
        <v>0</v>
      </c>
      <c r="CG31" s="421">
        <v>228717.44</v>
      </c>
      <c r="CH31" s="421">
        <v>0</v>
      </c>
      <c r="CI31" s="421">
        <v>228717.44</v>
      </c>
      <c r="CJ31" s="421">
        <v>545383597.20319998</v>
      </c>
      <c r="CK31" s="421">
        <v>0</v>
      </c>
      <c r="CL31" s="421">
        <v>545383597</v>
      </c>
      <c r="CM31" s="421">
        <v>0</v>
      </c>
      <c r="CN31" s="421">
        <v>0</v>
      </c>
      <c r="CO31" s="421">
        <v>0</v>
      </c>
      <c r="CP31" s="421">
        <v>0</v>
      </c>
      <c r="CQ31" s="421">
        <v>0</v>
      </c>
      <c r="CR31" s="421">
        <v>545383597</v>
      </c>
      <c r="CS31" s="421">
        <v>0</v>
      </c>
      <c r="CT31" s="421">
        <v>0</v>
      </c>
      <c r="CU31" s="421">
        <v>0</v>
      </c>
      <c r="CV31" s="421">
        <v>0</v>
      </c>
      <c r="CW31" s="421">
        <v>0</v>
      </c>
      <c r="CX31" s="421">
        <v>0</v>
      </c>
      <c r="CY31" s="421">
        <v>0</v>
      </c>
      <c r="CZ31" s="421">
        <v>0</v>
      </c>
      <c r="DA31" s="421">
        <v>0</v>
      </c>
      <c r="DB31" s="421">
        <v>0</v>
      </c>
      <c r="DC31" s="421">
        <v>0</v>
      </c>
      <c r="DD31" s="421">
        <v>0</v>
      </c>
      <c r="DE31" s="421">
        <v>0</v>
      </c>
      <c r="DF31" s="421">
        <v>0</v>
      </c>
      <c r="DG31" s="421">
        <v>0</v>
      </c>
      <c r="DH31" s="421">
        <v>0</v>
      </c>
      <c r="DI31" s="421">
        <v>0</v>
      </c>
      <c r="DJ31" s="421">
        <v>0</v>
      </c>
      <c r="DK31" s="421">
        <v>0</v>
      </c>
      <c r="DL31" s="421">
        <v>0</v>
      </c>
      <c r="DM31" s="421">
        <v>0</v>
      </c>
      <c r="DN31" s="421">
        <v>0</v>
      </c>
      <c r="DO31" s="421">
        <v>0</v>
      </c>
      <c r="DP31" s="421">
        <v>0</v>
      </c>
      <c r="DQ31" s="421">
        <v>0</v>
      </c>
      <c r="DR31" s="421">
        <v>0</v>
      </c>
      <c r="DS31" s="421">
        <v>0</v>
      </c>
      <c r="DT31" s="421">
        <v>0</v>
      </c>
      <c r="DU31" s="421">
        <v>0</v>
      </c>
      <c r="DV31" s="421">
        <v>0</v>
      </c>
      <c r="DW31" s="421">
        <v>0</v>
      </c>
      <c r="DX31" s="421">
        <v>0</v>
      </c>
      <c r="DY31" s="421">
        <v>0</v>
      </c>
      <c r="DZ31" s="421">
        <v>0</v>
      </c>
      <c r="EA31" s="421">
        <v>0</v>
      </c>
      <c r="EB31" s="421">
        <v>0</v>
      </c>
      <c r="EC31" s="421" t="s">
        <v>1148</v>
      </c>
      <c r="ED31" s="421" t="s">
        <v>1149</v>
      </c>
      <c r="EE31" s="421" t="s">
        <v>1149</v>
      </c>
    </row>
    <row r="32" spans="1:135" x14ac:dyDescent="0.25">
      <c r="A32" s="421">
        <v>29</v>
      </c>
      <c r="B32" s="421">
        <v>2015</v>
      </c>
      <c r="C32" s="421">
        <v>2</v>
      </c>
      <c r="D32" s="421">
        <v>18</v>
      </c>
      <c r="E32" s="424">
        <v>42053</v>
      </c>
      <c r="F32" s="421" t="s">
        <v>1450</v>
      </c>
      <c r="G32" s="421" t="s">
        <v>1451</v>
      </c>
      <c r="H32" s="421" t="s">
        <v>1106</v>
      </c>
      <c r="I32" s="421" t="s">
        <v>1107</v>
      </c>
      <c r="J32" s="421" t="s">
        <v>1108</v>
      </c>
      <c r="K32" s="421" t="s">
        <v>1109</v>
      </c>
      <c r="L32" s="421" t="s">
        <v>1110</v>
      </c>
      <c r="O32" s="421" t="s">
        <v>1111</v>
      </c>
      <c r="R32" s="421" t="s">
        <v>1111</v>
      </c>
      <c r="S32" s="421" t="s">
        <v>1112</v>
      </c>
      <c r="T32" s="421" t="s">
        <v>1113</v>
      </c>
      <c r="U32" s="421" t="s">
        <v>1114</v>
      </c>
      <c r="V32" s="421" t="s">
        <v>1115</v>
      </c>
      <c r="W32" s="421" t="s">
        <v>1116</v>
      </c>
      <c r="X32" s="421" t="s">
        <v>1117</v>
      </c>
      <c r="Y32" s="421" t="s">
        <v>1118</v>
      </c>
      <c r="Z32" s="421" t="s">
        <v>1119</v>
      </c>
      <c r="AA32" s="421" t="s">
        <v>1120</v>
      </c>
      <c r="AB32" s="421" t="s">
        <v>1121</v>
      </c>
      <c r="AC32" s="421" t="s">
        <v>1122</v>
      </c>
      <c r="AD32" s="421" t="s">
        <v>1263</v>
      </c>
      <c r="AE32" s="421" t="s">
        <v>1452</v>
      </c>
      <c r="AF32" s="421" t="s">
        <v>1453</v>
      </c>
      <c r="AG32" s="421" t="s">
        <v>1454</v>
      </c>
      <c r="AH32" s="421">
        <v>341.1</v>
      </c>
      <c r="AI32" s="421" t="s">
        <v>1127</v>
      </c>
      <c r="AJ32" s="421">
        <v>1</v>
      </c>
      <c r="AK32" s="421">
        <v>1</v>
      </c>
      <c r="AL32" s="421" t="s">
        <v>1335</v>
      </c>
      <c r="AM32" s="421">
        <v>341.1</v>
      </c>
      <c r="AN32" s="421">
        <v>464.48</v>
      </c>
      <c r="AO32" s="421" t="s">
        <v>1120</v>
      </c>
      <c r="AP32" s="421" t="s">
        <v>1129</v>
      </c>
      <c r="AR32" s="421" t="s">
        <v>1130</v>
      </c>
      <c r="AT32" s="421" t="s">
        <v>1131</v>
      </c>
      <c r="AU32" s="421" t="s">
        <v>1190</v>
      </c>
      <c r="AV32" s="421" t="s">
        <v>1191</v>
      </c>
      <c r="AW32" s="421" t="s">
        <v>962</v>
      </c>
      <c r="AX32" s="421" t="s">
        <v>962</v>
      </c>
      <c r="AY32" s="421" t="s">
        <v>962</v>
      </c>
      <c r="AZ32" s="421" t="s">
        <v>1121</v>
      </c>
      <c r="BA32" s="421" t="s">
        <v>1455</v>
      </c>
      <c r="BB32" s="421" t="s">
        <v>962</v>
      </c>
      <c r="BC32" s="421" t="s">
        <v>1456</v>
      </c>
      <c r="BD32" s="421" t="s">
        <v>1457</v>
      </c>
      <c r="BE32" s="421" t="s">
        <v>1458</v>
      </c>
      <c r="BF32" s="421" t="s">
        <v>1459</v>
      </c>
      <c r="BG32" s="421" t="s">
        <v>1460</v>
      </c>
      <c r="BH32" s="421" t="s">
        <v>1461</v>
      </c>
      <c r="BI32" s="421" t="s">
        <v>1341</v>
      </c>
      <c r="BJ32" s="421" t="s">
        <v>1342</v>
      </c>
      <c r="BK32" s="421" t="s">
        <v>1451</v>
      </c>
      <c r="BL32" s="421" t="s">
        <v>1462</v>
      </c>
      <c r="BM32" s="421" t="s">
        <v>1463</v>
      </c>
      <c r="BN32" s="421" t="s">
        <v>1415</v>
      </c>
      <c r="BO32" s="421">
        <v>0</v>
      </c>
      <c r="BR32" s="421">
        <v>0</v>
      </c>
      <c r="BS32" s="421">
        <v>0</v>
      </c>
      <c r="BT32" s="421">
        <v>0</v>
      </c>
      <c r="BU32" s="424">
        <v>42047</v>
      </c>
      <c r="BX32" s="421">
        <v>2401.0300000000002</v>
      </c>
      <c r="BY32" s="421" t="s">
        <v>1166</v>
      </c>
      <c r="BZ32" s="421">
        <v>3262.15</v>
      </c>
      <c r="CA32" s="421">
        <v>7832520.0144999996</v>
      </c>
      <c r="CB32" s="421">
        <v>1.3</v>
      </c>
      <c r="CC32" s="421">
        <v>0</v>
      </c>
      <c r="CD32" s="421">
        <v>1126.8</v>
      </c>
      <c r="CE32" s="421">
        <v>1128.0999999999999</v>
      </c>
      <c r="CF32" s="421">
        <v>0</v>
      </c>
      <c r="CG32" s="421">
        <v>4390.25</v>
      </c>
      <c r="CH32" s="421">
        <v>0</v>
      </c>
      <c r="CI32" s="421">
        <v>4390.25</v>
      </c>
      <c r="CJ32" s="421">
        <v>10541121.9575</v>
      </c>
      <c r="CK32" s="421">
        <v>0</v>
      </c>
      <c r="CL32" s="421">
        <v>10541122</v>
      </c>
      <c r="CM32" s="421">
        <v>0</v>
      </c>
      <c r="CN32" s="421">
        <v>0</v>
      </c>
      <c r="CO32" s="421">
        <v>0</v>
      </c>
      <c r="CP32" s="421">
        <v>0</v>
      </c>
      <c r="CQ32" s="421">
        <v>16</v>
      </c>
      <c r="CR32" s="421">
        <v>10541122</v>
      </c>
      <c r="CS32" s="421">
        <v>1687000</v>
      </c>
      <c r="CT32" s="421">
        <v>1687000</v>
      </c>
      <c r="CU32" s="421">
        <v>0</v>
      </c>
      <c r="CV32" s="421">
        <v>0</v>
      </c>
      <c r="CW32" s="421">
        <v>0</v>
      </c>
      <c r="CX32" s="421">
        <v>0</v>
      </c>
      <c r="CY32" s="421">
        <v>0</v>
      </c>
      <c r="CZ32" s="421">
        <v>0</v>
      </c>
      <c r="DA32" s="421">
        <v>0</v>
      </c>
      <c r="DB32" s="421">
        <v>0</v>
      </c>
      <c r="DC32" s="421">
        <v>0</v>
      </c>
      <c r="DD32" s="421">
        <v>0</v>
      </c>
      <c r="DE32" s="421">
        <v>0</v>
      </c>
      <c r="DF32" s="421">
        <v>0</v>
      </c>
      <c r="DG32" s="421">
        <v>0</v>
      </c>
      <c r="DH32" s="421">
        <v>0</v>
      </c>
      <c r="DI32" s="421">
        <v>0</v>
      </c>
      <c r="DJ32" s="421">
        <v>0</v>
      </c>
      <c r="DK32" s="421">
        <v>0</v>
      </c>
      <c r="DL32" s="421">
        <v>0</v>
      </c>
      <c r="DM32" s="421">
        <v>0</v>
      </c>
      <c r="DN32" s="421">
        <v>0</v>
      </c>
      <c r="DO32" s="421">
        <v>0</v>
      </c>
      <c r="DP32" s="421">
        <v>0</v>
      </c>
      <c r="DQ32" s="421">
        <v>0</v>
      </c>
      <c r="DR32" s="421">
        <v>0</v>
      </c>
      <c r="DS32" s="421">
        <v>0</v>
      </c>
      <c r="DT32" s="421">
        <v>0</v>
      </c>
      <c r="DU32" s="421">
        <v>0</v>
      </c>
      <c r="DV32" s="421">
        <v>0</v>
      </c>
      <c r="DW32" s="421">
        <v>0</v>
      </c>
      <c r="DX32" s="421">
        <v>0</v>
      </c>
      <c r="DY32" s="421">
        <v>1687000</v>
      </c>
      <c r="DZ32" s="421">
        <v>1687000</v>
      </c>
      <c r="EA32" s="421">
        <v>0</v>
      </c>
      <c r="EB32" s="421">
        <v>0</v>
      </c>
      <c r="EC32" s="421" t="s">
        <v>1148</v>
      </c>
      <c r="ED32" s="421" t="s">
        <v>1149</v>
      </c>
      <c r="EE32" s="421" t="s">
        <v>1149</v>
      </c>
    </row>
    <row r="33" spans="1:135" x14ac:dyDescent="0.25">
      <c r="A33" s="421">
        <v>30</v>
      </c>
      <c r="B33" s="421">
        <v>2015</v>
      </c>
      <c r="C33" s="421">
        <v>2</v>
      </c>
      <c r="D33" s="421">
        <v>20</v>
      </c>
      <c r="E33" s="424">
        <v>42055</v>
      </c>
      <c r="F33" s="421" t="s">
        <v>1464</v>
      </c>
      <c r="G33" s="421" t="s">
        <v>1465</v>
      </c>
      <c r="H33" s="421" t="s">
        <v>1152</v>
      </c>
      <c r="I33" s="421" t="s">
        <v>1281</v>
      </c>
      <c r="J33" s="421" t="s">
        <v>1108</v>
      </c>
      <c r="K33" s="421" t="s">
        <v>1202</v>
      </c>
      <c r="L33" s="421" t="s">
        <v>1110</v>
      </c>
      <c r="O33" s="421" t="s">
        <v>1111</v>
      </c>
      <c r="R33" s="421" t="s">
        <v>1111</v>
      </c>
      <c r="S33" s="421" t="s">
        <v>1112</v>
      </c>
      <c r="T33" s="421" t="s">
        <v>1113</v>
      </c>
      <c r="U33" s="421" t="s">
        <v>1114</v>
      </c>
      <c r="V33" s="421" t="s">
        <v>1115</v>
      </c>
      <c r="W33" s="421" t="s">
        <v>1116</v>
      </c>
      <c r="X33" s="421" t="s">
        <v>1117</v>
      </c>
      <c r="Y33" s="421" t="s">
        <v>1118</v>
      </c>
      <c r="Z33" s="421" t="s">
        <v>1119</v>
      </c>
      <c r="AA33" s="421" t="s">
        <v>1120</v>
      </c>
      <c r="AB33" s="421" t="s">
        <v>1121</v>
      </c>
      <c r="AC33" s="421" t="s">
        <v>1122</v>
      </c>
      <c r="AD33" s="421" t="s">
        <v>1263</v>
      </c>
      <c r="AE33" s="421" t="s">
        <v>1203</v>
      </c>
      <c r="AF33" s="421" t="s">
        <v>1204</v>
      </c>
      <c r="AG33" s="421" t="s">
        <v>1466</v>
      </c>
      <c r="AH33" s="421">
        <v>43000</v>
      </c>
      <c r="AI33" s="421" t="s">
        <v>1127</v>
      </c>
      <c r="AJ33" s="421">
        <v>2</v>
      </c>
      <c r="AK33" s="421">
        <v>1</v>
      </c>
      <c r="AL33" s="421" t="s">
        <v>1283</v>
      </c>
      <c r="AM33" s="421">
        <v>43000</v>
      </c>
      <c r="AN33" s="421">
        <v>43485</v>
      </c>
      <c r="AO33" s="421" t="s">
        <v>1120</v>
      </c>
      <c r="AP33" s="421" t="s">
        <v>1129</v>
      </c>
      <c r="AR33" s="421" t="s">
        <v>1130</v>
      </c>
      <c r="AT33" s="421" t="s">
        <v>1131</v>
      </c>
      <c r="AU33" s="421" t="s">
        <v>1190</v>
      </c>
      <c r="AV33" s="421" t="s">
        <v>1191</v>
      </c>
      <c r="AW33" s="421" t="s">
        <v>1207</v>
      </c>
      <c r="AX33" s="421" t="s">
        <v>1207</v>
      </c>
      <c r="AY33" s="421" t="s">
        <v>1208</v>
      </c>
      <c r="AZ33" s="421" t="s">
        <v>1121</v>
      </c>
      <c r="BA33" s="421" t="s">
        <v>1209</v>
      </c>
      <c r="BB33" s="421" t="s">
        <v>1208</v>
      </c>
      <c r="BC33" s="421" t="s">
        <v>1210</v>
      </c>
      <c r="BD33" s="421" t="s">
        <v>1211</v>
      </c>
      <c r="BE33" s="421" t="s">
        <v>1212</v>
      </c>
      <c r="BI33" s="421" t="s">
        <v>1142</v>
      </c>
      <c r="BJ33" s="421" t="s">
        <v>1143</v>
      </c>
      <c r="BK33" s="421" t="s">
        <v>1465</v>
      </c>
      <c r="BL33" s="421" t="s">
        <v>1467</v>
      </c>
      <c r="BM33" s="421" t="s">
        <v>1468</v>
      </c>
      <c r="BN33" s="421" t="s">
        <v>1415</v>
      </c>
      <c r="BO33" s="421">
        <v>0</v>
      </c>
      <c r="BR33" s="421">
        <v>0</v>
      </c>
      <c r="BS33" s="421">
        <v>0</v>
      </c>
      <c r="BT33" s="421">
        <v>0</v>
      </c>
      <c r="BU33" s="424">
        <v>38718</v>
      </c>
      <c r="BX33" s="421">
        <v>2401.0300000000002</v>
      </c>
      <c r="BY33" s="421" t="s">
        <v>1147</v>
      </c>
      <c r="BZ33" s="421">
        <v>111800</v>
      </c>
      <c r="CA33" s="421">
        <v>268435154</v>
      </c>
      <c r="CB33" s="421">
        <v>44.72</v>
      </c>
      <c r="CC33" s="421">
        <v>0</v>
      </c>
      <c r="CD33" s="421">
        <v>2264.42</v>
      </c>
      <c r="CE33" s="421">
        <v>2309.14</v>
      </c>
      <c r="CF33" s="421">
        <v>0</v>
      </c>
      <c r="CG33" s="421">
        <v>114109.14</v>
      </c>
      <c r="CH33" s="421">
        <v>0</v>
      </c>
      <c r="CI33" s="421">
        <v>114109.14</v>
      </c>
      <c r="CJ33" s="421">
        <v>273979468.41420001</v>
      </c>
      <c r="CK33" s="421">
        <v>0</v>
      </c>
      <c r="CL33" s="421">
        <v>273979468</v>
      </c>
      <c r="CM33" s="421">
        <v>0</v>
      </c>
      <c r="CN33" s="421">
        <v>0</v>
      </c>
      <c r="CO33" s="421">
        <v>0</v>
      </c>
      <c r="CP33" s="421">
        <v>0</v>
      </c>
      <c r="CQ33" s="421">
        <v>0</v>
      </c>
      <c r="CR33" s="421">
        <v>273979468</v>
      </c>
      <c r="CS33" s="421">
        <v>0</v>
      </c>
      <c r="CT33" s="421">
        <v>0</v>
      </c>
      <c r="CU33" s="421">
        <v>0</v>
      </c>
      <c r="CV33" s="421">
        <v>0</v>
      </c>
      <c r="CW33" s="421">
        <v>0</v>
      </c>
      <c r="CX33" s="421">
        <v>0</v>
      </c>
      <c r="CY33" s="421">
        <v>0</v>
      </c>
      <c r="CZ33" s="421">
        <v>0</v>
      </c>
      <c r="DA33" s="421">
        <v>0</v>
      </c>
      <c r="DB33" s="421">
        <v>0</v>
      </c>
      <c r="DC33" s="421">
        <v>0</v>
      </c>
      <c r="DD33" s="421">
        <v>0</v>
      </c>
      <c r="DE33" s="421">
        <v>0</v>
      </c>
      <c r="DF33" s="421">
        <v>0</v>
      </c>
      <c r="DG33" s="421">
        <v>0</v>
      </c>
      <c r="DH33" s="421">
        <v>0</v>
      </c>
      <c r="DI33" s="421">
        <v>0</v>
      </c>
      <c r="DJ33" s="421">
        <v>0</v>
      </c>
      <c r="DK33" s="421">
        <v>0</v>
      </c>
      <c r="DL33" s="421">
        <v>0</v>
      </c>
      <c r="DM33" s="421">
        <v>0</v>
      </c>
      <c r="DN33" s="421">
        <v>0</v>
      </c>
      <c r="DO33" s="421">
        <v>0</v>
      </c>
      <c r="DP33" s="421">
        <v>0</v>
      </c>
      <c r="DQ33" s="421">
        <v>0</v>
      </c>
      <c r="DR33" s="421">
        <v>0</v>
      </c>
      <c r="DS33" s="421">
        <v>0</v>
      </c>
      <c r="DT33" s="421">
        <v>0</v>
      </c>
      <c r="DU33" s="421">
        <v>0</v>
      </c>
      <c r="DV33" s="421">
        <v>0</v>
      </c>
      <c r="DW33" s="421">
        <v>0</v>
      </c>
      <c r="DX33" s="421">
        <v>0</v>
      </c>
      <c r="DY33" s="421">
        <v>0</v>
      </c>
      <c r="DZ33" s="421">
        <v>0</v>
      </c>
      <c r="EA33" s="421">
        <v>0</v>
      </c>
      <c r="EB33" s="421">
        <v>0</v>
      </c>
      <c r="EC33" s="421" t="s">
        <v>1148</v>
      </c>
      <c r="ED33" s="421" t="s">
        <v>1149</v>
      </c>
      <c r="EE33" s="421" t="s">
        <v>1149</v>
      </c>
    </row>
    <row r="34" spans="1:135" x14ac:dyDescent="0.25">
      <c r="A34" s="421">
        <v>31</v>
      </c>
      <c r="B34" s="421">
        <v>2015</v>
      </c>
      <c r="C34" s="421">
        <v>2</v>
      </c>
      <c r="D34" s="421">
        <v>20</v>
      </c>
      <c r="E34" s="424">
        <v>42055</v>
      </c>
      <c r="F34" s="421" t="s">
        <v>1469</v>
      </c>
      <c r="G34" s="421" t="s">
        <v>1470</v>
      </c>
      <c r="H34" s="421" t="s">
        <v>1106</v>
      </c>
      <c r="I34" s="421" t="s">
        <v>1107</v>
      </c>
      <c r="J34" s="421" t="s">
        <v>1108</v>
      </c>
      <c r="K34" s="421" t="s">
        <v>1109</v>
      </c>
      <c r="L34" s="421" t="s">
        <v>1110</v>
      </c>
      <c r="O34" s="421" t="s">
        <v>1111</v>
      </c>
      <c r="R34" s="421" t="s">
        <v>1111</v>
      </c>
      <c r="S34" s="421" t="s">
        <v>1112</v>
      </c>
      <c r="T34" s="421" t="s">
        <v>1113</v>
      </c>
      <c r="U34" s="421" t="s">
        <v>1114</v>
      </c>
      <c r="V34" s="421" t="s">
        <v>1115</v>
      </c>
      <c r="W34" s="421" t="s">
        <v>1116</v>
      </c>
      <c r="X34" s="421" t="s">
        <v>1117</v>
      </c>
      <c r="Y34" s="421" t="s">
        <v>1118</v>
      </c>
      <c r="Z34" s="421" t="s">
        <v>1119</v>
      </c>
      <c r="AA34" s="421" t="s">
        <v>1120</v>
      </c>
      <c r="AB34" s="421" t="s">
        <v>1121</v>
      </c>
      <c r="AC34" s="421" t="s">
        <v>1122</v>
      </c>
      <c r="AD34" s="421" t="s">
        <v>1263</v>
      </c>
      <c r="AE34" s="421" t="s">
        <v>1471</v>
      </c>
      <c r="AF34" s="421" t="s">
        <v>1472</v>
      </c>
      <c r="AG34" s="421" t="s">
        <v>1473</v>
      </c>
      <c r="AH34" s="421">
        <v>50976</v>
      </c>
      <c r="AI34" s="421" t="s">
        <v>1189</v>
      </c>
      <c r="AJ34" s="421">
        <v>221</v>
      </c>
      <c r="AK34" s="421">
        <v>1</v>
      </c>
      <c r="AL34" s="421" t="s">
        <v>1173</v>
      </c>
      <c r="AM34" s="421">
        <v>2303.06</v>
      </c>
      <c r="AN34" s="421">
        <v>2579.8000000000002</v>
      </c>
      <c r="AO34" s="421" t="s">
        <v>1120</v>
      </c>
      <c r="AP34" s="421" t="s">
        <v>1474</v>
      </c>
      <c r="AQ34" s="421" t="s">
        <v>1475</v>
      </c>
      <c r="AR34" s="421" t="s">
        <v>1476</v>
      </c>
      <c r="AT34" s="421" t="s">
        <v>1131</v>
      </c>
      <c r="AU34" s="421" t="s">
        <v>1303</v>
      </c>
      <c r="AV34" s="421" t="s">
        <v>1304</v>
      </c>
      <c r="AW34" s="421" t="s">
        <v>960</v>
      </c>
      <c r="AX34" s="421" t="s">
        <v>960</v>
      </c>
      <c r="AY34" s="421" t="s">
        <v>960</v>
      </c>
      <c r="AZ34" s="421" t="s">
        <v>1121</v>
      </c>
      <c r="BA34" s="421" t="s">
        <v>1305</v>
      </c>
      <c r="BB34" s="421" t="s">
        <v>960</v>
      </c>
      <c r="BC34" s="421" t="s">
        <v>1175</v>
      </c>
      <c r="BD34" s="421" t="s">
        <v>1306</v>
      </c>
      <c r="BE34" s="421" t="s">
        <v>1307</v>
      </c>
      <c r="BF34" s="421" t="s">
        <v>1308</v>
      </c>
      <c r="BG34" s="421" t="s">
        <v>1276</v>
      </c>
      <c r="BH34" s="421" t="s">
        <v>1309</v>
      </c>
      <c r="BI34" s="421" t="s">
        <v>1142</v>
      </c>
      <c r="BJ34" s="421" t="s">
        <v>1180</v>
      </c>
      <c r="BK34" s="421" t="s">
        <v>1470</v>
      </c>
      <c r="BL34" s="421" t="s">
        <v>1467</v>
      </c>
      <c r="BM34" s="421" t="s">
        <v>1311</v>
      </c>
      <c r="BN34" s="421" t="s">
        <v>1312</v>
      </c>
      <c r="BO34" s="421">
        <v>0</v>
      </c>
      <c r="BR34" s="421">
        <v>0</v>
      </c>
      <c r="BS34" s="421">
        <v>0</v>
      </c>
      <c r="BT34" s="421">
        <v>0</v>
      </c>
      <c r="BU34" s="424">
        <v>41995</v>
      </c>
      <c r="BX34" s="421">
        <v>2401.0300000000002</v>
      </c>
      <c r="BY34" s="421" t="s">
        <v>1183</v>
      </c>
      <c r="BZ34" s="421">
        <v>16954.560000000001</v>
      </c>
      <c r="CA34" s="421">
        <v>40708407.196800001</v>
      </c>
      <c r="CB34" s="421">
        <v>6.78</v>
      </c>
      <c r="CC34" s="421">
        <v>0</v>
      </c>
      <c r="CD34" s="421">
        <v>2545.1999999999998</v>
      </c>
      <c r="CE34" s="421">
        <v>2551.98</v>
      </c>
      <c r="CF34" s="421">
        <v>0</v>
      </c>
      <c r="CG34" s="421">
        <v>19506.54</v>
      </c>
      <c r="CH34" s="421">
        <v>0</v>
      </c>
      <c r="CI34" s="421">
        <v>19506.54</v>
      </c>
      <c r="CJ34" s="421">
        <v>46835787.736199997</v>
      </c>
      <c r="CK34" s="421">
        <v>15</v>
      </c>
      <c r="CL34" s="421">
        <v>46835788</v>
      </c>
      <c r="CM34" s="421">
        <v>7025000</v>
      </c>
      <c r="CN34" s="421">
        <v>7025000</v>
      </c>
      <c r="CO34" s="421">
        <v>0</v>
      </c>
      <c r="CP34" s="421">
        <v>0</v>
      </c>
      <c r="CQ34" s="421">
        <v>16</v>
      </c>
      <c r="CR34" s="421">
        <v>53860788</v>
      </c>
      <c r="CS34" s="421">
        <v>8618000</v>
      </c>
      <c r="CT34" s="421">
        <v>8618000</v>
      </c>
      <c r="CU34" s="421">
        <v>0</v>
      </c>
      <c r="CV34" s="421">
        <v>0</v>
      </c>
      <c r="CW34" s="421">
        <v>0</v>
      </c>
      <c r="CX34" s="421">
        <v>0</v>
      </c>
      <c r="CY34" s="421">
        <v>0</v>
      </c>
      <c r="CZ34" s="421">
        <v>0</v>
      </c>
      <c r="DA34" s="421">
        <v>0</v>
      </c>
      <c r="DB34" s="421">
        <v>0</v>
      </c>
      <c r="DC34" s="421">
        <v>0</v>
      </c>
      <c r="DD34" s="421">
        <v>0</v>
      </c>
      <c r="DE34" s="421">
        <v>0</v>
      </c>
      <c r="DF34" s="421">
        <v>0</v>
      </c>
      <c r="DG34" s="421">
        <v>0</v>
      </c>
      <c r="DH34" s="421">
        <v>0</v>
      </c>
      <c r="DI34" s="421">
        <v>0</v>
      </c>
      <c r="DJ34" s="421">
        <v>0</v>
      </c>
      <c r="DK34" s="421">
        <v>0</v>
      </c>
      <c r="DL34" s="421">
        <v>0</v>
      </c>
      <c r="DM34" s="421">
        <v>0</v>
      </c>
      <c r="DN34" s="421">
        <v>0</v>
      </c>
      <c r="DO34" s="421">
        <v>0</v>
      </c>
      <c r="DP34" s="421">
        <v>0</v>
      </c>
      <c r="DQ34" s="421">
        <v>0</v>
      </c>
      <c r="DR34" s="421">
        <v>0</v>
      </c>
      <c r="DS34" s="421">
        <v>0</v>
      </c>
      <c r="DT34" s="421">
        <v>0</v>
      </c>
      <c r="DU34" s="421">
        <v>0</v>
      </c>
      <c r="DV34" s="421">
        <v>0</v>
      </c>
      <c r="DW34" s="421">
        <v>0</v>
      </c>
      <c r="DX34" s="421">
        <v>0</v>
      </c>
      <c r="DY34" s="421">
        <v>15643000</v>
      </c>
      <c r="DZ34" s="421">
        <v>15643000</v>
      </c>
      <c r="EA34" s="421">
        <v>0</v>
      </c>
      <c r="EB34" s="421">
        <v>0</v>
      </c>
      <c r="EC34" s="421" t="s">
        <v>1148</v>
      </c>
      <c r="ED34" s="421" t="s">
        <v>1167</v>
      </c>
      <c r="EE34" s="421" t="s">
        <v>1167</v>
      </c>
    </row>
    <row r="35" spans="1:135" x14ac:dyDescent="0.25">
      <c r="A35" s="421">
        <v>32</v>
      </c>
      <c r="B35" s="421">
        <v>2015</v>
      </c>
      <c r="C35" s="421">
        <v>3</v>
      </c>
      <c r="D35" s="421">
        <v>2</v>
      </c>
      <c r="E35" s="424">
        <v>42065</v>
      </c>
      <c r="F35" s="421" t="s">
        <v>1477</v>
      </c>
      <c r="G35" s="421" t="s">
        <v>1478</v>
      </c>
      <c r="H35" s="421" t="s">
        <v>1106</v>
      </c>
      <c r="I35" s="421" t="s">
        <v>1107</v>
      </c>
      <c r="J35" s="421" t="s">
        <v>1108</v>
      </c>
      <c r="K35" s="421" t="s">
        <v>1109</v>
      </c>
      <c r="L35" s="421" t="s">
        <v>1110</v>
      </c>
      <c r="O35" s="421" t="s">
        <v>1111</v>
      </c>
      <c r="R35" s="421" t="s">
        <v>1111</v>
      </c>
      <c r="S35" s="421" t="s">
        <v>1112</v>
      </c>
      <c r="T35" s="421" t="s">
        <v>1113</v>
      </c>
      <c r="U35" s="421" t="s">
        <v>1114</v>
      </c>
      <c r="V35" s="421" t="s">
        <v>1115</v>
      </c>
      <c r="W35" s="421" t="s">
        <v>1116</v>
      </c>
      <c r="X35" s="421" t="s">
        <v>1117</v>
      </c>
      <c r="Y35" s="421" t="s">
        <v>1118</v>
      </c>
      <c r="Z35" s="421" t="s">
        <v>1119</v>
      </c>
      <c r="AA35" s="421" t="s">
        <v>1120</v>
      </c>
      <c r="AB35" s="421" t="s">
        <v>1121</v>
      </c>
      <c r="AC35" s="421" t="s">
        <v>1122</v>
      </c>
      <c r="AD35" s="421" t="s">
        <v>1479</v>
      </c>
      <c r="AE35" s="421" t="s">
        <v>1480</v>
      </c>
      <c r="AF35" s="421" t="s">
        <v>1481</v>
      </c>
      <c r="AG35" s="421" t="s">
        <v>1482</v>
      </c>
      <c r="AH35" s="421">
        <v>15375</v>
      </c>
      <c r="AI35" s="421" t="s">
        <v>1189</v>
      </c>
      <c r="AJ35" s="421">
        <v>1</v>
      </c>
      <c r="AK35" s="421">
        <v>1</v>
      </c>
      <c r="AL35" s="421" t="s">
        <v>1335</v>
      </c>
      <c r="AM35" s="421">
        <v>214.2</v>
      </c>
      <c r="AN35" s="421">
        <v>238</v>
      </c>
      <c r="AO35" s="421" t="s">
        <v>1120</v>
      </c>
      <c r="AP35" s="421" t="s">
        <v>1483</v>
      </c>
      <c r="AQ35" s="421" t="s">
        <v>1475</v>
      </c>
      <c r="AR35" s="421" t="s">
        <v>1476</v>
      </c>
      <c r="AT35" s="421" t="s">
        <v>1131</v>
      </c>
      <c r="AU35" s="421" t="s">
        <v>1336</v>
      </c>
      <c r="AV35" s="421" t="s">
        <v>1337</v>
      </c>
      <c r="AW35" s="421" t="s">
        <v>962</v>
      </c>
      <c r="AX35" s="421" t="s">
        <v>962</v>
      </c>
      <c r="AY35" s="421" t="s">
        <v>962</v>
      </c>
      <c r="AZ35" s="421" t="s">
        <v>1121</v>
      </c>
      <c r="BA35" s="421" t="s">
        <v>1484</v>
      </c>
      <c r="BB35" s="421" t="s">
        <v>962</v>
      </c>
      <c r="BC35" s="421" t="s">
        <v>1485</v>
      </c>
      <c r="BD35" s="421" t="s">
        <v>1486</v>
      </c>
      <c r="BE35" s="421" t="s">
        <v>1487</v>
      </c>
      <c r="BF35" s="421" t="s">
        <v>1488</v>
      </c>
      <c r="BG35" s="421" t="s">
        <v>1489</v>
      </c>
      <c r="BH35" s="421" t="s">
        <v>1490</v>
      </c>
      <c r="BI35" s="421" t="s">
        <v>1341</v>
      </c>
      <c r="BJ35" s="421" t="s">
        <v>1342</v>
      </c>
      <c r="BK35" s="421" t="s">
        <v>1478</v>
      </c>
      <c r="BL35" s="421" t="s">
        <v>1491</v>
      </c>
      <c r="BM35" s="421" t="s">
        <v>1492</v>
      </c>
      <c r="BN35" s="421" t="s">
        <v>1287</v>
      </c>
      <c r="BO35" s="421">
        <v>0</v>
      </c>
      <c r="BR35" s="421">
        <v>0</v>
      </c>
      <c r="BS35" s="421">
        <v>0</v>
      </c>
      <c r="BT35" s="421">
        <v>0</v>
      </c>
      <c r="BU35" s="424">
        <v>42033</v>
      </c>
      <c r="BX35" s="421">
        <v>2484.58</v>
      </c>
      <c r="BY35" s="421" t="s">
        <v>1147</v>
      </c>
      <c r="BZ35" s="421">
        <v>9089.51</v>
      </c>
      <c r="CA35" s="421">
        <v>22583614.755800001</v>
      </c>
      <c r="CB35" s="421">
        <v>3.64</v>
      </c>
      <c r="CC35" s="421">
        <v>0</v>
      </c>
      <c r="CD35" s="421">
        <v>338.6</v>
      </c>
      <c r="CE35" s="421">
        <v>342.24</v>
      </c>
      <c r="CF35" s="421">
        <v>0</v>
      </c>
      <c r="CG35" s="421">
        <v>9431.75</v>
      </c>
      <c r="CH35" s="421">
        <v>0</v>
      </c>
      <c r="CI35" s="421">
        <v>9431.75</v>
      </c>
      <c r="CJ35" s="421">
        <v>23433937.414999999</v>
      </c>
      <c r="CK35" s="421">
        <v>15</v>
      </c>
      <c r="CL35" s="421">
        <v>23433937</v>
      </c>
      <c r="CM35" s="421">
        <v>3515000</v>
      </c>
      <c r="CN35" s="421">
        <v>3515000</v>
      </c>
      <c r="CO35" s="421">
        <v>0</v>
      </c>
      <c r="CP35" s="421">
        <v>0</v>
      </c>
      <c r="CQ35" s="421">
        <v>16</v>
      </c>
      <c r="CR35" s="421">
        <v>26948937</v>
      </c>
      <c r="CS35" s="421">
        <v>4312000</v>
      </c>
      <c r="CT35" s="421">
        <v>4312000</v>
      </c>
      <c r="CU35" s="421">
        <v>0</v>
      </c>
      <c r="CV35" s="421">
        <v>0</v>
      </c>
      <c r="CW35" s="421">
        <v>0</v>
      </c>
      <c r="CX35" s="421">
        <v>0</v>
      </c>
      <c r="CY35" s="421">
        <v>0</v>
      </c>
      <c r="CZ35" s="421">
        <v>0</v>
      </c>
      <c r="DA35" s="421">
        <v>0</v>
      </c>
      <c r="DB35" s="421">
        <v>0</v>
      </c>
      <c r="DC35" s="421">
        <v>0</v>
      </c>
      <c r="DD35" s="421">
        <v>0</v>
      </c>
      <c r="DE35" s="421">
        <v>0</v>
      </c>
      <c r="DF35" s="421">
        <v>0</v>
      </c>
      <c r="DG35" s="421">
        <v>0</v>
      </c>
      <c r="DH35" s="421">
        <v>0</v>
      </c>
      <c r="DI35" s="421">
        <v>0</v>
      </c>
      <c r="DJ35" s="421">
        <v>0</v>
      </c>
      <c r="DK35" s="421">
        <v>0</v>
      </c>
      <c r="DL35" s="421">
        <v>0</v>
      </c>
      <c r="DM35" s="421">
        <v>0</v>
      </c>
      <c r="DN35" s="421">
        <v>0</v>
      </c>
      <c r="DO35" s="421">
        <v>0</v>
      </c>
      <c r="DP35" s="421">
        <v>0</v>
      </c>
      <c r="DQ35" s="421">
        <v>0</v>
      </c>
      <c r="DR35" s="421">
        <v>0</v>
      </c>
      <c r="DS35" s="421">
        <v>0</v>
      </c>
      <c r="DT35" s="421">
        <v>0</v>
      </c>
      <c r="DU35" s="421">
        <v>0</v>
      </c>
      <c r="DV35" s="421">
        <v>0</v>
      </c>
      <c r="DW35" s="421">
        <v>0</v>
      </c>
      <c r="DX35" s="421">
        <v>0</v>
      </c>
      <c r="DY35" s="421">
        <v>7827000</v>
      </c>
      <c r="DZ35" s="421">
        <v>7827000</v>
      </c>
      <c r="EA35" s="421">
        <v>0</v>
      </c>
      <c r="EB35" s="421">
        <v>0</v>
      </c>
      <c r="EC35" s="421" t="s">
        <v>1148</v>
      </c>
      <c r="ED35" s="421" t="s">
        <v>1149</v>
      </c>
      <c r="EE35" s="421" t="s">
        <v>1149</v>
      </c>
    </row>
    <row r="36" spans="1:135" x14ac:dyDescent="0.25">
      <c r="A36" s="421">
        <v>33</v>
      </c>
      <c r="B36" s="421">
        <v>2015</v>
      </c>
      <c r="C36" s="421">
        <v>3</v>
      </c>
      <c r="D36" s="421">
        <v>2</v>
      </c>
      <c r="E36" s="424">
        <v>42065</v>
      </c>
      <c r="F36" s="421" t="s">
        <v>1493</v>
      </c>
      <c r="G36" s="421" t="s">
        <v>1494</v>
      </c>
      <c r="H36" s="421" t="s">
        <v>1106</v>
      </c>
      <c r="I36" s="421" t="s">
        <v>1107</v>
      </c>
      <c r="J36" s="421" t="s">
        <v>1108</v>
      </c>
      <c r="K36" s="421" t="s">
        <v>1109</v>
      </c>
      <c r="L36" s="421" t="s">
        <v>1110</v>
      </c>
      <c r="O36" s="421" t="s">
        <v>1111</v>
      </c>
      <c r="R36" s="421" t="s">
        <v>1111</v>
      </c>
      <c r="S36" s="421" t="s">
        <v>1112</v>
      </c>
      <c r="T36" s="421" t="s">
        <v>1113</v>
      </c>
      <c r="U36" s="421" t="s">
        <v>1114</v>
      </c>
      <c r="V36" s="421" t="s">
        <v>1115</v>
      </c>
      <c r="W36" s="421" t="s">
        <v>1116</v>
      </c>
      <c r="X36" s="421" t="s">
        <v>1117</v>
      </c>
      <c r="Y36" s="421" t="s">
        <v>1118</v>
      </c>
      <c r="Z36" s="421" t="s">
        <v>1119</v>
      </c>
      <c r="AA36" s="421" t="s">
        <v>1120</v>
      </c>
      <c r="AB36" s="421" t="s">
        <v>1121</v>
      </c>
      <c r="AC36" s="421" t="s">
        <v>1122</v>
      </c>
      <c r="AD36" s="421" t="s">
        <v>1263</v>
      </c>
      <c r="AE36" s="421" t="s">
        <v>1300</v>
      </c>
      <c r="AF36" s="421" t="s">
        <v>1301</v>
      </c>
      <c r="AG36" s="421" t="s">
        <v>1495</v>
      </c>
      <c r="AH36" s="421">
        <v>186.2</v>
      </c>
      <c r="AI36" s="421" t="s">
        <v>1127</v>
      </c>
      <c r="AJ36" s="421">
        <v>920</v>
      </c>
      <c r="AK36" s="421">
        <v>3</v>
      </c>
      <c r="AL36" s="421" t="s">
        <v>1173</v>
      </c>
      <c r="AM36" s="421">
        <v>186.2</v>
      </c>
      <c r="AN36" s="421">
        <v>195.17</v>
      </c>
      <c r="AO36" s="421" t="s">
        <v>1120</v>
      </c>
      <c r="AP36" s="421" t="s">
        <v>1129</v>
      </c>
      <c r="AR36" s="421" t="s">
        <v>1130</v>
      </c>
      <c r="AT36" s="421" t="s">
        <v>1131</v>
      </c>
      <c r="AU36" s="421" t="s">
        <v>1303</v>
      </c>
      <c r="AV36" s="421" t="s">
        <v>1304</v>
      </c>
      <c r="AW36" s="421" t="s">
        <v>960</v>
      </c>
      <c r="AX36" s="421" t="s">
        <v>960</v>
      </c>
      <c r="AY36" s="421" t="s">
        <v>960</v>
      </c>
      <c r="AZ36" s="421" t="s">
        <v>1121</v>
      </c>
      <c r="BA36" s="421" t="s">
        <v>1305</v>
      </c>
      <c r="BB36" s="421" t="s">
        <v>960</v>
      </c>
      <c r="BC36" s="421" t="s">
        <v>1175</v>
      </c>
      <c r="BD36" s="421" t="s">
        <v>1306</v>
      </c>
      <c r="BE36" s="421" t="s">
        <v>1307</v>
      </c>
      <c r="BF36" s="421" t="s">
        <v>1380</v>
      </c>
      <c r="BG36" s="421" t="s">
        <v>1310</v>
      </c>
      <c r="BH36" s="421" t="s">
        <v>1496</v>
      </c>
      <c r="BI36" s="421" t="s">
        <v>1142</v>
      </c>
      <c r="BJ36" s="421" t="s">
        <v>1180</v>
      </c>
      <c r="BK36" s="421" t="s">
        <v>1494</v>
      </c>
      <c r="BL36" s="421" t="s">
        <v>1497</v>
      </c>
      <c r="BM36" s="421" t="s">
        <v>1498</v>
      </c>
      <c r="BN36" s="421" t="s">
        <v>1161</v>
      </c>
      <c r="BO36" s="421">
        <v>0</v>
      </c>
      <c r="BR36" s="421">
        <v>0</v>
      </c>
      <c r="BS36" s="421">
        <v>0</v>
      </c>
      <c r="BT36" s="421">
        <v>0</v>
      </c>
      <c r="BU36" s="424">
        <v>42009</v>
      </c>
      <c r="BX36" s="421">
        <v>2445.16</v>
      </c>
      <c r="BY36" s="421" t="s">
        <v>1183</v>
      </c>
      <c r="BZ36" s="421">
        <v>3458.26</v>
      </c>
      <c r="CA36" s="421">
        <v>8455999.0216000006</v>
      </c>
      <c r="CB36" s="421">
        <v>1.38</v>
      </c>
      <c r="CC36" s="421">
        <v>0</v>
      </c>
      <c r="CD36" s="421">
        <v>102.57</v>
      </c>
      <c r="CE36" s="421">
        <v>103.95</v>
      </c>
      <c r="CF36" s="421">
        <v>0</v>
      </c>
      <c r="CG36" s="421">
        <v>3562.21</v>
      </c>
      <c r="CH36" s="421">
        <v>0</v>
      </c>
      <c r="CI36" s="421">
        <v>3562.21</v>
      </c>
      <c r="CJ36" s="421">
        <v>8710173.4035999998</v>
      </c>
      <c r="CK36" s="421">
        <v>15</v>
      </c>
      <c r="CL36" s="421">
        <v>8710173</v>
      </c>
      <c r="CM36" s="421">
        <v>1307000</v>
      </c>
      <c r="CN36" s="421">
        <v>1307000</v>
      </c>
      <c r="CO36" s="421">
        <v>0</v>
      </c>
      <c r="CP36" s="421">
        <v>0</v>
      </c>
      <c r="CQ36" s="421">
        <v>16</v>
      </c>
      <c r="CR36" s="421">
        <v>10017173</v>
      </c>
      <c r="CS36" s="421">
        <v>1603000</v>
      </c>
      <c r="CT36" s="421">
        <v>1603000</v>
      </c>
      <c r="CU36" s="421">
        <v>0</v>
      </c>
      <c r="CV36" s="421">
        <v>0</v>
      </c>
      <c r="CW36" s="421">
        <v>0</v>
      </c>
      <c r="CX36" s="421">
        <v>0</v>
      </c>
      <c r="CY36" s="421">
        <v>0</v>
      </c>
      <c r="CZ36" s="421">
        <v>0</v>
      </c>
      <c r="DA36" s="421">
        <v>0</v>
      </c>
      <c r="DB36" s="421">
        <v>0</v>
      </c>
      <c r="DC36" s="421">
        <v>0</v>
      </c>
      <c r="DD36" s="421">
        <v>0</v>
      </c>
      <c r="DE36" s="421">
        <v>0</v>
      </c>
      <c r="DF36" s="421">
        <v>0</v>
      </c>
      <c r="DG36" s="421">
        <v>0</v>
      </c>
      <c r="DH36" s="421">
        <v>0</v>
      </c>
      <c r="DI36" s="421">
        <v>0</v>
      </c>
      <c r="DJ36" s="421">
        <v>0</v>
      </c>
      <c r="DK36" s="421">
        <v>0</v>
      </c>
      <c r="DL36" s="421">
        <v>0</v>
      </c>
      <c r="DM36" s="421">
        <v>0</v>
      </c>
      <c r="DN36" s="421">
        <v>0</v>
      </c>
      <c r="DO36" s="421">
        <v>0</v>
      </c>
      <c r="DP36" s="421">
        <v>0</v>
      </c>
      <c r="DQ36" s="421">
        <v>0</v>
      </c>
      <c r="DR36" s="421">
        <v>0</v>
      </c>
      <c r="DS36" s="421">
        <v>0</v>
      </c>
      <c r="DT36" s="421">
        <v>0</v>
      </c>
      <c r="DU36" s="421">
        <v>0</v>
      </c>
      <c r="DV36" s="421">
        <v>0</v>
      </c>
      <c r="DW36" s="421">
        <v>0</v>
      </c>
      <c r="DX36" s="421">
        <v>0</v>
      </c>
      <c r="DY36" s="421">
        <v>2910000</v>
      </c>
      <c r="DZ36" s="421">
        <v>2910000</v>
      </c>
      <c r="EA36" s="421">
        <v>0</v>
      </c>
      <c r="EB36" s="421">
        <v>0</v>
      </c>
      <c r="EC36" s="421" t="s">
        <v>1148</v>
      </c>
      <c r="ED36" s="421" t="s">
        <v>1167</v>
      </c>
      <c r="EE36" s="421" t="s">
        <v>1167</v>
      </c>
    </row>
    <row r="37" spans="1:135" x14ac:dyDescent="0.25">
      <c r="A37" s="421">
        <v>34</v>
      </c>
      <c r="B37" s="421">
        <v>2015</v>
      </c>
      <c r="C37" s="421">
        <v>3</v>
      </c>
      <c r="D37" s="421">
        <v>2</v>
      </c>
      <c r="E37" s="424">
        <v>42065</v>
      </c>
      <c r="F37" s="421" t="s">
        <v>1499</v>
      </c>
      <c r="G37" s="421" t="s">
        <v>1500</v>
      </c>
      <c r="H37" s="421" t="s">
        <v>1106</v>
      </c>
      <c r="I37" s="421" t="s">
        <v>1107</v>
      </c>
      <c r="J37" s="421" t="s">
        <v>1108</v>
      </c>
      <c r="K37" s="421" t="s">
        <v>1109</v>
      </c>
      <c r="L37" s="421" t="s">
        <v>1110</v>
      </c>
      <c r="O37" s="421" t="s">
        <v>1111</v>
      </c>
      <c r="R37" s="421" t="s">
        <v>1111</v>
      </c>
      <c r="S37" s="421" t="s">
        <v>1112</v>
      </c>
      <c r="T37" s="421" t="s">
        <v>1113</v>
      </c>
      <c r="U37" s="421" t="s">
        <v>1114</v>
      </c>
      <c r="V37" s="421" t="s">
        <v>1115</v>
      </c>
      <c r="W37" s="421" t="s">
        <v>1116</v>
      </c>
      <c r="X37" s="421" t="s">
        <v>1117</v>
      </c>
      <c r="Y37" s="421" t="s">
        <v>1118</v>
      </c>
      <c r="Z37" s="421" t="s">
        <v>1119</v>
      </c>
      <c r="AA37" s="421" t="s">
        <v>1120</v>
      </c>
      <c r="AB37" s="421" t="s">
        <v>1121</v>
      </c>
      <c r="AC37" s="421" t="s">
        <v>1122</v>
      </c>
      <c r="AD37" s="421" t="s">
        <v>1479</v>
      </c>
      <c r="AE37" s="421" t="s">
        <v>1170</v>
      </c>
      <c r="AF37" s="421" t="s">
        <v>1171</v>
      </c>
      <c r="AG37" s="421" t="s">
        <v>1501</v>
      </c>
      <c r="AH37" s="421">
        <v>377</v>
      </c>
      <c r="AI37" s="421" t="s">
        <v>1127</v>
      </c>
      <c r="AJ37" s="421">
        <v>29</v>
      </c>
      <c r="AK37" s="421">
        <v>1</v>
      </c>
      <c r="AL37" s="421" t="s">
        <v>1173</v>
      </c>
      <c r="AM37" s="421">
        <v>377</v>
      </c>
      <c r="AN37" s="421">
        <v>406</v>
      </c>
      <c r="AO37" s="421" t="s">
        <v>1120</v>
      </c>
      <c r="AP37" s="421" t="s">
        <v>1129</v>
      </c>
      <c r="AR37" s="421" t="s">
        <v>1130</v>
      </c>
      <c r="AT37" s="421" t="s">
        <v>1131</v>
      </c>
      <c r="AU37" s="421" t="s">
        <v>1190</v>
      </c>
      <c r="AV37" s="421" t="s">
        <v>1191</v>
      </c>
      <c r="AW37" s="421" t="s">
        <v>960</v>
      </c>
      <c r="AX37" s="421" t="s">
        <v>960</v>
      </c>
      <c r="AY37" s="421" t="s">
        <v>960</v>
      </c>
      <c r="AZ37" s="421" t="s">
        <v>1121</v>
      </c>
      <c r="BA37" s="421" t="s">
        <v>1502</v>
      </c>
      <c r="BB37" s="421" t="s">
        <v>960</v>
      </c>
      <c r="BC37" s="421" t="s">
        <v>1503</v>
      </c>
      <c r="BD37" s="421" t="s">
        <v>1504</v>
      </c>
      <c r="BE37" s="421" t="s">
        <v>1505</v>
      </c>
      <c r="BF37" s="421" t="s">
        <v>1506</v>
      </c>
      <c r="BG37" s="421" t="s">
        <v>1507</v>
      </c>
      <c r="BH37" s="421" t="s">
        <v>1508</v>
      </c>
      <c r="BI37" s="421" t="s">
        <v>1142</v>
      </c>
      <c r="BJ37" s="421" t="s">
        <v>1180</v>
      </c>
      <c r="BK37" s="421" t="s">
        <v>1500</v>
      </c>
      <c r="BL37" s="421" t="s">
        <v>1491</v>
      </c>
      <c r="BM37" s="421" t="s">
        <v>1509</v>
      </c>
      <c r="BN37" s="421" t="s">
        <v>1241</v>
      </c>
      <c r="BO37" s="421">
        <v>0</v>
      </c>
      <c r="BR37" s="421">
        <v>0</v>
      </c>
      <c r="BS37" s="421">
        <v>0</v>
      </c>
      <c r="BT37" s="421">
        <v>0</v>
      </c>
      <c r="BU37" s="424">
        <v>42023</v>
      </c>
      <c r="BX37" s="421">
        <v>2484.58</v>
      </c>
      <c r="BY37" s="421" t="s">
        <v>1183</v>
      </c>
      <c r="BZ37" s="421">
        <v>5265.6</v>
      </c>
      <c r="CA37" s="421">
        <v>13082804.448000001</v>
      </c>
      <c r="CB37" s="421">
        <v>2.11</v>
      </c>
      <c r="CC37" s="421">
        <v>0</v>
      </c>
      <c r="CD37" s="421">
        <v>782</v>
      </c>
      <c r="CE37" s="421">
        <v>784.11</v>
      </c>
      <c r="CF37" s="421">
        <v>0</v>
      </c>
      <c r="CG37" s="421">
        <v>6049.71</v>
      </c>
      <c r="CH37" s="421">
        <v>0</v>
      </c>
      <c r="CI37" s="421">
        <v>6049.71</v>
      </c>
      <c r="CJ37" s="421">
        <v>15030988.471799999</v>
      </c>
      <c r="CK37" s="421">
        <v>15</v>
      </c>
      <c r="CL37" s="421">
        <v>15030988</v>
      </c>
      <c r="CM37" s="421">
        <v>2255000</v>
      </c>
      <c r="CN37" s="421">
        <v>2255000</v>
      </c>
      <c r="CO37" s="421">
        <v>0</v>
      </c>
      <c r="CP37" s="421">
        <v>0</v>
      </c>
      <c r="CQ37" s="421">
        <v>16</v>
      </c>
      <c r="CR37" s="421">
        <v>17285988</v>
      </c>
      <c r="CS37" s="421">
        <v>2766000</v>
      </c>
      <c r="CT37" s="421">
        <v>2766000</v>
      </c>
      <c r="CU37" s="421">
        <v>0</v>
      </c>
      <c r="CV37" s="421">
        <v>0</v>
      </c>
      <c r="CW37" s="421">
        <v>0</v>
      </c>
      <c r="CX37" s="421">
        <v>0</v>
      </c>
      <c r="CY37" s="421">
        <v>0</v>
      </c>
      <c r="CZ37" s="421">
        <v>0</v>
      </c>
      <c r="DA37" s="421">
        <v>0</v>
      </c>
      <c r="DB37" s="421">
        <v>0</v>
      </c>
      <c r="DC37" s="421">
        <v>0</v>
      </c>
      <c r="DD37" s="421">
        <v>0</v>
      </c>
      <c r="DE37" s="421">
        <v>0</v>
      </c>
      <c r="DF37" s="421">
        <v>0</v>
      </c>
      <c r="DG37" s="421">
        <v>0</v>
      </c>
      <c r="DH37" s="421">
        <v>0</v>
      </c>
      <c r="DI37" s="421">
        <v>0</v>
      </c>
      <c r="DJ37" s="421">
        <v>0</v>
      </c>
      <c r="DK37" s="421">
        <v>0</v>
      </c>
      <c r="DL37" s="421">
        <v>0</v>
      </c>
      <c r="DM37" s="421">
        <v>0</v>
      </c>
      <c r="DN37" s="421">
        <v>0</v>
      </c>
      <c r="DO37" s="421">
        <v>0</v>
      </c>
      <c r="DP37" s="421">
        <v>0</v>
      </c>
      <c r="DQ37" s="421">
        <v>0</v>
      </c>
      <c r="DR37" s="421">
        <v>0</v>
      </c>
      <c r="DS37" s="421">
        <v>0</v>
      </c>
      <c r="DT37" s="421">
        <v>0</v>
      </c>
      <c r="DU37" s="421">
        <v>0</v>
      </c>
      <c r="DV37" s="421">
        <v>0</v>
      </c>
      <c r="DW37" s="421">
        <v>0</v>
      </c>
      <c r="DX37" s="421">
        <v>0</v>
      </c>
      <c r="DY37" s="421">
        <v>5021000</v>
      </c>
      <c r="DZ37" s="421">
        <v>5021000</v>
      </c>
      <c r="EA37" s="421">
        <v>0</v>
      </c>
      <c r="EB37" s="421">
        <v>0</v>
      </c>
      <c r="EC37" s="421" t="s">
        <v>1148</v>
      </c>
      <c r="ED37" s="421" t="s">
        <v>1167</v>
      </c>
      <c r="EE37" s="421" t="s">
        <v>1167</v>
      </c>
    </row>
    <row r="38" spans="1:135" x14ac:dyDescent="0.25">
      <c r="A38" s="421">
        <v>35</v>
      </c>
      <c r="B38" s="421">
        <v>2015</v>
      </c>
      <c r="C38" s="421">
        <v>3</v>
      </c>
      <c r="D38" s="421">
        <v>2</v>
      </c>
      <c r="E38" s="424">
        <v>42065</v>
      </c>
      <c r="F38" s="421" t="s">
        <v>1510</v>
      </c>
      <c r="G38" s="421" t="s">
        <v>1511</v>
      </c>
      <c r="H38" s="421" t="s">
        <v>1106</v>
      </c>
      <c r="I38" s="421" t="s">
        <v>1107</v>
      </c>
      <c r="J38" s="421" t="s">
        <v>1108</v>
      </c>
      <c r="K38" s="421" t="s">
        <v>1109</v>
      </c>
      <c r="L38" s="421" t="s">
        <v>1110</v>
      </c>
      <c r="O38" s="421" t="s">
        <v>1111</v>
      </c>
      <c r="R38" s="421" t="s">
        <v>1111</v>
      </c>
      <c r="S38" s="421" t="s">
        <v>1112</v>
      </c>
      <c r="T38" s="421" t="s">
        <v>1113</v>
      </c>
      <c r="U38" s="421" t="s">
        <v>1114</v>
      </c>
      <c r="V38" s="421" t="s">
        <v>1115</v>
      </c>
      <c r="W38" s="421" t="s">
        <v>1116</v>
      </c>
      <c r="X38" s="421" t="s">
        <v>1117</v>
      </c>
      <c r="Y38" s="421" t="s">
        <v>1118</v>
      </c>
      <c r="Z38" s="421" t="s">
        <v>1119</v>
      </c>
      <c r="AA38" s="421" t="s">
        <v>1120</v>
      </c>
      <c r="AB38" s="421" t="s">
        <v>1121</v>
      </c>
      <c r="AC38" s="421" t="s">
        <v>1122</v>
      </c>
      <c r="AD38" s="421" t="s">
        <v>1263</v>
      </c>
      <c r="AE38" s="421" t="s">
        <v>1512</v>
      </c>
      <c r="AF38" s="421" t="s">
        <v>1513</v>
      </c>
      <c r="AG38" s="421" t="s">
        <v>1514</v>
      </c>
      <c r="AH38" s="421">
        <v>5184</v>
      </c>
      <c r="AI38" s="421" t="s">
        <v>1189</v>
      </c>
      <c r="AJ38" s="421">
        <v>920</v>
      </c>
      <c r="AK38" s="421">
        <v>3</v>
      </c>
      <c r="AL38" s="421" t="s">
        <v>1173</v>
      </c>
      <c r="AM38" s="421">
        <v>131.22</v>
      </c>
      <c r="AN38" s="421">
        <v>137.54</v>
      </c>
      <c r="AO38" s="421" t="s">
        <v>1120</v>
      </c>
      <c r="AP38" s="421" t="s">
        <v>1129</v>
      </c>
      <c r="AR38" s="421" t="s">
        <v>1130</v>
      </c>
      <c r="AT38" s="421" t="s">
        <v>1131</v>
      </c>
      <c r="AU38" s="421" t="s">
        <v>1303</v>
      </c>
      <c r="AV38" s="421" t="s">
        <v>1304</v>
      </c>
      <c r="AW38" s="421" t="s">
        <v>960</v>
      </c>
      <c r="AX38" s="421" t="s">
        <v>960</v>
      </c>
      <c r="AY38" s="421" t="s">
        <v>960</v>
      </c>
      <c r="AZ38" s="421" t="s">
        <v>1121</v>
      </c>
      <c r="BA38" s="421" t="s">
        <v>1305</v>
      </c>
      <c r="BB38" s="421" t="s">
        <v>960</v>
      </c>
      <c r="BC38" s="421" t="s">
        <v>1175</v>
      </c>
      <c r="BD38" s="421" t="s">
        <v>1306</v>
      </c>
      <c r="BE38" s="421" t="s">
        <v>1307</v>
      </c>
      <c r="BF38" s="421" t="s">
        <v>1380</v>
      </c>
      <c r="BG38" s="421" t="s">
        <v>1310</v>
      </c>
      <c r="BH38" s="421" t="s">
        <v>1496</v>
      </c>
      <c r="BI38" s="421" t="s">
        <v>1142</v>
      </c>
      <c r="BJ38" s="421" t="s">
        <v>1180</v>
      </c>
      <c r="BK38" s="421" t="s">
        <v>1511</v>
      </c>
      <c r="BL38" s="421" t="s">
        <v>1497</v>
      </c>
      <c r="BM38" s="421" t="s">
        <v>1498</v>
      </c>
      <c r="BN38" s="421" t="s">
        <v>1161</v>
      </c>
      <c r="BO38" s="421">
        <v>0</v>
      </c>
      <c r="BR38" s="421">
        <v>0</v>
      </c>
      <c r="BS38" s="421">
        <v>0</v>
      </c>
      <c r="BT38" s="421">
        <v>0</v>
      </c>
      <c r="BU38" s="424">
        <v>42009</v>
      </c>
      <c r="BX38" s="421">
        <v>2445.16</v>
      </c>
      <c r="BY38" s="421" t="s">
        <v>1183</v>
      </c>
      <c r="BZ38" s="421">
        <v>938.98</v>
      </c>
      <c r="CA38" s="421">
        <v>2295956.3368000002</v>
      </c>
      <c r="CB38" s="421">
        <v>0.38</v>
      </c>
      <c r="CC38" s="421">
        <v>0</v>
      </c>
      <c r="CD38" s="421">
        <v>72.28</v>
      </c>
      <c r="CE38" s="421">
        <v>72.66</v>
      </c>
      <c r="CF38" s="421">
        <v>0</v>
      </c>
      <c r="CG38" s="421">
        <v>1011.64</v>
      </c>
      <c r="CH38" s="421">
        <v>0</v>
      </c>
      <c r="CI38" s="421">
        <v>1011.64</v>
      </c>
      <c r="CJ38" s="421">
        <v>2473621.6623999998</v>
      </c>
      <c r="CK38" s="421">
        <v>15</v>
      </c>
      <c r="CL38" s="421">
        <v>2473622</v>
      </c>
      <c r="CM38" s="421">
        <v>371000</v>
      </c>
      <c r="CN38" s="421">
        <v>371000</v>
      </c>
      <c r="CO38" s="421">
        <v>0</v>
      </c>
      <c r="CP38" s="421">
        <v>0</v>
      </c>
      <c r="CQ38" s="421">
        <v>16</v>
      </c>
      <c r="CR38" s="421">
        <v>2844622</v>
      </c>
      <c r="CS38" s="421">
        <v>455000</v>
      </c>
      <c r="CT38" s="421">
        <v>455000</v>
      </c>
      <c r="CU38" s="421">
        <v>0</v>
      </c>
      <c r="CV38" s="421">
        <v>0</v>
      </c>
      <c r="CW38" s="421">
        <v>0</v>
      </c>
      <c r="CX38" s="421">
        <v>0</v>
      </c>
      <c r="CY38" s="421">
        <v>0</v>
      </c>
      <c r="CZ38" s="421">
        <v>0</v>
      </c>
      <c r="DA38" s="421">
        <v>0</v>
      </c>
      <c r="DB38" s="421">
        <v>0</v>
      </c>
      <c r="DC38" s="421">
        <v>0</v>
      </c>
      <c r="DD38" s="421">
        <v>0</v>
      </c>
      <c r="DE38" s="421">
        <v>0</v>
      </c>
      <c r="DF38" s="421">
        <v>0</v>
      </c>
      <c r="DG38" s="421">
        <v>0</v>
      </c>
      <c r="DH38" s="421">
        <v>0</v>
      </c>
      <c r="DI38" s="421">
        <v>0</v>
      </c>
      <c r="DJ38" s="421">
        <v>0</v>
      </c>
      <c r="DK38" s="421">
        <v>0</v>
      </c>
      <c r="DL38" s="421">
        <v>0</v>
      </c>
      <c r="DM38" s="421">
        <v>0</v>
      </c>
      <c r="DN38" s="421">
        <v>0</v>
      </c>
      <c r="DO38" s="421">
        <v>0</v>
      </c>
      <c r="DP38" s="421">
        <v>0</v>
      </c>
      <c r="DQ38" s="421">
        <v>0</v>
      </c>
      <c r="DR38" s="421">
        <v>0</v>
      </c>
      <c r="DS38" s="421">
        <v>0</v>
      </c>
      <c r="DT38" s="421">
        <v>0</v>
      </c>
      <c r="DU38" s="421">
        <v>0</v>
      </c>
      <c r="DV38" s="421">
        <v>0</v>
      </c>
      <c r="DW38" s="421">
        <v>0</v>
      </c>
      <c r="DX38" s="421">
        <v>0</v>
      </c>
      <c r="DY38" s="421">
        <v>826000</v>
      </c>
      <c r="DZ38" s="421">
        <v>826000</v>
      </c>
      <c r="EA38" s="421">
        <v>0</v>
      </c>
      <c r="EB38" s="421">
        <v>0</v>
      </c>
      <c r="EC38" s="421" t="s">
        <v>1148</v>
      </c>
      <c r="ED38" s="421" t="s">
        <v>1167</v>
      </c>
      <c r="EE38" s="421" t="s">
        <v>1167</v>
      </c>
    </row>
    <row r="39" spans="1:135" x14ac:dyDescent="0.25">
      <c r="A39" s="421">
        <v>36</v>
      </c>
      <c r="B39" s="421">
        <v>2015</v>
      </c>
      <c r="C39" s="421">
        <v>3</v>
      </c>
      <c r="D39" s="421">
        <v>2</v>
      </c>
      <c r="E39" s="424">
        <v>42065</v>
      </c>
      <c r="F39" s="421" t="s">
        <v>1515</v>
      </c>
      <c r="G39" s="421" t="s">
        <v>1516</v>
      </c>
      <c r="H39" s="421" t="s">
        <v>1106</v>
      </c>
      <c r="I39" s="421" t="s">
        <v>1281</v>
      </c>
      <c r="J39" s="421" t="s">
        <v>1108</v>
      </c>
      <c r="K39" s="421" t="s">
        <v>1109</v>
      </c>
      <c r="L39" s="421" t="s">
        <v>1110</v>
      </c>
      <c r="O39" s="421" t="s">
        <v>1111</v>
      </c>
      <c r="R39" s="421" t="s">
        <v>1111</v>
      </c>
      <c r="S39" s="421" t="s">
        <v>1112</v>
      </c>
      <c r="T39" s="421" t="s">
        <v>1113</v>
      </c>
      <c r="U39" s="421" t="s">
        <v>1114</v>
      </c>
      <c r="V39" s="421" t="s">
        <v>1115</v>
      </c>
      <c r="W39" s="421" t="s">
        <v>1116</v>
      </c>
      <c r="X39" s="421" t="s">
        <v>1117</v>
      </c>
      <c r="Y39" s="421" t="s">
        <v>1118</v>
      </c>
      <c r="Z39" s="421" t="s">
        <v>1119</v>
      </c>
      <c r="AA39" s="421" t="s">
        <v>1120</v>
      </c>
      <c r="AB39" s="421" t="s">
        <v>1121</v>
      </c>
      <c r="AC39" s="421" t="s">
        <v>1122</v>
      </c>
      <c r="AD39" s="421" t="s">
        <v>1479</v>
      </c>
      <c r="AE39" s="421" t="s">
        <v>1517</v>
      </c>
      <c r="AF39" s="421" t="s">
        <v>1518</v>
      </c>
      <c r="AG39" s="421" t="s">
        <v>1519</v>
      </c>
      <c r="AH39" s="421">
        <v>825</v>
      </c>
      <c r="AI39" s="421" t="s">
        <v>1127</v>
      </c>
      <c r="AJ39" s="421">
        <v>33</v>
      </c>
      <c r="AK39" s="421">
        <v>1</v>
      </c>
      <c r="AL39" s="421" t="s">
        <v>1173</v>
      </c>
      <c r="AM39" s="421">
        <v>825</v>
      </c>
      <c r="AN39" s="421">
        <v>891</v>
      </c>
      <c r="AO39" s="421" t="s">
        <v>1120</v>
      </c>
      <c r="AP39" s="421" t="s">
        <v>1129</v>
      </c>
      <c r="AR39" s="421" t="s">
        <v>1130</v>
      </c>
      <c r="AT39" s="421" t="s">
        <v>1131</v>
      </c>
      <c r="AU39" s="421" t="s">
        <v>1190</v>
      </c>
      <c r="AV39" s="421" t="s">
        <v>1191</v>
      </c>
      <c r="AW39" s="421" t="s">
        <v>960</v>
      </c>
      <c r="AX39" s="421" t="s">
        <v>960</v>
      </c>
      <c r="AY39" s="421" t="s">
        <v>960</v>
      </c>
      <c r="AZ39" s="421" t="s">
        <v>1121</v>
      </c>
      <c r="BA39" s="421" t="s">
        <v>1520</v>
      </c>
      <c r="BB39" s="421" t="s">
        <v>960</v>
      </c>
      <c r="BC39" s="421" t="s">
        <v>1521</v>
      </c>
      <c r="BD39" s="421" t="s">
        <v>1522</v>
      </c>
      <c r="BE39" s="421" t="s">
        <v>1523</v>
      </c>
      <c r="BI39" s="421" t="s">
        <v>1142</v>
      </c>
      <c r="BJ39" s="421" t="s">
        <v>1342</v>
      </c>
      <c r="BK39" s="421" t="s">
        <v>1516</v>
      </c>
      <c r="BL39" s="421" t="s">
        <v>1491</v>
      </c>
      <c r="BM39" s="421" t="s">
        <v>1524</v>
      </c>
      <c r="BN39" s="421" t="s">
        <v>1525</v>
      </c>
      <c r="BO39" s="421">
        <v>0</v>
      </c>
      <c r="BR39" s="421">
        <v>0</v>
      </c>
      <c r="BS39" s="421">
        <v>0</v>
      </c>
      <c r="BT39" s="421">
        <v>0</v>
      </c>
      <c r="BU39" s="424">
        <v>38718</v>
      </c>
      <c r="BX39" s="421">
        <v>2484.58</v>
      </c>
      <c r="BY39" s="421" t="s">
        <v>1183</v>
      </c>
      <c r="BZ39" s="421">
        <v>9962.25</v>
      </c>
      <c r="CA39" s="421">
        <v>24752007.105</v>
      </c>
      <c r="CB39" s="421">
        <v>3.98</v>
      </c>
      <c r="CC39" s="421">
        <v>0</v>
      </c>
      <c r="CD39" s="421">
        <v>723.35</v>
      </c>
      <c r="CE39" s="421">
        <v>727.33</v>
      </c>
      <c r="CF39" s="421">
        <v>0</v>
      </c>
      <c r="CG39" s="421">
        <v>10689.58</v>
      </c>
      <c r="CH39" s="421">
        <v>0</v>
      </c>
      <c r="CI39" s="421">
        <v>10689.58</v>
      </c>
      <c r="CJ39" s="421">
        <v>26559116.676399998</v>
      </c>
      <c r="CK39" s="421">
        <v>10</v>
      </c>
      <c r="CL39" s="421">
        <v>26559117</v>
      </c>
      <c r="CM39" s="421">
        <v>2656000</v>
      </c>
      <c r="CN39" s="421">
        <v>2656000</v>
      </c>
      <c r="CO39" s="421">
        <v>0</v>
      </c>
      <c r="CP39" s="421">
        <v>0</v>
      </c>
      <c r="CQ39" s="421">
        <v>16</v>
      </c>
      <c r="CR39" s="421">
        <v>29215117</v>
      </c>
      <c r="CS39" s="421">
        <v>4674000</v>
      </c>
      <c r="CT39" s="421">
        <v>4674000</v>
      </c>
      <c r="CU39" s="421">
        <v>0</v>
      </c>
      <c r="CV39" s="421">
        <v>0</v>
      </c>
      <c r="CW39" s="421">
        <v>0</v>
      </c>
      <c r="CX39" s="421">
        <v>0</v>
      </c>
      <c r="CY39" s="421">
        <v>0</v>
      </c>
      <c r="CZ39" s="421">
        <v>0</v>
      </c>
      <c r="DA39" s="421">
        <v>0</v>
      </c>
      <c r="DB39" s="421">
        <v>0</v>
      </c>
      <c r="DC39" s="421">
        <v>0</v>
      </c>
      <c r="DD39" s="421">
        <v>0</v>
      </c>
      <c r="DE39" s="421">
        <v>0</v>
      </c>
      <c r="DF39" s="421">
        <v>0</v>
      </c>
      <c r="DG39" s="421">
        <v>0</v>
      </c>
      <c r="DH39" s="421">
        <v>0</v>
      </c>
      <c r="DI39" s="421">
        <v>0</v>
      </c>
      <c r="DJ39" s="421">
        <v>0</v>
      </c>
      <c r="DK39" s="421">
        <v>0</v>
      </c>
      <c r="DL39" s="421">
        <v>0</v>
      </c>
      <c r="DM39" s="421">
        <v>0</v>
      </c>
      <c r="DN39" s="421">
        <v>0</v>
      </c>
      <c r="DO39" s="421">
        <v>0</v>
      </c>
      <c r="DP39" s="421">
        <v>0</v>
      </c>
      <c r="DQ39" s="421">
        <v>0</v>
      </c>
      <c r="DR39" s="421">
        <v>0</v>
      </c>
      <c r="DS39" s="421">
        <v>0</v>
      </c>
      <c r="DT39" s="421">
        <v>0</v>
      </c>
      <c r="DU39" s="421">
        <v>0</v>
      </c>
      <c r="DV39" s="421">
        <v>0</v>
      </c>
      <c r="DW39" s="421">
        <v>0</v>
      </c>
      <c r="DX39" s="421">
        <v>0</v>
      </c>
      <c r="DY39" s="421">
        <v>7330000</v>
      </c>
      <c r="DZ39" s="421">
        <v>7330000</v>
      </c>
      <c r="EA39" s="421">
        <v>0</v>
      </c>
      <c r="EB39" s="421">
        <v>0</v>
      </c>
      <c r="EC39" s="421" t="s">
        <v>1148</v>
      </c>
      <c r="ED39" s="421" t="s">
        <v>1167</v>
      </c>
      <c r="EE39" s="421" t="s">
        <v>1167</v>
      </c>
    </row>
    <row r="40" spans="1:135" x14ac:dyDescent="0.25">
      <c r="A40" s="421">
        <v>37</v>
      </c>
      <c r="B40" s="421">
        <v>2015</v>
      </c>
      <c r="C40" s="421">
        <v>3</v>
      </c>
      <c r="D40" s="421">
        <v>4</v>
      </c>
      <c r="E40" s="424">
        <v>42067</v>
      </c>
      <c r="F40" s="421" t="s">
        <v>1526</v>
      </c>
      <c r="G40" s="421" t="s">
        <v>1527</v>
      </c>
      <c r="H40" s="421" t="s">
        <v>1106</v>
      </c>
      <c r="I40" s="421" t="s">
        <v>1281</v>
      </c>
      <c r="J40" s="421" t="s">
        <v>1108</v>
      </c>
      <c r="K40" s="421" t="s">
        <v>1202</v>
      </c>
      <c r="L40" s="421" t="s">
        <v>1110</v>
      </c>
      <c r="O40" s="421" t="s">
        <v>1111</v>
      </c>
      <c r="R40" s="421" t="s">
        <v>1111</v>
      </c>
      <c r="S40" s="421" t="s">
        <v>1112</v>
      </c>
      <c r="T40" s="421" t="s">
        <v>1113</v>
      </c>
      <c r="U40" s="421" t="s">
        <v>1114</v>
      </c>
      <c r="V40" s="421" t="s">
        <v>1115</v>
      </c>
      <c r="W40" s="421" t="s">
        <v>1116</v>
      </c>
      <c r="X40" s="421" t="s">
        <v>1117</v>
      </c>
      <c r="Y40" s="421" t="s">
        <v>1118</v>
      </c>
      <c r="Z40" s="421" t="s">
        <v>1119</v>
      </c>
      <c r="AA40" s="421" t="s">
        <v>1120</v>
      </c>
      <c r="AB40" s="421" t="s">
        <v>1121</v>
      </c>
      <c r="AC40" s="421" t="s">
        <v>1122</v>
      </c>
      <c r="AD40" s="421" t="s">
        <v>1479</v>
      </c>
      <c r="AE40" s="421" t="s">
        <v>1203</v>
      </c>
      <c r="AF40" s="421" t="s">
        <v>1204</v>
      </c>
      <c r="AG40" s="421" t="s">
        <v>1528</v>
      </c>
      <c r="AH40" s="421">
        <v>43000</v>
      </c>
      <c r="AI40" s="421" t="s">
        <v>1127</v>
      </c>
      <c r="AJ40" s="421">
        <v>2</v>
      </c>
      <c r="AK40" s="421">
        <v>1</v>
      </c>
      <c r="AL40" s="421" t="s">
        <v>1283</v>
      </c>
      <c r="AM40" s="421">
        <v>43000</v>
      </c>
      <c r="AN40" s="421">
        <v>43485</v>
      </c>
      <c r="AO40" s="421" t="s">
        <v>1120</v>
      </c>
      <c r="AP40" s="421" t="s">
        <v>1129</v>
      </c>
      <c r="AR40" s="421" t="s">
        <v>1130</v>
      </c>
      <c r="AT40" s="421" t="s">
        <v>1131</v>
      </c>
      <c r="AU40" s="421" t="s">
        <v>1190</v>
      </c>
      <c r="AV40" s="421" t="s">
        <v>1191</v>
      </c>
      <c r="AW40" s="421" t="s">
        <v>1207</v>
      </c>
      <c r="AX40" s="421" t="s">
        <v>1207</v>
      </c>
      <c r="AY40" s="421" t="s">
        <v>1208</v>
      </c>
      <c r="AZ40" s="421" t="s">
        <v>1121</v>
      </c>
      <c r="BA40" s="421" t="s">
        <v>1209</v>
      </c>
      <c r="BB40" s="421" t="s">
        <v>1208</v>
      </c>
      <c r="BC40" s="421" t="s">
        <v>1210</v>
      </c>
      <c r="BD40" s="421" t="s">
        <v>1211</v>
      </c>
      <c r="BE40" s="421" t="s">
        <v>1212</v>
      </c>
      <c r="BI40" s="421" t="s">
        <v>1142</v>
      </c>
      <c r="BJ40" s="421" t="s">
        <v>1180</v>
      </c>
      <c r="BK40" s="421" t="s">
        <v>1527</v>
      </c>
      <c r="BL40" s="421" t="s">
        <v>1529</v>
      </c>
      <c r="BM40" s="421" t="s">
        <v>1530</v>
      </c>
      <c r="BN40" s="421" t="s">
        <v>1531</v>
      </c>
      <c r="BO40" s="421">
        <v>0</v>
      </c>
      <c r="BR40" s="421">
        <v>0</v>
      </c>
      <c r="BS40" s="421">
        <v>0</v>
      </c>
      <c r="BT40" s="421">
        <v>0</v>
      </c>
      <c r="BU40" s="424">
        <v>38718</v>
      </c>
      <c r="BX40" s="421">
        <v>2484.58</v>
      </c>
      <c r="BY40" s="421" t="s">
        <v>1147</v>
      </c>
      <c r="BZ40" s="421">
        <v>103200</v>
      </c>
      <c r="CA40" s="421">
        <v>256408656</v>
      </c>
      <c r="CB40" s="421">
        <v>41.28</v>
      </c>
      <c r="CC40" s="421">
        <v>0</v>
      </c>
      <c r="CD40" s="421">
        <v>2094</v>
      </c>
      <c r="CE40" s="421">
        <v>2135.2800000000002</v>
      </c>
      <c r="CF40" s="421">
        <v>0</v>
      </c>
      <c r="CG40" s="421">
        <v>105335.28</v>
      </c>
      <c r="CH40" s="421">
        <v>0</v>
      </c>
      <c r="CI40" s="421">
        <v>105335.28</v>
      </c>
      <c r="CJ40" s="421">
        <v>261713929.9824</v>
      </c>
      <c r="CK40" s="421">
        <v>0</v>
      </c>
      <c r="CL40" s="421">
        <v>261713930</v>
      </c>
      <c r="CM40" s="421">
        <v>0</v>
      </c>
      <c r="CN40" s="421">
        <v>0</v>
      </c>
      <c r="CO40" s="421">
        <v>0</v>
      </c>
      <c r="CP40" s="421">
        <v>0</v>
      </c>
      <c r="CQ40" s="421">
        <v>0</v>
      </c>
      <c r="CR40" s="421">
        <v>261713930</v>
      </c>
      <c r="CS40" s="421">
        <v>0</v>
      </c>
      <c r="CT40" s="421">
        <v>0</v>
      </c>
      <c r="CU40" s="421">
        <v>0</v>
      </c>
      <c r="CV40" s="421">
        <v>0</v>
      </c>
      <c r="CW40" s="421">
        <v>0</v>
      </c>
      <c r="CX40" s="421">
        <v>0</v>
      </c>
      <c r="CY40" s="421">
        <v>0</v>
      </c>
      <c r="CZ40" s="421">
        <v>0</v>
      </c>
      <c r="DA40" s="421">
        <v>0</v>
      </c>
      <c r="DB40" s="421">
        <v>0</v>
      </c>
      <c r="DC40" s="421">
        <v>0</v>
      </c>
      <c r="DD40" s="421">
        <v>0</v>
      </c>
      <c r="DE40" s="421">
        <v>0</v>
      </c>
      <c r="DF40" s="421">
        <v>0</v>
      </c>
      <c r="DG40" s="421">
        <v>0</v>
      </c>
      <c r="DH40" s="421">
        <v>0</v>
      </c>
      <c r="DI40" s="421">
        <v>0</v>
      </c>
      <c r="DJ40" s="421">
        <v>0</v>
      </c>
      <c r="DK40" s="421">
        <v>0</v>
      </c>
      <c r="DL40" s="421">
        <v>0</v>
      </c>
      <c r="DM40" s="421">
        <v>0</v>
      </c>
      <c r="DN40" s="421">
        <v>0</v>
      </c>
      <c r="DO40" s="421">
        <v>0</v>
      </c>
      <c r="DP40" s="421">
        <v>0</v>
      </c>
      <c r="DQ40" s="421">
        <v>0</v>
      </c>
      <c r="DR40" s="421">
        <v>0</v>
      </c>
      <c r="DS40" s="421">
        <v>0</v>
      </c>
      <c r="DT40" s="421">
        <v>0</v>
      </c>
      <c r="DU40" s="421">
        <v>0</v>
      </c>
      <c r="DV40" s="421">
        <v>0</v>
      </c>
      <c r="DW40" s="421">
        <v>0</v>
      </c>
      <c r="DX40" s="421">
        <v>0</v>
      </c>
      <c r="DY40" s="421">
        <v>0</v>
      </c>
      <c r="DZ40" s="421">
        <v>0</v>
      </c>
      <c r="EA40" s="421">
        <v>0</v>
      </c>
      <c r="EB40" s="421">
        <v>0</v>
      </c>
      <c r="EC40" s="421" t="s">
        <v>1148</v>
      </c>
      <c r="ED40" s="421" t="s">
        <v>1149</v>
      </c>
      <c r="EE40" s="421" t="s">
        <v>1149</v>
      </c>
    </row>
    <row r="41" spans="1:135" x14ac:dyDescent="0.25">
      <c r="A41" s="421">
        <v>38</v>
      </c>
      <c r="B41" s="421">
        <v>2015</v>
      </c>
      <c r="C41" s="421">
        <v>3</v>
      </c>
      <c r="D41" s="421">
        <v>6</v>
      </c>
      <c r="E41" s="424">
        <v>42069</v>
      </c>
      <c r="F41" s="421" t="s">
        <v>1532</v>
      </c>
      <c r="G41" s="421" t="s">
        <v>1533</v>
      </c>
      <c r="H41" s="421" t="s">
        <v>1152</v>
      </c>
      <c r="I41" s="421" t="s">
        <v>1281</v>
      </c>
      <c r="J41" s="421" t="s">
        <v>1108</v>
      </c>
      <c r="K41" s="421" t="s">
        <v>1202</v>
      </c>
      <c r="L41" s="421" t="s">
        <v>1110</v>
      </c>
      <c r="O41" s="421" t="s">
        <v>1111</v>
      </c>
      <c r="R41" s="421" t="s">
        <v>1111</v>
      </c>
      <c r="S41" s="421" t="s">
        <v>1112</v>
      </c>
      <c r="T41" s="421" t="s">
        <v>1113</v>
      </c>
      <c r="U41" s="421" t="s">
        <v>1114</v>
      </c>
      <c r="V41" s="421" t="s">
        <v>1115</v>
      </c>
      <c r="W41" s="421" t="s">
        <v>1116</v>
      </c>
      <c r="X41" s="421" t="s">
        <v>1117</v>
      </c>
      <c r="Y41" s="421" t="s">
        <v>1118</v>
      </c>
      <c r="Z41" s="421" t="s">
        <v>1119</v>
      </c>
      <c r="AA41" s="421" t="s">
        <v>1120</v>
      </c>
      <c r="AB41" s="421" t="s">
        <v>1121</v>
      </c>
      <c r="AC41" s="421" t="s">
        <v>1122</v>
      </c>
      <c r="AD41" s="421" t="s">
        <v>1479</v>
      </c>
      <c r="AE41" s="421" t="s">
        <v>1203</v>
      </c>
      <c r="AF41" s="421" t="s">
        <v>1204</v>
      </c>
      <c r="AG41" s="421" t="s">
        <v>1534</v>
      </c>
      <c r="AH41" s="421">
        <v>43000</v>
      </c>
      <c r="AI41" s="421" t="s">
        <v>1127</v>
      </c>
      <c r="AJ41" s="421">
        <v>2</v>
      </c>
      <c r="AK41" s="421">
        <v>1</v>
      </c>
      <c r="AL41" s="421" t="s">
        <v>1283</v>
      </c>
      <c r="AM41" s="421">
        <v>43000</v>
      </c>
      <c r="AN41" s="421">
        <v>43485</v>
      </c>
      <c r="AO41" s="421" t="s">
        <v>1120</v>
      </c>
      <c r="AP41" s="421" t="s">
        <v>1129</v>
      </c>
      <c r="AR41" s="421" t="s">
        <v>1130</v>
      </c>
      <c r="AT41" s="421" t="s">
        <v>1131</v>
      </c>
      <c r="AU41" s="421" t="s">
        <v>1190</v>
      </c>
      <c r="AV41" s="421" t="s">
        <v>1191</v>
      </c>
      <c r="AW41" s="421" t="s">
        <v>1207</v>
      </c>
      <c r="AX41" s="421" t="s">
        <v>1207</v>
      </c>
      <c r="AY41" s="421" t="s">
        <v>1208</v>
      </c>
      <c r="AZ41" s="421" t="s">
        <v>1121</v>
      </c>
      <c r="BA41" s="421" t="s">
        <v>1209</v>
      </c>
      <c r="BB41" s="421" t="s">
        <v>1208</v>
      </c>
      <c r="BC41" s="421" t="s">
        <v>1210</v>
      </c>
      <c r="BD41" s="421" t="s">
        <v>1211</v>
      </c>
      <c r="BE41" s="421" t="s">
        <v>1212</v>
      </c>
      <c r="BI41" s="421" t="s">
        <v>1142</v>
      </c>
      <c r="BJ41" s="421" t="s">
        <v>1535</v>
      </c>
      <c r="BK41" s="421" t="s">
        <v>1533</v>
      </c>
      <c r="BL41" s="421" t="s">
        <v>1536</v>
      </c>
      <c r="BM41" s="421" t="s">
        <v>1537</v>
      </c>
      <c r="BN41" s="421" t="s">
        <v>1538</v>
      </c>
      <c r="BO41" s="421">
        <v>0</v>
      </c>
      <c r="BR41" s="421">
        <v>0</v>
      </c>
      <c r="BS41" s="421">
        <v>0</v>
      </c>
      <c r="BT41" s="421">
        <v>0</v>
      </c>
      <c r="BU41" s="424">
        <v>38718</v>
      </c>
      <c r="BX41" s="421">
        <v>2484.58</v>
      </c>
      <c r="BY41" s="421" t="s">
        <v>1147</v>
      </c>
      <c r="BZ41" s="421">
        <v>90300</v>
      </c>
      <c r="CA41" s="421">
        <v>224357574</v>
      </c>
      <c r="CB41" s="421">
        <v>36.119999999999997</v>
      </c>
      <c r="CC41" s="421">
        <v>0</v>
      </c>
      <c r="CD41" s="421">
        <v>2265.42</v>
      </c>
      <c r="CE41" s="421">
        <v>2301.54</v>
      </c>
      <c r="CF41" s="421">
        <v>0</v>
      </c>
      <c r="CG41" s="421">
        <v>92601.54</v>
      </c>
      <c r="CH41" s="421">
        <v>0</v>
      </c>
      <c r="CI41" s="421">
        <v>92601.54</v>
      </c>
      <c r="CJ41" s="421">
        <v>230075934.25319999</v>
      </c>
      <c r="CK41" s="421">
        <v>0</v>
      </c>
      <c r="CL41" s="421">
        <v>230075934</v>
      </c>
      <c r="CM41" s="421">
        <v>0</v>
      </c>
      <c r="CN41" s="421">
        <v>0</v>
      </c>
      <c r="CO41" s="421">
        <v>0</v>
      </c>
      <c r="CP41" s="421">
        <v>0</v>
      </c>
      <c r="CQ41" s="421">
        <v>0</v>
      </c>
      <c r="CR41" s="421">
        <v>230075934</v>
      </c>
      <c r="CS41" s="421">
        <v>0</v>
      </c>
      <c r="CT41" s="421">
        <v>0</v>
      </c>
      <c r="CU41" s="421">
        <v>0</v>
      </c>
      <c r="CV41" s="421">
        <v>0</v>
      </c>
      <c r="CW41" s="421">
        <v>0</v>
      </c>
      <c r="CX41" s="421">
        <v>0</v>
      </c>
      <c r="CY41" s="421">
        <v>0</v>
      </c>
      <c r="CZ41" s="421">
        <v>0</v>
      </c>
      <c r="DA41" s="421">
        <v>0</v>
      </c>
      <c r="DB41" s="421">
        <v>0</v>
      </c>
      <c r="DC41" s="421">
        <v>0</v>
      </c>
      <c r="DD41" s="421">
        <v>0</v>
      </c>
      <c r="DE41" s="421">
        <v>0</v>
      </c>
      <c r="DF41" s="421">
        <v>0</v>
      </c>
      <c r="DG41" s="421">
        <v>0</v>
      </c>
      <c r="DH41" s="421">
        <v>0</v>
      </c>
      <c r="DI41" s="421">
        <v>0</v>
      </c>
      <c r="DJ41" s="421">
        <v>0</v>
      </c>
      <c r="DK41" s="421">
        <v>0</v>
      </c>
      <c r="DL41" s="421">
        <v>0</v>
      </c>
      <c r="DM41" s="421">
        <v>0</v>
      </c>
      <c r="DN41" s="421">
        <v>0</v>
      </c>
      <c r="DO41" s="421">
        <v>0</v>
      </c>
      <c r="DP41" s="421">
        <v>0</v>
      </c>
      <c r="DQ41" s="421">
        <v>0</v>
      </c>
      <c r="DR41" s="421">
        <v>0</v>
      </c>
      <c r="DS41" s="421">
        <v>0</v>
      </c>
      <c r="DT41" s="421">
        <v>0</v>
      </c>
      <c r="DU41" s="421">
        <v>0</v>
      </c>
      <c r="DV41" s="421">
        <v>0</v>
      </c>
      <c r="DW41" s="421">
        <v>0</v>
      </c>
      <c r="DX41" s="421">
        <v>0</v>
      </c>
      <c r="DY41" s="421">
        <v>0</v>
      </c>
      <c r="DZ41" s="421">
        <v>0</v>
      </c>
      <c r="EA41" s="421">
        <v>0</v>
      </c>
      <c r="EB41" s="421">
        <v>0</v>
      </c>
      <c r="EC41" s="421" t="s">
        <v>1148</v>
      </c>
      <c r="ED41" s="421" t="s">
        <v>1149</v>
      </c>
      <c r="EE41" s="421" t="s">
        <v>1149</v>
      </c>
    </row>
    <row r="42" spans="1:135" x14ac:dyDescent="0.25">
      <c r="A42" s="421">
        <v>39</v>
      </c>
      <c r="B42" s="421">
        <v>2015</v>
      </c>
      <c r="C42" s="421">
        <v>3</v>
      </c>
      <c r="D42" s="421">
        <v>6</v>
      </c>
      <c r="E42" s="424">
        <v>42069</v>
      </c>
      <c r="F42" s="421" t="s">
        <v>1539</v>
      </c>
      <c r="G42" s="421" t="s">
        <v>1540</v>
      </c>
      <c r="H42" s="421" t="s">
        <v>1541</v>
      </c>
      <c r="I42" s="421" t="s">
        <v>1107</v>
      </c>
      <c r="J42" s="421" t="s">
        <v>1542</v>
      </c>
      <c r="K42" s="421" t="s">
        <v>1109</v>
      </c>
      <c r="L42" s="421" t="s">
        <v>1110</v>
      </c>
      <c r="O42" s="421" t="s">
        <v>1111</v>
      </c>
      <c r="R42" s="421" t="s">
        <v>1111</v>
      </c>
      <c r="S42" s="421" t="s">
        <v>1112</v>
      </c>
      <c r="T42" s="421" t="s">
        <v>1113</v>
      </c>
      <c r="U42" s="421" t="s">
        <v>1114</v>
      </c>
      <c r="V42" s="421" t="s">
        <v>1115</v>
      </c>
      <c r="W42" s="421" t="s">
        <v>1116</v>
      </c>
      <c r="X42" s="421" t="s">
        <v>1117</v>
      </c>
      <c r="Y42" s="421" t="s">
        <v>1118</v>
      </c>
      <c r="Z42" s="421" t="s">
        <v>1119</v>
      </c>
      <c r="AA42" s="421" t="s">
        <v>1120</v>
      </c>
      <c r="AB42" s="421" t="s">
        <v>1121</v>
      </c>
      <c r="AC42" s="421" t="s">
        <v>1122</v>
      </c>
      <c r="AD42" s="421" t="s">
        <v>1479</v>
      </c>
      <c r="AE42" s="421" t="s">
        <v>1543</v>
      </c>
      <c r="AF42" s="421" t="s">
        <v>1544</v>
      </c>
      <c r="AG42" s="421" t="s">
        <v>1545</v>
      </c>
      <c r="AH42" s="421">
        <v>740</v>
      </c>
      <c r="AI42" s="421" t="s">
        <v>1127</v>
      </c>
      <c r="AJ42" s="421">
        <v>2</v>
      </c>
      <c r="AK42" s="421">
        <v>2</v>
      </c>
      <c r="AL42" s="421" t="s">
        <v>1206</v>
      </c>
      <c r="AM42" s="421">
        <v>740</v>
      </c>
      <c r="AN42" s="421">
        <v>814</v>
      </c>
      <c r="AO42" s="421" t="s">
        <v>1120</v>
      </c>
      <c r="AP42" s="421" t="s">
        <v>1129</v>
      </c>
      <c r="AR42" s="421" t="s">
        <v>1130</v>
      </c>
      <c r="AT42" s="421" t="s">
        <v>1546</v>
      </c>
      <c r="AU42" s="421" t="s">
        <v>1190</v>
      </c>
      <c r="AV42" s="421" t="s">
        <v>1191</v>
      </c>
      <c r="AW42" s="421" t="s">
        <v>1547</v>
      </c>
      <c r="AX42" s="421" t="s">
        <v>1547</v>
      </c>
      <c r="AY42" s="421" t="s">
        <v>1547</v>
      </c>
      <c r="AZ42" s="421" t="s">
        <v>1121</v>
      </c>
      <c r="BA42" s="421" t="s">
        <v>1548</v>
      </c>
      <c r="BB42" s="421" t="s">
        <v>1547</v>
      </c>
      <c r="BC42" s="421" t="s">
        <v>1549</v>
      </c>
      <c r="BD42" s="421" t="s">
        <v>1550</v>
      </c>
      <c r="BE42" s="421" t="s">
        <v>1551</v>
      </c>
      <c r="BF42" s="421" t="s">
        <v>1552</v>
      </c>
      <c r="BG42" s="421" t="s">
        <v>1491</v>
      </c>
      <c r="BH42" s="421" t="s">
        <v>1553</v>
      </c>
      <c r="BI42" s="421" t="s">
        <v>1142</v>
      </c>
      <c r="BJ42" s="421" t="s">
        <v>1180</v>
      </c>
      <c r="BK42" s="421" t="s">
        <v>1540</v>
      </c>
      <c r="BL42" s="421" t="s">
        <v>1536</v>
      </c>
      <c r="BM42" s="421" t="s">
        <v>1554</v>
      </c>
      <c r="BN42" s="421" t="s">
        <v>1197</v>
      </c>
      <c r="BO42" s="421">
        <v>0</v>
      </c>
      <c r="BR42" s="421">
        <v>0</v>
      </c>
      <c r="BS42" s="421">
        <v>0</v>
      </c>
      <c r="BT42" s="421">
        <v>0</v>
      </c>
      <c r="BU42" s="424">
        <v>42050</v>
      </c>
      <c r="BX42" s="421">
        <v>2484.58</v>
      </c>
      <c r="BY42" s="421" t="s">
        <v>1166</v>
      </c>
      <c r="BZ42" s="421">
        <v>7164.2</v>
      </c>
      <c r="CA42" s="421">
        <v>17800028.035999998</v>
      </c>
      <c r="CB42" s="421">
        <v>2.87</v>
      </c>
      <c r="CC42" s="421">
        <v>0</v>
      </c>
      <c r="CD42" s="421">
        <v>280.05</v>
      </c>
      <c r="CE42" s="421">
        <v>282.92</v>
      </c>
      <c r="CF42" s="421">
        <v>0</v>
      </c>
      <c r="CG42" s="421">
        <v>7447.12</v>
      </c>
      <c r="CH42" s="421">
        <v>0</v>
      </c>
      <c r="CI42" s="421">
        <v>7447.12</v>
      </c>
      <c r="CJ42" s="421">
        <v>18502965.409600001</v>
      </c>
      <c r="CK42" s="421">
        <v>10</v>
      </c>
      <c r="CL42" s="421">
        <v>18502965</v>
      </c>
      <c r="CM42" s="421">
        <v>1850000</v>
      </c>
      <c r="CN42" s="421">
        <v>1850000</v>
      </c>
      <c r="CO42" s="421">
        <v>0</v>
      </c>
      <c r="CP42" s="421">
        <v>0</v>
      </c>
      <c r="CQ42" s="421">
        <v>16</v>
      </c>
      <c r="CR42" s="421">
        <v>20352965</v>
      </c>
      <c r="CS42" s="421">
        <v>3256000</v>
      </c>
      <c r="CT42" s="421">
        <v>3256000</v>
      </c>
      <c r="CU42" s="421">
        <v>0</v>
      </c>
      <c r="CV42" s="421">
        <v>0</v>
      </c>
      <c r="CW42" s="421">
        <v>0</v>
      </c>
      <c r="CX42" s="421">
        <v>0</v>
      </c>
      <c r="CY42" s="421">
        <v>0</v>
      </c>
      <c r="CZ42" s="421">
        <v>0</v>
      </c>
      <c r="DA42" s="421">
        <v>0</v>
      </c>
      <c r="DB42" s="421">
        <v>0</v>
      </c>
      <c r="DC42" s="421">
        <v>0</v>
      </c>
      <c r="DD42" s="421">
        <v>0</v>
      </c>
      <c r="DE42" s="421">
        <v>0</v>
      </c>
      <c r="DF42" s="421">
        <v>0</v>
      </c>
      <c r="DG42" s="421">
        <v>0</v>
      </c>
      <c r="DH42" s="421">
        <v>0</v>
      </c>
      <c r="DI42" s="421">
        <v>0</v>
      </c>
      <c r="DJ42" s="421">
        <v>0</v>
      </c>
      <c r="DK42" s="421">
        <v>0</v>
      </c>
      <c r="DL42" s="421">
        <v>0</v>
      </c>
      <c r="DM42" s="421">
        <v>0</v>
      </c>
      <c r="DN42" s="421">
        <v>0</v>
      </c>
      <c r="DO42" s="421">
        <v>0</v>
      </c>
      <c r="DP42" s="421">
        <v>0</v>
      </c>
      <c r="DQ42" s="421">
        <v>0</v>
      </c>
      <c r="DR42" s="421">
        <v>0</v>
      </c>
      <c r="DS42" s="421">
        <v>0</v>
      </c>
      <c r="DT42" s="421">
        <v>0</v>
      </c>
      <c r="DU42" s="421">
        <v>0</v>
      </c>
      <c r="DV42" s="421">
        <v>0</v>
      </c>
      <c r="DW42" s="421">
        <v>0</v>
      </c>
      <c r="DX42" s="421">
        <v>0</v>
      </c>
      <c r="DY42" s="421">
        <v>5106000</v>
      </c>
      <c r="DZ42" s="421">
        <v>5106000</v>
      </c>
      <c r="EA42" s="421">
        <v>0</v>
      </c>
      <c r="EB42" s="421">
        <v>0</v>
      </c>
      <c r="EC42" s="421" t="s">
        <v>1148</v>
      </c>
      <c r="ED42" s="421" t="s">
        <v>1331</v>
      </c>
      <c r="EE42" s="421" t="s">
        <v>1331</v>
      </c>
    </row>
    <row r="43" spans="1:135" x14ac:dyDescent="0.25">
      <c r="A43" s="421">
        <v>40</v>
      </c>
      <c r="B43" s="421">
        <v>2015</v>
      </c>
      <c r="C43" s="421">
        <v>3</v>
      </c>
      <c r="D43" s="421">
        <v>6</v>
      </c>
      <c r="E43" s="424">
        <v>42069</v>
      </c>
      <c r="F43" s="421" t="s">
        <v>1555</v>
      </c>
      <c r="G43" s="421" t="s">
        <v>1556</v>
      </c>
      <c r="H43" s="421" t="s">
        <v>1541</v>
      </c>
      <c r="I43" s="421" t="s">
        <v>1107</v>
      </c>
      <c r="J43" s="421" t="s">
        <v>1542</v>
      </c>
      <c r="K43" s="421" t="s">
        <v>1109</v>
      </c>
      <c r="L43" s="421" t="s">
        <v>1110</v>
      </c>
      <c r="O43" s="421" t="s">
        <v>1111</v>
      </c>
      <c r="R43" s="421" t="s">
        <v>1111</v>
      </c>
      <c r="S43" s="421" t="s">
        <v>1112</v>
      </c>
      <c r="T43" s="421" t="s">
        <v>1113</v>
      </c>
      <c r="U43" s="421" t="s">
        <v>1114</v>
      </c>
      <c r="V43" s="421" t="s">
        <v>1115</v>
      </c>
      <c r="W43" s="421" t="s">
        <v>1116</v>
      </c>
      <c r="X43" s="421" t="s">
        <v>1117</v>
      </c>
      <c r="Y43" s="421" t="s">
        <v>1118</v>
      </c>
      <c r="Z43" s="421" t="s">
        <v>1119</v>
      </c>
      <c r="AA43" s="421" t="s">
        <v>1120</v>
      </c>
      <c r="AB43" s="421" t="s">
        <v>1121</v>
      </c>
      <c r="AC43" s="421" t="s">
        <v>1122</v>
      </c>
      <c r="AD43" s="421" t="s">
        <v>1479</v>
      </c>
      <c r="AE43" s="421" t="s">
        <v>1557</v>
      </c>
      <c r="AF43" s="421" t="s">
        <v>1558</v>
      </c>
      <c r="AG43" s="421" t="s">
        <v>1559</v>
      </c>
      <c r="AH43" s="421">
        <v>460</v>
      </c>
      <c r="AI43" s="421" t="s">
        <v>1127</v>
      </c>
      <c r="AJ43" s="421">
        <v>2</v>
      </c>
      <c r="AK43" s="421">
        <v>2</v>
      </c>
      <c r="AL43" s="421" t="s">
        <v>1206</v>
      </c>
      <c r="AM43" s="421">
        <v>460</v>
      </c>
      <c r="AN43" s="421">
        <v>506</v>
      </c>
      <c r="AO43" s="421" t="s">
        <v>1120</v>
      </c>
      <c r="AP43" s="421" t="s">
        <v>1129</v>
      </c>
      <c r="AR43" s="421" t="s">
        <v>1130</v>
      </c>
      <c r="AT43" s="421" t="s">
        <v>1546</v>
      </c>
      <c r="AU43" s="421" t="s">
        <v>1190</v>
      </c>
      <c r="AV43" s="421" t="s">
        <v>1191</v>
      </c>
      <c r="AW43" s="421" t="s">
        <v>1547</v>
      </c>
      <c r="AX43" s="421" t="s">
        <v>1547</v>
      </c>
      <c r="AY43" s="421" t="s">
        <v>1547</v>
      </c>
      <c r="AZ43" s="421" t="s">
        <v>1121</v>
      </c>
      <c r="BA43" s="421" t="s">
        <v>1548</v>
      </c>
      <c r="BB43" s="421" t="s">
        <v>1547</v>
      </c>
      <c r="BC43" s="421" t="s">
        <v>1549</v>
      </c>
      <c r="BD43" s="421" t="s">
        <v>1550</v>
      </c>
      <c r="BE43" s="421" t="s">
        <v>1551</v>
      </c>
      <c r="BF43" s="421" t="s">
        <v>1552</v>
      </c>
      <c r="BG43" s="421" t="s">
        <v>1491</v>
      </c>
      <c r="BH43" s="421" t="s">
        <v>1553</v>
      </c>
      <c r="BI43" s="421" t="s">
        <v>1142</v>
      </c>
      <c r="BJ43" s="421" t="s">
        <v>1180</v>
      </c>
      <c r="BK43" s="421" t="s">
        <v>1556</v>
      </c>
      <c r="BL43" s="421" t="s">
        <v>1536</v>
      </c>
      <c r="BM43" s="421" t="s">
        <v>1554</v>
      </c>
      <c r="BN43" s="421" t="s">
        <v>1197</v>
      </c>
      <c r="BO43" s="421">
        <v>0</v>
      </c>
      <c r="BR43" s="421">
        <v>0</v>
      </c>
      <c r="BS43" s="421">
        <v>0</v>
      </c>
      <c r="BT43" s="421">
        <v>0</v>
      </c>
      <c r="BU43" s="424">
        <v>42050</v>
      </c>
      <c r="BX43" s="421">
        <v>2484.58</v>
      </c>
      <c r="BY43" s="421" t="s">
        <v>1166</v>
      </c>
      <c r="BZ43" s="421">
        <v>3228.38</v>
      </c>
      <c r="CA43" s="421">
        <v>8021168.3804000001</v>
      </c>
      <c r="CB43" s="421">
        <v>1.29</v>
      </c>
      <c r="CC43" s="421">
        <v>0</v>
      </c>
      <c r="CD43" s="421">
        <v>174.06</v>
      </c>
      <c r="CE43" s="421">
        <v>175.35</v>
      </c>
      <c r="CF43" s="421">
        <v>0</v>
      </c>
      <c r="CG43" s="421">
        <v>3403.73</v>
      </c>
      <c r="CH43" s="421">
        <v>0</v>
      </c>
      <c r="CI43" s="421">
        <v>3403.73</v>
      </c>
      <c r="CJ43" s="421">
        <v>8456839.4834000003</v>
      </c>
      <c r="CK43" s="421">
        <v>10</v>
      </c>
      <c r="CL43" s="421">
        <v>8456839</v>
      </c>
      <c r="CM43" s="421">
        <v>846000</v>
      </c>
      <c r="CN43" s="421">
        <v>846000</v>
      </c>
      <c r="CO43" s="421">
        <v>0</v>
      </c>
      <c r="CP43" s="421">
        <v>0</v>
      </c>
      <c r="CQ43" s="421">
        <v>16</v>
      </c>
      <c r="CR43" s="421">
        <v>9302839</v>
      </c>
      <c r="CS43" s="421">
        <v>1488000</v>
      </c>
      <c r="CT43" s="421">
        <v>1488000</v>
      </c>
      <c r="CU43" s="421">
        <v>0</v>
      </c>
      <c r="CV43" s="421">
        <v>0</v>
      </c>
      <c r="CW43" s="421">
        <v>0</v>
      </c>
      <c r="CX43" s="421">
        <v>0</v>
      </c>
      <c r="CY43" s="421">
        <v>0</v>
      </c>
      <c r="CZ43" s="421">
        <v>0</v>
      </c>
      <c r="DA43" s="421">
        <v>0</v>
      </c>
      <c r="DB43" s="421">
        <v>0</v>
      </c>
      <c r="DC43" s="421">
        <v>0</v>
      </c>
      <c r="DD43" s="421">
        <v>0</v>
      </c>
      <c r="DE43" s="421">
        <v>0</v>
      </c>
      <c r="DF43" s="421">
        <v>0</v>
      </c>
      <c r="DG43" s="421">
        <v>0</v>
      </c>
      <c r="DH43" s="421">
        <v>0</v>
      </c>
      <c r="DI43" s="421">
        <v>0</v>
      </c>
      <c r="DJ43" s="421">
        <v>0</v>
      </c>
      <c r="DK43" s="421">
        <v>0</v>
      </c>
      <c r="DL43" s="421">
        <v>0</v>
      </c>
      <c r="DM43" s="421">
        <v>0</v>
      </c>
      <c r="DN43" s="421">
        <v>0</v>
      </c>
      <c r="DO43" s="421">
        <v>0</v>
      </c>
      <c r="DP43" s="421">
        <v>0</v>
      </c>
      <c r="DQ43" s="421">
        <v>0</v>
      </c>
      <c r="DR43" s="421">
        <v>0</v>
      </c>
      <c r="DS43" s="421">
        <v>0</v>
      </c>
      <c r="DT43" s="421">
        <v>0</v>
      </c>
      <c r="DU43" s="421">
        <v>0</v>
      </c>
      <c r="DV43" s="421">
        <v>0</v>
      </c>
      <c r="DW43" s="421">
        <v>0</v>
      </c>
      <c r="DX43" s="421">
        <v>0</v>
      </c>
      <c r="DY43" s="421">
        <v>2334000</v>
      </c>
      <c r="DZ43" s="421">
        <v>2334000</v>
      </c>
      <c r="EA43" s="421">
        <v>0</v>
      </c>
      <c r="EB43" s="421">
        <v>0</v>
      </c>
      <c r="EC43" s="421" t="s">
        <v>1148</v>
      </c>
      <c r="ED43" s="421" t="s">
        <v>1331</v>
      </c>
      <c r="EE43" s="421" t="s">
        <v>1331</v>
      </c>
    </row>
    <row r="44" spans="1:135" x14ac:dyDescent="0.25">
      <c r="A44" s="421">
        <v>41</v>
      </c>
      <c r="B44" s="421">
        <v>2015</v>
      </c>
      <c r="C44" s="421">
        <v>3</v>
      </c>
      <c r="D44" s="421">
        <v>9</v>
      </c>
      <c r="E44" s="424">
        <v>42072</v>
      </c>
      <c r="F44" s="421" t="s">
        <v>1560</v>
      </c>
      <c r="G44" s="421" t="s">
        <v>1561</v>
      </c>
      <c r="H44" s="421" t="s">
        <v>1106</v>
      </c>
      <c r="I44" s="421" t="s">
        <v>1107</v>
      </c>
      <c r="J44" s="421" t="s">
        <v>1108</v>
      </c>
      <c r="K44" s="421" t="s">
        <v>1109</v>
      </c>
      <c r="L44" s="421" t="s">
        <v>1110</v>
      </c>
      <c r="O44" s="421" t="s">
        <v>1111</v>
      </c>
      <c r="R44" s="421" t="s">
        <v>1111</v>
      </c>
      <c r="S44" s="421" t="s">
        <v>1112</v>
      </c>
      <c r="T44" s="421" t="s">
        <v>1113</v>
      </c>
      <c r="U44" s="421" t="s">
        <v>1114</v>
      </c>
      <c r="V44" s="421" t="s">
        <v>1115</v>
      </c>
      <c r="W44" s="421" t="s">
        <v>1116</v>
      </c>
      <c r="X44" s="421" t="s">
        <v>1117</v>
      </c>
      <c r="Y44" s="421" t="s">
        <v>1118</v>
      </c>
      <c r="Z44" s="421" t="s">
        <v>1119</v>
      </c>
      <c r="AA44" s="421" t="s">
        <v>1120</v>
      </c>
      <c r="AB44" s="421" t="s">
        <v>1121</v>
      </c>
      <c r="AC44" s="421" t="s">
        <v>1122</v>
      </c>
      <c r="AD44" s="421" t="s">
        <v>1479</v>
      </c>
      <c r="AE44" s="421" t="s">
        <v>1471</v>
      </c>
      <c r="AF44" s="421" t="s">
        <v>1472</v>
      </c>
      <c r="AG44" s="421" t="s">
        <v>1562</v>
      </c>
      <c r="AH44" s="421">
        <v>220912</v>
      </c>
      <c r="AI44" s="421" t="s">
        <v>1189</v>
      </c>
      <c r="AJ44" s="421">
        <v>920</v>
      </c>
      <c r="AK44" s="421">
        <v>1</v>
      </c>
      <c r="AL44" s="421" t="s">
        <v>1173</v>
      </c>
      <c r="AM44" s="421">
        <v>9470.9</v>
      </c>
      <c r="AN44" s="421">
        <v>9927.2900000000009</v>
      </c>
      <c r="AO44" s="421" t="s">
        <v>1120</v>
      </c>
      <c r="AP44" s="421" t="s">
        <v>1563</v>
      </c>
      <c r="AQ44" s="421" t="s">
        <v>1475</v>
      </c>
      <c r="AR44" s="421" t="s">
        <v>1476</v>
      </c>
      <c r="AT44" s="421" t="s">
        <v>1131</v>
      </c>
      <c r="AU44" s="421" t="s">
        <v>1303</v>
      </c>
      <c r="AV44" s="421" t="s">
        <v>1304</v>
      </c>
      <c r="AW44" s="421" t="s">
        <v>960</v>
      </c>
      <c r="AX44" s="421" t="s">
        <v>960</v>
      </c>
      <c r="AY44" s="421" t="s">
        <v>960</v>
      </c>
      <c r="AZ44" s="421" t="s">
        <v>1121</v>
      </c>
      <c r="BA44" s="421" t="s">
        <v>1305</v>
      </c>
      <c r="BB44" s="421" t="s">
        <v>960</v>
      </c>
      <c r="BC44" s="421" t="s">
        <v>1175</v>
      </c>
      <c r="BD44" s="421" t="s">
        <v>1306</v>
      </c>
      <c r="BE44" s="421" t="s">
        <v>1307</v>
      </c>
      <c r="BF44" s="421" t="s">
        <v>1380</v>
      </c>
      <c r="BG44" s="421" t="s">
        <v>1310</v>
      </c>
      <c r="BH44" s="421" t="s">
        <v>1496</v>
      </c>
      <c r="BI44" s="421" t="s">
        <v>1142</v>
      </c>
      <c r="BJ44" s="421" t="s">
        <v>1180</v>
      </c>
      <c r="BK44" s="421" t="s">
        <v>1561</v>
      </c>
      <c r="BL44" s="421" t="s">
        <v>1564</v>
      </c>
      <c r="BM44" s="421" t="s">
        <v>1498</v>
      </c>
      <c r="BN44" s="421" t="s">
        <v>1161</v>
      </c>
      <c r="BO44" s="421">
        <v>0</v>
      </c>
      <c r="BR44" s="421">
        <v>0</v>
      </c>
      <c r="BS44" s="421">
        <v>0</v>
      </c>
      <c r="BT44" s="421">
        <v>0</v>
      </c>
      <c r="BU44" s="424">
        <v>42009</v>
      </c>
      <c r="BX44" s="421">
        <v>2543.4699999999998</v>
      </c>
      <c r="BY44" s="421" t="s">
        <v>1183</v>
      </c>
      <c r="BZ44" s="421">
        <v>78112.28</v>
      </c>
      <c r="CA44" s="421">
        <v>198676240.8116</v>
      </c>
      <c r="CB44" s="421">
        <v>31.24</v>
      </c>
      <c r="CC44" s="421">
        <v>0</v>
      </c>
      <c r="CD44" s="421">
        <v>5217.1499999999996</v>
      </c>
      <c r="CE44" s="421">
        <v>5248.39</v>
      </c>
      <c r="CF44" s="421">
        <v>0</v>
      </c>
      <c r="CG44" s="421">
        <v>83360.67</v>
      </c>
      <c r="CH44" s="421">
        <v>0</v>
      </c>
      <c r="CI44" s="421">
        <v>83360.67</v>
      </c>
      <c r="CJ44" s="421">
        <v>212025363.3249</v>
      </c>
      <c r="CK44" s="421">
        <v>15</v>
      </c>
      <c r="CL44" s="421">
        <v>212025363</v>
      </c>
      <c r="CM44" s="421">
        <v>31804000</v>
      </c>
      <c r="CN44" s="421">
        <v>31804000</v>
      </c>
      <c r="CO44" s="421">
        <v>0</v>
      </c>
      <c r="CP44" s="421">
        <v>0</v>
      </c>
      <c r="CQ44" s="421">
        <v>16</v>
      </c>
      <c r="CR44" s="421">
        <v>243829363</v>
      </c>
      <c r="CS44" s="421">
        <v>39013000</v>
      </c>
      <c r="CT44" s="421">
        <v>39013000</v>
      </c>
      <c r="CU44" s="421">
        <v>0</v>
      </c>
      <c r="CV44" s="421">
        <v>0</v>
      </c>
      <c r="CW44" s="421">
        <v>0</v>
      </c>
      <c r="CX44" s="421">
        <v>0</v>
      </c>
      <c r="CY44" s="421">
        <v>0</v>
      </c>
      <c r="CZ44" s="421">
        <v>0</v>
      </c>
      <c r="DA44" s="421">
        <v>0</v>
      </c>
      <c r="DB44" s="421">
        <v>0</v>
      </c>
      <c r="DC44" s="421">
        <v>0</v>
      </c>
      <c r="DD44" s="421">
        <v>0</v>
      </c>
      <c r="DE44" s="421">
        <v>0</v>
      </c>
      <c r="DF44" s="421">
        <v>0</v>
      </c>
      <c r="DG44" s="421">
        <v>0</v>
      </c>
      <c r="DH44" s="421">
        <v>0</v>
      </c>
      <c r="DI44" s="421">
        <v>0</v>
      </c>
      <c r="DJ44" s="421">
        <v>0</v>
      </c>
      <c r="DK44" s="421">
        <v>0</v>
      </c>
      <c r="DL44" s="421">
        <v>0</v>
      </c>
      <c r="DM44" s="421">
        <v>0</v>
      </c>
      <c r="DN44" s="421">
        <v>0</v>
      </c>
      <c r="DO44" s="421">
        <v>0</v>
      </c>
      <c r="DP44" s="421">
        <v>0</v>
      </c>
      <c r="DQ44" s="421">
        <v>0</v>
      </c>
      <c r="DR44" s="421">
        <v>0</v>
      </c>
      <c r="DS44" s="421">
        <v>0</v>
      </c>
      <c r="DT44" s="421">
        <v>0</v>
      </c>
      <c r="DU44" s="421">
        <v>0</v>
      </c>
      <c r="DV44" s="421">
        <v>0</v>
      </c>
      <c r="DW44" s="421">
        <v>0</v>
      </c>
      <c r="DX44" s="421">
        <v>0</v>
      </c>
      <c r="DY44" s="421">
        <v>70817000</v>
      </c>
      <c r="DZ44" s="421">
        <v>70817000</v>
      </c>
      <c r="EA44" s="421">
        <v>0</v>
      </c>
      <c r="EB44" s="421">
        <v>0</v>
      </c>
      <c r="EC44" s="421" t="s">
        <v>1148</v>
      </c>
      <c r="ED44" s="421" t="s">
        <v>1167</v>
      </c>
      <c r="EE44" s="421" t="s">
        <v>1167</v>
      </c>
    </row>
    <row r="45" spans="1:135" x14ac:dyDescent="0.25">
      <c r="A45" s="421">
        <v>42</v>
      </c>
      <c r="B45" s="421">
        <v>2015</v>
      </c>
      <c r="C45" s="421">
        <v>3</v>
      </c>
      <c r="D45" s="421">
        <v>10</v>
      </c>
      <c r="E45" s="424">
        <v>42073</v>
      </c>
      <c r="F45" s="421" t="s">
        <v>1565</v>
      </c>
      <c r="G45" s="421" t="s">
        <v>1566</v>
      </c>
      <c r="H45" s="421" t="s">
        <v>1106</v>
      </c>
      <c r="I45" s="421" t="s">
        <v>1107</v>
      </c>
      <c r="J45" s="421" t="s">
        <v>1108</v>
      </c>
      <c r="K45" s="421" t="s">
        <v>1109</v>
      </c>
      <c r="L45" s="421" t="s">
        <v>1110</v>
      </c>
      <c r="O45" s="421" t="s">
        <v>1111</v>
      </c>
      <c r="R45" s="421" t="s">
        <v>1111</v>
      </c>
      <c r="S45" s="421" t="s">
        <v>1112</v>
      </c>
      <c r="T45" s="421" t="s">
        <v>1113</v>
      </c>
      <c r="U45" s="421" t="s">
        <v>1114</v>
      </c>
      <c r="V45" s="421" t="s">
        <v>1115</v>
      </c>
      <c r="W45" s="421" t="s">
        <v>1116</v>
      </c>
      <c r="X45" s="421" t="s">
        <v>1117</v>
      </c>
      <c r="Y45" s="421" t="s">
        <v>1118</v>
      </c>
      <c r="Z45" s="421" t="s">
        <v>1119</v>
      </c>
      <c r="AA45" s="421" t="s">
        <v>1120</v>
      </c>
      <c r="AB45" s="421" t="s">
        <v>1121</v>
      </c>
      <c r="AC45" s="421" t="s">
        <v>1122</v>
      </c>
      <c r="AD45" s="421" t="s">
        <v>1479</v>
      </c>
      <c r="AE45" s="421" t="s">
        <v>1567</v>
      </c>
      <c r="AF45" s="421" t="s">
        <v>1568</v>
      </c>
      <c r="AG45" s="421" t="s">
        <v>1569</v>
      </c>
      <c r="AH45" s="421">
        <v>300</v>
      </c>
      <c r="AI45" s="421" t="s">
        <v>1127</v>
      </c>
      <c r="AJ45" s="421">
        <v>300</v>
      </c>
      <c r="AK45" s="421">
        <v>2</v>
      </c>
      <c r="AL45" s="421" t="s">
        <v>1206</v>
      </c>
      <c r="AM45" s="421">
        <v>300</v>
      </c>
      <c r="AN45" s="421">
        <v>300</v>
      </c>
      <c r="AO45" s="421" t="s">
        <v>1120</v>
      </c>
      <c r="AP45" s="421" t="s">
        <v>1129</v>
      </c>
      <c r="AR45" s="421" t="s">
        <v>1130</v>
      </c>
      <c r="AT45" s="421" t="s">
        <v>1131</v>
      </c>
      <c r="AU45" s="421" t="s">
        <v>1132</v>
      </c>
      <c r="AV45" s="421" t="s">
        <v>1133</v>
      </c>
      <c r="AW45" s="421" t="s">
        <v>962</v>
      </c>
      <c r="AX45" s="421" t="s">
        <v>962</v>
      </c>
      <c r="AY45" s="421" t="s">
        <v>962</v>
      </c>
      <c r="AZ45" s="421" t="s">
        <v>1121</v>
      </c>
      <c r="BA45" s="421" t="s">
        <v>1570</v>
      </c>
      <c r="BB45" s="421" t="s">
        <v>962</v>
      </c>
      <c r="BC45" s="421" t="s">
        <v>1571</v>
      </c>
      <c r="BD45" s="421" t="s">
        <v>1572</v>
      </c>
      <c r="BE45" s="421" t="s">
        <v>1573</v>
      </c>
      <c r="BF45" s="421" t="s">
        <v>1574</v>
      </c>
      <c r="BG45" s="421" t="s">
        <v>1529</v>
      </c>
      <c r="BH45" s="421" t="s">
        <v>1575</v>
      </c>
      <c r="BI45" s="421" t="s">
        <v>1142</v>
      </c>
      <c r="BJ45" s="421" t="s">
        <v>1143</v>
      </c>
      <c r="BK45" s="421" t="s">
        <v>1566</v>
      </c>
      <c r="BL45" s="421" t="s">
        <v>1564</v>
      </c>
      <c r="BM45" s="421" t="s">
        <v>1576</v>
      </c>
      <c r="BN45" s="421" t="s">
        <v>1462</v>
      </c>
      <c r="BO45" s="421">
        <v>0</v>
      </c>
      <c r="BR45" s="421">
        <v>0</v>
      </c>
      <c r="BS45" s="421">
        <v>0</v>
      </c>
      <c r="BT45" s="421">
        <v>0</v>
      </c>
      <c r="BU45" s="424">
        <v>42063</v>
      </c>
      <c r="BX45" s="421">
        <v>2543.4699999999998</v>
      </c>
      <c r="BY45" s="421" t="s">
        <v>1147</v>
      </c>
      <c r="BZ45" s="421">
        <v>15300</v>
      </c>
      <c r="CA45" s="421">
        <v>38915091</v>
      </c>
      <c r="CB45" s="421">
        <v>6.12</v>
      </c>
      <c r="CC45" s="421">
        <v>0</v>
      </c>
      <c r="CD45" s="421">
        <v>192.99</v>
      </c>
      <c r="CE45" s="421">
        <v>199.11</v>
      </c>
      <c r="CF45" s="421">
        <v>0</v>
      </c>
      <c r="CG45" s="421">
        <v>15499.11</v>
      </c>
      <c r="CH45" s="421">
        <v>0</v>
      </c>
      <c r="CI45" s="421">
        <v>15499.11</v>
      </c>
      <c r="CJ45" s="421">
        <v>39421521.311700001</v>
      </c>
      <c r="CK45" s="421">
        <v>0</v>
      </c>
      <c r="CL45" s="421">
        <v>39421521</v>
      </c>
      <c r="CM45" s="421">
        <v>0</v>
      </c>
      <c r="CN45" s="421">
        <v>0</v>
      </c>
      <c r="CO45" s="421">
        <v>0</v>
      </c>
      <c r="CP45" s="421">
        <v>0</v>
      </c>
      <c r="CQ45" s="421">
        <v>16</v>
      </c>
      <c r="CR45" s="421">
        <v>39421521</v>
      </c>
      <c r="CS45" s="421">
        <v>6307000</v>
      </c>
      <c r="CT45" s="421">
        <v>6307000</v>
      </c>
      <c r="CU45" s="421">
        <v>0</v>
      </c>
      <c r="CV45" s="421">
        <v>0</v>
      </c>
      <c r="CW45" s="421">
        <v>0</v>
      </c>
      <c r="CX45" s="421">
        <v>0</v>
      </c>
      <c r="CY45" s="421">
        <v>0</v>
      </c>
      <c r="CZ45" s="421">
        <v>0</v>
      </c>
      <c r="DA45" s="421">
        <v>0</v>
      </c>
      <c r="DB45" s="421">
        <v>0</v>
      </c>
      <c r="DC45" s="421">
        <v>0</v>
      </c>
      <c r="DD45" s="421">
        <v>0</v>
      </c>
      <c r="DE45" s="421">
        <v>0</v>
      </c>
      <c r="DF45" s="421">
        <v>0</v>
      </c>
      <c r="DG45" s="421">
        <v>0</v>
      </c>
      <c r="DH45" s="421">
        <v>0</v>
      </c>
      <c r="DI45" s="421">
        <v>0</v>
      </c>
      <c r="DJ45" s="421">
        <v>0</v>
      </c>
      <c r="DK45" s="421">
        <v>0</v>
      </c>
      <c r="DL45" s="421">
        <v>0</v>
      </c>
      <c r="DM45" s="421">
        <v>0</v>
      </c>
      <c r="DN45" s="421">
        <v>0</v>
      </c>
      <c r="DO45" s="421">
        <v>0</v>
      </c>
      <c r="DP45" s="421">
        <v>0</v>
      </c>
      <c r="DQ45" s="421">
        <v>0</v>
      </c>
      <c r="DR45" s="421">
        <v>0</v>
      </c>
      <c r="DS45" s="421">
        <v>0</v>
      </c>
      <c r="DT45" s="421">
        <v>0</v>
      </c>
      <c r="DU45" s="421">
        <v>0</v>
      </c>
      <c r="DV45" s="421">
        <v>0</v>
      </c>
      <c r="DW45" s="421">
        <v>0</v>
      </c>
      <c r="DX45" s="421">
        <v>0</v>
      </c>
      <c r="DY45" s="421">
        <v>6307000</v>
      </c>
      <c r="DZ45" s="421">
        <v>6307000</v>
      </c>
      <c r="EA45" s="421">
        <v>0</v>
      </c>
      <c r="EB45" s="421">
        <v>0</v>
      </c>
      <c r="EC45" s="421" t="s">
        <v>1148</v>
      </c>
      <c r="ED45" s="421" t="s">
        <v>1149</v>
      </c>
      <c r="EE45" s="421" t="s">
        <v>1149</v>
      </c>
    </row>
    <row r="46" spans="1:135" x14ac:dyDescent="0.25">
      <c r="A46" s="421">
        <v>43</v>
      </c>
      <c r="B46" s="421">
        <v>2015</v>
      </c>
      <c r="C46" s="421">
        <v>3</v>
      </c>
      <c r="D46" s="421">
        <v>13</v>
      </c>
      <c r="E46" s="424">
        <v>42076</v>
      </c>
      <c r="F46" s="421" t="s">
        <v>1577</v>
      </c>
      <c r="G46" s="421" t="s">
        <v>1578</v>
      </c>
      <c r="H46" s="421" t="s">
        <v>1152</v>
      </c>
      <c r="I46" s="421" t="s">
        <v>1107</v>
      </c>
      <c r="J46" s="421" t="s">
        <v>1108</v>
      </c>
      <c r="K46" s="421" t="s">
        <v>1109</v>
      </c>
      <c r="L46" s="421" t="s">
        <v>1110</v>
      </c>
      <c r="O46" s="421" t="s">
        <v>1111</v>
      </c>
      <c r="R46" s="421" t="s">
        <v>1111</v>
      </c>
      <c r="S46" s="421" t="s">
        <v>1112</v>
      </c>
      <c r="T46" s="421" t="s">
        <v>1113</v>
      </c>
      <c r="U46" s="421" t="s">
        <v>1114</v>
      </c>
      <c r="V46" s="421" t="s">
        <v>1115</v>
      </c>
      <c r="W46" s="421" t="s">
        <v>1116</v>
      </c>
      <c r="X46" s="421" t="s">
        <v>1117</v>
      </c>
      <c r="Y46" s="421" t="s">
        <v>1118</v>
      </c>
      <c r="Z46" s="421" t="s">
        <v>1119</v>
      </c>
      <c r="AA46" s="421" t="s">
        <v>1120</v>
      </c>
      <c r="AB46" s="421" t="s">
        <v>1121</v>
      </c>
      <c r="AC46" s="421" t="s">
        <v>1122</v>
      </c>
      <c r="AD46" s="421" t="s">
        <v>1479</v>
      </c>
      <c r="AE46" s="421" t="s">
        <v>1124</v>
      </c>
      <c r="AF46" s="421" t="s">
        <v>1125</v>
      </c>
      <c r="AG46" s="421" t="s">
        <v>1579</v>
      </c>
      <c r="AH46" s="421">
        <v>6804</v>
      </c>
      <c r="AI46" s="421" t="s">
        <v>1127</v>
      </c>
      <c r="AJ46" s="421">
        <v>378</v>
      </c>
      <c r="AK46" s="421">
        <v>1</v>
      </c>
      <c r="AL46" s="421" t="s">
        <v>1128</v>
      </c>
      <c r="AM46" s="421">
        <v>6804</v>
      </c>
      <c r="AN46" s="421">
        <v>6917.4</v>
      </c>
      <c r="AO46" s="421" t="s">
        <v>1120</v>
      </c>
      <c r="AP46" s="421" t="s">
        <v>1129</v>
      </c>
      <c r="AR46" s="421" t="s">
        <v>1130</v>
      </c>
      <c r="AT46" s="421" t="s">
        <v>1131</v>
      </c>
      <c r="AU46" s="421" t="s">
        <v>1132</v>
      </c>
      <c r="AV46" s="421" t="s">
        <v>1133</v>
      </c>
      <c r="AW46" s="421" t="s">
        <v>1134</v>
      </c>
      <c r="AX46" s="421" t="s">
        <v>1134</v>
      </c>
      <c r="AY46" s="421" t="s">
        <v>1134</v>
      </c>
      <c r="AZ46" s="421" t="s">
        <v>1121</v>
      </c>
      <c r="BA46" s="421" t="s">
        <v>1135</v>
      </c>
      <c r="BB46" s="421" t="s">
        <v>1134</v>
      </c>
      <c r="BC46" s="421" t="s">
        <v>1136</v>
      </c>
      <c r="BD46" s="421" t="s">
        <v>1137</v>
      </c>
      <c r="BE46" s="421" t="s">
        <v>1138</v>
      </c>
      <c r="BF46" s="421" t="s">
        <v>1580</v>
      </c>
      <c r="BG46" s="421" t="s">
        <v>1581</v>
      </c>
      <c r="BH46" s="421" t="s">
        <v>1582</v>
      </c>
      <c r="BI46" s="421" t="s">
        <v>1142</v>
      </c>
      <c r="BJ46" s="421" t="s">
        <v>1143</v>
      </c>
      <c r="BK46" s="421" t="s">
        <v>1578</v>
      </c>
      <c r="BL46" s="421" t="s">
        <v>1583</v>
      </c>
      <c r="BM46" s="421" t="s">
        <v>1584</v>
      </c>
      <c r="BN46" s="421" t="s">
        <v>1507</v>
      </c>
      <c r="BO46" s="421">
        <v>0</v>
      </c>
      <c r="BR46" s="421">
        <v>0</v>
      </c>
      <c r="BS46" s="421">
        <v>0</v>
      </c>
      <c r="BT46" s="421">
        <v>0</v>
      </c>
      <c r="BU46" s="424">
        <v>42073</v>
      </c>
      <c r="BX46" s="421">
        <v>2543.4699999999998</v>
      </c>
      <c r="BY46" s="421" t="s">
        <v>1147</v>
      </c>
      <c r="BZ46" s="421">
        <v>13456.27</v>
      </c>
      <c r="CA46" s="421">
        <v>34225619.056900002</v>
      </c>
      <c r="CB46" s="421">
        <v>5.38</v>
      </c>
      <c r="CC46" s="421">
        <v>0</v>
      </c>
      <c r="CD46" s="421">
        <v>1335</v>
      </c>
      <c r="CE46" s="421">
        <v>1340.38</v>
      </c>
      <c r="CF46" s="421">
        <v>0</v>
      </c>
      <c r="CG46" s="421">
        <v>14796.65</v>
      </c>
      <c r="CH46" s="421">
        <v>0</v>
      </c>
      <c r="CI46" s="421">
        <v>14796.65</v>
      </c>
      <c r="CJ46" s="421">
        <v>37634835.375500001</v>
      </c>
      <c r="CK46" s="421">
        <v>0</v>
      </c>
      <c r="CL46" s="421">
        <v>37634835</v>
      </c>
      <c r="CM46" s="421">
        <v>0</v>
      </c>
      <c r="CN46" s="421">
        <v>0</v>
      </c>
      <c r="CO46" s="421">
        <v>0</v>
      </c>
      <c r="CP46" s="421">
        <v>0</v>
      </c>
      <c r="CQ46" s="421">
        <v>16</v>
      </c>
      <c r="CR46" s="421">
        <v>37634835</v>
      </c>
      <c r="CS46" s="421">
        <v>6022000</v>
      </c>
      <c r="CT46" s="421">
        <v>6022000</v>
      </c>
      <c r="CU46" s="421">
        <v>0</v>
      </c>
      <c r="CV46" s="421">
        <v>0</v>
      </c>
      <c r="CW46" s="421">
        <v>0</v>
      </c>
      <c r="CX46" s="421">
        <v>0</v>
      </c>
      <c r="CY46" s="421">
        <v>0</v>
      </c>
      <c r="CZ46" s="421">
        <v>0</v>
      </c>
      <c r="DA46" s="421">
        <v>0</v>
      </c>
      <c r="DB46" s="421">
        <v>0</v>
      </c>
      <c r="DC46" s="421">
        <v>0</v>
      </c>
      <c r="DD46" s="421">
        <v>0</v>
      </c>
      <c r="DE46" s="421">
        <v>0</v>
      </c>
      <c r="DF46" s="421">
        <v>0</v>
      </c>
      <c r="DG46" s="421">
        <v>0</v>
      </c>
      <c r="DH46" s="421">
        <v>0</v>
      </c>
      <c r="DI46" s="421">
        <v>0</v>
      </c>
      <c r="DJ46" s="421">
        <v>0</v>
      </c>
      <c r="DK46" s="421">
        <v>0</v>
      </c>
      <c r="DL46" s="421">
        <v>0</v>
      </c>
      <c r="DM46" s="421">
        <v>0</v>
      </c>
      <c r="DN46" s="421">
        <v>0</v>
      </c>
      <c r="DO46" s="421">
        <v>0</v>
      </c>
      <c r="DP46" s="421">
        <v>0</v>
      </c>
      <c r="DQ46" s="421">
        <v>0</v>
      </c>
      <c r="DR46" s="421">
        <v>0</v>
      </c>
      <c r="DS46" s="421">
        <v>0</v>
      </c>
      <c r="DT46" s="421">
        <v>0</v>
      </c>
      <c r="DU46" s="421">
        <v>0</v>
      </c>
      <c r="DV46" s="421">
        <v>0</v>
      </c>
      <c r="DW46" s="421">
        <v>0</v>
      </c>
      <c r="DX46" s="421">
        <v>0</v>
      </c>
      <c r="DY46" s="421">
        <v>6022000</v>
      </c>
      <c r="DZ46" s="421">
        <v>6022000</v>
      </c>
      <c r="EA46" s="421">
        <v>0</v>
      </c>
      <c r="EB46" s="421">
        <v>0</v>
      </c>
      <c r="EC46" s="421" t="s">
        <v>1148</v>
      </c>
      <c r="ED46" s="421" t="s">
        <v>1149</v>
      </c>
      <c r="EE46" s="421" t="s">
        <v>1149</v>
      </c>
    </row>
    <row r="47" spans="1:135" x14ac:dyDescent="0.25">
      <c r="A47" s="421">
        <v>44</v>
      </c>
      <c r="B47" s="421">
        <v>2015</v>
      </c>
      <c r="C47" s="421">
        <v>3</v>
      </c>
      <c r="D47" s="421">
        <v>13</v>
      </c>
      <c r="E47" s="424">
        <v>42076</v>
      </c>
      <c r="F47" s="421" t="s">
        <v>1585</v>
      </c>
      <c r="G47" s="421" t="s">
        <v>1586</v>
      </c>
      <c r="H47" s="421" t="s">
        <v>1152</v>
      </c>
      <c r="I47" s="421" t="s">
        <v>1107</v>
      </c>
      <c r="J47" s="421" t="s">
        <v>1108</v>
      </c>
      <c r="K47" s="421" t="s">
        <v>1109</v>
      </c>
      <c r="L47" s="421" t="s">
        <v>1110</v>
      </c>
      <c r="O47" s="421" t="s">
        <v>1111</v>
      </c>
      <c r="R47" s="421" t="s">
        <v>1111</v>
      </c>
      <c r="S47" s="421" t="s">
        <v>1112</v>
      </c>
      <c r="T47" s="421" t="s">
        <v>1113</v>
      </c>
      <c r="U47" s="421" t="s">
        <v>1114</v>
      </c>
      <c r="V47" s="421" t="s">
        <v>1115</v>
      </c>
      <c r="W47" s="421" t="s">
        <v>1116</v>
      </c>
      <c r="X47" s="421" t="s">
        <v>1117</v>
      </c>
      <c r="Y47" s="421" t="s">
        <v>1118</v>
      </c>
      <c r="Z47" s="421" t="s">
        <v>1119</v>
      </c>
      <c r="AA47" s="421" t="s">
        <v>1120</v>
      </c>
      <c r="AB47" s="421" t="s">
        <v>1121</v>
      </c>
      <c r="AC47" s="421" t="s">
        <v>1122</v>
      </c>
      <c r="AD47" s="421" t="s">
        <v>1479</v>
      </c>
      <c r="AE47" s="421" t="s">
        <v>1233</v>
      </c>
      <c r="AF47" s="421" t="s">
        <v>1234</v>
      </c>
      <c r="AG47" s="421" t="s">
        <v>1587</v>
      </c>
      <c r="AH47" s="421">
        <v>157500</v>
      </c>
      <c r="AI47" s="421" t="s">
        <v>1189</v>
      </c>
      <c r="AJ47" s="421">
        <v>525</v>
      </c>
      <c r="AK47" s="421">
        <v>1</v>
      </c>
      <c r="AL47" s="421" t="s">
        <v>1173</v>
      </c>
      <c r="AM47" s="421">
        <v>6544.8</v>
      </c>
      <c r="AN47" s="421">
        <v>7069.8</v>
      </c>
      <c r="AO47" s="421" t="s">
        <v>1120</v>
      </c>
      <c r="AP47" s="421" t="s">
        <v>1129</v>
      </c>
      <c r="AR47" s="421" t="s">
        <v>1130</v>
      </c>
      <c r="AT47" s="421" t="s">
        <v>1131</v>
      </c>
      <c r="AU47" s="421" t="s">
        <v>1132</v>
      </c>
      <c r="AV47" s="421" t="s">
        <v>1133</v>
      </c>
      <c r="AW47" s="421" t="s">
        <v>960</v>
      </c>
      <c r="AX47" s="421" t="s">
        <v>960</v>
      </c>
      <c r="AY47" s="421" t="s">
        <v>960</v>
      </c>
      <c r="AZ47" s="421" t="s">
        <v>1121</v>
      </c>
      <c r="BA47" s="421" t="s">
        <v>1588</v>
      </c>
      <c r="BB47" s="421" t="s">
        <v>960</v>
      </c>
      <c r="BC47" s="421" t="s">
        <v>1175</v>
      </c>
      <c r="BD47" s="421" t="s">
        <v>1589</v>
      </c>
      <c r="BE47" s="421" t="s">
        <v>1590</v>
      </c>
      <c r="BF47" s="421" t="s">
        <v>1591</v>
      </c>
      <c r="BG47" s="421" t="s">
        <v>1592</v>
      </c>
      <c r="BH47" s="421" t="s">
        <v>1593</v>
      </c>
      <c r="BI47" s="421" t="s">
        <v>1142</v>
      </c>
      <c r="BJ47" s="421" t="s">
        <v>1180</v>
      </c>
      <c r="BK47" s="421" t="s">
        <v>1586</v>
      </c>
      <c r="BL47" s="421" t="s">
        <v>1583</v>
      </c>
      <c r="BM47" s="421" t="s">
        <v>1594</v>
      </c>
      <c r="BN47" s="421" t="s">
        <v>1339</v>
      </c>
      <c r="BO47" s="421">
        <v>0</v>
      </c>
      <c r="BR47" s="421">
        <v>0</v>
      </c>
      <c r="BS47" s="421">
        <v>0</v>
      </c>
      <c r="BT47" s="421">
        <v>0</v>
      </c>
      <c r="BU47" s="424">
        <v>42035</v>
      </c>
      <c r="BX47" s="421">
        <v>2543.4699999999998</v>
      </c>
      <c r="BY47" s="421" t="s">
        <v>1183</v>
      </c>
      <c r="BZ47" s="421">
        <v>22895.1</v>
      </c>
      <c r="CA47" s="421">
        <v>58232999.997000001</v>
      </c>
      <c r="CB47" s="421">
        <v>9.16</v>
      </c>
      <c r="CC47" s="421">
        <v>0</v>
      </c>
      <c r="CD47" s="421">
        <v>3621.24</v>
      </c>
      <c r="CE47" s="421">
        <v>3630.4</v>
      </c>
      <c r="CF47" s="421">
        <v>0</v>
      </c>
      <c r="CG47" s="421">
        <v>26525.5</v>
      </c>
      <c r="CH47" s="421">
        <v>0</v>
      </c>
      <c r="CI47" s="421">
        <v>26525.5</v>
      </c>
      <c r="CJ47" s="421">
        <v>67466813.484999999</v>
      </c>
      <c r="CK47" s="421">
        <v>15</v>
      </c>
      <c r="CL47" s="421">
        <v>67466813</v>
      </c>
      <c r="CM47" s="421">
        <v>10120000</v>
      </c>
      <c r="CN47" s="421">
        <v>10120000</v>
      </c>
      <c r="CO47" s="421">
        <v>0</v>
      </c>
      <c r="CP47" s="421">
        <v>0</v>
      </c>
      <c r="CQ47" s="421">
        <v>16</v>
      </c>
      <c r="CR47" s="421">
        <v>77586813</v>
      </c>
      <c r="CS47" s="421">
        <v>12414000</v>
      </c>
      <c r="CT47" s="421">
        <v>12414000</v>
      </c>
      <c r="CU47" s="421">
        <v>0</v>
      </c>
      <c r="CV47" s="421">
        <v>0</v>
      </c>
      <c r="CW47" s="421">
        <v>0</v>
      </c>
      <c r="CX47" s="421">
        <v>0</v>
      </c>
      <c r="CY47" s="421">
        <v>0</v>
      </c>
      <c r="CZ47" s="421">
        <v>0</v>
      </c>
      <c r="DA47" s="421">
        <v>0</v>
      </c>
      <c r="DB47" s="421">
        <v>0</v>
      </c>
      <c r="DC47" s="421">
        <v>0</v>
      </c>
      <c r="DD47" s="421">
        <v>0</v>
      </c>
      <c r="DE47" s="421">
        <v>0</v>
      </c>
      <c r="DF47" s="421">
        <v>0</v>
      </c>
      <c r="DG47" s="421">
        <v>0</v>
      </c>
      <c r="DH47" s="421">
        <v>0</v>
      </c>
      <c r="DI47" s="421">
        <v>0</v>
      </c>
      <c r="DJ47" s="421">
        <v>0</v>
      </c>
      <c r="DK47" s="421">
        <v>0</v>
      </c>
      <c r="DL47" s="421">
        <v>0</v>
      </c>
      <c r="DM47" s="421">
        <v>0</v>
      </c>
      <c r="DN47" s="421">
        <v>0</v>
      </c>
      <c r="DO47" s="421">
        <v>0</v>
      </c>
      <c r="DP47" s="421">
        <v>0</v>
      </c>
      <c r="DQ47" s="421">
        <v>0</v>
      </c>
      <c r="DR47" s="421">
        <v>0</v>
      </c>
      <c r="DS47" s="421">
        <v>0</v>
      </c>
      <c r="DT47" s="421">
        <v>0</v>
      </c>
      <c r="DU47" s="421">
        <v>0</v>
      </c>
      <c r="DV47" s="421">
        <v>0</v>
      </c>
      <c r="DW47" s="421">
        <v>0</v>
      </c>
      <c r="DX47" s="421">
        <v>0</v>
      </c>
      <c r="DY47" s="421">
        <v>22534000</v>
      </c>
      <c r="DZ47" s="421">
        <v>22534000</v>
      </c>
      <c r="EA47" s="421">
        <v>0</v>
      </c>
      <c r="EB47" s="421">
        <v>0</v>
      </c>
      <c r="EC47" s="421" t="s">
        <v>1148</v>
      </c>
      <c r="ED47" s="421" t="s">
        <v>1167</v>
      </c>
      <c r="EE47" s="421" t="s">
        <v>1167</v>
      </c>
    </row>
    <row r="48" spans="1:135" x14ac:dyDescent="0.25">
      <c r="A48" s="421">
        <v>45</v>
      </c>
      <c r="B48" s="421">
        <v>2015</v>
      </c>
      <c r="C48" s="421">
        <v>3</v>
      </c>
      <c r="D48" s="421">
        <v>16</v>
      </c>
      <c r="E48" s="424">
        <v>42079</v>
      </c>
      <c r="F48" s="421" t="s">
        <v>1595</v>
      </c>
      <c r="G48" s="421" t="s">
        <v>1596</v>
      </c>
      <c r="H48" s="421" t="s">
        <v>1152</v>
      </c>
      <c r="I48" s="421" t="s">
        <v>1281</v>
      </c>
      <c r="J48" s="421" t="s">
        <v>1108</v>
      </c>
      <c r="K48" s="421" t="s">
        <v>1202</v>
      </c>
      <c r="L48" s="421" t="s">
        <v>1110</v>
      </c>
      <c r="O48" s="421" t="s">
        <v>1111</v>
      </c>
      <c r="R48" s="421" t="s">
        <v>1111</v>
      </c>
      <c r="S48" s="421" t="s">
        <v>1112</v>
      </c>
      <c r="T48" s="421" t="s">
        <v>1113</v>
      </c>
      <c r="U48" s="421" t="s">
        <v>1114</v>
      </c>
      <c r="V48" s="421" t="s">
        <v>1115</v>
      </c>
      <c r="W48" s="421" t="s">
        <v>1116</v>
      </c>
      <c r="X48" s="421" t="s">
        <v>1117</v>
      </c>
      <c r="Y48" s="421" t="s">
        <v>1118</v>
      </c>
      <c r="Z48" s="421" t="s">
        <v>1119</v>
      </c>
      <c r="AA48" s="421" t="s">
        <v>1120</v>
      </c>
      <c r="AB48" s="421" t="s">
        <v>1121</v>
      </c>
      <c r="AC48" s="421" t="s">
        <v>1122</v>
      </c>
      <c r="AD48" s="421" t="s">
        <v>1479</v>
      </c>
      <c r="AE48" s="421" t="s">
        <v>1203</v>
      </c>
      <c r="AF48" s="421" t="s">
        <v>1204</v>
      </c>
      <c r="AG48" s="421" t="s">
        <v>1597</v>
      </c>
      <c r="AH48" s="421">
        <v>64500</v>
      </c>
      <c r="AI48" s="421" t="s">
        <v>1127</v>
      </c>
      <c r="AJ48" s="421">
        <v>3</v>
      </c>
      <c r="AK48" s="421">
        <v>1</v>
      </c>
      <c r="AL48" s="421" t="s">
        <v>1283</v>
      </c>
      <c r="AM48" s="421">
        <v>64500</v>
      </c>
      <c r="AN48" s="421">
        <v>65228</v>
      </c>
      <c r="AO48" s="421" t="s">
        <v>1120</v>
      </c>
      <c r="AP48" s="421" t="s">
        <v>1129</v>
      </c>
      <c r="AR48" s="421" t="s">
        <v>1130</v>
      </c>
      <c r="AT48" s="421" t="s">
        <v>1131</v>
      </c>
      <c r="AU48" s="421" t="s">
        <v>1190</v>
      </c>
      <c r="AV48" s="421" t="s">
        <v>1191</v>
      </c>
      <c r="AW48" s="421" t="s">
        <v>1207</v>
      </c>
      <c r="AX48" s="421" t="s">
        <v>1207</v>
      </c>
      <c r="AY48" s="421" t="s">
        <v>1208</v>
      </c>
      <c r="AZ48" s="421" t="s">
        <v>1121</v>
      </c>
      <c r="BA48" s="421" t="s">
        <v>1209</v>
      </c>
      <c r="BB48" s="421" t="s">
        <v>1208</v>
      </c>
      <c r="BC48" s="421" t="s">
        <v>1210</v>
      </c>
      <c r="BD48" s="421" t="s">
        <v>1211</v>
      </c>
      <c r="BE48" s="421" t="s">
        <v>1212</v>
      </c>
      <c r="BI48" s="421" t="s">
        <v>1142</v>
      </c>
      <c r="BJ48" s="421" t="s">
        <v>1342</v>
      </c>
      <c r="BK48" s="421" t="s">
        <v>1596</v>
      </c>
      <c r="BL48" s="421" t="s">
        <v>1598</v>
      </c>
      <c r="BM48" s="421" t="s">
        <v>1599</v>
      </c>
      <c r="BN48" s="421" t="s">
        <v>1536</v>
      </c>
      <c r="BO48" s="421">
        <v>0</v>
      </c>
      <c r="BR48" s="421">
        <v>0</v>
      </c>
      <c r="BS48" s="421">
        <v>0</v>
      </c>
      <c r="BT48" s="421">
        <v>0</v>
      </c>
      <c r="BU48" s="424">
        <v>38718</v>
      </c>
      <c r="BX48" s="421">
        <v>2610.08</v>
      </c>
      <c r="BY48" s="421" t="s">
        <v>1147</v>
      </c>
      <c r="BZ48" s="421">
        <v>135450</v>
      </c>
      <c r="CA48" s="421">
        <v>353535336</v>
      </c>
      <c r="CB48" s="421">
        <v>54.18</v>
      </c>
      <c r="CC48" s="421">
        <v>0</v>
      </c>
      <c r="CD48" s="421">
        <v>3141</v>
      </c>
      <c r="CE48" s="421">
        <v>3195.18</v>
      </c>
      <c r="CF48" s="421">
        <v>0</v>
      </c>
      <c r="CG48" s="421">
        <v>138645.18</v>
      </c>
      <c r="CH48" s="421">
        <v>0</v>
      </c>
      <c r="CI48" s="421">
        <v>138645.18</v>
      </c>
      <c r="CJ48" s="421">
        <v>361875011.41439998</v>
      </c>
      <c r="CK48" s="421">
        <v>0</v>
      </c>
      <c r="CL48" s="421">
        <v>361875011</v>
      </c>
      <c r="CM48" s="421">
        <v>0</v>
      </c>
      <c r="CN48" s="421">
        <v>0</v>
      </c>
      <c r="CO48" s="421">
        <v>0</v>
      </c>
      <c r="CP48" s="421">
        <v>0</v>
      </c>
      <c r="CQ48" s="421">
        <v>0</v>
      </c>
      <c r="CR48" s="421">
        <v>361875011</v>
      </c>
      <c r="CS48" s="421">
        <v>0</v>
      </c>
      <c r="CT48" s="421">
        <v>0</v>
      </c>
      <c r="CU48" s="421">
        <v>0</v>
      </c>
      <c r="CV48" s="421">
        <v>0</v>
      </c>
      <c r="CW48" s="421">
        <v>0</v>
      </c>
      <c r="CX48" s="421">
        <v>0</v>
      </c>
      <c r="CY48" s="421">
        <v>0</v>
      </c>
      <c r="CZ48" s="421">
        <v>0</v>
      </c>
      <c r="DA48" s="421">
        <v>0</v>
      </c>
      <c r="DB48" s="421">
        <v>0</v>
      </c>
      <c r="DC48" s="421">
        <v>0</v>
      </c>
      <c r="DD48" s="421">
        <v>0</v>
      </c>
      <c r="DE48" s="421">
        <v>0</v>
      </c>
      <c r="DF48" s="421">
        <v>0</v>
      </c>
      <c r="DG48" s="421">
        <v>0</v>
      </c>
      <c r="DH48" s="421">
        <v>0</v>
      </c>
      <c r="DI48" s="421">
        <v>0</v>
      </c>
      <c r="DJ48" s="421">
        <v>0</v>
      </c>
      <c r="DK48" s="421">
        <v>0</v>
      </c>
      <c r="DL48" s="421">
        <v>0</v>
      </c>
      <c r="DM48" s="421">
        <v>0</v>
      </c>
      <c r="DN48" s="421">
        <v>0</v>
      </c>
      <c r="DO48" s="421">
        <v>0</v>
      </c>
      <c r="DP48" s="421">
        <v>0</v>
      </c>
      <c r="DQ48" s="421">
        <v>0</v>
      </c>
      <c r="DR48" s="421">
        <v>0</v>
      </c>
      <c r="DS48" s="421">
        <v>0</v>
      </c>
      <c r="DT48" s="421">
        <v>0</v>
      </c>
      <c r="DU48" s="421">
        <v>0</v>
      </c>
      <c r="DV48" s="421">
        <v>0</v>
      </c>
      <c r="DW48" s="421">
        <v>0</v>
      </c>
      <c r="DX48" s="421">
        <v>0</v>
      </c>
      <c r="DY48" s="421">
        <v>0</v>
      </c>
      <c r="DZ48" s="421">
        <v>0</v>
      </c>
      <c r="EA48" s="421">
        <v>0</v>
      </c>
      <c r="EB48" s="421">
        <v>0</v>
      </c>
      <c r="EC48" s="421" t="s">
        <v>1148</v>
      </c>
      <c r="ED48" s="421" t="s">
        <v>1149</v>
      </c>
      <c r="EE48" s="421" t="s">
        <v>1149</v>
      </c>
    </row>
    <row r="49" spans="1:135" x14ac:dyDescent="0.25">
      <c r="A49" s="421">
        <v>46</v>
      </c>
      <c r="B49" s="421">
        <v>2015</v>
      </c>
      <c r="C49" s="421">
        <v>3</v>
      </c>
      <c r="D49" s="421">
        <v>17</v>
      </c>
      <c r="E49" s="424">
        <v>42080</v>
      </c>
      <c r="F49" s="421" t="s">
        <v>1600</v>
      </c>
      <c r="G49" s="421" t="s">
        <v>1601</v>
      </c>
      <c r="H49" s="421" t="s">
        <v>1106</v>
      </c>
      <c r="I49" s="421" t="s">
        <v>1107</v>
      </c>
      <c r="J49" s="421" t="s">
        <v>1108</v>
      </c>
      <c r="K49" s="421" t="s">
        <v>1109</v>
      </c>
      <c r="L49" s="421" t="s">
        <v>1110</v>
      </c>
      <c r="O49" s="421" t="s">
        <v>1111</v>
      </c>
      <c r="R49" s="421" t="s">
        <v>1111</v>
      </c>
      <c r="S49" s="421" t="s">
        <v>1112</v>
      </c>
      <c r="T49" s="421" t="s">
        <v>1113</v>
      </c>
      <c r="U49" s="421" t="s">
        <v>1114</v>
      </c>
      <c r="V49" s="421" t="s">
        <v>1115</v>
      </c>
      <c r="W49" s="421" t="s">
        <v>1116</v>
      </c>
      <c r="X49" s="421" t="s">
        <v>1117</v>
      </c>
      <c r="Y49" s="421" t="s">
        <v>1118</v>
      </c>
      <c r="Z49" s="421" t="s">
        <v>1119</v>
      </c>
      <c r="AA49" s="421" t="s">
        <v>1120</v>
      </c>
      <c r="AB49" s="421" t="s">
        <v>1121</v>
      </c>
      <c r="AC49" s="421" t="s">
        <v>1122</v>
      </c>
      <c r="AD49" s="421" t="s">
        <v>1479</v>
      </c>
      <c r="AE49" s="421" t="s">
        <v>1471</v>
      </c>
      <c r="AF49" s="421" t="s">
        <v>1472</v>
      </c>
      <c r="AG49" s="421" t="s">
        <v>1602</v>
      </c>
      <c r="AH49" s="421">
        <v>44640</v>
      </c>
      <c r="AI49" s="421" t="s">
        <v>1189</v>
      </c>
      <c r="AJ49" s="421">
        <v>477</v>
      </c>
      <c r="AK49" s="421">
        <v>1</v>
      </c>
      <c r="AL49" s="421" t="s">
        <v>1173</v>
      </c>
      <c r="AM49" s="421">
        <v>5553</v>
      </c>
      <c r="AN49" s="421">
        <v>6170</v>
      </c>
      <c r="AO49" s="421" t="s">
        <v>1120</v>
      </c>
      <c r="AP49" s="421" t="s">
        <v>1603</v>
      </c>
      <c r="AQ49" s="421" t="s">
        <v>1475</v>
      </c>
      <c r="AR49" s="421" t="s">
        <v>1476</v>
      </c>
      <c r="AT49" s="421" t="s">
        <v>1131</v>
      </c>
      <c r="AU49" s="421" t="s">
        <v>1303</v>
      </c>
      <c r="AV49" s="421" t="s">
        <v>1304</v>
      </c>
      <c r="AW49" s="421" t="s">
        <v>960</v>
      </c>
      <c r="AX49" s="421" t="s">
        <v>960</v>
      </c>
      <c r="AY49" s="421" t="s">
        <v>960</v>
      </c>
      <c r="AZ49" s="421" t="s">
        <v>1121</v>
      </c>
      <c r="BA49" s="421" t="s">
        <v>1604</v>
      </c>
      <c r="BB49" s="421" t="s">
        <v>960</v>
      </c>
      <c r="BC49" s="421" t="s">
        <v>1605</v>
      </c>
      <c r="BD49" s="421" t="s">
        <v>1606</v>
      </c>
      <c r="BE49" s="421" t="s">
        <v>1607</v>
      </c>
      <c r="BF49" s="421" t="s">
        <v>1506</v>
      </c>
      <c r="BG49" s="421" t="s">
        <v>1507</v>
      </c>
      <c r="BH49" s="421" t="s">
        <v>1608</v>
      </c>
      <c r="BI49" s="421" t="s">
        <v>1142</v>
      </c>
      <c r="BJ49" s="421" t="s">
        <v>1180</v>
      </c>
      <c r="BK49" s="421" t="s">
        <v>1601</v>
      </c>
      <c r="BL49" s="421" t="s">
        <v>1609</v>
      </c>
      <c r="BM49" s="421" t="s">
        <v>1610</v>
      </c>
      <c r="BN49" s="421" t="s">
        <v>1258</v>
      </c>
      <c r="BO49" s="421">
        <v>0</v>
      </c>
      <c r="BR49" s="421">
        <v>0</v>
      </c>
      <c r="BS49" s="421">
        <v>0</v>
      </c>
      <c r="BT49" s="421">
        <v>0</v>
      </c>
      <c r="BU49" s="424">
        <v>42029</v>
      </c>
      <c r="BX49" s="421">
        <v>2610.08</v>
      </c>
      <c r="BY49" s="421" t="s">
        <v>1183</v>
      </c>
      <c r="BZ49" s="421">
        <v>16494.400000000001</v>
      </c>
      <c r="CA49" s="421">
        <v>43051703.552000001</v>
      </c>
      <c r="CB49" s="421">
        <v>6.6</v>
      </c>
      <c r="CC49" s="421">
        <v>0</v>
      </c>
      <c r="CD49" s="421">
        <v>3412</v>
      </c>
      <c r="CE49" s="421">
        <v>3418.6</v>
      </c>
      <c r="CF49" s="421">
        <v>0</v>
      </c>
      <c r="CG49" s="421">
        <v>19913</v>
      </c>
      <c r="CH49" s="421">
        <v>0</v>
      </c>
      <c r="CI49" s="421">
        <v>19913</v>
      </c>
      <c r="CJ49" s="421">
        <v>51974523.039999999</v>
      </c>
      <c r="CK49" s="421">
        <v>15</v>
      </c>
      <c r="CL49" s="421">
        <v>51974523</v>
      </c>
      <c r="CM49" s="421">
        <v>7796000</v>
      </c>
      <c r="CN49" s="421">
        <v>7796000</v>
      </c>
      <c r="CO49" s="421">
        <v>0</v>
      </c>
      <c r="CP49" s="421">
        <v>0</v>
      </c>
      <c r="CQ49" s="421">
        <v>16</v>
      </c>
      <c r="CR49" s="421">
        <v>59770523</v>
      </c>
      <c r="CS49" s="421">
        <v>9563000</v>
      </c>
      <c r="CT49" s="421">
        <v>9563000</v>
      </c>
      <c r="CU49" s="421">
        <v>0</v>
      </c>
      <c r="CV49" s="421">
        <v>0</v>
      </c>
      <c r="CW49" s="421">
        <v>0</v>
      </c>
      <c r="CX49" s="421">
        <v>0</v>
      </c>
      <c r="CY49" s="421">
        <v>0</v>
      </c>
      <c r="CZ49" s="421">
        <v>0</v>
      </c>
      <c r="DA49" s="421">
        <v>0</v>
      </c>
      <c r="DB49" s="421">
        <v>0</v>
      </c>
      <c r="DC49" s="421">
        <v>0</v>
      </c>
      <c r="DD49" s="421">
        <v>0</v>
      </c>
      <c r="DE49" s="421">
        <v>0</v>
      </c>
      <c r="DF49" s="421">
        <v>0</v>
      </c>
      <c r="DG49" s="421">
        <v>0</v>
      </c>
      <c r="DH49" s="421">
        <v>0</v>
      </c>
      <c r="DI49" s="421">
        <v>0</v>
      </c>
      <c r="DJ49" s="421">
        <v>0</v>
      </c>
      <c r="DK49" s="421">
        <v>0</v>
      </c>
      <c r="DL49" s="421">
        <v>0</v>
      </c>
      <c r="DM49" s="421">
        <v>0</v>
      </c>
      <c r="DN49" s="421">
        <v>0</v>
      </c>
      <c r="DO49" s="421">
        <v>0</v>
      </c>
      <c r="DP49" s="421">
        <v>0</v>
      </c>
      <c r="DQ49" s="421">
        <v>0</v>
      </c>
      <c r="DR49" s="421">
        <v>0</v>
      </c>
      <c r="DS49" s="421">
        <v>0</v>
      </c>
      <c r="DT49" s="421">
        <v>0</v>
      </c>
      <c r="DU49" s="421">
        <v>0</v>
      </c>
      <c r="DV49" s="421">
        <v>0</v>
      </c>
      <c r="DW49" s="421">
        <v>0</v>
      </c>
      <c r="DX49" s="421">
        <v>0</v>
      </c>
      <c r="DY49" s="421">
        <v>17359000</v>
      </c>
      <c r="DZ49" s="421">
        <v>17359000</v>
      </c>
      <c r="EA49" s="421">
        <v>0</v>
      </c>
      <c r="EB49" s="421">
        <v>0</v>
      </c>
      <c r="EC49" s="421" t="s">
        <v>1148</v>
      </c>
      <c r="ED49" s="421" t="s">
        <v>1167</v>
      </c>
      <c r="EE49" s="421" t="s">
        <v>1167</v>
      </c>
    </row>
    <row r="50" spans="1:135" x14ac:dyDescent="0.25">
      <c r="A50" s="421">
        <v>47</v>
      </c>
      <c r="B50" s="421">
        <v>2015</v>
      </c>
      <c r="C50" s="421">
        <v>3</v>
      </c>
      <c r="D50" s="421">
        <v>18</v>
      </c>
      <c r="E50" s="424">
        <v>42081</v>
      </c>
      <c r="F50" s="421" t="s">
        <v>1611</v>
      </c>
      <c r="G50" s="421" t="s">
        <v>1612</v>
      </c>
      <c r="H50" s="421" t="s">
        <v>1152</v>
      </c>
      <c r="I50" s="421" t="s">
        <v>1107</v>
      </c>
      <c r="J50" s="421" t="s">
        <v>1108</v>
      </c>
      <c r="K50" s="421" t="s">
        <v>1202</v>
      </c>
      <c r="L50" s="421" t="s">
        <v>1110</v>
      </c>
      <c r="O50" s="421" t="s">
        <v>1111</v>
      </c>
      <c r="R50" s="421" t="s">
        <v>1111</v>
      </c>
      <c r="S50" s="421" t="s">
        <v>1112</v>
      </c>
      <c r="T50" s="421" t="s">
        <v>1113</v>
      </c>
      <c r="U50" s="421" t="s">
        <v>1114</v>
      </c>
      <c r="V50" s="421" t="s">
        <v>1115</v>
      </c>
      <c r="W50" s="421" t="s">
        <v>1116</v>
      </c>
      <c r="X50" s="421" t="s">
        <v>1117</v>
      </c>
      <c r="Y50" s="421" t="s">
        <v>1118</v>
      </c>
      <c r="Z50" s="421" t="s">
        <v>1119</v>
      </c>
      <c r="AA50" s="421" t="s">
        <v>1120</v>
      </c>
      <c r="AB50" s="421" t="s">
        <v>1121</v>
      </c>
      <c r="AC50" s="421" t="s">
        <v>1122</v>
      </c>
      <c r="AD50" s="421" t="s">
        <v>1479</v>
      </c>
      <c r="AE50" s="421" t="s">
        <v>1203</v>
      </c>
      <c r="AF50" s="421" t="s">
        <v>1204</v>
      </c>
      <c r="AG50" s="421" t="s">
        <v>1613</v>
      </c>
      <c r="AH50" s="421">
        <v>43000</v>
      </c>
      <c r="AI50" s="421" t="s">
        <v>1127</v>
      </c>
      <c r="AJ50" s="421">
        <v>2</v>
      </c>
      <c r="AK50" s="421">
        <v>1</v>
      </c>
      <c r="AL50" s="421" t="s">
        <v>1283</v>
      </c>
      <c r="AM50" s="421">
        <v>43000</v>
      </c>
      <c r="AN50" s="421">
        <v>43485</v>
      </c>
      <c r="AO50" s="421" t="s">
        <v>1120</v>
      </c>
      <c r="AP50" s="421" t="s">
        <v>1129</v>
      </c>
      <c r="AR50" s="421" t="s">
        <v>1130</v>
      </c>
      <c r="AT50" s="421" t="s">
        <v>1131</v>
      </c>
      <c r="AU50" s="421" t="s">
        <v>1319</v>
      </c>
      <c r="AV50" s="421" t="s">
        <v>1320</v>
      </c>
      <c r="AW50" s="421" t="s">
        <v>1207</v>
      </c>
      <c r="AX50" s="421" t="s">
        <v>1207</v>
      </c>
      <c r="AY50" s="421" t="s">
        <v>1208</v>
      </c>
      <c r="AZ50" s="421" t="s">
        <v>1121</v>
      </c>
      <c r="BA50" s="421" t="s">
        <v>1209</v>
      </c>
      <c r="BB50" s="421" t="s">
        <v>1208</v>
      </c>
      <c r="BC50" s="421" t="s">
        <v>1210</v>
      </c>
      <c r="BD50" s="421" t="s">
        <v>1211</v>
      </c>
      <c r="BE50" s="421" t="s">
        <v>1212</v>
      </c>
      <c r="BF50" s="421" t="s">
        <v>1614</v>
      </c>
      <c r="BG50" s="421" t="s">
        <v>1598</v>
      </c>
      <c r="BH50" s="421" t="s">
        <v>1615</v>
      </c>
      <c r="BI50" s="421" t="s">
        <v>1142</v>
      </c>
      <c r="BJ50" s="421" t="s">
        <v>1163</v>
      </c>
      <c r="BK50" s="421" t="s">
        <v>1612</v>
      </c>
      <c r="BL50" s="421" t="s">
        <v>1616</v>
      </c>
      <c r="BM50" s="421" t="s">
        <v>1617</v>
      </c>
      <c r="BN50" s="421" t="s">
        <v>1497</v>
      </c>
      <c r="BO50" s="421">
        <v>0</v>
      </c>
      <c r="BR50" s="421">
        <v>0</v>
      </c>
      <c r="BS50" s="421">
        <v>0</v>
      </c>
      <c r="BT50" s="421">
        <v>0</v>
      </c>
      <c r="BU50" s="424">
        <v>42064</v>
      </c>
      <c r="BX50" s="421">
        <v>2610.08</v>
      </c>
      <c r="BY50" s="421" t="s">
        <v>1147</v>
      </c>
      <c r="BZ50" s="421">
        <v>90300</v>
      </c>
      <c r="CA50" s="421">
        <v>235690224</v>
      </c>
      <c r="CB50" s="421">
        <v>36.119999999999997</v>
      </c>
      <c r="CC50" s="421">
        <v>0</v>
      </c>
      <c r="CD50" s="421">
        <v>2094</v>
      </c>
      <c r="CE50" s="421">
        <v>2130.12</v>
      </c>
      <c r="CF50" s="421">
        <v>0</v>
      </c>
      <c r="CG50" s="421">
        <v>92430.12</v>
      </c>
      <c r="CH50" s="421">
        <v>0</v>
      </c>
      <c r="CI50" s="421">
        <v>92430.12</v>
      </c>
      <c r="CJ50" s="421">
        <v>241250007.60960001</v>
      </c>
      <c r="CK50" s="421">
        <v>0</v>
      </c>
      <c r="CL50" s="421">
        <v>241250008</v>
      </c>
      <c r="CM50" s="421">
        <v>0</v>
      </c>
      <c r="CN50" s="421">
        <v>0</v>
      </c>
      <c r="CO50" s="421">
        <v>0</v>
      </c>
      <c r="CP50" s="421">
        <v>0</v>
      </c>
      <c r="CQ50" s="421">
        <v>0</v>
      </c>
      <c r="CR50" s="421">
        <v>241250008</v>
      </c>
      <c r="CS50" s="421">
        <v>0</v>
      </c>
      <c r="CT50" s="421">
        <v>0</v>
      </c>
      <c r="CU50" s="421">
        <v>0</v>
      </c>
      <c r="CV50" s="421">
        <v>0</v>
      </c>
      <c r="CW50" s="421">
        <v>0</v>
      </c>
      <c r="CX50" s="421">
        <v>0</v>
      </c>
      <c r="CY50" s="421">
        <v>0</v>
      </c>
      <c r="CZ50" s="421">
        <v>0</v>
      </c>
      <c r="DA50" s="421">
        <v>0</v>
      </c>
      <c r="DB50" s="421">
        <v>0</v>
      </c>
      <c r="DC50" s="421">
        <v>0</v>
      </c>
      <c r="DD50" s="421">
        <v>0</v>
      </c>
      <c r="DE50" s="421">
        <v>0</v>
      </c>
      <c r="DF50" s="421">
        <v>0</v>
      </c>
      <c r="DG50" s="421">
        <v>0</v>
      </c>
      <c r="DH50" s="421">
        <v>0</v>
      </c>
      <c r="DI50" s="421">
        <v>0</v>
      </c>
      <c r="DJ50" s="421">
        <v>0</v>
      </c>
      <c r="DK50" s="421">
        <v>0</v>
      </c>
      <c r="DL50" s="421">
        <v>0</v>
      </c>
      <c r="DM50" s="421">
        <v>0</v>
      </c>
      <c r="DN50" s="421">
        <v>0</v>
      </c>
      <c r="DO50" s="421">
        <v>0</v>
      </c>
      <c r="DP50" s="421">
        <v>0</v>
      </c>
      <c r="DQ50" s="421">
        <v>0</v>
      </c>
      <c r="DR50" s="421">
        <v>0</v>
      </c>
      <c r="DS50" s="421">
        <v>0</v>
      </c>
      <c r="DT50" s="421">
        <v>0</v>
      </c>
      <c r="DU50" s="421">
        <v>0</v>
      </c>
      <c r="DV50" s="421">
        <v>0</v>
      </c>
      <c r="DW50" s="421">
        <v>0</v>
      </c>
      <c r="DX50" s="421">
        <v>0</v>
      </c>
      <c r="DY50" s="421">
        <v>0</v>
      </c>
      <c r="DZ50" s="421">
        <v>0</v>
      </c>
      <c r="EA50" s="421">
        <v>0</v>
      </c>
      <c r="EB50" s="421">
        <v>0</v>
      </c>
      <c r="EC50" s="421" t="s">
        <v>1148</v>
      </c>
      <c r="ED50" s="421" t="s">
        <v>1149</v>
      </c>
      <c r="EE50" s="421" t="s">
        <v>1149</v>
      </c>
    </row>
    <row r="51" spans="1:135" x14ac:dyDescent="0.25">
      <c r="A51" s="421">
        <v>48</v>
      </c>
      <c r="B51" s="421">
        <v>2015</v>
      </c>
      <c r="C51" s="421">
        <v>3</v>
      </c>
      <c r="D51" s="421">
        <v>18</v>
      </c>
      <c r="E51" s="424">
        <v>42081</v>
      </c>
      <c r="F51" s="421" t="s">
        <v>1618</v>
      </c>
      <c r="G51" s="421" t="s">
        <v>1619</v>
      </c>
      <c r="H51" s="421" t="s">
        <v>1152</v>
      </c>
      <c r="I51" s="421" t="s">
        <v>1107</v>
      </c>
      <c r="J51" s="421" t="s">
        <v>1108</v>
      </c>
      <c r="K51" s="421" t="s">
        <v>1109</v>
      </c>
      <c r="L51" s="421" t="s">
        <v>1110</v>
      </c>
      <c r="O51" s="421" t="s">
        <v>1111</v>
      </c>
      <c r="R51" s="421" t="s">
        <v>1111</v>
      </c>
      <c r="S51" s="421" t="s">
        <v>1112</v>
      </c>
      <c r="T51" s="421" t="s">
        <v>1113</v>
      </c>
      <c r="U51" s="421" t="s">
        <v>1114</v>
      </c>
      <c r="V51" s="421" t="s">
        <v>1115</v>
      </c>
      <c r="W51" s="421" t="s">
        <v>1116</v>
      </c>
      <c r="X51" s="421" t="s">
        <v>1117</v>
      </c>
      <c r="Y51" s="421" t="s">
        <v>1118</v>
      </c>
      <c r="Z51" s="421" t="s">
        <v>1119</v>
      </c>
      <c r="AA51" s="421" t="s">
        <v>1120</v>
      </c>
      <c r="AB51" s="421" t="s">
        <v>1121</v>
      </c>
      <c r="AC51" s="421" t="s">
        <v>1122</v>
      </c>
      <c r="AD51" s="421" t="s">
        <v>1479</v>
      </c>
      <c r="AE51" s="421" t="s">
        <v>1620</v>
      </c>
      <c r="AF51" s="421" t="s">
        <v>1621</v>
      </c>
      <c r="AG51" s="421" t="s">
        <v>1622</v>
      </c>
      <c r="AH51" s="421">
        <v>4733.6400000000003</v>
      </c>
      <c r="AI51" s="421" t="s">
        <v>1127</v>
      </c>
      <c r="AJ51" s="421">
        <v>1598</v>
      </c>
      <c r="AK51" s="421">
        <v>2</v>
      </c>
      <c r="AL51" s="421" t="s">
        <v>1173</v>
      </c>
      <c r="AM51" s="421">
        <v>4733.6400000000003</v>
      </c>
      <c r="AN51" s="421">
        <v>5356.52</v>
      </c>
      <c r="AO51" s="421" t="s">
        <v>1120</v>
      </c>
      <c r="AP51" s="421" t="s">
        <v>1129</v>
      </c>
      <c r="AR51" s="421" t="s">
        <v>1130</v>
      </c>
      <c r="AT51" s="421" t="s">
        <v>1131</v>
      </c>
      <c r="AU51" s="421" t="s">
        <v>1190</v>
      </c>
      <c r="AV51" s="421" t="s">
        <v>1191</v>
      </c>
      <c r="AW51" s="421" t="s">
        <v>960</v>
      </c>
      <c r="AX51" s="421" t="s">
        <v>960</v>
      </c>
      <c r="AY51" s="421" t="s">
        <v>960</v>
      </c>
      <c r="AZ51" s="421" t="s">
        <v>1121</v>
      </c>
      <c r="BA51" s="421" t="s">
        <v>1623</v>
      </c>
      <c r="BB51" s="421" t="s">
        <v>960</v>
      </c>
      <c r="BC51" s="421" t="s">
        <v>1624</v>
      </c>
      <c r="BD51" s="421" t="s">
        <v>1625</v>
      </c>
      <c r="BE51" s="421" t="s">
        <v>1626</v>
      </c>
      <c r="BF51" s="421" t="s">
        <v>1627</v>
      </c>
      <c r="BG51" s="421" t="s">
        <v>1609</v>
      </c>
      <c r="BH51" s="421" t="s">
        <v>1628</v>
      </c>
      <c r="BI51" s="421" t="s">
        <v>1142</v>
      </c>
      <c r="BJ51" s="421" t="s">
        <v>1180</v>
      </c>
      <c r="BK51" s="421" t="s">
        <v>1619</v>
      </c>
      <c r="BL51" s="421" t="s">
        <v>1616</v>
      </c>
      <c r="BM51" s="421" t="s">
        <v>1629</v>
      </c>
      <c r="BN51" s="421" t="s">
        <v>1293</v>
      </c>
      <c r="BO51" s="421">
        <v>0</v>
      </c>
      <c r="BR51" s="421">
        <v>0</v>
      </c>
      <c r="BS51" s="421">
        <v>0</v>
      </c>
      <c r="BT51" s="421">
        <v>0</v>
      </c>
      <c r="BU51" s="424">
        <v>42046</v>
      </c>
      <c r="BX51" s="421">
        <v>2610.08</v>
      </c>
      <c r="BY51" s="421" t="s">
        <v>1183</v>
      </c>
      <c r="BZ51" s="421">
        <v>22257.95</v>
      </c>
      <c r="CA51" s="421">
        <v>58095030.136</v>
      </c>
      <c r="CB51" s="421">
        <v>8.9</v>
      </c>
      <c r="CC51" s="421">
        <v>0</v>
      </c>
      <c r="CD51" s="421">
        <v>3044.63</v>
      </c>
      <c r="CE51" s="421">
        <v>3053.53</v>
      </c>
      <c r="CF51" s="421">
        <v>0</v>
      </c>
      <c r="CG51" s="421">
        <v>25311.48</v>
      </c>
      <c r="CH51" s="421">
        <v>0</v>
      </c>
      <c r="CI51" s="421">
        <v>25311.48</v>
      </c>
      <c r="CJ51" s="421">
        <v>66064987.718400002</v>
      </c>
      <c r="CK51" s="421">
        <v>15</v>
      </c>
      <c r="CL51" s="421">
        <v>66064988</v>
      </c>
      <c r="CM51" s="421">
        <v>9910000</v>
      </c>
      <c r="CN51" s="421">
        <v>9910000</v>
      </c>
      <c r="CO51" s="421">
        <v>0</v>
      </c>
      <c r="CP51" s="421">
        <v>0</v>
      </c>
      <c r="CQ51" s="421">
        <v>16</v>
      </c>
      <c r="CR51" s="421">
        <v>75974988</v>
      </c>
      <c r="CS51" s="421">
        <v>12156000</v>
      </c>
      <c r="CT51" s="421">
        <v>12156000</v>
      </c>
      <c r="CU51" s="421">
        <v>0</v>
      </c>
      <c r="CV51" s="421">
        <v>0</v>
      </c>
      <c r="CW51" s="421">
        <v>0</v>
      </c>
      <c r="CX51" s="421">
        <v>0</v>
      </c>
      <c r="CY51" s="421">
        <v>0</v>
      </c>
      <c r="CZ51" s="421">
        <v>0</v>
      </c>
      <c r="DA51" s="421">
        <v>0</v>
      </c>
      <c r="DB51" s="421">
        <v>0</v>
      </c>
      <c r="DC51" s="421">
        <v>0</v>
      </c>
      <c r="DD51" s="421">
        <v>0</v>
      </c>
      <c r="DE51" s="421">
        <v>0</v>
      </c>
      <c r="DF51" s="421">
        <v>0</v>
      </c>
      <c r="DG51" s="421">
        <v>0</v>
      </c>
      <c r="DH51" s="421">
        <v>0</v>
      </c>
      <c r="DI51" s="421">
        <v>0</v>
      </c>
      <c r="DJ51" s="421">
        <v>0</v>
      </c>
      <c r="DK51" s="421">
        <v>0</v>
      </c>
      <c r="DL51" s="421">
        <v>0</v>
      </c>
      <c r="DM51" s="421">
        <v>0</v>
      </c>
      <c r="DN51" s="421">
        <v>0</v>
      </c>
      <c r="DO51" s="421">
        <v>0</v>
      </c>
      <c r="DP51" s="421">
        <v>0</v>
      </c>
      <c r="DQ51" s="421">
        <v>0</v>
      </c>
      <c r="DR51" s="421">
        <v>0</v>
      </c>
      <c r="DS51" s="421">
        <v>0</v>
      </c>
      <c r="DT51" s="421">
        <v>0</v>
      </c>
      <c r="DU51" s="421">
        <v>0</v>
      </c>
      <c r="DV51" s="421">
        <v>0</v>
      </c>
      <c r="DW51" s="421">
        <v>0</v>
      </c>
      <c r="DX51" s="421">
        <v>0</v>
      </c>
      <c r="DY51" s="421">
        <v>22066000</v>
      </c>
      <c r="DZ51" s="421">
        <v>22066000</v>
      </c>
      <c r="EA51" s="421">
        <v>0</v>
      </c>
      <c r="EB51" s="421">
        <v>0</v>
      </c>
      <c r="EC51" s="421" t="s">
        <v>1148</v>
      </c>
      <c r="ED51" s="421" t="s">
        <v>1167</v>
      </c>
      <c r="EE51" s="421" t="s">
        <v>1167</v>
      </c>
    </row>
    <row r="52" spans="1:135" x14ac:dyDescent="0.25">
      <c r="A52" s="421">
        <v>49</v>
      </c>
      <c r="B52" s="421">
        <v>2015</v>
      </c>
      <c r="C52" s="421">
        <v>3</v>
      </c>
      <c r="D52" s="421">
        <v>18</v>
      </c>
      <c r="E52" s="424">
        <v>42081</v>
      </c>
      <c r="F52" s="421" t="s">
        <v>1630</v>
      </c>
      <c r="G52" s="421" t="s">
        <v>1631</v>
      </c>
      <c r="H52" s="421" t="s">
        <v>1152</v>
      </c>
      <c r="I52" s="421" t="s">
        <v>1107</v>
      </c>
      <c r="J52" s="421" t="s">
        <v>1108</v>
      </c>
      <c r="K52" s="421" t="s">
        <v>1109</v>
      </c>
      <c r="L52" s="421" t="s">
        <v>1110</v>
      </c>
      <c r="O52" s="421" t="s">
        <v>1111</v>
      </c>
      <c r="R52" s="421" t="s">
        <v>1111</v>
      </c>
      <c r="S52" s="421" t="s">
        <v>1112</v>
      </c>
      <c r="T52" s="421" t="s">
        <v>1113</v>
      </c>
      <c r="U52" s="421" t="s">
        <v>1114</v>
      </c>
      <c r="V52" s="421" t="s">
        <v>1115</v>
      </c>
      <c r="W52" s="421" t="s">
        <v>1116</v>
      </c>
      <c r="X52" s="421" t="s">
        <v>1117</v>
      </c>
      <c r="Y52" s="421" t="s">
        <v>1118</v>
      </c>
      <c r="Z52" s="421" t="s">
        <v>1119</v>
      </c>
      <c r="AA52" s="421" t="s">
        <v>1120</v>
      </c>
      <c r="AB52" s="421" t="s">
        <v>1121</v>
      </c>
      <c r="AC52" s="421" t="s">
        <v>1122</v>
      </c>
      <c r="AD52" s="421" t="s">
        <v>1479</v>
      </c>
      <c r="AE52" s="421" t="s">
        <v>1632</v>
      </c>
      <c r="AF52" s="421" t="s">
        <v>1633</v>
      </c>
      <c r="AG52" s="421" t="s">
        <v>1634</v>
      </c>
      <c r="AH52" s="421">
        <v>7642.66</v>
      </c>
      <c r="AI52" s="421" t="s">
        <v>1127</v>
      </c>
      <c r="AJ52" s="421">
        <v>1598</v>
      </c>
      <c r="AK52" s="421">
        <v>2</v>
      </c>
      <c r="AL52" s="421" t="s">
        <v>1173</v>
      </c>
      <c r="AM52" s="421">
        <v>7642.66</v>
      </c>
      <c r="AN52" s="421">
        <v>8559.7800000000007</v>
      </c>
      <c r="AO52" s="421" t="s">
        <v>1120</v>
      </c>
      <c r="AP52" s="421" t="s">
        <v>1129</v>
      </c>
      <c r="AR52" s="421" t="s">
        <v>1130</v>
      </c>
      <c r="AT52" s="421" t="s">
        <v>1131</v>
      </c>
      <c r="AU52" s="421" t="s">
        <v>1190</v>
      </c>
      <c r="AV52" s="421" t="s">
        <v>1191</v>
      </c>
      <c r="AW52" s="421" t="s">
        <v>960</v>
      </c>
      <c r="AX52" s="421" t="s">
        <v>960</v>
      </c>
      <c r="AY52" s="421" t="s">
        <v>960</v>
      </c>
      <c r="AZ52" s="421" t="s">
        <v>1121</v>
      </c>
      <c r="BA52" s="421" t="s">
        <v>1623</v>
      </c>
      <c r="BB52" s="421" t="s">
        <v>960</v>
      </c>
      <c r="BC52" s="421" t="s">
        <v>1624</v>
      </c>
      <c r="BD52" s="421" t="s">
        <v>1625</v>
      </c>
      <c r="BE52" s="421" t="s">
        <v>1626</v>
      </c>
      <c r="BF52" s="421" t="s">
        <v>1627</v>
      </c>
      <c r="BG52" s="421" t="s">
        <v>1609</v>
      </c>
      <c r="BH52" s="421" t="s">
        <v>1628</v>
      </c>
      <c r="BI52" s="421" t="s">
        <v>1142</v>
      </c>
      <c r="BJ52" s="421" t="s">
        <v>1180</v>
      </c>
      <c r="BK52" s="421" t="s">
        <v>1631</v>
      </c>
      <c r="BL52" s="421" t="s">
        <v>1616</v>
      </c>
      <c r="BM52" s="421" t="s">
        <v>1629</v>
      </c>
      <c r="BN52" s="421" t="s">
        <v>1293</v>
      </c>
      <c r="BO52" s="421">
        <v>0</v>
      </c>
      <c r="BR52" s="421">
        <v>0</v>
      </c>
      <c r="BS52" s="421">
        <v>0</v>
      </c>
      <c r="BT52" s="421">
        <v>0</v>
      </c>
      <c r="BU52" s="424">
        <v>42046</v>
      </c>
      <c r="BX52" s="421">
        <v>2610.08</v>
      </c>
      <c r="BY52" s="421" t="s">
        <v>1183</v>
      </c>
      <c r="BZ52" s="421">
        <v>26591.79</v>
      </c>
      <c r="CA52" s="421">
        <v>69406699.243200004</v>
      </c>
      <c r="CB52" s="421">
        <v>10.64</v>
      </c>
      <c r="CC52" s="421">
        <v>0</v>
      </c>
      <c r="CD52" s="421">
        <v>4865.37</v>
      </c>
      <c r="CE52" s="421">
        <v>4876.01</v>
      </c>
      <c r="CF52" s="421">
        <v>0</v>
      </c>
      <c r="CG52" s="421">
        <v>31467.8</v>
      </c>
      <c r="CH52" s="421">
        <v>0</v>
      </c>
      <c r="CI52" s="421">
        <v>31467.8</v>
      </c>
      <c r="CJ52" s="421">
        <v>82133475.423999995</v>
      </c>
      <c r="CK52" s="421">
        <v>15</v>
      </c>
      <c r="CL52" s="421">
        <v>82133475</v>
      </c>
      <c r="CM52" s="421">
        <v>12320000</v>
      </c>
      <c r="CN52" s="421">
        <v>12320000</v>
      </c>
      <c r="CO52" s="421">
        <v>0</v>
      </c>
      <c r="CP52" s="421">
        <v>0</v>
      </c>
      <c r="CQ52" s="421">
        <v>16</v>
      </c>
      <c r="CR52" s="421">
        <v>94453475</v>
      </c>
      <c r="CS52" s="421">
        <v>15113000</v>
      </c>
      <c r="CT52" s="421">
        <v>15113000</v>
      </c>
      <c r="CU52" s="421">
        <v>0</v>
      </c>
      <c r="CV52" s="421">
        <v>0</v>
      </c>
      <c r="CW52" s="421">
        <v>0</v>
      </c>
      <c r="CX52" s="421">
        <v>0</v>
      </c>
      <c r="CY52" s="421">
        <v>0</v>
      </c>
      <c r="CZ52" s="421">
        <v>0</v>
      </c>
      <c r="DA52" s="421">
        <v>0</v>
      </c>
      <c r="DB52" s="421">
        <v>0</v>
      </c>
      <c r="DC52" s="421">
        <v>0</v>
      </c>
      <c r="DD52" s="421">
        <v>0</v>
      </c>
      <c r="DE52" s="421">
        <v>0</v>
      </c>
      <c r="DF52" s="421">
        <v>0</v>
      </c>
      <c r="DG52" s="421">
        <v>0</v>
      </c>
      <c r="DH52" s="421">
        <v>0</v>
      </c>
      <c r="DI52" s="421">
        <v>0</v>
      </c>
      <c r="DJ52" s="421">
        <v>0</v>
      </c>
      <c r="DK52" s="421">
        <v>0</v>
      </c>
      <c r="DL52" s="421">
        <v>0</v>
      </c>
      <c r="DM52" s="421">
        <v>0</v>
      </c>
      <c r="DN52" s="421">
        <v>0</v>
      </c>
      <c r="DO52" s="421">
        <v>0</v>
      </c>
      <c r="DP52" s="421">
        <v>0</v>
      </c>
      <c r="DQ52" s="421">
        <v>0</v>
      </c>
      <c r="DR52" s="421">
        <v>0</v>
      </c>
      <c r="DS52" s="421">
        <v>0</v>
      </c>
      <c r="DT52" s="421">
        <v>0</v>
      </c>
      <c r="DU52" s="421">
        <v>0</v>
      </c>
      <c r="DV52" s="421">
        <v>0</v>
      </c>
      <c r="DW52" s="421">
        <v>0</v>
      </c>
      <c r="DX52" s="421">
        <v>0</v>
      </c>
      <c r="DY52" s="421">
        <v>27433000</v>
      </c>
      <c r="DZ52" s="421">
        <v>27433000</v>
      </c>
      <c r="EA52" s="421">
        <v>0</v>
      </c>
      <c r="EB52" s="421">
        <v>0</v>
      </c>
      <c r="EC52" s="421" t="s">
        <v>1148</v>
      </c>
      <c r="ED52" s="421" t="s">
        <v>1167</v>
      </c>
      <c r="EE52" s="421" t="s">
        <v>1167</v>
      </c>
    </row>
    <row r="53" spans="1:135" x14ac:dyDescent="0.25">
      <c r="A53" s="421">
        <v>50</v>
      </c>
      <c r="B53" s="421">
        <v>2015</v>
      </c>
      <c r="C53" s="421">
        <v>3</v>
      </c>
      <c r="D53" s="421">
        <v>19</v>
      </c>
      <c r="E53" s="424">
        <v>42082</v>
      </c>
      <c r="F53" s="421" t="s">
        <v>1635</v>
      </c>
      <c r="G53" s="421" t="s">
        <v>1636</v>
      </c>
      <c r="H53" s="421" t="s">
        <v>1152</v>
      </c>
      <c r="I53" s="421" t="s">
        <v>1107</v>
      </c>
      <c r="J53" s="421" t="s">
        <v>1108</v>
      </c>
      <c r="K53" s="421" t="s">
        <v>1202</v>
      </c>
      <c r="L53" s="421" t="s">
        <v>1110</v>
      </c>
      <c r="O53" s="421" t="s">
        <v>1111</v>
      </c>
      <c r="R53" s="421" t="s">
        <v>1111</v>
      </c>
      <c r="S53" s="421" t="s">
        <v>1112</v>
      </c>
      <c r="T53" s="421" t="s">
        <v>1113</v>
      </c>
      <c r="U53" s="421" t="s">
        <v>1114</v>
      </c>
      <c r="V53" s="421" t="s">
        <v>1115</v>
      </c>
      <c r="W53" s="421" t="s">
        <v>1116</v>
      </c>
      <c r="X53" s="421" t="s">
        <v>1117</v>
      </c>
      <c r="Y53" s="421" t="s">
        <v>1118</v>
      </c>
      <c r="Z53" s="421" t="s">
        <v>1119</v>
      </c>
      <c r="AA53" s="421" t="s">
        <v>1120</v>
      </c>
      <c r="AB53" s="421" t="s">
        <v>1121</v>
      </c>
      <c r="AC53" s="421" t="s">
        <v>1122</v>
      </c>
      <c r="AD53" s="421" t="s">
        <v>1479</v>
      </c>
      <c r="AE53" s="421" t="s">
        <v>1203</v>
      </c>
      <c r="AF53" s="421" t="s">
        <v>1204</v>
      </c>
      <c r="AG53" s="421" t="s">
        <v>1637</v>
      </c>
      <c r="AH53" s="421">
        <v>43000</v>
      </c>
      <c r="AI53" s="421" t="s">
        <v>1127</v>
      </c>
      <c r="AJ53" s="421">
        <v>2</v>
      </c>
      <c r="AK53" s="421">
        <v>1</v>
      </c>
      <c r="AL53" s="421" t="s">
        <v>1283</v>
      </c>
      <c r="AM53" s="421">
        <v>43000</v>
      </c>
      <c r="AN53" s="421">
        <v>43485</v>
      </c>
      <c r="AO53" s="421" t="s">
        <v>1120</v>
      </c>
      <c r="AP53" s="421" t="s">
        <v>1129</v>
      </c>
      <c r="AR53" s="421" t="s">
        <v>1130</v>
      </c>
      <c r="AT53" s="421" t="s">
        <v>1131</v>
      </c>
      <c r="AU53" s="421" t="s">
        <v>1132</v>
      </c>
      <c r="AV53" s="421" t="s">
        <v>1133</v>
      </c>
      <c r="AW53" s="421" t="s">
        <v>1207</v>
      </c>
      <c r="AX53" s="421" t="s">
        <v>1207</v>
      </c>
      <c r="AY53" s="421" t="s">
        <v>1208</v>
      </c>
      <c r="AZ53" s="421" t="s">
        <v>1121</v>
      </c>
      <c r="BA53" s="421" t="s">
        <v>1209</v>
      </c>
      <c r="BB53" s="421" t="s">
        <v>1208</v>
      </c>
      <c r="BC53" s="421" t="s">
        <v>1210</v>
      </c>
      <c r="BD53" s="421" t="s">
        <v>1211</v>
      </c>
      <c r="BE53" s="421" t="s">
        <v>1212</v>
      </c>
      <c r="BF53" s="421" t="s">
        <v>1638</v>
      </c>
      <c r="BG53" s="421" t="s">
        <v>1609</v>
      </c>
      <c r="BH53" s="421" t="s">
        <v>1639</v>
      </c>
      <c r="BI53" s="421" t="s">
        <v>1142</v>
      </c>
      <c r="BJ53" s="421" t="s">
        <v>1243</v>
      </c>
      <c r="BK53" s="421" t="s">
        <v>1636</v>
      </c>
      <c r="BL53" s="421" t="s">
        <v>1640</v>
      </c>
      <c r="BM53" s="421" t="s">
        <v>1641</v>
      </c>
      <c r="BN53" s="421" t="s">
        <v>1536</v>
      </c>
      <c r="BO53" s="421">
        <v>0</v>
      </c>
      <c r="BR53" s="421">
        <v>0</v>
      </c>
      <c r="BS53" s="421">
        <v>0</v>
      </c>
      <c r="BT53" s="421">
        <v>0</v>
      </c>
      <c r="BU53" s="424">
        <v>42074</v>
      </c>
      <c r="BX53" s="421">
        <v>2610.08</v>
      </c>
      <c r="BY53" s="421" t="s">
        <v>1147</v>
      </c>
      <c r="BZ53" s="421">
        <v>90300</v>
      </c>
      <c r="CA53" s="421">
        <v>235690224</v>
      </c>
      <c r="CB53" s="421">
        <v>36.119999999999997</v>
      </c>
      <c r="CC53" s="421">
        <v>0</v>
      </c>
      <c r="CD53" s="421">
        <v>1680</v>
      </c>
      <c r="CE53" s="421">
        <v>1716.12</v>
      </c>
      <c r="CF53" s="421">
        <v>0</v>
      </c>
      <c r="CG53" s="421">
        <v>92016.12</v>
      </c>
      <c r="CH53" s="421">
        <v>0</v>
      </c>
      <c r="CI53" s="421">
        <v>92016.12</v>
      </c>
      <c r="CJ53" s="421">
        <v>240169434.4896</v>
      </c>
      <c r="CK53" s="421">
        <v>0</v>
      </c>
      <c r="CL53" s="421">
        <v>240169434</v>
      </c>
      <c r="CM53" s="421">
        <v>0</v>
      </c>
      <c r="CN53" s="421">
        <v>0</v>
      </c>
      <c r="CO53" s="421">
        <v>0</v>
      </c>
      <c r="CP53" s="421">
        <v>0</v>
      </c>
      <c r="CQ53" s="421">
        <v>0</v>
      </c>
      <c r="CR53" s="421">
        <v>240169434</v>
      </c>
      <c r="CS53" s="421">
        <v>0</v>
      </c>
      <c r="CT53" s="421">
        <v>0</v>
      </c>
      <c r="CU53" s="421">
        <v>0</v>
      </c>
      <c r="CV53" s="421">
        <v>0</v>
      </c>
      <c r="CW53" s="421">
        <v>0</v>
      </c>
      <c r="CX53" s="421">
        <v>0</v>
      </c>
      <c r="CY53" s="421">
        <v>0</v>
      </c>
      <c r="CZ53" s="421">
        <v>0</v>
      </c>
      <c r="DA53" s="421">
        <v>0</v>
      </c>
      <c r="DB53" s="421">
        <v>0</v>
      </c>
      <c r="DC53" s="421">
        <v>0</v>
      </c>
      <c r="DD53" s="421">
        <v>0</v>
      </c>
      <c r="DE53" s="421">
        <v>0</v>
      </c>
      <c r="DF53" s="421">
        <v>0</v>
      </c>
      <c r="DG53" s="421">
        <v>0</v>
      </c>
      <c r="DH53" s="421">
        <v>0</v>
      </c>
      <c r="DI53" s="421">
        <v>0</v>
      </c>
      <c r="DJ53" s="421">
        <v>0</v>
      </c>
      <c r="DK53" s="421">
        <v>0</v>
      </c>
      <c r="DL53" s="421">
        <v>0</v>
      </c>
      <c r="DM53" s="421">
        <v>0</v>
      </c>
      <c r="DN53" s="421">
        <v>0</v>
      </c>
      <c r="DO53" s="421">
        <v>0</v>
      </c>
      <c r="DP53" s="421">
        <v>0</v>
      </c>
      <c r="DQ53" s="421">
        <v>0</v>
      </c>
      <c r="DR53" s="421">
        <v>0</v>
      </c>
      <c r="DS53" s="421">
        <v>0</v>
      </c>
      <c r="DT53" s="421">
        <v>0</v>
      </c>
      <c r="DU53" s="421">
        <v>0</v>
      </c>
      <c r="DV53" s="421">
        <v>0</v>
      </c>
      <c r="DW53" s="421">
        <v>0</v>
      </c>
      <c r="DX53" s="421">
        <v>0</v>
      </c>
      <c r="DY53" s="421">
        <v>0</v>
      </c>
      <c r="DZ53" s="421">
        <v>0</v>
      </c>
      <c r="EA53" s="421">
        <v>0</v>
      </c>
      <c r="EB53" s="421">
        <v>0</v>
      </c>
      <c r="EC53" s="421" t="s">
        <v>1148</v>
      </c>
      <c r="ED53" s="421" t="s">
        <v>1149</v>
      </c>
      <c r="EE53" s="421" t="s">
        <v>1149</v>
      </c>
    </row>
    <row r="54" spans="1:135" x14ac:dyDescent="0.25">
      <c r="A54" s="421">
        <v>51</v>
      </c>
      <c r="B54" s="421">
        <v>2015</v>
      </c>
      <c r="C54" s="421">
        <v>3</v>
      </c>
      <c r="D54" s="421">
        <v>19</v>
      </c>
      <c r="E54" s="424">
        <v>42082</v>
      </c>
      <c r="F54" s="421" t="s">
        <v>1642</v>
      </c>
      <c r="G54" s="421" t="s">
        <v>1643</v>
      </c>
      <c r="H54" s="421" t="s">
        <v>1152</v>
      </c>
      <c r="I54" s="421" t="s">
        <v>1107</v>
      </c>
      <c r="J54" s="421" t="s">
        <v>1108</v>
      </c>
      <c r="K54" s="421" t="s">
        <v>1109</v>
      </c>
      <c r="L54" s="421" t="s">
        <v>1110</v>
      </c>
      <c r="O54" s="421" t="s">
        <v>1111</v>
      </c>
      <c r="R54" s="421" t="s">
        <v>1111</v>
      </c>
      <c r="S54" s="421" t="s">
        <v>1112</v>
      </c>
      <c r="T54" s="421" t="s">
        <v>1113</v>
      </c>
      <c r="U54" s="421" t="s">
        <v>1114</v>
      </c>
      <c r="V54" s="421" t="s">
        <v>1115</v>
      </c>
      <c r="W54" s="421" t="s">
        <v>1116</v>
      </c>
      <c r="X54" s="421" t="s">
        <v>1117</v>
      </c>
      <c r="Y54" s="421" t="s">
        <v>1118</v>
      </c>
      <c r="Z54" s="421" t="s">
        <v>1119</v>
      </c>
      <c r="AA54" s="421" t="s">
        <v>1120</v>
      </c>
      <c r="AB54" s="421" t="s">
        <v>1121</v>
      </c>
      <c r="AC54" s="421" t="s">
        <v>1122</v>
      </c>
      <c r="AD54" s="421" t="s">
        <v>1479</v>
      </c>
      <c r="AE54" s="421" t="s">
        <v>1249</v>
      </c>
      <c r="AF54" s="421" t="s">
        <v>1250</v>
      </c>
      <c r="AG54" s="421" t="s">
        <v>1644</v>
      </c>
      <c r="AH54" s="421">
        <v>36048</v>
      </c>
      <c r="AI54" s="421" t="s">
        <v>1189</v>
      </c>
      <c r="AJ54" s="421">
        <v>448</v>
      </c>
      <c r="AK54" s="421">
        <v>1</v>
      </c>
      <c r="AL54" s="421" t="s">
        <v>1173</v>
      </c>
      <c r="AM54" s="421">
        <v>5487</v>
      </c>
      <c r="AN54" s="421">
        <v>5732</v>
      </c>
      <c r="AO54" s="421" t="s">
        <v>1120</v>
      </c>
      <c r="AP54" s="421" t="s">
        <v>1129</v>
      </c>
      <c r="AR54" s="421" t="s">
        <v>1130</v>
      </c>
      <c r="AT54" s="421" t="s">
        <v>1131</v>
      </c>
      <c r="AU54" s="421" t="s">
        <v>1190</v>
      </c>
      <c r="AV54" s="421" t="s">
        <v>1191</v>
      </c>
      <c r="AW54" s="421" t="s">
        <v>960</v>
      </c>
      <c r="AX54" s="421" t="s">
        <v>960</v>
      </c>
      <c r="AY54" s="421" t="s">
        <v>960</v>
      </c>
      <c r="AZ54" s="421" t="s">
        <v>1121</v>
      </c>
      <c r="BA54" s="421" t="s">
        <v>1252</v>
      </c>
      <c r="BB54" s="421" t="s">
        <v>960</v>
      </c>
      <c r="BC54" s="421" t="s">
        <v>1253</v>
      </c>
      <c r="BD54" s="421" t="s">
        <v>1254</v>
      </c>
      <c r="BE54" s="421" t="s">
        <v>1255</v>
      </c>
      <c r="BF54" s="421" t="s">
        <v>1645</v>
      </c>
      <c r="BG54" s="421" t="s">
        <v>1609</v>
      </c>
      <c r="BH54" s="421" t="s">
        <v>1646</v>
      </c>
      <c r="BI54" s="421" t="s">
        <v>1142</v>
      </c>
      <c r="BJ54" s="421" t="s">
        <v>1163</v>
      </c>
      <c r="BK54" s="421" t="s">
        <v>1643</v>
      </c>
      <c r="BL54" s="421" t="s">
        <v>1640</v>
      </c>
      <c r="BM54" s="421" t="s">
        <v>1647</v>
      </c>
      <c r="BN54" s="421" t="s">
        <v>1343</v>
      </c>
      <c r="BO54" s="421">
        <v>0</v>
      </c>
      <c r="BR54" s="421">
        <v>0</v>
      </c>
      <c r="BS54" s="421">
        <v>0</v>
      </c>
      <c r="BT54" s="421">
        <v>0</v>
      </c>
      <c r="BU54" s="424">
        <v>42049</v>
      </c>
      <c r="BX54" s="421">
        <v>2610.08</v>
      </c>
      <c r="BY54" s="421" t="s">
        <v>1648</v>
      </c>
      <c r="BZ54" s="421">
        <v>16710.13</v>
      </c>
      <c r="CA54" s="421">
        <v>43614776.110399999</v>
      </c>
      <c r="CB54" s="421">
        <v>6.68</v>
      </c>
      <c r="CC54" s="421">
        <v>0</v>
      </c>
      <c r="CD54" s="421">
        <v>2983</v>
      </c>
      <c r="CE54" s="421">
        <v>2989.68</v>
      </c>
      <c r="CF54" s="421">
        <v>0</v>
      </c>
      <c r="CG54" s="421">
        <v>19699.810000000001</v>
      </c>
      <c r="CH54" s="421">
        <v>0</v>
      </c>
      <c r="CI54" s="421">
        <v>19699.810000000001</v>
      </c>
      <c r="CJ54" s="421">
        <v>51418080.084799998</v>
      </c>
      <c r="CK54" s="421">
        <v>15</v>
      </c>
      <c r="CL54" s="421">
        <v>51418080</v>
      </c>
      <c r="CM54" s="421">
        <v>7713000</v>
      </c>
      <c r="CN54" s="421">
        <v>7713000</v>
      </c>
      <c r="CO54" s="421">
        <v>0</v>
      </c>
      <c r="CP54" s="421">
        <v>0</v>
      </c>
      <c r="CQ54" s="421">
        <v>16</v>
      </c>
      <c r="CR54" s="421">
        <v>59131080</v>
      </c>
      <c r="CS54" s="421">
        <v>9461000</v>
      </c>
      <c r="CT54" s="421">
        <v>9461000</v>
      </c>
      <c r="CU54" s="421">
        <v>0</v>
      </c>
      <c r="CV54" s="421">
        <v>0</v>
      </c>
      <c r="CW54" s="421">
        <v>0</v>
      </c>
      <c r="CX54" s="421">
        <v>0</v>
      </c>
      <c r="CY54" s="421">
        <v>0</v>
      </c>
      <c r="CZ54" s="421">
        <v>0</v>
      </c>
      <c r="DA54" s="421">
        <v>0</v>
      </c>
      <c r="DB54" s="421">
        <v>0</v>
      </c>
      <c r="DC54" s="421">
        <v>0</v>
      </c>
      <c r="DD54" s="421">
        <v>0</v>
      </c>
      <c r="DE54" s="421">
        <v>0</v>
      </c>
      <c r="DF54" s="421">
        <v>0</v>
      </c>
      <c r="DG54" s="421">
        <v>0</v>
      </c>
      <c r="DH54" s="421">
        <v>0</v>
      </c>
      <c r="DI54" s="421">
        <v>0</v>
      </c>
      <c r="DJ54" s="421">
        <v>0</v>
      </c>
      <c r="DK54" s="421">
        <v>0</v>
      </c>
      <c r="DL54" s="421">
        <v>0</v>
      </c>
      <c r="DM54" s="421">
        <v>0</v>
      </c>
      <c r="DN54" s="421">
        <v>0</v>
      </c>
      <c r="DO54" s="421">
        <v>0</v>
      </c>
      <c r="DP54" s="421">
        <v>0</v>
      </c>
      <c r="DQ54" s="421">
        <v>0</v>
      </c>
      <c r="DR54" s="421">
        <v>0</v>
      </c>
      <c r="DS54" s="421">
        <v>0</v>
      </c>
      <c r="DT54" s="421">
        <v>0</v>
      </c>
      <c r="DU54" s="421">
        <v>0</v>
      </c>
      <c r="DV54" s="421">
        <v>0</v>
      </c>
      <c r="DW54" s="421">
        <v>0</v>
      </c>
      <c r="DX54" s="421">
        <v>0</v>
      </c>
      <c r="DY54" s="421">
        <v>17174000</v>
      </c>
      <c r="DZ54" s="421">
        <v>17174000</v>
      </c>
      <c r="EA54" s="421">
        <v>0</v>
      </c>
      <c r="EB54" s="421">
        <v>0</v>
      </c>
      <c r="EC54" s="421" t="s">
        <v>1148</v>
      </c>
      <c r="ED54" s="421" t="s">
        <v>1167</v>
      </c>
      <c r="EE54" s="421" t="s">
        <v>1167</v>
      </c>
    </row>
    <row r="55" spans="1:135" x14ac:dyDescent="0.25">
      <c r="A55" s="421">
        <v>52</v>
      </c>
      <c r="B55" s="421">
        <v>2015</v>
      </c>
      <c r="C55" s="421">
        <v>3</v>
      </c>
      <c r="D55" s="421">
        <v>20</v>
      </c>
      <c r="E55" s="424">
        <v>42083</v>
      </c>
      <c r="F55" s="421" t="s">
        <v>1649</v>
      </c>
      <c r="G55" s="421" t="s">
        <v>1650</v>
      </c>
      <c r="H55" s="421" t="s">
        <v>1106</v>
      </c>
      <c r="I55" s="421" t="s">
        <v>1107</v>
      </c>
      <c r="J55" s="421" t="s">
        <v>1108</v>
      </c>
      <c r="K55" s="421" t="s">
        <v>1109</v>
      </c>
      <c r="L55" s="421" t="s">
        <v>1110</v>
      </c>
      <c r="O55" s="421" t="s">
        <v>1111</v>
      </c>
      <c r="R55" s="421" t="s">
        <v>1111</v>
      </c>
      <c r="S55" s="421" t="s">
        <v>1112</v>
      </c>
      <c r="T55" s="421" t="s">
        <v>1113</v>
      </c>
      <c r="U55" s="421" t="s">
        <v>1114</v>
      </c>
      <c r="V55" s="421" t="s">
        <v>1115</v>
      </c>
      <c r="W55" s="421" t="s">
        <v>1116</v>
      </c>
      <c r="X55" s="421" t="s">
        <v>1117</v>
      </c>
      <c r="Y55" s="421" t="s">
        <v>1118</v>
      </c>
      <c r="Z55" s="421" t="s">
        <v>1119</v>
      </c>
      <c r="AA55" s="421" t="s">
        <v>1120</v>
      </c>
      <c r="AB55" s="421" t="s">
        <v>1121</v>
      </c>
      <c r="AC55" s="421" t="s">
        <v>1122</v>
      </c>
      <c r="AD55" s="421" t="s">
        <v>1479</v>
      </c>
      <c r="AE55" s="421" t="s">
        <v>1387</v>
      </c>
      <c r="AF55" s="421" t="s">
        <v>1388</v>
      </c>
      <c r="AG55" s="421" t="s">
        <v>1651</v>
      </c>
      <c r="AH55" s="421">
        <v>72900</v>
      </c>
      <c r="AI55" s="421" t="s">
        <v>1189</v>
      </c>
      <c r="AJ55" s="421">
        <v>820</v>
      </c>
      <c r="AK55" s="421">
        <v>2</v>
      </c>
      <c r="AL55" s="421" t="s">
        <v>1173</v>
      </c>
      <c r="AM55" s="421">
        <v>6804</v>
      </c>
      <c r="AN55" s="421">
        <v>8505</v>
      </c>
      <c r="AO55" s="421" t="s">
        <v>1120</v>
      </c>
      <c r="AP55" s="421" t="s">
        <v>1129</v>
      </c>
      <c r="AR55" s="421" t="s">
        <v>1130</v>
      </c>
      <c r="AT55" s="421" t="s">
        <v>1131</v>
      </c>
      <c r="AU55" s="421" t="s">
        <v>1190</v>
      </c>
      <c r="AV55" s="421" t="s">
        <v>1191</v>
      </c>
      <c r="AW55" s="421" t="s">
        <v>960</v>
      </c>
      <c r="AX55" s="421" t="s">
        <v>960</v>
      </c>
      <c r="AY55" s="421" t="s">
        <v>960</v>
      </c>
      <c r="AZ55" s="421" t="s">
        <v>1121</v>
      </c>
      <c r="BA55" s="421" t="s">
        <v>1652</v>
      </c>
      <c r="BB55" s="421" t="s">
        <v>960</v>
      </c>
      <c r="BC55" s="421" t="s">
        <v>1377</v>
      </c>
      <c r="BD55" s="421" t="s">
        <v>1653</v>
      </c>
      <c r="BE55" s="421" t="s">
        <v>1654</v>
      </c>
      <c r="BF55" s="421" t="s">
        <v>1638</v>
      </c>
      <c r="BG55" s="421" t="s">
        <v>1609</v>
      </c>
      <c r="BH55" s="421" t="s">
        <v>1655</v>
      </c>
      <c r="BI55" s="421" t="s">
        <v>1142</v>
      </c>
      <c r="BJ55" s="421" t="s">
        <v>1243</v>
      </c>
      <c r="BK55" s="421" t="s">
        <v>1650</v>
      </c>
      <c r="BL55" s="421" t="s">
        <v>1656</v>
      </c>
      <c r="BM55" s="421" t="s">
        <v>1657</v>
      </c>
      <c r="BN55" s="421" t="s">
        <v>1382</v>
      </c>
      <c r="BO55" s="421">
        <v>0</v>
      </c>
      <c r="BR55" s="421">
        <v>0</v>
      </c>
      <c r="BS55" s="421">
        <v>0</v>
      </c>
      <c r="BT55" s="421">
        <v>0</v>
      </c>
      <c r="BU55" s="424">
        <v>42056</v>
      </c>
      <c r="BX55" s="421">
        <v>2610.08</v>
      </c>
      <c r="BY55" s="421" t="s">
        <v>1648</v>
      </c>
      <c r="BZ55" s="421">
        <v>37179</v>
      </c>
      <c r="CA55" s="421">
        <v>97040164.319999993</v>
      </c>
      <c r="CB55" s="421">
        <v>14.87</v>
      </c>
      <c r="CC55" s="421">
        <v>0</v>
      </c>
      <c r="CD55" s="421">
        <v>4206.29</v>
      </c>
      <c r="CE55" s="421">
        <v>4221.16</v>
      </c>
      <c r="CF55" s="421">
        <v>0</v>
      </c>
      <c r="CG55" s="421">
        <v>41400.160000000003</v>
      </c>
      <c r="CH55" s="421">
        <v>0</v>
      </c>
      <c r="CI55" s="421">
        <v>41400.160000000003</v>
      </c>
      <c r="CJ55" s="421">
        <v>108057729.6128</v>
      </c>
      <c r="CK55" s="421">
        <v>0</v>
      </c>
      <c r="CL55" s="421">
        <v>108057730</v>
      </c>
      <c r="CM55" s="421">
        <v>0</v>
      </c>
      <c r="CN55" s="421">
        <v>0</v>
      </c>
      <c r="CO55" s="421">
        <v>0</v>
      </c>
      <c r="CP55" s="421">
        <v>0</v>
      </c>
      <c r="CQ55" s="421">
        <v>16</v>
      </c>
      <c r="CR55" s="421">
        <v>108057730</v>
      </c>
      <c r="CS55" s="421">
        <v>17289000</v>
      </c>
      <c r="CT55" s="421">
        <v>17289000</v>
      </c>
      <c r="CU55" s="421">
        <v>0</v>
      </c>
      <c r="CV55" s="421">
        <v>0</v>
      </c>
      <c r="CW55" s="421">
        <v>0</v>
      </c>
      <c r="CX55" s="421">
        <v>0</v>
      </c>
      <c r="CY55" s="421">
        <v>0</v>
      </c>
      <c r="CZ55" s="421">
        <v>0</v>
      </c>
      <c r="DA55" s="421">
        <v>0</v>
      </c>
      <c r="DB55" s="421">
        <v>0</v>
      </c>
      <c r="DC55" s="421">
        <v>0</v>
      </c>
      <c r="DD55" s="421">
        <v>0</v>
      </c>
      <c r="DE55" s="421">
        <v>0</v>
      </c>
      <c r="DF55" s="421">
        <v>0</v>
      </c>
      <c r="DG55" s="421">
        <v>0</v>
      </c>
      <c r="DH55" s="421">
        <v>0</v>
      </c>
      <c r="DI55" s="421">
        <v>0</v>
      </c>
      <c r="DJ55" s="421">
        <v>0</v>
      </c>
      <c r="DK55" s="421">
        <v>0</v>
      </c>
      <c r="DL55" s="421">
        <v>0</v>
      </c>
      <c r="DM55" s="421">
        <v>0</v>
      </c>
      <c r="DN55" s="421">
        <v>0</v>
      </c>
      <c r="DO55" s="421">
        <v>0</v>
      </c>
      <c r="DP55" s="421">
        <v>0</v>
      </c>
      <c r="DQ55" s="421">
        <v>0</v>
      </c>
      <c r="DR55" s="421">
        <v>0</v>
      </c>
      <c r="DS55" s="421">
        <v>0</v>
      </c>
      <c r="DT55" s="421">
        <v>0</v>
      </c>
      <c r="DU55" s="421">
        <v>0</v>
      </c>
      <c r="DV55" s="421">
        <v>0</v>
      </c>
      <c r="DW55" s="421">
        <v>0</v>
      </c>
      <c r="DX55" s="421">
        <v>0</v>
      </c>
      <c r="DY55" s="421">
        <v>17289000</v>
      </c>
      <c r="DZ55" s="421">
        <v>17289000</v>
      </c>
      <c r="EA55" s="421">
        <v>0</v>
      </c>
      <c r="EB55" s="421">
        <v>0</v>
      </c>
      <c r="EC55" s="421" t="s">
        <v>1148</v>
      </c>
      <c r="ED55" s="421" t="s">
        <v>1167</v>
      </c>
      <c r="EE55" s="421" t="s">
        <v>1167</v>
      </c>
    </row>
    <row r="56" spans="1:135" x14ac:dyDescent="0.25">
      <c r="A56" s="421">
        <v>53</v>
      </c>
      <c r="B56" s="421">
        <v>2015</v>
      </c>
      <c r="C56" s="421">
        <v>3</v>
      </c>
      <c r="D56" s="421">
        <v>20</v>
      </c>
      <c r="E56" s="424">
        <v>42083</v>
      </c>
      <c r="F56" s="421" t="s">
        <v>1658</v>
      </c>
      <c r="G56" s="421" t="s">
        <v>1659</v>
      </c>
      <c r="H56" s="421" t="s">
        <v>1106</v>
      </c>
      <c r="I56" s="421" t="s">
        <v>1107</v>
      </c>
      <c r="J56" s="421" t="s">
        <v>1108</v>
      </c>
      <c r="K56" s="421" t="s">
        <v>1109</v>
      </c>
      <c r="L56" s="421" t="s">
        <v>1110</v>
      </c>
      <c r="O56" s="421" t="s">
        <v>1111</v>
      </c>
      <c r="R56" s="421" t="s">
        <v>1111</v>
      </c>
      <c r="S56" s="421" t="s">
        <v>1112</v>
      </c>
      <c r="T56" s="421" t="s">
        <v>1113</v>
      </c>
      <c r="U56" s="421" t="s">
        <v>1114</v>
      </c>
      <c r="V56" s="421" t="s">
        <v>1115</v>
      </c>
      <c r="W56" s="421" t="s">
        <v>1116</v>
      </c>
      <c r="X56" s="421" t="s">
        <v>1117</v>
      </c>
      <c r="Y56" s="421" t="s">
        <v>1118</v>
      </c>
      <c r="Z56" s="421" t="s">
        <v>1119</v>
      </c>
      <c r="AA56" s="421" t="s">
        <v>1120</v>
      </c>
      <c r="AB56" s="421" t="s">
        <v>1121</v>
      </c>
      <c r="AC56" s="421" t="s">
        <v>1122</v>
      </c>
      <c r="AD56" s="421" t="s">
        <v>1479</v>
      </c>
      <c r="AE56" s="421" t="s">
        <v>1392</v>
      </c>
      <c r="AF56" s="421" t="s">
        <v>1393</v>
      </c>
      <c r="AG56" s="421" t="s">
        <v>1660</v>
      </c>
      <c r="AH56" s="421">
        <v>120</v>
      </c>
      <c r="AI56" s="421" t="s">
        <v>1189</v>
      </c>
      <c r="AJ56" s="421">
        <v>820</v>
      </c>
      <c r="AK56" s="421">
        <v>2</v>
      </c>
      <c r="AL56" s="421" t="s">
        <v>1173</v>
      </c>
      <c r="AM56" s="421">
        <v>120</v>
      </c>
      <c r="AN56" s="421">
        <v>145</v>
      </c>
      <c r="AO56" s="421" t="s">
        <v>1120</v>
      </c>
      <c r="AP56" s="421" t="s">
        <v>1129</v>
      </c>
      <c r="AR56" s="421" t="s">
        <v>1130</v>
      </c>
      <c r="AT56" s="421" t="s">
        <v>1131</v>
      </c>
      <c r="AU56" s="421" t="s">
        <v>1190</v>
      </c>
      <c r="AV56" s="421" t="s">
        <v>1191</v>
      </c>
      <c r="AW56" s="421" t="s">
        <v>960</v>
      </c>
      <c r="AX56" s="421" t="s">
        <v>960</v>
      </c>
      <c r="AY56" s="421" t="s">
        <v>960</v>
      </c>
      <c r="AZ56" s="421" t="s">
        <v>1121</v>
      </c>
      <c r="BA56" s="421" t="s">
        <v>1652</v>
      </c>
      <c r="BB56" s="421" t="s">
        <v>960</v>
      </c>
      <c r="BC56" s="421" t="s">
        <v>1377</v>
      </c>
      <c r="BD56" s="421" t="s">
        <v>1653</v>
      </c>
      <c r="BE56" s="421" t="s">
        <v>1654</v>
      </c>
      <c r="BF56" s="421" t="s">
        <v>1638</v>
      </c>
      <c r="BG56" s="421" t="s">
        <v>1609</v>
      </c>
      <c r="BH56" s="421" t="s">
        <v>1655</v>
      </c>
      <c r="BI56" s="421" t="s">
        <v>1142</v>
      </c>
      <c r="BJ56" s="421" t="s">
        <v>1243</v>
      </c>
      <c r="BK56" s="421" t="s">
        <v>1659</v>
      </c>
      <c r="BL56" s="421" t="s">
        <v>1656</v>
      </c>
      <c r="BM56" s="421" t="s">
        <v>1657</v>
      </c>
      <c r="BN56" s="421" t="s">
        <v>1382</v>
      </c>
      <c r="BO56" s="421">
        <v>0</v>
      </c>
      <c r="BR56" s="421">
        <v>0</v>
      </c>
      <c r="BS56" s="421">
        <v>0</v>
      </c>
      <c r="BT56" s="421">
        <v>0</v>
      </c>
      <c r="BU56" s="424">
        <v>42056</v>
      </c>
      <c r="BX56" s="421">
        <v>2610.08</v>
      </c>
      <c r="BY56" s="421" t="s">
        <v>1648</v>
      </c>
      <c r="BZ56" s="421">
        <v>1680</v>
      </c>
      <c r="CA56" s="421">
        <v>4384934.4000000004</v>
      </c>
      <c r="CB56" s="421">
        <v>0.67</v>
      </c>
      <c r="CC56" s="421">
        <v>0</v>
      </c>
      <c r="CD56" s="421">
        <v>71.709999999999994</v>
      </c>
      <c r="CE56" s="421">
        <v>72.38</v>
      </c>
      <c r="CF56" s="421">
        <v>0</v>
      </c>
      <c r="CG56" s="421">
        <v>1752.38</v>
      </c>
      <c r="CH56" s="421">
        <v>0</v>
      </c>
      <c r="CI56" s="421">
        <v>1752.38</v>
      </c>
      <c r="CJ56" s="421">
        <v>4573851.9903999995</v>
      </c>
      <c r="CK56" s="421">
        <v>0</v>
      </c>
      <c r="CL56" s="421">
        <v>4573852</v>
      </c>
      <c r="CM56" s="421">
        <v>0</v>
      </c>
      <c r="CN56" s="421">
        <v>0</v>
      </c>
      <c r="CO56" s="421">
        <v>0</v>
      </c>
      <c r="CP56" s="421">
        <v>0</v>
      </c>
      <c r="CQ56" s="421">
        <v>16</v>
      </c>
      <c r="CR56" s="421">
        <v>4573852</v>
      </c>
      <c r="CS56" s="421">
        <v>732000</v>
      </c>
      <c r="CT56" s="421">
        <v>732000</v>
      </c>
      <c r="CU56" s="421">
        <v>0</v>
      </c>
      <c r="CV56" s="421">
        <v>0</v>
      </c>
      <c r="CW56" s="421">
        <v>0</v>
      </c>
      <c r="CX56" s="421">
        <v>0</v>
      </c>
      <c r="CY56" s="421">
        <v>0</v>
      </c>
      <c r="CZ56" s="421">
        <v>0</v>
      </c>
      <c r="DA56" s="421">
        <v>0</v>
      </c>
      <c r="DB56" s="421">
        <v>0</v>
      </c>
      <c r="DC56" s="421">
        <v>0</v>
      </c>
      <c r="DD56" s="421">
        <v>0</v>
      </c>
      <c r="DE56" s="421">
        <v>0</v>
      </c>
      <c r="DF56" s="421">
        <v>0</v>
      </c>
      <c r="DG56" s="421">
        <v>0</v>
      </c>
      <c r="DH56" s="421">
        <v>0</v>
      </c>
      <c r="DI56" s="421">
        <v>0</v>
      </c>
      <c r="DJ56" s="421">
        <v>0</v>
      </c>
      <c r="DK56" s="421">
        <v>0</v>
      </c>
      <c r="DL56" s="421">
        <v>0</v>
      </c>
      <c r="DM56" s="421">
        <v>0</v>
      </c>
      <c r="DN56" s="421">
        <v>0</v>
      </c>
      <c r="DO56" s="421">
        <v>0</v>
      </c>
      <c r="DP56" s="421">
        <v>0</v>
      </c>
      <c r="DQ56" s="421">
        <v>0</v>
      </c>
      <c r="DR56" s="421">
        <v>0</v>
      </c>
      <c r="DS56" s="421">
        <v>0</v>
      </c>
      <c r="DT56" s="421">
        <v>0</v>
      </c>
      <c r="DU56" s="421">
        <v>0</v>
      </c>
      <c r="DV56" s="421">
        <v>0</v>
      </c>
      <c r="DW56" s="421">
        <v>0</v>
      </c>
      <c r="DX56" s="421">
        <v>0</v>
      </c>
      <c r="DY56" s="421">
        <v>732000</v>
      </c>
      <c r="DZ56" s="421">
        <v>732000</v>
      </c>
      <c r="EA56" s="421">
        <v>0</v>
      </c>
      <c r="EB56" s="421">
        <v>0</v>
      </c>
      <c r="EC56" s="421" t="s">
        <v>1148</v>
      </c>
      <c r="ED56" s="421" t="s">
        <v>1167</v>
      </c>
      <c r="EE56" s="421" t="s">
        <v>1167</v>
      </c>
    </row>
    <row r="57" spans="1:135" x14ac:dyDescent="0.25">
      <c r="A57" s="421">
        <v>54</v>
      </c>
      <c r="B57" s="421">
        <v>2015</v>
      </c>
      <c r="C57" s="421">
        <v>3</v>
      </c>
      <c r="D57" s="421">
        <v>24</v>
      </c>
      <c r="E57" s="424">
        <v>42087</v>
      </c>
      <c r="F57" s="421" t="s">
        <v>1661</v>
      </c>
      <c r="G57" s="421" t="s">
        <v>1662</v>
      </c>
      <c r="H57" s="421" t="s">
        <v>1106</v>
      </c>
      <c r="I57" s="421" t="s">
        <v>1107</v>
      </c>
      <c r="J57" s="421" t="s">
        <v>1108</v>
      </c>
      <c r="K57" s="421" t="s">
        <v>1109</v>
      </c>
      <c r="L57" s="421" t="s">
        <v>1110</v>
      </c>
      <c r="O57" s="421" t="s">
        <v>1111</v>
      </c>
      <c r="R57" s="421" t="s">
        <v>1111</v>
      </c>
      <c r="S57" s="421" t="s">
        <v>1112</v>
      </c>
      <c r="T57" s="421" t="s">
        <v>1113</v>
      </c>
      <c r="U57" s="421" t="s">
        <v>1114</v>
      </c>
      <c r="V57" s="421" t="s">
        <v>1115</v>
      </c>
      <c r="W57" s="421" t="s">
        <v>1116</v>
      </c>
      <c r="X57" s="421" t="s">
        <v>1117</v>
      </c>
      <c r="Y57" s="421" t="s">
        <v>1118</v>
      </c>
      <c r="Z57" s="421" t="s">
        <v>1119</v>
      </c>
      <c r="AA57" s="421" t="s">
        <v>1120</v>
      </c>
      <c r="AB57" s="421" t="s">
        <v>1121</v>
      </c>
      <c r="AC57" s="421" t="s">
        <v>1122</v>
      </c>
      <c r="AD57" s="421" t="s">
        <v>1479</v>
      </c>
      <c r="AE57" s="421" t="s">
        <v>1392</v>
      </c>
      <c r="AF57" s="421" t="s">
        <v>1393</v>
      </c>
      <c r="AG57" s="421" t="s">
        <v>1663</v>
      </c>
      <c r="AH57" s="421">
        <v>100</v>
      </c>
      <c r="AI57" s="421" t="s">
        <v>1189</v>
      </c>
      <c r="AJ57" s="421">
        <v>1</v>
      </c>
      <c r="AK57" s="421">
        <v>2</v>
      </c>
      <c r="AL57" s="421" t="s">
        <v>1335</v>
      </c>
      <c r="AM57" s="421">
        <v>187.59</v>
      </c>
      <c r="AN57" s="421">
        <v>208.43</v>
      </c>
      <c r="AO57" s="421" t="s">
        <v>1120</v>
      </c>
      <c r="AP57" s="421" t="s">
        <v>1129</v>
      </c>
      <c r="AR57" s="421" t="s">
        <v>1130</v>
      </c>
      <c r="AT57" s="421" t="s">
        <v>1131</v>
      </c>
      <c r="AU57" s="421" t="s">
        <v>1190</v>
      </c>
      <c r="AV57" s="421" t="s">
        <v>1191</v>
      </c>
      <c r="AW57" s="421" t="s">
        <v>962</v>
      </c>
      <c r="AX57" s="421" t="s">
        <v>962</v>
      </c>
      <c r="AY57" s="421" t="s">
        <v>962</v>
      </c>
      <c r="AZ57" s="421" t="s">
        <v>1121</v>
      </c>
      <c r="BA57" s="421" t="s">
        <v>1664</v>
      </c>
      <c r="BB57" s="421" t="s">
        <v>962</v>
      </c>
      <c r="BC57" s="421" t="s">
        <v>1665</v>
      </c>
      <c r="BD57" s="421" t="s">
        <v>1666</v>
      </c>
      <c r="BE57" s="421" t="s">
        <v>1667</v>
      </c>
      <c r="BF57" s="421" t="s">
        <v>1668</v>
      </c>
      <c r="BG57" s="421" t="s">
        <v>1669</v>
      </c>
      <c r="BH57" s="421" t="s">
        <v>1670</v>
      </c>
      <c r="BI57" s="421" t="s">
        <v>1341</v>
      </c>
      <c r="BJ57" s="421" t="s">
        <v>1342</v>
      </c>
      <c r="BK57" s="421" t="s">
        <v>1662</v>
      </c>
      <c r="BL57" s="421" t="s">
        <v>1671</v>
      </c>
      <c r="BM57" s="421" t="s">
        <v>1672</v>
      </c>
      <c r="BN57" s="421" t="s">
        <v>1583</v>
      </c>
      <c r="BO57" s="421">
        <v>0</v>
      </c>
      <c r="BR57" s="421">
        <v>0</v>
      </c>
      <c r="BS57" s="421">
        <v>0</v>
      </c>
      <c r="BT57" s="421">
        <v>0</v>
      </c>
      <c r="BU57" s="424">
        <v>42081</v>
      </c>
      <c r="BX57" s="421">
        <v>2613.38</v>
      </c>
      <c r="BY57" s="421" t="s">
        <v>1147</v>
      </c>
      <c r="BZ57" s="421">
        <v>6588.64</v>
      </c>
      <c r="CA57" s="421">
        <v>17218620.003199998</v>
      </c>
      <c r="CB57" s="421">
        <v>2.63</v>
      </c>
      <c r="CC57" s="421">
        <v>0</v>
      </c>
      <c r="CD57" s="421">
        <v>557.48</v>
      </c>
      <c r="CE57" s="421">
        <v>560.11</v>
      </c>
      <c r="CF57" s="421">
        <v>0</v>
      </c>
      <c r="CG57" s="421">
        <v>7148.75</v>
      </c>
      <c r="CH57" s="421">
        <v>0</v>
      </c>
      <c r="CI57" s="421">
        <v>7148.75</v>
      </c>
      <c r="CJ57" s="421">
        <v>18682400.274999999</v>
      </c>
      <c r="CK57" s="421">
        <v>0</v>
      </c>
      <c r="CL57" s="421">
        <v>18682400</v>
      </c>
      <c r="CM57" s="421">
        <v>0</v>
      </c>
      <c r="CN57" s="421">
        <v>0</v>
      </c>
      <c r="CO57" s="421">
        <v>0</v>
      </c>
      <c r="CP57" s="421">
        <v>0</v>
      </c>
      <c r="CQ57" s="421">
        <v>16</v>
      </c>
      <c r="CR57" s="421">
        <v>18682400</v>
      </c>
      <c r="CS57" s="421">
        <v>2989000</v>
      </c>
      <c r="CT57" s="421">
        <v>2989000</v>
      </c>
      <c r="CU57" s="421">
        <v>0</v>
      </c>
      <c r="CV57" s="421">
        <v>0</v>
      </c>
      <c r="CW57" s="421">
        <v>0</v>
      </c>
      <c r="CX57" s="421">
        <v>0</v>
      </c>
      <c r="CY57" s="421">
        <v>0</v>
      </c>
      <c r="CZ57" s="421">
        <v>0</v>
      </c>
      <c r="DA57" s="421">
        <v>0</v>
      </c>
      <c r="DB57" s="421">
        <v>0</v>
      </c>
      <c r="DC57" s="421">
        <v>0</v>
      </c>
      <c r="DD57" s="421">
        <v>0</v>
      </c>
      <c r="DE57" s="421">
        <v>0</v>
      </c>
      <c r="DF57" s="421">
        <v>0</v>
      </c>
      <c r="DG57" s="421">
        <v>0</v>
      </c>
      <c r="DH57" s="421">
        <v>0</v>
      </c>
      <c r="DI57" s="421">
        <v>0</v>
      </c>
      <c r="DJ57" s="421">
        <v>0</v>
      </c>
      <c r="DK57" s="421">
        <v>0</v>
      </c>
      <c r="DL57" s="421">
        <v>0</v>
      </c>
      <c r="DM57" s="421">
        <v>0</v>
      </c>
      <c r="DN57" s="421">
        <v>0</v>
      </c>
      <c r="DO57" s="421">
        <v>0</v>
      </c>
      <c r="DP57" s="421">
        <v>0</v>
      </c>
      <c r="DQ57" s="421">
        <v>0</v>
      </c>
      <c r="DR57" s="421">
        <v>0</v>
      </c>
      <c r="DS57" s="421">
        <v>0</v>
      </c>
      <c r="DT57" s="421">
        <v>0</v>
      </c>
      <c r="DU57" s="421">
        <v>0</v>
      </c>
      <c r="DV57" s="421">
        <v>0</v>
      </c>
      <c r="DW57" s="421">
        <v>0</v>
      </c>
      <c r="DX57" s="421">
        <v>0</v>
      </c>
      <c r="DY57" s="421">
        <v>2989000</v>
      </c>
      <c r="DZ57" s="421">
        <v>2989000</v>
      </c>
      <c r="EA57" s="421">
        <v>0</v>
      </c>
      <c r="EB57" s="421">
        <v>0</v>
      </c>
      <c r="EC57" s="421" t="s">
        <v>1148</v>
      </c>
      <c r="ED57" s="421" t="s">
        <v>1149</v>
      </c>
      <c r="EE57" s="421" t="s">
        <v>1149</v>
      </c>
    </row>
    <row r="58" spans="1:135" x14ac:dyDescent="0.25">
      <c r="A58" s="421">
        <v>55</v>
      </c>
      <c r="B58" s="421">
        <v>2015</v>
      </c>
      <c r="C58" s="421">
        <v>3</v>
      </c>
      <c r="D58" s="421">
        <v>24</v>
      </c>
      <c r="E58" s="424">
        <v>42087</v>
      </c>
      <c r="F58" s="421" t="s">
        <v>1673</v>
      </c>
      <c r="G58" s="421" t="s">
        <v>1674</v>
      </c>
      <c r="H58" s="421" t="s">
        <v>1106</v>
      </c>
      <c r="I58" s="421" t="s">
        <v>1107</v>
      </c>
      <c r="J58" s="421" t="s">
        <v>1108</v>
      </c>
      <c r="K58" s="421" t="s">
        <v>1109</v>
      </c>
      <c r="L58" s="421" t="s">
        <v>1110</v>
      </c>
      <c r="O58" s="421" t="s">
        <v>1111</v>
      </c>
      <c r="R58" s="421" t="s">
        <v>1111</v>
      </c>
      <c r="S58" s="421" t="s">
        <v>1112</v>
      </c>
      <c r="T58" s="421" t="s">
        <v>1113</v>
      </c>
      <c r="U58" s="421" t="s">
        <v>1114</v>
      </c>
      <c r="V58" s="421" t="s">
        <v>1115</v>
      </c>
      <c r="W58" s="421" t="s">
        <v>1116</v>
      </c>
      <c r="X58" s="421" t="s">
        <v>1117</v>
      </c>
      <c r="Y58" s="421" t="s">
        <v>1118</v>
      </c>
      <c r="Z58" s="421" t="s">
        <v>1119</v>
      </c>
      <c r="AA58" s="421" t="s">
        <v>1120</v>
      </c>
      <c r="AB58" s="421" t="s">
        <v>1121</v>
      </c>
      <c r="AC58" s="421" t="s">
        <v>1122</v>
      </c>
      <c r="AD58" s="421" t="s">
        <v>1479</v>
      </c>
      <c r="AE58" s="421" t="s">
        <v>1675</v>
      </c>
      <c r="AF58" s="421" t="s">
        <v>1676</v>
      </c>
      <c r="AG58" s="421" t="s">
        <v>1677</v>
      </c>
      <c r="AH58" s="421">
        <v>10</v>
      </c>
      <c r="AI58" s="421" t="s">
        <v>1189</v>
      </c>
      <c r="AJ58" s="421">
        <v>1</v>
      </c>
      <c r="AK58" s="421">
        <v>2</v>
      </c>
      <c r="AL58" s="421" t="s">
        <v>1335</v>
      </c>
      <c r="AM58" s="421">
        <v>3.46</v>
      </c>
      <c r="AN58" s="421">
        <v>3.85</v>
      </c>
      <c r="AO58" s="421" t="s">
        <v>1120</v>
      </c>
      <c r="AP58" s="421" t="s">
        <v>1129</v>
      </c>
      <c r="AR58" s="421" t="s">
        <v>1130</v>
      </c>
      <c r="AT58" s="421" t="s">
        <v>1131</v>
      </c>
      <c r="AU58" s="421" t="s">
        <v>1190</v>
      </c>
      <c r="AV58" s="421" t="s">
        <v>1191</v>
      </c>
      <c r="AW58" s="421" t="s">
        <v>962</v>
      </c>
      <c r="AX58" s="421" t="s">
        <v>962</v>
      </c>
      <c r="AY58" s="421" t="s">
        <v>962</v>
      </c>
      <c r="AZ58" s="421" t="s">
        <v>1121</v>
      </c>
      <c r="BA58" s="421" t="s">
        <v>1664</v>
      </c>
      <c r="BB58" s="421" t="s">
        <v>962</v>
      </c>
      <c r="BC58" s="421" t="s">
        <v>1665</v>
      </c>
      <c r="BD58" s="421" t="s">
        <v>1666</v>
      </c>
      <c r="BE58" s="421" t="s">
        <v>1667</v>
      </c>
      <c r="BF58" s="421" t="s">
        <v>1668</v>
      </c>
      <c r="BG58" s="421" t="s">
        <v>1669</v>
      </c>
      <c r="BH58" s="421" t="s">
        <v>1670</v>
      </c>
      <c r="BI58" s="421" t="s">
        <v>1341</v>
      </c>
      <c r="BJ58" s="421" t="s">
        <v>1342</v>
      </c>
      <c r="BK58" s="421" t="s">
        <v>1674</v>
      </c>
      <c r="BL58" s="421" t="s">
        <v>1671</v>
      </c>
      <c r="BM58" s="421" t="s">
        <v>1672</v>
      </c>
      <c r="BN58" s="421" t="s">
        <v>1583</v>
      </c>
      <c r="BO58" s="421">
        <v>0</v>
      </c>
      <c r="BR58" s="421">
        <v>0</v>
      </c>
      <c r="BS58" s="421">
        <v>0</v>
      </c>
      <c r="BT58" s="421">
        <v>0</v>
      </c>
      <c r="BU58" s="424">
        <v>42081</v>
      </c>
      <c r="BX58" s="421">
        <v>2613.38</v>
      </c>
      <c r="BY58" s="421" t="s">
        <v>1147</v>
      </c>
      <c r="BZ58" s="421">
        <v>121.57</v>
      </c>
      <c r="CA58" s="421">
        <v>317708.6066</v>
      </c>
      <c r="CB58" s="421">
        <v>0.05</v>
      </c>
      <c r="CC58" s="421">
        <v>0</v>
      </c>
      <c r="CD58" s="421">
        <v>10.29</v>
      </c>
      <c r="CE58" s="421">
        <v>10.34</v>
      </c>
      <c r="CF58" s="421">
        <v>0</v>
      </c>
      <c r="CG58" s="421">
        <v>131.91</v>
      </c>
      <c r="CH58" s="421">
        <v>0</v>
      </c>
      <c r="CI58" s="421">
        <v>131.91</v>
      </c>
      <c r="CJ58" s="421">
        <v>344730.9558</v>
      </c>
      <c r="CK58" s="421">
        <v>5</v>
      </c>
      <c r="CL58" s="421">
        <v>344731</v>
      </c>
      <c r="CM58" s="421">
        <v>17000</v>
      </c>
      <c r="CN58" s="421">
        <v>17000</v>
      </c>
      <c r="CO58" s="421">
        <v>0</v>
      </c>
      <c r="CP58" s="421">
        <v>0</v>
      </c>
      <c r="CQ58" s="421">
        <v>16</v>
      </c>
      <c r="CR58" s="421">
        <v>361731</v>
      </c>
      <c r="CS58" s="421">
        <v>58000</v>
      </c>
      <c r="CT58" s="421">
        <v>58000</v>
      </c>
      <c r="CU58" s="421">
        <v>0</v>
      </c>
      <c r="CV58" s="421">
        <v>0</v>
      </c>
      <c r="CW58" s="421">
        <v>0</v>
      </c>
      <c r="CX58" s="421">
        <v>0</v>
      </c>
      <c r="CY58" s="421">
        <v>0</v>
      </c>
      <c r="CZ58" s="421">
        <v>0</v>
      </c>
      <c r="DA58" s="421">
        <v>0</v>
      </c>
      <c r="DB58" s="421">
        <v>0</v>
      </c>
      <c r="DC58" s="421">
        <v>0</v>
      </c>
      <c r="DD58" s="421">
        <v>0</v>
      </c>
      <c r="DE58" s="421">
        <v>0</v>
      </c>
      <c r="DF58" s="421">
        <v>0</v>
      </c>
      <c r="DG58" s="421">
        <v>0</v>
      </c>
      <c r="DH58" s="421">
        <v>0</v>
      </c>
      <c r="DI58" s="421">
        <v>0</v>
      </c>
      <c r="DJ58" s="421">
        <v>0</v>
      </c>
      <c r="DK58" s="421">
        <v>0</v>
      </c>
      <c r="DL58" s="421">
        <v>0</v>
      </c>
      <c r="DM58" s="421">
        <v>0</v>
      </c>
      <c r="DN58" s="421">
        <v>0</v>
      </c>
      <c r="DO58" s="421">
        <v>0</v>
      </c>
      <c r="DP58" s="421">
        <v>0</v>
      </c>
      <c r="DQ58" s="421">
        <v>0</v>
      </c>
      <c r="DR58" s="421">
        <v>0</v>
      </c>
      <c r="DS58" s="421">
        <v>0</v>
      </c>
      <c r="DT58" s="421">
        <v>0</v>
      </c>
      <c r="DU58" s="421">
        <v>0</v>
      </c>
      <c r="DV58" s="421">
        <v>0</v>
      </c>
      <c r="DW58" s="421">
        <v>0</v>
      </c>
      <c r="DX58" s="421">
        <v>0</v>
      </c>
      <c r="DY58" s="421">
        <v>75000</v>
      </c>
      <c r="DZ58" s="421">
        <v>75000</v>
      </c>
      <c r="EA58" s="421">
        <v>0</v>
      </c>
      <c r="EB58" s="421">
        <v>0</v>
      </c>
      <c r="EC58" s="421" t="s">
        <v>1148</v>
      </c>
      <c r="ED58" s="421" t="s">
        <v>1149</v>
      </c>
      <c r="EE58" s="421" t="s">
        <v>1149</v>
      </c>
    </row>
    <row r="59" spans="1:135" x14ac:dyDescent="0.25">
      <c r="A59" s="421">
        <v>56</v>
      </c>
      <c r="B59" s="421">
        <v>2015</v>
      </c>
      <c r="C59" s="421">
        <v>3</v>
      </c>
      <c r="D59" s="421">
        <v>25</v>
      </c>
      <c r="E59" s="424">
        <v>42088</v>
      </c>
      <c r="F59" s="421" t="s">
        <v>1678</v>
      </c>
      <c r="G59" s="421" t="s">
        <v>1679</v>
      </c>
      <c r="H59" s="421" t="s">
        <v>1106</v>
      </c>
      <c r="I59" s="421" t="s">
        <v>1107</v>
      </c>
      <c r="J59" s="421" t="s">
        <v>1108</v>
      </c>
      <c r="K59" s="421" t="s">
        <v>1109</v>
      </c>
      <c r="L59" s="421" t="s">
        <v>1110</v>
      </c>
      <c r="O59" s="421" t="s">
        <v>1111</v>
      </c>
      <c r="R59" s="421" t="s">
        <v>1111</v>
      </c>
      <c r="S59" s="421" t="s">
        <v>1112</v>
      </c>
      <c r="T59" s="421" t="s">
        <v>1113</v>
      </c>
      <c r="U59" s="421" t="s">
        <v>1114</v>
      </c>
      <c r="V59" s="421" t="s">
        <v>1115</v>
      </c>
      <c r="W59" s="421" t="s">
        <v>1116</v>
      </c>
      <c r="X59" s="421" t="s">
        <v>1117</v>
      </c>
      <c r="Y59" s="421" t="s">
        <v>1118</v>
      </c>
      <c r="Z59" s="421" t="s">
        <v>1119</v>
      </c>
      <c r="AA59" s="421" t="s">
        <v>1120</v>
      </c>
      <c r="AB59" s="421" t="s">
        <v>1121</v>
      </c>
      <c r="AC59" s="421" t="s">
        <v>1122</v>
      </c>
      <c r="AD59" s="421" t="s">
        <v>1123</v>
      </c>
      <c r="AE59" s="421" t="s">
        <v>1407</v>
      </c>
      <c r="AF59" s="421" t="s">
        <v>1408</v>
      </c>
      <c r="AG59" s="421" t="s">
        <v>1680</v>
      </c>
      <c r="AH59" s="421">
        <v>16000</v>
      </c>
      <c r="AI59" s="421" t="s">
        <v>1127</v>
      </c>
      <c r="AJ59" s="421">
        <v>77</v>
      </c>
      <c r="AK59" s="421">
        <v>1</v>
      </c>
      <c r="AL59" s="421" t="s">
        <v>1267</v>
      </c>
      <c r="AM59" s="421">
        <v>16000</v>
      </c>
      <c r="AN59" s="421">
        <v>17285</v>
      </c>
      <c r="AO59" s="421" t="s">
        <v>1120</v>
      </c>
      <c r="AP59" s="421" t="s">
        <v>1129</v>
      </c>
      <c r="AR59" s="421" t="s">
        <v>1130</v>
      </c>
      <c r="AT59" s="421" t="s">
        <v>1131</v>
      </c>
      <c r="AU59" s="421" t="s">
        <v>1132</v>
      </c>
      <c r="AV59" s="421" t="s">
        <v>1133</v>
      </c>
      <c r="AW59" s="421" t="s">
        <v>962</v>
      </c>
      <c r="AX59" s="421" t="s">
        <v>962</v>
      </c>
      <c r="AY59" s="421" t="s">
        <v>962</v>
      </c>
      <c r="AZ59" s="421" t="s">
        <v>1121</v>
      </c>
      <c r="BA59" s="421" t="s">
        <v>1410</v>
      </c>
      <c r="BB59" s="421" t="s">
        <v>962</v>
      </c>
      <c r="BC59" s="421" t="s">
        <v>1411</v>
      </c>
      <c r="BD59" s="421" t="s">
        <v>1412</v>
      </c>
      <c r="BE59" s="421" t="s">
        <v>1413</v>
      </c>
      <c r="BF59" s="421" t="s">
        <v>1681</v>
      </c>
      <c r="BG59" s="421" t="s">
        <v>1656</v>
      </c>
      <c r="BH59" s="421" t="s">
        <v>1682</v>
      </c>
      <c r="BI59" s="421" t="s">
        <v>1142</v>
      </c>
      <c r="BJ59" s="421" t="s">
        <v>1417</v>
      </c>
      <c r="BK59" s="421" t="s">
        <v>1679</v>
      </c>
      <c r="BL59" s="421" t="s">
        <v>1683</v>
      </c>
      <c r="BM59" s="421" t="s">
        <v>1684</v>
      </c>
      <c r="BN59" s="421" t="s">
        <v>1592</v>
      </c>
      <c r="BO59" s="421">
        <v>0</v>
      </c>
      <c r="BR59" s="421">
        <v>0</v>
      </c>
      <c r="BS59" s="421">
        <v>0</v>
      </c>
      <c r="BT59" s="421">
        <v>0</v>
      </c>
      <c r="BU59" s="424">
        <v>42076</v>
      </c>
      <c r="BX59" s="421">
        <v>2613.38</v>
      </c>
      <c r="BY59" s="421" t="s">
        <v>1147</v>
      </c>
      <c r="BZ59" s="421">
        <v>55556</v>
      </c>
      <c r="CA59" s="421">
        <v>145188939.28</v>
      </c>
      <c r="CB59" s="421">
        <v>154</v>
      </c>
      <c r="CC59" s="421">
        <v>0</v>
      </c>
      <c r="CD59" s="421">
        <v>2945</v>
      </c>
      <c r="CE59" s="421">
        <v>3099</v>
      </c>
      <c r="CF59" s="421">
        <v>0</v>
      </c>
      <c r="CG59" s="421">
        <v>58655</v>
      </c>
      <c r="CH59" s="421">
        <v>0</v>
      </c>
      <c r="CI59" s="421">
        <v>58655</v>
      </c>
      <c r="CJ59" s="421">
        <v>153287803.90000001</v>
      </c>
      <c r="CK59" s="421">
        <v>0</v>
      </c>
      <c r="CL59" s="421">
        <v>153287804</v>
      </c>
      <c r="CM59" s="421">
        <v>0</v>
      </c>
      <c r="CN59" s="421">
        <v>0</v>
      </c>
      <c r="CO59" s="421">
        <v>0</v>
      </c>
      <c r="CP59" s="421">
        <v>0</v>
      </c>
      <c r="CQ59" s="421">
        <v>16</v>
      </c>
      <c r="CR59" s="421">
        <v>153287804</v>
      </c>
      <c r="CS59" s="421">
        <v>24526000</v>
      </c>
      <c r="CT59" s="421">
        <v>24526000</v>
      </c>
      <c r="CU59" s="421">
        <v>0</v>
      </c>
      <c r="CV59" s="421">
        <v>0</v>
      </c>
      <c r="CW59" s="421">
        <v>0</v>
      </c>
      <c r="CX59" s="421">
        <v>0</v>
      </c>
      <c r="CY59" s="421">
        <v>0</v>
      </c>
      <c r="CZ59" s="421">
        <v>0</v>
      </c>
      <c r="DA59" s="421">
        <v>0</v>
      </c>
      <c r="DB59" s="421">
        <v>0</v>
      </c>
      <c r="DC59" s="421">
        <v>0</v>
      </c>
      <c r="DD59" s="421">
        <v>0</v>
      </c>
      <c r="DE59" s="421">
        <v>0</v>
      </c>
      <c r="DF59" s="421">
        <v>0</v>
      </c>
      <c r="DG59" s="421">
        <v>0</v>
      </c>
      <c r="DH59" s="421">
        <v>0</v>
      </c>
      <c r="DI59" s="421">
        <v>0</v>
      </c>
      <c r="DJ59" s="421">
        <v>0</v>
      </c>
      <c r="DK59" s="421">
        <v>0</v>
      </c>
      <c r="DL59" s="421">
        <v>0</v>
      </c>
      <c r="DM59" s="421">
        <v>0</v>
      </c>
      <c r="DN59" s="421">
        <v>0</v>
      </c>
      <c r="DO59" s="421">
        <v>0</v>
      </c>
      <c r="DP59" s="421">
        <v>0</v>
      </c>
      <c r="DQ59" s="421">
        <v>0</v>
      </c>
      <c r="DR59" s="421">
        <v>0</v>
      </c>
      <c r="DS59" s="421">
        <v>0</v>
      </c>
      <c r="DT59" s="421">
        <v>0</v>
      </c>
      <c r="DU59" s="421">
        <v>0</v>
      </c>
      <c r="DV59" s="421">
        <v>0</v>
      </c>
      <c r="DW59" s="421">
        <v>0</v>
      </c>
      <c r="DX59" s="421">
        <v>0</v>
      </c>
      <c r="DY59" s="421">
        <v>24526000</v>
      </c>
      <c r="DZ59" s="421">
        <v>24526000</v>
      </c>
      <c r="EA59" s="421">
        <v>0</v>
      </c>
      <c r="EB59" s="421">
        <v>0</v>
      </c>
      <c r="EC59" s="421" t="s">
        <v>1148</v>
      </c>
      <c r="ED59" s="421" t="s">
        <v>1149</v>
      </c>
      <c r="EE59" s="421" t="s">
        <v>1149</v>
      </c>
    </row>
    <row r="60" spans="1:135" x14ac:dyDescent="0.25">
      <c r="A60" s="421">
        <v>57</v>
      </c>
      <c r="B60" s="421">
        <v>2015</v>
      </c>
      <c r="C60" s="421">
        <v>3</v>
      </c>
      <c r="D60" s="421">
        <v>26</v>
      </c>
      <c r="E60" s="424">
        <v>42089</v>
      </c>
      <c r="F60" s="421" t="s">
        <v>1685</v>
      </c>
      <c r="G60" s="421" t="s">
        <v>1686</v>
      </c>
      <c r="H60" s="421" t="s">
        <v>1152</v>
      </c>
      <c r="I60" s="421" t="s">
        <v>1107</v>
      </c>
      <c r="J60" s="421" t="s">
        <v>1108</v>
      </c>
      <c r="K60" s="421" t="s">
        <v>1202</v>
      </c>
      <c r="L60" s="421" t="s">
        <v>1110</v>
      </c>
      <c r="O60" s="421" t="s">
        <v>1111</v>
      </c>
      <c r="R60" s="421" t="s">
        <v>1111</v>
      </c>
      <c r="S60" s="421" t="s">
        <v>1112</v>
      </c>
      <c r="T60" s="421" t="s">
        <v>1113</v>
      </c>
      <c r="U60" s="421" t="s">
        <v>1114</v>
      </c>
      <c r="V60" s="421" t="s">
        <v>1115</v>
      </c>
      <c r="W60" s="421" t="s">
        <v>1116</v>
      </c>
      <c r="X60" s="421" t="s">
        <v>1117</v>
      </c>
      <c r="Y60" s="421" t="s">
        <v>1118</v>
      </c>
      <c r="Z60" s="421" t="s">
        <v>1119</v>
      </c>
      <c r="AA60" s="421" t="s">
        <v>1120</v>
      </c>
      <c r="AB60" s="421" t="s">
        <v>1121</v>
      </c>
      <c r="AC60" s="421" t="s">
        <v>1122</v>
      </c>
      <c r="AD60" s="421" t="s">
        <v>1479</v>
      </c>
      <c r="AE60" s="421" t="s">
        <v>1203</v>
      </c>
      <c r="AF60" s="421" t="s">
        <v>1204</v>
      </c>
      <c r="AG60" s="421" t="s">
        <v>1687</v>
      </c>
      <c r="AH60" s="421">
        <v>43000</v>
      </c>
      <c r="AI60" s="421" t="s">
        <v>1127</v>
      </c>
      <c r="AJ60" s="421">
        <v>2</v>
      </c>
      <c r="AK60" s="421">
        <v>1</v>
      </c>
      <c r="AL60" s="421" t="s">
        <v>1283</v>
      </c>
      <c r="AM60" s="421">
        <v>43000</v>
      </c>
      <c r="AN60" s="421">
        <v>43485</v>
      </c>
      <c r="AO60" s="421" t="s">
        <v>1120</v>
      </c>
      <c r="AP60" s="421" t="s">
        <v>1129</v>
      </c>
      <c r="AR60" s="421" t="s">
        <v>1130</v>
      </c>
      <c r="AT60" s="421" t="s">
        <v>1131</v>
      </c>
      <c r="AU60" s="421" t="s">
        <v>1132</v>
      </c>
      <c r="AV60" s="421" t="s">
        <v>1133</v>
      </c>
      <c r="AW60" s="421" t="s">
        <v>1207</v>
      </c>
      <c r="AX60" s="421" t="s">
        <v>1207</v>
      </c>
      <c r="AY60" s="421" t="s">
        <v>1208</v>
      </c>
      <c r="AZ60" s="421" t="s">
        <v>1121</v>
      </c>
      <c r="BA60" s="421" t="s">
        <v>1209</v>
      </c>
      <c r="BB60" s="421" t="s">
        <v>1208</v>
      </c>
      <c r="BC60" s="421" t="s">
        <v>1210</v>
      </c>
      <c r="BD60" s="421" t="s">
        <v>1211</v>
      </c>
      <c r="BE60" s="421" t="s">
        <v>1212</v>
      </c>
      <c r="BF60" s="421" t="s">
        <v>1688</v>
      </c>
      <c r="BG60" s="421" t="s">
        <v>1671</v>
      </c>
      <c r="BH60" s="421" t="s">
        <v>1689</v>
      </c>
      <c r="BI60" s="421" t="s">
        <v>1142</v>
      </c>
      <c r="BJ60" s="421" t="s">
        <v>1243</v>
      </c>
      <c r="BK60" s="421" t="s">
        <v>1686</v>
      </c>
      <c r="BL60" s="421" t="s">
        <v>1690</v>
      </c>
      <c r="BM60" s="421" t="s">
        <v>1691</v>
      </c>
      <c r="BN60" s="421" t="s">
        <v>1692</v>
      </c>
      <c r="BO60" s="421">
        <v>0</v>
      </c>
      <c r="BR60" s="421">
        <v>0</v>
      </c>
      <c r="BS60" s="421">
        <v>0</v>
      </c>
      <c r="BT60" s="421">
        <v>0</v>
      </c>
      <c r="BU60" s="424">
        <v>42081</v>
      </c>
      <c r="BX60" s="421">
        <v>2613.38</v>
      </c>
      <c r="BY60" s="421" t="s">
        <v>1147</v>
      </c>
      <c r="BZ60" s="421">
        <v>90300</v>
      </c>
      <c r="CA60" s="421">
        <v>235988214</v>
      </c>
      <c r="CB60" s="421">
        <v>36.119999999999997</v>
      </c>
      <c r="CC60" s="421">
        <v>0</v>
      </c>
      <c r="CD60" s="421">
        <v>1680</v>
      </c>
      <c r="CE60" s="421">
        <v>1716.12</v>
      </c>
      <c r="CF60" s="421">
        <v>0</v>
      </c>
      <c r="CG60" s="421">
        <v>92016.12</v>
      </c>
      <c r="CH60" s="421">
        <v>0</v>
      </c>
      <c r="CI60" s="421">
        <v>92016.12</v>
      </c>
      <c r="CJ60" s="421">
        <v>240473087.68560001</v>
      </c>
      <c r="CK60" s="421">
        <v>0</v>
      </c>
      <c r="CL60" s="421">
        <v>240473088</v>
      </c>
      <c r="CM60" s="421">
        <v>0</v>
      </c>
      <c r="CN60" s="421">
        <v>0</v>
      </c>
      <c r="CO60" s="421">
        <v>0</v>
      </c>
      <c r="CP60" s="421">
        <v>0</v>
      </c>
      <c r="CQ60" s="421">
        <v>0</v>
      </c>
      <c r="CR60" s="421">
        <v>240473088</v>
      </c>
      <c r="CS60" s="421">
        <v>0</v>
      </c>
      <c r="CT60" s="421">
        <v>0</v>
      </c>
      <c r="CU60" s="421">
        <v>0</v>
      </c>
      <c r="CV60" s="421">
        <v>0</v>
      </c>
      <c r="CW60" s="421">
        <v>0</v>
      </c>
      <c r="CX60" s="421">
        <v>0</v>
      </c>
      <c r="CY60" s="421">
        <v>0</v>
      </c>
      <c r="CZ60" s="421">
        <v>0</v>
      </c>
      <c r="DA60" s="421">
        <v>0</v>
      </c>
      <c r="DB60" s="421">
        <v>0</v>
      </c>
      <c r="DC60" s="421">
        <v>0</v>
      </c>
      <c r="DD60" s="421">
        <v>0</v>
      </c>
      <c r="DE60" s="421">
        <v>0</v>
      </c>
      <c r="DF60" s="421">
        <v>0</v>
      </c>
      <c r="DG60" s="421">
        <v>0</v>
      </c>
      <c r="DH60" s="421">
        <v>0</v>
      </c>
      <c r="DI60" s="421">
        <v>0</v>
      </c>
      <c r="DJ60" s="421">
        <v>0</v>
      </c>
      <c r="DK60" s="421">
        <v>0</v>
      </c>
      <c r="DL60" s="421">
        <v>0</v>
      </c>
      <c r="DM60" s="421">
        <v>0</v>
      </c>
      <c r="DN60" s="421">
        <v>0</v>
      </c>
      <c r="DO60" s="421">
        <v>0</v>
      </c>
      <c r="DP60" s="421">
        <v>0</v>
      </c>
      <c r="DQ60" s="421">
        <v>0</v>
      </c>
      <c r="DR60" s="421">
        <v>0</v>
      </c>
      <c r="DS60" s="421">
        <v>0</v>
      </c>
      <c r="DT60" s="421">
        <v>0</v>
      </c>
      <c r="DU60" s="421">
        <v>0</v>
      </c>
      <c r="DV60" s="421">
        <v>0</v>
      </c>
      <c r="DW60" s="421">
        <v>0</v>
      </c>
      <c r="DX60" s="421">
        <v>0</v>
      </c>
      <c r="DY60" s="421">
        <v>0</v>
      </c>
      <c r="DZ60" s="421">
        <v>0</v>
      </c>
      <c r="EA60" s="421">
        <v>0</v>
      </c>
      <c r="EB60" s="421">
        <v>0</v>
      </c>
      <c r="EC60" s="421" t="s">
        <v>1148</v>
      </c>
      <c r="ED60" s="421" t="s">
        <v>1149</v>
      </c>
      <c r="EE60" s="421" t="s">
        <v>1149</v>
      </c>
    </row>
    <row r="61" spans="1:135" x14ac:dyDescent="0.25">
      <c r="A61" s="421">
        <v>58</v>
      </c>
      <c r="B61" s="421">
        <v>2015</v>
      </c>
      <c r="C61" s="421">
        <v>3</v>
      </c>
      <c r="D61" s="421">
        <v>30</v>
      </c>
      <c r="E61" s="424">
        <v>42093</v>
      </c>
      <c r="F61" s="421" t="s">
        <v>1693</v>
      </c>
      <c r="G61" s="421" t="s">
        <v>1694</v>
      </c>
      <c r="H61" s="421" t="s">
        <v>1106</v>
      </c>
      <c r="I61" s="421" t="s">
        <v>1107</v>
      </c>
      <c r="J61" s="421" t="s">
        <v>1108</v>
      </c>
      <c r="K61" s="421" t="s">
        <v>1109</v>
      </c>
      <c r="L61" s="421" t="s">
        <v>1110</v>
      </c>
      <c r="O61" s="421" t="s">
        <v>1111</v>
      </c>
      <c r="R61" s="421" t="s">
        <v>1111</v>
      </c>
      <c r="S61" s="421" t="s">
        <v>1112</v>
      </c>
      <c r="T61" s="421" t="s">
        <v>1113</v>
      </c>
      <c r="U61" s="421" t="s">
        <v>1114</v>
      </c>
      <c r="V61" s="421" t="s">
        <v>1115</v>
      </c>
      <c r="W61" s="421" t="s">
        <v>1116</v>
      </c>
      <c r="X61" s="421" t="s">
        <v>1117</v>
      </c>
      <c r="Y61" s="421" t="s">
        <v>1118</v>
      </c>
      <c r="Z61" s="421" t="s">
        <v>1119</v>
      </c>
      <c r="AA61" s="421" t="s">
        <v>1120</v>
      </c>
      <c r="AB61" s="421" t="s">
        <v>1121</v>
      </c>
      <c r="AC61" s="421" t="s">
        <v>1122</v>
      </c>
      <c r="AD61" s="421" t="s">
        <v>1479</v>
      </c>
      <c r="AE61" s="421" t="s">
        <v>1264</v>
      </c>
      <c r="AF61" s="421" t="s">
        <v>1265</v>
      </c>
      <c r="AG61" s="421" t="s">
        <v>1695</v>
      </c>
      <c r="AH61" s="421">
        <v>11376.23</v>
      </c>
      <c r="AI61" s="421" t="s">
        <v>1127</v>
      </c>
      <c r="AJ61" s="421">
        <v>131</v>
      </c>
      <c r="AK61" s="421">
        <v>1</v>
      </c>
      <c r="AL61" s="421" t="s">
        <v>1206</v>
      </c>
      <c r="AM61" s="421">
        <v>11376.23</v>
      </c>
      <c r="AN61" s="421">
        <v>11945.04</v>
      </c>
      <c r="AO61" s="421" t="s">
        <v>1120</v>
      </c>
      <c r="AP61" s="421" t="s">
        <v>1129</v>
      </c>
      <c r="AR61" s="421" t="s">
        <v>1130</v>
      </c>
      <c r="AT61" s="421" t="s">
        <v>1131</v>
      </c>
      <c r="AU61" s="421" t="s">
        <v>1132</v>
      </c>
      <c r="AV61" s="421" t="s">
        <v>1133</v>
      </c>
      <c r="AW61" s="421" t="s">
        <v>962</v>
      </c>
      <c r="AX61" s="421" t="s">
        <v>962</v>
      </c>
      <c r="AY61" s="421" t="s">
        <v>962</v>
      </c>
      <c r="AZ61" s="421" t="s">
        <v>1121</v>
      </c>
      <c r="BA61" s="421" t="s">
        <v>1364</v>
      </c>
      <c r="BB61" s="421" t="s">
        <v>962</v>
      </c>
      <c r="BC61" s="421" t="s">
        <v>1365</v>
      </c>
      <c r="BD61" s="421" t="s">
        <v>1366</v>
      </c>
      <c r="BE61" s="421" t="s">
        <v>1696</v>
      </c>
      <c r="BF61" s="421" t="s">
        <v>1688</v>
      </c>
      <c r="BG61" s="421" t="s">
        <v>1671</v>
      </c>
      <c r="BH61" s="421" t="s">
        <v>1697</v>
      </c>
      <c r="BI61" s="421" t="s">
        <v>1142</v>
      </c>
      <c r="BJ61" s="421" t="s">
        <v>1243</v>
      </c>
      <c r="BK61" s="421" t="s">
        <v>1694</v>
      </c>
      <c r="BL61" s="421" t="s">
        <v>1698</v>
      </c>
      <c r="BM61" s="421" t="s">
        <v>1699</v>
      </c>
      <c r="BN61" s="421" t="s">
        <v>1700</v>
      </c>
      <c r="BO61" s="421">
        <v>0</v>
      </c>
      <c r="BR61" s="421">
        <v>0</v>
      </c>
      <c r="BS61" s="421">
        <v>0</v>
      </c>
      <c r="BT61" s="421">
        <v>0</v>
      </c>
      <c r="BU61" s="424">
        <v>42070</v>
      </c>
      <c r="BX61" s="421">
        <v>2613.38</v>
      </c>
      <c r="BY61" s="421" t="s">
        <v>1147</v>
      </c>
      <c r="BZ61" s="421">
        <v>119193.98</v>
      </c>
      <c r="CA61" s="421">
        <v>311499163.45240003</v>
      </c>
      <c r="CB61" s="421">
        <v>47.68</v>
      </c>
      <c r="CC61" s="421">
        <v>0</v>
      </c>
      <c r="CD61" s="421">
        <v>945.65</v>
      </c>
      <c r="CE61" s="421">
        <v>993.33</v>
      </c>
      <c r="CF61" s="421">
        <v>0</v>
      </c>
      <c r="CG61" s="421">
        <v>120187.31</v>
      </c>
      <c r="CH61" s="421">
        <v>0</v>
      </c>
      <c r="CI61" s="421">
        <v>120187.31</v>
      </c>
      <c r="CJ61" s="421">
        <v>314095112.20779997</v>
      </c>
      <c r="CK61" s="421">
        <v>5</v>
      </c>
      <c r="CL61" s="421">
        <v>314095112</v>
      </c>
      <c r="CM61" s="421">
        <v>15705000</v>
      </c>
      <c r="CN61" s="421">
        <v>15705000</v>
      </c>
      <c r="CO61" s="421">
        <v>0</v>
      </c>
      <c r="CP61" s="421">
        <v>0</v>
      </c>
      <c r="CQ61" s="421">
        <v>16</v>
      </c>
      <c r="CR61" s="421">
        <v>329800112</v>
      </c>
      <c r="CS61" s="421">
        <v>52768000</v>
      </c>
      <c r="CT61" s="421">
        <v>52768000</v>
      </c>
      <c r="CU61" s="421">
        <v>0</v>
      </c>
      <c r="CV61" s="421">
        <v>0</v>
      </c>
      <c r="CW61" s="421">
        <v>0</v>
      </c>
      <c r="CX61" s="421">
        <v>0</v>
      </c>
      <c r="CY61" s="421">
        <v>0</v>
      </c>
      <c r="CZ61" s="421">
        <v>0</v>
      </c>
      <c r="DA61" s="421">
        <v>0</v>
      </c>
      <c r="DB61" s="421">
        <v>0</v>
      </c>
      <c r="DC61" s="421">
        <v>0</v>
      </c>
      <c r="DD61" s="421">
        <v>0</v>
      </c>
      <c r="DE61" s="421">
        <v>0</v>
      </c>
      <c r="DF61" s="421">
        <v>0</v>
      </c>
      <c r="DG61" s="421">
        <v>0</v>
      </c>
      <c r="DH61" s="421">
        <v>0</v>
      </c>
      <c r="DI61" s="421">
        <v>0</v>
      </c>
      <c r="DJ61" s="421">
        <v>0</v>
      </c>
      <c r="DK61" s="421">
        <v>0</v>
      </c>
      <c r="DL61" s="421">
        <v>0</v>
      </c>
      <c r="DM61" s="421">
        <v>0</v>
      </c>
      <c r="DN61" s="421">
        <v>0</v>
      </c>
      <c r="DO61" s="421">
        <v>0</v>
      </c>
      <c r="DP61" s="421">
        <v>0</v>
      </c>
      <c r="DQ61" s="421">
        <v>0</v>
      </c>
      <c r="DR61" s="421">
        <v>0</v>
      </c>
      <c r="DS61" s="421">
        <v>0</v>
      </c>
      <c r="DT61" s="421">
        <v>0</v>
      </c>
      <c r="DU61" s="421">
        <v>0</v>
      </c>
      <c r="DV61" s="421">
        <v>0</v>
      </c>
      <c r="DW61" s="421">
        <v>0</v>
      </c>
      <c r="DX61" s="421">
        <v>0</v>
      </c>
      <c r="DY61" s="421">
        <v>68473000</v>
      </c>
      <c r="DZ61" s="421">
        <v>68473000</v>
      </c>
      <c r="EA61" s="421">
        <v>0</v>
      </c>
      <c r="EB61" s="421">
        <v>0</v>
      </c>
      <c r="EC61" s="421" t="s">
        <v>1148</v>
      </c>
      <c r="ED61" s="421" t="s">
        <v>1149</v>
      </c>
      <c r="EE61" s="421" t="s">
        <v>1149</v>
      </c>
    </row>
    <row r="62" spans="1:135" x14ac:dyDescent="0.25">
      <c r="A62" s="421">
        <v>59</v>
      </c>
      <c r="B62" s="421">
        <v>2015</v>
      </c>
      <c r="C62" s="421">
        <v>3</v>
      </c>
      <c r="D62" s="421">
        <v>30</v>
      </c>
      <c r="E62" s="424">
        <v>42093</v>
      </c>
      <c r="F62" s="421" t="s">
        <v>1701</v>
      </c>
      <c r="G62" s="421" t="s">
        <v>1702</v>
      </c>
      <c r="H62" s="421" t="s">
        <v>1106</v>
      </c>
      <c r="I62" s="421" t="s">
        <v>1107</v>
      </c>
      <c r="J62" s="421" t="s">
        <v>1108</v>
      </c>
      <c r="K62" s="421" t="s">
        <v>1109</v>
      </c>
      <c r="L62" s="421" t="s">
        <v>1110</v>
      </c>
      <c r="O62" s="421" t="s">
        <v>1111</v>
      </c>
      <c r="R62" s="421" t="s">
        <v>1111</v>
      </c>
      <c r="S62" s="421" t="s">
        <v>1112</v>
      </c>
      <c r="T62" s="421" t="s">
        <v>1113</v>
      </c>
      <c r="U62" s="421" t="s">
        <v>1114</v>
      </c>
      <c r="V62" s="421" t="s">
        <v>1115</v>
      </c>
      <c r="W62" s="421" t="s">
        <v>1116</v>
      </c>
      <c r="X62" s="421" t="s">
        <v>1117</v>
      </c>
      <c r="Y62" s="421" t="s">
        <v>1118</v>
      </c>
      <c r="Z62" s="421" t="s">
        <v>1119</v>
      </c>
      <c r="AA62" s="421" t="s">
        <v>1120</v>
      </c>
      <c r="AB62" s="421" t="s">
        <v>1121</v>
      </c>
      <c r="AC62" s="421" t="s">
        <v>1122</v>
      </c>
      <c r="AD62" s="421" t="s">
        <v>1479</v>
      </c>
      <c r="AE62" s="421" t="s">
        <v>1264</v>
      </c>
      <c r="AF62" s="421" t="s">
        <v>1265</v>
      </c>
      <c r="AG62" s="421" t="s">
        <v>1703</v>
      </c>
      <c r="AH62" s="421">
        <v>7021.69</v>
      </c>
      <c r="AI62" s="421" t="s">
        <v>1127</v>
      </c>
      <c r="AJ62" s="421">
        <v>131</v>
      </c>
      <c r="AK62" s="421">
        <v>1</v>
      </c>
      <c r="AL62" s="421" t="s">
        <v>1206</v>
      </c>
      <c r="AM62" s="421">
        <v>7021.69</v>
      </c>
      <c r="AN62" s="421">
        <v>7444.21</v>
      </c>
      <c r="AO62" s="421" t="s">
        <v>1427</v>
      </c>
      <c r="AP62" s="421" t="s">
        <v>1129</v>
      </c>
      <c r="AR62" s="421" t="s">
        <v>1130</v>
      </c>
      <c r="AT62" s="421" t="s">
        <v>1131</v>
      </c>
      <c r="AU62" s="421" t="s">
        <v>1132</v>
      </c>
      <c r="AV62" s="421" t="s">
        <v>1133</v>
      </c>
      <c r="AW62" s="421" t="s">
        <v>962</v>
      </c>
      <c r="AX62" s="421" t="s">
        <v>962</v>
      </c>
      <c r="AY62" s="421" t="s">
        <v>962</v>
      </c>
      <c r="AZ62" s="421" t="s">
        <v>1121</v>
      </c>
      <c r="BA62" s="421" t="s">
        <v>1364</v>
      </c>
      <c r="BB62" s="421" t="s">
        <v>962</v>
      </c>
      <c r="BC62" s="421" t="s">
        <v>1365</v>
      </c>
      <c r="BD62" s="421" t="s">
        <v>1366</v>
      </c>
      <c r="BE62" s="421" t="s">
        <v>1696</v>
      </c>
      <c r="BF62" s="421" t="s">
        <v>1688</v>
      </c>
      <c r="BG62" s="421" t="s">
        <v>1671</v>
      </c>
      <c r="BH62" s="421" t="s">
        <v>1697</v>
      </c>
      <c r="BI62" s="421" t="s">
        <v>1142</v>
      </c>
      <c r="BJ62" s="421" t="s">
        <v>1243</v>
      </c>
      <c r="BK62" s="421" t="s">
        <v>1702</v>
      </c>
      <c r="BL62" s="421" t="s">
        <v>1698</v>
      </c>
      <c r="BM62" s="421" t="s">
        <v>1699</v>
      </c>
      <c r="BN62" s="421" t="s">
        <v>1700</v>
      </c>
      <c r="BO62" s="421">
        <v>0</v>
      </c>
      <c r="BR62" s="421">
        <v>0</v>
      </c>
      <c r="BS62" s="421">
        <v>0</v>
      </c>
      <c r="BT62" s="421">
        <v>0</v>
      </c>
      <c r="BU62" s="424">
        <v>42070</v>
      </c>
      <c r="BX62" s="421">
        <v>2613.38</v>
      </c>
      <c r="BY62" s="421" t="s">
        <v>1147</v>
      </c>
      <c r="BZ62" s="421">
        <v>43207.839999999997</v>
      </c>
      <c r="CA62" s="421">
        <v>112918504.89920001</v>
      </c>
      <c r="CB62" s="421">
        <v>17.28</v>
      </c>
      <c r="CC62" s="421">
        <v>0</v>
      </c>
      <c r="CD62" s="421">
        <v>589.35</v>
      </c>
      <c r="CE62" s="421">
        <v>606.63</v>
      </c>
      <c r="CF62" s="421">
        <v>0</v>
      </c>
      <c r="CG62" s="421">
        <v>43814.47</v>
      </c>
      <c r="CH62" s="421">
        <v>0</v>
      </c>
      <c r="CI62" s="421">
        <v>43814.47</v>
      </c>
      <c r="CJ62" s="421">
        <v>114503859.60860001</v>
      </c>
      <c r="CK62" s="421">
        <v>2</v>
      </c>
      <c r="CL62" s="421">
        <v>114503860</v>
      </c>
      <c r="CM62" s="421">
        <v>2290000</v>
      </c>
      <c r="CN62" s="421">
        <v>2290000</v>
      </c>
      <c r="CO62" s="421">
        <v>0</v>
      </c>
      <c r="CP62" s="421">
        <v>0</v>
      </c>
      <c r="CQ62" s="421">
        <v>16</v>
      </c>
      <c r="CR62" s="421">
        <v>116793860</v>
      </c>
      <c r="CS62" s="421">
        <v>18687000</v>
      </c>
      <c r="CT62" s="421">
        <v>18687000</v>
      </c>
      <c r="CU62" s="421">
        <v>0</v>
      </c>
      <c r="CV62" s="421">
        <v>0</v>
      </c>
      <c r="CW62" s="421">
        <v>0</v>
      </c>
      <c r="CX62" s="421">
        <v>0</v>
      </c>
      <c r="CY62" s="421">
        <v>0</v>
      </c>
      <c r="CZ62" s="421">
        <v>0</v>
      </c>
      <c r="DA62" s="421">
        <v>0</v>
      </c>
      <c r="DB62" s="421">
        <v>0</v>
      </c>
      <c r="DC62" s="421">
        <v>0</v>
      </c>
      <c r="DD62" s="421">
        <v>0</v>
      </c>
      <c r="DE62" s="421">
        <v>0</v>
      </c>
      <c r="DF62" s="421">
        <v>0</v>
      </c>
      <c r="DG62" s="421">
        <v>0</v>
      </c>
      <c r="DH62" s="421">
        <v>0</v>
      </c>
      <c r="DI62" s="421">
        <v>0</v>
      </c>
      <c r="DJ62" s="421">
        <v>0</v>
      </c>
      <c r="DK62" s="421">
        <v>0</v>
      </c>
      <c r="DL62" s="421">
        <v>0</v>
      </c>
      <c r="DM62" s="421">
        <v>0</v>
      </c>
      <c r="DN62" s="421">
        <v>0</v>
      </c>
      <c r="DO62" s="421">
        <v>0</v>
      </c>
      <c r="DP62" s="421">
        <v>0</v>
      </c>
      <c r="DQ62" s="421">
        <v>0</v>
      </c>
      <c r="DR62" s="421">
        <v>0</v>
      </c>
      <c r="DS62" s="421">
        <v>0</v>
      </c>
      <c r="DT62" s="421">
        <v>0</v>
      </c>
      <c r="DU62" s="421">
        <v>0</v>
      </c>
      <c r="DV62" s="421">
        <v>0</v>
      </c>
      <c r="DW62" s="421">
        <v>0</v>
      </c>
      <c r="DX62" s="421">
        <v>0</v>
      </c>
      <c r="DY62" s="421">
        <v>20977000</v>
      </c>
      <c r="DZ62" s="421">
        <v>20977000</v>
      </c>
      <c r="EA62" s="421">
        <v>0</v>
      </c>
      <c r="EB62" s="421">
        <v>0</v>
      </c>
      <c r="EC62" s="421" t="s">
        <v>1148</v>
      </c>
      <c r="ED62" s="421" t="s">
        <v>1149</v>
      </c>
      <c r="EE62" s="421" t="s">
        <v>1149</v>
      </c>
    </row>
    <row r="63" spans="1:135" x14ac:dyDescent="0.25">
      <c r="A63" s="421">
        <v>60</v>
      </c>
      <c r="B63" s="421">
        <v>2015</v>
      </c>
      <c r="C63" s="421">
        <v>4</v>
      </c>
      <c r="D63" s="421">
        <v>6</v>
      </c>
      <c r="E63" s="424">
        <v>42100</v>
      </c>
      <c r="F63" s="421" t="s">
        <v>1704</v>
      </c>
      <c r="G63" s="421" t="s">
        <v>1705</v>
      </c>
      <c r="H63" s="421" t="s">
        <v>1106</v>
      </c>
      <c r="I63" s="421" t="s">
        <v>1107</v>
      </c>
      <c r="J63" s="421" t="s">
        <v>1108</v>
      </c>
      <c r="K63" s="421" t="s">
        <v>1109</v>
      </c>
      <c r="L63" s="421" t="s">
        <v>1110</v>
      </c>
      <c r="O63" s="421" t="s">
        <v>1111</v>
      </c>
      <c r="R63" s="421" t="s">
        <v>1111</v>
      </c>
      <c r="S63" s="421" t="s">
        <v>1112</v>
      </c>
      <c r="T63" s="421" t="s">
        <v>1113</v>
      </c>
      <c r="U63" s="421" t="s">
        <v>1114</v>
      </c>
      <c r="V63" s="421" t="s">
        <v>1115</v>
      </c>
      <c r="W63" s="421" t="s">
        <v>1116</v>
      </c>
      <c r="X63" s="421" t="s">
        <v>1117</v>
      </c>
      <c r="Y63" s="421" t="s">
        <v>1118</v>
      </c>
      <c r="Z63" s="421" t="s">
        <v>1119</v>
      </c>
      <c r="AA63" s="421" t="s">
        <v>1120</v>
      </c>
      <c r="AB63" s="421" t="s">
        <v>1121</v>
      </c>
      <c r="AC63" s="421" t="s">
        <v>1122</v>
      </c>
      <c r="AD63" s="421" t="s">
        <v>1479</v>
      </c>
      <c r="AE63" s="421" t="s">
        <v>1706</v>
      </c>
      <c r="AF63" s="421" t="s">
        <v>1707</v>
      </c>
      <c r="AG63" s="421" t="s">
        <v>1708</v>
      </c>
      <c r="AH63" s="421">
        <v>7000</v>
      </c>
      <c r="AI63" s="421" t="s">
        <v>1127</v>
      </c>
      <c r="AJ63" s="421">
        <v>35</v>
      </c>
      <c r="AK63" s="421">
        <v>1</v>
      </c>
      <c r="AL63" s="421" t="s">
        <v>1267</v>
      </c>
      <c r="AM63" s="421">
        <v>7000</v>
      </c>
      <c r="AN63" s="421">
        <v>7297.5</v>
      </c>
      <c r="AO63" s="421" t="s">
        <v>1120</v>
      </c>
      <c r="AP63" s="421" t="s">
        <v>1129</v>
      </c>
      <c r="AR63" s="421" t="s">
        <v>1130</v>
      </c>
      <c r="AT63" s="421" t="s">
        <v>1131</v>
      </c>
      <c r="AU63" s="421" t="s">
        <v>1132</v>
      </c>
      <c r="AV63" s="421" t="s">
        <v>1133</v>
      </c>
      <c r="AW63" s="421" t="s">
        <v>1547</v>
      </c>
      <c r="AX63" s="421" t="s">
        <v>1547</v>
      </c>
      <c r="AY63" s="421" t="s">
        <v>1547</v>
      </c>
      <c r="AZ63" s="421" t="s">
        <v>1121</v>
      </c>
      <c r="BA63" s="421" t="s">
        <v>1709</v>
      </c>
      <c r="BB63" s="421" t="s">
        <v>1547</v>
      </c>
      <c r="BC63" s="421" t="s">
        <v>1710</v>
      </c>
      <c r="BD63" s="421" t="s">
        <v>1711</v>
      </c>
      <c r="BE63" s="421" t="s">
        <v>1712</v>
      </c>
      <c r="BF63" s="421" t="s">
        <v>1713</v>
      </c>
      <c r="BG63" s="421" t="s">
        <v>1714</v>
      </c>
      <c r="BH63" s="421" t="s">
        <v>1715</v>
      </c>
      <c r="BI63" s="421" t="s">
        <v>1142</v>
      </c>
      <c r="BJ63" s="421" t="s">
        <v>1716</v>
      </c>
      <c r="BK63" s="421" t="s">
        <v>1705</v>
      </c>
      <c r="BL63" s="421" t="s">
        <v>1717</v>
      </c>
      <c r="BM63" s="421" t="s">
        <v>1718</v>
      </c>
      <c r="BN63" s="421" t="s">
        <v>1592</v>
      </c>
      <c r="BO63" s="421">
        <v>0</v>
      </c>
      <c r="BR63" s="421">
        <v>0</v>
      </c>
      <c r="BS63" s="421">
        <v>0</v>
      </c>
      <c r="BT63" s="421">
        <v>0</v>
      </c>
      <c r="BU63" s="424">
        <v>42074</v>
      </c>
      <c r="BX63" s="421">
        <v>2598.36</v>
      </c>
      <c r="BY63" s="421" t="s">
        <v>1147</v>
      </c>
      <c r="BZ63" s="421">
        <v>22443.27</v>
      </c>
      <c r="CA63" s="421">
        <v>58315695.037199996</v>
      </c>
      <c r="CB63" s="421">
        <v>8.98</v>
      </c>
      <c r="CC63" s="421">
        <v>0</v>
      </c>
      <c r="CD63" s="421">
        <v>1309.55</v>
      </c>
      <c r="CE63" s="421">
        <v>1318.53</v>
      </c>
      <c r="CF63" s="421">
        <v>0</v>
      </c>
      <c r="CG63" s="421">
        <v>23761.8</v>
      </c>
      <c r="CH63" s="421">
        <v>0</v>
      </c>
      <c r="CI63" s="421">
        <v>23761.8</v>
      </c>
      <c r="CJ63" s="421">
        <v>61741710.648000002</v>
      </c>
      <c r="CK63" s="421">
        <v>10</v>
      </c>
      <c r="CL63" s="421">
        <v>61741711</v>
      </c>
      <c r="CM63" s="421">
        <v>6174000</v>
      </c>
      <c r="CN63" s="421">
        <v>6174000</v>
      </c>
      <c r="CO63" s="421">
        <v>0</v>
      </c>
      <c r="CP63" s="421">
        <v>0</v>
      </c>
      <c r="CQ63" s="421">
        <v>16</v>
      </c>
      <c r="CR63" s="421">
        <v>67915711</v>
      </c>
      <c r="CS63" s="421">
        <v>10867000</v>
      </c>
      <c r="CT63" s="421">
        <v>10867000</v>
      </c>
      <c r="CU63" s="421">
        <v>0</v>
      </c>
      <c r="CV63" s="421">
        <v>0</v>
      </c>
      <c r="CW63" s="421">
        <v>0</v>
      </c>
      <c r="CX63" s="421">
        <v>0</v>
      </c>
      <c r="CY63" s="421">
        <v>0</v>
      </c>
      <c r="CZ63" s="421">
        <v>0</v>
      </c>
      <c r="DA63" s="421">
        <v>0</v>
      </c>
      <c r="DB63" s="421">
        <v>0</v>
      </c>
      <c r="DC63" s="421">
        <v>0</v>
      </c>
      <c r="DD63" s="421">
        <v>0</v>
      </c>
      <c r="DE63" s="421">
        <v>0</v>
      </c>
      <c r="DF63" s="421">
        <v>0</v>
      </c>
      <c r="DG63" s="421">
        <v>0</v>
      </c>
      <c r="DH63" s="421">
        <v>0</v>
      </c>
      <c r="DI63" s="421">
        <v>0</v>
      </c>
      <c r="DJ63" s="421">
        <v>0</v>
      </c>
      <c r="DK63" s="421">
        <v>0</v>
      </c>
      <c r="DL63" s="421">
        <v>0</v>
      </c>
      <c r="DM63" s="421">
        <v>0</v>
      </c>
      <c r="DN63" s="421">
        <v>0</v>
      </c>
      <c r="DO63" s="421">
        <v>0</v>
      </c>
      <c r="DP63" s="421">
        <v>0</v>
      </c>
      <c r="DQ63" s="421">
        <v>0</v>
      </c>
      <c r="DR63" s="421">
        <v>0</v>
      </c>
      <c r="DS63" s="421">
        <v>0</v>
      </c>
      <c r="DT63" s="421">
        <v>0</v>
      </c>
      <c r="DU63" s="421">
        <v>0</v>
      </c>
      <c r="DV63" s="421">
        <v>0</v>
      </c>
      <c r="DW63" s="421">
        <v>0</v>
      </c>
      <c r="DX63" s="421">
        <v>0</v>
      </c>
      <c r="DY63" s="421">
        <v>17041000</v>
      </c>
      <c r="DZ63" s="421">
        <v>17041000</v>
      </c>
      <c r="EA63" s="421">
        <v>0</v>
      </c>
      <c r="EB63" s="421">
        <v>0</v>
      </c>
      <c r="EC63" s="421" t="s">
        <v>1148</v>
      </c>
      <c r="ED63" s="421" t="s">
        <v>1331</v>
      </c>
      <c r="EE63" s="421" t="s">
        <v>1331</v>
      </c>
    </row>
    <row r="64" spans="1:135" x14ac:dyDescent="0.25">
      <c r="A64" s="421">
        <v>61</v>
      </c>
      <c r="B64" s="421">
        <v>2015</v>
      </c>
      <c r="C64" s="421">
        <v>4</v>
      </c>
      <c r="D64" s="421">
        <v>6</v>
      </c>
      <c r="E64" s="424">
        <v>42100</v>
      </c>
      <c r="F64" s="421" t="s">
        <v>1719</v>
      </c>
      <c r="G64" s="421" t="s">
        <v>1720</v>
      </c>
      <c r="H64" s="421" t="s">
        <v>1152</v>
      </c>
      <c r="I64" s="421" t="s">
        <v>1107</v>
      </c>
      <c r="J64" s="421" t="s">
        <v>1108</v>
      </c>
      <c r="K64" s="421" t="s">
        <v>1109</v>
      </c>
      <c r="L64" s="421" t="s">
        <v>1110</v>
      </c>
      <c r="O64" s="421" t="s">
        <v>1111</v>
      </c>
      <c r="R64" s="421" t="s">
        <v>1111</v>
      </c>
      <c r="S64" s="421" t="s">
        <v>1112</v>
      </c>
      <c r="T64" s="421" t="s">
        <v>1113</v>
      </c>
      <c r="U64" s="421" t="s">
        <v>1114</v>
      </c>
      <c r="V64" s="421" t="s">
        <v>1115</v>
      </c>
      <c r="W64" s="421" t="s">
        <v>1116</v>
      </c>
      <c r="X64" s="421" t="s">
        <v>1117</v>
      </c>
      <c r="Y64" s="421" t="s">
        <v>1118</v>
      </c>
      <c r="Z64" s="421" t="s">
        <v>1119</v>
      </c>
      <c r="AA64" s="421" t="s">
        <v>1120</v>
      </c>
      <c r="AB64" s="421" t="s">
        <v>1121</v>
      </c>
      <c r="AC64" s="421" t="s">
        <v>1122</v>
      </c>
      <c r="AD64" s="421" t="s">
        <v>1479</v>
      </c>
      <c r="AE64" s="421" t="s">
        <v>1721</v>
      </c>
      <c r="AF64" s="421" t="s">
        <v>1722</v>
      </c>
      <c r="AG64" s="421" t="s">
        <v>1723</v>
      </c>
      <c r="AH64" s="421">
        <v>15921</v>
      </c>
      <c r="AI64" s="421" t="s">
        <v>1127</v>
      </c>
      <c r="AJ64" s="421">
        <v>702</v>
      </c>
      <c r="AK64" s="421">
        <v>1</v>
      </c>
      <c r="AL64" s="421" t="s">
        <v>1128</v>
      </c>
      <c r="AM64" s="421">
        <v>15921</v>
      </c>
      <c r="AN64" s="421">
        <v>15921</v>
      </c>
      <c r="AO64" s="421" t="s">
        <v>1427</v>
      </c>
      <c r="AP64" s="421" t="s">
        <v>1724</v>
      </c>
      <c r="AQ64" s="421" t="s">
        <v>1475</v>
      </c>
      <c r="AR64" s="421" t="s">
        <v>1476</v>
      </c>
      <c r="AT64" s="421" t="s">
        <v>1131</v>
      </c>
      <c r="AU64" s="421" t="s">
        <v>1132</v>
      </c>
      <c r="AV64" s="421" t="s">
        <v>1133</v>
      </c>
      <c r="AW64" s="421" t="s">
        <v>962</v>
      </c>
      <c r="AX64" s="421" t="s">
        <v>962</v>
      </c>
      <c r="AY64" s="421" t="s">
        <v>962</v>
      </c>
      <c r="AZ64" s="421" t="s">
        <v>1121</v>
      </c>
      <c r="BA64" s="421" t="s">
        <v>1725</v>
      </c>
      <c r="BB64" s="421" t="s">
        <v>962</v>
      </c>
      <c r="BC64" s="421" t="s">
        <v>1726</v>
      </c>
      <c r="BD64" s="421" t="s">
        <v>1727</v>
      </c>
      <c r="BE64" s="421" t="s">
        <v>1728</v>
      </c>
      <c r="BF64" s="421" t="s">
        <v>1729</v>
      </c>
      <c r="BG64" s="421" t="s">
        <v>1730</v>
      </c>
      <c r="BH64" s="421" t="s">
        <v>1731</v>
      </c>
      <c r="BI64" s="421" t="s">
        <v>1142</v>
      </c>
      <c r="BJ64" s="421" t="s">
        <v>1243</v>
      </c>
      <c r="BK64" s="421" t="s">
        <v>1720</v>
      </c>
      <c r="BL64" s="421" t="s">
        <v>1717</v>
      </c>
      <c r="BM64" s="421" t="s">
        <v>1732</v>
      </c>
      <c r="BN64" s="421" t="s">
        <v>1529</v>
      </c>
      <c r="BO64" s="421">
        <v>0</v>
      </c>
      <c r="BR64" s="421">
        <v>0</v>
      </c>
      <c r="BS64" s="421">
        <v>0</v>
      </c>
      <c r="BT64" s="421">
        <v>0</v>
      </c>
      <c r="BU64" s="424">
        <v>42080</v>
      </c>
      <c r="BX64" s="421">
        <v>2598.36</v>
      </c>
      <c r="BY64" s="421" t="s">
        <v>1147</v>
      </c>
      <c r="BZ64" s="421">
        <v>12959.5</v>
      </c>
      <c r="CA64" s="421">
        <v>33673446.420000002</v>
      </c>
      <c r="CB64" s="421">
        <v>5.18</v>
      </c>
      <c r="CC64" s="421">
        <v>0</v>
      </c>
      <c r="CD64" s="421">
        <v>2225</v>
      </c>
      <c r="CE64" s="421">
        <v>2230.1799999999998</v>
      </c>
      <c r="CF64" s="421">
        <v>0</v>
      </c>
      <c r="CG64" s="421">
        <v>15189.68</v>
      </c>
      <c r="CH64" s="421">
        <v>0</v>
      </c>
      <c r="CI64" s="421">
        <v>15189.68</v>
      </c>
      <c r="CJ64" s="421">
        <v>39468256.924800001</v>
      </c>
      <c r="CK64" s="421">
        <v>0</v>
      </c>
      <c r="CL64" s="421">
        <v>39468257</v>
      </c>
      <c r="CM64" s="421">
        <v>0</v>
      </c>
      <c r="CN64" s="421">
        <v>0</v>
      </c>
      <c r="CO64" s="421">
        <v>0</v>
      </c>
      <c r="CP64" s="421">
        <v>0</v>
      </c>
      <c r="CQ64" s="421">
        <v>16</v>
      </c>
      <c r="CR64" s="421">
        <v>39468257</v>
      </c>
      <c r="CS64" s="421">
        <v>6315000</v>
      </c>
      <c r="CT64" s="421">
        <v>6315000</v>
      </c>
      <c r="CU64" s="421">
        <v>0</v>
      </c>
      <c r="CV64" s="421">
        <v>0</v>
      </c>
      <c r="CW64" s="421">
        <v>0</v>
      </c>
      <c r="CX64" s="421">
        <v>0</v>
      </c>
      <c r="CY64" s="421">
        <v>0</v>
      </c>
      <c r="CZ64" s="421">
        <v>0</v>
      </c>
      <c r="DA64" s="421">
        <v>0</v>
      </c>
      <c r="DB64" s="421">
        <v>0</v>
      </c>
      <c r="DC64" s="421">
        <v>0</v>
      </c>
      <c r="DD64" s="421">
        <v>0</v>
      </c>
      <c r="DE64" s="421">
        <v>0</v>
      </c>
      <c r="DF64" s="421">
        <v>0</v>
      </c>
      <c r="DG64" s="421">
        <v>0</v>
      </c>
      <c r="DH64" s="421">
        <v>0</v>
      </c>
      <c r="DI64" s="421">
        <v>0</v>
      </c>
      <c r="DJ64" s="421">
        <v>0</v>
      </c>
      <c r="DK64" s="421">
        <v>0</v>
      </c>
      <c r="DL64" s="421">
        <v>0</v>
      </c>
      <c r="DM64" s="421">
        <v>0</v>
      </c>
      <c r="DN64" s="421">
        <v>0</v>
      </c>
      <c r="DO64" s="421">
        <v>0</v>
      </c>
      <c r="DP64" s="421">
        <v>0</v>
      </c>
      <c r="DQ64" s="421">
        <v>0</v>
      </c>
      <c r="DR64" s="421">
        <v>0</v>
      </c>
      <c r="DS64" s="421">
        <v>0</v>
      </c>
      <c r="DT64" s="421">
        <v>0</v>
      </c>
      <c r="DU64" s="421">
        <v>0</v>
      </c>
      <c r="DV64" s="421">
        <v>0</v>
      </c>
      <c r="DW64" s="421">
        <v>0</v>
      </c>
      <c r="DX64" s="421">
        <v>0</v>
      </c>
      <c r="DY64" s="421">
        <v>6315000</v>
      </c>
      <c r="DZ64" s="421">
        <v>6315000</v>
      </c>
      <c r="EA64" s="421">
        <v>0</v>
      </c>
      <c r="EB64" s="421">
        <v>0</v>
      </c>
      <c r="EC64" s="421" t="s">
        <v>1148</v>
      </c>
      <c r="ED64" s="421" t="s">
        <v>1149</v>
      </c>
      <c r="EE64" s="421" t="s">
        <v>1149</v>
      </c>
    </row>
    <row r="65" spans="1:135" x14ac:dyDescent="0.25">
      <c r="A65" s="421">
        <v>62</v>
      </c>
      <c r="B65" s="421">
        <v>2015</v>
      </c>
      <c r="C65" s="421">
        <v>4</v>
      </c>
      <c r="D65" s="421">
        <v>8</v>
      </c>
      <c r="E65" s="424">
        <v>42102</v>
      </c>
      <c r="F65" s="421" t="s">
        <v>1733</v>
      </c>
      <c r="G65" s="421" t="s">
        <v>1734</v>
      </c>
      <c r="H65" s="421" t="s">
        <v>1106</v>
      </c>
      <c r="I65" s="421" t="s">
        <v>1281</v>
      </c>
      <c r="J65" s="421" t="s">
        <v>1108</v>
      </c>
      <c r="K65" s="421" t="s">
        <v>1202</v>
      </c>
      <c r="L65" s="421" t="s">
        <v>1110</v>
      </c>
      <c r="O65" s="421" t="s">
        <v>1111</v>
      </c>
      <c r="R65" s="421" t="s">
        <v>1111</v>
      </c>
      <c r="S65" s="421" t="s">
        <v>1112</v>
      </c>
      <c r="T65" s="421" t="s">
        <v>1113</v>
      </c>
      <c r="U65" s="421" t="s">
        <v>1114</v>
      </c>
      <c r="V65" s="421" t="s">
        <v>1115</v>
      </c>
      <c r="W65" s="421" t="s">
        <v>1116</v>
      </c>
      <c r="X65" s="421" t="s">
        <v>1117</v>
      </c>
      <c r="Y65" s="421" t="s">
        <v>1118</v>
      </c>
      <c r="Z65" s="421" t="s">
        <v>1119</v>
      </c>
      <c r="AA65" s="421" t="s">
        <v>1120</v>
      </c>
      <c r="AB65" s="421" t="s">
        <v>1121</v>
      </c>
      <c r="AC65" s="421" t="s">
        <v>1122</v>
      </c>
      <c r="AD65" s="421" t="s">
        <v>1479</v>
      </c>
      <c r="AE65" s="421" t="s">
        <v>1203</v>
      </c>
      <c r="AF65" s="421" t="s">
        <v>1204</v>
      </c>
      <c r="AG65" s="421" t="s">
        <v>1735</v>
      </c>
      <c r="AH65" s="421">
        <v>43000</v>
      </c>
      <c r="AI65" s="421" t="s">
        <v>1127</v>
      </c>
      <c r="AJ65" s="421">
        <v>2</v>
      </c>
      <c r="AK65" s="421">
        <v>1</v>
      </c>
      <c r="AL65" s="421" t="s">
        <v>1283</v>
      </c>
      <c r="AM65" s="421">
        <v>43000</v>
      </c>
      <c r="AN65" s="421">
        <v>43485</v>
      </c>
      <c r="AO65" s="421" t="s">
        <v>1120</v>
      </c>
      <c r="AP65" s="421" t="s">
        <v>1129</v>
      </c>
      <c r="AR65" s="421" t="s">
        <v>1130</v>
      </c>
      <c r="AT65" s="421" t="s">
        <v>1131</v>
      </c>
      <c r="AU65" s="421" t="s">
        <v>1190</v>
      </c>
      <c r="AV65" s="421" t="s">
        <v>1191</v>
      </c>
      <c r="AW65" s="421" t="s">
        <v>1207</v>
      </c>
      <c r="AX65" s="421" t="s">
        <v>1207</v>
      </c>
      <c r="AY65" s="421" t="s">
        <v>1208</v>
      </c>
      <c r="AZ65" s="421" t="s">
        <v>1121</v>
      </c>
      <c r="BA65" s="421" t="s">
        <v>1209</v>
      </c>
      <c r="BB65" s="421" t="s">
        <v>1208</v>
      </c>
      <c r="BC65" s="421" t="s">
        <v>1210</v>
      </c>
      <c r="BD65" s="421" t="s">
        <v>1211</v>
      </c>
      <c r="BE65" s="421" t="s">
        <v>1212</v>
      </c>
      <c r="BI65" s="421" t="s">
        <v>1142</v>
      </c>
      <c r="BJ65" s="421" t="s">
        <v>1535</v>
      </c>
      <c r="BK65" s="421" t="s">
        <v>1734</v>
      </c>
      <c r="BL65" s="421" t="s">
        <v>1736</v>
      </c>
      <c r="BM65" s="421" t="s">
        <v>1737</v>
      </c>
      <c r="BN65" s="421" t="s">
        <v>1609</v>
      </c>
      <c r="BO65" s="421">
        <v>0</v>
      </c>
      <c r="BR65" s="421">
        <v>0</v>
      </c>
      <c r="BS65" s="421">
        <v>0</v>
      </c>
      <c r="BT65" s="421">
        <v>0</v>
      </c>
      <c r="BU65" s="424">
        <v>38718</v>
      </c>
      <c r="BX65" s="421">
        <v>2598.36</v>
      </c>
      <c r="BY65" s="421" t="s">
        <v>1147</v>
      </c>
      <c r="BZ65" s="421">
        <v>90300</v>
      </c>
      <c r="CA65" s="421">
        <v>234631908</v>
      </c>
      <c r="CB65" s="421">
        <v>36.119999999999997</v>
      </c>
      <c r="CC65" s="421">
        <v>0</v>
      </c>
      <c r="CD65" s="421">
        <v>2094</v>
      </c>
      <c r="CE65" s="421">
        <v>2130.12</v>
      </c>
      <c r="CF65" s="421">
        <v>0</v>
      </c>
      <c r="CG65" s="421">
        <v>92430.12</v>
      </c>
      <c r="CH65" s="421">
        <v>0</v>
      </c>
      <c r="CI65" s="421">
        <v>92430.12</v>
      </c>
      <c r="CJ65" s="421">
        <v>240166726.60319999</v>
      </c>
      <c r="CK65" s="421">
        <v>0</v>
      </c>
      <c r="CL65" s="421">
        <v>240166727</v>
      </c>
      <c r="CM65" s="421">
        <v>0</v>
      </c>
      <c r="CN65" s="421">
        <v>0</v>
      </c>
      <c r="CO65" s="421">
        <v>0</v>
      </c>
      <c r="CP65" s="421">
        <v>0</v>
      </c>
      <c r="CQ65" s="421">
        <v>0</v>
      </c>
      <c r="CR65" s="421">
        <v>240166727</v>
      </c>
      <c r="CS65" s="421">
        <v>0</v>
      </c>
      <c r="CT65" s="421">
        <v>0</v>
      </c>
      <c r="CU65" s="421">
        <v>0</v>
      </c>
      <c r="CV65" s="421">
        <v>0</v>
      </c>
      <c r="CW65" s="421">
        <v>0</v>
      </c>
      <c r="CX65" s="421">
        <v>0</v>
      </c>
      <c r="CY65" s="421">
        <v>0</v>
      </c>
      <c r="CZ65" s="421">
        <v>0</v>
      </c>
      <c r="DA65" s="421">
        <v>0</v>
      </c>
      <c r="DB65" s="421">
        <v>0</v>
      </c>
      <c r="DC65" s="421">
        <v>0</v>
      </c>
      <c r="DD65" s="421">
        <v>0</v>
      </c>
      <c r="DE65" s="421">
        <v>0</v>
      </c>
      <c r="DF65" s="421">
        <v>0</v>
      </c>
      <c r="DG65" s="421">
        <v>0</v>
      </c>
      <c r="DH65" s="421">
        <v>0</v>
      </c>
      <c r="DI65" s="421">
        <v>0</v>
      </c>
      <c r="DJ65" s="421">
        <v>0</v>
      </c>
      <c r="DK65" s="421">
        <v>0</v>
      </c>
      <c r="DL65" s="421">
        <v>0</v>
      </c>
      <c r="DM65" s="421">
        <v>0</v>
      </c>
      <c r="DN65" s="421">
        <v>0</v>
      </c>
      <c r="DO65" s="421">
        <v>0</v>
      </c>
      <c r="DP65" s="421">
        <v>0</v>
      </c>
      <c r="DQ65" s="421">
        <v>0</v>
      </c>
      <c r="DR65" s="421">
        <v>0</v>
      </c>
      <c r="DS65" s="421">
        <v>0</v>
      </c>
      <c r="DT65" s="421">
        <v>0</v>
      </c>
      <c r="DU65" s="421">
        <v>0</v>
      </c>
      <c r="DV65" s="421">
        <v>0</v>
      </c>
      <c r="DW65" s="421">
        <v>0</v>
      </c>
      <c r="DX65" s="421">
        <v>0</v>
      </c>
      <c r="DY65" s="421">
        <v>0</v>
      </c>
      <c r="DZ65" s="421">
        <v>0</v>
      </c>
      <c r="EA65" s="421">
        <v>0</v>
      </c>
      <c r="EB65" s="421">
        <v>0</v>
      </c>
      <c r="EC65" s="421" t="s">
        <v>1148</v>
      </c>
      <c r="ED65" s="421" t="s">
        <v>1149</v>
      </c>
      <c r="EE65" s="421" t="s">
        <v>1149</v>
      </c>
    </row>
    <row r="66" spans="1:135" x14ac:dyDescent="0.25">
      <c r="A66" s="421">
        <v>63</v>
      </c>
      <c r="B66" s="421">
        <v>2015</v>
      </c>
      <c r="C66" s="421">
        <v>4</v>
      </c>
      <c r="D66" s="421">
        <v>8</v>
      </c>
      <c r="E66" s="424">
        <v>42102</v>
      </c>
      <c r="F66" s="421" t="s">
        <v>1738</v>
      </c>
      <c r="G66" s="421" t="s">
        <v>1739</v>
      </c>
      <c r="H66" s="421" t="s">
        <v>1152</v>
      </c>
      <c r="I66" s="421" t="s">
        <v>1107</v>
      </c>
      <c r="J66" s="421" t="s">
        <v>1108</v>
      </c>
      <c r="K66" s="421" t="s">
        <v>1202</v>
      </c>
      <c r="L66" s="421" t="s">
        <v>1110</v>
      </c>
      <c r="O66" s="421" t="s">
        <v>1111</v>
      </c>
      <c r="R66" s="421" t="s">
        <v>1111</v>
      </c>
      <c r="S66" s="421" t="s">
        <v>1112</v>
      </c>
      <c r="T66" s="421" t="s">
        <v>1113</v>
      </c>
      <c r="U66" s="421" t="s">
        <v>1114</v>
      </c>
      <c r="V66" s="421" t="s">
        <v>1115</v>
      </c>
      <c r="W66" s="421" t="s">
        <v>1116</v>
      </c>
      <c r="X66" s="421" t="s">
        <v>1117</v>
      </c>
      <c r="Y66" s="421" t="s">
        <v>1118</v>
      </c>
      <c r="Z66" s="421" t="s">
        <v>1119</v>
      </c>
      <c r="AA66" s="421" t="s">
        <v>1120</v>
      </c>
      <c r="AB66" s="421" t="s">
        <v>1121</v>
      </c>
      <c r="AC66" s="421" t="s">
        <v>1122</v>
      </c>
      <c r="AD66" s="421" t="s">
        <v>1479</v>
      </c>
      <c r="AE66" s="421" t="s">
        <v>1203</v>
      </c>
      <c r="AF66" s="421" t="s">
        <v>1204</v>
      </c>
      <c r="AG66" s="421" t="s">
        <v>1740</v>
      </c>
      <c r="AH66" s="421">
        <v>43000</v>
      </c>
      <c r="AI66" s="421" t="s">
        <v>1127</v>
      </c>
      <c r="AJ66" s="421">
        <v>2</v>
      </c>
      <c r="AK66" s="421">
        <v>1</v>
      </c>
      <c r="AL66" s="421" t="s">
        <v>1283</v>
      </c>
      <c r="AM66" s="421">
        <v>43000</v>
      </c>
      <c r="AN66" s="421">
        <v>43200</v>
      </c>
      <c r="AO66" s="421" t="s">
        <v>1120</v>
      </c>
      <c r="AP66" s="421" t="s">
        <v>1129</v>
      </c>
      <c r="AR66" s="421" t="s">
        <v>1130</v>
      </c>
      <c r="AT66" s="421" t="s">
        <v>1131</v>
      </c>
      <c r="AU66" s="421" t="s">
        <v>1132</v>
      </c>
      <c r="AV66" s="421" t="s">
        <v>1133</v>
      </c>
      <c r="AW66" s="421" t="s">
        <v>1207</v>
      </c>
      <c r="AX66" s="421" t="s">
        <v>1207</v>
      </c>
      <c r="AY66" s="421" t="s">
        <v>1208</v>
      </c>
      <c r="AZ66" s="421" t="s">
        <v>1121</v>
      </c>
      <c r="BA66" s="421" t="s">
        <v>1209</v>
      </c>
      <c r="BB66" s="421" t="s">
        <v>1208</v>
      </c>
      <c r="BC66" s="421" t="s">
        <v>1210</v>
      </c>
      <c r="BD66" s="421" t="s">
        <v>1211</v>
      </c>
      <c r="BE66" s="421" t="s">
        <v>1212</v>
      </c>
      <c r="BF66" s="421" t="s">
        <v>1741</v>
      </c>
      <c r="BG66" s="421" t="s">
        <v>1730</v>
      </c>
      <c r="BH66" s="421" t="s">
        <v>1742</v>
      </c>
      <c r="BI66" s="421" t="s">
        <v>1142</v>
      </c>
      <c r="BJ66" s="421" t="s">
        <v>1180</v>
      </c>
      <c r="BK66" s="421" t="s">
        <v>1739</v>
      </c>
      <c r="BL66" s="421" t="s">
        <v>1736</v>
      </c>
      <c r="BM66" s="421" t="s">
        <v>1216</v>
      </c>
      <c r="BN66" s="421" t="s">
        <v>1656</v>
      </c>
      <c r="BO66" s="421">
        <v>0</v>
      </c>
      <c r="BR66" s="421">
        <v>0</v>
      </c>
      <c r="BS66" s="421">
        <v>0</v>
      </c>
      <c r="BT66" s="421">
        <v>0</v>
      </c>
      <c r="BU66" s="424">
        <v>42086</v>
      </c>
      <c r="BX66" s="421">
        <v>2598.36</v>
      </c>
      <c r="BY66" s="421" t="s">
        <v>1147</v>
      </c>
      <c r="BZ66" s="421">
        <v>90300</v>
      </c>
      <c r="CA66" s="421">
        <v>234631908</v>
      </c>
      <c r="CB66" s="421">
        <v>36.119999999999997</v>
      </c>
      <c r="CC66" s="421">
        <v>0</v>
      </c>
      <c r="CD66" s="421">
        <v>1941.56</v>
      </c>
      <c r="CE66" s="421">
        <v>1977.68</v>
      </c>
      <c r="CF66" s="421">
        <v>0</v>
      </c>
      <c r="CG66" s="421">
        <v>92277.68</v>
      </c>
      <c r="CH66" s="421">
        <v>0</v>
      </c>
      <c r="CI66" s="421">
        <v>92277.68</v>
      </c>
      <c r="CJ66" s="421">
        <v>239770632.60479999</v>
      </c>
      <c r="CK66" s="421">
        <v>0</v>
      </c>
      <c r="CL66" s="421">
        <v>239770633</v>
      </c>
      <c r="CM66" s="421">
        <v>0</v>
      </c>
      <c r="CN66" s="421">
        <v>0</v>
      </c>
      <c r="CO66" s="421">
        <v>0</v>
      </c>
      <c r="CP66" s="421">
        <v>0</v>
      </c>
      <c r="CQ66" s="421">
        <v>0</v>
      </c>
      <c r="CR66" s="421">
        <v>239770633</v>
      </c>
      <c r="CS66" s="421">
        <v>0</v>
      </c>
      <c r="CT66" s="421">
        <v>0</v>
      </c>
      <c r="CU66" s="421">
        <v>0</v>
      </c>
      <c r="CV66" s="421">
        <v>0</v>
      </c>
      <c r="CW66" s="421">
        <v>0</v>
      </c>
      <c r="CX66" s="421">
        <v>0</v>
      </c>
      <c r="CY66" s="421">
        <v>0</v>
      </c>
      <c r="CZ66" s="421">
        <v>0</v>
      </c>
      <c r="DA66" s="421">
        <v>0</v>
      </c>
      <c r="DB66" s="421">
        <v>0</v>
      </c>
      <c r="DC66" s="421">
        <v>0</v>
      </c>
      <c r="DD66" s="421">
        <v>0</v>
      </c>
      <c r="DE66" s="421">
        <v>0</v>
      </c>
      <c r="DF66" s="421">
        <v>0</v>
      </c>
      <c r="DG66" s="421">
        <v>0</v>
      </c>
      <c r="DH66" s="421">
        <v>0</v>
      </c>
      <c r="DI66" s="421">
        <v>0</v>
      </c>
      <c r="DJ66" s="421">
        <v>0</v>
      </c>
      <c r="DK66" s="421">
        <v>0</v>
      </c>
      <c r="DL66" s="421">
        <v>0</v>
      </c>
      <c r="DM66" s="421">
        <v>0</v>
      </c>
      <c r="DN66" s="421">
        <v>0</v>
      </c>
      <c r="DO66" s="421">
        <v>0</v>
      </c>
      <c r="DP66" s="421">
        <v>0</v>
      </c>
      <c r="DQ66" s="421">
        <v>0</v>
      </c>
      <c r="DR66" s="421">
        <v>0</v>
      </c>
      <c r="DS66" s="421">
        <v>0</v>
      </c>
      <c r="DT66" s="421">
        <v>0</v>
      </c>
      <c r="DU66" s="421">
        <v>0</v>
      </c>
      <c r="DV66" s="421">
        <v>0</v>
      </c>
      <c r="DW66" s="421">
        <v>0</v>
      </c>
      <c r="DX66" s="421">
        <v>0</v>
      </c>
      <c r="DY66" s="421">
        <v>0</v>
      </c>
      <c r="DZ66" s="421">
        <v>0</v>
      </c>
      <c r="EA66" s="421">
        <v>0</v>
      </c>
      <c r="EB66" s="421">
        <v>0</v>
      </c>
      <c r="EC66" s="421" t="s">
        <v>1148</v>
      </c>
      <c r="ED66" s="421" t="s">
        <v>1149</v>
      </c>
      <c r="EE66" s="421" t="s">
        <v>1149</v>
      </c>
    </row>
    <row r="67" spans="1:135" x14ac:dyDescent="0.25">
      <c r="A67" s="421">
        <v>64</v>
      </c>
      <c r="B67" s="421">
        <v>2015</v>
      </c>
      <c r="C67" s="421">
        <v>4</v>
      </c>
      <c r="D67" s="421">
        <v>16</v>
      </c>
      <c r="E67" s="424">
        <v>42110</v>
      </c>
      <c r="F67" s="421" t="s">
        <v>1743</v>
      </c>
      <c r="G67" s="421" t="s">
        <v>1744</v>
      </c>
      <c r="H67" s="421" t="s">
        <v>1106</v>
      </c>
      <c r="I67" s="421" t="s">
        <v>1281</v>
      </c>
      <c r="J67" s="421" t="s">
        <v>1108</v>
      </c>
      <c r="K67" s="421" t="s">
        <v>1109</v>
      </c>
      <c r="L67" s="421" t="s">
        <v>1110</v>
      </c>
      <c r="O67" s="421" t="s">
        <v>1111</v>
      </c>
      <c r="R67" s="421" t="s">
        <v>1111</v>
      </c>
      <c r="S67" s="421" t="s">
        <v>1112</v>
      </c>
      <c r="T67" s="421" t="s">
        <v>1113</v>
      </c>
      <c r="U67" s="421" t="s">
        <v>1114</v>
      </c>
      <c r="V67" s="421" t="s">
        <v>1115</v>
      </c>
      <c r="W67" s="421" t="s">
        <v>1116</v>
      </c>
      <c r="X67" s="421" t="s">
        <v>1117</v>
      </c>
      <c r="Y67" s="421" t="s">
        <v>1118</v>
      </c>
      <c r="Z67" s="421" t="s">
        <v>1119</v>
      </c>
      <c r="AA67" s="421" t="s">
        <v>1120</v>
      </c>
      <c r="AB67" s="421" t="s">
        <v>1121</v>
      </c>
      <c r="AC67" s="421" t="s">
        <v>1122</v>
      </c>
      <c r="AD67" s="421" t="s">
        <v>1479</v>
      </c>
      <c r="AE67" s="421" t="s">
        <v>1153</v>
      </c>
      <c r="AF67" s="421" t="s">
        <v>1154</v>
      </c>
      <c r="AG67" s="421" t="s">
        <v>1745</v>
      </c>
      <c r="AH67" s="421">
        <v>20000</v>
      </c>
      <c r="AI67" s="421" t="s">
        <v>1127</v>
      </c>
      <c r="AJ67" s="421">
        <v>800</v>
      </c>
      <c r="AK67" s="421">
        <v>1</v>
      </c>
      <c r="AL67" s="421" t="s">
        <v>1128</v>
      </c>
      <c r="AM67" s="421">
        <v>20000</v>
      </c>
      <c r="AN67" s="421">
        <v>20100</v>
      </c>
      <c r="AO67" s="421" t="s">
        <v>1120</v>
      </c>
      <c r="AP67" s="421" t="s">
        <v>1129</v>
      </c>
      <c r="AR67" s="421" t="s">
        <v>1130</v>
      </c>
      <c r="AT67" s="421" t="s">
        <v>1131</v>
      </c>
      <c r="AU67" s="421" t="s">
        <v>1190</v>
      </c>
      <c r="AV67" s="421" t="s">
        <v>1191</v>
      </c>
      <c r="AW67" s="421" t="s">
        <v>960</v>
      </c>
      <c r="AX67" s="421" t="s">
        <v>960</v>
      </c>
      <c r="AY67" s="421" t="s">
        <v>960</v>
      </c>
      <c r="AZ67" s="421" t="s">
        <v>1121</v>
      </c>
      <c r="BA67" s="421" t="s">
        <v>1156</v>
      </c>
      <c r="BB67" s="421" t="s">
        <v>960</v>
      </c>
      <c r="BC67" s="421" t="s">
        <v>1157</v>
      </c>
      <c r="BD67" s="421" t="s">
        <v>1158</v>
      </c>
      <c r="BE67" s="421" t="s">
        <v>1746</v>
      </c>
      <c r="BI67" s="421" t="s">
        <v>1142</v>
      </c>
      <c r="BJ67" s="421" t="s">
        <v>1535</v>
      </c>
      <c r="BK67" s="421" t="s">
        <v>1744</v>
      </c>
      <c r="BL67" s="421" t="s">
        <v>1747</v>
      </c>
      <c r="BM67" s="421" t="s">
        <v>1748</v>
      </c>
      <c r="BN67" s="421" t="s">
        <v>1592</v>
      </c>
      <c r="BO67" s="421">
        <v>0</v>
      </c>
      <c r="BR67" s="421">
        <v>0</v>
      </c>
      <c r="BS67" s="421">
        <v>0</v>
      </c>
      <c r="BT67" s="421">
        <v>0</v>
      </c>
      <c r="BU67" s="424">
        <v>38718</v>
      </c>
      <c r="BX67" s="421">
        <v>2494.77</v>
      </c>
      <c r="BY67" s="421" t="s">
        <v>1166</v>
      </c>
      <c r="BZ67" s="421">
        <v>44000</v>
      </c>
      <c r="CA67" s="421">
        <v>109769880</v>
      </c>
      <c r="CB67" s="421">
        <v>17.600000000000001</v>
      </c>
      <c r="CC67" s="421">
        <v>0</v>
      </c>
      <c r="CD67" s="421">
        <v>2950</v>
      </c>
      <c r="CE67" s="421">
        <v>2967.6</v>
      </c>
      <c r="CF67" s="421">
        <v>0</v>
      </c>
      <c r="CG67" s="421">
        <v>46967.6</v>
      </c>
      <c r="CH67" s="421">
        <v>0</v>
      </c>
      <c r="CI67" s="421">
        <v>46967.6</v>
      </c>
      <c r="CJ67" s="421">
        <v>117173359.45200001</v>
      </c>
      <c r="CK67" s="421">
        <v>0</v>
      </c>
      <c r="CL67" s="421">
        <v>117173359</v>
      </c>
      <c r="CM67" s="421">
        <v>0</v>
      </c>
      <c r="CN67" s="421">
        <v>0</v>
      </c>
      <c r="CO67" s="421">
        <v>0</v>
      </c>
      <c r="CP67" s="421">
        <v>0</v>
      </c>
      <c r="CQ67" s="421">
        <v>16</v>
      </c>
      <c r="CR67" s="421">
        <v>117173359</v>
      </c>
      <c r="CS67" s="421">
        <v>18748000</v>
      </c>
      <c r="CT67" s="421">
        <v>18748000</v>
      </c>
      <c r="CU67" s="421">
        <v>0</v>
      </c>
      <c r="CV67" s="421">
        <v>0</v>
      </c>
      <c r="CW67" s="421">
        <v>0</v>
      </c>
      <c r="CX67" s="421">
        <v>0</v>
      </c>
      <c r="CY67" s="421">
        <v>0</v>
      </c>
      <c r="CZ67" s="421">
        <v>0</v>
      </c>
      <c r="DA67" s="421">
        <v>0</v>
      </c>
      <c r="DB67" s="421">
        <v>0</v>
      </c>
      <c r="DC67" s="421">
        <v>0</v>
      </c>
      <c r="DD67" s="421">
        <v>0</v>
      </c>
      <c r="DE67" s="421">
        <v>0</v>
      </c>
      <c r="DF67" s="421">
        <v>0</v>
      </c>
      <c r="DG67" s="421">
        <v>0</v>
      </c>
      <c r="DH67" s="421">
        <v>0</v>
      </c>
      <c r="DI67" s="421">
        <v>0</v>
      </c>
      <c r="DJ67" s="421">
        <v>0</v>
      </c>
      <c r="DK67" s="421">
        <v>0</v>
      </c>
      <c r="DL67" s="421">
        <v>0</v>
      </c>
      <c r="DM67" s="421">
        <v>0</v>
      </c>
      <c r="DN67" s="421">
        <v>0</v>
      </c>
      <c r="DO67" s="421">
        <v>0</v>
      </c>
      <c r="DP67" s="421">
        <v>0</v>
      </c>
      <c r="DQ67" s="421">
        <v>0</v>
      </c>
      <c r="DR67" s="421">
        <v>0</v>
      </c>
      <c r="DS67" s="421">
        <v>0</v>
      </c>
      <c r="DT67" s="421">
        <v>0</v>
      </c>
      <c r="DU67" s="421">
        <v>0</v>
      </c>
      <c r="DV67" s="421">
        <v>0</v>
      </c>
      <c r="DW67" s="421">
        <v>0</v>
      </c>
      <c r="DX67" s="421">
        <v>0</v>
      </c>
      <c r="DY67" s="421">
        <v>18748000</v>
      </c>
      <c r="DZ67" s="421">
        <v>18748000</v>
      </c>
      <c r="EA67" s="421">
        <v>0</v>
      </c>
      <c r="EB67" s="421">
        <v>0</v>
      </c>
      <c r="EC67" s="421" t="s">
        <v>1148</v>
      </c>
      <c r="ED67" s="421" t="s">
        <v>1167</v>
      </c>
      <c r="EE67" s="421" t="s">
        <v>1167</v>
      </c>
    </row>
    <row r="68" spans="1:135" x14ac:dyDescent="0.25">
      <c r="A68" s="421">
        <v>65</v>
      </c>
      <c r="B68" s="421">
        <v>2015</v>
      </c>
      <c r="C68" s="421">
        <v>4</v>
      </c>
      <c r="D68" s="421">
        <v>16</v>
      </c>
      <c r="E68" s="424">
        <v>42110</v>
      </c>
      <c r="F68" s="421" t="s">
        <v>1749</v>
      </c>
      <c r="G68" s="421" t="s">
        <v>1750</v>
      </c>
      <c r="H68" s="421" t="s">
        <v>1106</v>
      </c>
      <c r="I68" s="421" t="s">
        <v>1107</v>
      </c>
      <c r="J68" s="421" t="s">
        <v>1108</v>
      </c>
      <c r="K68" s="421" t="s">
        <v>1109</v>
      </c>
      <c r="L68" s="421" t="s">
        <v>1110</v>
      </c>
      <c r="O68" s="421" t="s">
        <v>1111</v>
      </c>
      <c r="R68" s="421" t="s">
        <v>1111</v>
      </c>
      <c r="S68" s="421" t="s">
        <v>1112</v>
      </c>
      <c r="T68" s="421" t="s">
        <v>1113</v>
      </c>
      <c r="U68" s="421" t="s">
        <v>1114</v>
      </c>
      <c r="V68" s="421" t="s">
        <v>1115</v>
      </c>
      <c r="W68" s="421" t="s">
        <v>1116</v>
      </c>
      <c r="X68" s="421" t="s">
        <v>1117</v>
      </c>
      <c r="Y68" s="421" t="s">
        <v>1118</v>
      </c>
      <c r="Z68" s="421" t="s">
        <v>1119</v>
      </c>
      <c r="AA68" s="421" t="s">
        <v>1120</v>
      </c>
      <c r="AB68" s="421" t="s">
        <v>1121</v>
      </c>
      <c r="AC68" s="421" t="s">
        <v>1122</v>
      </c>
      <c r="AD68" s="421" t="s">
        <v>1479</v>
      </c>
      <c r="AE68" s="421" t="s">
        <v>1170</v>
      </c>
      <c r="AF68" s="421" t="s">
        <v>1171</v>
      </c>
      <c r="AG68" s="421" t="s">
        <v>1751</v>
      </c>
      <c r="AH68" s="421">
        <v>5845</v>
      </c>
      <c r="AI68" s="421" t="s">
        <v>1127</v>
      </c>
      <c r="AJ68" s="421">
        <v>804</v>
      </c>
      <c r="AK68" s="421">
        <v>1</v>
      </c>
      <c r="AL68" s="421" t="s">
        <v>1173</v>
      </c>
      <c r="AM68" s="421">
        <v>5845</v>
      </c>
      <c r="AN68" s="421">
        <v>9884.6</v>
      </c>
      <c r="AO68" s="421" t="s">
        <v>1120</v>
      </c>
      <c r="AP68" s="421" t="s">
        <v>1129</v>
      </c>
      <c r="AR68" s="421" t="s">
        <v>1130</v>
      </c>
      <c r="AT68" s="421" t="s">
        <v>1131</v>
      </c>
      <c r="AU68" s="421" t="s">
        <v>1190</v>
      </c>
      <c r="AV68" s="421" t="s">
        <v>1191</v>
      </c>
      <c r="AW68" s="421" t="s">
        <v>960</v>
      </c>
      <c r="AX68" s="421" t="s">
        <v>960</v>
      </c>
      <c r="AY68" s="421" t="s">
        <v>960</v>
      </c>
      <c r="AZ68" s="421" t="s">
        <v>1121</v>
      </c>
      <c r="BA68" s="421" t="s">
        <v>1431</v>
      </c>
      <c r="BB68" s="421" t="s">
        <v>960</v>
      </c>
      <c r="BC68" s="421" t="s">
        <v>1752</v>
      </c>
      <c r="BD68" s="421" t="s">
        <v>1433</v>
      </c>
      <c r="BE68" s="421" t="s">
        <v>1434</v>
      </c>
      <c r="BF68" s="421" t="s">
        <v>1753</v>
      </c>
      <c r="BG68" s="421" t="s">
        <v>1754</v>
      </c>
      <c r="BH68" s="421" t="s">
        <v>1755</v>
      </c>
      <c r="BI68" s="421" t="s">
        <v>1142</v>
      </c>
      <c r="BJ68" s="421" t="s">
        <v>1243</v>
      </c>
      <c r="BK68" s="421" t="s">
        <v>1750</v>
      </c>
      <c r="BL68" s="421" t="s">
        <v>1747</v>
      </c>
      <c r="BM68" s="421" t="s">
        <v>1756</v>
      </c>
      <c r="BN68" s="421" t="s">
        <v>1564</v>
      </c>
      <c r="BO68" s="421">
        <v>0</v>
      </c>
      <c r="BR68" s="421">
        <v>0</v>
      </c>
      <c r="BS68" s="421">
        <v>0</v>
      </c>
      <c r="BT68" s="421">
        <v>0</v>
      </c>
      <c r="BU68" s="424">
        <v>42074</v>
      </c>
      <c r="BX68" s="421">
        <v>2494.77</v>
      </c>
      <c r="BY68" s="421" t="s">
        <v>1648</v>
      </c>
      <c r="BZ68" s="421">
        <v>54409.01</v>
      </c>
      <c r="CA68" s="421">
        <v>135737965.8777</v>
      </c>
      <c r="CB68" s="421">
        <v>21.76</v>
      </c>
      <c r="CC68" s="421">
        <v>0</v>
      </c>
      <c r="CD68" s="421">
        <v>4110</v>
      </c>
      <c r="CE68" s="421">
        <v>4131.76</v>
      </c>
      <c r="CF68" s="421">
        <v>0</v>
      </c>
      <c r="CG68" s="421">
        <v>58540.77</v>
      </c>
      <c r="CH68" s="421">
        <v>0</v>
      </c>
      <c r="CI68" s="421">
        <v>58540.77</v>
      </c>
      <c r="CJ68" s="421">
        <v>146045756.77289999</v>
      </c>
      <c r="CK68" s="421">
        <v>15</v>
      </c>
      <c r="CL68" s="421">
        <v>146045757</v>
      </c>
      <c r="CM68" s="421">
        <v>21907000</v>
      </c>
      <c r="CN68" s="421">
        <v>21907000</v>
      </c>
      <c r="CO68" s="421">
        <v>0</v>
      </c>
      <c r="CP68" s="421">
        <v>0</v>
      </c>
      <c r="CQ68" s="421">
        <v>16</v>
      </c>
      <c r="CR68" s="421">
        <v>167952757</v>
      </c>
      <c r="CS68" s="421">
        <v>26872000</v>
      </c>
      <c r="CT68" s="421">
        <v>26872000</v>
      </c>
      <c r="CU68" s="421">
        <v>0</v>
      </c>
      <c r="CV68" s="421">
        <v>0</v>
      </c>
      <c r="CW68" s="421">
        <v>0</v>
      </c>
      <c r="CX68" s="421">
        <v>0</v>
      </c>
      <c r="CY68" s="421">
        <v>0</v>
      </c>
      <c r="CZ68" s="421">
        <v>0</v>
      </c>
      <c r="DA68" s="421">
        <v>0</v>
      </c>
      <c r="DB68" s="421">
        <v>0</v>
      </c>
      <c r="DC68" s="421">
        <v>0</v>
      </c>
      <c r="DD68" s="421">
        <v>0</v>
      </c>
      <c r="DE68" s="421">
        <v>0</v>
      </c>
      <c r="DF68" s="421">
        <v>0</v>
      </c>
      <c r="DG68" s="421">
        <v>0</v>
      </c>
      <c r="DH68" s="421">
        <v>0</v>
      </c>
      <c r="DI68" s="421">
        <v>0</v>
      </c>
      <c r="DJ68" s="421">
        <v>0</v>
      </c>
      <c r="DK68" s="421">
        <v>0</v>
      </c>
      <c r="DL68" s="421">
        <v>0</v>
      </c>
      <c r="DM68" s="421">
        <v>0</v>
      </c>
      <c r="DN68" s="421">
        <v>0</v>
      </c>
      <c r="DO68" s="421">
        <v>0</v>
      </c>
      <c r="DP68" s="421">
        <v>0</v>
      </c>
      <c r="DQ68" s="421">
        <v>0</v>
      </c>
      <c r="DR68" s="421">
        <v>0</v>
      </c>
      <c r="DS68" s="421">
        <v>0</v>
      </c>
      <c r="DT68" s="421">
        <v>0</v>
      </c>
      <c r="DU68" s="421">
        <v>0</v>
      </c>
      <c r="DV68" s="421">
        <v>0</v>
      </c>
      <c r="DW68" s="421">
        <v>0</v>
      </c>
      <c r="DX68" s="421">
        <v>0</v>
      </c>
      <c r="DY68" s="421">
        <v>48779000</v>
      </c>
      <c r="DZ68" s="421">
        <v>48779000</v>
      </c>
      <c r="EA68" s="421">
        <v>0</v>
      </c>
      <c r="EB68" s="421">
        <v>0</v>
      </c>
      <c r="EC68" s="421" t="s">
        <v>1148</v>
      </c>
      <c r="ED68" s="421" t="s">
        <v>1167</v>
      </c>
      <c r="EE68" s="421" t="s">
        <v>1167</v>
      </c>
    </row>
    <row r="69" spans="1:135" x14ac:dyDescent="0.25">
      <c r="A69" s="421">
        <v>66</v>
      </c>
      <c r="B69" s="421">
        <v>2015</v>
      </c>
      <c r="C69" s="421">
        <v>4</v>
      </c>
      <c r="D69" s="421">
        <v>22</v>
      </c>
      <c r="E69" s="424">
        <v>42116</v>
      </c>
      <c r="F69" s="421" t="s">
        <v>1757</v>
      </c>
      <c r="G69" s="421" t="s">
        <v>1758</v>
      </c>
      <c r="H69" s="421" t="s">
        <v>1152</v>
      </c>
      <c r="I69" s="421" t="s">
        <v>1281</v>
      </c>
      <c r="J69" s="421" t="s">
        <v>1108</v>
      </c>
      <c r="K69" s="421" t="s">
        <v>1202</v>
      </c>
      <c r="L69" s="421" t="s">
        <v>1110</v>
      </c>
      <c r="O69" s="421" t="s">
        <v>1111</v>
      </c>
      <c r="R69" s="421" t="s">
        <v>1111</v>
      </c>
      <c r="S69" s="421" t="s">
        <v>1112</v>
      </c>
      <c r="T69" s="421" t="s">
        <v>1113</v>
      </c>
      <c r="U69" s="421" t="s">
        <v>1114</v>
      </c>
      <c r="V69" s="421" t="s">
        <v>1115</v>
      </c>
      <c r="W69" s="421" t="s">
        <v>1116</v>
      </c>
      <c r="X69" s="421" t="s">
        <v>1117</v>
      </c>
      <c r="Y69" s="421" t="s">
        <v>1118</v>
      </c>
      <c r="Z69" s="421" t="s">
        <v>1119</v>
      </c>
      <c r="AA69" s="421" t="s">
        <v>1120</v>
      </c>
      <c r="AB69" s="421" t="s">
        <v>1121</v>
      </c>
      <c r="AC69" s="421" t="s">
        <v>1122</v>
      </c>
      <c r="AD69" s="421" t="s">
        <v>1479</v>
      </c>
      <c r="AE69" s="421" t="s">
        <v>1203</v>
      </c>
      <c r="AF69" s="421" t="s">
        <v>1204</v>
      </c>
      <c r="AG69" s="421" t="s">
        <v>1759</v>
      </c>
      <c r="AH69" s="421">
        <v>21500</v>
      </c>
      <c r="AI69" s="421" t="s">
        <v>1127</v>
      </c>
      <c r="AJ69" s="421">
        <v>1</v>
      </c>
      <c r="AK69" s="421">
        <v>1</v>
      </c>
      <c r="AL69" s="421" t="s">
        <v>1283</v>
      </c>
      <c r="AM69" s="421">
        <v>21500</v>
      </c>
      <c r="AN69" s="421">
        <v>21743</v>
      </c>
      <c r="AO69" s="421" t="s">
        <v>1120</v>
      </c>
      <c r="AP69" s="421" t="s">
        <v>1129</v>
      </c>
      <c r="AR69" s="421" t="s">
        <v>1130</v>
      </c>
      <c r="AT69" s="421" t="s">
        <v>1131</v>
      </c>
      <c r="AU69" s="421" t="s">
        <v>1190</v>
      </c>
      <c r="AV69" s="421" t="s">
        <v>1191</v>
      </c>
      <c r="AW69" s="421" t="s">
        <v>1207</v>
      </c>
      <c r="AX69" s="421" t="s">
        <v>1207</v>
      </c>
      <c r="AY69" s="421" t="s">
        <v>1208</v>
      </c>
      <c r="AZ69" s="421" t="s">
        <v>1121</v>
      </c>
      <c r="BA69" s="421" t="s">
        <v>1209</v>
      </c>
      <c r="BB69" s="421" t="s">
        <v>1208</v>
      </c>
      <c r="BC69" s="421" t="s">
        <v>1210</v>
      </c>
      <c r="BD69" s="421" t="s">
        <v>1211</v>
      </c>
      <c r="BE69" s="421" t="s">
        <v>1212</v>
      </c>
      <c r="BI69" s="421" t="s">
        <v>1142</v>
      </c>
      <c r="BJ69" s="421" t="s">
        <v>1143</v>
      </c>
      <c r="BK69" s="421" t="s">
        <v>1758</v>
      </c>
      <c r="BL69" s="421" t="s">
        <v>1760</v>
      </c>
      <c r="BM69" s="421" t="s">
        <v>1761</v>
      </c>
      <c r="BN69" s="421" t="s">
        <v>1736</v>
      </c>
      <c r="BO69" s="421">
        <v>0</v>
      </c>
      <c r="BR69" s="421">
        <v>0</v>
      </c>
      <c r="BS69" s="421">
        <v>0</v>
      </c>
      <c r="BT69" s="421">
        <v>0</v>
      </c>
      <c r="BU69" s="424">
        <v>38718</v>
      </c>
      <c r="BX69" s="421">
        <v>2493.9299999999998</v>
      </c>
      <c r="BY69" s="421" t="s">
        <v>1147</v>
      </c>
      <c r="BZ69" s="421">
        <v>36550</v>
      </c>
      <c r="CA69" s="421">
        <v>91153141.5</v>
      </c>
      <c r="CB69" s="421">
        <v>14.62</v>
      </c>
      <c r="CC69" s="421">
        <v>0</v>
      </c>
      <c r="CD69" s="421">
        <v>1047</v>
      </c>
      <c r="CE69" s="421">
        <v>1061.6199999999999</v>
      </c>
      <c r="CF69" s="421">
        <v>0</v>
      </c>
      <c r="CG69" s="421">
        <v>37611.620000000003</v>
      </c>
      <c r="CH69" s="421">
        <v>0</v>
      </c>
      <c r="CI69" s="421">
        <v>37611.620000000003</v>
      </c>
      <c r="CJ69" s="421">
        <v>93800747.466600001</v>
      </c>
      <c r="CK69" s="421">
        <v>0</v>
      </c>
      <c r="CL69" s="421">
        <v>93800747</v>
      </c>
      <c r="CM69" s="421">
        <v>0</v>
      </c>
      <c r="CN69" s="421">
        <v>0</v>
      </c>
      <c r="CO69" s="421">
        <v>0</v>
      </c>
      <c r="CP69" s="421">
        <v>0</v>
      </c>
      <c r="CQ69" s="421">
        <v>0</v>
      </c>
      <c r="CR69" s="421">
        <v>93800747</v>
      </c>
      <c r="CS69" s="421">
        <v>0</v>
      </c>
      <c r="CT69" s="421">
        <v>0</v>
      </c>
      <c r="CU69" s="421">
        <v>0</v>
      </c>
      <c r="CV69" s="421">
        <v>0</v>
      </c>
      <c r="CW69" s="421">
        <v>0</v>
      </c>
      <c r="CX69" s="421">
        <v>0</v>
      </c>
      <c r="CY69" s="421">
        <v>0</v>
      </c>
      <c r="CZ69" s="421">
        <v>0</v>
      </c>
      <c r="DA69" s="421">
        <v>0</v>
      </c>
      <c r="DB69" s="421">
        <v>0</v>
      </c>
      <c r="DC69" s="421">
        <v>0</v>
      </c>
      <c r="DD69" s="421">
        <v>0</v>
      </c>
      <c r="DE69" s="421">
        <v>0</v>
      </c>
      <c r="DF69" s="421">
        <v>0</v>
      </c>
      <c r="DG69" s="421">
        <v>0</v>
      </c>
      <c r="DH69" s="421">
        <v>0</v>
      </c>
      <c r="DI69" s="421">
        <v>0</v>
      </c>
      <c r="DJ69" s="421">
        <v>0</v>
      </c>
      <c r="DK69" s="421">
        <v>0</v>
      </c>
      <c r="DL69" s="421">
        <v>0</v>
      </c>
      <c r="DM69" s="421">
        <v>0</v>
      </c>
      <c r="DN69" s="421">
        <v>0</v>
      </c>
      <c r="DO69" s="421">
        <v>0</v>
      </c>
      <c r="DP69" s="421">
        <v>0</v>
      </c>
      <c r="DQ69" s="421">
        <v>0</v>
      </c>
      <c r="DR69" s="421">
        <v>0</v>
      </c>
      <c r="DS69" s="421">
        <v>0</v>
      </c>
      <c r="DT69" s="421">
        <v>0</v>
      </c>
      <c r="DU69" s="421">
        <v>0</v>
      </c>
      <c r="DV69" s="421">
        <v>0</v>
      </c>
      <c r="DW69" s="421">
        <v>0</v>
      </c>
      <c r="DX69" s="421">
        <v>0</v>
      </c>
      <c r="DY69" s="421">
        <v>0</v>
      </c>
      <c r="DZ69" s="421">
        <v>0</v>
      </c>
      <c r="EA69" s="421">
        <v>0</v>
      </c>
      <c r="EB69" s="421">
        <v>0</v>
      </c>
      <c r="EC69" s="421" t="s">
        <v>1148</v>
      </c>
      <c r="ED69" s="421" t="s">
        <v>1149</v>
      </c>
      <c r="EE69" s="421" t="s">
        <v>1149</v>
      </c>
    </row>
    <row r="70" spans="1:135" x14ac:dyDescent="0.25">
      <c r="A70" s="421">
        <v>67</v>
      </c>
      <c r="B70" s="421">
        <v>2015</v>
      </c>
      <c r="C70" s="421">
        <v>4</v>
      </c>
      <c r="D70" s="421">
        <v>22</v>
      </c>
      <c r="E70" s="424">
        <v>42116</v>
      </c>
      <c r="F70" s="421" t="s">
        <v>1762</v>
      </c>
      <c r="G70" s="421" t="s">
        <v>1763</v>
      </c>
      <c r="H70" s="421" t="s">
        <v>1106</v>
      </c>
      <c r="I70" s="421" t="s">
        <v>1107</v>
      </c>
      <c r="J70" s="421" t="s">
        <v>1108</v>
      </c>
      <c r="K70" s="421" t="s">
        <v>1202</v>
      </c>
      <c r="L70" s="421" t="s">
        <v>1110</v>
      </c>
      <c r="O70" s="421" t="s">
        <v>1111</v>
      </c>
      <c r="R70" s="421" t="s">
        <v>1111</v>
      </c>
      <c r="S70" s="421" t="s">
        <v>1112</v>
      </c>
      <c r="T70" s="421" t="s">
        <v>1113</v>
      </c>
      <c r="U70" s="421" t="s">
        <v>1114</v>
      </c>
      <c r="V70" s="421" t="s">
        <v>1115</v>
      </c>
      <c r="W70" s="421" t="s">
        <v>1116</v>
      </c>
      <c r="X70" s="421" t="s">
        <v>1117</v>
      </c>
      <c r="Y70" s="421" t="s">
        <v>1118</v>
      </c>
      <c r="Z70" s="421" t="s">
        <v>1119</v>
      </c>
      <c r="AA70" s="421" t="s">
        <v>1120</v>
      </c>
      <c r="AB70" s="421" t="s">
        <v>1121</v>
      </c>
      <c r="AC70" s="421" t="s">
        <v>1122</v>
      </c>
      <c r="AD70" s="421" t="s">
        <v>1479</v>
      </c>
      <c r="AE70" s="421" t="s">
        <v>1203</v>
      </c>
      <c r="AF70" s="421" t="s">
        <v>1204</v>
      </c>
      <c r="AG70" s="421" t="s">
        <v>1764</v>
      </c>
      <c r="AH70" s="421">
        <v>21500</v>
      </c>
      <c r="AI70" s="421" t="s">
        <v>1127</v>
      </c>
      <c r="AJ70" s="421">
        <v>1</v>
      </c>
      <c r="AK70" s="421">
        <v>1</v>
      </c>
      <c r="AL70" s="421" t="s">
        <v>1283</v>
      </c>
      <c r="AM70" s="421">
        <v>21500</v>
      </c>
      <c r="AN70" s="421">
        <v>21743</v>
      </c>
      <c r="AO70" s="421" t="s">
        <v>1120</v>
      </c>
      <c r="AP70" s="421" t="s">
        <v>1129</v>
      </c>
      <c r="AR70" s="421" t="s">
        <v>1130</v>
      </c>
      <c r="AT70" s="421" t="s">
        <v>1131</v>
      </c>
      <c r="AU70" s="421" t="s">
        <v>1132</v>
      </c>
      <c r="AV70" s="421" t="s">
        <v>1133</v>
      </c>
      <c r="AW70" s="421" t="s">
        <v>1207</v>
      </c>
      <c r="AX70" s="421" t="s">
        <v>1207</v>
      </c>
      <c r="AY70" s="421" t="s">
        <v>1208</v>
      </c>
      <c r="AZ70" s="421" t="s">
        <v>1121</v>
      </c>
      <c r="BA70" s="421" t="s">
        <v>1209</v>
      </c>
      <c r="BB70" s="421" t="s">
        <v>1208</v>
      </c>
      <c r="BC70" s="421" t="s">
        <v>1210</v>
      </c>
      <c r="BD70" s="421" t="s">
        <v>1211</v>
      </c>
      <c r="BE70" s="421" t="s">
        <v>1212</v>
      </c>
      <c r="BF70" s="421" t="s">
        <v>1765</v>
      </c>
      <c r="BG70" s="421" t="s">
        <v>1766</v>
      </c>
      <c r="BH70" s="421" t="s">
        <v>1767</v>
      </c>
      <c r="BI70" s="421" t="s">
        <v>1142</v>
      </c>
      <c r="BJ70" s="421" t="s">
        <v>1275</v>
      </c>
      <c r="BK70" s="421" t="s">
        <v>1763</v>
      </c>
      <c r="BL70" s="421" t="s">
        <v>1760</v>
      </c>
      <c r="BM70" s="421" t="s">
        <v>1768</v>
      </c>
      <c r="BN70" s="421" t="s">
        <v>1769</v>
      </c>
      <c r="BO70" s="421">
        <v>0</v>
      </c>
      <c r="BR70" s="421">
        <v>0</v>
      </c>
      <c r="BS70" s="421">
        <v>0</v>
      </c>
      <c r="BT70" s="421">
        <v>0</v>
      </c>
      <c r="BU70" s="424">
        <v>42107</v>
      </c>
      <c r="BX70" s="421">
        <v>2493.9299999999998</v>
      </c>
      <c r="BY70" s="421" t="s">
        <v>1147</v>
      </c>
      <c r="BZ70" s="421">
        <v>36550</v>
      </c>
      <c r="CA70" s="421">
        <v>91153141.5</v>
      </c>
      <c r="CB70" s="421">
        <v>14.62</v>
      </c>
      <c r="CC70" s="421">
        <v>0</v>
      </c>
      <c r="CD70" s="421">
        <v>1030</v>
      </c>
      <c r="CE70" s="421">
        <v>1044.6199999999999</v>
      </c>
      <c r="CF70" s="421">
        <v>0</v>
      </c>
      <c r="CG70" s="421">
        <v>37594.620000000003</v>
      </c>
      <c r="CH70" s="421">
        <v>0</v>
      </c>
      <c r="CI70" s="421">
        <v>37594.620000000003</v>
      </c>
      <c r="CJ70" s="421">
        <v>93758350.656599998</v>
      </c>
      <c r="CK70" s="421">
        <v>0</v>
      </c>
      <c r="CL70" s="421">
        <v>93758351</v>
      </c>
      <c r="CM70" s="421">
        <v>0</v>
      </c>
      <c r="CN70" s="421">
        <v>0</v>
      </c>
      <c r="CO70" s="421">
        <v>0</v>
      </c>
      <c r="CP70" s="421">
        <v>0</v>
      </c>
      <c r="CQ70" s="421">
        <v>0</v>
      </c>
      <c r="CR70" s="421">
        <v>93758351</v>
      </c>
      <c r="CS70" s="421">
        <v>0</v>
      </c>
      <c r="CT70" s="421">
        <v>0</v>
      </c>
      <c r="CU70" s="421">
        <v>0</v>
      </c>
      <c r="CV70" s="421">
        <v>0</v>
      </c>
      <c r="CW70" s="421">
        <v>0</v>
      </c>
      <c r="CX70" s="421">
        <v>0</v>
      </c>
      <c r="CY70" s="421">
        <v>0</v>
      </c>
      <c r="CZ70" s="421">
        <v>0</v>
      </c>
      <c r="DA70" s="421">
        <v>0</v>
      </c>
      <c r="DB70" s="421">
        <v>0</v>
      </c>
      <c r="DC70" s="421">
        <v>0</v>
      </c>
      <c r="DD70" s="421">
        <v>0</v>
      </c>
      <c r="DE70" s="421">
        <v>0</v>
      </c>
      <c r="DF70" s="421">
        <v>0</v>
      </c>
      <c r="DG70" s="421">
        <v>0</v>
      </c>
      <c r="DH70" s="421">
        <v>0</v>
      </c>
      <c r="DI70" s="421">
        <v>0</v>
      </c>
      <c r="DJ70" s="421">
        <v>0</v>
      </c>
      <c r="DK70" s="421">
        <v>0</v>
      </c>
      <c r="DL70" s="421">
        <v>0</v>
      </c>
      <c r="DM70" s="421">
        <v>0</v>
      </c>
      <c r="DN70" s="421">
        <v>0</v>
      </c>
      <c r="DO70" s="421">
        <v>0</v>
      </c>
      <c r="DP70" s="421">
        <v>0</v>
      </c>
      <c r="DQ70" s="421">
        <v>0</v>
      </c>
      <c r="DR70" s="421">
        <v>0</v>
      </c>
      <c r="DS70" s="421">
        <v>0</v>
      </c>
      <c r="DT70" s="421">
        <v>0</v>
      </c>
      <c r="DU70" s="421">
        <v>0</v>
      </c>
      <c r="DV70" s="421">
        <v>0</v>
      </c>
      <c r="DW70" s="421">
        <v>0</v>
      </c>
      <c r="DX70" s="421">
        <v>0</v>
      </c>
      <c r="DY70" s="421">
        <v>0</v>
      </c>
      <c r="DZ70" s="421">
        <v>0</v>
      </c>
      <c r="EA70" s="421">
        <v>0</v>
      </c>
      <c r="EB70" s="421">
        <v>0</v>
      </c>
      <c r="EC70" s="421" t="s">
        <v>1148</v>
      </c>
      <c r="ED70" s="421" t="s">
        <v>1149</v>
      </c>
      <c r="EE70" s="421" t="s">
        <v>1149</v>
      </c>
    </row>
    <row r="71" spans="1:135" x14ac:dyDescent="0.25">
      <c r="A71" s="421">
        <v>68</v>
      </c>
      <c r="B71" s="421">
        <v>2015</v>
      </c>
      <c r="C71" s="421">
        <v>5</v>
      </c>
      <c r="D71" s="421">
        <v>2</v>
      </c>
      <c r="E71" s="424">
        <v>42126</v>
      </c>
      <c r="F71" s="421" t="s">
        <v>1770</v>
      </c>
      <c r="G71" s="421" t="s">
        <v>1771</v>
      </c>
      <c r="H71" s="421" t="s">
        <v>1152</v>
      </c>
      <c r="I71" s="421" t="s">
        <v>1107</v>
      </c>
      <c r="J71" s="421" t="s">
        <v>1108</v>
      </c>
      <c r="K71" s="421" t="s">
        <v>1109</v>
      </c>
      <c r="L71" s="421" t="s">
        <v>1110</v>
      </c>
      <c r="O71" s="421" t="s">
        <v>1111</v>
      </c>
      <c r="R71" s="421" t="s">
        <v>1111</v>
      </c>
      <c r="S71" s="421" t="s">
        <v>1112</v>
      </c>
      <c r="T71" s="421" t="s">
        <v>1113</v>
      </c>
      <c r="U71" s="421" t="s">
        <v>1114</v>
      </c>
      <c r="V71" s="421" t="s">
        <v>1115</v>
      </c>
      <c r="W71" s="421" t="s">
        <v>1116</v>
      </c>
      <c r="X71" s="421" t="s">
        <v>1117</v>
      </c>
      <c r="Y71" s="421" t="s">
        <v>1118</v>
      </c>
      <c r="Z71" s="421" t="s">
        <v>1119</v>
      </c>
      <c r="AA71" s="421" t="s">
        <v>1772</v>
      </c>
      <c r="AB71" s="421" t="s">
        <v>1121</v>
      </c>
      <c r="AC71" s="421" t="s">
        <v>1122</v>
      </c>
      <c r="AD71" s="421" t="s">
        <v>1479</v>
      </c>
      <c r="AE71" s="421" t="s">
        <v>1402</v>
      </c>
      <c r="AF71" s="421" t="s">
        <v>1403</v>
      </c>
      <c r="AG71" s="421" t="s">
        <v>1773</v>
      </c>
      <c r="AH71" s="421">
        <v>868000</v>
      </c>
      <c r="AI71" s="421" t="s">
        <v>1189</v>
      </c>
      <c r="AJ71" s="421">
        <v>484</v>
      </c>
      <c r="AK71" s="421">
        <v>2</v>
      </c>
      <c r="AL71" s="421" t="s">
        <v>1173</v>
      </c>
      <c r="AM71" s="421">
        <v>3124.8</v>
      </c>
      <c r="AN71" s="421">
        <v>3452</v>
      </c>
      <c r="AO71" s="421" t="s">
        <v>1120</v>
      </c>
      <c r="AP71" s="421" t="s">
        <v>1129</v>
      </c>
      <c r="AR71" s="421" t="s">
        <v>1130</v>
      </c>
      <c r="AT71" s="421" t="s">
        <v>1131</v>
      </c>
      <c r="AU71" s="421" t="s">
        <v>1190</v>
      </c>
      <c r="AV71" s="421" t="s">
        <v>1191</v>
      </c>
      <c r="AW71" s="421" t="s">
        <v>960</v>
      </c>
      <c r="AX71" s="421" t="s">
        <v>960</v>
      </c>
      <c r="AY71" s="421" t="s">
        <v>960</v>
      </c>
      <c r="AZ71" s="421" t="s">
        <v>1121</v>
      </c>
      <c r="BA71" s="421" t="s">
        <v>1376</v>
      </c>
      <c r="BB71" s="421" t="s">
        <v>960</v>
      </c>
      <c r="BC71" s="421" t="s">
        <v>1377</v>
      </c>
      <c r="BD71" s="421" t="s">
        <v>1378</v>
      </c>
      <c r="BE71" s="421" t="s">
        <v>1379</v>
      </c>
      <c r="BF71" s="421" t="s">
        <v>1774</v>
      </c>
      <c r="BG71" s="421" t="s">
        <v>1775</v>
      </c>
      <c r="BH71" s="421" t="s">
        <v>1776</v>
      </c>
      <c r="BI71" s="421" t="s">
        <v>1142</v>
      </c>
      <c r="BJ71" s="421" t="s">
        <v>1243</v>
      </c>
      <c r="BK71" s="421" t="s">
        <v>1771</v>
      </c>
      <c r="BL71" s="421" t="s">
        <v>1777</v>
      </c>
      <c r="BM71" s="421" t="s">
        <v>1778</v>
      </c>
      <c r="BN71" s="421" t="s">
        <v>1671</v>
      </c>
      <c r="BO71" s="421">
        <v>0</v>
      </c>
      <c r="BR71" s="421">
        <v>0</v>
      </c>
      <c r="BS71" s="421">
        <v>0</v>
      </c>
      <c r="BT71" s="421">
        <v>0</v>
      </c>
      <c r="BU71" s="424">
        <v>42091</v>
      </c>
      <c r="BX71" s="421">
        <v>2471.21</v>
      </c>
      <c r="BY71" s="421" t="s">
        <v>1183</v>
      </c>
      <c r="BZ71" s="421">
        <v>13888</v>
      </c>
      <c r="CA71" s="421">
        <v>34320164.479999997</v>
      </c>
      <c r="CB71" s="421">
        <v>5.55</v>
      </c>
      <c r="CC71" s="421">
        <v>0</v>
      </c>
      <c r="CD71" s="421">
        <v>2967.97</v>
      </c>
      <c r="CE71" s="421">
        <v>2973.52</v>
      </c>
      <c r="CF71" s="421">
        <v>0</v>
      </c>
      <c r="CG71" s="421">
        <v>16861.52</v>
      </c>
      <c r="CH71" s="421">
        <v>0</v>
      </c>
      <c r="CI71" s="421">
        <v>16861.52</v>
      </c>
      <c r="CJ71" s="421">
        <v>41668356.839199997</v>
      </c>
      <c r="CK71" s="421">
        <v>10</v>
      </c>
      <c r="CL71" s="421">
        <v>41668357</v>
      </c>
      <c r="CM71" s="421">
        <v>4167000</v>
      </c>
      <c r="CN71" s="421">
        <v>4167000</v>
      </c>
      <c r="CO71" s="421">
        <v>0</v>
      </c>
      <c r="CP71" s="421">
        <v>0</v>
      </c>
      <c r="CQ71" s="421">
        <v>16</v>
      </c>
      <c r="CR71" s="421">
        <v>45835357</v>
      </c>
      <c r="CS71" s="421">
        <v>7334000</v>
      </c>
      <c r="CT71" s="421">
        <v>7334000</v>
      </c>
      <c r="CU71" s="421">
        <v>0</v>
      </c>
      <c r="CV71" s="421">
        <v>0</v>
      </c>
      <c r="CW71" s="421">
        <v>0</v>
      </c>
      <c r="CX71" s="421">
        <v>0</v>
      </c>
      <c r="CY71" s="421">
        <v>0</v>
      </c>
      <c r="CZ71" s="421">
        <v>0</v>
      </c>
      <c r="DA71" s="421">
        <v>0</v>
      </c>
      <c r="DB71" s="421">
        <v>0</v>
      </c>
      <c r="DC71" s="421">
        <v>0</v>
      </c>
      <c r="DD71" s="421">
        <v>0</v>
      </c>
      <c r="DE71" s="421">
        <v>0</v>
      </c>
      <c r="DF71" s="421">
        <v>0</v>
      </c>
      <c r="DG71" s="421">
        <v>0</v>
      </c>
      <c r="DH71" s="421">
        <v>0</v>
      </c>
      <c r="DI71" s="421">
        <v>0</v>
      </c>
      <c r="DJ71" s="421">
        <v>0</v>
      </c>
      <c r="DK71" s="421">
        <v>0</v>
      </c>
      <c r="DL71" s="421">
        <v>0</v>
      </c>
      <c r="DM71" s="421">
        <v>0</v>
      </c>
      <c r="DN71" s="421">
        <v>0</v>
      </c>
      <c r="DO71" s="421">
        <v>0</v>
      </c>
      <c r="DP71" s="421">
        <v>0</v>
      </c>
      <c r="DQ71" s="421">
        <v>0</v>
      </c>
      <c r="DR71" s="421">
        <v>0</v>
      </c>
      <c r="DS71" s="421">
        <v>0</v>
      </c>
      <c r="DT71" s="421">
        <v>0</v>
      </c>
      <c r="DU71" s="421">
        <v>0</v>
      </c>
      <c r="DV71" s="421">
        <v>0</v>
      </c>
      <c r="DW71" s="421">
        <v>0</v>
      </c>
      <c r="DX71" s="421">
        <v>0</v>
      </c>
      <c r="DY71" s="421">
        <v>11501000</v>
      </c>
      <c r="DZ71" s="421">
        <v>11501000</v>
      </c>
      <c r="EA71" s="421">
        <v>0</v>
      </c>
      <c r="EB71" s="421">
        <v>0</v>
      </c>
      <c r="EC71" s="421" t="s">
        <v>1148</v>
      </c>
      <c r="ED71" s="421" t="s">
        <v>1167</v>
      </c>
      <c r="EE71" s="421" t="s">
        <v>1167</v>
      </c>
    </row>
    <row r="72" spans="1:135" x14ac:dyDescent="0.25">
      <c r="A72" s="421">
        <v>69</v>
      </c>
      <c r="B72" s="421">
        <v>2015</v>
      </c>
      <c r="C72" s="421">
        <v>5</v>
      </c>
      <c r="D72" s="421">
        <v>7</v>
      </c>
      <c r="E72" s="424">
        <v>42131</v>
      </c>
      <c r="F72" s="421" t="s">
        <v>1779</v>
      </c>
      <c r="G72" s="421" t="s">
        <v>1780</v>
      </c>
      <c r="H72" s="421" t="s">
        <v>1106</v>
      </c>
      <c r="I72" s="421" t="s">
        <v>1107</v>
      </c>
      <c r="J72" s="421" t="s">
        <v>1108</v>
      </c>
      <c r="K72" s="421" t="s">
        <v>1202</v>
      </c>
      <c r="L72" s="421" t="s">
        <v>1110</v>
      </c>
      <c r="O72" s="421" t="s">
        <v>1111</v>
      </c>
      <c r="R72" s="421" t="s">
        <v>1111</v>
      </c>
      <c r="S72" s="421" t="s">
        <v>1112</v>
      </c>
      <c r="T72" s="421" t="s">
        <v>1113</v>
      </c>
      <c r="U72" s="421" t="s">
        <v>1114</v>
      </c>
      <c r="V72" s="421" t="s">
        <v>1115</v>
      </c>
      <c r="W72" s="421" t="s">
        <v>1116</v>
      </c>
      <c r="X72" s="421" t="s">
        <v>1117</v>
      </c>
      <c r="Y72" s="421" t="s">
        <v>1118</v>
      </c>
      <c r="Z72" s="421" t="s">
        <v>1119</v>
      </c>
      <c r="AA72" s="421" t="s">
        <v>1772</v>
      </c>
      <c r="AB72" s="421" t="s">
        <v>1121</v>
      </c>
      <c r="AC72" s="421" t="s">
        <v>1122</v>
      </c>
      <c r="AD72" s="421" t="s">
        <v>1479</v>
      </c>
      <c r="AE72" s="421" t="s">
        <v>1203</v>
      </c>
      <c r="AF72" s="421" t="s">
        <v>1204</v>
      </c>
      <c r="AG72" s="421" t="s">
        <v>1781</v>
      </c>
      <c r="AH72" s="421">
        <v>64500</v>
      </c>
      <c r="AI72" s="421" t="s">
        <v>1127</v>
      </c>
      <c r="AJ72" s="421">
        <v>3</v>
      </c>
      <c r="AK72" s="421">
        <v>1</v>
      </c>
      <c r="AL72" s="421" t="s">
        <v>1283</v>
      </c>
      <c r="AM72" s="421">
        <v>64500</v>
      </c>
      <c r="AN72" s="421">
        <v>65228</v>
      </c>
      <c r="AO72" s="421" t="s">
        <v>1120</v>
      </c>
      <c r="AP72" s="421" t="s">
        <v>1129</v>
      </c>
      <c r="AR72" s="421" t="s">
        <v>1130</v>
      </c>
      <c r="AT72" s="421" t="s">
        <v>1131</v>
      </c>
      <c r="AU72" s="421" t="s">
        <v>1132</v>
      </c>
      <c r="AV72" s="421" t="s">
        <v>1133</v>
      </c>
      <c r="AW72" s="421" t="s">
        <v>1207</v>
      </c>
      <c r="AX72" s="421" t="s">
        <v>1207</v>
      </c>
      <c r="AY72" s="421" t="s">
        <v>1208</v>
      </c>
      <c r="AZ72" s="421" t="s">
        <v>1121</v>
      </c>
      <c r="BA72" s="421" t="s">
        <v>1209</v>
      </c>
      <c r="BB72" s="421" t="s">
        <v>1208</v>
      </c>
      <c r="BC72" s="421" t="s">
        <v>1210</v>
      </c>
      <c r="BD72" s="421" t="s">
        <v>1211</v>
      </c>
      <c r="BE72" s="421" t="s">
        <v>1212</v>
      </c>
      <c r="BF72" s="421" t="s">
        <v>1782</v>
      </c>
      <c r="BG72" s="421" t="s">
        <v>1783</v>
      </c>
      <c r="BH72" s="421" t="s">
        <v>1784</v>
      </c>
      <c r="BI72" s="421" t="s">
        <v>1142</v>
      </c>
      <c r="BJ72" s="421" t="s">
        <v>1243</v>
      </c>
      <c r="BK72" s="421" t="s">
        <v>1780</v>
      </c>
      <c r="BL72" s="421" t="s">
        <v>1785</v>
      </c>
      <c r="BM72" s="421" t="s">
        <v>1786</v>
      </c>
      <c r="BN72" s="421" t="s">
        <v>1787</v>
      </c>
      <c r="BO72" s="421">
        <v>0</v>
      </c>
      <c r="BR72" s="421">
        <v>0</v>
      </c>
      <c r="BS72" s="421">
        <v>0</v>
      </c>
      <c r="BT72" s="421">
        <v>0</v>
      </c>
      <c r="BU72" s="424">
        <v>42123</v>
      </c>
      <c r="BX72" s="421">
        <v>2388.06</v>
      </c>
      <c r="BY72" s="421" t="s">
        <v>1147</v>
      </c>
      <c r="BZ72" s="421">
        <v>116100</v>
      </c>
      <c r="CA72" s="421">
        <v>277253766</v>
      </c>
      <c r="CB72" s="421">
        <v>46.44</v>
      </c>
      <c r="CC72" s="421">
        <v>0</v>
      </c>
      <c r="CD72" s="421">
        <v>2480</v>
      </c>
      <c r="CE72" s="421">
        <v>2526.44</v>
      </c>
      <c r="CF72" s="421">
        <v>0</v>
      </c>
      <c r="CG72" s="421">
        <v>118626.44</v>
      </c>
      <c r="CH72" s="421">
        <v>0</v>
      </c>
      <c r="CI72" s="421">
        <v>118626.44</v>
      </c>
      <c r="CJ72" s="421">
        <v>283287056.3064</v>
      </c>
      <c r="CK72" s="421">
        <v>0</v>
      </c>
      <c r="CL72" s="421">
        <v>283287056</v>
      </c>
      <c r="CM72" s="421">
        <v>0</v>
      </c>
      <c r="CN72" s="421">
        <v>0</v>
      </c>
      <c r="CO72" s="421">
        <v>0</v>
      </c>
      <c r="CP72" s="421">
        <v>0</v>
      </c>
      <c r="CQ72" s="421">
        <v>0</v>
      </c>
      <c r="CR72" s="421">
        <v>283287056</v>
      </c>
      <c r="CS72" s="421">
        <v>0</v>
      </c>
      <c r="CT72" s="421">
        <v>0</v>
      </c>
      <c r="CU72" s="421">
        <v>0</v>
      </c>
      <c r="CV72" s="421">
        <v>0</v>
      </c>
      <c r="CW72" s="421">
        <v>0</v>
      </c>
      <c r="CX72" s="421">
        <v>0</v>
      </c>
      <c r="CY72" s="421">
        <v>0</v>
      </c>
      <c r="CZ72" s="421">
        <v>0</v>
      </c>
      <c r="DA72" s="421">
        <v>0</v>
      </c>
      <c r="DB72" s="421">
        <v>0</v>
      </c>
      <c r="DC72" s="421">
        <v>0</v>
      </c>
      <c r="DD72" s="421">
        <v>0</v>
      </c>
      <c r="DE72" s="421">
        <v>0</v>
      </c>
      <c r="DF72" s="421">
        <v>0</v>
      </c>
      <c r="DG72" s="421">
        <v>0</v>
      </c>
      <c r="DH72" s="421">
        <v>0</v>
      </c>
      <c r="DI72" s="421">
        <v>0</v>
      </c>
      <c r="DJ72" s="421">
        <v>0</v>
      </c>
      <c r="DK72" s="421">
        <v>0</v>
      </c>
      <c r="DL72" s="421">
        <v>0</v>
      </c>
      <c r="DM72" s="421">
        <v>0</v>
      </c>
      <c r="DN72" s="421">
        <v>0</v>
      </c>
      <c r="DO72" s="421">
        <v>0</v>
      </c>
      <c r="DP72" s="421">
        <v>0</v>
      </c>
      <c r="DQ72" s="421">
        <v>0</v>
      </c>
      <c r="DR72" s="421">
        <v>0</v>
      </c>
      <c r="DS72" s="421">
        <v>0</v>
      </c>
      <c r="DT72" s="421">
        <v>0</v>
      </c>
      <c r="DU72" s="421">
        <v>0</v>
      </c>
      <c r="DV72" s="421">
        <v>0</v>
      </c>
      <c r="DW72" s="421">
        <v>0</v>
      </c>
      <c r="DX72" s="421">
        <v>0</v>
      </c>
      <c r="DY72" s="421">
        <v>0</v>
      </c>
      <c r="DZ72" s="421">
        <v>0</v>
      </c>
      <c r="EA72" s="421">
        <v>0</v>
      </c>
      <c r="EB72" s="421">
        <v>0</v>
      </c>
      <c r="EC72" s="421" t="s">
        <v>1148</v>
      </c>
      <c r="ED72" s="421" t="s">
        <v>1149</v>
      </c>
      <c r="EE72" s="421" t="s">
        <v>1149</v>
      </c>
    </row>
    <row r="73" spans="1:135" x14ac:dyDescent="0.25">
      <c r="A73" s="421">
        <v>70</v>
      </c>
      <c r="B73" s="421">
        <v>2015</v>
      </c>
      <c r="C73" s="421">
        <v>5</v>
      </c>
      <c r="D73" s="421">
        <v>7</v>
      </c>
      <c r="E73" s="424">
        <v>42131</v>
      </c>
      <c r="F73" s="421" t="s">
        <v>1788</v>
      </c>
      <c r="G73" s="421" t="s">
        <v>1789</v>
      </c>
      <c r="H73" s="421" t="s">
        <v>1106</v>
      </c>
      <c r="I73" s="421" t="s">
        <v>1281</v>
      </c>
      <c r="J73" s="421" t="s">
        <v>1108</v>
      </c>
      <c r="K73" s="421" t="s">
        <v>1202</v>
      </c>
      <c r="L73" s="421" t="s">
        <v>1110</v>
      </c>
      <c r="O73" s="421" t="s">
        <v>1111</v>
      </c>
      <c r="R73" s="421" t="s">
        <v>1111</v>
      </c>
      <c r="S73" s="421" t="s">
        <v>1112</v>
      </c>
      <c r="T73" s="421" t="s">
        <v>1113</v>
      </c>
      <c r="U73" s="421" t="s">
        <v>1114</v>
      </c>
      <c r="V73" s="421" t="s">
        <v>1115</v>
      </c>
      <c r="W73" s="421" t="s">
        <v>1116</v>
      </c>
      <c r="X73" s="421" t="s">
        <v>1117</v>
      </c>
      <c r="Y73" s="421" t="s">
        <v>1118</v>
      </c>
      <c r="Z73" s="421" t="s">
        <v>1119</v>
      </c>
      <c r="AA73" s="421" t="s">
        <v>1772</v>
      </c>
      <c r="AB73" s="421" t="s">
        <v>1121</v>
      </c>
      <c r="AC73" s="421" t="s">
        <v>1122</v>
      </c>
      <c r="AD73" s="421" t="s">
        <v>1479</v>
      </c>
      <c r="AE73" s="421" t="s">
        <v>1203</v>
      </c>
      <c r="AF73" s="421" t="s">
        <v>1204</v>
      </c>
      <c r="AG73" s="421" t="s">
        <v>1790</v>
      </c>
      <c r="AH73" s="421">
        <v>64500</v>
      </c>
      <c r="AI73" s="421" t="s">
        <v>1127</v>
      </c>
      <c r="AJ73" s="421">
        <v>3</v>
      </c>
      <c r="AK73" s="421">
        <v>1</v>
      </c>
      <c r="AL73" s="421" t="s">
        <v>1283</v>
      </c>
      <c r="AM73" s="421">
        <v>64500</v>
      </c>
      <c r="AN73" s="421">
        <v>65228</v>
      </c>
      <c r="AO73" s="421" t="s">
        <v>1120</v>
      </c>
      <c r="AP73" s="421" t="s">
        <v>1129</v>
      </c>
      <c r="AR73" s="421" t="s">
        <v>1130</v>
      </c>
      <c r="AT73" s="421" t="s">
        <v>1131</v>
      </c>
      <c r="AU73" s="421" t="s">
        <v>1190</v>
      </c>
      <c r="AV73" s="421" t="s">
        <v>1191</v>
      </c>
      <c r="AW73" s="421" t="s">
        <v>1207</v>
      </c>
      <c r="AX73" s="421" t="s">
        <v>1207</v>
      </c>
      <c r="AY73" s="421" t="s">
        <v>1208</v>
      </c>
      <c r="AZ73" s="421" t="s">
        <v>1121</v>
      </c>
      <c r="BA73" s="421" t="s">
        <v>1209</v>
      </c>
      <c r="BB73" s="421" t="s">
        <v>1208</v>
      </c>
      <c r="BC73" s="421" t="s">
        <v>1210</v>
      </c>
      <c r="BD73" s="421" t="s">
        <v>1211</v>
      </c>
      <c r="BE73" s="421" t="s">
        <v>1212</v>
      </c>
      <c r="BI73" s="421" t="s">
        <v>1142</v>
      </c>
      <c r="BJ73" s="421" t="s">
        <v>1243</v>
      </c>
      <c r="BK73" s="421" t="s">
        <v>1789</v>
      </c>
      <c r="BL73" s="421" t="s">
        <v>1785</v>
      </c>
      <c r="BM73" s="421" t="s">
        <v>1791</v>
      </c>
      <c r="BN73" s="421" t="s">
        <v>1787</v>
      </c>
      <c r="BO73" s="421">
        <v>0</v>
      </c>
      <c r="BR73" s="421">
        <v>0</v>
      </c>
      <c r="BS73" s="421">
        <v>0</v>
      </c>
      <c r="BT73" s="421">
        <v>0</v>
      </c>
      <c r="BU73" s="424">
        <v>38718</v>
      </c>
      <c r="BX73" s="421">
        <v>2388.06</v>
      </c>
      <c r="BY73" s="421" t="s">
        <v>1147</v>
      </c>
      <c r="BZ73" s="421">
        <v>116100</v>
      </c>
      <c r="CA73" s="421">
        <v>277253766</v>
      </c>
      <c r="CB73" s="421">
        <v>46.44</v>
      </c>
      <c r="CC73" s="421">
        <v>0</v>
      </c>
      <c r="CD73" s="421">
        <v>3355.2</v>
      </c>
      <c r="CE73" s="421">
        <v>3401.64</v>
      </c>
      <c r="CF73" s="421">
        <v>0</v>
      </c>
      <c r="CG73" s="421">
        <v>119501.64</v>
      </c>
      <c r="CH73" s="421">
        <v>0</v>
      </c>
      <c r="CI73" s="421">
        <v>119501.64</v>
      </c>
      <c r="CJ73" s="421">
        <v>285377086.41839999</v>
      </c>
      <c r="CK73" s="421">
        <v>0</v>
      </c>
      <c r="CL73" s="421">
        <v>285377086</v>
      </c>
      <c r="CM73" s="421">
        <v>0</v>
      </c>
      <c r="CN73" s="421">
        <v>0</v>
      </c>
      <c r="CO73" s="421">
        <v>0</v>
      </c>
      <c r="CP73" s="421">
        <v>0</v>
      </c>
      <c r="CQ73" s="421">
        <v>0</v>
      </c>
      <c r="CR73" s="421">
        <v>285377086</v>
      </c>
      <c r="CS73" s="421">
        <v>0</v>
      </c>
      <c r="CT73" s="421">
        <v>0</v>
      </c>
      <c r="CU73" s="421">
        <v>0</v>
      </c>
      <c r="CV73" s="421">
        <v>0</v>
      </c>
      <c r="CW73" s="421">
        <v>0</v>
      </c>
      <c r="CX73" s="421">
        <v>0</v>
      </c>
      <c r="CY73" s="421">
        <v>0</v>
      </c>
      <c r="CZ73" s="421">
        <v>0</v>
      </c>
      <c r="DA73" s="421">
        <v>0</v>
      </c>
      <c r="DB73" s="421">
        <v>0</v>
      </c>
      <c r="DC73" s="421">
        <v>0</v>
      </c>
      <c r="DD73" s="421">
        <v>0</v>
      </c>
      <c r="DE73" s="421">
        <v>0</v>
      </c>
      <c r="DF73" s="421">
        <v>0</v>
      </c>
      <c r="DG73" s="421">
        <v>0</v>
      </c>
      <c r="DH73" s="421">
        <v>0</v>
      </c>
      <c r="DI73" s="421">
        <v>0</v>
      </c>
      <c r="DJ73" s="421">
        <v>0</v>
      </c>
      <c r="DK73" s="421">
        <v>0</v>
      </c>
      <c r="DL73" s="421">
        <v>0</v>
      </c>
      <c r="DM73" s="421">
        <v>0</v>
      </c>
      <c r="DN73" s="421">
        <v>0</v>
      </c>
      <c r="DO73" s="421">
        <v>0</v>
      </c>
      <c r="DP73" s="421">
        <v>0</v>
      </c>
      <c r="DQ73" s="421">
        <v>0</v>
      </c>
      <c r="DR73" s="421">
        <v>0</v>
      </c>
      <c r="DS73" s="421">
        <v>0</v>
      </c>
      <c r="DT73" s="421">
        <v>0</v>
      </c>
      <c r="DU73" s="421">
        <v>0</v>
      </c>
      <c r="DV73" s="421">
        <v>0</v>
      </c>
      <c r="DW73" s="421">
        <v>0</v>
      </c>
      <c r="DX73" s="421">
        <v>0</v>
      </c>
      <c r="DY73" s="421">
        <v>0</v>
      </c>
      <c r="DZ73" s="421">
        <v>0</v>
      </c>
      <c r="EA73" s="421">
        <v>0</v>
      </c>
      <c r="EB73" s="421">
        <v>0</v>
      </c>
      <c r="EC73" s="421" t="s">
        <v>1148</v>
      </c>
      <c r="ED73" s="421" t="s">
        <v>1149</v>
      </c>
      <c r="EE73" s="421" t="s">
        <v>1149</v>
      </c>
    </row>
    <row r="74" spans="1:135" x14ac:dyDescent="0.25">
      <c r="A74" s="421">
        <v>71</v>
      </c>
      <c r="B74" s="421">
        <v>2015</v>
      </c>
      <c r="C74" s="421">
        <v>5</v>
      </c>
      <c r="D74" s="421">
        <v>8</v>
      </c>
      <c r="E74" s="424">
        <v>42132</v>
      </c>
      <c r="F74" s="421" t="s">
        <v>1792</v>
      </c>
      <c r="G74" s="421" t="s">
        <v>1793</v>
      </c>
      <c r="H74" s="421" t="s">
        <v>1106</v>
      </c>
      <c r="I74" s="421" t="s">
        <v>1107</v>
      </c>
      <c r="J74" s="421" t="s">
        <v>1108</v>
      </c>
      <c r="K74" s="421" t="s">
        <v>1109</v>
      </c>
      <c r="L74" s="421" t="s">
        <v>1110</v>
      </c>
      <c r="O74" s="421" t="s">
        <v>1111</v>
      </c>
      <c r="R74" s="421" t="s">
        <v>1111</v>
      </c>
      <c r="S74" s="421" t="s">
        <v>1112</v>
      </c>
      <c r="T74" s="421" t="s">
        <v>1113</v>
      </c>
      <c r="U74" s="421" t="s">
        <v>1114</v>
      </c>
      <c r="V74" s="421" t="s">
        <v>1115</v>
      </c>
      <c r="W74" s="421" t="s">
        <v>1116</v>
      </c>
      <c r="X74" s="421" t="s">
        <v>1117</v>
      </c>
      <c r="Y74" s="421" t="s">
        <v>1118</v>
      </c>
      <c r="Z74" s="421" t="s">
        <v>1119</v>
      </c>
      <c r="AA74" s="421" t="s">
        <v>1772</v>
      </c>
      <c r="AB74" s="421" t="s">
        <v>1121</v>
      </c>
      <c r="AC74" s="421" t="s">
        <v>1122</v>
      </c>
      <c r="AD74" s="421" t="s">
        <v>1479</v>
      </c>
      <c r="AE74" s="421" t="s">
        <v>1233</v>
      </c>
      <c r="AF74" s="421" t="s">
        <v>1234</v>
      </c>
      <c r="AG74" s="421" t="s">
        <v>1794</v>
      </c>
      <c r="AH74" s="421">
        <v>1135200</v>
      </c>
      <c r="AI74" s="421" t="s">
        <v>1189</v>
      </c>
      <c r="AJ74" s="421">
        <v>1149</v>
      </c>
      <c r="AK74" s="421">
        <v>1</v>
      </c>
      <c r="AL74" s="421" t="s">
        <v>1173</v>
      </c>
      <c r="AM74" s="421">
        <v>12114.72</v>
      </c>
      <c r="AN74" s="421">
        <v>13431</v>
      </c>
      <c r="AO74" s="421" t="s">
        <v>1120</v>
      </c>
      <c r="AP74" s="421" t="s">
        <v>1129</v>
      </c>
      <c r="AR74" s="421" t="s">
        <v>1130</v>
      </c>
      <c r="AT74" s="421" t="s">
        <v>1131</v>
      </c>
      <c r="AU74" s="421" t="s">
        <v>1190</v>
      </c>
      <c r="AV74" s="421" t="s">
        <v>1191</v>
      </c>
      <c r="AW74" s="421" t="s">
        <v>960</v>
      </c>
      <c r="AX74" s="421" t="s">
        <v>960</v>
      </c>
      <c r="AY74" s="421" t="s">
        <v>960</v>
      </c>
      <c r="AZ74" s="421" t="s">
        <v>1121</v>
      </c>
      <c r="BA74" s="421" t="s">
        <v>1236</v>
      </c>
      <c r="BB74" s="421" t="s">
        <v>960</v>
      </c>
      <c r="BC74" s="421" t="s">
        <v>1237</v>
      </c>
      <c r="BD74" s="421" t="s">
        <v>1238</v>
      </c>
      <c r="BE74" s="421" t="s">
        <v>1239</v>
      </c>
      <c r="BF74" s="421" t="s">
        <v>1782</v>
      </c>
      <c r="BG74" s="421" t="s">
        <v>1783</v>
      </c>
      <c r="BH74" s="421" t="s">
        <v>1795</v>
      </c>
      <c r="BI74" s="421" t="s">
        <v>1142</v>
      </c>
      <c r="BJ74" s="421" t="s">
        <v>1243</v>
      </c>
      <c r="BK74" s="421" t="s">
        <v>1793</v>
      </c>
      <c r="BL74" s="421" t="s">
        <v>1785</v>
      </c>
      <c r="BM74" s="421" t="s">
        <v>1796</v>
      </c>
      <c r="BN74" s="421" t="s">
        <v>1797</v>
      </c>
      <c r="BO74" s="421">
        <v>0</v>
      </c>
      <c r="BR74" s="421">
        <v>0</v>
      </c>
      <c r="BS74" s="421">
        <v>0</v>
      </c>
      <c r="BT74" s="421">
        <v>0</v>
      </c>
      <c r="BU74" s="424">
        <v>42089</v>
      </c>
      <c r="BX74" s="421">
        <v>2388.06</v>
      </c>
      <c r="BY74" s="421" t="s">
        <v>1183</v>
      </c>
      <c r="BZ74" s="421">
        <v>40617.360000000001</v>
      </c>
      <c r="CA74" s="421">
        <v>96996692.721599996</v>
      </c>
      <c r="CB74" s="421">
        <v>16.25</v>
      </c>
      <c r="CC74" s="421">
        <v>0</v>
      </c>
      <c r="CD74" s="421">
        <v>4550</v>
      </c>
      <c r="CE74" s="421">
        <v>4566.25</v>
      </c>
      <c r="CF74" s="421">
        <v>0</v>
      </c>
      <c r="CG74" s="421">
        <v>45183.61</v>
      </c>
      <c r="CH74" s="421">
        <v>0</v>
      </c>
      <c r="CI74" s="421">
        <v>45183.61</v>
      </c>
      <c r="CJ74" s="421">
        <v>107901171.69660001</v>
      </c>
      <c r="CK74" s="421">
        <v>15</v>
      </c>
      <c r="CL74" s="421">
        <v>107901172</v>
      </c>
      <c r="CM74" s="421">
        <v>16185000</v>
      </c>
      <c r="CN74" s="421">
        <v>16185000</v>
      </c>
      <c r="CO74" s="421">
        <v>0</v>
      </c>
      <c r="CP74" s="421">
        <v>0</v>
      </c>
      <c r="CQ74" s="421">
        <v>16</v>
      </c>
      <c r="CR74" s="421">
        <v>124086172</v>
      </c>
      <c r="CS74" s="421">
        <v>19854000</v>
      </c>
      <c r="CT74" s="421">
        <v>19854000</v>
      </c>
      <c r="CU74" s="421">
        <v>0</v>
      </c>
      <c r="CV74" s="421">
        <v>0</v>
      </c>
      <c r="CW74" s="421">
        <v>0</v>
      </c>
      <c r="CX74" s="421">
        <v>0</v>
      </c>
      <c r="CY74" s="421">
        <v>0</v>
      </c>
      <c r="CZ74" s="421">
        <v>0</v>
      </c>
      <c r="DA74" s="421">
        <v>0</v>
      </c>
      <c r="DB74" s="421">
        <v>0</v>
      </c>
      <c r="DC74" s="421">
        <v>0</v>
      </c>
      <c r="DD74" s="421">
        <v>0</v>
      </c>
      <c r="DE74" s="421">
        <v>0</v>
      </c>
      <c r="DF74" s="421">
        <v>0</v>
      </c>
      <c r="DG74" s="421">
        <v>0</v>
      </c>
      <c r="DH74" s="421">
        <v>0</v>
      </c>
      <c r="DI74" s="421">
        <v>0</v>
      </c>
      <c r="DJ74" s="421">
        <v>0</v>
      </c>
      <c r="DK74" s="421">
        <v>0</v>
      </c>
      <c r="DL74" s="421">
        <v>0</v>
      </c>
      <c r="DM74" s="421">
        <v>0</v>
      </c>
      <c r="DN74" s="421">
        <v>0</v>
      </c>
      <c r="DO74" s="421">
        <v>0</v>
      </c>
      <c r="DP74" s="421">
        <v>0</v>
      </c>
      <c r="DQ74" s="421">
        <v>0</v>
      </c>
      <c r="DR74" s="421">
        <v>0</v>
      </c>
      <c r="DS74" s="421">
        <v>0</v>
      </c>
      <c r="DT74" s="421">
        <v>0</v>
      </c>
      <c r="DU74" s="421">
        <v>0</v>
      </c>
      <c r="DV74" s="421">
        <v>0</v>
      </c>
      <c r="DW74" s="421">
        <v>0</v>
      </c>
      <c r="DX74" s="421">
        <v>0</v>
      </c>
      <c r="DY74" s="421">
        <v>36039000</v>
      </c>
      <c r="DZ74" s="421">
        <v>36039000</v>
      </c>
      <c r="EA74" s="421">
        <v>0</v>
      </c>
      <c r="EB74" s="421">
        <v>0</v>
      </c>
      <c r="EC74" s="421" t="s">
        <v>1148</v>
      </c>
      <c r="ED74" s="421" t="s">
        <v>1167</v>
      </c>
      <c r="EE74" s="421" t="s">
        <v>1167</v>
      </c>
    </row>
    <row r="75" spans="1:135" x14ac:dyDescent="0.25">
      <c r="A75" s="421">
        <v>72</v>
      </c>
      <c r="B75" s="421">
        <v>2015</v>
      </c>
      <c r="C75" s="421">
        <v>5</v>
      </c>
      <c r="D75" s="421">
        <v>8</v>
      </c>
      <c r="E75" s="424">
        <v>42132</v>
      </c>
      <c r="F75" s="421" t="s">
        <v>1798</v>
      </c>
      <c r="G75" s="421" t="s">
        <v>1799</v>
      </c>
      <c r="H75" s="421" t="s">
        <v>1106</v>
      </c>
      <c r="I75" s="421" t="s">
        <v>1107</v>
      </c>
      <c r="J75" s="421" t="s">
        <v>1108</v>
      </c>
      <c r="K75" s="421" t="s">
        <v>1202</v>
      </c>
      <c r="L75" s="421" t="s">
        <v>1110</v>
      </c>
      <c r="O75" s="421" t="s">
        <v>1111</v>
      </c>
      <c r="R75" s="421" t="s">
        <v>1111</v>
      </c>
      <c r="S75" s="421" t="s">
        <v>1112</v>
      </c>
      <c r="T75" s="421" t="s">
        <v>1113</v>
      </c>
      <c r="U75" s="421" t="s">
        <v>1114</v>
      </c>
      <c r="V75" s="421" t="s">
        <v>1115</v>
      </c>
      <c r="W75" s="421" t="s">
        <v>1116</v>
      </c>
      <c r="X75" s="421" t="s">
        <v>1117</v>
      </c>
      <c r="Y75" s="421" t="s">
        <v>1118</v>
      </c>
      <c r="Z75" s="421" t="s">
        <v>1119</v>
      </c>
      <c r="AA75" s="421" t="s">
        <v>1772</v>
      </c>
      <c r="AB75" s="421" t="s">
        <v>1121</v>
      </c>
      <c r="AC75" s="421" t="s">
        <v>1122</v>
      </c>
      <c r="AD75" s="421" t="s">
        <v>1479</v>
      </c>
      <c r="AE75" s="421" t="s">
        <v>1203</v>
      </c>
      <c r="AF75" s="421" t="s">
        <v>1204</v>
      </c>
      <c r="AG75" s="421" t="s">
        <v>1800</v>
      </c>
      <c r="AH75" s="421">
        <v>43000</v>
      </c>
      <c r="AI75" s="421" t="s">
        <v>1127</v>
      </c>
      <c r="AJ75" s="421">
        <v>2</v>
      </c>
      <c r="AK75" s="421">
        <v>1</v>
      </c>
      <c r="AL75" s="421" t="s">
        <v>1283</v>
      </c>
      <c r="AM75" s="421">
        <v>43000</v>
      </c>
      <c r="AN75" s="421">
        <v>43200</v>
      </c>
      <c r="AO75" s="421" t="s">
        <v>1120</v>
      </c>
      <c r="AP75" s="421" t="s">
        <v>1129</v>
      </c>
      <c r="AR75" s="421" t="s">
        <v>1130</v>
      </c>
      <c r="AT75" s="421" t="s">
        <v>1131</v>
      </c>
      <c r="AU75" s="421" t="s">
        <v>1132</v>
      </c>
      <c r="AV75" s="421" t="s">
        <v>1133</v>
      </c>
      <c r="AW75" s="421" t="s">
        <v>1207</v>
      </c>
      <c r="AX75" s="421" t="s">
        <v>1207</v>
      </c>
      <c r="AY75" s="421" t="s">
        <v>1208</v>
      </c>
      <c r="AZ75" s="421" t="s">
        <v>1121</v>
      </c>
      <c r="BA75" s="421" t="s">
        <v>1209</v>
      </c>
      <c r="BB75" s="421" t="s">
        <v>1208</v>
      </c>
      <c r="BC75" s="421" t="s">
        <v>1210</v>
      </c>
      <c r="BD75" s="421" t="s">
        <v>1211</v>
      </c>
      <c r="BE75" s="421" t="s">
        <v>1212</v>
      </c>
      <c r="BF75" s="421" t="s">
        <v>1801</v>
      </c>
      <c r="BG75" s="421" t="s">
        <v>1802</v>
      </c>
      <c r="BH75" s="421" t="s">
        <v>1803</v>
      </c>
      <c r="BI75" s="421" t="s">
        <v>1142</v>
      </c>
      <c r="BJ75" s="421" t="s">
        <v>1180</v>
      </c>
      <c r="BK75" s="421" t="s">
        <v>1799</v>
      </c>
      <c r="BL75" s="421" t="s">
        <v>1804</v>
      </c>
      <c r="BM75" s="421" t="s">
        <v>1216</v>
      </c>
      <c r="BN75" s="421" t="s">
        <v>1805</v>
      </c>
      <c r="BO75" s="421">
        <v>0</v>
      </c>
      <c r="BR75" s="421">
        <v>0</v>
      </c>
      <c r="BS75" s="421">
        <v>0</v>
      </c>
      <c r="BT75" s="421">
        <v>0</v>
      </c>
      <c r="BU75" s="424">
        <v>42122</v>
      </c>
      <c r="BX75" s="421">
        <v>2388.06</v>
      </c>
      <c r="BY75" s="421" t="s">
        <v>1147</v>
      </c>
      <c r="BZ75" s="421">
        <v>77400</v>
      </c>
      <c r="CA75" s="421">
        <v>184835844</v>
      </c>
      <c r="CB75" s="421">
        <v>30.96</v>
      </c>
      <c r="CC75" s="421">
        <v>0</v>
      </c>
      <c r="CD75" s="421">
        <v>1950.25</v>
      </c>
      <c r="CE75" s="421">
        <v>1981.21</v>
      </c>
      <c r="CF75" s="421">
        <v>0</v>
      </c>
      <c r="CG75" s="421">
        <v>79381.210000000006</v>
      </c>
      <c r="CH75" s="421">
        <v>0</v>
      </c>
      <c r="CI75" s="421">
        <v>79381.210000000006</v>
      </c>
      <c r="CJ75" s="421">
        <v>189567092.35260001</v>
      </c>
      <c r="CK75" s="421">
        <v>0</v>
      </c>
      <c r="CL75" s="421">
        <v>189567092</v>
      </c>
      <c r="CM75" s="421">
        <v>0</v>
      </c>
      <c r="CN75" s="421">
        <v>0</v>
      </c>
      <c r="CO75" s="421">
        <v>0</v>
      </c>
      <c r="CP75" s="421">
        <v>0</v>
      </c>
      <c r="CQ75" s="421">
        <v>0</v>
      </c>
      <c r="CR75" s="421">
        <v>189567092</v>
      </c>
      <c r="CS75" s="421">
        <v>0</v>
      </c>
      <c r="CT75" s="421">
        <v>0</v>
      </c>
      <c r="CU75" s="421">
        <v>0</v>
      </c>
      <c r="CV75" s="421">
        <v>0</v>
      </c>
      <c r="CW75" s="421">
        <v>0</v>
      </c>
      <c r="CX75" s="421">
        <v>0</v>
      </c>
      <c r="CY75" s="421">
        <v>0</v>
      </c>
      <c r="CZ75" s="421">
        <v>0</v>
      </c>
      <c r="DA75" s="421">
        <v>0</v>
      </c>
      <c r="DB75" s="421">
        <v>0</v>
      </c>
      <c r="DC75" s="421">
        <v>0</v>
      </c>
      <c r="DD75" s="421">
        <v>0</v>
      </c>
      <c r="DE75" s="421">
        <v>0</v>
      </c>
      <c r="DF75" s="421">
        <v>0</v>
      </c>
      <c r="DG75" s="421">
        <v>0</v>
      </c>
      <c r="DH75" s="421">
        <v>0</v>
      </c>
      <c r="DI75" s="421">
        <v>0</v>
      </c>
      <c r="DJ75" s="421">
        <v>0</v>
      </c>
      <c r="DK75" s="421">
        <v>0</v>
      </c>
      <c r="DL75" s="421">
        <v>0</v>
      </c>
      <c r="DM75" s="421">
        <v>0</v>
      </c>
      <c r="DN75" s="421">
        <v>0</v>
      </c>
      <c r="DO75" s="421">
        <v>0</v>
      </c>
      <c r="DP75" s="421">
        <v>0</v>
      </c>
      <c r="DQ75" s="421">
        <v>0</v>
      </c>
      <c r="DR75" s="421">
        <v>0</v>
      </c>
      <c r="DS75" s="421">
        <v>0</v>
      </c>
      <c r="DT75" s="421">
        <v>0</v>
      </c>
      <c r="DU75" s="421">
        <v>0</v>
      </c>
      <c r="DV75" s="421">
        <v>0</v>
      </c>
      <c r="DW75" s="421">
        <v>0</v>
      </c>
      <c r="DX75" s="421">
        <v>0</v>
      </c>
      <c r="DY75" s="421">
        <v>0</v>
      </c>
      <c r="DZ75" s="421">
        <v>0</v>
      </c>
      <c r="EA75" s="421">
        <v>0</v>
      </c>
      <c r="EB75" s="421">
        <v>0</v>
      </c>
      <c r="EC75" s="421" t="s">
        <v>1148</v>
      </c>
      <c r="ED75" s="421" t="s">
        <v>1149</v>
      </c>
      <c r="EE75" s="421" t="s">
        <v>1149</v>
      </c>
    </row>
    <row r="76" spans="1:135" x14ac:dyDescent="0.25">
      <c r="A76" s="421">
        <v>73</v>
      </c>
      <c r="B76" s="421">
        <v>2015</v>
      </c>
      <c r="C76" s="421">
        <v>5</v>
      </c>
      <c r="D76" s="421">
        <v>9</v>
      </c>
      <c r="E76" s="424">
        <v>42133</v>
      </c>
      <c r="F76" s="421" t="s">
        <v>1806</v>
      </c>
      <c r="G76" s="421" t="s">
        <v>1807</v>
      </c>
      <c r="H76" s="421" t="s">
        <v>1362</v>
      </c>
      <c r="I76" s="421" t="s">
        <v>1107</v>
      </c>
      <c r="J76" s="421" t="s">
        <v>1542</v>
      </c>
      <c r="K76" s="421" t="s">
        <v>1109</v>
      </c>
      <c r="L76" s="421" t="s">
        <v>1110</v>
      </c>
      <c r="O76" s="421" t="s">
        <v>1111</v>
      </c>
      <c r="R76" s="421" t="s">
        <v>1111</v>
      </c>
      <c r="S76" s="421" t="s">
        <v>1112</v>
      </c>
      <c r="T76" s="421" t="s">
        <v>1113</v>
      </c>
      <c r="U76" s="421" t="s">
        <v>1114</v>
      </c>
      <c r="V76" s="421" t="s">
        <v>1115</v>
      </c>
      <c r="W76" s="421" t="s">
        <v>1116</v>
      </c>
      <c r="X76" s="421" t="s">
        <v>1117</v>
      </c>
      <c r="Y76" s="421" t="s">
        <v>1118</v>
      </c>
      <c r="Z76" s="421" t="s">
        <v>1119</v>
      </c>
      <c r="AA76" s="421" t="s">
        <v>1772</v>
      </c>
      <c r="AB76" s="421" t="s">
        <v>1121</v>
      </c>
      <c r="AC76" s="421" t="s">
        <v>1122</v>
      </c>
      <c r="AD76" s="421" t="s">
        <v>1479</v>
      </c>
      <c r="AE76" s="421" t="s">
        <v>1315</v>
      </c>
      <c r="AF76" s="421" t="s">
        <v>1316</v>
      </c>
      <c r="AG76" s="421" t="s">
        <v>1808</v>
      </c>
      <c r="AH76" s="421">
        <v>2500</v>
      </c>
      <c r="AI76" s="421" t="s">
        <v>1127</v>
      </c>
      <c r="AJ76" s="421">
        <v>5</v>
      </c>
      <c r="AK76" s="421">
        <v>1</v>
      </c>
      <c r="AL76" s="421" t="s">
        <v>1206</v>
      </c>
      <c r="AM76" s="421">
        <v>2500</v>
      </c>
      <c r="AN76" s="421">
        <v>2750</v>
      </c>
      <c r="AO76" s="421" t="s">
        <v>1120</v>
      </c>
      <c r="AP76" s="421" t="s">
        <v>1129</v>
      </c>
      <c r="AR76" s="421" t="s">
        <v>1130</v>
      </c>
      <c r="AT76" s="421" t="s">
        <v>1546</v>
      </c>
      <c r="AU76" s="421" t="s">
        <v>1809</v>
      </c>
      <c r="AV76" s="421" t="s">
        <v>1810</v>
      </c>
      <c r="AW76" s="421" t="s">
        <v>1321</v>
      </c>
      <c r="AX76" s="421" t="s">
        <v>1321</v>
      </c>
      <c r="AY76" s="421" t="s">
        <v>1321</v>
      </c>
      <c r="AZ76" s="421" t="s">
        <v>1121</v>
      </c>
      <c r="BA76" s="421" t="s">
        <v>1811</v>
      </c>
      <c r="BB76" s="421" t="s">
        <v>1321</v>
      </c>
      <c r="BC76" s="421" t="s">
        <v>1812</v>
      </c>
      <c r="BD76" s="421" t="s">
        <v>1813</v>
      </c>
      <c r="BE76" s="421" t="s">
        <v>1814</v>
      </c>
      <c r="BF76" s="421" t="s">
        <v>1815</v>
      </c>
      <c r="BG76" s="421" t="s">
        <v>1802</v>
      </c>
      <c r="BH76" s="421" t="s">
        <v>1816</v>
      </c>
      <c r="BI76" s="421" t="s">
        <v>1142</v>
      </c>
      <c r="BJ76" s="421" t="s">
        <v>1163</v>
      </c>
      <c r="BK76" s="421" t="s">
        <v>1807</v>
      </c>
      <c r="BL76" s="421" t="s">
        <v>1804</v>
      </c>
      <c r="BM76" s="421" t="s">
        <v>1817</v>
      </c>
      <c r="BN76" s="421" t="s">
        <v>1730</v>
      </c>
      <c r="BO76" s="421">
        <v>0</v>
      </c>
      <c r="BR76" s="421">
        <v>0</v>
      </c>
      <c r="BS76" s="421">
        <v>0</v>
      </c>
      <c r="BT76" s="421">
        <v>0</v>
      </c>
      <c r="BU76" s="424">
        <v>42115</v>
      </c>
      <c r="BX76" s="421">
        <v>2388.06</v>
      </c>
      <c r="BY76" s="421" t="s">
        <v>1147</v>
      </c>
      <c r="BZ76" s="421">
        <v>63923.22</v>
      </c>
      <c r="CA76" s="421">
        <v>152652484.75319999</v>
      </c>
      <c r="CB76" s="421">
        <v>25.57</v>
      </c>
      <c r="CC76" s="421">
        <v>0</v>
      </c>
      <c r="CD76" s="421">
        <v>729.26</v>
      </c>
      <c r="CE76" s="421">
        <v>754.83</v>
      </c>
      <c r="CF76" s="421">
        <v>0</v>
      </c>
      <c r="CG76" s="421">
        <v>64678.05</v>
      </c>
      <c r="CH76" s="421">
        <v>24713000</v>
      </c>
      <c r="CI76" s="421">
        <v>64678.05</v>
      </c>
      <c r="CJ76" s="421">
        <v>154455064.083</v>
      </c>
      <c r="CK76" s="421">
        <v>0</v>
      </c>
      <c r="CL76" s="421">
        <v>154455064</v>
      </c>
      <c r="CM76" s="421">
        <v>0</v>
      </c>
      <c r="CN76" s="421">
        <v>0</v>
      </c>
      <c r="CO76" s="421">
        <v>0</v>
      </c>
      <c r="CP76" s="421">
        <v>0</v>
      </c>
      <c r="CQ76" s="421">
        <v>16</v>
      </c>
      <c r="CR76" s="421">
        <v>154455064</v>
      </c>
      <c r="CS76" s="421">
        <v>24713000</v>
      </c>
      <c r="CT76" s="421">
        <v>24713000</v>
      </c>
      <c r="CU76" s="421">
        <v>24713000</v>
      </c>
      <c r="CV76" s="421">
        <v>0</v>
      </c>
      <c r="CW76" s="421">
        <v>0</v>
      </c>
      <c r="CX76" s="421">
        <v>0</v>
      </c>
      <c r="CY76" s="421">
        <v>0</v>
      </c>
      <c r="CZ76" s="421">
        <v>0</v>
      </c>
      <c r="DA76" s="421">
        <v>0</v>
      </c>
      <c r="DB76" s="421">
        <v>0</v>
      </c>
      <c r="DC76" s="421">
        <v>0</v>
      </c>
      <c r="DD76" s="421">
        <v>0</v>
      </c>
      <c r="DE76" s="421">
        <v>0</v>
      </c>
      <c r="DF76" s="421">
        <v>0</v>
      </c>
      <c r="DG76" s="421">
        <v>0</v>
      </c>
      <c r="DH76" s="421">
        <v>0</v>
      </c>
      <c r="DI76" s="421">
        <v>0</v>
      </c>
      <c r="DJ76" s="421">
        <v>0</v>
      </c>
      <c r="DK76" s="421">
        <v>0</v>
      </c>
      <c r="DL76" s="421">
        <v>0</v>
      </c>
      <c r="DM76" s="421">
        <v>0</v>
      </c>
      <c r="DN76" s="421">
        <v>0</v>
      </c>
      <c r="DO76" s="421">
        <v>0</v>
      </c>
      <c r="DP76" s="421">
        <v>0</v>
      </c>
      <c r="DQ76" s="421">
        <v>0</v>
      </c>
      <c r="DR76" s="421">
        <v>0</v>
      </c>
      <c r="DS76" s="421">
        <v>0</v>
      </c>
      <c r="DT76" s="421">
        <v>0</v>
      </c>
      <c r="DU76" s="421">
        <v>0</v>
      </c>
      <c r="DV76" s="421">
        <v>0</v>
      </c>
      <c r="DW76" s="421">
        <v>0</v>
      </c>
      <c r="DX76" s="421">
        <v>0</v>
      </c>
      <c r="DY76" s="421">
        <v>24713000</v>
      </c>
      <c r="DZ76" s="421">
        <v>24713000</v>
      </c>
      <c r="EA76" s="421">
        <v>0</v>
      </c>
      <c r="EB76" s="421">
        <v>24713000</v>
      </c>
      <c r="EC76" s="421" t="s">
        <v>1148</v>
      </c>
      <c r="ED76" s="421" t="s">
        <v>1331</v>
      </c>
      <c r="EE76" s="421" t="s">
        <v>1331</v>
      </c>
    </row>
    <row r="77" spans="1:135" x14ac:dyDescent="0.25">
      <c r="A77" s="421">
        <v>74</v>
      </c>
      <c r="B77" s="421">
        <v>2015</v>
      </c>
      <c r="C77" s="421">
        <v>5</v>
      </c>
      <c r="D77" s="421">
        <v>12</v>
      </c>
      <c r="E77" s="424">
        <v>42136</v>
      </c>
      <c r="F77" s="421" t="s">
        <v>1818</v>
      </c>
      <c r="G77" s="421" t="s">
        <v>1819</v>
      </c>
      <c r="H77" s="421" t="s">
        <v>1152</v>
      </c>
      <c r="I77" s="421" t="s">
        <v>1281</v>
      </c>
      <c r="J77" s="421" t="s">
        <v>1108</v>
      </c>
      <c r="K77" s="421" t="s">
        <v>1109</v>
      </c>
      <c r="L77" s="421" t="s">
        <v>1110</v>
      </c>
      <c r="O77" s="421" t="s">
        <v>1111</v>
      </c>
      <c r="R77" s="421" t="s">
        <v>1111</v>
      </c>
      <c r="S77" s="421" t="s">
        <v>1112</v>
      </c>
      <c r="T77" s="421" t="s">
        <v>1113</v>
      </c>
      <c r="U77" s="421" t="s">
        <v>1114</v>
      </c>
      <c r="V77" s="421" t="s">
        <v>1115</v>
      </c>
      <c r="W77" s="421" t="s">
        <v>1116</v>
      </c>
      <c r="X77" s="421" t="s">
        <v>1117</v>
      </c>
      <c r="Y77" s="421" t="s">
        <v>1118</v>
      </c>
      <c r="Z77" s="421" t="s">
        <v>1119</v>
      </c>
      <c r="AA77" s="421" t="s">
        <v>1772</v>
      </c>
      <c r="AB77" s="421" t="s">
        <v>1121</v>
      </c>
      <c r="AC77" s="421" t="s">
        <v>1122</v>
      </c>
      <c r="AD77" s="421" t="s">
        <v>1479</v>
      </c>
      <c r="AE77" s="421" t="s">
        <v>1517</v>
      </c>
      <c r="AF77" s="421" t="s">
        <v>1518</v>
      </c>
      <c r="AG77" s="421" t="s">
        <v>1820</v>
      </c>
      <c r="AH77" s="421">
        <v>500</v>
      </c>
      <c r="AI77" s="421" t="s">
        <v>1127</v>
      </c>
      <c r="AJ77" s="421">
        <v>20</v>
      </c>
      <c r="AK77" s="421">
        <v>1</v>
      </c>
      <c r="AL77" s="421" t="s">
        <v>1173</v>
      </c>
      <c r="AM77" s="421">
        <v>500</v>
      </c>
      <c r="AN77" s="421">
        <v>540</v>
      </c>
      <c r="AO77" s="421" t="s">
        <v>1120</v>
      </c>
      <c r="AP77" s="421" t="s">
        <v>1129</v>
      </c>
      <c r="AR77" s="421" t="s">
        <v>1130</v>
      </c>
      <c r="AT77" s="421" t="s">
        <v>1131</v>
      </c>
      <c r="AU77" s="421" t="s">
        <v>1190</v>
      </c>
      <c r="AV77" s="421" t="s">
        <v>1191</v>
      </c>
      <c r="AW77" s="421" t="s">
        <v>960</v>
      </c>
      <c r="AX77" s="421" t="s">
        <v>960</v>
      </c>
      <c r="AY77" s="421" t="s">
        <v>960</v>
      </c>
      <c r="AZ77" s="421" t="s">
        <v>1121</v>
      </c>
      <c r="BA77" s="421" t="s">
        <v>1520</v>
      </c>
      <c r="BB77" s="421" t="s">
        <v>960</v>
      </c>
      <c r="BC77" s="421" t="s">
        <v>1521</v>
      </c>
      <c r="BD77" s="421" t="s">
        <v>1522</v>
      </c>
      <c r="BE77" s="421" t="s">
        <v>1523</v>
      </c>
      <c r="BI77" s="421" t="s">
        <v>1142</v>
      </c>
      <c r="BJ77" s="421" t="s">
        <v>1821</v>
      </c>
      <c r="BK77" s="421" t="s">
        <v>1819</v>
      </c>
      <c r="BL77" s="421" t="s">
        <v>1822</v>
      </c>
      <c r="BM77" s="421" t="s">
        <v>1823</v>
      </c>
      <c r="BN77" s="421" t="s">
        <v>1690</v>
      </c>
      <c r="BO77" s="421">
        <v>0</v>
      </c>
      <c r="BR77" s="421">
        <v>0</v>
      </c>
      <c r="BS77" s="421">
        <v>0</v>
      </c>
      <c r="BT77" s="421">
        <v>0</v>
      </c>
      <c r="BU77" s="424">
        <v>38718</v>
      </c>
      <c r="BX77" s="421">
        <v>2369.23</v>
      </c>
      <c r="BY77" s="421" t="s">
        <v>1648</v>
      </c>
      <c r="BZ77" s="421">
        <v>5974</v>
      </c>
      <c r="CA77" s="421">
        <v>14153780.02</v>
      </c>
      <c r="CB77" s="421">
        <v>2.39</v>
      </c>
      <c r="CC77" s="421">
        <v>0</v>
      </c>
      <c r="CD77" s="421">
        <v>417.94</v>
      </c>
      <c r="CE77" s="421">
        <v>420.33</v>
      </c>
      <c r="CF77" s="421">
        <v>0</v>
      </c>
      <c r="CG77" s="421">
        <v>6394.33</v>
      </c>
      <c r="CH77" s="421">
        <v>0</v>
      </c>
      <c r="CI77" s="421">
        <v>6394.33</v>
      </c>
      <c r="CJ77" s="421">
        <v>15149638.4659</v>
      </c>
      <c r="CK77" s="421">
        <v>10</v>
      </c>
      <c r="CL77" s="421">
        <v>15149638</v>
      </c>
      <c r="CM77" s="421">
        <v>1515000</v>
      </c>
      <c r="CN77" s="421">
        <v>1515000</v>
      </c>
      <c r="CO77" s="421">
        <v>0</v>
      </c>
      <c r="CP77" s="421">
        <v>0</v>
      </c>
      <c r="CQ77" s="421">
        <v>16</v>
      </c>
      <c r="CR77" s="421">
        <v>16664638</v>
      </c>
      <c r="CS77" s="421">
        <v>2666000</v>
      </c>
      <c r="CT77" s="421">
        <v>2666000</v>
      </c>
      <c r="CU77" s="421">
        <v>0</v>
      </c>
      <c r="CV77" s="421">
        <v>0</v>
      </c>
      <c r="CW77" s="421">
        <v>0</v>
      </c>
      <c r="CX77" s="421">
        <v>0</v>
      </c>
      <c r="CY77" s="421">
        <v>0</v>
      </c>
      <c r="CZ77" s="421">
        <v>0</v>
      </c>
      <c r="DA77" s="421">
        <v>0</v>
      </c>
      <c r="DB77" s="421">
        <v>0</v>
      </c>
      <c r="DC77" s="421">
        <v>0</v>
      </c>
      <c r="DD77" s="421">
        <v>0</v>
      </c>
      <c r="DE77" s="421">
        <v>0</v>
      </c>
      <c r="DF77" s="421">
        <v>0</v>
      </c>
      <c r="DG77" s="421">
        <v>0</v>
      </c>
      <c r="DH77" s="421">
        <v>0</v>
      </c>
      <c r="DI77" s="421">
        <v>0</v>
      </c>
      <c r="DJ77" s="421">
        <v>0</v>
      </c>
      <c r="DK77" s="421">
        <v>0</v>
      </c>
      <c r="DL77" s="421">
        <v>0</v>
      </c>
      <c r="DM77" s="421">
        <v>0</v>
      </c>
      <c r="DN77" s="421">
        <v>0</v>
      </c>
      <c r="DO77" s="421">
        <v>0</v>
      </c>
      <c r="DP77" s="421">
        <v>0</v>
      </c>
      <c r="DQ77" s="421">
        <v>0</v>
      </c>
      <c r="DR77" s="421">
        <v>0</v>
      </c>
      <c r="DS77" s="421">
        <v>0</v>
      </c>
      <c r="DT77" s="421">
        <v>0</v>
      </c>
      <c r="DU77" s="421">
        <v>0</v>
      </c>
      <c r="DV77" s="421">
        <v>0</v>
      </c>
      <c r="DW77" s="421">
        <v>0</v>
      </c>
      <c r="DX77" s="421">
        <v>0</v>
      </c>
      <c r="DY77" s="421">
        <v>4181000</v>
      </c>
      <c r="DZ77" s="421">
        <v>4181000</v>
      </c>
      <c r="EA77" s="421">
        <v>0</v>
      </c>
      <c r="EB77" s="421">
        <v>0</v>
      </c>
      <c r="EC77" s="421" t="s">
        <v>1148</v>
      </c>
      <c r="ED77" s="421" t="s">
        <v>1167</v>
      </c>
      <c r="EE77" s="421" t="s">
        <v>1167</v>
      </c>
    </row>
    <row r="78" spans="1:135" x14ac:dyDescent="0.25">
      <c r="A78" s="421">
        <v>75</v>
      </c>
      <c r="B78" s="421">
        <v>2015</v>
      </c>
      <c r="C78" s="421">
        <v>5</v>
      </c>
      <c r="D78" s="421">
        <v>14</v>
      </c>
      <c r="E78" s="424">
        <v>42138</v>
      </c>
      <c r="F78" s="421" t="s">
        <v>1824</v>
      </c>
      <c r="G78" s="421" t="s">
        <v>1825</v>
      </c>
      <c r="H78" s="421" t="s">
        <v>1106</v>
      </c>
      <c r="I78" s="421" t="s">
        <v>1281</v>
      </c>
      <c r="J78" s="421" t="s">
        <v>1108</v>
      </c>
      <c r="K78" s="421" t="s">
        <v>1109</v>
      </c>
      <c r="L78" s="421" t="s">
        <v>1110</v>
      </c>
      <c r="O78" s="421" t="s">
        <v>1111</v>
      </c>
      <c r="R78" s="421" t="s">
        <v>1111</v>
      </c>
      <c r="S78" s="421" t="s">
        <v>1112</v>
      </c>
      <c r="T78" s="421" t="s">
        <v>1113</v>
      </c>
      <c r="U78" s="421" t="s">
        <v>1114</v>
      </c>
      <c r="V78" s="421" t="s">
        <v>1115</v>
      </c>
      <c r="W78" s="421" t="s">
        <v>1116</v>
      </c>
      <c r="X78" s="421" t="s">
        <v>1117</v>
      </c>
      <c r="Y78" s="421" t="s">
        <v>1118</v>
      </c>
      <c r="Z78" s="421" t="s">
        <v>1119</v>
      </c>
      <c r="AA78" s="421" t="s">
        <v>1772</v>
      </c>
      <c r="AB78" s="421" t="s">
        <v>1121</v>
      </c>
      <c r="AC78" s="421" t="s">
        <v>1122</v>
      </c>
      <c r="AD78" s="421" t="s">
        <v>1479</v>
      </c>
      <c r="AE78" s="421" t="s">
        <v>1557</v>
      </c>
      <c r="AF78" s="421" t="s">
        <v>1558</v>
      </c>
      <c r="AG78" s="421" t="s">
        <v>1826</v>
      </c>
      <c r="AH78" s="421">
        <v>1500</v>
      </c>
      <c r="AI78" s="421" t="s">
        <v>1127</v>
      </c>
      <c r="AJ78" s="421">
        <v>1350</v>
      </c>
      <c r="AK78" s="421">
        <v>2</v>
      </c>
      <c r="AL78" s="421" t="s">
        <v>1267</v>
      </c>
      <c r="AM78" s="421">
        <v>1500</v>
      </c>
      <c r="AN78" s="421">
        <v>1650</v>
      </c>
      <c r="AO78" s="421" t="s">
        <v>1120</v>
      </c>
      <c r="AP78" s="421" t="s">
        <v>1129</v>
      </c>
      <c r="AR78" s="421" t="s">
        <v>1130</v>
      </c>
      <c r="AT78" s="421" t="s">
        <v>1131</v>
      </c>
      <c r="AU78" s="421" t="s">
        <v>1190</v>
      </c>
      <c r="AV78" s="421" t="s">
        <v>1191</v>
      </c>
      <c r="AW78" s="421" t="s">
        <v>1547</v>
      </c>
      <c r="AX78" s="421" t="s">
        <v>1547</v>
      </c>
      <c r="AY78" s="421" t="s">
        <v>1547</v>
      </c>
      <c r="AZ78" s="421" t="s">
        <v>1121</v>
      </c>
      <c r="BA78" s="421" t="s">
        <v>1827</v>
      </c>
      <c r="BB78" s="421" t="s">
        <v>1547</v>
      </c>
      <c r="BC78" s="421" t="s">
        <v>1549</v>
      </c>
      <c r="BD78" s="421" t="s">
        <v>1828</v>
      </c>
      <c r="BE78" s="421" t="s">
        <v>1829</v>
      </c>
      <c r="BI78" s="421" t="s">
        <v>1142</v>
      </c>
      <c r="BJ78" s="421" t="s">
        <v>1275</v>
      </c>
      <c r="BK78" s="421" t="s">
        <v>1825</v>
      </c>
      <c r="BL78" s="421" t="s">
        <v>1830</v>
      </c>
      <c r="BM78" s="421" t="s">
        <v>1831</v>
      </c>
      <c r="BN78" s="421" t="s">
        <v>1832</v>
      </c>
      <c r="BO78" s="421">
        <v>0</v>
      </c>
      <c r="BR78" s="421">
        <v>0</v>
      </c>
      <c r="BS78" s="421">
        <v>0</v>
      </c>
      <c r="BT78" s="421">
        <v>0</v>
      </c>
      <c r="BU78" s="424">
        <v>38718</v>
      </c>
      <c r="BX78" s="421">
        <v>2369.23</v>
      </c>
      <c r="BY78" s="421" t="s">
        <v>1147</v>
      </c>
      <c r="BZ78" s="421">
        <v>10185.799999999999</v>
      </c>
      <c r="CA78" s="421">
        <v>24132502.934</v>
      </c>
      <c r="CB78" s="421">
        <v>4.07</v>
      </c>
      <c r="CC78" s="421">
        <v>0</v>
      </c>
      <c r="CD78" s="421">
        <v>105</v>
      </c>
      <c r="CE78" s="421">
        <v>109.07</v>
      </c>
      <c r="CF78" s="421">
        <v>0</v>
      </c>
      <c r="CG78" s="421">
        <v>10294.870000000001</v>
      </c>
      <c r="CH78" s="421">
        <v>0</v>
      </c>
      <c r="CI78" s="421">
        <v>10294.870000000001</v>
      </c>
      <c r="CJ78" s="421">
        <v>24390914.850099999</v>
      </c>
      <c r="CK78" s="421">
        <v>10</v>
      </c>
      <c r="CL78" s="421">
        <v>24390915</v>
      </c>
      <c r="CM78" s="421">
        <v>2439000</v>
      </c>
      <c r="CN78" s="421">
        <v>2439000</v>
      </c>
      <c r="CO78" s="421">
        <v>0</v>
      </c>
      <c r="CP78" s="421">
        <v>0</v>
      </c>
      <c r="CQ78" s="421">
        <v>16</v>
      </c>
      <c r="CR78" s="421">
        <v>26829915</v>
      </c>
      <c r="CS78" s="421">
        <v>4293000</v>
      </c>
      <c r="CT78" s="421">
        <v>4293000</v>
      </c>
      <c r="CU78" s="421">
        <v>0</v>
      </c>
      <c r="CV78" s="421">
        <v>0</v>
      </c>
      <c r="CW78" s="421">
        <v>0</v>
      </c>
      <c r="CX78" s="421">
        <v>0</v>
      </c>
      <c r="CY78" s="421">
        <v>0</v>
      </c>
      <c r="CZ78" s="421">
        <v>0</v>
      </c>
      <c r="DA78" s="421">
        <v>0</v>
      </c>
      <c r="DB78" s="421">
        <v>0</v>
      </c>
      <c r="DC78" s="421">
        <v>0</v>
      </c>
      <c r="DD78" s="421">
        <v>0</v>
      </c>
      <c r="DE78" s="421">
        <v>0</v>
      </c>
      <c r="DF78" s="421">
        <v>0</v>
      </c>
      <c r="DG78" s="421">
        <v>0</v>
      </c>
      <c r="DH78" s="421">
        <v>0</v>
      </c>
      <c r="DI78" s="421">
        <v>0</v>
      </c>
      <c r="DJ78" s="421">
        <v>0</v>
      </c>
      <c r="DK78" s="421">
        <v>0</v>
      </c>
      <c r="DL78" s="421">
        <v>0</v>
      </c>
      <c r="DM78" s="421">
        <v>0</v>
      </c>
      <c r="DN78" s="421">
        <v>0</v>
      </c>
      <c r="DO78" s="421">
        <v>0</v>
      </c>
      <c r="DP78" s="421">
        <v>0</v>
      </c>
      <c r="DQ78" s="421">
        <v>0</v>
      </c>
      <c r="DR78" s="421">
        <v>0</v>
      </c>
      <c r="DS78" s="421">
        <v>0</v>
      </c>
      <c r="DT78" s="421">
        <v>0</v>
      </c>
      <c r="DU78" s="421">
        <v>0</v>
      </c>
      <c r="DV78" s="421">
        <v>0</v>
      </c>
      <c r="DW78" s="421">
        <v>0</v>
      </c>
      <c r="DX78" s="421">
        <v>0</v>
      </c>
      <c r="DY78" s="421">
        <v>6732000</v>
      </c>
      <c r="DZ78" s="421">
        <v>6732000</v>
      </c>
      <c r="EA78" s="421">
        <v>0</v>
      </c>
      <c r="EB78" s="421">
        <v>0</v>
      </c>
      <c r="EC78" s="421" t="s">
        <v>1148</v>
      </c>
      <c r="ED78" s="421" t="s">
        <v>1331</v>
      </c>
      <c r="EE78" s="421" t="s">
        <v>1331</v>
      </c>
    </row>
    <row r="79" spans="1:135" x14ac:dyDescent="0.25">
      <c r="A79" s="421">
        <v>76</v>
      </c>
      <c r="B79" s="421">
        <v>2015</v>
      </c>
      <c r="C79" s="421">
        <v>5</v>
      </c>
      <c r="D79" s="421">
        <v>14</v>
      </c>
      <c r="E79" s="424">
        <v>42138</v>
      </c>
      <c r="F79" s="421" t="s">
        <v>1833</v>
      </c>
      <c r="G79" s="421" t="s">
        <v>1834</v>
      </c>
      <c r="H79" s="421" t="s">
        <v>1106</v>
      </c>
      <c r="I79" s="421" t="s">
        <v>1281</v>
      </c>
      <c r="J79" s="421" t="s">
        <v>1108</v>
      </c>
      <c r="K79" s="421" t="s">
        <v>1109</v>
      </c>
      <c r="L79" s="421" t="s">
        <v>1110</v>
      </c>
      <c r="O79" s="421" t="s">
        <v>1111</v>
      </c>
      <c r="R79" s="421" t="s">
        <v>1111</v>
      </c>
      <c r="S79" s="421" t="s">
        <v>1112</v>
      </c>
      <c r="T79" s="421" t="s">
        <v>1113</v>
      </c>
      <c r="U79" s="421" t="s">
        <v>1114</v>
      </c>
      <c r="V79" s="421" t="s">
        <v>1115</v>
      </c>
      <c r="W79" s="421" t="s">
        <v>1116</v>
      </c>
      <c r="X79" s="421" t="s">
        <v>1117</v>
      </c>
      <c r="Y79" s="421" t="s">
        <v>1118</v>
      </c>
      <c r="Z79" s="421" t="s">
        <v>1119</v>
      </c>
      <c r="AA79" s="421" t="s">
        <v>1772</v>
      </c>
      <c r="AB79" s="421" t="s">
        <v>1121</v>
      </c>
      <c r="AC79" s="421" t="s">
        <v>1122</v>
      </c>
      <c r="AD79" s="421" t="s">
        <v>1479</v>
      </c>
      <c r="AE79" s="421" t="s">
        <v>1543</v>
      </c>
      <c r="AF79" s="421" t="s">
        <v>1544</v>
      </c>
      <c r="AG79" s="421" t="s">
        <v>1835</v>
      </c>
      <c r="AH79" s="421">
        <v>12000</v>
      </c>
      <c r="AI79" s="421" t="s">
        <v>1127</v>
      </c>
      <c r="AJ79" s="421">
        <v>1350</v>
      </c>
      <c r="AK79" s="421">
        <v>2</v>
      </c>
      <c r="AL79" s="421" t="s">
        <v>1267</v>
      </c>
      <c r="AM79" s="421">
        <v>12000</v>
      </c>
      <c r="AN79" s="421">
        <v>13200</v>
      </c>
      <c r="AO79" s="421" t="s">
        <v>1120</v>
      </c>
      <c r="AP79" s="421" t="s">
        <v>1129</v>
      </c>
      <c r="AR79" s="421" t="s">
        <v>1130</v>
      </c>
      <c r="AT79" s="421" t="s">
        <v>1131</v>
      </c>
      <c r="AU79" s="421" t="s">
        <v>1190</v>
      </c>
      <c r="AV79" s="421" t="s">
        <v>1191</v>
      </c>
      <c r="AW79" s="421" t="s">
        <v>1547</v>
      </c>
      <c r="AX79" s="421" t="s">
        <v>1547</v>
      </c>
      <c r="AY79" s="421" t="s">
        <v>1547</v>
      </c>
      <c r="AZ79" s="421" t="s">
        <v>1121</v>
      </c>
      <c r="BA79" s="421" t="s">
        <v>1827</v>
      </c>
      <c r="BB79" s="421" t="s">
        <v>1547</v>
      </c>
      <c r="BC79" s="421" t="s">
        <v>1549</v>
      </c>
      <c r="BD79" s="421" t="s">
        <v>1828</v>
      </c>
      <c r="BE79" s="421" t="s">
        <v>1829</v>
      </c>
      <c r="BI79" s="421" t="s">
        <v>1142</v>
      </c>
      <c r="BJ79" s="421" t="s">
        <v>1275</v>
      </c>
      <c r="BK79" s="421" t="s">
        <v>1834</v>
      </c>
      <c r="BL79" s="421" t="s">
        <v>1830</v>
      </c>
      <c r="BM79" s="421" t="s">
        <v>1831</v>
      </c>
      <c r="BN79" s="421" t="s">
        <v>1832</v>
      </c>
      <c r="BO79" s="421">
        <v>0</v>
      </c>
      <c r="BR79" s="421">
        <v>0</v>
      </c>
      <c r="BS79" s="421">
        <v>0</v>
      </c>
      <c r="BT79" s="421">
        <v>0</v>
      </c>
      <c r="BU79" s="424">
        <v>38718</v>
      </c>
      <c r="BX79" s="421">
        <v>2369.23</v>
      </c>
      <c r="BY79" s="421" t="s">
        <v>1147</v>
      </c>
      <c r="BZ79" s="421">
        <v>84947.05</v>
      </c>
      <c r="CA79" s="421">
        <v>201259099.27149999</v>
      </c>
      <c r="CB79" s="421">
        <v>33.979999999999997</v>
      </c>
      <c r="CC79" s="421">
        <v>0</v>
      </c>
      <c r="CD79" s="421">
        <v>840</v>
      </c>
      <c r="CE79" s="421">
        <v>873.98</v>
      </c>
      <c r="CF79" s="421">
        <v>0</v>
      </c>
      <c r="CG79" s="421">
        <v>85821.03</v>
      </c>
      <c r="CH79" s="421">
        <v>0</v>
      </c>
      <c r="CI79" s="421">
        <v>85821.03</v>
      </c>
      <c r="CJ79" s="421">
        <v>203329758.90689999</v>
      </c>
      <c r="CK79" s="421">
        <v>10</v>
      </c>
      <c r="CL79" s="421">
        <v>203329759</v>
      </c>
      <c r="CM79" s="421">
        <v>20333000</v>
      </c>
      <c r="CN79" s="421">
        <v>20333000</v>
      </c>
      <c r="CO79" s="421">
        <v>0</v>
      </c>
      <c r="CP79" s="421">
        <v>0</v>
      </c>
      <c r="CQ79" s="421">
        <v>16</v>
      </c>
      <c r="CR79" s="421">
        <v>223662759</v>
      </c>
      <c r="CS79" s="421">
        <v>35786000</v>
      </c>
      <c r="CT79" s="421">
        <v>35786000</v>
      </c>
      <c r="CU79" s="421">
        <v>0</v>
      </c>
      <c r="CV79" s="421">
        <v>0</v>
      </c>
      <c r="CW79" s="421">
        <v>0</v>
      </c>
      <c r="CX79" s="421">
        <v>0</v>
      </c>
      <c r="CY79" s="421">
        <v>0</v>
      </c>
      <c r="CZ79" s="421">
        <v>0</v>
      </c>
      <c r="DA79" s="421">
        <v>0</v>
      </c>
      <c r="DB79" s="421">
        <v>0</v>
      </c>
      <c r="DC79" s="421">
        <v>0</v>
      </c>
      <c r="DD79" s="421">
        <v>0</v>
      </c>
      <c r="DE79" s="421">
        <v>0</v>
      </c>
      <c r="DF79" s="421">
        <v>0</v>
      </c>
      <c r="DG79" s="421">
        <v>0</v>
      </c>
      <c r="DH79" s="421">
        <v>0</v>
      </c>
      <c r="DI79" s="421">
        <v>0</v>
      </c>
      <c r="DJ79" s="421">
        <v>0</v>
      </c>
      <c r="DK79" s="421">
        <v>0</v>
      </c>
      <c r="DL79" s="421">
        <v>0</v>
      </c>
      <c r="DM79" s="421">
        <v>0</v>
      </c>
      <c r="DN79" s="421">
        <v>0</v>
      </c>
      <c r="DO79" s="421">
        <v>0</v>
      </c>
      <c r="DP79" s="421">
        <v>0</v>
      </c>
      <c r="DQ79" s="421">
        <v>0</v>
      </c>
      <c r="DR79" s="421">
        <v>0</v>
      </c>
      <c r="DS79" s="421">
        <v>0</v>
      </c>
      <c r="DT79" s="421">
        <v>0</v>
      </c>
      <c r="DU79" s="421">
        <v>0</v>
      </c>
      <c r="DV79" s="421">
        <v>0</v>
      </c>
      <c r="DW79" s="421">
        <v>0</v>
      </c>
      <c r="DX79" s="421">
        <v>0</v>
      </c>
      <c r="DY79" s="421">
        <v>56119000</v>
      </c>
      <c r="DZ79" s="421">
        <v>56119000</v>
      </c>
      <c r="EA79" s="421">
        <v>0</v>
      </c>
      <c r="EB79" s="421">
        <v>0</v>
      </c>
      <c r="EC79" s="421" t="s">
        <v>1148</v>
      </c>
      <c r="ED79" s="421" t="s">
        <v>1331</v>
      </c>
      <c r="EE79" s="421" t="s">
        <v>1331</v>
      </c>
    </row>
    <row r="80" spans="1:135" x14ac:dyDescent="0.25">
      <c r="A80" s="421">
        <v>77</v>
      </c>
      <c r="B80" s="421">
        <v>2015</v>
      </c>
      <c r="C80" s="421">
        <v>5</v>
      </c>
      <c r="D80" s="421">
        <v>15</v>
      </c>
      <c r="E80" s="424">
        <v>42139</v>
      </c>
      <c r="F80" s="421" t="s">
        <v>1836</v>
      </c>
      <c r="G80" s="421" t="s">
        <v>1837</v>
      </c>
      <c r="H80" s="421" t="s">
        <v>1152</v>
      </c>
      <c r="I80" s="421" t="s">
        <v>1281</v>
      </c>
      <c r="J80" s="421" t="s">
        <v>1108</v>
      </c>
      <c r="K80" s="421" t="s">
        <v>1109</v>
      </c>
      <c r="L80" s="421" t="s">
        <v>1110</v>
      </c>
      <c r="O80" s="421" t="s">
        <v>1111</v>
      </c>
      <c r="R80" s="421" t="s">
        <v>1111</v>
      </c>
      <c r="S80" s="421" t="s">
        <v>1112</v>
      </c>
      <c r="T80" s="421" t="s">
        <v>1113</v>
      </c>
      <c r="U80" s="421" t="s">
        <v>1114</v>
      </c>
      <c r="V80" s="421" t="s">
        <v>1115</v>
      </c>
      <c r="W80" s="421" t="s">
        <v>1116</v>
      </c>
      <c r="X80" s="421" t="s">
        <v>1117</v>
      </c>
      <c r="Y80" s="421" t="s">
        <v>1118</v>
      </c>
      <c r="Z80" s="421" t="s">
        <v>1119</v>
      </c>
      <c r="AA80" s="421" t="s">
        <v>1772</v>
      </c>
      <c r="AB80" s="421" t="s">
        <v>1121</v>
      </c>
      <c r="AC80" s="421" t="s">
        <v>1122</v>
      </c>
      <c r="AD80" s="421" t="s">
        <v>1479</v>
      </c>
      <c r="AE80" s="421" t="s">
        <v>1620</v>
      </c>
      <c r="AF80" s="421" t="s">
        <v>1621</v>
      </c>
      <c r="AG80" s="421" t="s">
        <v>1838</v>
      </c>
      <c r="AH80" s="421">
        <v>2557.9</v>
      </c>
      <c r="AI80" s="421" t="s">
        <v>1127</v>
      </c>
      <c r="AJ80" s="421">
        <v>567</v>
      </c>
      <c r="AK80" s="421">
        <v>2</v>
      </c>
      <c r="AL80" s="421" t="s">
        <v>1173</v>
      </c>
      <c r="AM80" s="421">
        <v>2557.9</v>
      </c>
      <c r="AN80" s="421">
        <v>2909.32</v>
      </c>
      <c r="AO80" s="421" t="s">
        <v>1120</v>
      </c>
      <c r="AP80" s="421" t="s">
        <v>1129</v>
      </c>
      <c r="AR80" s="421" t="s">
        <v>1130</v>
      </c>
      <c r="AT80" s="421" t="s">
        <v>1131</v>
      </c>
      <c r="AU80" s="421" t="s">
        <v>1190</v>
      </c>
      <c r="AV80" s="421" t="s">
        <v>1191</v>
      </c>
      <c r="AW80" s="421" t="s">
        <v>960</v>
      </c>
      <c r="AX80" s="421" t="s">
        <v>960</v>
      </c>
      <c r="AY80" s="421" t="s">
        <v>960</v>
      </c>
      <c r="AZ80" s="421" t="s">
        <v>1121</v>
      </c>
      <c r="BA80" s="421" t="s">
        <v>1623</v>
      </c>
      <c r="BB80" s="421" t="s">
        <v>960</v>
      </c>
      <c r="BC80" s="421" t="s">
        <v>1624</v>
      </c>
      <c r="BD80" s="421" t="s">
        <v>1625</v>
      </c>
      <c r="BE80" s="421" t="s">
        <v>1626</v>
      </c>
      <c r="BI80" s="421" t="s">
        <v>1142</v>
      </c>
      <c r="BJ80" s="421" t="s">
        <v>1180</v>
      </c>
      <c r="BK80" s="421" t="s">
        <v>1837</v>
      </c>
      <c r="BL80" s="421" t="s">
        <v>1839</v>
      </c>
      <c r="BM80" s="421" t="s">
        <v>1629</v>
      </c>
      <c r="BN80" s="421" t="s">
        <v>1840</v>
      </c>
      <c r="BO80" s="421">
        <v>0</v>
      </c>
      <c r="BR80" s="421">
        <v>0</v>
      </c>
      <c r="BS80" s="421">
        <v>0</v>
      </c>
      <c r="BT80" s="421">
        <v>0</v>
      </c>
      <c r="BU80" s="424">
        <v>38718</v>
      </c>
      <c r="BX80" s="421">
        <v>2369.23</v>
      </c>
      <c r="BY80" s="421" t="s">
        <v>1648</v>
      </c>
      <c r="BZ80" s="421">
        <v>11256.76</v>
      </c>
      <c r="CA80" s="421">
        <v>26669853.494800001</v>
      </c>
      <c r="CB80" s="421">
        <v>4.5</v>
      </c>
      <c r="CC80" s="421">
        <v>0</v>
      </c>
      <c r="CD80" s="421">
        <v>1792.77</v>
      </c>
      <c r="CE80" s="421">
        <v>1797.27</v>
      </c>
      <c r="CF80" s="421">
        <v>0</v>
      </c>
      <c r="CG80" s="421">
        <v>13054.03</v>
      </c>
      <c r="CH80" s="421">
        <v>0</v>
      </c>
      <c r="CI80" s="421">
        <v>13054.03</v>
      </c>
      <c r="CJ80" s="421">
        <v>30927999.4969</v>
      </c>
      <c r="CK80" s="421">
        <v>15</v>
      </c>
      <c r="CL80" s="421">
        <v>30927999</v>
      </c>
      <c r="CM80" s="421">
        <v>4639000</v>
      </c>
      <c r="CN80" s="421">
        <v>4639000</v>
      </c>
      <c r="CO80" s="421">
        <v>0</v>
      </c>
      <c r="CP80" s="421">
        <v>0</v>
      </c>
      <c r="CQ80" s="421">
        <v>16</v>
      </c>
      <c r="CR80" s="421">
        <v>35566999</v>
      </c>
      <c r="CS80" s="421">
        <v>5691000</v>
      </c>
      <c r="CT80" s="421">
        <v>5691000</v>
      </c>
      <c r="CU80" s="421">
        <v>0</v>
      </c>
      <c r="CV80" s="421">
        <v>0</v>
      </c>
      <c r="CW80" s="421">
        <v>0</v>
      </c>
      <c r="CX80" s="421">
        <v>0</v>
      </c>
      <c r="CY80" s="421">
        <v>0</v>
      </c>
      <c r="CZ80" s="421">
        <v>0</v>
      </c>
      <c r="DA80" s="421">
        <v>0</v>
      </c>
      <c r="DB80" s="421">
        <v>0</v>
      </c>
      <c r="DC80" s="421">
        <v>0</v>
      </c>
      <c r="DD80" s="421">
        <v>0</v>
      </c>
      <c r="DE80" s="421">
        <v>0</v>
      </c>
      <c r="DF80" s="421">
        <v>0</v>
      </c>
      <c r="DG80" s="421">
        <v>0</v>
      </c>
      <c r="DH80" s="421">
        <v>0</v>
      </c>
      <c r="DI80" s="421">
        <v>0</v>
      </c>
      <c r="DJ80" s="421">
        <v>0</v>
      </c>
      <c r="DK80" s="421">
        <v>0</v>
      </c>
      <c r="DL80" s="421">
        <v>0</v>
      </c>
      <c r="DM80" s="421">
        <v>0</v>
      </c>
      <c r="DN80" s="421">
        <v>0</v>
      </c>
      <c r="DO80" s="421">
        <v>0</v>
      </c>
      <c r="DP80" s="421">
        <v>0</v>
      </c>
      <c r="DQ80" s="421">
        <v>0</v>
      </c>
      <c r="DR80" s="421">
        <v>0</v>
      </c>
      <c r="DS80" s="421">
        <v>0</v>
      </c>
      <c r="DT80" s="421">
        <v>0</v>
      </c>
      <c r="DU80" s="421">
        <v>0</v>
      </c>
      <c r="DV80" s="421">
        <v>0</v>
      </c>
      <c r="DW80" s="421">
        <v>0</v>
      </c>
      <c r="DX80" s="421">
        <v>0</v>
      </c>
      <c r="DY80" s="421">
        <v>10330000</v>
      </c>
      <c r="DZ80" s="421">
        <v>10330000</v>
      </c>
      <c r="EA80" s="421">
        <v>0</v>
      </c>
      <c r="EB80" s="421">
        <v>0</v>
      </c>
      <c r="EC80" s="421" t="s">
        <v>1148</v>
      </c>
      <c r="ED80" s="421" t="s">
        <v>1167</v>
      </c>
      <c r="EE80" s="421" t="s">
        <v>1167</v>
      </c>
    </row>
    <row r="81" spans="1:135" x14ac:dyDescent="0.25">
      <c r="A81" s="421">
        <v>78</v>
      </c>
      <c r="B81" s="421">
        <v>2015</v>
      </c>
      <c r="C81" s="421">
        <v>5</v>
      </c>
      <c r="D81" s="421">
        <v>15</v>
      </c>
      <c r="E81" s="424">
        <v>42139</v>
      </c>
      <c r="F81" s="421" t="s">
        <v>1841</v>
      </c>
      <c r="G81" s="421" t="s">
        <v>1842</v>
      </c>
      <c r="H81" s="421" t="s">
        <v>1152</v>
      </c>
      <c r="I81" s="421" t="s">
        <v>1281</v>
      </c>
      <c r="J81" s="421" t="s">
        <v>1108</v>
      </c>
      <c r="K81" s="421" t="s">
        <v>1109</v>
      </c>
      <c r="L81" s="421" t="s">
        <v>1110</v>
      </c>
      <c r="O81" s="421" t="s">
        <v>1111</v>
      </c>
      <c r="R81" s="421" t="s">
        <v>1111</v>
      </c>
      <c r="S81" s="421" t="s">
        <v>1112</v>
      </c>
      <c r="T81" s="421" t="s">
        <v>1113</v>
      </c>
      <c r="U81" s="421" t="s">
        <v>1114</v>
      </c>
      <c r="V81" s="421" t="s">
        <v>1115</v>
      </c>
      <c r="W81" s="421" t="s">
        <v>1116</v>
      </c>
      <c r="X81" s="421" t="s">
        <v>1117</v>
      </c>
      <c r="Y81" s="421" t="s">
        <v>1118</v>
      </c>
      <c r="Z81" s="421" t="s">
        <v>1119</v>
      </c>
      <c r="AA81" s="421" t="s">
        <v>1772</v>
      </c>
      <c r="AB81" s="421" t="s">
        <v>1121</v>
      </c>
      <c r="AC81" s="421" t="s">
        <v>1122</v>
      </c>
      <c r="AD81" s="421" t="s">
        <v>1479</v>
      </c>
      <c r="AE81" s="421" t="s">
        <v>1632</v>
      </c>
      <c r="AF81" s="421" t="s">
        <v>1633</v>
      </c>
      <c r="AG81" s="421" t="s">
        <v>1843</v>
      </c>
      <c r="AH81" s="421">
        <v>1518.3</v>
      </c>
      <c r="AI81" s="421" t="s">
        <v>1127</v>
      </c>
      <c r="AJ81" s="421">
        <v>567</v>
      </c>
      <c r="AK81" s="421">
        <v>2</v>
      </c>
      <c r="AL81" s="421" t="s">
        <v>1173</v>
      </c>
      <c r="AM81" s="421">
        <v>1518.3</v>
      </c>
      <c r="AN81" s="421">
        <v>1715.68</v>
      </c>
      <c r="AO81" s="421" t="s">
        <v>1120</v>
      </c>
      <c r="AP81" s="421" t="s">
        <v>1129</v>
      </c>
      <c r="AR81" s="421" t="s">
        <v>1130</v>
      </c>
      <c r="AT81" s="421" t="s">
        <v>1131</v>
      </c>
      <c r="AU81" s="421" t="s">
        <v>1190</v>
      </c>
      <c r="AV81" s="421" t="s">
        <v>1191</v>
      </c>
      <c r="AW81" s="421" t="s">
        <v>960</v>
      </c>
      <c r="AX81" s="421" t="s">
        <v>960</v>
      </c>
      <c r="AY81" s="421" t="s">
        <v>960</v>
      </c>
      <c r="AZ81" s="421" t="s">
        <v>1121</v>
      </c>
      <c r="BA81" s="421" t="s">
        <v>1623</v>
      </c>
      <c r="BB81" s="421" t="s">
        <v>960</v>
      </c>
      <c r="BC81" s="421" t="s">
        <v>1624</v>
      </c>
      <c r="BD81" s="421" t="s">
        <v>1625</v>
      </c>
      <c r="BE81" s="421" t="s">
        <v>1626</v>
      </c>
      <c r="BI81" s="421" t="s">
        <v>1142</v>
      </c>
      <c r="BJ81" s="421" t="s">
        <v>1180</v>
      </c>
      <c r="BK81" s="421" t="s">
        <v>1842</v>
      </c>
      <c r="BL81" s="421" t="s">
        <v>1839</v>
      </c>
      <c r="BM81" s="421" t="s">
        <v>1629</v>
      </c>
      <c r="BN81" s="421" t="s">
        <v>1840</v>
      </c>
      <c r="BO81" s="421">
        <v>0</v>
      </c>
      <c r="BR81" s="421">
        <v>0</v>
      </c>
      <c r="BS81" s="421">
        <v>0</v>
      </c>
      <c r="BT81" s="421">
        <v>0</v>
      </c>
      <c r="BU81" s="424">
        <v>38718</v>
      </c>
      <c r="BX81" s="421">
        <v>2369.23</v>
      </c>
      <c r="BY81" s="421" t="s">
        <v>1648</v>
      </c>
      <c r="BZ81" s="421">
        <v>5272.52</v>
      </c>
      <c r="CA81" s="421">
        <v>12491812.559599999</v>
      </c>
      <c r="CB81" s="421">
        <v>2.11</v>
      </c>
      <c r="CC81" s="421">
        <v>0</v>
      </c>
      <c r="CD81" s="421">
        <v>1057.23</v>
      </c>
      <c r="CE81" s="421">
        <v>1059.3399999999999</v>
      </c>
      <c r="CF81" s="421">
        <v>0</v>
      </c>
      <c r="CG81" s="421">
        <v>6331.86</v>
      </c>
      <c r="CH81" s="421">
        <v>0</v>
      </c>
      <c r="CI81" s="421">
        <v>6331.86</v>
      </c>
      <c r="CJ81" s="421">
        <v>15001632.6678</v>
      </c>
      <c r="CK81" s="421">
        <v>15</v>
      </c>
      <c r="CL81" s="421">
        <v>15001633</v>
      </c>
      <c r="CM81" s="421">
        <v>2250000</v>
      </c>
      <c r="CN81" s="421">
        <v>2250000</v>
      </c>
      <c r="CO81" s="421">
        <v>0</v>
      </c>
      <c r="CP81" s="421">
        <v>0</v>
      </c>
      <c r="CQ81" s="421">
        <v>16</v>
      </c>
      <c r="CR81" s="421">
        <v>17251633</v>
      </c>
      <c r="CS81" s="421">
        <v>2760000</v>
      </c>
      <c r="CT81" s="421">
        <v>2760000</v>
      </c>
      <c r="CU81" s="421">
        <v>0</v>
      </c>
      <c r="CV81" s="421">
        <v>0</v>
      </c>
      <c r="CW81" s="421">
        <v>0</v>
      </c>
      <c r="CX81" s="421">
        <v>0</v>
      </c>
      <c r="CY81" s="421">
        <v>0</v>
      </c>
      <c r="CZ81" s="421">
        <v>0</v>
      </c>
      <c r="DA81" s="421">
        <v>0</v>
      </c>
      <c r="DB81" s="421">
        <v>0</v>
      </c>
      <c r="DC81" s="421">
        <v>0</v>
      </c>
      <c r="DD81" s="421">
        <v>0</v>
      </c>
      <c r="DE81" s="421">
        <v>0</v>
      </c>
      <c r="DF81" s="421">
        <v>0</v>
      </c>
      <c r="DG81" s="421">
        <v>0</v>
      </c>
      <c r="DH81" s="421">
        <v>0</v>
      </c>
      <c r="DI81" s="421">
        <v>0</v>
      </c>
      <c r="DJ81" s="421">
        <v>0</v>
      </c>
      <c r="DK81" s="421">
        <v>0</v>
      </c>
      <c r="DL81" s="421">
        <v>0</v>
      </c>
      <c r="DM81" s="421">
        <v>0</v>
      </c>
      <c r="DN81" s="421">
        <v>0</v>
      </c>
      <c r="DO81" s="421">
        <v>0</v>
      </c>
      <c r="DP81" s="421">
        <v>0</v>
      </c>
      <c r="DQ81" s="421">
        <v>0</v>
      </c>
      <c r="DR81" s="421">
        <v>0</v>
      </c>
      <c r="DS81" s="421">
        <v>0</v>
      </c>
      <c r="DT81" s="421">
        <v>0</v>
      </c>
      <c r="DU81" s="421">
        <v>0</v>
      </c>
      <c r="DV81" s="421">
        <v>0</v>
      </c>
      <c r="DW81" s="421">
        <v>0</v>
      </c>
      <c r="DX81" s="421">
        <v>0</v>
      </c>
      <c r="DY81" s="421">
        <v>5010000</v>
      </c>
      <c r="DZ81" s="421">
        <v>5010000</v>
      </c>
      <c r="EA81" s="421">
        <v>0</v>
      </c>
      <c r="EB81" s="421">
        <v>0</v>
      </c>
      <c r="EC81" s="421" t="s">
        <v>1148</v>
      </c>
      <c r="ED81" s="421" t="s">
        <v>1167</v>
      </c>
      <c r="EE81" s="421" t="s">
        <v>1167</v>
      </c>
    </row>
    <row r="82" spans="1:135" x14ac:dyDescent="0.25">
      <c r="A82" s="421">
        <v>79</v>
      </c>
      <c r="B82" s="421">
        <v>2015</v>
      </c>
      <c r="C82" s="421">
        <v>5</v>
      </c>
      <c r="D82" s="421">
        <v>20</v>
      </c>
      <c r="E82" s="424">
        <v>42144</v>
      </c>
      <c r="F82" s="421" t="s">
        <v>1844</v>
      </c>
      <c r="G82" s="421" t="s">
        <v>1845</v>
      </c>
      <c r="H82" s="421" t="s">
        <v>1362</v>
      </c>
      <c r="I82" s="421" t="s">
        <v>1281</v>
      </c>
      <c r="J82" s="421" t="s">
        <v>1542</v>
      </c>
      <c r="K82" s="421" t="s">
        <v>1109</v>
      </c>
      <c r="L82" s="421" t="s">
        <v>1110</v>
      </c>
      <c r="O82" s="421" t="s">
        <v>1111</v>
      </c>
      <c r="R82" s="421" t="s">
        <v>1111</v>
      </c>
      <c r="S82" s="421" t="s">
        <v>1112</v>
      </c>
      <c r="T82" s="421" t="s">
        <v>1113</v>
      </c>
      <c r="U82" s="421" t="s">
        <v>1114</v>
      </c>
      <c r="V82" s="421" t="s">
        <v>1115</v>
      </c>
      <c r="W82" s="421" t="s">
        <v>1116</v>
      </c>
      <c r="X82" s="421" t="s">
        <v>1117</v>
      </c>
      <c r="Y82" s="421" t="s">
        <v>1118</v>
      </c>
      <c r="Z82" s="421" t="s">
        <v>1119</v>
      </c>
      <c r="AA82" s="421" t="s">
        <v>1772</v>
      </c>
      <c r="AB82" s="421" t="s">
        <v>1121</v>
      </c>
      <c r="AC82" s="421" t="s">
        <v>1122</v>
      </c>
      <c r="AD82" s="421" t="s">
        <v>1479</v>
      </c>
      <c r="AE82" s="421" t="s">
        <v>1315</v>
      </c>
      <c r="AF82" s="421" t="s">
        <v>1316</v>
      </c>
      <c r="AG82" s="421" t="s">
        <v>1846</v>
      </c>
      <c r="AH82" s="421">
        <v>2500</v>
      </c>
      <c r="AI82" s="421" t="s">
        <v>1127</v>
      </c>
      <c r="AJ82" s="421">
        <v>5</v>
      </c>
      <c r="AK82" s="421">
        <v>1</v>
      </c>
      <c r="AL82" s="421" t="s">
        <v>1206</v>
      </c>
      <c r="AM82" s="421">
        <v>2500</v>
      </c>
      <c r="AN82" s="421">
        <v>2650</v>
      </c>
      <c r="AO82" s="421" t="s">
        <v>1120</v>
      </c>
      <c r="AP82" s="421" t="s">
        <v>1129</v>
      </c>
      <c r="AR82" s="421" t="s">
        <v>1130</v>
      </c>
      <c r="AT82" s="421" t="s">
        <v>1546</v>
      </c>
      <c r="AU82" s="421" t="s">
        <v>1809</v>
      </c>
      <c r="AV82" s="421" t="s">
        <v>1810</v>
      </c>
      <c r="AW82" s="421" t="s">
        <v>1321</v>
      </c>
      <c r="AX82" s="421" t="s">
        <v>1321</v>
      </c>
      <c r="AY82" s="421" t="s">
        <v>1321</v>
      </c>
      <c r="AZ82" s="421" t="s">
        <v>1121</v>
      </c>
      <c r="BA82" s="421" t="s">
        <v>1811</v>
      </c>
      <c r="BB82" s="421" t="s">
        <v>1321</v>
      </c>
      <c r="BC82" s="421" t="s">
        <v>1812</v>
      </c>
      <c r="BD82" s="421" t="s">
        <v>1813</v>
      </c>
      <c r="BE82" s="421" t="s">
        <v>1814</v>
      </c>
      <c r="BF82" s="421" t="s">
        <v>1847</v>
      </c>
      <c r="BG82" s="421" t="s">
        <v>1848</v>
      </c>
      <c r="BH82" s="421" t="s">
        <v>1849</v>
      </c>
      <c r="BI82" s="421" t="s">
        <v>1142</v>
      </c>
      <c r="BJ82" s="421" t="s">
        <v>1163</v>
      </c>
      <c r="BK82" s="421" t="s">
        <v>1845</v>
      </c>
      <c r="BL82" s="421" t="s">
        <v>1850</v>
      </c>
      <c r="BM82" s="421" t="s">
        <v>1851</v>
      </c>
      <c r="BN82" s="421" t="s">
        <v>1852</v>
      </c>
      <c r="BO82" s="421">
        <v>0</v>
      </c>
      <c r="BR82" s="421">
        <v>0</v>
      </c>
      <c r="BS82" s="421">
        <v>0</v>
      </c>
      <c r="BT82" s="421">
        <v>0</v>
      </c>
      <c r="BU82" s="424">
        <v>42130</v>
      </c>
      <c r="BX82" s="421">
        <v>2369.23</v>
      </c>
      <c r="BY82" s="421" t="s">
        <v>1147</v>
      </c>
      <c r="BZ82" s="421">
        <v>63927.1</v>
      </c>
      <c r="CA82" s="421">
        <v>151458003.13299999</v>
      </c>
      <c r="CB82" s="421">
        <v>25.57</v>
      </c>
      <c r="CC82" s="421">
        <v>0</v>
      </c>
      <c r="CD82" s="421">
        <v>742.48</v>
      </c>
      <c r="CE82" s="421">
        <v>768.05</v>
      </c>
      <c r="CF82" s="421">
        <v>0</v>
      </c>
      <c r="CG82" s="421">
        <v>64695.15</v>
      </c>
      <c r="CH82" s="421">
        <v>24524000</v>
      </c>
      <c r="CI82" s="421">
        <v>64695.15</v>
      </c>
      <c r="CJ82" s="421">
        <v>153277690.23449999</v>
      </c>
      <c r="CK82" s="421">
        <v>0</v>
      </c>
      <c r="CL82" s="421">
        <v>153277690</v>
      </c>
      <c r="CM82" s="421">
        <v>0</v>
      </c>
      <c r="CN82" s="421">
        <v>0</v>
      </c>
      <c r="CO82" s="421">
        <v>0</v>
      </c>
      <c r="CP82" s="421">
        <v>0</v>
      </c>
      <c r="CQ82" s="421">
        <v>16</v>
      </c>
      <c r="CR82" s="421">
        <v>153277690</v>
      </c>
      <c r="CS82" s="421">
        <v>24524000</v>
      </c>
      <c r="CT82" s="421">
        <v>24524000</v>
      </c>
      <c r="CU82" s="421">
        <v>24524000</v>
      </c>
      <c r="CV82" s="421">
        <v>0</v>
      </c>
      <c r="CW82" s="421">
        <v>0</v>
      </c>
      <c r="CX82" s="421">
        <v>0</v>
      </c>
      <c r="CY82" s="421">
        <v>0</v>
      </c>
      <c r="CZ82" s="421">
        <v>0</v>
      </c>
      <c r="DA82" s="421">
        <v>0</v>
      </c>
      <c r="DB82" s="421">
        <v>0</v>
      </c>
      <c r="DC82" s="421">
        <v>0</v>
      </c>
      <c r="DD82" s="421">
        <v>0</v>
      </c>
      <c r="DE82" s="421">
        <v>0</v>
      </c>
      <c r="DF82" s="421">
        <v>0</v>
      </c>
      <c r="DG82" s="421">
        <v>0</v>
      </c>
      <c r="DH82" s="421">
        <v>0</v>
      </c>
      <c r="DI82" s="421">
        <v>0</v>
      </c>
      <c r="DJ82" s="421">
        <v>0</v>
      </c>
      <c r="DK82" s="421">
        <v>0</v>
      </c>
      <c r="DL82" s="421">
        <v>0</v>
      </c>
      <c r="DM82" s="421">
        <v>0</v>
      </c>
      <c r="DN82" s="421">
        <v>0</v>
      </c>
      <c r="DO82" s="421">
        <v>0</v>
      </c>
      <c r="DP82" s="421">
        <v>0</v>
      </c>
      <c r="DQ82" s="421">
        <v>0</v>
      </c>
      <c r="DR82" s="421">
        <v>0</v>
      </c>
      <c r="DS82" s="421">
        <v>0</v>
      </c>
      <c r="DT82" s="421">
        <v>0</v>
      </c>
      <c r="DU82" s="421">
        <v>0</v>
      </c>
      <c r="DV82" s="421">
        <v>0</v>
      </c>
      <c r="DW82" s="421">
        <v>0</v>
      </c>
      <c r="DX82" s="421">
        <v>0</v>
      </c>
      <c r="DY82" s="421">
        <v>24524000</v>
      </c>
      <c r="DZ82" s="421">
        <v>24524000</v>
      </c>
      <c r="EA82" s="421">
        <v>0</v>
      </c>
      <c r="EB82" s="421">
        <v>24524000</v>
      </c>
      <c r="EC82" s="421" t="s">
        <v>1148</v>
      </c>
      <c r="ED82" s="421" t="s">
        <v>1331</v>
      </c>
      <c r="EE82" s="421" t="s">
        <v>1331</v>
      </c>
    </row>
    <row r="83" spans="1:135" x14ac:dyDescent="0.25">
      <c r="A83" s="421">
        <v>80</v>
      </c>
      <c r="B83" s="421">
        <v>2015</v>
      </c>
      <c r="C83" s="421">
        <v>5</v>
      </c>
      <c r="D83" s="421">
        <v>21</v>
      </c>
      <c r="E83" s="424">
        <v>42145</v>
      </c>
      <c r="F83" s="421" t="s">
        <v>1853</v>
      </c>
      <c r="G83" s="421" t="s">
        <v>1854</v>
      </c>
      <c r="H83" s="421" t="s">
        <v>1106</v>
      </c>
      <c r="I83" s="421" t="s">
        <v>1281</v>
      </c>
      <c r="J83" s="421" t="s">
        <v>1108</v>
      </c>
      <c r="K83" s="421" t="s">
        <v>1202</v>
      </c>
      <c r="L83" s="421" t="s">
        <v>1110</v>
      </c>
      <c r="O83" s="421" t="s">
        <v>1111</v>
      </c>
      <c r="R83" s="421" t="s">
        <v>1111</v>
      </c>
      <c r="S83" s="421" t="s">
        <v>1112</v>
      </c>
      <c r="T83" s="421" t="s">
        <v>1113</v>
      </c>
      <c r="U83" s="421" t="s">
        <v>1114</v>
      </c>
      <c r="V83" s="421" t="s">
        <v>1115</v>
      </c>
      <c r="W83" s="421" t="s">
        <v>1116</v>
      </c>
      <c r="X83" s="421" t="s">
        <v>1117</v>
      </c>
      <c r="Y83" s="421" t="s">
        <v>1118</v>
      </c>
      <c r="Z83" s="421" t="s">
        <v>1119</v>
      </c>
      <c r="AA83" s="421" t="s">
        <v>1772</v>
      </c>
      <c r="AB83" s="421" t="s">
        <v>1121</v>
      </c>
      <c r="AC83" s="421" t="s">
        <v>1122</v>
      </c>
      <c r="AD83" s="421" t="s">
        <v>1479</v>
      </c>
      <c r="AE83" s="421" t="s">
        <v>1203</v>
      </c>
      <c r="AF83" s="421" t="s">
        <v>1204</v>
      </c>
      <c r="AG83" s="421" t="s">
        <v>1855</v>
      </c>
      <c r="AH83" s="421">
        <v>64500</v>
      </c>
      <c r="AI83" s="421" t="s">
        <v>1127</v>
      </c>
      <c r="AJ83" s="421">
        <v>3</v>
      </c>
      <c r="AK83" s="421">
        <v>1</v>
      </c>
      <c r="AL83" s="421" t="s">
        <v>1283</v>
      </c>
      <c r="AM83" s="421">
        <v>64500</v>
      </c>
      <c r="AN83" s="421">
        <v>65228</v>
      </c>
      <c r="AO83" s="421" t="s">
        <v>1120</v>
      </c>
      <c r="AP83" s="421" t="s">
        <v>1129</v>
      </c>
      <c r="AR83" s="421" t="s">
        <v>1130</v>
      </c>
      <c r="AT83" s="421" t="s">
        <v>1131</v>
      </c>
      <c r="AU83" s="421" t="s">
        <v>1190</v>
      </c>
      <c r="AV83" s="421" t="s">
        <v>1191</v>
      </c>
      <c r="AW83" s="421" t="s">
        <v>1207</v>
      </c>
      <c r="AX83" s="421" t="s">
        <v>1207</v>
      </c>
      <c r="AY83" s="421" t="s">
        <v>1208</v>
      </c>
      <c r="AZ83" s="421" t="s">
        <v>1121</v>
      </c>
      <c r="BA83" s="421" t="s">
        <v>1209</v>
      </c>
      <c r="BB83" s="421" t="s">
        <v>1208</v>
      </c>
      <c r="BC83" s="421" t="s">
        <v>1210</v>
      </c>
      <c r="BD83" s="421" t="s">
        <v>1211</v>
      </c>
      <c r="BE83" s="421" t="s">
        <v>1212</v>
      </c>
      <c r="BI83" s="421" t="s">
        <v>1142</v>
      </c>
      <c r="BJ83" s="421" t="s">
        <v>1243</v>
      </c>
      <c r="BK83" s="421" t="s">
        <v>1854</v>
      </c>
      <c r="BL83" s="421" t="s">
        <v>1856</v>
      </c>
      <c r="BM83" s="421" t="s">
        <v>1857</v>
      </c>
      <c r="BN83" s="421" t="s">
        <v>1785</v>
      </c>
      <c r="BO83" s="421">
        <v>0</v>
      </c>
      <c r="BR83" s="421">
        <v>0</v>
      </c>
      <c r="BS83" s="421">
        <v>0</v>
      </c>
      <c r="BT83" s="421">
        <v>0</v>
      </c>
      <c r="BU83" s="424">
        <v>38718</v>
      </c>
      <c r="BX83" s="421">
        <v>2389.4899999999998</v>
      </c>
      <c r="BY83" s="421" t="s">
        <v>1147</v>
      </c>
      <c r="BZ83" s="421">
        <v>116100</v>
      </c>
      <c r="CA83" s="421">
        <v>277419789</v>
      </c>
      <c r="CB83" s="421">
        <v>46.44</v>
      </c>
      <c r="CC83" s="421">
        <v>0</v>
      </c>
      <c r="CD83" s="421">
        <v>3771</v>
      </c>
      <c r="CE83" s="421">
        <v>3817.44</v>
      </c>
      <c r="CF83" s="421">
        <v>0</v>
      </c>
      <c r="CG83" s="421">
        <v>119917.44</v>
      </c>
      <c r="CH83" s="421">
        <v>0</v>
      </c>
      <c r="CI83" s="421">
        <v>119917.44</v>
      </c>
      <c r="CJ83" s="421">
        <v>286541523.70560002</v>
      </c>
      <c r="CK83" s="421">
        <v>0</v>
      </c>
      <c r="CL83" s="421">
        <v>286541524</v>
      </c>
      <c r="CM83" s="421">
        <v>0</v>
      </c>
      <c r="CN83" s="421">
        <v>0</v>
      </c>
      <c r="CO83" s="421">
        <v>0</v>
      </c>
      <c r="CP83" s="421">
        <v>0</v>
      </c>
      <c r="CQ83" s="421">
        <v>0</v>
      </c>
      <c r="CR83" s="421">
        <v>286541524</v>
      </c>
      <c r="CS83" s="421">
        <v>0</v>
      </c>
      <c r="CT83" s="421">
        <v>0</v>
      </c>
      <c r="CU83" s="421">
        <v>0</v>
      </c>
      <c r="CV83" s="421">
        <v>0</v>
      </c>
      <c r="CW83" s="421">
        <v>0</v>
      </c>
      <c r="CX83" s="421">
        <v>0</v>
      </c>
      <c r="CY83" s="421">
        <v>0</v>
      </c>
      <c r="CZ83" s="421">
        <v>0</v>
      </c>
      <c r="DA83" s="421">
        <v>0</v>
      </c>
      <c r="DB83" s="421">
        <v>0</v>
      </c>
      <c r="DC83" s="421">
        <v>0</v>
      </c>
      <c r="DD83" s="421">
        <v>0</v>
      </c>
      <c r="DE83" s="421">
        <v>0</v>
      </c>
      <c r="DF83" s="421">
        <v>0</v>
      </c>
      <c r="DG83" s="421">
        <v>0</v>
      </c>
      <c r="DH83" s="421">
        <v>0</v>
      </c>
      <c r="DI83" s="421">
        <v>0</v>
      </c>
      <c r="DJ83" s="421">
        <v>0</v>
      </c>
      <c r="DK83" s="421">
        <v>0</v>
      </c>
      <c r="DL83" s="421">
        <v>0</v>
      </c>
      <c r="DM83" s="421">
        <v>0</v>
      </c>
      <c r="DN83" s="421">
        <v>0</v>
      </c>
      <c r="DO83" s="421">
        <v>0</v>
      </c>
      <c r="DP83" s="421">
        <v>0</v>
      </c>
      <c r="DQ83" s="421">
        <v>0</v>
      </c>
      <c r="DR83" s="421">
        <v>0</v>
      </c>
      <c r="DS83" s="421">
        <v>0</v>
      </c>
      <c r="DT83" s="421">
        <v>0</v>
      </c>
      <c r="DU83" s="421">
        <v>0</v>
      </c>
      <c r="DV83" s="421">
        <v>0</v>
      </c>
      <c r="DW83" s="421">
        <v>0</v>
      </c>
      <c r="DX83" s="421">
        <v>0</v>
      </c>
      <c r="DY83" s="421">
        <v>0</v>
      </c>
      <c r="DZ83" s="421">
        <v>0</v>
      </c>
      <c r="EA83" s="421">
        <v>0</v>
      </c>
      <c r="EB83" s="421">
        <v>0</v>
      </c>
      <c r="EC83" s="421" t="s">
        <v>1148</v>
      </c>
      <c r="ED83" s="421" t="s">
        <v>1149</v>
      </c>
      <c r="EE83" s="421" t="s">
        <v>1149</v>
      </c>
    </row>
    <row r="84" spans="1:135" x14ac:dyDescent="0.25">
      <c r="A84" s="421">
        <v>81</v>
      </c>
      <c r="B84" s="421">
        <v>2015</v>
      </c>
      <c r="C84" s="421">
        <v>5</v>
      </c>
      <c r="D84" s="421">
        <v>21</v>
      </c>
      <c r="E84" s="424">
        <v>42145</v>
      </c>
      <c r="F84" s="421" t="s">
        <v>1858</v>
      </c>
      <c r="G84" s="421" t="s">
        <v>1859</v>
      </c>
      <c r="H84" s="421" t="s">
        <v>1106</v>
      </c>
      <c r="I84" s="421" t="s">
        <v>1281</v>
      </c>
      <c r="J84" s="421" t="s">
        <v>1108</v>
      </c>
      <c r="K84" s="421" t="s">
        <v>1202</v>
      </c>
      <c r="L84" s="421" t="s">
        <v>1110</v>
      </c>
      <c r="O84" s="421" t="s">
        <v>1111</v>
      </c>
      <c r="R84" s="421" t="s">
        <v>1111</v>
      </c>
      <c r="S84" s="421" t="s">
        <v>1112</v>
      </c>
      <c r="T84" s="421" t="s">
        <v>1113</v>
      </c>
      <c r="U84" s="421" t="s">
        <v>1114</v>
      </c>
      <c r="V84" s="421" t="s">
        <v>1115</v>
      </c>
      <c r="W84" s="421" t="s">
        <v>1116</v>
      </c>
      <c r="X84" s="421" t="s">
        <v>1117</v>
      </c>
      <c r="Y84" s="421" t="s">
        <v>1118</v>
      </c>
      <c r="Z84" s="421" t="s">
        <v>1119</v>
      </c>
      <c r="AA84" s="421" t="s">
        <v>1772</v>
      </c>
      <c r="AB84" s="421" t="s">
        <v>1121</v>
      </c>
      <c r="AC84" s="421" t="s">
        <v>1122</v>
      </c>
      <c r="AD84" s="421" t="s">
        <v>1479</v>
      </c>
      <c r="AE84" s="421" t="s">
        <v>1203</v>
      </c>
      <c r="AF84" s="421" t="s">
        <v>1204</v>
      </c>
      <c r="AG84" s="421" t="s">
        <v>1860</v>
      </c>
      <c r="AH84" s="421">
        <v>43000</v>
      </c>
      <c r="AI84" s="421" t="s">
        <v>1127</v>
      </c>
      <c r="AJ84" s="421">
        <v>2</v>
      </c>
      <c r="AK84" s="421">
        <v>1</v>
      </c>
      <c r="AL84" s="421" t="s">
        <v>1283</v>
      </c>
      <c r="AM84" s="421">
        <v>43000</v>
      </c>
      <c r="AN84" s="421">
        <v>43485</v>
      </c>
      <c r="AO84" s="421" t="s">
        <v>1120</v>
      </c>
      <c r="AP84" s="421" t="s">
        <v>1129</v>
      </c>
      <c r="AR84" s="421" t="s">
        <v>1130</v>
      </c>
      <c r="AT84" s="421" t="s">
        <v>1131</v>
      </c>
      <c r="AU84" s="421" t="s">
        <v>1190</v>
      </c>
      <c r="AV84" s="421" t="s">
        <v>1191</v>
      </c>
      <c r="AW84" s="421" t="s">
        <v>1207</v>
      </c>
      <c r="AX84" s="421" t="s">
        <v>1207</v>
      </c>
      <c r="AY84" s="421" t="s">
        <v>1208</v>
      </c>
      <c r="AZ84" s="421" t="s">
        <v>1121</v>
      </c>
      <c r="BA84" s="421" t="s">
        <v>1209</v>
      </c>
      <c r="BB84" s="421" t="s">
        <v>1208</v>
      </c>
      <c r="BC84" s="421" t="s">
        <v>1210</v>
      </c>
      <c r="BD84" s="421" t="s">
        <v>1211</v>
      </c>
      <c r="BE84" s="421" t="s">
        <v>1212</v>
      </c>
      <c r="BI84" s="421" t="s">
        <v>1142</v>
      </c>
      <c r="BJ84" s="421" t="s">
        <v>1342</v>
      </c>
      <c r="BK84" s="421" t="s">
        <v>1859</v>
      </c>
      <c r="BL84" s="421" t="s">
        <v>1861</v>
      </c>
      <c r="BM84" s="421" t="s">
        <v>1862</v>
      </c>
      <c r="BN84" s="421" t="s">
        <v>1804</v>
      </c>
      <c r="BO84" s="421">
        <v>0</v>
      </c>
      <c r="BR84" s="421">
        <v>0</v>
      </c>
      <c r="BS84" s="421">
        <v>0</v>
      </c>
      <c r="BT84" s="421">
        <v>0</v>
      </c>
      <c r="BU84" s="424">
        <v>38718</v>
      </c>
      <c r="BX84" s="421">
        <v>2389.4899999999998</v>
      </c>
      <c r="BY84" s="421" t="s">
        <v>1147</v>
      </c>
      <c r="BZ84" s="421">
        <v>77400</v>
      </c>
      <c r="CA84" s="421">
        <v>184946526</v>
      </c>
      <c r="CB84" s="421">
        <v>30.96</v>
      </c>
      <c r="CC84" s="421">
        <v>0</v>
      </c>
      <c r="CD84" s="421">
        <v>1860</v>
      </c>
      <c r="CE84" s="421">
        <v>1890.96</v>
      </c>
      <c r="CF84" s="421">
        <v>0</v>
      </c>
      <c r="CG84" s="421">
        <v>79290.960000000006</v>
      </c>
      <c r="CH84" s="421">
        <v>0</v>
      </c>
      <c r="CI84" s="421">
        <v>79290.960000000006</v>
      </c>
      <c r="CJ84" s="421">
        <v>189464956.0104</v>
      </c>
      <c r="CK84" s="421">
        <v>0</v>
      </c>
      <c r="CL84" s="421">
        <v>189464956</v>
      </c>
      <c r="CM84" s="421">
        <v>0</v>
      </c>
      <c r="CN84" s="421">
        <v>0</v>
      </c>
      <c r="CO84" s="421">
        <v>0</v>
      </c>
      <c r="CP84" s="421">
        <v>0</v>
      </c>
      <c r="CQ84" s="421">
        <v>0</v>
      </c>
      <c r="CR84" s="421">
        <v>189464956</v>
      </c>
      <c r="CS84" s="421">
        <v>0</v>
      </c>
      <c r="CT84" s="421">
        <v>0</v>
      </c>
      <c r="CU84" s="421">
        <v>0</v>
      </c>
      <c r="CV84" s="421">
        <v>0</v>
      </c>
      <c r="CW84" s="421">
        <v>0</v>
      </c>
      <c r="CX84" s="421">
        <v>0</v>
      </c>
      <c r="CY84" s="421">
        <v>0</v>
      </c>
      <c r="CZ84" s="421">
        <v>0</v>
      </c>
      <c r="DA84" s="421">
        <v>0</v>
      </c>
      <c r="DB84" s="421">
        <v>0</v>
      </c>
      <c r="DC84" s="421">
        <v>0</v>
      </c>
      <c r="DD84" s="421">
        <v>0</v>
      </c>
      <c r="DE84" s="421">
        <v>0</v>
      </c>
      <c r="DF84" s="421">
        <v>0</v>
      </c>
      <c r="DG84" s="421">
        <v>0</v>
      </c>
      <c r="DH84" s="421">
        <v>0</v>
      </c>
      <c r="DI84" s="421">
        <v>0</v>
      </c>
      <c r="DJ84" s="421">
        <v>0</v>
      </c>
      <c r="DK84" s="421">
        <v>0</v>
      </c>
      <c r="DL84" s="421">
        <v>0</v>
      </c>
      <c r="DM84" s="421">
        <v>0</v>
      </c>
      <c r="DN84" s="421">
        <v>0</v>
      </c>
      <c r="DO84" s="421">
        <v>0</v>
      </c>
      <c r="DP84" s="421">
        <v>0</v>
      </c>
      <c r="DQ84" s="421">
        <v>0</v>
      </c>
      <c r="DR84" s="421">
        <v>0</v>
      </c>
      <c r="DS84" s="421">
        <v>0</v>
      </c>
      <c r="DT84" s="421">
        <v>0</v>
      </c>
      <c r="DU84" s="421">
        <v>0</v>
      </c>
      <c r="DV84" s="421">
        <v>0</v>
      </c>
      <c r="DW84" s="421">
        <v>0</v>
      </c>
      <c r="DX84" s="421">
        <v>0</v>
      </c>
      <c r="DY84" s="421">
        <v>0</v>
      </c>
      <c r="DZ84" s="421">
        <v>0</v>
      </c>
      <c r="EA84" s="421">
        <v>0</v>
      </c>
      <c r="EB84" s="421">
        <v>0</v>
      </c>
      <c r="EC84" s="421" t="s">
        <v>1148</v>
      </c>
      <c r="ED84" s="421" t="s">
        <v>1149</v>
      </c>
      <c r="EE84" s="421" t="s">
        <v>1149</v>
      </c>
    </row>
    <row r="85" spans="1:135" x14ac:dyDescent="0.25">
      <c r="A85" s="421">
        <v>82</v>
      </c>
      <c r="B85" s="421">
        <v>2015</v>
      </c>
      <c r="C85" s="421">
        <v>5</v>
      </c>
      <c r="D85" s="421">
        <v>22</v>
      </c>
      <c r="E85" s="424">
        <v>42146</v>
      </c>
      <c r="F85" s="421" t="s">
        <v>1863</v>
      </c>
      <c r="G85" s="421" t="s">
        <v>1864</v>
      </c>
      <c r="H85" s="421" t="s">
        <v>1106</v>
      </c>
      <c r="I85" s="421" t="s">
        <v>1107</v>
      </c>
      <c r="J85" s="421" t="s">
        <v>1108</v>
      </c>
      <c r="K85" s="421" t="s">
        <v>1109</v>
      </c>
      <c r="L85" s="421" t="s">
        <v>1110</v>
      </c>
      <c r="O85" s="421" t="s">
        <v>1111</v>
      </c>
      <c r="R85" s="421" t="s">
        <v>1111</v>
      </c>
      <c r="S85" s="421" t="s">
        <v>1112</v>
      </c>
      <c r="T85" s="421" t="s">
        <v>1113</v>
      </c>
      <c r="U85" s="421" t="s">
        <v>1114</v>
      </c>
      <c r="V85" s="421" t="s">
        <v>1115</v>
      </c>
      <c r="W85" s="421" t="s">
        <v>1116</v>
      </c>
      <c r="X85" s="421" t="s">
        <v>1117</v>
      </c>
      <c r="Y85" s="421" t="s">
        <v>1118</v>
      </c>
      <c r="Z85" s="421" t="s">
        <v>1119</v>
      </c>
      <c r="AA85" s="421" t="s">
        <v>1772</v>
      </c>
      <c r="AB85" s="421" t="s">
        <v>1121</v>
      </c>
      <c r="AC85" s="421" t="s">
        <v>1122</v>
      </c>
      <c r="AD85" s="421" t="s">
        <v>1479</v>
      </c>
      <c r="AE85" s="421" t="s">
        <v>1865</v>
      </c>
      <c r="AF85" s="421" t="s">
        <v>1866</v>
      </c>
      <c r="AG85" s="421" t="s">
        <v>1867</v>
      </c>
      <c r="AH85" s="421">
        <v>5865</v>
      </c>
      <c r="AI85" s="421" t="s">
        <v>1127</v>
      </c>
      <c r="AJ85" s="421">
        <v>345</v>
      </c>
      <c r="AK85" s="421">
        <v>1</v>
      </c>
      <c r="AL85" s="421" t="s">
        <v>1173</v>
      </c>
      <c r="AM85" s="421">
        <v>5865</v>
      </c>
      <c r="AN85" s="421">
        <v>6210</v>
      </c>
      <c r="AO85" s="421" t="s">
        <v>1120</v>
      </c>
      <c r="AP85" s="421" t="s">
        <v>1129</v>
      </c>
      <c r="AR85" s="421" t="s">
        <v>1130</v>
      </c>
      <c r="AT85" s="421" t="s">
        <v>1131</v>
      </c>
      <c r="AU85" s="421" t="s">
        <v>1190</v>
      </c>
      <c r="AV85" s="421" t="s">
        <v>1191</v>
      </c>
      <c r="AW85" s="421" t="s">
        <v>960</v>
      </c>
      <c r="AX85" s="421" t="s">
        <v>960</v>
      </c>
      <c r="AY85" s="421" t="s">
        <v>960</v>
      </c>
      <c r="AZ85" s="421" t="s">
        <v>1121</v>
      </c>
      <c r="BA85" s="421" t="s">
        <v>1868</v>
      </c>
      <c r="BB85" s="421" t="s">
        <v>960</v>
      </c>
      <c r="BC85" s="421" t="s">
        <v>1869</v>
      </c>
      <c r="BD85" s="421" t="s">
        <v>1870</v>
      </c>
      <c r="BE85" s="421" t="s">
        <v>1871</v>
      </c>
      <c r="BF85" s="421" t="s">
        <v>1872</v>
      </c>
      <c r="BG85" s="421" t="s">
        <v>1848</v>
      </c>
      <c r="BH85" s="421" t="s">
        <v>1873</v>
      </c>
      <c r="BI85" s="421" t="s">
        <v>1142</v>
      </c>
      <c r="BJ85" s="421" t="s">
        <v>1180</v>
      </c>
      <c r="BK85" s="421" t="s">
        <v>1864</v>
      </c>
      <c r="BL85" s="421" t="s">
        <v>1874</v>
      </c>
      <c r="BM85" s="421" t="s">
        <v>1875</v>
      </c>
      <c r="BN85" s="421" t="s">
        <v>1876</v>
      </c>
      <c r="BO85" s="421">
        <v>0</v>
      </c>
      <c r="BR85" s="421">
        <v>0</v>
      </c>
      <c r="BS85" s="421">
        <v>0</v>
      </c>
      <c r="BT85" s="421">
        <v>0</v>
      </c>
      <c r="BU85" s="424">
        <v>42117</v>
      </c>
      <c r="BX85" s="421">
        <v>2389.4899999999998</v>
      </c>
      <c r="BY85" s="421" t="s">
        <v>1183</v>
      </c>
      <c r="BZ85" s="421">
        <v>34349.519999999997</v>
      </c>
      <c r="CA85" s="421">
        <v>82077834.544799998</v>
      </c>
      <c r="CB85" s="421">
        <v>13.74</v>
      </c>
      <c r="CC85" s="421">
        <v>0</v>
      </c>
      <c r="CD85" s="421">
        <v>3300</v>
      </c>
      <c r="CE85" s="421">
        <v>3313.74</v>
      </c>
      <c r="CF85" s="421">
        <v>0</v>
      </c>
      <c r="CG85" s="421">
        <v>37663.26</v>
      </c>
      <c r="CH85" s="421">
        <v>0</v>
      </c>
      <c r="CI85" s="421">
        <v>37663.26</v>
      </c>
      <c r="CJ85" s="421">
        <v>89995983.137400001</v>
      </c>
      <c r="CK85" s="421">
        <v>10</v>
      </c>
      <c r="CL85" s="421">
        <v>89995983</v>
      </c>
      <c r="CM85" s="421">
        <v>9000000</v>
      </c>
      <c r="CN85" s="421">
        <v>9000000</v>
      </c>
      <c r="CO85" s="421">
        <v>0</v>
      </c>
      <c r="CP85" s="421">
        <v>0</v>
      </c>
      <c r="CQ85" s="421">
        <v>16</v>
      </c>
      <c r="CR85" s="421">
        <v>98995983</v>
      </c>
      <c r="CS85" s="421">
        <v>15839000</v>
      </c>
      <c r="CT85" s="421">
        <v>15839000</v>
      </c>
      <c r="CU85" s="421">
        <v>0</v>
      </c>
      <c r="CV85" s="421">
        <v>0</v>
      </c>
      <c r="CW85" s="421">
        <v>0</v>
      </c>
      <c r="CX85" s="421">
        <v>0</v>
      </c>
      <c r="CY85" s="421">
        <v>0</v>
      </c>
      <c r="CZ85" s="421">
        <v>0</v>
      </c>
      <c r="DA85" s="421">
        <v>0</v>
      </c>
      <c r="DB85" s="421">
        <v>0</v>
      </c>
      <c r="DC85" s="421">
        <v>0</v>
      </c>
      <c r="DD85" s="421">
        <v>0</v>
      </c>
      <c r="DE85" s="421">
        <v>0</v>
      </c>
      <c r="DF85" s="421">
        <v>0</v>
      </c>
      <c r="DG85" s="421">
        <v>0</v>
      </c>
      <c r="DH85" s="421">
        <v>0</v>
      </c>
      <c r="DI85" s="421">
        <v>0</v>
      </c>
      <c r="DJ85" s="421">
        <v>0</v>
      </c>
      <c r="DK85" s="421">
        <v>0</v>
      </c>
      <c r="DL85" s="421">
        <v>0</v>
      </c>
      <c r="DM85" s="421">
        <v>0</v>
      </c>
      <c r="DN85" s="421">
        <v>0</v>
      </c>
      <c r="DO85" s="421">
        <v>0</v>
      </c>
      <c r="DP85" s="421">
        <v>0</v>
      </c>
      <c r="DQ85" s="421">
        <v>0</v>
      </c>
      <c r="DR85" s="421">
        <v>0</v>
      </c>
      <c r="DS85" s="421">
        <v>0</v>
      </c>
      <c r="DT85" s="421">
        <v>0</v>
      </c>
      <c r="DU85" s="421">
        <v>0</v>
      </c>
      <c r="DV85" s="421">
        <v>0</v>
      </c>
      <c r="DW85" s="421">
        <v>0</v>
      </c>
      <c r="DX85" s="421">
        <v>0</v>
      </c>
      <c r="DY85" s="421">
        <v>24839000</v>
      </c>
      <c r="DZ85" s="421">
        <v>24839000</v>
      </c>
      <c r="EA85" s="421">
        <v>0</v>
      </c>
      <c r="EB85" s="421">
        <v>0</v>
      </c>
      <c r="EC85" s="421" t="s">
        <v>1148</v>
      </c>
      <c r="ED85" s="421" t="s">
        <v>1167</v>
      </c>
      <c r="EE85" s="421" t="s">
        <v>1167</v>
      </c>
    </row>
    <row r="86" spans="1:135" x14ac:dyDescent="0.25">
      <c r="A86" s="421">
        <v>83</v>
      </c>
      <c r="B86" s="421">
        <v>2015</v>
      </c>
      <c r="C86" s="421">
        <v>5</v>
      </c>
      <c r="D86" s="421">
        <v>22</v>
      </c>
      <c r="E86" s="424">
        <v>42146</v>
      </c>
      <c r="F86" s="421" t="s">
        <v>1877</v>
      </c>
      <c r="G86" s="421" t="s">
        <v>1878</v>
      </c>
      <c r="H86" s="421" t="s">
        <v>1152</v>
      </c>
      <c r="I86" s="421" t="s">
        <v>1107</v>
      </c>
      <c r="J86" s="421" t="s">
        <v>1108</v>
      </c>
      <c r="K86" s="421" t="s">
        <v>1109</v>
      </c>
      <c r="L86" s="421" t="s">
        <v>1110</v>
      </c>
      <c r="O86" s="421" t="s">
        <v>1111</v>
      </c>
      <c r="R86" s="421" t="s">
        <v>1111</v>
      </c>
      <c r="S86" s="421" t="s">
        <v>1112</v>
      </c>
      <c r="T86" s="421" t="s">
        <v>1113</v>
      </c>
      <c r="U86" s="421" t="s">
        <v>1114</v>
      </c>
      <c r="V86" s="421" t="s">
        <v>1115</v>
      </c>
      <c r="W86" s="421" t="s">
        <v>1116</v>
      </c>
      <c r="X86" s="421" t="s">
        <v>1117</v>
      </c>
      <c r="Y86" s="421" t="s">
        <v>1118</v>
      </c>
      <c r="Z86" s="421" t="s">
        <v>1119</v>
      </c>
      <c r="AA86" s="421" t="s">
        <v>1772</v>
      </c>
      <c r="AB86" s="421" t="s">
        <v>1121</v>
      </c>
      <c r="AC86" s="421" t="s">
        <v>1122</v>
      </c>
      <c r="AD86" s="421" t="s">
        <v>1479</v>
      </c>
      <c r="AE86" s="421" t="s">
        <v>1517</v>
      </c>
      <c r="AF86" s="421" t="s">
        <v>1518</v>
      </c>
      <c r="AG86" s="421" t="s">
        <v>1820</v>
      </c>
      <c r="AH86" s="421">
        <v>500</v>
      </c>
      <c r="AI86" s="421" t="s">
        <v>1127</v>
      </c>
      <c r="AJ86" s="421">
        <v>1</v>
      </c>
      <c r="AK86" s="421">
        <v>1</v>
      </c>
      <c r="AL86" s="421" t="s">
        <v>1173</v>
      </c>
      <c r="AM86" s="421">
        <v>500</v>
      </c>
      <c r="AN86" s="421">
        <v>540</v>
      </c>
      <c r="AO86" s="421" t="s">
        <v>1120</v>
      </c>
      <c r="AP86" s="421" t="s">
        <v>1129</v>
      </c>
      <c r="AR86" s="421" t="s">
        <v>1130</v>
      </c>
      <c r="AT86" s="421" t="s">
        <v>1131</v>
      </c>
      <c r="AU86" s="421" t="s">
        <v>1132</v>
      </c>
      <c r="AV86" s="421" t="s">
        <v>1133</v>
      </c>
      <c r="AW86" s="421" t="s">
        <v>960</v>
      </c>
      <c r="AX86" s="421" t="s">
        <v>960</v>
      </c>
      <c r="AY86" s="421" t="s">
        <v>960</v>
      </c>
      <c r="AZ86" s="421" t="s">
        <v>1121</v>
      </c>
      <c r="BA86" s="421" t="s">
        <v>1520</v>
      </c>
      <c r="BB86" s="421" t="s">
        <v>960</v>
      </c>
      <c r="BC86" s="421" t="s">
        <v>1521</v>
      </c>
      <c r="BD86" s="421" t="s">
        <v>1522</v>
      </c>
      <c r="BE86" s="421" t="s">
        <v>1523</v>
      </c>
      <c r="BF86" s="421" t="s">
        <v>1872</v>
      </c>
      <c r="BG86" s="421" t="s">
        <v>1848</v>
      </c>
      <c r="BH86" s="421" t="s">
        <v>1879</v>
      </c>
      <c r="BI86" s="421" t="s">
        <v>1142</v>
      </c>
      <c r="BJ86" s="421" t="s">
        <v>1180</v>
      </c>
      <c r="BK86" s="421" t="s">
        <v>1878</v>
      </c>
      <c r="BL86" s="421" t="s">
        <v>1874</v>
      </c>
      <c r="BM86" s="421" t="s">
        <v>1823</v>
      </c>
      <c r="BN86" s="421" t="s">
        <v>1690</v>
      </c>
      <c r="BO86" s="421">
        <v>0</v>
      </c>
      <c r="BR86" s="421">
        <v>0</v>
      </c>
      <c r="BS86" s="421">
        <v>0</v>
      </c>
      <c r="BT86" s="421">
        <v>0</v>
      </c>
      <c r="BU86" s="424">
        <v>42092</v>
      </c>
      <c r="BX86" s="421">
        <v>2389.4899999999998</v>
      </c>
      <c r="BY86" s="421" t="s">
        <v>1648</v>
      </c>
      <c r="BZ86" s="421">
        <v>5974</v>
      </c>
      <c r="CA86" s="421">
        <v>14274813.26</v>
      </c>
      <c r="CB86" s="421">
        <v>2.39</v>
      </c>
      <c r="CC86" s="421">
        <v>0</v>
      </c>
      <c r="CD86" s="421">
        <v>417.94</v>
      </c>
      <c r="CE86" s="421">
        <v>420.33</v>
      </c>
      <c r="CF86" s="421">
        <v>0</v>
      </c>
      <c r="CG86" s="421">
        <v>6394.33</v>
      </c>
      <c r="CH86" s="421">
        <v>0</v>
      </c>
      <c r="CI86" s="421">
        <v>6394.33</v>
      </c>
      <c r="CJ86" s="421">
        <v>15279187.591700001</v>
      </c>
      <c r="CK86" s="421">
        <v>10</v>
      </c>
      <c r="CL86" s="421">
        <v>15279188</v>
      </c>
      <c r="CM86" s="421">
        <v>1528000</v>
      </c>
      <c r="CN86" s="421">
        <v>1528000</v>
      </c>
      <c r="CO86" s="421">
        <v>0</v>
      </c>
      <c r="CP86" s="421">
        <v>0</v>
      </c>
      <c r="CQ86" s="421">
        <v>16</v>
      </c>
      <c r="CR86" s="421">
        <v>16807188</v>
      </c>
      <c r="CS86" s="421">
        <v>2689000</v>
      </c>
      <c r="CT86" s="421">
        <v>2689000</v>
      </c>
      <c r="CU86" s="421">
        <v>0</v>
      </c>
      <c r="CV86" s="421">
        <v>0</v>
      </c>
      <c r="CW86" s="421">
        <v>0</v>
      </c>
      <c r="CX86" s="421">
        <v>0</v>
      </c>
      <c r="CY86" s="421">
        <v>0</v>
      </c>
      <c r="CZ86" s="421">
        <v>0</v>
      </c>
      <c r="DA86" s="421">
        <v>0</v>
      </c>
      <c r="DB86" s="421">
        <v>0</v>
      </c>
      <c r="DC86" s="421">
        <v>0</v>
      </c>
      <c r="DD86" s="421">
        <v>0</v>
      </c>
      <c r="DE86" s="421">
        <v>0</v>
      </c>
      <c r="DF86" s="421">
        <v>0</v>
      </c>
      <c r="DG86" s="421">
        <v>0</v>
      </c>
      <c r="DH86" s="421">
        <v>0</v>
      </c>
      <c r="DI86" s="421">
        <v>0</v>
      </c>
      <c r="DJ86" s="421">
        <v>0</v>
      </c>
      <c r="DK86" s="421">
        <v>0</v>
      </c>
      <c r="DL86" s="421">
        <v>0</v>
      </c>
      <c r="DM86" s="421">
        <v>0</v>
      </c>
      <c r="DN86" s="421">
        <v>0</v>
      </c>
      <c r="DO86" s="421">
        <v>0</v>
      </c>
      <c r="DP86" s="421">
        <v>0</v>
      </c>
      <c r="DQ86" s="421">
        <v>0</v>
      </c>
      <c r="DR86" s="421">
        <v>0</v>
      </c>
      <c r="DS86" s="421">
        <v>0</v>
      </c>
      <c r="DT86" s="421">
        <v>0</v>
      </c>
      <c r="DU86" s="421">
        <v>0</v>
      </c>
      <c r="DV86" s="421">
        <v>0</v>
      </c>
      <c r="DW86" s="421">
        <v>0</v>
      </c>
      <c r="DX86" s="421">
        <v>0</v>
      </c>
      <c r="DY86" s="421">
        <v>4217000</v>
      </c>
      <c r="DZ86" s="421">
        <v>4217000</v>
      </c>
      <c r="EA86" s="421">
        <v>0</v>
      </c>
      <c r="EB86" s="421">
        <v>0</v>
      </c>
      <c r="EC86" s="421" t="s">
        <v>1148</v>
      </c>
      <c r="ED86" s="421" t="s">
        <v>1167</v>
      </c>
      <c r="EE86" s="421" t="s">
        <v>1167</v>
      </c>
    </row>
    <row r="87" spans="1:135" x14ac:dyDescent="0.25">
      <c r="A87" s="421">
        <v>84</v>
      </c>
      <c r="B87" s="421">
        <v>2015</v>
      </c>
      <c r="C87" s="421">
        <v>5</v>
      </c>
      <c r="D87" s="421">
        <v>26</v>
      </c>
      <c r="E87" s="424">
        <v>42150</v>
      </c>
      <c r="F87" s="421" t="s">
        <v>1880</v>
      </c>
      <c r="G87" s="421" t="s">
        <v>1881</v>
      </c>
      <c r="H87" s="421" t="s">
        <v>1106</v>
      </c>
      <c r="I87" s="421" t="s">
        <v>1107</v>
      </c>
      <c r="J87" s="421" t="s">
        <v>1108</v>
      </c>
      <c r="K87" s="421" t="s">
        <v>1109</v>
      </c>
      <c r="L87" s="421" t="s">
        <v>1110</v>
      </c>
      <c r="O87" s="421" t="s">
        <v>1111</v>
      </c>
      <c r="R87" s="421" t="s">
        <v>1111</v>
      </c>
      <c r="S87" s="421" t="s">
        <v>1112</v>
      </c>
      <c r="T87" s="421" t="s">
        <v>1113</v>
      </c>
      <c r="U87" s="421" t="s">
        <v>1114</v>
      </c>
      <c r="V87" s="421" t="s">
        <v>1115</v>
      </c>
      <c r="W87" s="421" t="s">
        <v>1116</v>
      </c>
      <c r="X87" s="421" t="s">
        <v>1117</v>
      </c>
      <c r="Y87" s="421" t="s">
        <v>1118</v>
      </c>
      <c r="Z87" s="421" t="s">
        <v>1119</v>
      </c>
      <c r="AA87" s="421" t="s">
        <v>1772</v>
      </c>
      <c r="AB87" s="421" t="s">
        <v>1121</v>
      </c>
      <c r="AC87" s="421" t="s">
        <v>1122</v>
      </c>
      <c r="AD87" s="421" t="s">
        <v>1479</v>
      </c>
      <c r="AE87" s="421" t="s">
        <v>1882</v>
      </c>
      <c r="AF87" s="421" t="s">
        <v>1883</v>
      </c>
      <c r="AG87" s="421" t="s">
        <v>1884</v>
      </c>
      <c r="AH87" s="421">
        <v>66.3</v>
      </c>
      <c r="AI87" s="421" t="s">
        <v>1127</v>
      </c>
      <c r="AJ87" s="421">
        <v>269</v>
      </c>
      <c r="AK87" s="421">
        <v>3</v>
      </c>
      <c r="AL87" s="421" t="s">
        <v>1173</v>
      </c>
      <c r="AM87" s="421">
        <v>66.3</v>
      </c>
      <c r="AN87" s="421">
        <v>75.400000000000006</v>
      </c>
      <c r="AO87" s="421" t="s">
        <v>1120</v>
      </c>
      <c r="AP87" s="421" t="s">
        <v>1129</v>
      </c>
      <c r="AR87" s="421" t="s">
        <v>1130</v>
      </c>
      <c r="AT87" s="421" t="s">
        <v>1131</v>
      </c>
      <c r="AU87" s="421" t="s">
        <v>1303</v>
      </c>
      <c r="AV87" s="421" t="s">
        <v>1304</v>
      </c>
      <c r="AW87" s="421" t="s">
        <v>960</v>
      </c>
      <c r="AX87" s="421" t="s">
        <v>960</v>
      </c>
      <c r="AY87" s="421" t="s">
        <v>960</v>
      </c>
      <c r="AZ87" s="421" t="s">
        <v>1121</v>
      </c>
      <c r="BA87" s="421" t="s">
        <v>1305</v>
      </c>
      <c r="BB87" s="421" t="s">
        <v>960</v>
      </c>
      <c r="BC87" s="421" t="s">
        <v>1175</v>
      </c>
      <c r="BD87" s="421" t="s">
        <v>1306</v>
      </c>
      <c r="BE87" s="421" t="s">
        <v>1885</v>
      </c>
      <c r="BF87" s="421" t="s">
        <v>1886</v>
      </c>
      <c r="BG87" s="421" t="s">
        <v>1887</v>
      </c>
      <c r="BH87" s="421" t="s">
        <v>1888</v>
      </c>
      <c r="BI87" s="421" t="s">
        <v>1142</v>
      </c>
      <c r="BJ87" s="421" t="s">
        <v>1243</v>
      </c>
      <c r="BK87" s="421" t="s">
        <v>1881</v>
      </c>
      <c r="BL87" s="421" t="s">
        <v>1889</v>
      </c>
      <c r="BM87" s="421" t="s">
        <v>1890</v>
      </c>
      <c r="BN87" s="421" t="s">
        <v>1717</v>
      </c>
      <c r="BO87" s="421">
        <v>0</v>
      </c>
      <c r="BR87" s="421">
        <v>0</v>
      </c>
      <c r="BS87" s="421">
        <v>0</v>
      </c>
      <c r="BT87" s="421">
        <v>0</v>
      </c>
      <c r="BU87" s="424">
        <v>42103</v>
      </c>
      <c r="BX87" s="421">
        <v>2489.39</v>
      </c>
      <c r="BY87" s="421" t="s">
        <v>1648</v>
      </c>
      <c r="BZ87" s="421">
        <v>1083.03</v>
      </c>
      <c r="CA87" s="421">
        <v>2696084.0517000002</v>
      </c>
      <c r="CB87" s="421">
        <v>0.43</v>
      </c>
      <c r="CC87" s="421">
        <v>0</v>
      </c>
      <c r="CD87" s="421">
        <v>29.94</v>
      </c>
      <c r="CE87" s="421">
        <v>30.37</v>
      </c>
      <c r="CF87" s="421">
        <v>0</v>
      </c>
      <c r="CG87" s="421">
        <v>1113.4000000000001</v>
      </c>
      <c r="CH87" s="421">
        <v>0</v>
      </c>
      <c r="CI87" s="421">
        <v>1113.4000000000001</v>
      </c>
      <c r="CJ87" s="421">
        <v>2771686.8259999999</v>
      </c>
      <c r="CK87" s="421">
        <v>10</v>
      </c>
      <c r="CL87" s="421">
        <v>2771687</v>
      </c>
      <c r="CM87" s="421">
        <v>277000</v>
      </c>
      <c r="CN87" s="421">
        <v>277000</v>
      </c>
      <c r="CO87" s="421">
        <v>0</v>
      </c>
      <c r="CP87" s="421">
        <v>0</v>
      </c>
      <c r="CQ87" s="421">
        <v>16</v>
      </c>
      <c r="CR87" s="421">
        <v>3048687</v>
      </c>
      <c r="CS87" s="421">
        <v>488000</v>
      </c>
      <c r="CT87" s="421">
        <v>488000</v>
      </c>
      <c r="CU87" s="421">
        <v>0</v>
      </c>
      <c r="CV87" s="421">
        <v>0</v>
      </c>
      <c r="CW87" s="421">
        <v>0</v>
      </c>
      <c r="CX87" s="421">
        <v>0</v>
      </c>
      <c r="CY87" s="421">
        <v>0</v>
      </c>
      <c r="CZ87" s="421">
        <v>0</v>
      </c>
      <c r="DA87" s="421">
        <v>0</v>
      </c>
      <c r="DB87" s="421">
        <v>0</v>
      </c>
      <c r="DC87" s="421">
        <v>0</v>
      </c>
      <c r="DD87" s="421">
        <v>0</v>
      </c>
      <c r="DE87" s="421">
        <v>0</v>
      </c>
      <c r="DF87" s="421">
        <v>0</v>
      </c>
      <c r="DG87" s="421">
        <v>0</v>
      </c>
      <c r="DH87" s="421">
        <v>0</v>
      </c>
      <c r="DI87" s="421">
        <v>0</v>
      </c>
      <c r="DJ87" s="421">
        <v>0</v>
      </c>
      <c r="DK87" s="421">
        <v>0</v>
      </c>
      <c r="DL87" s="421">
        <v>0</v>
      </c>
      <c r="DM87" s="421">
        <v>0</v>
      </c>
      <c r="DN87" s="421">
        <v>0</v>
      </c>
      <c r="DO87" s="421">
        <v>0</v>
      </c>
      <c r="DP87" s="421">
        <v>0</v>
      </c>
      <c r="DQ87" s="421">
        <v>0</v>
      </c>
      <c r="DR87" s="421">
        <v>0</v>
      </c>
      <c r="DS87" s="421">
        <v>0</v>
      </c>
      <c r="DT87" s="421">
        <v>0</v>
      </c>
      <c r="DU87" s="421">
        <v>0</v>
      </c>
      <c r="DV87" s="421">
        <v>0</v>
      </c>
      <c r="DW87" s="421">
        <v>0</v>
      </c>
      <c r="DX87" s="421">
        <v>0</v>
      </c>
      <c r="DY87" s="421">
        <v>765000</v>
      </c>
      <c r="DZ87" s="421">
        <v>765000</v>
      </c>
      <c r="EA87" s="421">
        <v>0</v>
      </c>
      <c r="EB87" s="421">
        <v>0</v>
      </c>
      <c r="EC87" s="421" t="s">
        <v>1148</v>
      </c>
      <c r="ED87" s="421" t="s">
        <v>1167</v>
      </c>
      <c r="EE87" s="421" t="s">
        <v>1167</v>
      </c>
    </row>
    <row r="88" spans="1:135" x14ac:dyDescent="0.25">
      <c r="A88" s="421">
        <v>85</v>
      </c>
      <c r="B88" s="421">
        <v>2015</v>
      </c>
      <c r="C88" s="421">
        <v>5</v>
      </c>
      <c r="D88" s="421">
        <v>26</v>
      </c>
      <c r="E88" s="424">
        <v>42150</v>
      </c>
      <c r="F88" s="421" t="s">
        <v>1891</v>
      </c>
      <c r="G88" s="421" t="s">
        <v>1892</v>
      </c>
      <c r="H88" s="421" t="s">
        <v>1106</v>
      </c>
      <c r="I88" s="421" t="s">
        <v>1107</v>
      </c>
      <c r="J88" s="421" t="s">
        <v>1108</v>
      </c>
      <c r="K88" s="421" t="s">
        <v>1109</v>
      </c>
      <c r="L88" s="421" t="s">
        <v>1110</v>
      </c>
      <c r="O88" s="421" t="s">
        <v>1111</v>
      </c>
      <c r="R88" s="421" t="s">
        <v>1111</v>
      </c>
      <c r="S88" s="421" t="s">
        <v>1112</v>
      </c>
      <c r="T88" s="421" t="s">
        <v>1113</v>
      </c>
      <c r="U88" s="421" t="s">
        <v>1114</v>
      </c>
      <c r="V88" s="421" t="s">
        <v>1115</v>
      </c>
      <c r="W88" s="421" t="s">
        <v>1116</v>
      </c>
      <c r="X88" s="421" t="s">
        <v>1117</v>
      </c>
      <c r="Y88" s="421" t="s">
        <v>1118</v>
      </c>
      <c r="Z88" s="421" t="s">
        <v>1119</v>
      </c>
      <c r="AA88" s="421" t="s">
        <v>1772</v>
      </c>
      <c r="AB88" s="421" t="s">
        <v>1121</v>
      </c>
      <c r="AC88" s="421" t="s">
        <v>1122</v>
      </c>
      <c r="AD88" s="421" t="s">
        <v>1479</v>
      </c>
      <c r="AE88" s="421" t="s">
        <v>1300</v>
      </c>
      <c r="AF88" s="421" t="s">
        <v>1301</v>
      </c>
      <c r="AG88" s="421" t="s">
        <v>1893</v>
      </c>
      <c r="AH88" s="421">
        <v>584.4</v>
      </c>
      <c r="AI88" s="421" t="s">
        <v>1127</v>
      </c>
      <c r="AJ88" s="421">
        <v>269</v>
      </c>
      <c r="AK88" s="421">
        <v>3</v>
      </c>
      <c r="AL88" s="421" t="s">
        <v>1173</v>
      </c>
      <c r="AM88" s="421">
        <v>584.4</v>
      </c>
      <c r="AN88" s="421">
        <v>647.6</v>
      </c>
      <c r="AO88" s="421" t="s">
        <v>1120</v>
      </c>
      <c r="AP88" s="421" t="s">
        <v>1129</v>
      </c>
      <c r="AR88" s="421" t="s">
        <v>1130</v>
      </c>
      <c r="AT88" s="421" t="s">
        <v>1131</v>
      </c>
      <c r="AU88" s="421" t="s">
        <v>1303</v>
      </c>
      <c r="AV88" s="421" t="s">
        <v>1304</v>
      </c>
      <c r="AW88" s="421" t="s">
        <v>960</v>
      </c>
      <c r="AX88" s="421" t="s">
        <v>960</v>
      </c>
      <c r="AY88" s="421" t="s">
        <v>960</v>
      </c>
      <c r="AZ88" s="421" t="s">
        <v>1121</v>
      </c>
      <c r="BA88" s="421" t="s">
        <v>1305</v>
      </c>
      <c r="BB88" s="421" t="s">
        <v>960</v>
      </c>
      <c r="BC88" s="421" t="s">
        <v>1175</v>
      </c>
      <c r="BD88" s="421" t="s">
        <v>1306</v>
      </c>
      <c r="BE88" s="421" t="s">
        <v>1885</v>
      </c>
      <c r="BF88" s="421" t="s">
        <v>1886</v>
      </c>
      <c r="BG88" s="421" t="s">
        <v>1887</v>
      </c>
      <c r="BH88" s="421" t="s">
        <v>1888</v>
      </c>
      <c r="BI88" s="421" t="s">
        <v>1142</v>
      </c>
      <c r="BJ88" s="421" t="s">
        <v>1243</v>
      </c>
      <c r="BK88" s="421" t="s">
        <v>1892</v>
      </c>
      <c r="BL88" s="421" t="s">
        <v>1889</v>
      </c>
      <c r="BM88" s="421" t="s">
        <v>1890</v>
      </c>
      <c r="BN88" s="421" t="s">
        <v>1717</v>
      </c>
      <c r="BO88" s="421">
        <v>0</v>
      </c>
      <c r="BR88" s="421">
        <v>0</v>
      </c>
      <c r="BS88" s="421">
        <v>0</v>
      </c>
      <c r="BT88" s="421">
        <v>0</v>
      </c>
      <c r="BU88" s="424">
        <v>42103</v>
      </c>
      <c r="BX88" s="421">
        <v>2489.39</v>
      </c>
      <c r="BY88" s="421" t="s">
        <v>1648</v>
      </c>
      <c r="BZ88" s="421">
        <v>9622.27</v>
      </c>
      <c r="CA88" s="421">
        <v>23953582.715300001</v>
      </c>
      <c r="CB88" s="421">
        <v>3.86</v>
      </c>
      <c r="CC88" s="421">
        <v>0</v>
      </c>
      <c r="CD88" s="421">
        <v>257.18</v>
      </c>
      <c r="CE88" s="421">
        <v>261.04000000000002</v>
      </c>
      <c r="CF88" s="421">
        <v>0</v>
      </c>
      <c r="CG88" s="421">
        <v>9883.31</v>
      </c>
      <c r="CH88" s="421">
        <v>0</v>
      </c>
      <c r="CI88" s="421">
        <v>9883.31</v>
      </c>
      <c r="CJ88" s="421">
        <v>24603413.080899999</v>
      </c>
      <c r="CK88" s="421">
        <v>15</v>
      </c>
      <c r="CL88" s="421">
        <v>24603413</v>
      </c>
      <c r="CM88" s="421">
        <v>3691000</v>
      </c>
      <c r="CN88" s="421">
        <v>3691000</v>
      </c>
      <c r="CO88" s="421">
        <v>0</v>
      </c>
      <c r="CP88" s="421">
        <v>0</v>
      </c>
      <c r="CQ88" s="421">
        <v>16</v>
      </c>
      <c r="CR88" s="421">
        <v>28294413</v>
      </c>
      <c r="CS88" s="421">
        <v>4527000</v>
      </c>
      <c r="CT88" s="421">
        <v>4527000</v>
      </c>
      <c r="CU88" s="421">
        <v>0</v>
      </c>
      <c r="CV88" s="421">
        <v>0</v>
      </c>
      <c r="CW88" s="421">
        <v>0</v>
      </c>
      <c r="CX88" s="421">
        <v>0</v>
      </c>
      <c r="CY88" s="421">
        <v>0</v>
      </c>
      <c r="CZ88" s="421">
        <v>0</v>
      </c>
      <c r="DA88" s="421">
        <v>0</v>
      </c>
      <c r="DB88" s="421">
        <v>0</v>
      </c>
      <c r="DC88" s="421">
        <v>0</v>
      </c>
      <c r="DD88" s="421">
        <v>0</v>
      </c>
      <c r="DE88" s="421">
        <v>0</v>
      </c>
      <c r="DF88" s="421">
        <v>0</v>
      </c>
      <c r="DG88" s="421">
        <v>0</v>
      </c>
      <c r="DH88" s="421">
        <v>0</v>
      </c>
      <c r="DI88" s="421">
        <v>0</v>
      </c>
      <c r="DJ88" s="421">
        <v>0</v>
      </c>
      <c r="DK88" s="421">
        <v>0</v>
      </c>
      <c r="DL88" s="421">
        <v>0</v>
      </c>
      <c r="DM88" s="421">
        <v>0</v>
      </c>
      <c r="DN88" s="421">
        <v>0</v>
      </c>
      <c r="DO88" s="421">
        <v>0</v>
      </c>
      <c r="DP88" s="421">
        <v>0</v>
      </c>
      <c r="DQ88" s="421">
        <v>0</v>
      </c>
      <c r="DR88" s="421">
        <v>0</v>
      </c>
      <c r="DS88" s="421">
        <v>0</v>
      </c>
      <c r="DT88" s="421">
        <v>0</v>
      </c>
      <c r="DU88" s="421">
        <v>0</v>
      </c>
      <c r="DV88" s="421">
        <v>0</v>
      </c>
      <c r="DW88" s="421">
        <v>0</v>
      </c>
      <c r="DX88" s="421">
        <v>0</v>
      </c>
      <c r="DY88" s="421">
        <v>8218000</v>
      </c>
      <c r="DZ88" s="421">
        <v>8218000</v>
      </c>
      <c r="EA88" s="421">
        <v>0</v>
      </c>
      <c r="EB88" s="421">
        <v>0</v>
      </c>
      <c r="EC88" s="421" t="s">
        <v>1148</v>
      </c>
      <c r="ED88" s="421" t="s">
        <v>1167</v>
      </c>
      <c r="EE88" s="421" t="s">
        <v>1167</v>
      </c>
    </row>
    <row r="89" spans="1:135" x14ac:dyDescent="0.25">
      <c r="A89" s="421">
        <v>86</v>
      </c>
      <c r="B89" s="421">
        <v>2015</v>
      </c>
      <c r="C89" s="421">
        <v>5</v>
      </c>
      <c r="D89" s="421">
        <v>26</v>
      </c>
      <c r="E89" s="424">
        <v>42150</v>
      </c>
      <c r="F89" s="421" t="s">
        <v>1894</v>
      </c>
      <c r="G89" s="421" t="s">
        <v>1895</v>
      </c>
      <c r="H89" s="421" t="s">
        <v>1106</v>
      </c>
      <c r="I89" s="421" t="s">
        <v>1107</v>
      </c>
      <c r="J89" s="421" t="s">
        <v>1108</v>
      </c>
      <c r="K89" s="421" t="s">
        <v>1109</v>
      </c>
      <c r="L89" s="421" t="s">
        <v>1110</v>
      </c>
      <c r="O89" s="421" t="s">
        <v>1111</v>
      </c>
      <c r="R89" s="421" t="s">
        <v>1111</v>
      </c>
      <c r="S89" s="421" t="s">
        <v>1112</v>
      </c>
      <c r="T89" s="421" t="s">
        <v>1113</v>
      </c>
      <c r="U89" s="421" t="s">
        <v>1114</v>
      </c>
      <c r="V89" s="421" t="s">
        <v>1115</v>
      </c>
      <c r="W89" s="421" t="s">
        <v>1116</v>
      </c>
      <c r="X89" s="421" t="s">
        <v>1117</v>
      </c>
      <c r="Y89" s="421" t="s">
        <v>1118</v>
      </c>
      <c r="Z89" s="421" t="s">
        <v>1119</v>
      </c>
      <c r="AA89" s="421" t="s">
        <v>1772</v>
      </c>
      <c r="AB89" s="421" t="s">
        <v>1121</v>
      </c>
      <c r="AC89" s="421" t="s">
        <v>1122</v>
      </c>
      <c r="AD89" s="421" t="s">
        <v>1479</v>
      </c>
      <c r="AE89" s="421" t="s">
        <v>1896</v>
      </c>
      <c r="AF89" s="421" t="s">
        <v>1897</v>
      </c>
      <c r="AG89" s="421" t="s">
        <v>1898</v>
      </c>
      <c r="AH89" s="421">
        <v>7056</v>
      </c>
      <c r="AI89" s="421" t="s">
        <v>1189</v>
      </c>
      <c r="AJ89" s="421">
        <v>269</v>
      </c>
      <c r="AK89" s="421">
        <v>3</v>
      </c>
      <c r="AL89" s="421" t="s">
        <v>1173</v>
      </c>
      <c r="AM89" s="421">
        <v>529.20000000000005</v>
      </c>
      <c r="AN89" s="421">
        <v>568.4</v>
      </c>
      <c r="AO89" s="421" t="s">
        <v>1120</v>
      </c>
      <c r="AP89" s="421" t="s">
        <v>1129</v>
      </c>
      <c r="AR89" s="421" t="s">
        <v>1130</v>
      </c>
      <c r="AT89" s="421" t="s">
        <v>1131</v>
      </c>
      <c r="AU89" s="421" t="s">
        <v>1303</v>
      </c>
      <c r="AV89" s="421" t="s">
        <v>1304</v>
      </c>
      <c r="AW89" s="421" t="s">
        <v>960</v>
      </c>
      <c r="AX89" s="421" t="s">
        <v>960</v>
      </c>
      <c r="AY89" s="421" t="s">
        <v>960</v>
      </c>
      <c r="AZ89" s="421" t="s">
        <v>1121</v>
      </c>
      <c r="BA89" s="421" t="s">
        <v>1305</v>
      </c>
      <c r="BB89" s="421" t="s">
        <v>960</v>
      </c>
      <c r="BC89" s="421" t="s">
        <v>1175</v>
      </c>
      <c r="BD89" s="421" t="s">
        <v>1306</v>
      </c>
      <c r="BE89" s="421" t="s">
        <v>1885</v>
      </c>
      <c r="BF89" s="421" t="s">
        <v>1886</v>
      </c>
      <c r="BG89" s="421" t="s">
        <v>1887</v>
      </c>
      <c r="BH89" s="421" t="s">
        <v>1888</v>
      </c>
      <c r="BI89" s="421" t="s">
        <v>1142</v>
      </c>
      <c r="BJ89" s="421" t="s">
        <v>1243</v>
      </c>
      <c r="BK89" s="421" t="s">
        <v>1895</v>
      </c>
      <c r="BL89" s="421" t="s">
        <v>1889</v>
      </c>
      <c r="BM89" s="421" t="s">
        <v>1890</v>
      </c>
      <c r="BN89" s="421" t="s">
        <v>1717</v>
      </c>
      <c r="BO89" s="421">
        <v>0</v>
      </c>
      <c r="BR89" s="421">
        <v>0</v>
      </c>
      <c r="BS89" s="421">
        <v>0</v>
      </c>
      <c r="BT89" s="421">
        <v>0</v>
      </c>
      <c r="BU89" s="424">
        <v>42103</v>
      </c>
      <c r="BX89" s="421">
        <v>2489.39</v>
      </c>
      <c r="BY89" s="421" t="s">
        <v>1648</v>
      </c>
      <c r="BZ89" s="421">
        <v>2332.6799999999998</v>
      </c>
      <c r="CA89" s="421">
        <v>5806950.2652000003</v>
      </c>
      <c r="CB89" s="421">
        <v>0.93</v>
      </c>
      <c r="CC89" s="421">
        <v>0</v>
      </c>
      <c r="CD89" s="421">
        <v>225.73</v>
      </c>
      <c r="CE89" s="421">
        <v>226.66</v>
      </c>
      <c r="CF89" s="421">
        <v>0</v>
      </c>
      <c r="CG89" s="421">
        <v>2559.34</v>
      </c>
      <c r="CH89" s="421">
        <v>0</v>
      </c>
      <c r="CI89" s="421">
        <v>2559.34</v>
      </c>
      <c r="CJ89" s="421">
        <v>6371195.4025999997</v>
      </c>
      <c r="CK89" s="421">
        <v>15</v>
      </c>
      <c r="CL89" s="421">
        <v>6371195</v>
      </c>
      <c r="CM89" s="421">
        <v>956000</v>
      </c>
      <c r="CN89" s="421">
        <v>956000</v>
      </c>
      <c r="CO89" s="421">
        <v>0</v>
      </c>
      <c r="CP89" s="421">
        <v>0</v>
      </c>
      <c r="CQ89" s="421">
        <v>16</v>
      </c>
      <c r="CR89" s="421">
        <v>7327195</v>
      </c>
      <c r="CS89" s="421">
        <v>1172000</v>
      </c>
      <c r="CT89" s="421">
        <v>1172000</v>
      </c>
      <c r="CU89" s="421">
        <v>0</v>
      </c>
      <c r="CV89" s="421">
        <v>0</v>
      </c>
      <c r="CW89" s="421">
        <v>0</v>
      </c>
      <c r="CX89" s="421">
        <v>0</v>
      </c>
      <c r="CY89" s="421">
        <v>0</v>
      </c>
      <c r="CZ89" s="421">
        <v>0</v>
      </c>
      <c r="DA89" s="421">
        <v>0</v>
      </c>
      <c r="DB89" s="421">
        <v>0</v>
      </c>
      <c r="DC89" s="421">
        <v>0</v>
      </c>
      <c r="DD89" s="421">
        <v>0</v>
      </c>
      <c r="DE89" s="421">
        <v>0</v>
      </c>
      <c r="DF89" s="421">
        <v>0</v>
      </c>
      <c r="DG89" s="421">
        <v>0</v>
      </c>
      <c r="DH89" s="421">
        <v>0</v>
      </c>
      <c r="DI89" s="421">
        <v>0</v>
      </c>
      <c r="DJ89" s="421">
        <v>0</v>
      </c>
      <c r="DK89" s="421">
        <v>0</v>
      </c>
      <c r="DL89" s="421">
        <v>0</v>
      </c>
      <c r="DM89" s="421">
        <v>0</v>
      </c>
      <c r="DN89" s="421">
        <v>0</v>
      </c>
      <c r="DO89" s="421">
        <v>0</v>
      </c>
      <c r="DP89" s="421">
        <v>0</v>
      </c>
      <c r="DQ89" s="421">
        <v>0</v>
      </c>
      <c r="DR89" s="421">
        <v>0</v>
      </c>
      <c r="DS89" s="421">
        <v>0</v>
      </c>
      <c r="DT89" s="421">
        <v>0</v>
      </c>
      <c r="DU89" s="421">
        <v>0</v>
      </c>
      <c r="DV89" s="421">
        <v>0</v>
      </c>
      <c r="DW89" s="421">
        <v>0</v>
      </c>
      <c r="DX89" s="421">
        <v>0</v>
      </c>
      <c r="DY89" s="421">
        <v>2128000</v>
      </c>
      <c r="DZ89" s="421">
        <v>2128000</v>
      </c>
      <c r="EA89" s="421">
        <v>0</v>
      </c>
      <c r="EB89" s="421">
        <v>0</v>
      </c>
      <c r="EC89" s="421" t="s">
        <v>1148</v>
      </c>
      <c r="ED89" s="421" t="s">
        <v>1167</v>
      </c>
      <c r="EE89" s="421" t="s">
        <v>1167</v>
      </c>
    </row>
    <row r="90" spans="1:135" x14ac:dyDescent="0.25">
      <c r="A90" s="421">
        <v>87</v>
      </c>
      <c r="B90" s="421">
        <v>2015</v>
      </c>
      <c r="C90" s="421">
        <v>5</v>
      </c>
      <c r="D90" s="421">
        <v>26</v>
      </c>
      <c r="E90" s="424">
        <v>42150</v>
      </c>
      <c r="F90" s="421" t="s">
        <v>1899</v>
      </c>
      <c r="G90" s="421" t="s">
        <v>1900</v>
      </c>
      <c r="H90" s="421" t="s">
        <v>1106</v>
      </c>
      <c r="I90" s="421" t="s">
        <v>1901</v>
      </c>
      <c r="J90" s="421" t="s">
        <v>1108</v>
      </c>
      <c r="K90" s="421" t="s">
        <v>1109</v>
      </c>
      <c r="L90" s="421" t="s">
        <v>1110</v>
      </c>
      <c r="M90" s="421" t="s">
        <v>1783</v>
      </c>
      <c r="N90" s="421" t="s">
        <v>1902</v>
      </c>
      <c r="O90" s="421" t="s">
        <v>1108</v>
      </c>
      <c r="R90" s="421" t="s">
        <v>1111</v>
      </c>
      <c r="S90" s="421" t="s">
        <v>1903</v>
      </c>
      <c r="T90" s="421" t="s">
        <v>1904</v>
      </c>
      <c r="U90" s="421" t="s">
        <v>1905</v>
      </c>
      <c r="V90" s="421" t="s">
        <v>1906</v>
      </c>
      <c r="W90" s="421" t="s">
        <v>1907</v>
      </c>
      <c r="X90" s="421" t="s">
        <v>1117</v>
      </c>
      <c r="Y90" s="421" t="s">
        <v>1908</v>
      </c>
      <c r="Z90" s="421" t="s">
        <v>1119</v>
      </c>
      <c r="AA90" s="421" t="s">
        <v>1772</v>
      </c>
      <c r="AB90" s="421" t="s">
        <v>1121</v>
      </c>
      <c r="AC90" s="421" t="s">
        <v>1909</v>
      </c>
      <c r="AD90" s="421" t="s">
        <v>1479</v>
      </c>
      <c r="AE90" s="421" t="s">
        <v>1392</v>
      </c>
      <c r="AF90" s="421" t="s">
        <v>1393</v>
      </c>
      <c r="AG90" s="421" t="s">
        <v>1910</v>
      </c>
      <c r="AH90" s="421">
        <v>600</v>
      </c>
      <c r="AI90" s="421" t="s">
        <v>1189</v>
      </c>
      <c r="AJ90" s="421">
        <v>484</v>
      </c>
      <c r="AK90" s="421">
        <v>0</v>
      </c>
      <c r="AL90" s="421" t="s">
        <v>1173</v>
      </c>
      <c r="AM90" s="421">
        <v>700</v>
      </c>
      <c r="AN90" s="421">
        <v>770</v>
      </c>
      <c r="AO90" s="421" t="s">
        <v>1120</v>
      </c>
      <c r="AP90" s="421" t="s">
        <v>1129</v>
      </c>
      <c r="AR90" s="421" t="s">
        <v>1130</v>
      </c>
      <c r="AT90" s="421" t="s">
        <v>1131</v>
      </c>
      <c r="AU90" s="421" t="s">
        <v>1911</v>
      </c>
      <c r="AV90" s="421" t="s">
        <v>1912</v>
      </c>
      <c r="AW90" s="421" t="s">
        <v>960</v>
      </c>
      <c r="AX90" s="421" t="s">
        <v>960</v>
      </c>
      <c r="AY90" s="421" t="s">
        <v>960</v>
      </c>
      <c r="AZ90" s="421" t="s">
        <v>1121</v>
      </c>
      <c r="BA90" s="421" t="s">
        <v>1913</v>
      </c>
      <c r="BB90" s="421" t="s">
        <v>960</v>
      </c>
      <c r="BC90" s="421" t="s">
        <v>1377</v>
      </c>
      <c r="BD90" s="421" t="s">
        <v>1914</v>
      </c>
      <c r="BE90" s="421" t="s">
        <v>1379</v>
      </c>
      <c r="BF90" s="421" t="s">
        <v>1915</v>
      </c>
      <c r="BG90" s="421" t="s">
        <v>1775</v>
      </c>
      <c r="BH90" s="421" t="s">
        <v>1776</v>
      </c>
      <c r="BI90" s="421" t="s">
        <v>1142</v>
      </c>
      <c r="BJ90" s="421" t="s">
        <v>1243</v>
      </c>
      <c r="BK90" s="421" t="s">
        <v>1916</v>
      </c>
      <c r="BL90" s="421" t="s">
        <v>1889</v>
      </c>
      <c r="BM90" s="421" t="s">
        <v>1917</v>
      </c>
      <c r="BN90" s="421" t="s">
        <v>1671</v>
      </c>
      <c r="BO90" s="421">
        <v>0</v>
      </c>
      <c r="BR90" s="421">
        <v>0</v>
      </c>
      <c r="BS90" s="421">
        <v>0</v>
      </c>
      <c r="BT90" s="421">
        <v>0</v>
      </c>
      <c r="BU90" s="424">
        <v>42091</v>
      </c>
      <c r="BX90" s="421">
        <v>2388.06</v>
      </c>
      <c r="BY90" s="421" t="s">
        <v>1183</v>
      </c>
      <c r="BZ90" s="421">
        <v>6990</v>
      </c>
      <c r="CA90" s="421">
        <v>16692539.4</v>
      </c>
      <c r="CB90" s="421">
        <v>2.8</v>
      </c>
      <c r="CC90" s="421">
        <v>0</v>
      </c>
      <c r="CD90" s="421">
        <v>662.03</v>
      </c>
      <c r="CE90" s="421">
        <v>664.83</v>
      </c>
      <c r="CF90" s="421">
        <v>0</v>
      </c>
      <c r="CG90" s="421">
        <v>7654.83</v>
      </c>
      <c r="CH90" s="421">
        <v>0</v>
      </c>
      <c r="CI90" s="421">
        <v>7654.83</v>
      </c>
      <c r="CJ90" s="421">
        <v>18280193.329799999</v>
      </c>
      <c r="CK90" s="421">
        <v>0</v>
      </c>
      <c r="CL90" s="421">
        <v>18280193</v>
      </c>
      <c r="CM90" s="421">
        <v>0</v>
      </c>
      <c r="CN90" s="421">
        <v>0</v>
      </c>
      <c r="CO90" s="421">
        <v>0</v>
      </c>
      <c r="CP90" s="421">
        <v>0</v>
      </c>
      <c r="CQ90" s="421">
        <v>16</v>
      </c>
      <c r="CR90" s="421">
        <v>18280193</v>
      </c>
      <c r="CS90" s="421">
        <v>2925000</v>
      </c>
      <c r="CT90" s="421">
        <v>2925000</v>
      </c>
      <c r="CU90" s="421">
        <v>0</v>
      </c>
      <c r="CV90" s="421">
        <v>0</v>
      </c>
      <c r="CW90" s="421">
        <v>0</v>
      </c>
      <c r="CX90" s="421">
        <v>0</v>
      </c>
      <c r="CY90" s="421">
        <v>0</v>
      </c>
      <c r="CZ90" s="421">
        <v>0</v>
      </c>
      <c r="DA90" s="421">
        <v>0</v>
      </c>
      <c r="DB90" s="421">
        <v>0</v>
      </c>
      <c r="DC90" s="421">
        <v>0</v>
      </c>
      <c r="DD90" s="421">
        <v>0</v>
      </c>
      <c r="DE90" s="421">
        <v>0</v>
      </c>
      <c r="DF90" s="421">
        <v>0</v>
      </c>
      <c r="DG90" s="421">
        <v>0</v>
      </c>
      <c r="DH90" s="421">
        <v>0</v>
      </c>
      <c r="DI90" s="421">
        <v>0</v>
      </c>
      <c r="DJ90" s="421">
        <v>0</v>
      </c>
      <c r="DK90" s="421">
        <v>0</v>
      </c>
      <c r="DL90" s="421">
        <v>0</v>
      </c>
      <c r="DM90" s="421">
        <v>0</v>
      </c>
      <c r="DN90" s="421">
        <v>0</v>
      </c>
      <c r="DO90" s="421">
        <v>0</v>
      </c>
      <c r="DP90" s="421">
        <v>0</v>
      </c>
      <c r="DQ90" s="421">
        <v>0</v>
      </c>
      <c r="DR90" s="421">
        <v>0</v>
      </c>
      <c r="DS90" s="421">
        <v>0</v>
      </c>
      <c r="DT90" s="421">
        <v>0</v>
      </c>
      <c r="DU90" s="421">
        <v>0</v>
      </c>
      <c r="DV90" s="421">
        <v>0</v>
      </c>
      <c r="DW90" s="421">
        <v>0</v>
      </c>
      <c r="DX90" s="421">
        <v>0</v>
      </c>
      <c r="DY90" s="421">
        <v>2925000</v>
      </c>
      <c r="DZ90" s="421">
        <v>0</v>
      </c>
      <c r="EA90" s="421">
        <v>0</v>
      </c>
      <c r="EB90" s="421">
        <v>0</v>
      </c>
      <c r="EC90" s="421" t="s">
        <v>1148</v>
      </c>
      <c r="ED90" s="421" t="s">
        <v>1167</v>
      </c>
      <c r="EE90" s="421" t="s">
        <v>1167</v>
      </c>
    </row>
    <row r="91" spans="1:135" x14ac:dyDescent="0.25">
      <c r="A91" s="421">
        <v>88</v>
      </c>
      <c r="B91" s="421">
        <v>2015</v>
      </c>
      <c r="C91" s="421">
        <v>5</v>
      </c>
      <c r="D91" s="421">
        <v>27</v>
      </c>
      <c r="E91" s="424">
        <v>42151</v>
      </c>
      <c r="F91" s="421" t="s">
        <v>1918</v>
      </c>
      <c r="G91" s="421" t="s">
        <v>1919</v>
      </c>
      <c r="H91" s="421" t="s">
        <v>1362</v>
      </c>
      <c r="I91" s="421" t="s">
        <v>1107</v>
      </c>
      <c r="J91" s="421" t="s">
        <v>1920</v>
      </c>
      <c r="K91" s="421" t="s">
        <v>1109</v>
      </c>
      <c r="L91" s="421" t="s">
        <v>1110</v>
      </c>
      <c r="O91" s="421" t="s">
        <v>1111</v>
      </c>
      <c r="R91" s="421" t="s">
        <v>1111</v>
      </c>
      <c r="S91" s="421" t="s">
        <v>1921</v>
      </c>
      <c r="T91" s="421" t="s">
        <v>1922</v>
      </c>
      <c r="U91" s="421" t="s">
        <v>1923</v>
      </c>
      <c r="V91" s="421" t="s">
        <v>1115</v>
      </c>
      <c r="W91" s="421" t="s">
        <v>1116</v>
      </c>
      <c r="X91" s="421" t="s">
        <v>1117</v>
      </c>
      <c r="Y91" s="421" t="s">
        <v>1118</v>
      </c>
      <c r="Z91" s="421" t="s">
        <v>1119</v>
      </c>
      <c r="AA91" s="421" t="s">
        <v>1772</v>
      </c>
      <c r="AB91" s="421" t="s">
        <v>1121</v>
      </c>
      <c r="AC91" s="421" t="s">
        <v>1122</v>
      </c>
      <c r="AD91" s="421" t="s">
        <v>1924</v>
      </c>
      <c r="AE91" s="421" t="s">
        <v>1925</v>
      </c>
      <c r="AF91" s="421" t="s">
        <v>1926</v>
      </c>
      <c r="AG91" s="421" t="s">
        <v>1927</v>
      </c>
      <c r="AH91" s="421">
        <v>1</v>
      </c>
      <c r="AI91" s="421" t="s">
        <v>1189</v>
      </c>
      <c r="AJ91" s="421">
        <v>1</v>
      </c>
      <c r="AK91" s="421">
        <v>1</v>
      </c>
      <c r="AL91" s="421" t="s">
        <v>1928</v>
      </c>
      <c r="AM91" s="421">
        <v>50.4</v>
      </c>
      <c r="AN91" s="421">
        <v>56</v>
      </c>
      <c r="AO91" s="421" t="s">
        <v>1120</v>
      </c>
      <c r="AP91" s="421" t="s">
        <v>1129</v>
      </c>
      <c r="AR91" s="421" t="s">
        <v>1130</v>
      </c>
      <c r="AT91" s="421" t="s">
        <v>1929</v>
      </c>
      <c r="AU91" s="421" t="s">
        <v>1930</v>
      </c>
      <c r="AV91" s="421" t="s">
        <v>1931</v>
      </c>
      <c r="AW91" s="421" t="s">
        <v>962</v>
      </c>
      <c r="AX91" s="421" t="s">
        <v>962</v>
      </c>
      <c r="AY91" s="421" t="s">
        <v>962</v>
      </c>
      <c r="AZ91" s="421" t="s">
        <v>1121</v>
      </c>
      <c r="BA91" s="421" t="s">
        <v>1932</v>
      </c>
      <c r="BB91" s="421" t="s">
        <v>1933</v>
      </c>
      <c r="BC91" s="421" t="s">
        <v>1934</v>
      </c>
      <c r="BD91" s="421" t="s">
        <v>1935</v>
      </c>
      <c r="BE91" s="421" t="s">
        <v>1936</v>
      </c>
      <c r="BF91" s="421" t="s">
        <v>1937</v>
      </c>
      <c r="BG91" s="421" t="s">
        <v>1938</v>
      </c>
      <c r="BH91" s="421" t="s">
        <v>1939</v>
      </c>
      <c r="BI91" s="421" t="s">
        <v>1341</v>
      </c>
      <c r="BJ91" s="421" t="s">
        <v>1940</v>
      </c>
      <c r="BK91" s="421" t="s">
        <v>1919</v>
      </c>
      <c r="BL91" s="421" t="s">
        <v>1941</v>
      </c>
      <c r="BM91" s="421" t="s">
        <v>1942</v>
      </c>
      <c r="BN91" s="421" t="s">
        <v>1861</v>
      </c>
      <c r="BO91" s="421">
        <v>0</v>
      </c>
      <c r="BR91" s="421">
        <v>0</v>
      </c>
      <c r="BS91" s="421">
        <v>0</v>
      </c>
      <c r="BT91" s="421">
        <v>0</v>
      </c>
      <c r="BU91" s="424">
        <v>42146</v>
      </c>
      <c r="BX91" s="421">
        <v>2489.39</v>
      </c>
      <c r="BY91" s="421" t="s">
        <v>1166</v>
      </c>
      <c r="BZ91" s="421">
        <v>7319.66</v>
      </c>
      <c r="CA91" s="421">
        <v>18221488.407400001</v>
      </c>
      <c r="CB91" s="421">
        <v>73.2</v>
      </c>
      <c r="CC91" s="421">
        <v>0</v>
      </c>
      <c r="CD91" s="421">
        <v>361.57</v>
      </c>
      <c r="CE91" s="421">
        <v>434.77</v>
      </c>
      <c r="CF91" s="421">
        <v>0</v>
      </c>
      <c r="CG91" s="421">
        <v>7754.43</v>
      </c>
      <c r="CH91" s="421">
        <v>3089000</v>
      </c>
      <c r="CI91" s="421">
        <v>7754.43</v>
      </c>
      <c r="CJ91" s="421">
        <v>19303800.497699998</v>
      </c>
      <c r="CK91" s="421">
        <v>0</v>
      </c>
      <c r="CL91" s="421">
        <v>19303800</v>
      </c>
      <c r="CM91" s="421">
        <v>0</v>
      </c>
      <c r="CN91" s="421">
        <v>0</v>
      </c>
      <c r="CO91" s="421">
        <v>0</v>
      </c>
      <c r="CP91" s="421">
        <v>0</v>
      </c>
      <c r="CQ91" s="421">
        <v>16</v>
      </c>
      <c r="CR91" s="421">
        <v>19303800</v>
      </c>
      <c r="CS91" s="421">
        <v>3089000</v>
      </c>
      <c r="CT91" s="421">
        <v>3089000</v>
      </c>
      <c r="CU91" s="421">
        <v>3089000</v>
      </c>
      <c r="CV91" s="421">
        <v>0</v>
      </c>
      <c r="CW91" s="421">
        <v>0</v>
      </c>
      <c r="CX91" s="421">
        <v>0</v>
      </c>
      <c r="CY91" s="421">
        <v>0</v>
      </c>
      <c r="CZ91" s="421">
        <v>0</v>
      </c>
      <c r="DA91" s="421">
        <v>0</v>
      </c>
      <c r="DB91" s="421">
        <v>0</v>
      </c>
      <c r="DC91" s="421">
        <v>0</v>
      </c>
      <c r="DD91" s="421">
        <v>0</v>
      </c>
      <c r="DE91" s="421">
        <v>0</v>
      </c>
      <c r="DF91" s="421">
        <v>0</v>
      </c>
      <c r="DG91" s="421">
        <v>0</v>
      </c>
      <c r="DH91" s="421">
        <v>0</v>
      </c>
      <c r="DI91" s="421">
        <v>0</v>
      </c>
      <c r="DJ91" s="421">
        <v>0</v>
      </c>
      <c r="DK91" s="421">
        <v>0</v>
      </c>
      <c r="DL91" s="421">
        <v>0</v>
      </c>
      <c r="DM91" s="421">
        <v>0</v>
      </c>
      <c r="DN91" s="421">
        <v>0</v>
      </c>
      <c r="DO91" s="421">
        <v>0</v>
      </c>
      <c r="DP91" s="421">
        <v>0</v>
      </c>
      <c r="DQ91" s="421">
        <v>0</v>
      </c>
      <c r="DR91" s="421">
        <v>0</v>
      </c>
      <c r="DS91" s="421">
        <v>0</v>
      </c>
      <c r="DT91" s="421">
        <v>0</v>
      </c>
      <c r="DU91" s="421">
        <v>0</v>
      </c>
      <c r="DV91" s="421">
        <v>0</v>
      </c>
      <c r="DW91" s="421">
        <v>0</v>
      </c>
      <c r="DX91" s="421">
        <v>0</v>
      </c>
      <c r="DY91" s="421">
        <v>3089000</v>
      </c>
      <c r="DZ91" s="421">
        <v>3089000</v>
      </c>
      <c r="EA91" s="421">
        <v>0</v>
      </c>
      <c r="EB91" s="421">
        <v>3089000</v>
      </c>
      <c r="EC91" s="421" t="s">
        <v>1148</v>
      </c>
      <c r="ED91" s="421" t="s">
        <v>1149</v>
      </c>
      <c r="EE91" s="421" t="s">
        <v>1149</v>
      </c>
    </row>
    <row r="92" spans="1:135" x14ac:dyDescent="0.25">
      <c r="A92" s="421">
        <v>89</v>
      </c>
      <c r="B92" s="421">
        <v>2015</v>
      </c>
      <c r="C92" s="421">
        <v>5</v>
      </c>
      <c r="D92" s="421">
        <v>28</v>
      </c>
      <c r="E92" s="424">
        <v>42152</v>
      </c>
      <c r="F92" s="421" t="s">
        <v>1943</v>
      </c>
      <c r="G92" s="421" t="s">
        <v>1944</v>
      </c>
      <c r="H92" s="421" t="s">
        <v>1106</v>
      </c>
      <c r="I92" s="421" t="s">
        <v>1107</v>
      </c>
      <c r="J92" s="421" t="s">
        <v>1108</v>
      </c>
      <c r="K92" s="421" t="s">
        <v>1109</v>
      </c>
      <c r="L92" s="421" t="s">
        <v>1110</v>
      </c>
      <c r="O92" s="421" t="s">
        <v>1111</v>
      </c>
      <c r="R92" s="421" t="s">
        <v>1111</v>
      </c>
      <c r="S92" s="421" t="s">
        <v>1112</v>
      </c>
      <c r="T92" s="421" t="s">
        <v>1113</v>
      </c>
      <c r="U92" s="421" t="s">
        <v>1114</v>
      </c>
      <c r="V92" s="421" t="s">
        <v>1115</v>
      </c>
      <c r="W92" s="421" t="s">
        <v>1116</v>
      </c>
      <c r="X92" s="421" t="s">
        <v>1117</v>
      </c>
      <c r="Y92" s="421" t="s">
        <v>1118</v>
      </c>
      <c r="Z92" s="421" t="s">
        <v>1119</v>
      </c>
      <c r="AA92" s="421" t="s">
        <v>1772</v>
      </c>
      <c r="AB92" s="421" t="s">
        <v>1121</v>
      </c>
      <c r="AC92" s="421" t="s">
        <v>1122</v>
      </c>
      <c r="AD92" s="421" t="s">
        <v>1479</v>
      </c>
      <c r="AE92" s="421" t="s">
        <v>1945</v>
      </c>
      <c r="AF92" s="421" t="s">
        <v>1946</v>
      </c>
      <c r="AG92" s="421" t="s">
        <v>1947</v>
      </c>
      <c r="AH92" s="421">
        <v>3120.5</v>
      </c>
      <c r="AI92" s="421" t="s">
        <v>1127</v>
      </c>
      <c r="AJ92" s="421">
        <v>15</v>
      </c>
      <c r="AK92" s="421">
        <v>1</v>
      </c>
      <c r="AL92" s="421" t="s">
        <v>1267</v>
      </c>
      <c r="AM92" s="421">
        <v>3120.5</v>
      </c>
      <c r="AN92" s="421">
        <v>3363</v>
      </c>
      <c r="AO92" s="421" t="s">
        <v>1120</v>
      </c>
      <c r="AP92" s="421" t="s">
        <v>1129</v>
      </c>
      <c r="AR92" s="421" t="s">
        <v>1130</v>
      </c>
      <c r="AT92" s="421" t="s">
        <v>1131</v>
      </c>
      <c r="AU92" s="421" t="s">
        <v>1319</v>
      </c>
      <c r="AV92" s="421" t="s">
        <v>1320</v>
      </c>
      <c r="AW92" s="421" t="s">
        <v>962</v>
      </c>
      <c r="AX92" s="421" t="s">
        <v>962</v>
      </c>
      <c r="AY92" s="421" t="s">
        <v>962</v>
      </c>
      <c r="AZ92" s="421" t="s">
        <v>1121</v>
      </c>
      <c r="BA92" s="421" t="s">
        <v>1948</v>
      </c>
      <c r="BB92" s="421" t="s">
        <v>962</v>
      </c>
      <c r="BC92" s="421" t="s">
        <v>1949</v>
      </c>
      <c r="BD92" s="421" t="s">
        <v>1950</v>
      </c>
      <c r="BE92" s="421" t="s">
        <v>1951</v>
      </c>
      <c r="BF92" s="421" t="s">
        <v>1952</v>
      </c>
      <c r="BG92" s="421" t="s">
        <v>1953</v>
      </c>
      <c r="BH92" s="421" t="s">
        <v>1954</v>
      </c>
      <c r="BI92" s="421" t="s">
        <v>1142</v>
      </c>
      <c r="BJ92" s="421" t="s">
        <v>1163</v>
      </c>
      <c r="BK92" s="421" t="s">
        <v>1944</v>
      </c>
      <c r="BL92" s="421" t="s">
        <v>1955</v>
      </c>
      <c r="BM92" s="421" t="s">
        <v>1956</v>
      </c>
      <c r="BN92" s="421" t="s">
        <v>1957</v>
      </c>
      <c r="BO92" s="421">
        <v>0</v>
      </c>
      <c r="BR92" s="421">
        <v>0</v>
      </c>
      <c r="BS92" s="421">
        <v>0</v>
      </c>
      <c r="BT92" s="421">
        <v>0</v>
      </c>
      <c r="BU92" s="424">
        <v>42134</v>
      </c>
      <c r="BX92" s="421">
        <v>2489.39</v>
      </c>
      <c r="BY92" s="421" t="s">
        <v>1147</v>
      </c>
      <c r="BZ92" s="421">
        <v>38624.75</v>
      </c>
      <c r="CA92" s="421">
        <v>96152066.402500004</v>
      </c>
      <c r="CB92" s="421">
        <v>15.7</v>
      </c>
      <c r="CC92" s="421">
        <v>0</v>
      </c>
      <c r="CD92" s="421">
        <v>898.4</v>
      </c>
      <c r="CE92" s="421">
        <v>914.1</v>
      </c>
      <c r="CF92" s="421">
        <v>0</v>
      </c>
      <c r="CG92" s="421">
        <v>39538.85</v>
      </c>
      <c r="CH92" s="421">
        <v>0</v>
      </c>
      <c r="CI92" s="421">
        <v>39538.85</v>
      </c>
      <c r="CJ92" s="421">
        <v>98427617.801499993</v>
      </c>
      <c r="CK92" s="421">
        <v>5</v>
      </c>
      <c r="CL92" s="421">
        <v>98427618</v>
      </c>
      <c r="CM92" s="421">
        <v>4921000</v>
      </c>
      <c r="CN92" s="421">
        <v>4921000</v>
      </c>
      <c r="CO92" s="421">
        <v>0</v>
      </c>
      <c r="CP92" s="421">
        <v>0</v>
      </c>
      <c r="CQ92" s="421">
        <v>16</v>
      </c>
      <c r="CR92" s="421">
        <v>103348618</v>
      </c>
      <c r="CS92" s="421">
        <v>16536000</v>
      </c>
      <c r="CT92" s="421">
        <v>16536000</v>
      </c>
      <c r="CU92" s="421">
        <v>0</v>
      </c>
      <c r="CV92" s="421">
        <v>0</v>
      </c>
      <c r="CW92" s="421">
        <v>0</v>
      </c>
      <c r="CX92" s="421">
        <v>0</v>
      </c>
      <c r="CY92" s="421">
        <v>0</v>
      </c>
      <c r="CZ92" s="421">
        <v>0</v>
      </c>
      <c r="DA92" s="421">
        <v>0</v>
      </c>
      <c r="DB92" s="421">
        <v>0</v>
      </c>
      <c r="DC92" s="421">
        <v>0</v>
      </c>
      <c r="DD92" s="421">
        <v>0</v>
      </c>
      <c r="DE92" s="421">
        <v>0</v>
      </c>
      <c r="DF92" s="421">
        <v>0</v>
      </c>
      <c r="DG92" s="421">
        <v>0</v>
      </c>
      <c r="DH92" s="421">
        <v>0</v>
      </c>
      <c r="DI92" s="421">
        <v>0</v>
      </c>
      <c r="DJ92" s="421">
        <v>0</v>
      </c>
      <c r="DK92" s="421">
        <v>0</v>
      </c>
      <c r="DL92" s="421">
        <v>0</v>
      </c>
      <c r="DM92" s="421">
        <v>0</v>
      </c>
      <c r="DN92" s="421">
        <v>0</v>
      </c>
      <c r="DO92" s="421">
        <v>0</v>
      </c>
      <c r="DP92" s="421">
        <v>0</v>
      </c>
      <c r="DQ92" s="421">
        <v>0</v>
      </c>
      <c r="DR92" s="421">
        <v>0</v>
      </c>
      <c r="DS92" s="421">
        <v>0</v>
      </c>
      <c r="DT92" s="421">
        <v>0</v>
      </c>
      <c r="DU92" s="421">
        <v>0</v>
      </c>
      <c r="DV92" s="421">
        <v>0</v>
      </c>
      <c r="DW92" s="421">
        <v>0</v>
      </c>
      <c r="DX92" s="421">
        <v>0</v>
      </c>
      <c r="DY92" s="421">
        <v>21457000</v>
      </c>
      <c r="DZ92" s="421">
        <v>21457000</v>
      </c>
      <c r="EA92" s="421">
        <v>0</v>
      </c>
      <c r="EB92" s="421">
        <v>0</v>
      </c>
      <c r="EC92" s="421" t="s">
        <v>1148</v>
      </c>
      <c r="ED92" s="421" t="s">
        <v>1149</v>
      </c>
      <c r="EE92" s="421" t="s">
        <v>1149</v>
      </c>
    </row>
    <row r="93" spans="1:135" x14ac:dyDescent="0.25">
      <c r="A93" s="421">
        <v>90</v>
      </c>
      <c r="B93" s="421">
        <v>2015</v>
      </c>
      <c r="C93" s="421">
        <v>5</v>
      </c>
      <c r="D93" s="421">
        <v>30</v>
      </c>
      <c r="E93" s="424">
        <v>42154</v>
      </c>
      <c r="F93" s="421" t="s">
        <v>1958</v>
      </c>
      <c r="G93" s="421" t="s">
        <v>1959</v>
      </c>
      <c r="H93" s="421" t="s">
        <v>1152</v>
      </c>
      <c r="I93" s="421" t="s">
        <v>1107</v>
      </c>
      <c r="J93" s="421" t="s">
        <v>1108</v>
      </c>
      <c r="K93" s="421" t="s">
        <v>1202</v>
      </c>
      <c r="L93" s="421" t="s">
        <v>1110</v>
      </c>
      <c r="O93" s="421" t="s">
        <v>1111</v>
      </c>
      <c r="R93" s="421" t="s">
        <v>1111</v>
      </c>
      <c r="S93" s="421" t="s">
        <v>1112</v>
      </c>
      <c r="T93" s="421" t="s">
        <v>1113</v>
      </c>
      <c r="U93" s="421" t="s">
        <v>1114</v>
      </c>
      <c r="V93" s="421" t="s">
        <v>1115</v>
      </c>
      <c r="W93" s="421" t="s">
        <v>1116</v>
      </c>
      <c r="X93" s="421" t="s">
        <v>1117</v>
      </c>
      <c r="Y93" s="421" t="s">
        <v>1118</v>
      </c>
      <c r="Z93" s="421" t="s">
        <v>1119</v>
      </c>
      <c r="AA93" s="421" t="s">
        <v>1772</v>
      </c>
      <c r="AB93" s="421" t="s">
        <v>1121</v>
      </c>
      <c r="AC93" s="421" t="s">
        <v>1122</v>
      </c>
      <c r="AD93" s="421" t="s">
        <v>1479</v>
      </c>
      <c r="AE93" s="421" t="s">
        <v>1203</v>
      </c>
      <c r="AF93" s="421" t="s">
        <v>1204</v>
      </c>
      <c r="AG93" s="421" t="s">
        <v>1960</v>
      </c>
      <c r="AH93" s="421">
        <v>43000</v>
      </c>
      <c r="AI93" s="421" t="s">
        <v>1127</v>
      </c>
      <c r="AJ93" s="421">
        <v>2</v>
      </c>
      <c r="AK93" s="421">
        <v>1</v>
      </c>
      <c r="AL93" s="421" t="s">
        <v>1283</v>
      </c>
      <c r="AM93" s="421">
        <v>43000</v>
      </c>
      <c r="AN93" s="421">
        <v>43485</v>
      </c>
      <c r="AO93" s="421" t="s">
        <v>1120</v>
      </c>
      <c r="AP93" s="421" t="s">
        <v>1129</v>
      </c>
      <c r="AR93" s="421" t="s">
        <v>1130</v>
      </c>
      <c r="AT93" s="421" t="s">
        <v>1131</v>
      </c>
      <c r="AU93" s="421" t="s">
        <v>1132</v>
      </c>
      <c r="AV93" s="421" t="s">
        <v>1133</v>
      </c>
      <c r="AW93" s="421" t="s">
        <v>1207</v>
      </c>
      <c r="AX93" s="421" t="s">
        <v>1207</v>
      </c>
      <c r="AY93" s="421" t="s">
        <v>1208</v>
      </c>
      <c r="AZ93" s="421" t="s">
        <v>1121</v>
      </c>
      <c r="BA93" s="421" t="s">
        <v>1209</v>
      </c>
      <c r="BB93" s="421" t="s">
        <v>1208</v>
      </c>
      <c r="BC93" s="421" t="s">
        <v>1210</v>
      </c>
      <c r="BD93" s="421" t="s">
        <v>1211</v>
      </c>
      <c r="BE93" s="421" t="s">
        <v>1212</v>
      </c>
      <c r="BF93" s="421" t="s">
        <v>1961</v>
      </c>
      <c r="BG93" s="421" t="s">
        <v>1941</v>
      </c>
      <c r="BH93" s="421" t="s">
        <v>1962</v>
      </c>
      <c r="BI93" s="421" t="s">
        <v>1142</v>
      </c>
      <c r="BJ93" s="421" t="s">
        <v>1180</v>
      </c>
      <c r="BK93" s="421" t="s">
        <v>1959</v>
      </c>
      <c r="BL93" s="421" t="s">
        <v>1963</v>
      </c>
      <c r="BM93" s="421" t="s">
        <v>1964</v>
      </c>
      <c r="BN93" s="421" t="s">
        <v>1965</v>
      </c>
      <c r="BO93" s="421">
        <v>0</v>
      </c>
      <c r="BR93" s="421">
        <v>0</v>
      </c>
      <c r="BS93" s="421">
        <v>0</v>
      </c>
      <c r="BT93" s="421">
        <v>0</v>
      </c>
      <c r="BU93" s="424">
        <v>42135</v>
      </c>
      <c r="BX93" s="421">
        <v>2489.39</v>
      </c>
      <c r="BY93" s="421" t="s">
        <v>1147</v>
      </c>
      <c r="BZ93" s="421">
        <v>77400</v>
      </c>
      <c r="CA93" s="421">
        <v>192678786</v>
      </c>
      <c r="CB93" s="421">
        <v>30.96</v>
      </c>
      <c r="CC93" s="421">
        <v>0</v>
      </c>
      <c r="CD93" s="421">
        <v>3400</v>
      </c>
      <c r="CE93" s="421">
        <v>3430.96</v>
      </c>
      <c r="CF93" s="421">
        <v>0</v>
      </c>
      <c r="CG93" s="421">
        <v>80830.960000000006</v>
      </c>
      <c r="CH93" s="421">
        <v>0</v>
      </c>
      <c r="CI93" s="421">
        <v>80830.960000000006</v>
      </c>
      <c r="CJ93" s="421">
        <v>201219783.51440001</v>
      </c>
      <c r="CK93" s="421">
        <v>0</v>
      </c>
      <c r="CL93" s="421">
        <v>201219784</v>
      </c>
      <c r="CM93" s="421">
        <v>0</v>
      </c>
      <c r="CN93" s="421">
        <v>0</v>
      </c>
      <c r="CO93" s="421">
        <v>0</v>
      </c>
      <c r="CP93" s="421">
        <v>0</v>
      </c>
      <c r="CQ93" s="421">
        <v>0</v>
      </c>
      <c r="CR93" s="421">
        <v>201219784</v>
      </c>
      <c r="CS93" s="421">
        <v>0</v>
      </c>
      <c r="CT93" s="421">
        <v>0</v>
      </c>
      <c r="CU93" s="421">
        <v>0</v>
      </c>
      <c r="CV93" s="421">
        <v>0</v>
      </c>
      <c r="CW93" s="421">
        <v>0</v>
      </c>
      <c r="CX93" s="421">
        <v>0</v>
      </c>
      <c r="CY93" s="421">
        <v>0</v>
      </c>
      <c r="CZ93" s="421">
        <v>0</v>
      </c>
      <c r="DA93" s="421">
        <v>0</v>
      </c>
      <c r="DB93" s="421">
        <v>0</v>
      </c>
      <c r="DC93" s="421">
        <v>0</v>
      </c>
      <c r="DD93" s="421">
        <v>0</v>
      </c>
      <c r="DE93" s="421">
        <v>0</v>
      </c>
      <c r="DF93" s="421">
        <v>0</v>
      </c>
      <c r="DG93" s="421">
        <v>0</v>
      </c>
      <c r="DH93" s="421">
        <v>0</v>
      </c>
      <c r="DI93" s="421">
        <v>0</v>
      </c>
      <c r="DJ93" s="421">
        <v>0</v>
      </c>
      <c r="DK93" s="421">
        <v>0</v>
      </c>
      <c r="DL93" s="421">
        <v>0</v>
      </c>
      <c r="DM93" s="421">
        <v>0</v>
      </c>
      <c r="DN93" s="421">
        <v>0</v>
      </c>
      <c r="DO93" s="421">
        <v>0</v>
      </c>
      <c r="DP93" s="421">
        <v>0</v>
      </c>
      <c r="DQ93" s="421">
        <v>0</v>
      </c>
      <c r="DR93" s="421">
        <v>0</v>
      </c>
      <c r="DS93" s="421">
        <v>0</v>
      </c>
      <c r="DT93" s="421">
        <v>0</v>
      </c>
      <c r="DU93" s="421">
        <v>0</v>
      </c>
      <c r="DV93" s="421">
        <v>0</v>
      </c>
      <c r="DW93" s="421">
        <v>0</v>
      </c>
      <c r="DX93" s="421">
        <v>0</v>
      </c>
      <c r="DY93" s="421">
        <v>0</v>
      </c>
      <c r="DZ93" s="421">
        <v>0</v>
      </c>
      <c r="EA93" s="421">
        <v>0</v>
      </c>
      <c r="EB93" s="421">
        <v>0</v>
      </c>
      <c r="EC93" s="421" t="s">
        <v>1148</v>
      </c>
      <c r="ED93" s="421" t="s">
        <v>1149</v>
      </c>
      <c r="EE93" s="421" t="s">
        <v>1149</v>
      </c>
    </row>
    <row r="94" spans="1:135" x14ac:dyDescent="0.25">
      <c r="A94" s="421">
        <v>91</v>
      </c>
      <c r="B94" s="421">
        <v>2015</v>
      </c>
      <c r="C94" s="421">
        <v>6</v>
      </c>
      <c r="D94" s="421">
        <v>1</v>
      </c>
      <c r="E94" s="424">
        <v>42156</v>
      </c>
      <c r="F94" s="421" t="s">
        <v>1966</v>
      </c>
      <c r="G94" s="421" t="s">
        <v>1967</v>
      </c>
      <c r="H94" s="421" t="s">
        <v>1152</v>
      </c>
      <c r="I94" s="421" t="s">
        <v>1281</v>
      </c>
      <c r="J94" s="421" t="s">
        <v>1108</v>
      </c>
      <c r="K94" s="421" t="s">
        <v>1202</v>
      </c>
      <c r="L94" s="421" t="s">
        <v>1110</v>
      </c>
      <c r="O94" s="421" t="s">
        <v>1111</v>
      </c>
      <c r="R94" s="421" t="s">
        <v>1111</v>
      </c>
      <c r="S94" s="421" t="s">
        <v>1112</v>
      </c>
      <c r="T94" s="421" t="s">
        <v>1113</v>
      </c>
      <c r="U94" s="421" t="s">
        <v>1114</v>
      </c>
      <c r="V94" s="421" t="s">
        <v>1115</v>
      </c>
      <c r="W94" s="421" t="s">
        <v>1116</v>
      </c>
      <c r="X94" s="421" t="s">
        <v>1117</v>
      </c>
      <c r="Y94" s="421" t="s">
        <v>1118</v>
      </c>
      <c r="Z94" s="421" t="s">
        <v>1119</v>
      </c>
      <c r="AA94" s="421" t="s">
        <v>1772</v>
      </c>
      <c r="AB94" s="421" t="s">
        <v>1121</v>
      </c>
      <c r="AC94" s="421" t="s">
        <v>1122</v>
      </c>
      <c r="AD94" s="421" t="s">
        <v>1479</v>
      </c>
      <c r="AE94" s="421" t="s">
        <v>1203</v>
      </c>
      <c r="AF94" s="421" t="s">
        <v>1204</v>
      </c>
      <c r="AG94" s="421" t="s">
        <v>1968</v>
      </c>
      <c r="AH94" s="421">
        <v>43000</v>
      </c>
      <c r="AI94" s="421" t="s">
        <v>1127</v>
      </c>
      <c r="AJ94" s="421">
        <v>2</v>
      </c>
      <c r="AK94" s="421">
        <v>1</v>
      </c>
      <c r="AL94" s="421" t="s">
        <v>1283</v>
      </c>
      <c r="AM94" s="421">
        <v>43000</v>
      </c>
      <c r="AN94" s="421">
        <v>43485</v>
      </c>
      <c r="AO94" s="421" t="s">
        <v>1120</v>
      </c>
      <c r="AP94" s="421" t="s">
        <v>1129</v>
      </c>
      <c r="AR94" s="421" t="s">
        <v>1130</v>
      </c>
      <c r="AT94" s="421" t="s">
        <v>1131</v>
      </c>
      <c r="AU94" s="421" t="s">
        <v>1132</v>
      </c>
      <c r="AV94" s="421" t="s">
        <v>1133</v>
      </c>
      <c r="AW94" s="421" t="s">
        <v>1207</v>
      </c>
      <c r="AX94" s="421" t="s">
        <v>1207</v>
      </c>
      <c r="AY94" s="421" t="s">
        <v>1208</v>
      </c>
      <c r="AZ94" s="421" t="s">
        <v>1121</v>
      </c>
      <c r="BA94" s="421" t="s">
        <v>1209</v>
      </c>
      <c r="BB94" s="421" t="s">
        <v>1208</v>
      </c>
      <c r="BC94" s="421" t="s">
        <v>1210</v>
      </c>
      <c r="BD94" s="421" t="s">
        <v>1211</v>
      </c>
      <c r="BE94" s="421" t="s">
        <v>1212</v>
      </c>
      <c r="BF94" s="421" t="s">
        <v>1969</v>
      </c>
      <c r="BG94" s="421" t="s">
        <v>1970</v>
      </c>
      <c r="BH94" s="421" t="s">
        <v>1971</v>
      </c>
      <c r="BI94" s="421" t="s">
        <v>1142</v>
      </c>
      <c r="BJ94" s="421" t="s">
        <v>1243</v>
      </c>
      <c r="BK94" s="421" t="s">
        <v>1967</v>
      </c>
      <c r="BL94" s="421" t="s">
        <v>1972</v>
      </c>
      <c r="BM94" s="421" t="s">
        <v>1973</v>
      </c>
      <c r="BN94" s="421" t="s">
        <v>1848</v>
      </c>
      <c r="BO94" s="421">
        <v>0</v>
      </c>
      <c r="BR94" s="421">
        <v>0</v>
      </c>
      <c r="BS94" s="421">
        <v>0</v>
      </c>
      <c r="BT94" s="421">
        <v>0</v>
      </c>
      <c r="BU94" s="424">
        <v>42151</v>
      </c>
      <c r="BX94" s="421">
        <v>2489.39</v>
      </c>
      <c r="BY94" s="421" t="s">
        <v>1147</v>
      </c>
      <c r="BZ94" s="421">
        <v>77400</v>
      </c>
      <c r="CA94" s="421">
        <v>192678786</v>
      </c>
      <c r="CB94" s="421">
        <v>30.96</v>
      </c>
      <c r="CC94" s="421">
        <v>0</v>
      </c>
      <c r="CD94" s="421">
        <v>1680</v>
      </c>
      <c r="CE94" s="421">
        <v>1710.96</v>
      </c>
      <c r="CF94" s="421">
        <v>0</v>
      </c>
      <c r="CG94" s="421">
        <v>79110.960000000006</v>
      </c>
      <c r="CH94" s="421">
        <v>0</v>
      </c>
      <c r="CI94" s="421">
        <v>79110.960000000006</v>
      </c>
      <c r="CJ94" s="421">
        <v>196938032.71439999</v>
      </c>
      <c r="CK94" s="421">
        <v>0</v>
      </c>
      <c r="CL94" s="421">
        <v>196938033</v>
      </c>
      <c r="CM94" s="421">
        <v>0</v>
      </c>
      <c r="CN94" s="421">
        <v>0</v>
      </c>
      <c r="CO94" s="421">
        <v>0</v>
      </c>
      <c r="CP94" s="421">
        <v>0</v>
      </c>
      <c r="CQ94" s="421">
        <v>0</v>
      </c>
      <c r="CR94" s="421">
        <v>196938033</v>
      </c>
      <c r="CS94" s="421">
        <v>0</v>
      </c>
      <c r="CT94" s="421">
        <v>0</v>
      </c>
      <c r="CU94" s="421">
        <v>0</v>
      </c>
      <c r="CV94" s="421">
        <v>0</v>
      </c>
      <c r="CW94" s="421">
        <v>0</v>
      </c>
      <c r="CX94" s="421">
        <v>0</v>
      </c>
      <c r="CY94" s="421">
        <v>0</v>
      </c>
      <c r="CZ94" s="421">
        <v>0</v>
      </c>
      <c r="DA94" s="421">
        <v>0</v>
      </c>
      <c r="DB94" s="421">
        <v>0</v>
      </c>
      <c r="DC94" s="421">
        <v>0</v>
      </c>
      <c r="DD94" s="421">
        <v>0</v>
      </c>
      <c r="DE94" s="421">
        <v>0</v>
      </c>
      <c r="DF94" s="421">
        <v>0</v>
      </c>
      <c r="DG94" s="421">
        <v>0</v>
      </c>
      <c r="DH94" s="421">
        <v>0</v>
      </c>
      <c r="DI94" s="421">
        <v>0</v>
      </c>
      <c r="DJ94" s="421">
        <v>0</v>
      </c>
      <c r="DK94" s="421">
        <v>0</v>
      </c>
      <c r="DL94" s="421">
        <v>0</v>
      </c>
      <c r="DM94" s="421">
        <v>0</v>
      </c>
      <c r="DN94" s="421">
        <v>0</v>
      </c>
      <c r="DO94" s="421">
        <v>0</v>
      </c>
      <c r="DP94" s="421">
        <v>0</v>
      </c>
      <c r="DQ94" s="421">
        <v>0</v>
      </c>
      <c r="DR94" s="421">
        <v>0</v>
      </c>
      <c r="DS94" s="421">
        <v>0</v>
      </c>
      <c r="DT94" s="421">
        <v>0</v>
      </c>
      <c r="DU94" s="421">
        <v>0</v>
      </c>
      <c r="DV94" s="421">
        <v>0</v>
      </c>
      <c r="DW94" s="421">
        <v>0</v>
      </c>
      <c r="DX94" s="421">
        <v>0</v>
      </c>
      <c r="DY94" s="421">
        <v>0</v>
      </c>
      <c r="DZ94" s="421">
        <v>0</v>
      </c>
      <c r="EA94" s="421">
        <v>0</v>
      </c>
      <c r="EB94" s="421">
        <v>0</v>
      </c>
      <c r="EC94" s="421" t="s">
        <v>1148</v>
      </c>
      <c r="ED94" s="421" t="s">
        <v>1149</v>
      </c>
      <c r="EE94" s="421" t="s">
        <v>1149</v>
      </c>
    </row>
    <row r="95" spans="1:135" x14ac:dyDescent="0.25">
      <c r="A95" s="421">
        <v>92</v>
      </c>
      <c r="B95" s="421">
        <v>2015</v>
      </c>
      <c r="C95" s="421">
        <v>6</v>
      </c>
      <c r="D95" s="421">
        <v>3</v>
      </c>
      <c r="E95" s="424">
        <v>42158</v>
      </c>
      <c r="F95" s="421" t="s">
        <v>1974</v>
      </c>
      <c r="G95" s="421" t="s">
        <v>1975</v>
      </c>
      <c r="H95" s="421" t="s">
        <v>1152</v>
      </c>
      <c r="I95" s="421" t="s">
        <v>1281</v>
      </c>
      <c r="J95" s="421" t="s">
        <v>1108</v>
      </c>
      <c r="K95" s="421" t="s">
        <v>1202</v>
      </c>
      <c r="L95" s="421" t="s">
        <v>1110</v>
      </c>
      <c r="O95" s="421" t="s">
        <v>1111</v>
      </c>
      <c r="R95" s="421" t="s">
        <v>1111</v>
      </c>
      <c r="S95" s="421" t="s">
        <v>1112</v>
      </c>
      <c r="T95" s="421" t="s">
        <v>1113</v>
      </c>
      <c r="U95" s="421" t="s">
        <v>1114</v>
      </c>
      <c r="V95" s="421" t="s">
        <v>1115</v>
      </c>
      <c r="W95" s="421" t="s">
        <v>1116</v>
      </c>
      <c r="X95" s="421" t="s">
        <v>1117</v>
      </c>
      <c r="Y95" s="421" t="s">
        <v>1118</v>
      </c>
      <c r="Z95" s="421" t="s">
        <v>1119</v>
      </c>
      <c r="AA95" s="421" t="s">
        <v>1772</v>
      </c>
      <c r="AB95" s="421" t="s">
        <v>1121</v>
      </c>
      <c r="AC95" s="421" t="s">
        <v>1122</v>
      </c>
      <c r="AD95" s="421" t="s">
        <v>1479</v>
      </c>
      <c r="AE95" s="421" t="s">
        <v>1203</v>
      </c>
      <c r="AF95" s="421" t="s">
        <v>1204</v>
      </c>
      <c r="AG95" s="421" t="s">
        <v>1976</v>
      </c>
      <c r="AH95" s="421">
        <v>21500</v>
      </c>
      <c r="AI95" s="421" t="s">
        <v>1127</v>
      </c>
      <c r="AJ95" s="421">
        <v>1</v>
      </c>
      <c r="AK95" s="421">
        <v>1</v>
      </c>
      <c r="AL95" s="421" t="s">
        <v>1283</v>
      </c>
      <c r="AM95" s="421">
        <v>21500</v>
      </c>
      <c r="AN95" s="421">
        <v>21743</v>
      </c>
      <c r="AO95" s="421" t="s">
        <v>1120</v>
      </c>
      <c r="AP95" s="421" t="s">
        <v>1129</v>
      </c>
      <c r="AR95" s="421" t="s">
        <v>1130</v>
      </c>
      <c r="AT95" s="421" t="s">
        <v>1131</v>
      </c>
      <c r="AU95" s="421" t="s">
        <v>1132</v>
      </c>
      <c r="AV95" s="421" t="s">
        <v>1133</v>
      </c>
      <c r="AW95" s="421" t="s">
        <v>1207</v>
      </c>
      <c r="AX95" s="421" t="s">
        <v>1207</v>
      </c>
      <c r="AY95" s="421" t="s">
        <v>1208</v>
      </c>
      <c r="AZ95" s="421" t="s">
        <v>1121</v>
      </c>
      <c r="BA95" s="421" t="s">
        <v>1209</v>
      </c>
      <c r="BB95" s="421" t="s">
        <v>1208</v>
      </c>
      <c r="BC95" s="421" t="s">
        <v>1210</v>
      </c>
      <c r="BD95" s="421" t="s">
        <v>1211</v>
      </c>
      <c r="BE95" s="421" t="s">
        <v>1212</v>
      </c>
      <c r="BF95" s="421" t="s">
        <v>1977</v>
      </c>
      <c r="BG95" s="421" t="s">
        <v>1978</v>
      </c>
      <c r="BH95" s="421" t="s">
        <v>1979</v>
      </c>
      <c r="BI95" s="421" t="s">
        <v>1142</v>
      </c>
      <c r="BJ95" s="421" t="s">
        <v>1275</v>
      </c>
      <c r="BK95" s="421" t="s">
        <v>1975</v>
      </c>
      <c r="BL95" s="421" t="s">
        <v>1970</v>
      </c>
      <c r="BM95" s="421" t="s">
        <v>1980</v>
      </c>
      <c r="BN95" s="421" t="s">
        <v>1981</v>
      </c>
      <c r="BO95" s="421">
        <v>0</v>
      </c>
      <c r="BR95" s="421">
        <v>0</v>
      </c>
      <c r="BS95" s="421">
        <v>0</v>
      </c>
      <c r="BT95" s="421">
        <v>0</v>
      </c>
      <c r="BU95" s="424">
        <v>42147</v>
      </c>
      <c r="BX95" s="421">
        <v>2549.9699999999998</v>
      </c>
      <c r="BY95" s="421" t="s">
        <v>1147</v>
      </c>
      <c r="BZ95" s="421">
        <v>38700</v>
      </c>
      <c r="CA95" s="421">
        <v>98683839</v>
      </c>
      <c r="CB95" s="421">
        <v>15.48</v>
      </c>
      <c r="CC95" s="421">
        <v>0</v>
      </c>
      <c r="CD95" s="421">
        <v>1174.94</v>
      </c>
      <c r="CE95" s="421">
        <v>1190.42</v>
      </c>
      <c r="CF95" s="421">
        <v>0</v>
      </c>
      <c r="CG95" s="421">
        <v>39890.42</v>
      </c>
      <c r="CH95" s="421">
        <v>0</v>
      </c>
      <c r="CI95" s="421">
        <v>39890.42</v>
      </c>
      <c r="CJ95" s="421">
        <v>101719374.28740001</v>
      </c>
      <c r="CK95" s="421">
        <v>0</v>
      </c>
      <c r="CL95" s="421">
        <v>101719374</v>
      </c>
      <c r="CM95" s="421">
        <v>0</v>
      </c>
      <c r="CN95" s="421">
        <v>0</v>
      </c>
      <c r="CO95" s="421">
        <v>0</v>
      </c>
      <c r="CP95" s="421">
        <v>0</v>
      </c>
      <c r="CQ95" s="421">
        <v>0</v>
      </c>
      <c r="CR95" s="421">
        <v>101719374</v>
      </c>
      <c r="CS95" s="421">
        <v>0</v>
      </c>
      <c r="CT95" s="421">
        <v>0</v>
      </c>
      <c r="CU95" s="421">
        <v>0</v>
      </c>
      <c r="CV95" s="421">
        <v>0</v>
      </c>
      <c r="CW95" s="421">
        <v>0</v>
      </c>
      <c r="CX95" s="421">
        <v>0</v>
      </c>
      <c r="CY95" s="421">
        <v>0</v>
      </c>
      <c r="CZ95" s="421">
        <v>0</v>
      </c>
      <c r="DA95" s="421">
        <v>0</v>
      </c>
      <c r="DB95" s="421">
        <v>0</v>
      </c>
      <c r="DC95" s="421">
        <v>0</v>
      </c>
      <c r="DD95" s="421">
        <v>0</v>
      </c>
      <c r="DE95" s="421">
        <v>0</v>
      </c>
      <c r="DF95" s="421">
        <v>0</v>
      </c>
      <c r="DG95" s="421">
        <v>0</v>
      </c>
      <c r="DH95" s="421">
        <v>0</v>
      </c>
      <c r="DI95" s="421">
        <v>0</v>
      </c>
      <c r="DJ95" s="421">
        <v>0</v>
      </c>
      <c r="DK95" s="421">
        <v>0</v>
      </c>
      <c r="DL95" s="421">
        <v>0</v>
      </c>
      <c r="DM95" s="421">
        <v>0</v>
      </c>
      <c r="DN95" s="421">
        <v>0</v>
      </c>
      <c r="DO95" s="421">
        <v>0</v>
      </c>
      <c r="DP95" s="421">
        <v>0</v>
      </c>
      <c r="DQ95" s="421">
        <v>0</v>
      </c>
      <c r="DR95" s="421">
        <v>0</v>
      </c>
      <c r="DS95" s="421">
        <v>0</v>
      </c>
      <c r="DT95" s="421">
        <v>0</v>
      </c>
      <c r="DU95" s="421">
        <v>0</v>
      </c>
      <c r="DV95" s="421">
        <v>0</v>
      </c>
      <c r="DW95" s="421">
        <v>0</v>
      </c>
      <c r="DX95" s="421">
        <v>0</v>
      </c>
      <c r="DY95" s="421">
        <v>0</v>
      </c>
      <c r="DZ95" s="421">
        <v>0</v>
      </c>
      <c r="EA95" s="421">
        <v>0</v>
      </c>
      <c r="EB95" s="421">
        <v>0</v>
      </c>
      <c r="EC95" s="421" t="s">
        <v>1148</v>
      </c>
      <c r="ED95" s="421" t="s">
        <v>1149</v>
      </c>
      <c r="EE95" s="421" t="s">
        <v>1149</v>
      </c>
    </row>
    <row r="96" spans="1:135" x14ac:dyDescent="0.25">
      <c r="A96" s="421">
        <v>93</v>
      </c>
      <c r="B96" s="421">
        <v>2015</v>
      </c>
      <c r="C96" s="421">
        <v>6</v>
      </c>
      <c r="D96" s="421">
        <v>4</v>
      </c>
      <c r="E96" s="424">
        <v>42159</v>
      </c>
      <c r="F96" s="421" t="s">
        <v>1982</v>
      </c>
      <c r="G96" s="421" t="s">
        <v>1983</v>
      </c>
      <c r="H96" s="421" t="s">
        <v>1106</v>
      </c>
      <c r="I96" s="421" t="s">
        <v>1107</v>
      </c>
      <c r="J96" s="421" t="s">
        <v>1108</v>
      </c>
      <c r="K96" s="421" t="s">
        <v>1109</v>
      </c>
      <c r="L96" s="421" t="s">
        <v>1110</v>
      </c>
      <c r="O96" s="421" t="s">
        <v>1111</v>
      </c>
      <c r="R96" s="421" t="s">
        <v>1111</v>
      </c>
      <c r="S96" s="421" t="s">
        <v>1112</v>
      </c>
      <c r="T96" s="421" t="s">
        <v>1113</v>
      </c>
      <c r="U96" s="421" t="s">
        <v>1114</v>
      </c>
      <c r="V96" s="421" t="s">
        <v>1115</v>
      </c>
      <c r="W96" s="421" t="s">
        <v>1116</v>
      </c>
      <c r="X96" s="421" t="s">
        <v>1117</v>
      </c>
      <c r="Y96" s="421" t="s">
        <v>1118</v>
      </c>
      <c r="Z96" s="421" t="s">
        <v>1119</v>
      </c>
      <c r="AA96" s="421" t="s">
        <v>1772</v>
      </c>
      <c r="AB96" s="421" t="s">
        <v>1121</v>
      </c>
      <c r="AC96" s="421" t="s">
        <v>1122</v>
      </c>
      <c r="AD96" s="421" t="s">
        <v>1479</v>
      </c>
      <c r="AE96" s="421" t="s">
        <v>1170</v>
      </c>
      <c r="AF96" s="421" t="s">
        <v>1171</v>
      </c>
      <c r="AG96" s="421" t="s">
        <v>1984</v>
      </c>
      <c r="AH96" s="421">
        <v>4310.1000000000004</v>
      </c>
      <c r="AI96" s="421" t="s">
        <v>1127</v>
      </c>
      <c r="AJ96" s="421">
        <v>455</v>
      </c>
      <c r="AK96" s="421">
        <v>1</v>
      </c>
      <c r="AL96" s="421" t="s">
        <v>1173</v>
      </c>
      <c r="AM96" s="421">
        <v>4310.1000000000004</v>
      </c>
      <c r="AN96" s="421">
        <v>5901.57</v>
      </c>
      <c r="AO96" s="421" t="s">
        <v>1120</v>
      </c>
      <c r="AP96" s="421" t="s">
        <v>1129</v>
      </c>
      <c r="AR96" s="421" t="s">
        <v>1130</v>
      </c>
      <c r="AT96" s="421" t="s">
        <v>1131</v>
      </c>
      <c r="AU96" s="421" t="s">
        <v>1303</v>
      </c>
      <c r="AV96" s="421" t="s">
        <v>1304</v>
      </c>
      <c r="AW96" s="421" t="s">
        <v>960</v>
      </c>
      <c r="AX96" s="421" t="s">
        <v>960</v>
      </c>
      <c r="AY96" s="421" t="s">
        <v>960</v>
      </c>
      <c r="AZ96" s="421" t="s">
        <v>1121</v>
      </c>
      <c r="BA96" s="421" t="s">
        <v>1431</v>
      </c>
      <c r="BB96" s="421" t="s">
        <v>960</v>
      </c>
      <c r="BC96" s="421" t="s">
        <v>1752</v>
      </c>
      <c r="BD96" s="421" t="s">
        <v>1433</v>
      </c>
      <c r="BE96" s="421" t="s">
        <v>1434</v>
      </c>
      <c r="BF96" s="421" t="s">
        <v>1985</v>
      </c>
      <c r="BG96" s="421" t="s">
        <v>1953</v>
      </c>
      <c r="BH96" s="421" t="s">
        <v>1986</v>
      </c>
      <c r="BI96" s="421" t="s">
        <v>1142</v>
      </c>
      <c r="BJ96" s="421" t="s">
        <v>1243</v>
      </c>
      <c r="BK96" s="421" t="s">
        <v>1983</v>
      </c>
      <c r="BL96" s="421" t="s">
        <v>1987</v>
      </c>
      <c r="BM96" s="421" t="s">
        <v>1988</v>
      </c>
      <c r="BN96" s="421" t="s">
        <v>1989</v>
      </c>
      <c r="BO96" s="421">
        <v>0</v>
      </c>
      <c r="BR96" s="421">
        <v>0</v>
      </c>
      <c r="BS96" s="421">
        <v>0</v>
      </c>
      <c r="BT96" s="421">
        <v>0</v>
      </c>
      <c r="BU96" s="424">
        <v>42116</v>
      </c>
      <c r="BX96" s="421">
        <v>2549.9699999999998</v>
      </c>
      <c r="BY96" s="421" t="s">
        <v>1183</v>
      </c>
      <c r="BZ96" s="421">
        <v>31563.119999999999</v>
      </c>
      <c r="CA96" s="421">
        <v>80485009.106399998</v>
      </c>
      <c r="CB96" s="421">
        <v>12.63</v>
      </c>
      <c r="CC96" s="421">
        <v>0</v>
      </c>
      <c r="CD96" s="421">
        <v>2454.91</v>
      </c>
      <c r="CE96" s="421">
        <v>2467.54</v>
      </c>
      <c r="CF96" s="421">
        <v>0</v>
      </c>
      <c r="CG96" s="421">
        <v>34030.660000000003</v>
      </c>
      <c r="CH96" s="421">
        <v>0</v>
      </c>
      <c r="CI96" s="421">
        <v>34030.660000000003</v>
      </c>
      <c r="CJ96" s="421">
        <v>86777162.080200002</v>
      </c>
      <c r="CK96" s="421">
        <v>15</v>
      </c>
      <c r="CL96" s="421">
        <v>86777162</v>
      </c>
      <c r="CM96" s="421">
        <v>13017000</v>
      </c>
      <c r="CN96" s="421">
        <v>13017000</v>
      </c>
      <c r="CO96" s="421">
        <v>0</v>
      </c>
      <c r="CP96" s="421">
        <v>0</v>
      </c>
      <c r="CQ96" s="421">
        <v>16</v>
      </c>
      <c r="CR96" s="421">
        <v>99794162</v>
      </c>
      <c r="CS96" s="421">
        <v>15967000</v>
      </c>
      <c r="CT96" s="421">
        <v>15967000</v>
      </c>
      <c r="CU96" s="421">
        <v>0</v>
      </c>
      <c r="CV96" s="421">
        <v>0</v>
      </c>
      <c r="CW96" s="421">
        <v>0</v>
      </c>
      <c r="CX96" s="421">
        <v>0</v>
      </c>
      <c r="CY96" s="421">
        <v>0</v>
      </c>
      <c r="CZ96" s="421">
        <v>0</v>
      </c>
      <c r="DA96" s="421">
        <v>0</v>
      </c>
      <c r="DB96" s="421">
        <v>0</v>
      </c>
      <c r="DC96" s="421">
        <v>0</v>
      </c>
      <c r="DD96" s="421">
        <v>0</v>
      </c>
      <c r="DE96" s="421">
        <v>0</v>
      </c>
      <c r="DF96" s="421">
        <v>0</v>
      </c>
      <c r="DG96" s="421">
        <v>0</v>
      </c>
      <c r="DH96" s="421">
        <v>0</v>
      </c>
      <c r="DI96" s="421">
        <v>0</v>
      </c>
      <c r="DJ96" s="421">
        <v>0</v>
      </c>
      <c r="DK96" s="421">
        <v>0</v>
      </c>
      <c r="DL96" s="421">
        <v>0</v>
      </c>
      <c r="DM96" s="421">
        <v>0</v>
      </c>
      <c r="DN96" s="421">
        <v>0</v>
      </c>
      <c r="DO96" s="421">
        <v>0</v>
      </c>
      <c r="DP96" s="421">
        <v>0</v>
      </c>
      <c r="DQ96" s="421">
        <v>0</v>
      </c>
      <c r="DR96" s="421">
        <v>0</v>
      </c>
      <c r="DS96" s="421">
        <v>0</v>
      </c>
      <c r="DT96" s="421">
        <v>0</v>
      </c>
      <c r="DU96" s="421">
        <v>0</v>
      </c>
      <c r="DV96" s="421">
        <v>0</v>
      </c>
      <c r="DW96" s="421">
        <v>0</v>
      </c>
      <c r="DX96" s="421">
        <v>0</v>
      </c>
      <c r="DY96" s="421">
        <v>28984000</v>
      </c>
      <c r="DZ96" s="421">
        <v>28984000</v>
      </c>
      <c r="EA96" s="421">
        <v>0</v>
      </c>
      <c r="EB96" s="421">
        <v>0</v>
      </c>
      <c r="EC96" s="421" t="s">
        <v>1148</v>
      </c>
      <c r="ED96" s="421" t="s">
        <v>1167</v>
      </c>
      <c r="EE96" s="421" t="s">
        <v>1167</v>
      </c>
    </row>
    <row r="97" spans="1:135" x14ac:dyDescent="0.25">
      <c r="A97" s="421">
        <v>94</v>
      </c>
      <c r="B97" s="421">
        <v>2015</v>
      </c>
      <c r="C97" s="421">
        <v>6</v>
      </c>
      <c r="D97" s="421">
        <v>4</v>
      </c>
      <c r="E97" s="424">
        <v>42159</v>
      </c>
      <c r="F97" s="421" t="s">
        <v>1990</v>
      </c>
      <c r="G97" s="421" t="s">
        <v>1991</v>
      </c>
      <c r="H97" s="421" t="s">
        <v>1106</v>
      </c>
      <c r="I97" s="421" t="s">
        <v>1107</v>
      </c>
      <c r="J97" s="421" t="s">
        <v>1108</v>
      </c>
      <c r="K97" s="421" t="s">
        <v>1202</v>
      </c>
      <c r="L97" s="421" t="s">
        <v>1110</v>
      </c>
      <c r="O97" s="421" t="s">
        <v>1111</v>
      </c>
      <c r="R97" s="421" t="s">
        <v>1111</v>
      </c>
      <c r="S97" s="421" t="s">
        <v>1112</v>
      </c>
      <c r="T97" s="421" t="s">
        <v>1113</v>
      </c>
      <c r="U97" s="421" t="s">
        <v>1114</v>
      </c>
      <c r="V97" s="421" t="s">
        <v>1115</v>
      </c>
      <c r="W97" s="421" t="s">
        <v>1116</v>
      </c>
      <c r="X97" s="421" t="s">
        <v>1117</v>
      </c>
      <c r="Y97" s="421" t="s">
        <v>1118</v>
      </c>
      <c r="Z97" s="421" t="s">
        <v>1119</v>
      </c>
      <c r="AA97" s="421" t="s">
        <v>1772</v>
      </c>
      <c r="AB97" s="421" t="s">
        <v>1121</v>
      </c>
      <c r="AC97" s="421" t="s">
        <v>1122</v>
      </c>
      <c r="AD97" s="421" t="s">
        <v>1479</v>
      </c>
      <c r="AE97" s="421" t="s">
        <v>1203</v>
      </c>
      <c r="AF97" s="421" t="s">
        <v>1204</v>
      </c>
      <c r="AG97" s="421" t="s">
        <v>1992</v>
      </c>
      <c r="AH97" s="421">
        <v>21500</v>
      </c>
      <c r="AI97" s="421" t="s">
        <v>1127</v>
      </c>
      <c r="AJ97" s="421">
        <v>1</v>
      </c>
      <c r="AK97" s="421">
        <v>1</v>
      </c>
      <c r="AL97" s="421" t="s">
        <v>1283</v>
      </c>
      <c r="AM97" s="421">
        <v>21500</v>
      </c>
      <c r="AN97" s="421">
        <v>21743</v>
      </c>
      <c r="AO97" s="421" t="s">
        <v>1120</v>
      </c>
      <c r="AP97" s="421" t="s">
        <v>1129</v>
      </c>
      <c r="AR97" s="421" t="s">
        <v>1130</v>
      </c>
      <c r="AT97" s="421" t="s">
        <v>1131</v>
      </c>
      <c r="AU97" s="421" t="s">
        <v>1132</v>
      </c>
      <c r="AV97" s="421" t="s">
        <v>1133</v>
      </c>
      <c r="AW97" s="421" t="s">
        <v>1207</v>
      </c>
      <c r="AX97" s="421" t="s">
        <v>1207</v>
      </c>
      <c r="AY97" s="421" t="s">
        <v>1208</v>
      </c>
      <c r="AZ97" s="421" t="s">
        <v>1121</v>
      </c>
      <c r="BA97" s="421" t="s">
        <v>1209</v>
      </c>
      <c r="BB97" s="421" t="s">
        <v>1208</v>
      </c>
      <c r="BC97" s="421" t="s">
        <v>1210</v>
      </c>
      <c r="BD97" s="421" t="s">
        <v>1211</v>
      </c>
      <c r="BE97" s="421" t="s">
        <v>1212</v>
      </c>
      <c r="BF97" s="421" t="s">
        <v>1969</v>
      </c>
      <c r="BG97" s="421" t="s">
        <v>1970</v>
      </c>
      <c r="BH97" s="421" t="s">
        <v>1993</v>
      </c>
      <c r="BI97" s="421" t="s">
        <v>1142</v>
      </c>
      <c r="BJ97" s="421" t="s">
        <v>1243</v>
      </c>
      <c r="BK97" s="421" t="s">
        <v>1991</v>
      </c>
      <c r="BL97" s="421" t="s">
        <v>1987</v>
      </c>
      <c r="BM97" s="421" t="s">
        <v>1994</v>
      </c>
      <c r="BN97" s="421" t="s">
        <v>1874</v>
      </c>
      <c r="BO97" s="421">
        <v>0</v>
      </c>
      <c r="BR97" s="421">
        <v>0</v>
      </c>
      <c r="BS97" s="421">
        <v>0</v>
      </c>
      <c r="BT97" s="421">
        <v>0</v>
      </c>
      <c r="BU97" s="424">
        <v>42151</v>
      </c>
      <c r="BX97" s="421">
        <v>2549.9699999999998</v>
      </c>
      <c r="BY97" s="421" t="s">
        <v>1147</v>
      </c>
      <c r="BZ97" s="421">
        <v>38700</v>
      </c>
      <c r="CA97" s="421">
        <v>98683839</v>
      </c>
      <c r="CB97" s="421">
        <v>15.48</v>
      </c>
      <c r="CC97" s="421">
        <v>0</v>
      </c>
      <c r="CD97" s="421">
        <v>880</v>
      </c>
      <c r="CE97" s="421">
        <v>895.48</v>
      </c>
      <c r="CF97" s="421">
        <v>0</v>
      </c>
      <c r="CG97" s="421">
        <v>39595.480000000003</v>
      </c>
      <c r="CH97" s="421">
        <v>0</v>
      </c>
      <c r="CI97" s="421">
        <v>39595.480000000003</v>
      </c>
      <c r="CJ97" s="421">
        <v>100967286.1356</v>
      </c>
      <c r="CK97" s="421">
        <v>0</v>
      </c>
      <c r="CL97" s="421">
        <v>100967286</v>
      </c>
      <c r="CM97" s="421">
        <v>0</v>
      </c>
      <c r="CN97" s="421">
        <v>0</v>
      </c>
      <c r="CO97" s="421">
        <v>0</v>
      </c>
      <c r="CP97" s="421">
        <v>0</v>
      </c>
      <c r="CQ97" s="421">
        <v>0</v>
      </c>
      <c r="CR97" s="421">
        <v>100967286</v>
      </c>
      <c r="CS97" s="421">
        <v>0</v>
      </c>
      <c r="CT97" s="421">
        <v>0</v>
      </c>
      <c r="CU97" s="421">
        <v>0</v>
      </c>
      <c r="CV97" s="421">
        <v>0</v>
      </c>
      <c r="CW97" s="421">
        <v>0</v>
      </c>
      <c r="CX97" s="421">
        <v>0</v>
      </c>
      <c r="CY97" s="421">
        <v>0</v>
      </c>
      <c r="CZ97" s="421">
        <v>0</v>
      </c>
      <c r="DA97" s="421">
        <v>0</v>
      </c>
      <c r="DB97" s="421">
        <v>0</v>
      </c>
      <c r="DC97" s="421">
        <v>0</v>
      </c>
      <c r="DD97" s="421">
        <v>0</v>
      </c>
      <c r="DE97" s="421">
        <v>0</v>
      </c>
      <c r="DF97" s="421">
        <v>0</v>
      </c>
      <c r="DG97" s="421">
        <v>0</v>
      </c>
      <c r="DH97" s="421">
        <v>0</v>
      </c>
      <c r="DI97" s="421">
        <v>0</v>
      </c>
      <c r="DJ97" s="421">
        <v>0</v>
      </c>
      <c r="DK97" s="421">
        <v>0</v>
      </c>
      <c r="DL97" s="421">
        <v>0</v>
      </c>
      <c r="DM97" s="421">
        <v>0</v>
      </c>
      <c r="DN97" s="421">
        <v>0</v>
      </c>
      <c r="DO97" s="421">
        <v>0</v>
      </c>
      <c r="DP97" s="421">
        <v>0</v>
      </c>
      <c r="DQ97" s="421">
        <v>0</v>
      </c>
      <c r="DR97" s="421">
        <v>0</v>
      </c>
      <c r="DS97" s="421">
        <v>0</v>
      </c>
      <c r="DT97" s="421">
        <v>0</v>
      </c>
      <c r="DU97" s="421">
        <v>0</v>
      </c>
      <c r="DV97" s="421">
        <v>0</v>
      </c>
      <c r="DW97" s="421">
        <v>0</v>
      </c>
      <c r="DX97" s="421">
        <v>0</v>
      </c>
      <c r="DY97" s="421">
        <v>0</v>
      </c>
      <c r="DZ97" s="421">
        <v>0</v>
      </c>
      <c r="EA97" s="421">
        <v>0</v>
      </c>
      <c r="EB97" s="421">
        <v>0</v>
      </c>
      <c r="EC97" s="421" t="s">
        <v>1148</v>
      </c>
      <c r="ED97" s="421" t="s">
        <v>1149</v>
      </c>
      <c r="EE97" s="421" t="s">
        <v>1149</v>
      </c>
    </row>
    <row r="98" spans="1:135" x14ac:dyDescent="0.25">
      <c r="A98" s="421">
        <v>95</v>
      </c>
      <c r="B98" s="421">
        <v>2015</v>
      </c>
      <c r="C98" s="421">
        <v>6</v>
      </c>
      <c r="D98" s="421">
        <v>9</v>
      </c>
      <c r="E98" s="424">
        <v>42164</v>
      </c>
      <c r="F98" s="421" t="s">
        <v>1995</v>
      </c>
      <c r="G98" s="421" t="s">
        <v>1996</v>
      </c>
      <c r="H98" s="421" t="s">
        <v>1106</v>
      </c>
      <c r="I98" s="421" t="s">
        <v>1107</v>
      </c>
      <c r="J98" s="421" t="s">
        <v>1108</v>
      </c>
      <c r="K98" s="421" t="s">
        <v>1109</v>
      </c>
      <c r="L98" s="421" t="s">
        <v>1110</v>
      </c>
      <c r="O98" s="421" t="s">
        <v>1111</v>
      </c>
      <c r="R98" s="421" t="s">
        <v>1111</v>
      </c>
      <c r="S98" s="421" t="s">
        <v>1112</v>
      </c>
      <c r="T98" s="421" t="s">
        <v>1113</v>
      </c>
      <c r="U98" s="421" t="s">
        <v>1114</v>
      </c>
      <c r="V98" s="421" t="s">
        <v>1115</v>
      </c>
      <c r="W98" s="421" t="s">
        <v>1116</v>
      </c>
      <c r="X98" s="421" t="s">
        <v>1117</v>
      </c>
      <c r="Y98" s="421" t="s">
        <v>1118</v>
      </c>
      <c r="Z98" s="421" t="s">
        <v>1119</v>
      </c>
      <c r="AA98" s="421" t="s">
        <v>1772</v>
      </c>
      <c r="AB98" s="421" t="s">
        <v>1121</v>
      </c>
      <c r="AC98" s="421" t="s">
        <v>1122</v>
      </c>
      <c r="AD98" s="421" t="s">
        <v>1479</v>
      </c>
      <c r="AE98" s="421" t="s">
        <v>1170</v>
      </c>
      <c r="AF98" s="421" t="s">
        <v>1171</v>
      </c>
      <c r="AG98" s="421" t="s">
        <v>1997</v>
      </c>
      <c r="AH98" s="421">
        <v>1861.2</v>
      </c>
      <c r="AI98" s="421" t="s">
        <v>1127</v>
      </c>
      <c r="AJ98" s="421">
        <v>268</v>
      </c>
      <c r="AK98" s="421">
        <v>1</v>
      </c>
      <c r="AL98" s="421" t="s">
        <v>1173</v>
      </c>
      <c r="AM98" s="421">
        <v>1861.2</v>
      </c>
      <c r="AN98" s="421">
        <v>2548.4299999999998</v>
      </c>
      <c r="AO98" s="421" t="s">
        <v>1120</v>
      </c>
      <c r="AP98" s="421" t="s">
        <v>1129</v>
      </c>
      <c r="AR98" s="421" t="s">
        <v>1130</v>
      </c>
      <c r="AT98" s="421" t="s">
        <v>1131</v>
      </c>
      <c r="AU98" s="421" t="s">
        <v>1303</v>
      </c>
      <c r="AV98" s="421" t="s">
        <v>1304</v>
      </c>
      <c r="AW98" s="421" t="s">
        <v>960</v>
      </c>
      <c r="AX98" s="421" t="s">
        <v>960</v>
      </c>
      <c r="AY98" s="421" t="s">
        <v>960</v>
      </c>
      <c r="AZ98" s="421" t="s">
        <v>1121</v>
      </c>
      <c r="BA98" s="421" t="s">
        <v>1431</v>
      </c>
      <c r="BB98" s="421" t="s">
        <v>960</v>
      </c>
      <c r="BC98" s="421" t="s">
        <v>1752</v>
      </c>
      <c r="BD98" s="421" t="s">
        <v>1433</v>
      </c>
      <c r="BE98" s="421" t="s">
        <v>1434</v>
      </c>
      <c r="BF98" s="421" t="s">
        <v>1985</v>
      </c>
      <c r="BG98" s="421" t="s">
        <v>1953</v>
      </c>
      <c r="BH98" s="421" t="s">
        <v>1986</v>
      </c>
      <c r="BI98" s="421" t="s">
        <v>1142</v>
      </c>
      <c r="BJ98" s="421" t="s">
        <v>1243</v>
      </c>
      <c r="BK98" s="421" t="s">
        <v>1996</v>
      </c>
      <c r="BL98" s="421" t="s">
        <v>1998</v>
      </c>
      <c r="BM98" s="421" t="s">
        <v>1988</v>
      </c>
      <c r="BN98" s="421" t="s">
        <v>1989</v>
      </c>
      <c r="BO98" s="421">
        <v>0</v>
      </c>
      <c r="BR98" s="421">
        <v>0</v>
      </c>
      <c r="BS98" s="421">
        <v>0</v>
      </c>
      <c r="BT98" s="421">
        <v>0</v>
      </c>
      <c r="BU98" s="424">
        <v>42116</v>
      </c>
      <c r="BX98" s="421">
        <v>2588.56</v>
      </c>
      <c r="BY98" s="421" t="s">
        <v>1183</v>
      </c>
      <c r="BZ98" s="421">
        <v>18778.03</v>
      </c>
      <c r="CA98" s="421">
        <v>48608057.336800002</v>
      </c>
      <c r="CB98" s="421">
        <v>7.51</v>
      </c>
      <c r="CC98" s="421">
        <v>0</v>
      </c>
      <c r="CD98" s="421">
        <v>1060.0899999999999</v>
      </c>
      <c r="CE98" s="421">
        <v>1067.5999999999999</v>
      </c>
      <c r="CF98" s="421">
        <v>0</v>
      </c>
      <c r="CG98" s="421">
        <v>19845.63</v>
      </c>
      <c r="CH98" s="421">
        <v>0</v>
      </c>
      <c r="CI98" s="421">
        <v>19845.63</v>
      </c>
      <c r="CJ98" s="421">
        <v>51371603.992799997</v>
      </c>
      <c r="CK98" s="421">
        <v>15</v>
      </c>
      <c r="CL98" s="421">
        <v>51371604</v>
      </c>
      <c r="CM98" s="421">
        <v>7706000</v>
      </c>
      <c r="CN98" s="421">
        <v>7706000</v>
      </c>
      <c r="CO98" s="421">
        <v>0</v>
      </c>
      <c r="CP98" s="421">
        <v>0</v>
      </c>
      <c r="CQ98" s="421">
        <v>16</v>
      </c>
      <c r="CR98" s="421">
        <v>59077604</v>
      </c>
      <c r="CS98" s="421">
        <v>9452000</v>
      </c>
      <c r="CT98" s="421">
        <v>9452000</v>
      </c>
      <c r="CU98" s="421">
        <v>0</v>
      </c>
      <c r="CV98" s="421">
        <v>0</v>
      </c>
      <c r="CW98" s="421">
        <v>0</v>
      </c>
      <c r="CX98" s="421">
        <v>0</v>
      </c>
      <c r="CY98" s="421">
        <v>0</v>
      </c>
      <c r="CZ98" s="421">
        <v>0</v>
      </c>
      <c r="DA98" s="421">
        <v>0</v>
      </c>
      <c r="DB98" s="421">
        <v>0</v>
      </c>
      <c r="DC98" s="421">
        <v>0</v>
      </c>
      <c r="DD98" s="421">
        <v>0</v>
      </c>
      <c r="DE98" s="421">
        <v>0</v>
      </c>
      <c r="DF98" s="421">
        <v>0</v>
      </c>
      <c r="DG98" s="421">
        <v>0</v>
      </c>
      <c r="DH98" s="421">
        <v>0</v>
      </c>
      <c r="DI98" s="421">
        <v>0</v>
      </c>
      <c r="DJ98" s="421">
        <v>0</v>
      </c>
      <c r="DK98" s="421">
        <v>0</v>
      </c>
      <c r="DL98" s="421">
        <v>0</v>
      </c>
      <c r="DM98" s="421">
        <v>0</v>
      </c>
      <c r="DN98" s="421">
        <v>0</v>
      </c>
      <c r="DO98" s="421">
        <v>0</v>
      </c>
      <c r="DP98" s="421">
        <v>0</v>
      </c>
      <c r="DQ98" s="421">
        <v>0</v>
      </c>
      <c r="DR98" s="421">
        <v>0</v>
      </c>
      <c r="DS98" s="421">
        <v>0</v>
      </c>
      <c r="DT98" s="421">
        <v>0</v>
      </c>
      <c r="DU98" s="421">
        <v>0</v>
      </c>
      <c r="DV98" s="421">
        <v>0</v>
      </c>
      <c r="DW98" s="421">
        <v>0</v>
      </c>
      <c r="DX98" s="421">
        <v>0</v>
      </c>
      <c r="DY98" s="421">
        <v>17158000</v>
      </c>
      <c r="DZ98" s="421">
        <v>17158000</v>
      </c>
      <c r="EA98" s="421">
        <v>0</v>
      </c>
      <c r="EB98" s="421">
        <v>0</v>
      </c>
      <c r="EC98" s="421" t="s">
        <v>1148</v>
      </c>
      <c r="ED98" s="421" t="s">
        <v>1167</v>
      </c>
      <c r="EE98" s="421" t="s">
        <v>1167</v>
      </c>
    </row>
    <row r="99" spans="1:135" x14ac:dyDescent="0.25">
      <c r="A99" s="421">
        <v>96</v>
      </c>
      <c r="B99" s="421">
        <v>2015</v>
      </c>
      <c r="C99" s="421">
        <v>6</v>
      </c>
      <c r="D99" s="421">
        <v>9</v>
      </c>
      <c r="E99" s="424">
        <v>42164</v>
      </c>
      <c r="F99" s="421" t="s">
        <v>1999</v>
      </c>
      <c r="G99" s="421" t="s">
        <v>2000</v>
      </c>
      <c r="H99" s="421" t="s">
        <v>1106</v>
      </c>
      <c r="I99" s="421" t="s">
        <v>1281</v>
      </c>
      <c r="J99" s="421" t="s">
        <v>1108</v>
      </c>
      <c r="K99" s="421" t="s">
        <v>1109</v>
      </c>
      <c r="L99" s="421" t="s">
        <v>1110</v>
      </c>
      <c r="O99" s="421" t="s">
        <v>1111</v>
      </c>
      <c r="R99" s="421" t="s">
        <v>1111</v>
      </c>
      <c r="S99" s="421" t="s">
        <v>1112</v>
      </c>
      <c r="T99" s="421" t="s">
        <v>1113</v>
      </c>
      <c r="U99" s="421" t="s">
        <v>1114</v>
      </c>
      <c r="V99" s="421" t="s">
        <v>1115</v>
      </c>
      <c r="W99" s="421" t="s">
        <v>1116</v>
      </c>
      <c r="X99" s="421" t="s">
        <v>1117</v>
      </c>
      <c r="Y99" s="421" t="s">
        <v>1118</v>
      </c>
      <c r="Z99" s="421" t="s">
        <v>1119</v>
      </c>
      <c r="AA99" s="421" t="s">
        <v>1772</v>
      </c>
      <c r="AB99" s="421" t="s">
        <v>1121</v>
      </c>
      <c r="AC99" s="421" t="s">
        <v>1122</v>
      </c>
      <c r="AD99" s="421" t="s">
        <v>1479</v>
      </c>
      <c r="AE99" s="421" t="s">
        <v>1249</v>
      </c>
      <c r="AF99" s="421" t="s">
        <v>1250</v>
      </c>
      <c r="AG99" s="421" t="s">
        <v>2001</v>
      </c>
      <c r="AH99" s="421">
        <v>43248</v>
      </c>
      <c r="AI99" s="421" t="s">
        <v>1189</v>
      </c>
      <c r="AJ99" s="421">
        <v>581</v>
      </c>
      <c r="AK99" s="421">
        <v>1</v>
      </c>
      <c r="AL99" s="421" t="s">
        <v>1173</v>
      </c>
      <c r="AM99" s="421">
        <v>6827.5</v>
      </c>
      <c r="AN99" s="421">
        <v>7132</v>
      </c>
      <c r="AO99" s="421" t="s">
        <v>1120</v>
      </c>
      <c r="AP99" s="421" t="s">
        <v>1129</v>
      </c>
      <c r="AR99" s="421" t="s">
        <v>1130</v>
      </c>
      <c r="AT99" s="421" t="s">
        <v>1131</v>
      </c>
      <c r="AU99" s="421" t="s">
        <v>1190</v>
      </c>
      <c r="AV99" s="421" t="s">
        <v>1191</v>
      </c>
      <c r="AW99" s="421" t="s">
        <v>960</v>
      </c>
      <c r="AX99" s="421" t="s">
        <v>960</v>
      </c>
      <c r="AY99" s="421" t="s">
        <v>960</v>
      </c>
      <c r="AZ99" s="421" t="s">
        <v>1121</v>
      </c>
      <c r="BA99" s="421" t="s">
        <v>1252</v>
      </c>
      <c r="BB99" s="421" t="s">
        <v>960</v>
      </c>
      <c r="BC99" s="421" t="s">
        <v>1253</v>
      </c>
      <c r="BD99" s="421" t="s">
        <v>1254</v>
      </c>
      <c r="BE99" s="421" t="s">
        <v>2002</v>
      </c>
      <c r="BI99" s="421" t="s">
        <v>1142</v>
      </c>
      <c r="BJ99" s="421" t="s">
        <v>1342</v>
      </c>
      <c r="BK99" s="421" t="s">
        <v>2000</v>
      </c>
      <c r="BL99" s="421" t="s">
        <v>1998</v>
      </c>
      <c r="BM99" s="421" t="s">
        <v>2003</v>
      </c>
      <c r="BN99" s="421" t="s">
        <v>1783</v>
      </c>
      <c r="BO99" s="421">
        <v>0</v>
      </c>
      <c r="BR99" s="421">
        <v>0</v>
      </c>
      <c r="BS99" s="421">
        <v>0</v>
      </c>
      <c r="BT99" s="421">
        <v>0</v>
      </c>
      <c r="BU99" s="424">
        <v>38718</v>
      </c>
      <c r="BX99" s="421">
        <v>2588.56</v>
      </c>
      <c r="BY99" s="421" t="s">
        <v>1183</v>
      </c>
      <c r="BZ99" s="421">
        <v>23776.22</v>
      </c>
      <c r="CA99" s="421">
        <v>61546172.043200001</v>
      </c>
      <c r="CB99" s="421">
        <v>9.51</v>
      </c>
      <c r="CC99" s="421">
        <v>0</v>
      </c>
      <c r="CD99" s="421">
        <v>2350</v>
      </c>
      <c r="CE99" s="421">
        <v>2359.5100000000002</v>
      </c>
      <c r="CF99" s="421">
        <v>0</v>
      </c>
      <c r="CG99" s="421">
        <v>26135.73</v>
      </c>
      <c r="CH99" s="421">
        <v>0</v>
      </c>
      <c r="CI99" s="421">
        <v>26135.73</v>
      </c>
      <c r="CJ99" s="421">
        <v>67653905.248799995</v>
      </c>
      <c r="CK99" s="421">
        <v>15</v>
      </c>
      <c r="CL99" s="421">
        <v>67653905</v>
      </c>
      <c r="CM99" s="421">
        <v>10148000</v>
      </c>
      <c r="CN99" s="421">
        <v>10148000</v>
      </c>
      <c r="CO99" s="421">
        <v>0</v>
      </c>
      <c r="CP99" s="421">
        <v>0</v>
      </c>
      <c r="CQ99" s="421">
        <v>16</v>
      </c>
      <c r="CR99" s="421">
        <v>77801905</v>
      </c>
      <c r="CS99" s="421">
        <v>12448000</v>
      </c>
      <c r="CT99" s="421">
        <v>12448000</v>
      </c>
      <c r="CU99" s="421">
        <v>0</v>
      </c>
      <c r="CV99" s="421">
        <v>0</v>
      </c>
      <c r="CW99" s="421">
        <v>0</v>
      </c>
      <c r="CX99" s="421">
        <v>0</v>
      </c>
      <c r="CY99" s="421">
        <v>0</v>
      </c>
      <c r="CZ99" s="421">
        <v>0</v>
      </c>
      <c r="DA99" s="421">
        <v>0</v>
      </c>
      <c r="DB99" s="421">
        <v>0</v>
      </c>
      <c r="DC99" s="421">
        <v>0</v>
      </c>
      <c r="DD99" s="421">
        <v>0</v>
      </c>
      <c r="DE99" s="421">
        <v>0</v>
      </c>
      <c r="DF99" s="421">
        <v>0</v>
      </c>
      <c r="DG99" s="421">
        <v>0</v>
      </c>
      <c r="DH99" s="421">
        <v>0</v>
      </c>
      <c r="DI99" s="421">
        <v>0</v>
      </c>
      <c r="DJ99" s="421">
        <v>0</v>
      </c>
      <c r="DK99" s="421">
        <v>0</v>
      </c>
      <c r="DL99" s="421">
        <v>0</v>
      </c>
      <c r="DM99" s="421">
        <v>0</v>
      </c>
      <c r="DN99" s="421">
        <v>0</v>
      </c>
      <c r="DO99" s="421">
        <v>0</v>
      </c>
      <c r="DP99" s="421">
        <v>0</v>
      </c>
      <c r="DQ99" s="421">
        <v>0</v>
      </c>
      <c r="DR99" s="421">
        <v>0</v>
      </c>
      <c r="DS99" s="421">
        <v>0</v>
      </c>
      <c r="DT99" s="421">
        <v>0</v>
      </c>
      <c r="DU99" s="421">
        <v>0</v>
      </c>
      <c r="DV99" s="421">
        <v>0</v>
      </c>
      <c r="DW99" s="421">
        <v>0</v>
      </c>
      <c r="DX99" s="421">
        <v>0</v>
      </c>
      <c r="DY99" s="421">
        <v>22596000</v>
      </c>
      <c r="DZ99" s="421">
        <v>22596000</v>
      </c>
      <c r="EA99" s="421">
        <v>0</v>
      </c>
      <c r="EB99" s="421">
        <v>0</v>
      </c>
      <c r="EC99" s="421" t="s">
        <v>1148</v>
      </c>
      <c r="ED99" s="421" t="s">
        <v>1167</v>
      </c>
      <c r="EE99" s="421" t="s">
        <v>1167</v>
      </c>
    </row>
    <row r="100" spans="1:135" x14ac:dyDescent="0.25">
      <c r="A100" s="421">
        <v>97</v>
      </c>
      <c r="B100" s="421">
        <v>2015</v>
      </c>
      <c r="C100" s="421">
        <v>6</v>
      </c>
      <c r="D100" s="421">
        <v>10</v>
      </c>
      <c r="E100" s="424">
        <v>42165</v>
      </c>
      <c r="F100" s="421" t="s">
        <v>2004</v>
      </c>
      <c r="G100" s="421" t="s">
        <v>2005</v>
      </c>
      <c r="H100" s="421" t="s">
        <v>1152</v>
      </c>
      <c r="I100" s="421" t="s">
        <v>1107</v>
      </c>
      <c r="J100" s="421" t="s">
        <v>1108</v>
      </c>
      <c r="K100" s="421" t="s">
        <v>1109</v>
      </c>
      <c r="L100" s="421" t="s">
        <v>1110</v>
      </c>
      <c r="O100" s="421" t="s">
        <v>1111</v>
      </c>
      <c r="R100" s="421" t="s">
        <v>1111</v>
      </c>
      <c r="S100" s="421" t="s">
        <v>1112</v>
      </c>
      <c r="T100" s="421" t="s">
        <v>1113</v>
      </c>
      <c r="U100" s="421" t="s">
        <v>1114</v>
      </c>
      <c r="V100" s="421" t="s">
        <v>1115</v>
      </c>
      <c r="W100" s="421" t="s">
        <v>1116</v>
      </c>
      <c r="X100" s="421" t="s">
        <v>1117</v>
      </c>
      <c r="Y100" s="421" t="s">
        <v>1118</v>
      </c>
      <c r="Z100" s="421" t="s">
        <v>1119</v>
      </c>
      <c r="AA100" s="421" t="s">
        <v>1772</v>
      </c>
      <c r="AB100" s="421" t="s">
        <v>1121</v>
      </c>
      <c r="AC100" s="421" t="s">
        <v>1122</v>
      </c>
      <c r="AD100" s="421" t="s">
        <v>1479</v>
      </c>
      <c r="AE100" s="421" t="s">
        <v>1402</v>
      </c>
      <c r="AF100" s="421" t="s">
        <v>1403</v>
      </c>
      <c r="AG100" s="421" t="s">
        <v>2006</v>
      </c>
      <c r="AH100" s="421">
        <v>448000</v>
      </c>
      <c r="AI100" s="421" t="s">
        <v>1189</v>
      </c>
      <c r="AJ100" s="421">
        <v>374</v>
      </c>
      <c r="AK100" s="421">
        <v>2</v>
      </c>
      <c r="AL100" s="421" t="s">
        <v>1173</v>
      </c>
      <c r="AM100" s="421">
        <v>1635.2</v>
      </c>
      <c r="AN100" s="421">
        <v>1792</v>
      </c>
      <c r="AO100" s="421" t="s">
        <v>1120</v>
      </c>
      <c r="AP100" s="421" t="s">
        <v>1129</v>
      </c>
      <c r="AR100" s="421" t="s">
        <v>1130</v>
      </c>
      <c r="AT100" s="421" t="s">
        <v>1131</v>
      </c>
      <c r="AU100" s="421" t="s">
        <v>1190</v>
      </c>
      <c r="AV100" s="421" t="s">
        <v>1191</v>
      </c>
      <c r="AW100" s="421" t="s">
        <v>960</v>
      </c>
      <c r="AX100" s="421" t="s">
        <v>960</v>
      </c>
      <c r="AY100" s="421" t="s">
        <v>960</v>
      </c>
      <c r="AZ100" s="421" t="s">
        <v>1121</v>
      </c>
      <c r="BA100" s="421" t="s">
        <v>1376</v>
      </c>
      <c r="BB100" s="421" t="s">
        <v>960</v>
      </c>
      <c r="BC100" s="421" t="s">
        <v>1377</v>
      </c>
      <c r="BD100" s="421" t="s">
        <v>1378</v>
      </c>
      <c r="BE100" s="421" t="s">
        <v>1379</v>
      </c>
      <c r="BF100" s="421" t="s">
        <v>2007</v>
      </c>
      <c r="BG100" s="421" t="s">
        <v>2008</v>
      </c>
      <c r="BH100" s="421" t="s">
        <v>2009</v>
      </c>
      <c r="BI100" s="421" t="s">
        <v>1142</v>
      </c>
      <c r="BJ100" s="421" t="s">
        <v>1275</v>
      </c>
      <c r="BK100" s="421" t="s">
        <v>2005</v>
      </c>
      <c r="BL100" s="421" t="s">
        <v>2010</v>
      </c>
      <c r="BM100" s="421" t="s">
        <v>2011</v>
      </c>
      <c r="BN100" s="421" t="s">
        <v>1760</v>
      </c>
      <c r="BO100" s="421">
        <v>0</v>
      </c>
      <c r="BR100" s="421">
        <v>0</v>
      </c>
      <c r="BS100" s="421">
        <v>0</v>
      </c>
      <c r="BT100" s="421">
        <v>0</v>
      </c>
      <c r="BU100" s="424">
        <v>42120</v>
      </c>
      <c r="BX100" s="421">
        <v>2588.56</v>
      </c>
      <c r="BY100" s="421" t="s">
        <v>1183</v>
      </c>
      <c r="BZ100" s="421">
        <v>7168</v>
      </c>
      <c r="CA100" s="421">
        <v>18554798.079999998</v>
      </c>
      <c r="CB100" s="421">
        <v>2.87</v>
      </c>
      <c r="CC100" s="421">
        <v>0</v>
      </c>
      <c r="CD100" s="421">
        <v>1808.13</v>
      </c>
      <c r="CE100" s="421">
        <v>1811</v>
      </c>
      <c r="CF100" s="421">
        <v>0</v>
      </c>
      <c r="CG100" s="421">
        <v>8979</v>
      </c>
      <c r="CH100" s="421">
        <v>0</v>
      </c>
      <c r="CI100" s="421">
        <v>8979</v>
      </c>
      <c r="CJ100" s="421">
        <v>23242680.239999998</v>
      </c>
      <c r="CK100" s="421">
        <v>10</v>
      </c>
      <c r="CL100" s="421">
        <v>23242680</v>
      </c>
      <c r="CM100" s="421">
        <v>2324000</v>
      </c>
      <c r="CN100" s="421">
        <v>2324000</v>
      </c>
      <c r="CO100" s="421">
        <v>0</v>
      </c>
      <c r="CP100" s="421">
        <v>0</v>
      </c>
      <c r="CQ100" s="421">
        <v>16</v>
      </c>
      <c r="CR100" s="421">
        <v>25566680</v>
      </c>
      <c r="CS100" s="421">
        <v>4091000</v>
      </c>
      <c r="CT100" s="421">
        <v>4091000</v>
      </c>
      <c r="CU100" s="421">
        <v>0</v>
      </c>
      <c r="CV100" s="421">
        <v>0</v>
      </c>
      <c r="CW100" s="421">
        <v>0</v>
      </c>
      <c r="CX100" s="421">
        <v>0</v>
      </c>
      <c r="CY100" s="421">
        <v>0</v>
      </c>
      <c r="CZ100" s="421">
        <v>0</v>
      </c>
      <c r="DA100" s="421">
        <v>0</v>
      </c>
      <c r="DB100" s="421">
        <v>0</v>
      </c>
      <c r="DC100" s="421">
        <v>0</v>
      </c>
      <c r="DD100" s="421">
        <v>0</v>
      </c>
      <c r="DE100" s="421">
        <v>0</v>
      </c>
      <c r="DF100" s="421">
        <v>0</v>
      </c>
      <c r="DG100" s="421">
        <v>0</v>
      </c>
      <c r="DH100" s="421">
        <v>0</v>
      </c>
      <c r="DI100" s="421">
        <v>0</v>
      </c>
      <c r="DJ100" s="421">
        <v>0</v>
      </c>
      <c r="DK100" s="421">
        <v>0</v>
      </c>
      <c r="DL100" s="421">
        <v>0</v>
      </c>
      <c r="DM100" s="421">
        <v>0</v>
      </c>
      <c r="DN100" s="421">
        <v>0</v>
      </c>
      <c r="DO100" s="421">
        <v>0</v>
      </c>
      <c r="DP100" s="421">
        <v>0</v>
      </c>
      <c r="DQ100" s="421">
        <v>0</v>
      </c>
      <c r="DR100" s="421">
        <v>0</v>
      </c>
      <c r="DS100" s="421">
        <v>0</v>
      </c>
      <c r="DT100" s="421">
        <v>0</v>
      </c>
      <c r="DU100" s="421">
        <v>0</v>
      </c>
      <c r="DV100" s="421">
        <v>0</v>
      </c>
      <c r="DW100" s="421">
        <v>0</v>
      </c>
      <c r="DX100" s="421">
        <v>0</v>
      </c>
      <c r="DY100" s="421">
        <v>6415000</v>
      </c>
      <c r="DZ100" s="421">
        <v>6415000</v>
      </c>
      <c r="EA100" s="421">
        <v>0</v>
      </c>
      <c r="EB100" s="421">
        <v>0</v>
      </c>
      <c r="EC100" s="421" t="s">
        <v>1148</v>
      </c>
      <c r="ED100" s="421" t="s">
        <v>1167</v>
      </c>
      <c r="EE100" s="421" t="s">
        <v>1167</v>
      </c>
    </row>
    <row r="101" spans="1:135" x14ac:dyDescent="0.25">
      <c r="A101" s="421">
        <v>98</v>
      </c>
      <c r="B101" s="421">
        <v>2015</v>
      </c>
      <c r="C101" s="421">
        <v>6</v>
      </c>
      <c r="D101" s="421">
        <v>10</v>
      </c>
      <c r="E101" s="424">
        <v>42165</v>
      </c>
      <c r="F101" s="421" t="s">
        <v>2012</v>
      </c>
      <c r="G101" s="421" t="s">
        <v>2013</v>
      </c>
      <c r="H101" s="421" t="s">
        <v>1152</v>
      </c>
      <c r="I101" s="421" t="s">
        <v>1107</v>
      </c>
      <c r="J101" s="421" t="s">
        <v>1108</v>
      </c>
      <c r="K101" s="421" t="s">
        <v>1109</v>
      </c>
      <c r="L101" s="421" t="s">
        <v>1110</v>
      </c>
      <c r="O101" s="421" t="s">
        <v>1111</v>
      </c>
      <c r="R101" s="421" t="s">
        <v>1111</v>
      </c>
      <c r="S101" s="421" t="s">
        <v>1112</v>
      </c>
      <c r="T101" s="421" t="s">
        <v>1113</v>
      </c>
      <c r="U101" s="421" t="s">
        <v>1114</v>
      </c>
      <c r="V101" s="421" t="s">
        <v>1115</v>
      </c>
      <c r="W101" s="421" t="s">
        <v>1116</v>
      </c>
      <c r="X101" s="421" t="s">
        <v>1117</v>
      </c>
      <c r="Y101" s="421" t="s">
        <v>1118</v>
      </c>
      <c r="Z101" s="421" t="s">
        <v>1119</v>
      </c>
      <c r="AA101" s="421" t="s">
        <v>1772</v>
      </c>
      <c r="AB101" s="421" t="s">
        <v>1121</v>
      </c>
      <c r="AC101" s="421" t="s">
        <v>1122</v>
      </c>
      <c r="AD101" s="421" t="s">
        <v>1479</v>
      </c>
      <c r="AE101" s="421" t="s">
        <v>1387</v>
      </c>
      <c r="AF101" s="421" t="s">
        <v>1388</v>
      </c>
      <c r="AG101" s="421" t="s">
        <v>2014</v>
      </c>
      <c r="AH101" s="421">
        <v>15000</v>
      </c>
      <c r="AI101" s="421" t="s">
        <v>1189</v>
      </c>
      <c r="AJ101" s="421">
        <v>374</v>
      </c>
      <c r="AK101" s="421">
        <v>2</v>
      </c>
      <c r="AL101" s="421" t="s">
        <v>1173</v>
      </c>
      <c r="AM101" s="421">
        <v>1650</v>
      </c>
      <c r="AN101" s="421">
        <v>1875</v>
      </c>
      <c r="AO101" s="421" t="s">
        <v>1120</v>
      </c>
      <c r="AP101" s="421" t="s">
        <v>1129</v>
      </c>
      <c r="AR101" s="421" t="s">
        <v>1130</v>
      </c>
      <c r="AT101" s="421" t="s">
        <v>1131</v>
      </c>
      <c r="AU101" s="421" t="s">
        <v>1190</v>
      </c>
      <c r="AV101" s="421" t="s">
        <v>1191</v>
      </c>
      <c r="AW101" s="421" t="s">
        <v>960</v>
      </c>
      <c r="AX101" s="421" t="s">
        <v>960</v>
      </c>
      <c r="AY101" s="421" t="s">
        <v>960</v>
      </c>
      <c r="AZ101" s="421" t="s">
        <v>1121</v>
      </c>
      <c r="BA101" s="421" t="s">
        <v>1376</v>
      </c>
      <c r="BB101" s="421" t="s">
        <v>960</v>
      </c>
      <c r="BC101" s="421" t="s">
        <v>1377</v>
      </c>
      <c r="BD101" s="421" t="s">
        <v>1378</v>
      </c>
      <c r="BE101" s="421" t="s">
        <v>1379</v>
      </c>
      <c r="BF101" s="421" t="s">
        <v>2007</v>
      </c>
      <c r="BG101" s="421" t="s">
        <v>2008</v>
      </c>
      <c r="BH101" s="421" t="s">
        <v>2009</v>
      </c>
      <c r="BI101" s="421" t="s">
        <v>1142</v>
      </c>
      <c r="BJ101" s="421" t="s">
        <v>1275</v>
      </c>
      <c r="BK101" s="421" t="s">
        <v>2013</v>
      </c>
      <c r="BL101" s="421" t="s">
        <v>2010</v>
      </c>
      <c r="BM101" s="421" t="s">
        <v>2011</v>
      </c>
      <c r="BN101" s="421" t="s">
        <v>1760</v>
      </c>
      <c r="BO101" s="421">
        <v>0</v>
      </c>
      <c r="BR101" s="421">
        <v>0</v>
      </c>
      <c r="BS101" s="421">
        <v>0</v>
      </c>
      <c r="BT101" s="421">
        <v>0</v>
      </c>
      <c r="BU101" s="424">
        <v>42120</v>
      </c>
      <c r="BX101" s="421">
        <v>2588.56</v>
      </c>
      <c r="BY101" s="421" t="s">
        <v>1183</v>
      </c>
      <c r="BZ101" s="421">
        <v>8250</v>
      </c>
      <c r="CA101" s="421">
        <v>21355620</v>
      </c>
      <c r="CB101" s="421">
        <v>3.3</v>
      </c>
      <c r="CC101" s="421">
        <v>0</v>
      </c>
      <c r="CD101" s="421">
        <v>1891.87</v>
      </c>
      <c r="CE101" s="421">
        <v>1895.17</v>
      </c>
      <c r="CF101" s="421">
        <v>0</v>
      </c>
      <c r="CG101" s="421">
        <v>10145.17</v>
      </c>
      <c r="CH101" s="421">
        <v>0</v>
      </c>
      <c r="CI101" s="421">
        <v>10145.17</v>
      </c>
      <c r="CJ101" s="421">
        <v>26261381.255199999</v>
      </c>
      <c r="CK101" s="421">
        <v>0</v>
      </c>
      <c r="CL101" s="421">
        <v>26261381</v>
      </c>
      <c r="CM101" s="421">
        <v>0</v>
      </c>
      <c r="CN101" s="421">
        <v>0</v>
      </c>
      <c r="CO101" s="421">
        <v>0</v>
      </c>
      <c r="CP101" s="421">
        <v>0</v>
      </c>
      <c r="CQ101" s="421">
        <v>16</v>
      </c>
      <c r="CR101" s="421">
        <v>26261381</v>
      </c>
      <c r="CS101" s="421">
        <v>4202000</v>
      </c>
      <c r="CT101" s="421">
        <v>4202000</v>
      </c>
      <c r="CU101" s="421">
        <v>0</v>
      </c>
      <c r="CV101" s="421">
        <v>0</v>
      </c>
      <c r="CW101" s="421">
        <v>0</v>
      </c>
      <c r="CX101" s="421">
        <v>0</v>
      </c>
      <c r="CY101" s="421">
        <v>0</v>
      </c>
      <c r="CZ101" s="421">
        <v>0</v>
      </c>
      <c r="DA101" s="421">
        <v>0</v>
      </c>
      <c r="DB101" s="421">
        <v>0</v>
      </c>
      <c r="DC101" s="421">
        <v>0</v>
      </c>
      <c r="DD101" s="421">
        <v>0</v>
      </c>
      <c r="DE101" s="421">
        <v>0</v>
      </c>
      <c r="DF101" s="421">
        <v>0</v>
      </c>
      <c r="DG101" s="421">
        <v>0</v>
      </c>
      <c r="DH101" s="421">
        <v>0</v>
      </c>
      <c r="DI101" s="421">
        <v>0</v>
      </c>
      <c r="DJ101" s="421">
        <v>0</v>
      </c>
      <c r="DK101" s="421">
        <v>0</v>
      </c>
      <c r="DL101" s="421">
        <v>0</v>
      </c>
      <c r="DM101" s="421">
        <v>0</v>
      </c>
      <c r="DN101" s="421">
        <v>0</v>
      </c>
      <c r="DO101" s="421">
        <v>0</v>
      </c>
      <c r="DP101" s="421">
        <v>0</v>
      </c>
      <c r="DQ101" s="421">
        <v>0</v>
      </c>
      <c r="DR101" s="421">
        <v>0</v>
      </c>
      <c r="DS101" s="421">
        <v>0</v>
      </c>
      <c r="DT101" s="421">
        <v>0</v>
      </c>
      <c r="DU101" s="421">
        <v>0</v>
      </c>
      <c r="DV101" s="421">
        <v>0</v>
      </c>
      <c r="DW101" s="421">
        <v>0</v>
      </c>
      <c r="DX101" s="421">
        <v>0</v>
      </c>
      <c r="DY101" s="421">
        <v>4202000</v>
      </c>
      <c r="DZ101" s="421">
        <v>4202000</v>
      </c>
      <c r="EA101" s="421">
        <v>0</v>
      </c>
      <c r="EB101" s="421">
        <v>0</v>
      </c>
      <c r="EC101" s="421" t="s">
        <v>1148</v>
      </c>
      <c r="ED101" s="421" t="s">
        <v>1167</v>
      </c>
      <c r="EE101" s="421" t="s">
        <v>1167</v>
      </c>
    </row>
    <row r="102" spans="1:135" x14ac:dyDescent="0.25">
      <c r="A102" s="421">
        <v>99</v>
      </c>
      <c r="B102" s="421">
        <v>2015</v>
      </c>
      <c r="C102" s="421">
        <v>6</v>
      </c>
      <c r="D102" s="421">
        <v>11</v>
      </c>
      <c r="E102" s="424">
        <v>42166</v>
      </c>
      <c r="F102" s="421" t="s">
        <v>2015</v>
      </c>
      <c r="G102" s="421" t="s">
        <v>2016</v>
      </c>
      <c r="H102" s="421" t="s">
        <v>1106</v>
      </c>
      <c r="I102" s="421" t="s">
        <v>1107</v>
      </c>
      <c r="J102" s="421" t="s">
        <v>1108</v>
      </c>
      <c r="K102" s="421" t="s">
        <v>1202</v>
      </c>
      <c r="L102" s="421" t="s">
        <v>1110</v>
      </c>
      <c r="O102" s="421" t="s">
        <v>1111</v>
      </c>
      <c r="R102" s="421" t="s">
        <v>1111</v>
      </c>
      <c r="S102" s="421" t="s">
        <v>1112</v>
      </c>
      <c r="T102" s="421" t="s">
        <v>1113</v>
      </c>
      <c r="U102" s="421" t="s">
        <v>1114</v>
      </c>
      <c r="V102" s="421" t="s">
        <v>1115</v>
      </c>
      <c r="W102" s="421" t="s">
        <v>1116</v>
      </c>
      <c r="X102" s="421" t="s">
        <v>1117</v>
      </c>
      <c r="Y102" s="421" t="s">
        <v>1118</v>
      </c>
      <c r="Z102" s="421" t="s">
        <v>1119</v>
      </c>
      <c r="AA102" s="421" t="s">
        <v>1772</v>
      </c>
      <c r="AB102" s="421" t="s">
        <v>1121</v>
      </c>
      <c r="AC102" s="421" t="s">
        <v>1122</v>
      </c>
      <c r="AD102" s="421" t="s">
        <v>1479</v>
      </c>
      <c r="AE102" s="421" t="s">
        <v>1203</v>
      </c>
      <c r="AF102" s="421" t="s">
        <v>1204</v>
      </c>
      <c r="AG102" s="421" t="s">
        <v>2017</v>
      </c>
      <c r="AH102" s="421">
        <v>21500</v>
      </c>
      <c r="AI102" s="421" t="s">
        <v>1127</v>
      </c>
      <c r="AJ102" s="421">
        <v>1</v>
      </c>
      <c r="AK102" s="421">
        <v>1</v>
      </c>
      <c r="AL102" s="421" t="s">
        <v>1283</v>
      </c>
      <c r="AM102" s="421">
        <v>21500</v>
      </c>
      <c r="AN102" s="421">
        <v>21743</v>
      </c>
      <c r="AO102" s="421" t="s">
        <v>1120</v>
      </c>
      <c r="AP102" s="421" t="s">
        <v>1129</v>
      </c>
      <c r="AR102" s="421" t="s">
        <v>1130</v>
      </c>
      <c r="AT102" s="421" t="s">
        <v>1131</v>
      </c>
      <c r="AU102" s="421" t="s">
        <v>1132</v>
      </c>
      <c r="AV102" s="421" t="s">
        <v>1133</v>
      </c>
      <c r="AW102" s="421" t="s">
        <v>1207</v>
      </c>
      <c r="AX102" s="421" t="s">
        <v>1207</v>
      </c>
      <c r="AY102" s="421" t="s">
        <v>1208</v>
      </c>
      <c r="AZ102" s="421" t="s">
        <v>1121</v>
      </c>
      <c r="BA102" s="421" t="s">
        <v>1209</v>
      </c>
      <c r="BB102" s="421" t="s">
        <v>1208</v>
      </c>
      <c r="BC102" s="421" t="s">
        <v>1210</v>
      </c>
      <c r="BD102" s="421" t="s">
        <v>1211</v>
      </c>
      <c r="BE102" s="421" t="s">
        <v>1212</v>
      </c>
      <c r="BF102" s="421" t="s">
        <v>2018</v>
      </c>
      <c r="BG102" s="421" t="s">
        <v>2019</v>
      </c>
      <c r="BH102" s="421" t="s">
        <v>2020</v>
      </c>
      <c r="BI102" s="421" t="s">
        <v>1142</v>
      </c>
      <c r="BJ102" s="421" t="s">
        <v>1243</v>
      </c>
      <c r="BK102" s="421" t="s">
        <v>2016</v>
      </c>
      <c r="BL102" s="421" t="s">
        <v>2021</v>
      </c>
      <c r="BM102" s="421" t="s">
        <v>2022</v>
      </c>
      <c r="BN102" s="421" t="s">
        <v>1963</v>
      </c>
      <c r="BO102" s="421">
        <v>0</v>
      </c>
      <c r="BR102" s="421">
        <v>0</v>
      </c>
      <c r="BS102" s="421">
        <v>0</v>
      </c>
      <c r="BT102" s="421">
        <v>0</v>
      </c>
      <c r="BU102" s="424">
        <v>42158</v>
      </c>
      <c r="BX102" s="421">
        <v>2588.56</v>
      </c>
      <c r="BY102" s="421" t="s">
        <v>1147</v>
      </c>
      <c r="BZ102" s="421">
        <v>38700</v>
      </c>
      <c r="CA102" s="421">
        <v>100177272</v>
      </c>
      <c r="CB102" s="421">
        <v>15.48</v>
      </c>
      <c r="CC102" s="421">
        <v>0</v>
      </c>
      <c r="CD102" s="421">
        <v>880</v>
      </c>
      <c r="CE102" s="421">
        <v>895.48</v>
      </c>
      <c r="CF102" s="421">
        <v>0</v>
      </c>
      <c r="CG102" s="421">
        <v>39595.480000000003</v>
      </c>
      <c r="CH102" s="421">
        <v>0</v>
      </c>
      <c r="CI102" s="421">
        <v>39595.480000000003</v>
      </c>
      <c r="CJ102" s="421">
        <v>102495275.7088</v>
      </c>
      <c r="CK102" s="421">
        <v>0</v>
      </c>
      <c r="CL102" s="421">
        <v>102495276</v>
      </c>
      <c r="CM102" s="421">
        <v>0</v>
      </c>
      <c r="CN102" s="421">
        <v>0</v>
      </c>
      <c r="CO102" s="421">
        <v>0</v>
      </c>
      <c r="CP102" s="421">
        <v>0</v>
      </c>
      <c r="CQ102" s="421">
        <v>0</v>
      </c>
      <c r="CR102" s="421">
        <v>102495276</v>
      </c>
      <c r="CS102" s="421">
        <v>0</v>
      </c>
      <c r="CT102" s="421">
        <v>0</v>
      </c>
      <c r="CU102" s="421">
        <v>0</v>
      </c>
      <c r="CV102" s="421">
        <v>0</v>
      </c>
      <c r="CW102" s="421">
        <v>0</v>
      </c>
      <c r="CX102" s="421">
        <v>0</v>
      </c>
      <c r="CY102" s="421">
        <v>0</v>
      </c>
      <c r="CZ102" s="421">
        <v>0</v>
      </c>
      <c r="DA102" s="421">
        <v>0</v>
      </c>
      <c r="DB102" s="421">
        <v>0</v>
      </c>
      <c r="DC102" s="421">
        <v>0</v>
      </c>
      <c r="DD102" s="421">
        <v>0</v>
      </c>
      <c r="DE102" s="421">
        <v>0</v>
      </c>
      <c r="DF102" s="421">
        <v>0</v>
      </c>
      <c r="DG102" s="421">
        <v>0</v>
      </c>
      <c r="DH102" s="421">
        <v>0</v>
      </c>
      <c r="DI102" s="421">
        <v>0</v>
      </c>
      <c r="DJ102" s="421">
        <v>0</v>
      </c>
      <c r="DK102" s="421">
        <v>0</v>
      </c>
      <c r="DL102" s="421">
        <v>0</v>
      </c>
      <c r="DM102" s="421">
        <v>0</v>
      </c>
      <c r="DN102" s="421">
        <v>0</v>
      </c>
      <c r="DO102" s="421">
        <v>0</v>
      </c>
      <c r="DP102" s="421">
        <v>0</v>
      </c>
      <c r="DQ102" s="421">
        <v>0</v>
      </c>
      <c r="DR102" s="421">
        <v>0</v>
      </c>
      <c r="DS102" s="421">
        <v>0</v>
      </c>
      <c r="DT102" s="421">
        <v>0</v>
      </c>
      <c r="DU102" s="421">
        <v>0</v>
      </c>
      <c r="DV102" s="421">
        <v>0</v>
      </c>
      <c r="DW102" s="421">
        <v>0</v>
      </c>
      <c r="DX102" s="421">
        <v>0</v>
      </c>
      <c r="DY102" s="421">
        <v>0</v>
      </c>
      <c r="DZ102" s="421">
        <v>0</v>
      </c>
      <c r="EA102" s="421">
        <v>0</v>
      </c>
      <c r="EB102" s="421">
        <v>0</v>
      </c>
      <c r="EC102" s="421" t="s">
        <v>1148</v>
      </c>
      <c r="ED102" s="421" t="s">
        <v>1149</v>
      </c>
      <c r="EE102" s="421" t="s">
        <v>1149</v>
      </c>
    </row>
    <row r="103" spans="1:135" x14ac:dyDescent="0.25">
      <c r="A103" s="421">
        <v>100</v>
      </c>
      <c r="B103" s="421">
        <v>2015</v>
      </c>
      <c r="C103" s="421">
        <v>6</v>
      </c>
      <c r="D103" s="421">
        <v>11</v>
      </c>
      <c r="E103" s="424">
        <v>42166</v>
      </c>
      <c r="F103" s="421" t="s">
        <v>2023</v>
      </c>
      <c r="G103" s="421" t="s">
        <v>2024</v>
      </c>
      <c r="H103" s="421" t="s">
        <v>1106</v>
      </c>
      <c r="I103" s="421" t="s">
        <v>1107</v>
      </c>
      <c r="J103" s="421" t="s">
        <v>1108</v>
      </c>
      <c r="K103" s="421" t="s">
        <v>1202</v>
      </c>
      <c r="L103" s="421" t="s">
        <v>1110</v>
      </c>
      <c r="O103" s="421" t="s">
        <v>1111</v>
      </c>
      <c r="R103" s="421" t="s">
        <v>1111</v>
      </c>
      <c r="S103" s="421" t="s">
        <v>1112</v>
      </c>
      <c r="T103" s="421" t="s">
        <v>1113</v>
      </c>
      <c r="U103" s="421" t="s">
        <v>1114</v>
      </c>
      <c r="V103" s="421" t="s">
        <v>1115</v>
      </c>
      <c r="W103" s="421" t="s">
        <v>1116</v>
      </c>
      <c r="X103" s="421" t="s">
        <v>1117</v>
      </c>
      <c r="Y103" s="421" t="s">
        <v>1118</v>
      </c>
      <c r="Z103" s="421" t="s">
        <v>1119</v>
      </c>
      <c r="AA103" s="421" t="s">
        <v>1772</v>
      </c>
      <c r="AB103" s="421" t="s">
        <v>1121</v>
      </c>
      <c r="AC103" s="421" t="s">
        <v>1122</v>
      </c>
      <c r="AD103" s="421" t="s">
        <v>1479</v>
      </c>
      <c r="AE103" s="421" t="s">
        <v>1203</v>
      </c>
      <c r="AF103" s="421" t="s">
        <v>1204</v>
      </c>
      <c r="AG103" s="421" t="s">
        <v>2025</v>
      </c>
      <c r="AH103" s="421">
        <v>43000</v>
      </c>
      <c r="AI103" s="421" t="s">
        <v>1127</v>
      </c>
      <c r="AJ103" s="421">
        <v>2</v>
      </c>
      <c r="AK103" s="421">
        <v>1</v>
      </c>
      <c r="AL103" s="421" t="s">
        <v>1283</v>
      </c>
      <c r="AM103" s="421">
        <v>43000</v>
      </c>
      <c r="AN103" s="421">
        <v>43485</v>
      </c>
      <c r="AO103" s="421" t="s">
        <v>1120</v>
      </c>
      <c r="AP103" s="421" t="s">
        <v>1129</v>
      </c>
      <c r="AR103" s="421" t="s">
        <v>1130</v>
      </c>
      <c r="AT103" s="421" t="s">
        <v>1131</v>
      </c>
      <c r="AU103" s="421" t="s">
        <v>1132</v>
      </c>
      <c r="AV103" s="421" t="s">
        <v>1133</v>
      </c>
      <c r="AW103" s="421" t="s">
        <v>1207</v>
      </c>
      <c r="AX103" s="421" t="s">
        <v>1207</v>
      </c>
      <c r="AY103" s="421" t="s">
        <v>1208</v>
      </c>
      <c r="AZ103" s="421" t="s">
        <v>1121</v>
      </c>
      <c r="BA103" s="421" t="s">
        <v>1209</v>
      </c>
      <c r="BB103" s="421" t="s">
        <v>1208</v>
      </c>
      <c r="BC103" s="421" t="s">
        <v>1210</v>
      </c>
      <c r="BD103" s="421" t="s">
        <v>1211</v>
      </c>
      <c r="BE103" s="421" t="s">
        <v>1212</v>
      </c>
      <c r="BF103" s="421" t="s">
        <v>2018</v>
      </c>
      <c r="BG103" s="421" t="s">
        <v>2019</v>
      </c>
      <c r="BH103" s="421" t="s">
        <v>2026</v>
      </c>
      <c r="BI103" s="421" t="s">
        <v>1142</v>
      </c>
      <c r="BJ103" s="421" t="s">
        <v>1243</v>
      </c>
      <c r="BK103" s="421" t="s">
        <v>2024</v>
      </c>
      <c r="BL103" s="421" t="s">
        <v>2021</v>
      </c>
      <c r="BM103" s="421" t="s">
        <v>2027</v>
      </c>
      <c r="BN103" s="421" t="s">
        <v>1963</v>
      </c>
      <c r="BO103" s="421">
        <v>0</v>
      </c>
      <c r="BR103" s="421">
        <v>0</v>
      </c>
      <c r="BS103" s="421">
        <v>0</v>
      </c>
      <c r="BT103" s="421">
        <v>0</v>
      </c>
      <c r="BU103" s="424">
        <v>42158</v>
      </c>
      <c r="BX103" s="421">
        <v>2588.56</v>
      </c>
      <c r="BY103" s="421" t="s">
        <v>1147</v>
      </c>
      <c r="BZ103" s="421">
        <v>77400</v>
      </c>
      <c r="CA103" s="421">
        <v>200354544</v>
      </c>
      <c r="CB103" s="421">
        <v>30.96</v>
      </c>
      <c r="CC103" s="421">
        <v>0</v>
      </c>
      <c r="CD103" s="421">
        <v>1680</v>
      </c>
      <c r="CE103" s="421">
        <v>1710.96</v>
      </c>
      <c r="CF103" s="421">
        <v>0</v>
      </c>
      <c r="CG103" s="421">
        <v>79110.960000000006</v>
      </c>
      <c r="CH103" s="421">
        <v>0</v>
      </c>
      <c r="CI103" s="421">
        <v>79110.960000000006</v>
      </c>
      <c r="CJ103" s="421">
        <v>204783466.61759999</v>
      </c>
      <c r="CK103" s="421">
        <v>0</v>
      </c>
      <c r="CL103" s="421">
        <v>204783467</v>
      </c>
      <c r="CM103" s="421">
        <v>0</v>
      </c>
      <c r="CN103" s="421">
        <v>0</v>
      </c>
      <c r="CO103" s="421">
        <v>0</v>
      </c>
      <c r="CP103" s="421">
        <v>0</v>
      </c>
      <c r="CQ103" s="421">
        <v>0</v>
      </c>
      <c r="CR103" s="421">
        <v>204783467</v>
      </c>
      <c r="CS103" s="421">
        <v>0</v>
      </c>
      <c r="CT103" s="421">
        <v>0</v>
      </c>
      <c r="CU103" s="421">
        <v>0</v>
      </c>
      <c r="CV103" s="421">
        <v>0</v>
      </c>
      <c r="CW103" s="421">
        <v>0</v>
      </c>
      <c r="CX103" s="421">
        <v>0</v>
      </c>
      <c r="CY103" s="421">
        <v>0</v>
      </c>
      <c r="CZ103" s="421">
        <v>0</v>
      </c>
      <c r="DA103" s="421">
        <v>0</v>
      </c>
      <c r="DB103" s="421">
        <v>0</v>
      </c>
      <c r="DC103" s="421">
        <v>0</v>
      </c>
      <c r="DD103" s="421">
        <v>0</v>
      </c>
      <c r="DE103" s="421">
        <v>0</v>
      </c>
      <c r="DF103" s="421">
        <v>0</v>
      </c>
      <c r="DG103" s="421">
        <v>0</v>
      </c>
      <c r="DH103" s="421">
        <v>0</v>
      </c>
      <c r="DI103" s="421">
        <v>0</v>
      </c>
      <c r="DJ103" s="421">
        <v>0</v>
      </c>
      <c r="DK103" s="421">
        <v>0</v>
      </c>
      <c r="DL103" s="421">
        <v>0</v>
      </c>
      <c r="DM103" s="421">
        <v>0</v>
      </c>
      <c r="DN103" s="421">
        <v>0</v>
      </c>
      <c r="DO103" s="421">
        <v>0</v>
      </c>
      <c r="DP103" s="421">
        <v>0</v>
      </c>
      <c r="DQ103" s="421">
        <v>0</v>
      </c>
      <c r="DR103" s="421">
        <v>0</v>
      </c>
      <c r="DS103" s="421">
        <v>0</v>
      </c>
      <c r="DT103" s="421">
        <v>0</v>
      </c>
      <c r="DU103" s="421">
        <v>0</v>
      </c>
      <c r="DV103" s="421">
        <v>0</v>
      </c>
      <c r="DW103" s="421">
        <v>0</v>
      </c>
      <c r="DX103" s="421">
        <v>0</v>
      </c>
      <c r="DY103" s="421">
        <v>0</v>
      </c>
      <c r="DZ103" s="421">
        <v>0</v>
      </c>
      <c r="EA103" s="421">
        <v>0</v>
      </c>
      <c r="EB103" s="421">
        <v>0</v>
      </c>
      <c r="EC103" s="421" t="s">
        <v>1148</v>
      </c>
      <c r="ED103" s="421" t="s">
        <v>1149</v>
      </c>
      <c r="EE103" s="421" t="s">
        <v>1149</v>
      </c>
    </row>
    <row r="104" spans="1:135" x14ac:dyDescent="0.25">
      <c r="A104" s="421">
        <v>101</v>
      </c>
      <c r="B104" s="421">
        <v>2015</v>
      </c>
      <c r="C104" s="421">
        <v>6</v>
      </c>
      <c r="D104" s="421">
        <v>16</v>
      </c>
      <c r="E104" s="424">
        <v>42171</v>
      </c>
      <c r="F104" s="421" t="s">
        <v>2028</v>
      </c>
      <c r="G104" s="421" t="s">
        <v>2029</v>
      </c>
      <c r="H104" s="421" t="s">
        <v>1152</v>
      </c>
      <c r="I104" s="421" t="s">
        <v>1107</v>
      </c>
      <c r="J104" s="421" t="s">
        <v>1108</v>
      </c>
      <c r="K104" s="421" t="s">
        <v>1109</v>
      </c>
      <c r="L104" s="421" t="s">
        <v>1110</v>
      </c>
      <c r="O104" s="421" t="s">
        <v>1111</v>
      </c>
      <c r="R104" s="421" t="s">
        <v>1111</v>
      </c>
      <c r="S104" s="421" t="s">
        <v>1112</v>
      </c>
      <c r="T104" s="421" t="s">
        <v>1113</v>
      </c>
      <c r="U104" s="421" t="s">
        <v>1114</v>
      </c>
      <c r="V104" s="421" t="s">
        <v>1115</v>
      </c>
      <c r="W104" s="421" t="s">
        <v>1116</v>
      </c>
      <c r="X104" s="421" t="s">
        <v>1117</v>
      </c>
      <c r="Y104" s="421" t="s">
        <v>1118</v>
      </c>
      <c r="Z104" s="421" t="s">
        <v>1119</v>
      </c>
      <c r="AA104" s="421" t="s">
        <v>1772</v>
      </c>
      <c r="AB104" s="421" t="s">
        <v>1121</v>
      </c>
      <c r="AC104" s="421" t="s">
        <v>1122</v>
      </c>
      <c r="AD104" s="421" t="s">
        <v>1479</v>
      </c>
      <c r="AE104" s="421" t="s">
        <v>1471</v>
      </c>
      <c r="AF104" s="421" t="s">
        <v>1472</v>
      </c>
      <c r="AG104" s="421" t="s">
        <v>2030</v>
      </c>
      <c r="AH104" s="421">
        <v>186912</v>
      </c>
      <c r="AI104" s="421" t="s">
        <v>1189</v>
      </c>
      <c r="AJ104" s="421">
        <v>872</v>
      </c>
      <c r="AK104" s="421">
        <v>1</v>
      </c>
      <c r="AL104" s="421" t="s">
        <v>1173</v>
      </c>
      <c r="AM104" s="421">
        <v>8340.16</v>
      </c>
      <c r="AN104" s="421">
        <v>9158.6</v>
      </c>
      <c r="AO104" s="421" t="s">
        <v>1120</v>
      </c>
      <c r="AP104" s="421" t="s">
        <v>2031</v>
      </c>
      <c r="AQ104" s="421" t="s">
        <v>1475</v>
      </c>
      <c r="AR104" s="421" t="s">
        <v>1476</v>
      </c>
      <c r="AT104" s="421" t="s">
        <v>1131</v>
      </c>
      <c r="AU104" s="421" t="s">
        <v>1303</v>
      </c>
      <c r="AV104" s="421" t="s">
        <v>1304</v>
      </c>
      <c r="AW104" s="421" t="s">
        <v>960</v>
      </c>
      <c r="AX104" s="421" t="s">
        <v>960</v>
      </c>
      <c r="AY104" s="421" t="s">
        <v>960</v>
      </c>
      <c r="AZ104" s="421" t="s">
        <v>1121</v>
      </c>
      <c r="BA104" s="421" t="s">
        <v>1305</v>
      </c>
      <c r="BB104" s="421" t="s">
        <v>960</v>
      </c>
      <c r="BC104" s="421" t="s">
        <v>1175</v>
      </c>
      <c r="BD104" s="421" t="s">
        <v>1306</v>
      </c>
      <c r="BE104" s="421" t="s">
        <v>1885</v>
      </c>
      <c r="BF104" s="421" t="s">
        <v>1886</v>
      </c>
      <c r="BG104" s="421" t="s">
        <v>1887</v>
      </c>
      <c r="BH104" s="421" t="s">
        <v>1888</v>
      </c>
      <c r="BI104" s="421" t="s">
        <v>1142</v>
      </c>
      <c r="BJ104" s="421" t="s">
        <v>1243</v>
      </c>
      <c r="BK104" s="421" t="s">
        <v>2029</v>
      </c>
      <c r="BL104" s="421" t="s">
        <v>2032</v>
      </c>
      <c r="BM104" s="421" t="s">
        <v>1890</v>
      </c>
      <c r="BN104" s="421" t="s">
        <v>1717</v>
      </c>
      <c r="BO104" s="421">
        <v>0</v>
      </c>
      <c r="BR104" s="421">
        <v>0</v>
      </c>
      <c r="BS104" s="421">
        <v>0</v>
      </c>
      <c r="BT104" s="421">
        <v>0</v>
      </c>
      <c r="BU104" s="424">
        <v>42103</v>
      </c>
      <c r="BX104" s="421">
        <v>2538.5500000000002</v>
      </c>
      <c r="BY104" s="421" t="s">
        <v>1183</v>
      </c>
      <c r="BZ104" s="421">
        <v>60292.5</v>
      </c>
      <c r="CA104" s="421">
        <v>153055525.875</v>
      </c>
      <c r="CB104" s="421">
        <v>24.11</v>
      </c>
      <c r="CC104" s="421">
        <v>0</v>
      </c>
      <c r="CD104" s="421">
        <v>3637.15</v>
      </c>
      <c r="CE104" s="421">
        <v>3661.26</v>
      </c>
      <c r="CF104" s="421">
        <v>0</v>
      </c>
      <c r="CG104" s="421">
        <v>63953.760000000002</v>
      </c>
      <c r="CH104" s="421">
        <v>0</v>
      </c>
      <c r="CI104" s="421">
        <v>63953.760000000002</v>
      </c>
      <c r="CJ104" s="421">
        <v>162349817.44800001</v>
      </c>
      <c r="CK104" s="421">
        <v>15</v>
      </c>
      <c r="CL104" s="421">
        <v>162349817</v>
      </c>
      <c r="CM104" s="421">
        <v>24352000</v>
      </c>
      <c r="CN104" s="421">
        <v>24352000</v>
      </c>
      <c r="CO104" s="421">
        <v>0</v>
      </c>
      <c r="CP104" s="421">
        <v>0</v>
      </c>
      <c r="CQ104" s="421">
        <v>16</v>
      </c>
      <c r="CR104" s="421">
        <v>186701817</v>
      </c>
      <c r="CS104" s="421">
        <v>29872000</v>
      </c>
      <c r="CT104" s="421">
        <v>29872000</v>
      </c>
      <c r="CU104" s="421">
        <v>0</v>
      </c>
      <c r="CV104" s="421">
        <v>0</v>
      </c>
      <c r="CW104" s="421">
        <v>0</v>
      </c>
      <c r="CX104" s="421">
        <v>0</v>
      </c>
      <c r="CY104" s="421">
        <v>0</v>
      </c>
      <c r="CZ104" s="421">
        <v>0</v>
      </c>
      <c r="DA104" s="421">
        <v>0</v>
      </c>
      <c r="DB104" s="421">
        <v>0</v>
      </c>
      <c r="DC104" s="421">
        <v>0</v>
      </c>
      <c r="DD104" s="421">
        <v>0</v>
      </c>
      <c r="DE104" s="421">
        <v>0</v>
      </c>
      <c r="DF104" s="421">
        <v>0</v>
      </c>
      <c r="DG104" s="421">
        <v>0</v>
      </c>
      <c r="DH104" s="421">
        <v>0</v>
      </c>
      <c r="DI104" s="421">
        <v>0</v>
      </c>
      <c r="DJ104" s="421">
        <v>0</v>
      </c>
      <c r="DK104" s="421">
        <v>0</v>
      </c>
      <c r="DL104" s="421">
        <v>0</v>
      </c>
      <c r="DM104" s="421">
        <v>0</v>
      </c>
      <c r="DN104" s="421">
        <v>0</v>
      </c>
      <c r="DO104" s="421">
        <v>0</v>
      </c>
      <c r="DP104" s="421">
        <v>0</v>
      </c>
      <c r="DQ104" s="421">
        <v>0</v>
      </c>
      <c r="DR104" s="421">
        <v>0</v>
      </c>
      <c r="DS104" s="421">
        <v>0</v>
      </c>
      <c r="DT104" s="421">
        <v>0</v>
      </c>
      <c r="DU104" s="421">
        <v>0</v>
      </c>
      <c r="DV104" s="421">
        <v>0</v>
      </c>
      <c r="DW104" s="421">
        <v>0</v>
      </c>
      <c r="DX104" s="421">
        <v>0</v>
      </c>
      <c r="DY104" s="421">
        <v>54224000</v>
      </c>
      <c r="DZ104" s="421">
        <v>54224000</v>
      </c>
      <c r="EA104" s="421">
        <v>0</v>
      </c>
      <c r="EB104" s="421">
        <v>0</v>
      </c>
      <c r="EC104" s="421" t="s">
        <v>1148</v>
      </c>
      <c r="ED104" s="421" t="s">
        <v>1167</v>
      </c>
      <c r="EE104" s="421" t="s">
        <v>1167</v>
      </c>
    </row>
    <row r="105" spans="1:135" x14ac:dyDescent="0.25">
      <c r="A105" s="421">
        <v>102</v>
      </c>
      <c r="B105" s="421">
        <v>2015</v>
      </c>
      <c r="C105" s="421">
        <v>6</v>
      </c>
      <c r="D105" s="421">
        <v>17</v>
      </c>
      <c r="E105" s="424">
        <v>42172</v>
      </c>
      <c r="F105" s="421" t="s">
        <v>2033</v>
      </c>
      <c r="G105" s="421" t="s">
        <v>2034</v>
      </c>
      <c r="H105" s="421" t="s">
        <v>1106</v>
      </c>
      <c r="I105" s="421" t="s">
        <v>1107</v>
      </c>
      <c r="J105" s="421" t="s">
        <v>1108</v>
      </c>
      <c r="K105" s="421" t="s">
        <v>1109</v>
      </c>
      <c r="L105" s="421" t="s">
        <v>1110</v>
      </c>
      <c r="O105" s="421" t="s">
        <v>1111</v>
      </c>
      <c r="R105" s="421" t="s">
        <v>1111</v>
      </c>
      <c r="S105" s="421" t="s">
        <v>1112</v>
      </c>
      <c r="T105" s="421" t="s">
        <v>1113</v>
      </c>
      <c r="U105" s="421" t="s">
        <v>1114</v>
      </c>
      <c r="V105" s="421" t="s">
        <v>1115</v>
      </c>
      <c r="W105" s="421" t="s">
        <v>1116</v>
      </c>
      <c r="X105" s="421" t="s">
        <v>1117</v>
      </c>
      <c r="Y105" s="421" t="s">
        <v>1118</v>
      </c>
      <c r="Z105" s="421" t="s">
        <v>1119</v>
      </c>
      <c r="AA105" s="421" t="s">
        <v>1772</v>
      </c>
      <c r="AB105" s="421" t="s">
        <v>1121</v>
      </c>
      <c r="AC105" s="421" t="s">
        <v>1122</v>
      </c>
      <c r="AD105" s="421" t="s">
        <v>1479</v>
      </c>
      <c r="AE105" s="421" t="s">
        <v>1480</v>
      </c>
      <c r="AF105" s="421" t="s">
        <v>1481</v>
      </c>
      <c r="AG105" s="421" t="s">
        <v>2035</v>
      </c>
      <c r="AH105" s="421">
        <v>54288</v>
      </c>
      <c r="AI105" s="421" t="s">
        <v>1189</v>
      </c>
      <c r="AJ105" s="421">
        <v>481</v>
      </c>
      <c r="AK105" s="421">
        <v>5</v>
      </c>
      <c r="AL105" s="421" t="s">
        <v>1206</v>
      </c>
      <c r="AM105" s="421">
        <v>2536.37</v>
      </c>
      <c r="AN105" s="421">
        <v>2996.47</v>
      </c>
      <c r="AO105" s="421" t="s">
        <v>1120</v>
      </c>
      <c r="AP105" s="421" t="s">
        <v>2036</v>
      </c>
      <c r="AQ105" s="421" t="s">
        <v>1475</v>
      </c>
      <c r="AR105" s="421" t="s">
        <v>1476</v>
      </c>
      <c r="AT105" s="421" t="s">
        <v>1131</v>
      </c>
      <c r="AU105" s="421" t="s">
        <v>1303</v>
      </c>
      <c r="AV105" s="421" t="s">
        <v>1304</v>
      </c>
      <c r="AW105" s="421" t="s">
        <v>960</v>
      </c>
      <c r="AX105" s="421" t="s">
        <v>960</v>
      </c>
      <c r="AY105" s="421" t="s">
        <v>2037</v>
      </c>
      <c r="AZ105" s="421" t="s">
        <v>1121</v>
      </c>
      <c r="BA105" s="421" t="s">
        <v>2038</v>
      </c>
      <c r="BB105" s="421" t="s">
        <v>2037</v>
      </c>
      <c r="BC105" s="421" t="s">
        <v>2039</v>
      </c>
      <c r="BD105" s="421" t="s">
        <v>2040</v>
      </c>
      <c r="BE105" s="421" t="s">
        <v>2041</v>
      </c>
      <c r="BF105" s="421" t="s">
        <v>2042</v>
      </c>
      <c r="BG105" s="421" t="s">
        <v>1953</v>
      </c>
      <c r="BH105" s="421" t="s">
        <v>2043</v>
      </c>
      <c r="BI105" s="421" t="s">
        <v>1142</v>
      </c>
      <c r="BJ105" s="421" t="s">
        <v>1180</v>
      </c>
      <c r="BK105" s="421" t="s">
        <v>2034</v>
      </c>
      <c r="BL105" s="421" t="s">
        <v>2044</v>
      </c>
      <c r="BM105" s="421" t="s">
        <v>2045</v>
      </c>
      <c r="BN105" s="421" t="s">
        <v>1805</v>
      </c>
      <c r="BO105" s="421">
        <v>0</v>
      </c>
      <c r="BR105" s="421">
        <v>0</v>
      </c>
      <c r="BS105" s="421">
        <v>0</v>
      </c>
      <c r="BT105" s="421">
        <v>0</v>
      </c>
      <c r="BU105" s="424">
        <v>42108</v>
      </c>
      <c r="BX105" s="421">
        <v>2538.5500000000002</v>
      </c>
      <c r="BY105" s="421" t="s">
        <v>1147</v>
      </c>
      <c r="BZ105" s="421">
        <v>24662.880000000001</v>
      </c>
      <c r="CA105" s="421">
        <v>62607954.023999996</v>
      </c>
      <c r="CB105" s="421">
        <v>9.8699999999999992</v>
      </c>
      <c r="CC105" s="421">
        <v>0</v>
      </c>
      <c r="CD105" s="421">
        <v>2656.62</v>
      </c>
      <c r="CE105" s="421">
        <v>2666.49</v>
      </c>
      <c r="CF105" s="421">
        <v>0</v>
      </c>
      <c r="CG105" s="421">
        <v>27329.37</v>
      </c>
      <c r="CH105" s="421">
        <v>0</v>
      </c>
      <c r="CI105" s="421">
        <v>27329.37</v>
      </c>
      <c r="CJ105" s="421">
        <v>69376972.213499993</v>
      </c>
      <c r="CK105" s="421">
        <v>15</v>
      </c>
      <c r="CL105" s="421">
        <v>69376972</v>
      </c>
      <c r="CM105" s="421">
        <v>10407000</v>
      </c>
      <c r="CN105" s="421">
        <v>10407000</v>
      </c>
      <c r="CO105" s="421">
        <v>0</v>
      </c>
      <c r="CP105" s="421">
        <v>0</v>
      </c>
      <c r="CQ105" s="421">
        <v>16</v>
      </c>
      <c r="CR105" s="421">
        <v>79783972</v>
      </c>
      <c r="CS105" s="421">
        <v>12765000</v>
      </c>
      <c r="CT105" s="421">
        <v>12765000</v>
      </c>
      <c r="CU105" s="421">
        <v>0</v>
      </c>
      <c r="CV105" s="421">
        <v>0</v>
      </c>
      <c r="CW105" s="421">
        <v>0</v>
      </c>
      <c r="CX105" s="421">
        <v>0</v>
      </c>
      <c r="CY105" s="421">
        <v>0</v>
      </c>
      <c r="CZ105" s="421">
        <v>0</v>
      </c>
      <c r="DA105" s="421">
        <v>0</v>
      </c>
      <c r="DB105" s="421">
        <v>0</v>
      </c>
      <c r="DC105" s="421">
        <v>0</v>
      </c>
      <c r="DD105" s="421">
        <v>0</v>
      </c>
      <c r="DE105" s="421">
        <v>0</v>
      </c>
      <c r="DF105" s="421">
        <v>0</v>
      </c>
      <c r="DG105" s="421">
        <v>0</v>
      </c>
      <c r="DH105" s="421">
        <v>0</v>
      </c>
      <c r="DI105" s="421">
        <v>0</v>
      </c>
      <c r="DJ105" s="421">
        <v>0</v>
      </c>
      <c r="DK105" s="421">
        <v>0</v>
      </c>
      <c r="DL105" s="421">
        <v>0</v>
      </c>
      <c r="DM105" s="421">
        <v>0</v>
      </c>
      <c r="DN105" s="421">
        <v>0</v>
      </c>
      <c r="DO105" s="421">
        <v>0</v>
      </c>
      <c r="DP105" s="421">
        <v>0</v>
      </c>
      <c r="DQ105" s="421">
        <v>0</v>
      </c>
      <c r="DR105" s="421">
        <v>0</v>
      </c>
      <c r="DS105" s="421">
        <v>0</v>
      </c>
      <c r="DT105" s="421">
        <v>0</v>
      </c>
      <c r="DU105" s="421">
        <v>0</v>
      </c>
      <c r="DV105" s="421">
        <v>0</v>
      </c>
      <c r="DW105" s="421">
        <v>0</v>
      </c>
      <c r="DX105" s="421">
        <v>0</v>
      </c>
      <c r="DY105" s="421">
        <v>23172000</v>
      </c>
      <c r="DZ105" s="421">
        <v>23172000</v>
      </c>
      <c r="EA105" s="421">
        <v>0</v>
      </c>
      <c r="EB105" s="421">
        <v>0</v>
      </c>
      <c r="EC105" s="421" t="s">
        <v>1148</v>
      </c>
      <c r="ED105" s="421" t="s">
        <v>1149</v>
      </c>
      <c r="EE105" s="421" t="s">
        <v>1167</v>
      </c>
    </row>
    <row r="106" spans="1:135" x14ac:dyDescent="0.25">
      <c r="A106" s="421">
        <v>103</v>
      </c>
      <c r="B106" s="421">
        <v>2015</v>
      </c>
      <c r="C106" s="421">
        <v>6</v>
      </c>
      <c r="D106" s="421">
        <v>17</v>
      </c>
      <c r="E106" s="424">
        <v>42172</v>
      </c>
      <c r="F106" s="421" t="s">
        <v>2046</v>
      </c>
      <c r="G106" s="421" t="s">
        <v>2047</v>
      </c>
      <c r="H106" s="421" t="s">
        <v>1106</v>
      </c>
      <c r="I106" s="421" t="s">
        <v>1901</v>
      </c>
      <c r="J106" s="421" t="s">
        <v>1108</v>
      </c>
      <c r="K106" s="421" t="s">
        <v>1109</v>
      </c>
      <c r="L106" s="421" t="s">
        <v>1110</v>
      </c>
      <c r="M106" s="421" t="s">
        <v>2044</v>
      </c>
      <c r="N106" s="421" t="s">
        <v>2048</v>
      </c>
      <c r="O106" s="421" t="s">
        <v>1108</v>
      </c>
      <c r="R106" s="421" t="s">
        <v>1111</v>
      </c>
      <c r="S106" s="421" t="s">
        <v>1112</v>
      </c>
      <c r="T106" s="421" t="s">
        <v>1113</v>
      </c>
      <c r="U106" s="421" t="s">
        <v>1114</v>
      </c>
      <c r="V106" s="421" t="s">
        <v>1115</v>
      </c>
      <c r="W106" s="421" t="s">
        <v>1116</v>
      </c>
      <c r="X106" s="421" t="s">
        <v>1117</v>
      </c>
      <c r="Y106" s="421" t="s">
        <v>1118</v>
      </c>
      <c r="Z106" s="421" t="s">
        <v>1119</v>
      </c>
      <c r="AA106" s="421" t="s">
        <v>1772</v>
      </c>
      <c r="AB106" s="421" t="s">
        <v>1121</v>
      </c>
      <c r="AC106" s="421" t="s">
        <v>1122</v>
      </c>
      <c r="AD106" s="421" t="s">
        <v>1479</v>
      </c>
      <c r="AE106" s="421" t="s">
        <v>1170</v>
      </c>
      <c r="AF106" s="421" t="s">
        <v>1171</v>
      </c>
      <c r="AG106" s="421" t="s">
        <v>2049</v>
      </c>
      <c r="AH106" s="421">
        <v>3873.7</v>
      </c>
      <c r="AI106" s="421" t="s">
        <v>1127</v>
      </c>
      <c r="AJ106" s="421">
        <v>405</v>
      </c>
      <c r="AK106" s="421">
        <v>1</v>
      </c>
      <c r="AL106" s="421" t="s">
        <v>1206</v>
      </c>
      <c r="AM106" s="421">
        <v>3873.7</v>
      </c>
      <c r="AN106" s="421">
        <v>4710</v>
      </c>
      <c r="AO106" s="421" t="s">
        <v>1120</v>
      </c>
      <c r="AP106" s="421" t="s">
        <v>1129</v>
      </c>
      <c r="AR106" s="421" t="s">
        <v>1130</v>
      </c>
      <c r="AT106" s="421" t="s">
        <v>1131</v>
      </c>
      <c r="AU106" s="421" t="s">
        <v>1911</v>
      </c>
      <c r="AV106" s="421" t="s">
        <v>1912</v>
      </c>
      <c r="AW106" s="421" t="s">
        <v>960</v>
      </c>
      <c r="AX106" s="421" t="s">
        <v>960</v>
      </c>
      <c r="AY106" s="421" t="s">
        <v>960</v>
      </c>
      <c r="AZ106" s="421" t="s">
        <v>1121</v>
      </c>
      <c r="BA106" s="421" t="s">
        <v>1174</v>
      </c>
      <c r="BB106" s="421" t="s">
        <v>960</v>
      </c>
      <c r="BC106" s="421" t="s">
        <v>1175</v>
      </c>
      <c r="BD106" s="421" t="s">
        <v>1176</v>
      </c>
      <c r="BE106" s="421" t="s">
        <v>1177</v>
      </c>
      <c r="BF106" s="421" t="s">
        <v>2050</v>
      </c>
      <c r="BG106" s="421" t="s">
        <v>1978</v>
      </c>
      <c r="BH106" s="421" t="s">
        <v>2051</v>
      </c>
      <c r="BI106" s="421" t="s">
        <v>1142</v>
      </c>
      <c r="BJ106" s="421" t="s">
        <v>1180</v>
      </c>
      <c r="BK106" s="421" t="s">
        <v>2047</v>
      </c>
      <c r="BL106" s="421" t="s">
        <v>2044</v>
      </c>
      <c r="BM106" s="421" t="s">
        <v>2052</v>
      </c>
      <c r="BN106" s="421" t="s">
        <v>1989</v>
      </c>
      <c r="BO106" s="421">
        <v>0</v>
      </c>
      <c r="BR106" s="421">
        <v>0</v>
      </c>
      <c r="BS106" s="421">
        <v>0</v>
      </c>
      <c r="BT106" s="421">
        <v>0</v>
      </c>
      <c r="BU106" s="424">
        <v>42119</v>
      </c>
      <c r="BX106" s="421">
        <v>2538.5500000000002</v>
      </c>
      <c r="BY106" s="421" t="s">
        <v>1183</v>
      </c>
      <c r="BZ106" s="421">
        <v>20597.77</v>
      </c>
      <c r="CA106" s="421">
        <v>52288469.033500001</v>
      </c>
      <c r="CB106" s="421">
        <v>8.24</v>
      </c>
      <c r="CC106" s="421">
        <v>0</v>
      </c>
      <c r="CD106" s="421">
        <v>3070</v>
      </c>
      <c r="CE106" s="421">
        <v>3078.24</v>
      </c>
      <c r="CF106" s="421">
        <v>0</v>
      </c>
      <c r="CG106" s="421">
        <v>23676.01</v>
      </c>
      <c r="CH106" s="421">
        <v>0</v>
      </c>
      <c r="CI106" s="421">
        <v>23676.01</v>
      </c>
      <c r="CJ106" s="421">
        <v>60102735.185500003</v>
      </c>
      <c r="CK106" s="421">
        <v>15</v>
      </c>
      <c r="CL106" s="421">
        <v>60102735</v>
      </c>
      <c r="CM106" s="421">
        <v>9015000</v>
      </c>
      <c r="CN106" s="421">
        <v>9015000</v>
      </c>
      <c r="CO106" s="421">
        <v>0</v>
      </c>
      <c r="CP106" s="421">
        <v>0</v>
      </c>
      <c r="CQ106" s="421">
        <v>16</v>
      </c>
      <c r="CR106" s="421">
        <v>69117735</v>
      </c>
      <c r="CS106" s="421">
        <v>11059000</v>
      </c>
      <c r="CT106" s="421">
        <v>11059000</v>
      </c>
      <c r="CU106" s="421">
        <v>0</v>
      </c>
      <c r="CV106" s="421">
        <v>0</v>
      </c>
      <c r="CW106" s="421">
        <v>0</v>
      </c>
      <c r="CX106" s="421">
        <v>0</v>
      </c>
      <c r="CY106" s="421">
        <v>0</v>
      </c>
      <c r="CZ106" s="421">
        <v>0</v>
      </c>
      <c r="DA106" s="421">
        <v>0</v>
      </c>
      <c r="DB106" s="421">
        <v>0</v>
      </c>
      <c r="DC106" s="421">
        <v>0</v>
      </c>
      <c r="DD106" s="421">
        <v>0</v>
      </c>
      <c r="DE106" s="421">
        <v>0</v>
      </c>
      <c r="DF106" s="421">
        <v>0</v>
      </c>
      <c r="DG106" s="421">
        <v>0</v>
      </c>
      <c r="DH106" s="421">
        <v>0</v>
      </c>
      <c r="DI106" s="421">
        <v>0</v>
      </c>
      <c r="DJ106" s="421">
        <v>0</v>
      </c>
      <c r="DK106" s="421">
        <v>0</v>
      </c>
      <c r="DL106" s="421">
        <v>0</v>
      </c>
      <c r="DM106" s="421">
        <v>0</v>
      </c>
      <c r="DN106" s="421">
        <v>0</v>
      </c>
      <c r="DO106" s="421">
        <v>0</v>
      </c>
      <c r="DP106" s="421">
        <v>0</v>
      </c>
      <c r="DQ106" s="421">
        <v>0</v>
      </c>
      <c r="DR106" s="421">
        <v>0</v>
      </c>
      <c r="DS106" s="421">
        <v>0</v>
      </c>
      <c r="DT106" s="421">
        <v>0</v>
      </c>
      <c r="DU106" s="421">
        <v>0</v>
      </c>
      <c r="DV106" s="421">
        <v>0</v>
      </c>
      <c r="DW106" s="421">
        <v>0</v>
      </c>
      <c r="DX106" s="421">
        <v>0</v>
      </c>
      <c r="DY106" s="421">
        <v>20074000</v>
      </c>
      <c r="DZ106" s="421">
        <v>20074000</v>
      </c>
      <c r="EA106" s="421">
        <v>0</v>
      </c>
      <c r="EB106" s="421">
        <v>0</v>
      </c>
      <c r="EC106" s="421" t="s">
        <v>1148</v>
      </c>
      <c r="ED106" s="421" t="s">
        <v>1167</v>
      </c>
      <c r="EE106" s="421" t="s">
        <v>1167</v>
      </c>
    </row>
    <row r="107" spans="1:135" x14ac:dyDescent="0.25">
      <c r="A107" s="421">
        <v>104</v>
      </c>
      <c r="B107" s="421">
        <v>2015</v>
      </c>
      <c r="C107" s="421">
        <v>6</v>
      </c>
      <c r="D107" s="421">
        <v>17</v>
      </c>
      <c r="E107" s="424">
        <v>42172</v>
      </c>
      <c r="F107" s="421" t="s">
        <v>2053</v>
      </c>
      <c r="G107" s="421" t="s">
        <v>2054</v>
      </c>
      <c r="H107" s="421" t="s">
        <v>1106</v>
      </c>
      <c r="I107" s="421" t="s">
        <v>1107</v>
      </c>
      <c r="J107" s="421" t="s">
        <v>1108</v>
      </c>
      <c r="K107" s="421" t="s">
        <v>1109</v>
      </c>
      <c r="L107" s="421" t="s">
        <v>1110</v>
      </c>
      <c r="O107" s="421" t="s">
        <v>1111</v>
      </c>
      <c r="R107" s="421" t="s">
        <v>1111</v>
      </c>
      <c r="S107" s="421" t="s">
        <v>1112</v>
      </c>
      <c r="T107" s="421" t="s">
        <v>1113</v>
      </c>
      <c r="U107" s="421" t="s">
        <v>1114</v>
      </c>
      <c r="V107" s="421" t="s">
        <v>1115</v>
      </c>
      <c r="W107" s="421" t="s">
        <v>1116</v>
      </c>
      <c r="X107" s="421" t="s">
        <v>1117</v>
      </c>
      <c r="Y107" s="421" t="s">
        <v>1118</v>
      </c>
      <c r="Z107" s="421" t="s">
        <v>1119</v>
      </c>
      <c r="AA107" s="421" t="s">
        <v>1772</v>
      </c>
      <c r="AB107" s="421" t="s">
        <v>1121</v>
      </c>
      <c r="AC107" s="421" t="s">
        <v>1122</v>
      </c>
      <c r="AD107" s="421" t="s">
        <v>1479</v>
      </c>
      <c r="AE107" s="421" t="s">
        <v>2055</v>
      </c>
      <c r="AF107" s="421" t="s">
        <v>2056</v>
      </c>
      <c r="AG107" s="421" t="s">
        <v>2057</v>
      </c>
      <c r="AH107" s="421">
        <v>2304</v>
      </c>
      <c r="AI107" s="421" t="s">
        <v>1189</v>
      </c>
      <c r="AJ107" s="421">
        <v>481</v>
      </c>
      <c r="AK107" s="421">
        <v>5</v>
      </c>
      <c r="AL107" s="421" t="s">
        <v>1206</v>
      </c>
      <c r="AM107" s="421">
        <v>90.04</v>
      </c>
      <c r="AN107" s="421">
        <v>106.37</v>
      </c>
      <c r="AO107" s="421" t="s">
        <v>1120</v>
      </c>
      <c r="AP107" s="421" t="s">
        <v>2036</v>
      </c>
      <c r="AQ107" s="421" t="s">
        <v>1475</v>
      </c>
      <c r="AR107" s="421" t="s">
        <v>1476</v>
      </c>
      <c r="AT107" s="421" t="s">
        <v>1131</v>
      </c>
      <c r="AU107" s="421" t="s">
        <v>1303</v>
      </c>
      <c r="AV107" s="421" t="s">
        <v>1304</v>
      </c>
      <c r="AW107" s="421" t="s">
        <v>960</v>
      </c>
      <c r="AX107" s="421" t="s">
        <v>960</v>
      </c>
      <c r="AY107" s="421" t="s">
        <v>2037</v>
      </c>
      <c r="AZ107" s="421" t="s">
        <v>1121</v>
      </c>
      <c r="BA107" s="421" t="s">
        <v>2038</v>
      </c>
      <c r="BB107" s="421" t="s">
        <v>2037</v>
      </c>
      <c r="BC107" s="421" t="s">
        <v>2039</v>
      </c>
      <c r="BD107" s="421" t="s">
        <v>2040</v>
      </c>
      <c r="BE107" s="421" t="s">
        <v>2041</v>
      </c>
      <c r="BF107" s="421" t="s">
        <v>2042</v>
      </c>
      <c r="BG107" s="421" t="s">
        <v>1953</v>
      </c>
      <c r="BH107" s="421" t="s">
        <v>2043</v>
      </c>
      <c r="BI107" s="421" t="s">
        <v>1142</v>
      </c>
      <c r="BJ107" s="421" t="s">
        <v>1180</v>
      </c>
      <c r="BK107" s="421" t="s">
        <v>2054</v>
      </c>
      <c r="BL107" s="421" t="s">
        <v>2044</v>
      </c>
      <c r="BM107" s="421" t="s">
        <v>2045</v>
      </c>
      <c r="BN107" s="421" t="s">
        <v>1805</v>
      </c>
      <c r="BO107" s="421">
        <v>0</v>
      </c>
      <c r="BR107" s="421">
        <v>0</v>
      </c>
      <c r="BS107" s="421">
        <v>0</v>
      </c>
      <c r="BT107" s="421">
        <v>0</v>
      </c>
      <c r="BU107" s="424">
        <v>42108</v>
      </c>
      <c r="BX107" s="421">
        <v>2538.5500000000002</v>
      </c>
      <c r="BY107" s="421" t="s">
        <v>1147</v>
      </c>
      <c r="BZ107" s="421">
        <v>875.52</v>
      </c>
      <c r="CA107" s="421">
        <v>2222551.2960000001</v>
      </c>
      <c r="CB107" s="421">
        <v>0.35</v>
      </c>
      <c r="CC107" s="421">
        <v>0</v>
      </c>
      <c r="CD107" s="421">
        <v>94.31</v>
      </c>
      <c r="CE107" s="421">
        <v>94.66</v>
      </c>
      <c r="CF107" s="421">
        <v>0</v>
      </c>
      <c r="CG107" s="421">
        <v>970.18</v>
      </c>
      <c r="CH107" s="421">
        <v>0</v>
      </c>
      <c r="CI107" s="421">
        <v>970.18</v>
      </c>
      <c r="CJ107" s="421">
        <v>2462850.4389999998</v>
      </c>
      <c r="CK107" s="421">
        <v>15</v>
      </c>
      <c r="CL107" s="421">
        <v>2462850</v>
      </c>
      <c r="CM107" s="421">
        <v>369000</v>
      </c>
      <c r="CN107" s="421">
        <v>369000</v>
      </c>
      <c r="CO107" s="421">
        <v>0</v>
      </c>
      <c r="CP107" s="421">
        <v>0</v>
      </c>
      <c r="CQ107" s="421">
        <v>16</v>
      </c>
      <c r="CR107" s="421">
        <v>2831850</v>
      </c>
      <c r="CS107" s="421">
        <v>453000</v>
      </c>
      <c r="CT107" s="421">
        <v>453000</v>
      </c>
      <c r="CU107" s="421">
        <v>0</v>
      </c>
      <c r="CV107" s="421">
        <v>0</v>
      </c>
      <c r="CW107" s="421">
        <v>0</v>
      </c>
      <c r="CX107" s="421">
        <v>0</v>
      </c>
      <c r="CY107" s="421">
        <v>0</v>
      </c>
      <c r="CZ107" s="421">
        <v>0</v>
      </c>
      <c r="DA107" s="421">
        <v>0</v>
      </c>
      <c r="DB107" s="421">
        <v>0</v>
      </c>
      <c r="DC107" s="421">
        <v>0</v>
      </c>
      <c r="DD107" s="421">
        <v>0</v>
      </c>
      <c r="DE107" s="421">
        <v>0</v>
      </c>
      <c r="DF107" s="421">
        <v>0</v>
      </c>
      <c r="DG107" s="421">
        <v>0</v>
      </c>
      <c r="DH107" s="421">
        <v>0</v>
      </c>
      <c r="DI107" s="421">
        <v>0</v>
      </c>
      <c r="DJ107" s="421">
        <v>0</v>
      </c>
      <c r="DK107" s="421">
        <v>0</v>
      </c>
      <c r="DL107" s="421">
        <v>0</v>
      </c>
      <c r="DM107" s="421">
        <v>0</v>
      </c>
      <c r="DN107" s="421">
        <v>0</v>
      </c>
      <c r="DO107" s="421">
        <v>0</v>
      </c>
      <c r="DP107" s="421">
        <v>0</v>
      </c>
      <c r="DQ107" s="421">
        <v>0</v>
      </c>
      <c r="DR107" s="421">
        <v>0</v>
      </c>
      <c r="DS107" s="421">
        <v>0</v>
      </c>
      <c r="DT107" s="421">
        <v>0</v>
      </c>
      <c r="DU107" s="421">
        <v>0</v>
      </c>
      <c r="DV107" s="421">
        <v>0</v>
      </c>
      <c r="DW107" s="421">
        <v>0</v>
      </c>
      <c r="DX107" s="421">
        <v>0</v>
      </c>
      <c r="DY107" s="421">
        <v>822000</v>
      </c>
      <c r="DZ107" s="421">
        <v>822000</v>
      </c>
      <c r="EA107" s="421">
        <v>0</v>
      </c>
      <c r="EB107" s="421">
        <v>0</v>
      </c>
      <c r="EC107" s="421" t="s">
        <v>1148</v>
      </c>
      <c r="ED107" s="421" t="s">
        <v>1149</v>
      </c>
      <c r="EE107" s="421" t="s">
        <v>1167</v>
      </c>
    </row>
    <row r="108" spans="1:135" x14ac:dyDescent="0.25">
      <c r="A108" s="421">
        <v>105</v>
      </c>
      <c r="B108" s="421">
        <v>2015</v>
      </c>
      <c r="C108" s="421">
        <v>6</v>
      </c>
      <c r="D108" s="421">
        <v>17</v>
      </c>
      <c r="E108" s="424">
        <v>42172</v>
      </c>
      <c r="F108" s="421" t="s">
        <v>2058</v>
      </c>
      <c r="G108" s="421" t="s">
        <v>2059</v>
      </c>
      <c r="H108" s="421" t="s">
        <v>1106</v>
      </c>
      <c r="I108" s="421" t="s">
        <v>1107</v>
      </c>
      <c r="J108" s="421" t="s">
        <v>1108</v>
      </c>
      <c r="K108" s="421" t="s">
        <v>1109</v>
      </c>
      <c r="L108" s="421" t="s">
        <v>1110</v>
      </c>
      <c r="O108" s="421" t="s">
        <v>1111</v>
      </c>
      <c r="R108" s="421" t="s">
        <v>1111</v>
      </c>
      <c r="S108" s="421" t="s">
        <v>1112</v>
      </c>
      <c r="T108" s="421" t="s">
        <v>1113</v>
      </c>
      <c r="U108" s="421" t="s">
        <v>1114</v>
      </c>
      <c r="V108" s="421" t="s">
        <v>1115</v>
      </c>
      <c r="W108" s="421" t="s">
        <v>1116</v>
      </c>
      <c r="X108" s="421" t="s">
        <v>1117</v>
      </c>
      <c r="Y108" s="421" t="s">
        <v>1118</v>
      </c>
      <c r="Z108" s="421" t="s">
        <v>1119</v>
      </c>
      <c r="AA108" s="421" t="s">
        <v>1772</v>
      </c>
      <c r="AB108" s="421" t="s">
        <v>1121</v>
      </c>
      <c r="AC108" s="421" t="s">
        <v>1122</v>
      </c>
      <c r="AD108" s="421" t="s">
        <v>1479</v>
      </c>
      <c r="AE108" s="421" t="s">
        <v>2060</v>
      </c>
      <c r="AF108" s="421" t="s">
        <v>2061</v>
      </c>
      <c r="AG108" s="421" t="s">
        <v>2062</v>
      </c>
      <c r="AH108" s="421">
        <v>2160</v>
      </c>
      <c r="AI108" s="421" t="s">
        <v>1189</v>
      </c>
      <c r="AJ108" s="421">
        <v>481</v>
      </c>
      <c r="AK108" s="421">
        <v>5</v>
      </c>
      <c r="AL108" s="421" t="s">
        <v>1206</v>
      </c>
      <c r="AM108" s="421">
        <v>79.97</v>
      </c>
      <c r="AN108" s="421">
        <v>94.48</v>
      </c>
      <c r="AO108" s="421" t="s">
        <v>1120</v>
      </c>
      <c r="AP108" s="421" t="s">
        <v>2036</v>
      </c>
      <c r="AQ108" s="421" t="s">
        <v>1475</v>
      </c>
      <c r="AR108" s="421" t="s">
        <v>1476</v>
      </c>
      <c r="AT108" s="421" t="s">
        <v>1131</v>
      </c>
      <c r="AU108" s="421" t="s">
        <v>1303</v>
      </c>
      <c r="AV108" s="421" t="s">
        <v>1304</v>
      </c>
      <c r="AW108" s="421" t="s">
        <v>960</v>
      </c>
      <c r="AX108" s="421" t="s">
        <v>960</v>
      </c>
      <c r="AY108" s="421" t="s">
        <v>2037</v>
      </c>
      <c r="AZ108" s="421" t="s">
        <v>1121</v>
      </c>
      <c r="BA108" s="421" t="s">
        <v>2038</v>
      </c>
      <c r="BB108" s="421" t="s">
        <v>2037</v>
      </c>
      <c r="BC108" s="421" t="s">
        <v>2039</v>
      </c>
      <c r="BD108" s="421" t="s">
        <v>2040</v>
      </c>
      <c r="BE108" s="421" t="s">
        <v>2041</v>
      </c>
      <c r="BF108" s="421" t="s">
        <v>2042</v>
      </c>
      <c r="BG108" s="421" t="s">
        <v>1953</v>
      </c>
      <c r="BH108" s="421" t="s">
        <v>2043</v>
      </c>
      <c r="BI108" s="421" t="s">
        <v>1142</v>
      </c>
      <c r="BJ108" s="421" t="s">
        <v>1180</v>
      </c>
      <c r="BK108" s="421" t="s">
        <v>2059</v>
      </c>
      <c r="BL108" s="421" t="s">
        <v>2044</v>
      </c>
      <c r="BM108" s="421" t="s">
        <v>2045</v>
      </c>
      <c r="BN108" s="421" t="s">
        <v>1805</v>
      </c>
      <c r="BO108" s="421">
        <v>0</v>
      </c>
      <c r="BR108" s="421">
        <v>0</v>
      </c>
      <c r="BS108" s="421">
        <v>0</v>
      </c>
      <c r="BT108" s="421">
        <v>0</v>
      </c>
      <c r="BU108" s="424">
        <v>42108</v>
      </c>
      <c r="BX108" s="421">
        <v>2538.5500000000002</v>
      </c>
      <c r="BY108" s="421" t="s">
        <v>1147</v>
      </c>
      <c r="BZ108" s="421">
        <v>777.6</v>
      </c>
      <c r="CA108" s="421">
        <v>1973976.48</v>
      </c>
      <c r="CB108" s="421">
        <v>0.31</v>
      </c>
      <c r="CC108" s="421">
        <v>0</v>
      </c>
      <c r="CD108" s="421">
        <v>83.76</v>
      </c>
      <c r="CE108" s="421">
        <v>84.07</v>
      </c>
      <c r="CF108" s="421">
        <v>0</v>
      </c>
      <c r="CG108" s="421">
        <v>861.67</v>
      </c>
      <c r="CH108" s="421">
        <v>0</v>
      </c>
      <c r="CI108" s="421">
        <v>861.67</v>
      </c>
      <c r="CJ108" s="421">
        <v>2187392.3785000001</v>
      </c>
      <c r="CK108" s="421">
        <v>15</v>
      </c>
      <c r="CL108" s="421">
        <v>2187392</v>
      </c>
      <c r="CM108" s="421">
        <v>328000</v>
      </c>
      <c r="CN108" s="421">
        <v>328000</v>
      </c>
      <c r="CO108" s="421">
        <v>0</v>
      </c>
      <c r="CP108" s="421">
        <v>0</v>
      </c>
      <c r="CQ108" s="421">
        <v>16</v>
      </c>
      <c r="CR108" s="421">
        <v>2515392</v>
      </c>
      <c r="CS108" s="421">
        <v>402000</v>
      </c>
      <c r="CT108" s="421">
        <v>402000</v>
      </c>
      <c r="CU108" s="421">
        <v>0</v>
      </c>
      <c r="CV108" s="421">
        <v>0</v>
      </c>
      <c r="CW108" s="421">
        <v>0</v>
      </c>
      <c r="CX108" s="421">
        <v>0</v>
      </c>
      <c r="CY108" s="421">
        <v>0</v>
      </c>
      <c r="CZ108" s="421">
        <v>0</v>
      </c>
      <c r="DA108" s="421">
        <v>0</v>
      </c>
      <c r="DB108" s="421">
        <v>0</v>
      </c>
      <c r="DC108" s="421">
        <v>0</v>
      </c>
      <c r="DD108" s="421">
        <v>0</v>
      </c>
      <c r="DE108" s="421">
        <v>0</v>
      </c>
      <c r="DF108" s="421">
        <v>0</v>
      </c>
      <c r="DG108" s="421">
        <v>0</v>
      </c>
      <c r="DH108" s="421">
        <v>0</v>
      </c>
      <c r="DI108" s="421">
        <v>0</v>
      </c>
      <c r="DJ108" s="421">
        <v>0</v>
      </c>
      <c r="DK108" s="421">
        <v>0</v>
      </c>
      <c r="DL108" s="421">
        <v>0</v>
      </c>
      <c r="DM108" s="421">
        <v>0</v>
      </c>
      <c r="DN108" s="421">
        <v>0</v>
      </c>
      <c r="DO108" s="421">
        <v>0</v>
      </c>
      <c r="DP108" s="421">
        <v>0</v>
      </c>
      <c r="DQ108" s="421">
        <v>0</v>
      </c>
      <c r="DR108" s="421">
        <v>0</v>
      </c>
      <c r="DS108" s="421">
        <v>0</v>
      </c>
      <c r="DT108" s="421">
        <v>0</v>
      </c>
      <c r="DU108" s="421">
        <v>0</v>
      </c>
      <c r="DV108" s="421">
        <v>0</v>
      </c>
      <c r="DW108" s="421">
        <v>0</v>
      </c>
      <c r="DX108" s="421">
        <v>0</v>
      </c>
      <c r="DY108" s="421">
        <v>730000</v>
      </c>
      <c r="DZ108" s="421">
        <v>730000</v>
      </c>
      <c r="EA108" s="421">
        <v>0</v>
      </c>
      <c r="EB108" s="421">
        <v>0</v>
      </c>
      <c r="EC108" s="421" t="s">
        <v>1148</v>
      </c>
      <c r="ED108" s="421" t="s">
        <v>1149</v>
      </c>
      <c r="EE108" s="421" t="s">
        <v>1167</v>
      </c>
    </row>
    <row r="109" spans="1:135" x14ac:dyDescent="0.25">
      <c r="A109" s="421">
        <v>106</v>
      </c>
      <c r="B109" s="421">
        <v>2015</v>
      </c>
      <c r="C109" s="421">
        <v>6</v>
      </c>
      <c r="D109" s="421">
        <v>17</v>
      </c>
      <c r="E109" s="424">
        <v>42172</v>
      </c>
      <c r="F109" s="421" t="s">
        <v>2063</v>
      </c>
      <c r="G109" s="421" t="s">
        <v>2064</v>
      </c>
      <c r="H109" s="421" t="s">
        <v>1106</v>
      </c>
      <c r="I109" s="421" t="s">
        <v>1107</v>
      </c>
      <c r="J109" s="421" t="s">
        <v>1108</v>
      </c>
      <c r="K109" s="421" t="s">
        <v>1109</v>
      </c>
      <c r="L109" s="421" t="s">
        <v>1110</v>
      </c>
      <c r="O109" s="421" t="s">
        <v>1111</v>
      </c>
      <c r="R109" s="421" t="s">
        <v>1111</v>
      </c>
      <c r="S109" s="421" t="s">
        <v>1112</v>
      </c>
      <c r="T109" s="421" t="s">
        <v>1113</v>
      </c>
      <c r="U109" s="421" t="s">
        <v>1114</v>
      </c>
      <c r="V109" s="421" t="s">
        <v>1115</v>
      </c>
      <c r="W109" s="421" t="s">
        <v>1116</v>
      </c>
      <c r="X109" s="421" t="s">
        <v>1117</v>
      </c>
      <c r="Y109" s="421" t="s">
        <v>1118</v>
      </c>
      <c r="Z109" s="421" t="s">
        <v>1119</v>
      </c>
      <c r="AA109" s="421" t="s">
        <v>1772</v>
      </c>
      <c r="AB109" s="421" t="s">
        <v>1121</v>
      </c>
      <c r="AC109" s="421" t="s">
        <v>1122</v>
      </c>
      <c r="AD109" s="421" t="s">
        <v>1479</v>
      </c>
      <c r="AE109" s="421" t="s">
        <v>2065</v>
      </c>
      <c r="AF109" s="421" t="s">
        <v>2066</v>
      </c>
      <c r="AG109" s="421" t="s">
        <v>2067</v>
      </c>
      <c r="AH109" s="421">
        <v>6912</v>
      </c>
      <c r="AI109" s="421" t="s">
        <v>1189</v>
      </c>
      <c r="AJ109" s="421">
        <v>481</v>
      </c>
      <c r="AK109" s="421">
        <v>5</v>
      </c>
      <c r="AL109" s="421" t="s">
        <v>1206</v>
      </c>
      <c r="AM109" s="421">
        <v>300.92</v>
      </c>
      <c r="AN109" s="421">
        <v>355.51</v>
      </c>
      <c r="AO109" s="421" t="s">
        <v>1120</v>
      </c>
      <c r="AP109" s="421" t="s">
        <v>2036</v>
      </c>
      <c r="AQ109" s="421" t="s">
        <v>1475</v>
      </c>
      <c r="AR109" s="421" t="s">
        <v>1476</v>
      </c>
      <c r="AT109" s="421" t="s">
        <v>1131</v>
      </c>
      <c r="AU109" s="421" t="s">
        <v>1303</v>
      </c>
      <c r="AV109" s="421" t="s">
        <v>1304</v>
      </c>
      <c r="AW109" s="421" t="s">
        <v>960</v>
      </c>
      <c r="AX109" s="421" t="s">
        <v>960</v>
      </c>
      <c r="AY109" s="421" t="s">
        <v>2037</v>
      </c>
      <c r="AZ109" s="421" t="s">
        <v>1121</v>
      </c>
      <c r="BA109" s="421" t="s">
        <v>2038</v>
      </c>
      <c r="BB109" s="421" t="s">
        <v>2037</v>
      </c>
      <c r="BC109" s="421" t="s">
        <v>2039</v>
      </c>
      <c r="BD109" s="421" t="s">
        <v>2040</v>
      </c>
      <c r="BE109" s="421" t="s">
        <v>2041</v>
      </c>
      <c r="BF109" s="421" t="s">
        <v>2042</v>
      </c>
      <c r="BG109" s="421" t="s">
        <v>1953</v>
      </c>
      <c r="BH109" s="421" t="s">
        <v>2043</v>
      </c>
      <c r="BI109" s="421" t="s">
        <v>1142</v>
      </c>
      <c r="BJ109" s="421" t="s">
        <v>1180</v>
      </c>
      <c r="BK109" s="421" t="s">
        <v>2064</v>
      </c>
      <c r="BL109" s="421" t="s">
        <v>2044</v>
      </c>
      <c r="BM109" s="421" t="s">
        <v>2045</v>
      </c>
      <c r="BN109" s="421" t="s">
        <v>1805</v>
      </c>
      <c r="BO109" s="421">
        <v>0</v>
      </c>
      <c r="BR109" s="421">
        <v>0</v>
      </c>
      <c r="BS109" s="421">
        <v>0</v>
      </c>
      <c r="BT109" s="421">
        <v>0</v>
      </c>
      <c r="BU109" s="424">
        <v>42108</v>
      </c>
      <c r="BX109" s="421">
        <v>2538.5500000000002</v>
      </c>
      <c r="BY109" s="421" t="s">
        <v>1147</v>
      </c>
      <c r="BZ109" s="421">
        <v>2926.08</v>
      </c>
      <c r="CA109" s="421">
        <v>7428000.3839999996</v>
      </c>
      <c r="CB109" s="421">
        <v>1.17</v>
      </c>
      <c r="CC109" s="421">
        <v>0</v>
      </c>
      <c r="CD109" s="421">
        <v>315.19</v>
      </c>
      <c r="CE109" s="421">
        <v>316.36</v>
      </c>
      <c r="CF109" s="421">
        <v>0</v>
      </c>
      <c r="CG109" s="421">
        <v>3242.44</v>
      </c>
      <c r="CH109" s="421">
        <v>0</v>
      </c>
      <c r="CI109" s="421">
        <v>3242.44</v>
      </c>
      <c r="CJ109" s="421">
        <v>8231096.0619999999</v>
      </c>
      <c r="CK109" s="421">
        <v>15</v>
      </c>
      <c r="CL109" s="421">
        <v>8231096</v>
      </c>
      <c r="CM109" s="421">
        <v>1235000</v>
      </c>
      <c r="CN109" s="421">
        <v>1235000</v>
      </c>
      <c r="CO109" s="421">
        <v>0</v>
      </c>
      <c r="CP109" s="421">
        <v>0</v>
      </c>
      <c r="CQ109" s="421">
        <v>16</v>
      </c>
      <c r="CR109" s="421">
        <v>9466096</v>
      </c>
      <c r="CS109" s="421">
        <v>1515000</v>
      </c>
      <c r="CT109" s="421">
        <v>1515000</v>
      </c>
      <c r="CU109" s="421">
        <v>0</v>
      </c>
      <c r="CV109" s="421">
        <v>0</v>
      </c>
      <c r="CW109" s="421">
        <v>0</v>
      </c>
      <c r="CX109" s="421">
        <v>0</v>
      </c>
      <c r="CY109" s="421">
        <v>0</v>
      </c>
      <c r="CZ109" s="421">
        <v>0</v>
      </c>
      <c r="DA109" s="421">
        <v>0</v>
      </c>
      <c r="DB109" s="421">
        <v>0</v>
      </c>
      <c r="DC109" s="421">
        <v>0</v>
      </c>
      <c r="DD109" s="421">
        <v>0</v>
      </c>
      <c r="DE109" s="421">
        <v>0</v>
      </c>
      <c r="DF109" s="421">
        <v>0</v>
      </c>
      <c r="DG109" s="421">
        <v>0</v>
      </c>
      <c r="DH109" s="421">
        <v>0</v>
      </c>
      <c r="DI109" s="421">
        <v>0</v>
      </c>
      <c r="DJ109" s="421">
        <v>0</v>
      </c>
      <c r="DK109" s="421">
        <v>0</v>
      </c>
      <c r="DL109" s="421">
        <v>0</v>
      </c>
      <c r="DM109" s="421">
        <v>0</v>
      </c>
      <c r="DN109" s="421">
        <v>0</v>
      </c>
      <c r="DO109" s="421">
        <v>0</v>
      </c>
      <c r="DP109" s="421">
        <v>0</v>
      </c>
      <c r="DQ109" s="421">
        <v>0</v>
      </c>
      <c r="DR109" s="421">
        <v>0</v>
      </c>
      <c r="DS109" s="421">
        <v>0</v>
      </c>
      <c r="DT109" s="421">
        <v>0</v>
      </c>
      <c r="DU109" s="421">
        <v>0</v>
      </c>
      <c r="DV109" s="421">
        <v>0</v>
      </c>
      <c r="DW109" s="421">
        <v>0</v>
      </c>
      <c r="DX109" s="421">
        <v>0</v>
      </c>
      <c r="DY109" s="421">
        <v>2750000</v>
      </c>
      <c r="DZ109" s="421">
        <v>2750000</v>
      </c>
      <c r="EA109" s="421">
        <v>0</v>
      </c>
      <c r="EB109" s="421">
        <v>0</v>
      </c>
      <c r="EC109" s="421" t="s">
        <v>1148</v>
      </c>
      <c r="ED109" s="421" t="s">
        <v>1149</v>
      </c>
      <c r="EE109" s="421" t="s">
        <v>1167</v>
      </c>
    </row>
    <row r="110" spans="1:135" x14ac:dyDescent="0.25">
      <c r="A110" s="421">
        <v>107</v>
      </c>
      <c r="B110" s="421">
        <v>2015</v>
      </c>
      <c r="C110" s="421">
        <v>6</v>
      </c>
      <c r="D110" s="421">
        <v>17</v>
      </c>
      <c r="E110" s="424">
        <v>42172</v>
      </c>
      <c r="F110" s="421" t="s">
        <v>2068</v>
      </c>
      <c r="G110" s="421" t="s">
        <v>2069</v>
      </c>
      <c r="H110" s="421" t="s">
        <v>1106</v>
      </c>
      <c r="I110" s="421" t="s">
        <v>1107</v>
      </c>
      <c r="J110" s="421" t="s">
        <v>1108</v>
      </c>
      <c r="K110" s="421" t="s">
        <v>1109</v>
      </c>
      <c r="L110" s="421" t="s">
        <v>1110</v>
      </c>
      <c r="O110" s="421" t="s">
        <v>1111</v>
      </c>
      <c r="R110" s="421" t="s">
        <v>1111</v>
      </c>
      <c r="S110" s="421" t="s">
        <v>1112</v>
      </c>
      <c r="T110" s="421" t="s">
        <v>1113</v>
      </c>
      <c r="U110" s="421" t="s">
        <v>1114</v>
      </c>
      <c r="V110" s="421" t="s">
        <v>1115</v>
      </c>
      <c r="W110" s="421" t="s">
        <v>1116</v>
      </c>
      <c r="X110" s="421" t="s">
        <v>1117</v>
      </c>
      <c r="Y110" s="421" t="s">
        <v>1118</v>
      </c>
      <c r="Z110" s="421" t="s">
        <v>1119</v>
      </c>
      <c r="AA110" s="421" t="s">
        <v>1772</v>
      </c>
      <c r="AB110" s="421" t="s">
        <v>1121</v>
      </c>
      <c r="AC110" s="421" t="s">
        <v>1122</v>
      </c>
      <c r="AD110" s="421" t="s">
        <v>1479</v>
      </c>
      <c r="AE110" s="421" t="s">
        <v>2070</v>
      </c>
      <c r="AF110" s="421" t="s">
        <v>2071</v>
      </c>
      <c r="AG110" s="421" t="s">
        <v>2072</v>
      </c>
      <c r="AH110" s="421">
        <v>2304</v>
      </c>
      <c r="AI110" s="421" t="s">
        <v>1189</v>
      </c>
      <c r="AJ110" s="421">
        <v>481</v>
      </c>
      <c r="AK110" s="421">
        <v>5</v>
      </c>
      <c r="AL110" s="421" t="s">
        <v>1206</v>
      </c>
      <c r="AM110" s="421">
        <v>116.1</v>
      </c>
      <c r="AN110" s="421">
        <v>137.16999999999999</v>
      </c>
      <c r="AO110" s="421" t="s">
        <v>1120</v>
      </c>
      <c r="AP110" s="421" t="s">
        <v>2036</v>
      </c>
      <c r="AQ110" s="421" t="s">
        <v>1475</v>
      </c>
      <c r="AR110" s="421" t="s">
        <v>1476</v>
      </c>
      <c r="AT110" s="421" t="s">
        <v>1131</v>
      </c>
      <c r="AU110" s="421" t="s">
        <v>1303</v>
      </c>
      <c r="AV110" s="421" t="s">
        <v>1304</v>
      </c>
      <c r="AW110" s="421" t="s">
        <v>960</v>
      </c>
      <c r="AX110" s="421" t="s">
        <v>960</v>
      </c>
      <c r="AY110" s="421" t="s">
        <v>2037</v>
      </c>
      <c r="AZ110" s="421" t="s">
        <v>1121</v>
      </c>
      <c r="BA110" s="421" t="s">
        <v>2038</v>
      </c>
      <c r="BB110" s="421" t="s">
        <v>2037</v>
      </c>
      <c r="BC110" s="421" t="s">
        <v>2039</v>
      </c>
      <c r="BD110" s="421" t="s">
        <v>2040</v>
      </c>
      <c r="BE110" s="421" t="s">
        <v>2041</v>
      </c>
      <c r="BF110" s="421" t="s">
        <v>2042</v>
      </c>
      <c r="BG110" s="421" t="s">
        <v>1953</v>
      </c>
      <c r="BH110" s="421" t="s">
        <v>2043</v>
      </c>
      <c r="BI110" s="421" t="s">
        <v>1142</v>
      </c>
      <c r="BJ110" s="421" t="s">
        <v>1180</v>
      </c>
      <c r="BK110" s="421" t="s">
        <v>2069</v>
      </c>
      <c r="BL110" s="421" t="s">
        <v>2044</v>
      </c>
      <c r="BM110" s="421" t="s">
        <v>2045</v>
      </c>
      <c r="BN110" s="421" t="s">
        <v>1805</v>
      </c>
      <c r="BO110" s="421">
        <v>0</v>
      </c>
      <c r="BR110" s="421">
        <v>0</v>
      </c>
      <c r="BS110" s="421">
        <v>0</v>
      </c>
      <c r="BT110" s="421">
        <v>0</v>
      </c>
      <c r="BU110" s="424">
        <v>42108</v>
      </c>
      <c r="BX110" s="421">
        <v>2538.5500000000002</v>
      </c>
      <c r="BY110" s="421" t="s">
        <v>1147</v>
      </c>
      <c r="BZ110" s="421">
        <v>1128.96</v>
      </c>
      <c r="CA110" s="421">
        <v>2865921.4079999998</v>
      </c>
      <c r="CB110" s="421">
        <v>0.45</v>
      </c>
      <c r="CC110" s="421">
        <v>0</v>
      </c>
      <c r="CD110" s="421">
        <v>121.61</v>
      </c>
      <c r="CE110" s="421">
        <v>122.06</v>
      </c>
      <c r="CF110" s="421">
        <v>0</v>
      </c>
      <c r="CG110" s="421">
        <v>1251.02</v>
      </c>
      <c r="CH110" s="421">
        <v>0</v>
      </c>
      <c r="CI110" s="421">
        <v>1251.02</v>
      </c>
      <c r="CJ110" s="421">
        <v>3175776.821</v>
      </c>
      <c r="CK110" s="421">
        <v>15</v>
      </c>
      <c r="CL110" s="421">
        <v>3175777</v>
      </c>
      <c r="CM110" s="421">
        <v>476000</v>
      </c>
      <c r="CN110" s="421">
        <v>476000</v>
      </c>
      <c r="CO110" s="421">
        <v>0</v>
      </c>
      <c r="CP110" s="421">
        <v>0</v>
      </c>
      <c r="CQ110" s="421">
        <v>16</v>
      </c>
      <c r="CR110" s="421">
        <v>3651777</v>
      </c>
      <c r="CS110" s="421">
        <v>584000</v>
      </c>
      <c r="CT110" s="421">
        <v>584000</v>
      </c>
      <c r="CU110" s="421">
        <v>0</v>
      </c>
      <c r="CV110" s="421">
        <v>0</v>
      </c>
      <c r="CW110" s="421">
        <v>0</v>
      </c>
      <c r="CX110" s="421">
        <v>0</v>
      </c>
      <c r="CY110" s="421">
        <v>0</v>
      </c>
      <c r="CZ110" s="421">
        <v>0</v>
      </c>
      <c r="DA110" s="421">
        <v>0</v>
      </c>
      <c r="DB110" s="421">
        <v>0</v>
      </c>
      <c r="DC110" s="421">
        <v>0</v>
      </c>
      <c r="DD110" s="421">
        <v>0</v>
      </c>
      <c r="DE110" s="421">
        <v>0</v>
      </c>
      <c r="DF110" s="421">
        <v>0</v>
      </c>
      <c r="DG110" s="421">
        <v>0</v>
      </c>
      <c r="DH110" s="421">
        <v>0</v>
      </c>
      <c r="DI110" s="421">
        <v>0</v>
      </c>
      <c r="DJ110" s="421">
        <v>0</v>
      </c>
      <c r="DK110" s="421">
        <v>0</v>
      </c>
      <c r="DL110" s="421">
        <v>0</v>
      </c>
      <c r="DM110" s="421">
        <v>0</v>
      </c>
      <c r="DN110" s="421">
        <v>0</v>
      </c>
      <c r="DO110" s="421">
        <v>0</v>
      </c>
      <c r="DP110" s="421">
        <v>0</v>
      </c>
      <c r="DQ110" s="421">
        <v>0</v>
      </c>
      <c r="DR110" s="421">
        <v>0</v>
      </c>
      <c r="DS110" s="421">
        <v>0</v>
      </c>
      <c r="DT110" s="421">
        <v>0</v>
      </c>
      <c r="DU110" s="421">
        <v>0</v>
      </c>
      <c r="DV110" s="421">
        <v>0</v>
      </c>
      <c r="DW110" s="421">
        <v>0</v>
      </c>
      <c r="DX110" s="421">
        <v>0</v>
      </c>
      <c r="DY110" s="421">
        <v>1060000</v>
      </c>
      <c r="DZ110" s="421">
        <v>1060000</v>
      </c>
      <c r="EA110" s="421">
        <v>0</v>
      </c>
      <c r="EB110" s="421">
        <v>0</v>
      </c>
      <c r="EC110" s="421" t="s">
        <v>1148</v>
      </c>
      <c r="ED110" s="421" t="s">
        <v>1149</v>
      </c>
      <c r="EE110" s="421" t="s">
        <v>1167</v>
      </c>
    </row>
    <row r="111" spans="1:135" x14ac:dyDescent="0.25">
      <c r="A111" s="421">
        <v>108</v>
      </c>
      <c r="B111" s="421">
        <v>2015</v>
      </c>
      <c r="C111" s="421">
        <v>6</v>
      </c>
      <c r="D111" s="421">
        <v>17</v>
      </c>
      <c r="E111" s="424">
        <v>42172</v>
      </c>
      <c r="F111" s="421" t="s">
        <v>2073</v>
      </c>
      <c r="G111" s="421" t="s">
        <v>2074</v>
      </c>
      <c r="H111" s="421" t="s">
        <v>1106</v>
      </c>
      <c r="I111" s="421" t="s">
        <v>1107</v>
      </c>
      <c r="J111" s="421" t="s">
        <v>1108</v>
      </c>
      <c r="K111" s="421" t="s">
        <v>1109</v>
      </c>
      <c r="L111" s="421" t="s">
        <v>1110</v>
      </c>
      <c r="O111" s="421" t="s">
        <v>1111</v>
      </c>
      <c r="R111" s="421" t="s">
        <v>1111</v>
      </c>
      <c r="S111" s="421" t="s">
        <v>1112</v>
      </c>
      <c r="T111" s="421" t="s">
        <v>1113</v>
      </c>
      <c r="U111" s="421" t="s">
        <v>1114</v>
      </c>
      <c r="V111" s="421" t="s">
        <v>1115</v>
      </c>
      <c r="W111" s="421" t="s">
        <v>1116</v>
      </c>
      <c r="X111" s="421" t="s">
        <v>1117</v>
      </c>
      <c r="Y111" s="421" t="s">
        <v>1118</v>
      </c>
      <c r="Z111" s="421" t="s">
        <v>1119</v>
      </c>
      <c r="AA111" s="421" t="s">
        <v>1772</v>
      </c>
      <c r="AB111" s="421" t="s">
        <v>1121</v>
      </c>
      <c r="AC111" s="421" t="s">
        <v>1122</v>
      </c>
      <c r="AD111" s="421" t="s">
        <v>1479</v>
      </c>
      <c r="AE111" s="421" t="s">
        <v>1480</v>
      </c>
      <c r="AF111" s="421" t="s">
        <v>1481</v>
      </c>
      <c r="AG111" s="421" t="s">
        <v>2035</v>
      </c>
      <c r="AH111" s="421">
        <v>54288</v>
      </c>
      <c r="AI111" s="421" t="s">
        <v>1189</v>
      </c>
      <c r="AJ111" s="421">
        <v>481</v>
      </c>
      <c r="AK111" s="421">
        <v>5</v>
      </c>
      <c r="AL111" s="421" t="s">
        <v>1206</v>
      </c>
      <c r="AM111" s="421">
        <v>2536.37</v>
      </c>
      <c r="AN111" s="421">
        <v>2996.47</v>
      </c>
      <c r="AO111" s="421" t="s">
        <v>1120</v>
      </c>
      <c r="AP111" s="421" t="s">
        <v>2036</v>
      </c>
      <c r="AQ111" s="421" t="s">
        <v>1475</v>
      </c>
      <c r="AR111" s="421" t="s">
        <v>1476</v>
      </c>
      <c r="AT111" s="421" t="s">
        <v>1131</v>
      </c>
      <c r="AU111" s="421" t="s">
        <v>1303</v>
      </c>
      <c r="AV111" s="421" t="s">
        <v>1304</v>
      </c>
      <c r="AW111" s="421" t="s">
        <v>960</v>
      </c>
      <c r="AX111" s="421" t="s">
        <v>960</v>
      </c>
      <c r="AY111" s="421" t="s">
        <v>2037</v>
      </c>
      <c r="AZ111" s="421" t="s">
        <v>1121</v>
      </c>
      <c r="BA111" s="421" t="s">
        <v>2038</v>
      </c>
      <c r="BB111" s="421" t="s">
        <v>2037</v>
      </c>
      <c r="BC111" s="421" t="s">
        <v>2039</v>
      </c>
      <c r="BD111" s="421" t="s">
        <v>2040</v>
      </c>
      <c r="BE111" s="421" t="s">
        <v>2041</v>
      </c>
      <c r="BF111" s="421" t="s">
        <v>2042</v>
      </c>
      <c r="BG111" s="421" t="s">
        <v>1953</v>
      </c>
      <c r="BH111" s="421" t="s">
        <v>2043</v>
      </c>
      <c r="BI111" s="421" t="s">
        <v>1142</v>
      </c>
      <c r="BJ111" s="421" t="s">
        <v>1180</v>
      </c>
      <c r="BK111" s="421" t="s">
        <v>2074</v>
      </c>
      <c r="BL111" s="421" t="s">
        <v>2044</v>
      </c>
      <c r="BM111" s="421" t="s">
        <v>2045</v>
      </c>
      <c r="BN111" s="421" t="s">
        <v>1805</v>
      </c>
      <c r="BO111" s="421">
        <v>0</v>
      </c>
      <c r="BR111" s="421">
        <v>0</v>
      </c>
      <c r="BS111" s="421">
        <v>0</v>
      </c>
      <c r="BT111" s="421">
        <v>0</v>
      </c>
      <c r="BU111" s="424">
        <v>42108</v>
      </c>
      <c r="BX111" s="421">
        <v>2538.5500000000002</v>
      </c>
      <c r="BY111" s="421" t="s">
        <v>1147</v>
      </c>
      <c r="BZ111" s="421">
        <v>24662.880000000001</v>
      </c>
      <c r="CA111" s="421">
        <v>62607954.023999996</v>
      </c>
      <c r="CB111" s="421">
        <v>9.8699999999999992</v>
      </c>
      <c r="CC111" s="421">
        <v>0</v>
      </c>
      <c r="CD111" s="421">
        <v>2656.62</v>
      </c>
      <c r="CE111" s="421">
        <v>2666.49</v>
      </c>
      <c r="CF111" s="421">
        <v>0</v>
      </c>
      <c r="CG111" s="421">
        <v>27329.37</v>
      </c>
      <c r="CH111" s="421">
        <v>0</v>
      </c>
      <c r="CI111" s="421">
        <v>27329.37</v>
      </c>
      <c r="CJ111" s="421">
        <v>69376972.213499993</v>
      </c>
      <c r="CK111" s="421">
        <v>15</v>
      </c>
      <c r="CL111" s="421">
        <v>69376972</v>
      </c>
      <c r="CM111" s="421">
        <v>10407000</v>
      </c>
      <c r="CN111" s="421">
        <v>10407000</v>
      </c>
      <c r="CO111" s="421">
        <v>0</v>
      </c>
      <c r="CP111" s="421">
        <v>0</v>
      </c>
      <c r="CQ111" s="421">
        <v>16</v>
      </c>
      <c r="CR111" s="421">
        <v>79783972</v>
      </c>
      <c r="CS111" s="421">
        <v>12765000</v>
      </c>
      <c r="CT111" s="421">
        <v>12765000</v>
      </c>
      <c r="CU111" s="421">
        <v>0</v>
      </c>
      <c r="CV111" s="421">
        <v>0</v>
      </c>
      <c r="CW111" s="421">
        <v>0</v>
      </c>
      <c r="CX111" s="421">
        <v>0</v>
      </c>
      <c r="CY111" s="421">
        <v>0</v>
      </c>
      <c r="CZ111" s="421">
        <v>0</v>
      </c>
      <c r="DA111" s="421">
        <v>0</v>
      </c>
      <c r="DB111" s="421">
        <v>0</v>
      </c>
      <c r="DC111" s="421">
        <v>0</v>
      </c>
      <c r="DD111" s="421">
        <v>0</v>
      </c>
      <c r="DE111" s="421">
        <v>0</v>
      </c>
      <c r="DF111" s="421">
        <v>0</v>
      </c>
      <c r="DG111" s="421">
        <v>0</v>
      </c>
      <c r="DH111" s="421">
        <v>0</v>
      </c>
      <c r="DI111" s="421">
        <v>0</v>
      </c>
      <c r="DJ111" s="421">
        <v>0</v>
      </c>
      <c r="DK111" s="421">
        <v>0</v>
      </c>
      <c r="DL111" s="421">
        <v>0</v>
      </c>
      <c r="DM111" s="421">
        <v>0</v>
      </c>
      <c r="DN111" s="421">
        <v>0</v>
      </c>
      <c r="DO111" s="421">
        <v>0</v>
      </c>
      <c r="DP111" s="421">
        <v>0</v>
      </c>
      <c r="DQ111" s="421">
        <v>0</v>
      </c>
      <c r="DR111" s="421">
        <v>0</v>
      </c>
      <c r="DS111" s="421">
        <v>0</v>
      </c>
      <c r="DT111" s="421">
        <v>0</v>
      </c>
      <c r="DU111" s="421">
        <v>0</v>
      </c>
      <c r="DV111" s="421">
        <v>0</v>
      </c>
      <c r="DW111" s="421">
        <v>0</v>
      </c>
      <c r="DX111" s="421">
        <v>0</v>
      </c>
      <c r="DY111" s="421">
        <v>23172000</v>
      </c>
      <c r="DZ111" s="421">
        <v>23172000</v>
      </c>
      <c r="EA111" s="421">
        <v>0</v>
      </c>
      <c r="EB111" s="421">
        <v>0</v>
      </c>
      <c r="EC111" s="421" t="s">
        <v>1148</v>
      </c>
      <c r="ED111" s="421" t="s">
        <v>1149</v>
      </c>
      <c r="EE111" s="421" t="s">
        <v>1167</v>
      </c>
    </row>
    <row r="112" spans="1:135" x14ac:dyDescent="0.25">
      <c r="A112" s="421">
        <v>109</v>
      </c>
      <c r="B112" s="421">
        <v>2015</v>
      </c>
      <c r="C112" s="421">
        <v>6</v>
      </c>
      <c r="D112" s="421">
        <v>19</v>
      </c>
      <c r="E112" s="424">
        <v>42174</v>
      </c>
      <c r="F112" s="421" t="s">
        <v>2075</v>
      </c>
      <c r="G112" s="421" t="s">
        <v>2076</v>
      </c>
      <c r="H112" s="421" t="s">
        <v>1152</v>
      </c>
      <c r="I112" s="421" t="s">
        <v>1107</v>
      </c>
      <c r="J112" s="421" t="s">
        <v>1108</v>
      </c>
      <c r="K112" s="421" t="s">
        <v>1202</v>
      </c>
      <c r="L112" s="421" t="s">
        <v>1110</v>
      </c>
      <c r="O112" s="421" t="s">
        <v>1111</v>
      </c>
      <c r="R112" s="421" t="s">
        <v>1111</v>
      </c>
      <c r="S112" s="421" t="s">
        <v>1112</v>
      </c>
      <c r="T112" s="421" t="s">
        <v>1113</v>
      </c>
      <c r="U112" s="421" t="s">
        <v>1114</v>
      </c>
      <c r="V112" s="421" t="s">
        <v>1115</v>
      </c>
      <c r="W112" s="421" t="s">
        <v>1116</v>
      </c>
      <c r="X112" s="421" t="s">
        <v>1117</v>
      </c>
      <c r="Y112" s="421" t="s">
        <v>1118</v>
      </c>
      <c r="Z112" s="421" t="s">
        <v>1119</v>
      </c>
      <c r="AA112" s="421" t="s">
        <v>1772</v>
      </c>
      <c r="AB112" s="421" t="s">
        <v>1121</v>
      </c>
      <c r="AC112" s="421" t="s">
        <v>1122</v>
      </c>
      <c r="AD112" s="421" t="s">
        <v>1479</v>
      </c>
      <c r="AE112" s="421" t="s">
        <v>1203</v>
      </c>
      <c r="AF112" s="421" t="s">
        <v>1204</v>
      </c>
      <c r="AG112" s="421" t="s">
        <v>2077</v>
      </c>
      <c r="AH112" s="421">
        <v>21500</v>
      </c>
      <c r="AI112" s="421" t="s">
        <v>1127</v>
      </c>
      <c r="AJ112" s="421">
        <v>1</v>
      </c>
      <c r="AK112" s="421">
        <v>1</v>
      </c>
      <c r="AL112" s="421" t="s">
        <v>1283</v>
      </c>
      <c r="AM112" s="421">
        <v>21500</v>
      </c>
      <c r="AN112" s="421">
        <v>21743</v>
      </c>
      <c r="AO112" s="421" t="s">
        <v>1120</v>
      </c>
      <c r="AP112" s="421" t="s">
        <v>1129</v>
      </c>
      <c r="AR112" s="421" t="s">
        <v>1130</v>
      </c>
      <c r="AT112" s="421" t="s">
        <v>1131</v>
      </c>
      <c r="AU112" s="421" t="s">
        <v>1132</v>
      </c>
      <c r="AV112" s="421" t="s">
        <v>1133</v>
      </c>
      <c r="AW112" s="421" t="s">
        <v>1207</v>
      </c>
      <c r="AX112" s="421" t="s">
        <v>1207</v>
      </c>
      <c r="AY112" s="421" t="s">
        <v>1208</v>
      </c>
      <c r="AZ112" s="421" t="s">
        <v>1121</v>
      </c>
      <c r="BA112" s="421" t="s">
        <v>1209</v>
      </c>
      <c r="BB112" s="421" t="s">
        <v>1208</v>
      </c>
      <c r="BC112" s="421" t="s">
        <v>1210</v>
      </c>
      <c r="BD112" s="421" t="s">
        <v>1211</v>
      </c>
      <c r="BE112" s="421" t="s">
        <v>1212</v>
      </c>
      <c r="BF112" s="421" t="s">
        <v>2078</v>
      </c>
      <c r="BG112" s="421" t="s">
        <v>2044</v>
      </c>
      <c r="BH112" s="421" t="s">
        <v>2079</v>
      </c>
      <c r="BI112" s="421" t="s">
        <v>1142</v>
      </c>
      <c r="BJ112" s="421" t="s">
        <v>1243</v>
      </c>
      <c r="BK112" s="421" t="s">
        <v>2076</v>
      </c>
      <c r="BL112" s="421" t="s">
        <v>2080</v>
      </c>
      <c r="BM112" s="421" t="s">
        <v>2081</v>
      </c>
      <c r="BN112" s="421" t="s">
        <v>1987</v>
      </c>
      <c r="BO112" s="421">
        <v>0</v>
      </c>
      <c r="BR112" s="421">
        <v>0</v>
      </c>
      <c r="BS112" s="421">
        <v>0</v>
      </c>
      <c r="BT112" s="421">
        <v>0</v>
      </c>
      <c r="BU112" s="424">
        <v>42166</v>
      </c>
      <c r="BX112" s="421">
        <v>2538.5500000000002</v>
      </c>
      <c r="BY112" s="421" t="s">
        <v>1147</v>
      </c>
      <c r="BZ112" s="421">
        <v>40850</v>
      </c>
      <c r="CA112" s="421">
        <v>103699767.5</v>
      </c>
      <c r="CB112" s="421">
        <v>16.34</v>
      </c>
      <c r="CC112" s="421">
        <v>0</v>
      </c>
      <c r="CD112" s="421">
        <v>880</v>
      </c>
      <c r="CE112" s="421">
        <v>896.34</v>
      </c>
      <c r="CF112" s="421">
        <v>0</v>
      </c>
      <c r="CG112" s="421">
        <v>41746.339999999997</v>
      </c>
      <c r="CH112" s="421">
        <v>0</v>
      </c>
      <c r="CI112" s="421">
        <v>41746.339999999997</v>
      </c>
      <c r="CJ112" s="421">
        <v>105975171.40700001</v>
      </c>
      <c r="CK112" s="421">
        <v>0</v>
      </c>
      <c r="CL112" s="421">
        <v>105975171</v>
      </c>
      <c r="CM112" s="421">
        <v>0</v>
      </c>
      <c r="CN112" s="421">
        <v>0</v>
      </c>
      <c r="CO112" s="421">
        <v>0</v>
      </c>
      <c r="CP112" s="421">
        <v>0</v>
      </c>
      <c r="CQ112" s="421">
        <v>0</v>
      </c>
      <c r="CR112" s="421">
        <v>105975171</v>
      </c>
      <c r="CS112" s="421">
        <v>0</v>
      </c>
      <c r="CT112" s="421">
        <v>0</v>
      </c>
      <c r="CU112" s="421">
        <v>0</v>
      </c>
      <c r="CV112" s="421">
        <v>0</v>
      </c>
      <c r="CW112" s="421">
        <v>0</v>
      </c>
      <c r="CX112" s="421">
        <v>0</v>
      </c>
      <c r="CY112" s="421">
        <v>0</v>
      </c>
      <c r="CZ112" s="421">
        <v>0</v>
      </c>
      <c r="DA112" s="421">
        <v>0</v>
      </c>
      <c r="DB112" s="421">
        <v>0</v>
      </c>
      <c r="DC112" s="421">
        <v>0</v>
      </c>
      <c r="DD112" s="421">
        <v>0</v>
      </c>
      <c r="DE112" s="421">
        <v>0</v>
      </c>
      <c r="DF112" s="421">
        <v>0</v>
      </c>
      <c r="DG112" s="421">
        <v>0</v>
      </c>
      <c r="DH112" s="421">
        <v>0</v>
      </c>
      <c r="DI112" s="421">
        <v>0</v>
      </c>
      <c r="DJ112" s="421">
        <v>0</v>
      </c>
      <c r="DK112" s="421">
        <v>0</v>
      </c>
      <c r="DL112" s="421">
        <v>0</v>
      </c>
      <c r="DM112" s="421">
        <v>0</v>
      </c>
      <c r="DN112" s="421">
        <v>0</v>
      </c>
      <c r="DO112" s="421">
        <v>0</v>
      </c>
      <c r="DP112" s="421">
        <v>0</v>
      </c>
      <c r="DQ112" s="421">
        <v>0</v>
      </c>
      <c r="DR112" s="421">
        <v>0</v>
      </c>
      <c r="DS112" s="421">
        <v>0</v>
      </c>
      <c r="DT112" s="421">
        <v>0</v>
      </c>
      <c r="DU112" s="421">
        <v>0</v>
      </c>
      <c r="DV112" s="421">
        <v>0</v>
      </c>
      <c r="DW112" s="421">
        <v>0</v>
      </c>
      <c r="DX112" s="421">
        <v>0</v>
      </c>
      <c r="DY112" s="421">
        <v>0</v>
      </c>
      <c r="DZ112" s="421">
        <v>0</v>
      </c>
      <c r="EA112" s="421">
        <v>0</v>
      </c>
      <c r="EB112" s="421">
        <v>0</v>
      </c>
      <c r="EC112" s="421" t="s">
        <v>1148</v>
      </c>
      <c r="ED112" s="421" t="s">
        <v>1149</v>
      </c>
      <c r="EE112" s="421" t="s">
        <v>1149</v>
      </c>
    </row>
    <row r="113" spans="1:135" x14ac:dyDescent="0.25">
      <c r="A113" s="421">
        <v>110</v>
      </c>
      <c r="B113" s="421">
        <v>2015</v>
      </c>
      <c r="C113" s="421">
        <v>6</v>
      </c>
      <c r="D113" s="421">
        <v>19</v>
      </c>
      <c r="E113" s="424">
        <v>42174</v>
      </c>
      <c r="F113" s="421" t="s">
        <v>2082</v>
      </c>
      <c r="G113" s="421" t="s">
        <v>2083</v>
      </c>
      <c r="H113" s="421" t="s">
        <v>1152</v>
      </c>
      <c r="I113" s="421" t="s">
        <v>1107</v>
      </c>
      <c r="J113" s="421" t="s">
        <v>1108</v>
      </c>
      <c r="K113" s="421" t="s">
        <v>1109</v>
      </c>
      <c r="L113" s="421" t="s">
        <v>1110</v>
      </c>
      <c r="O113" s="421" t="s">
        <v>1111</v>
      </c>
      <c r="R113" s="421" t="s">
        <v>1111</v>
      </c>
      <c r="S113" s="421" t="s">
        <v>1112</v>
      </c>
      <c r="T113" s="421" t="s">
        <v>1113</v>
      </c>
      <c r="U113" s="421" t="s">
        <v>1114</v>
      </c>
      <c r="V113" s="421" t="s">
        <v>1115</v>
      </c>
      <c r="W113" s="421" t="s">
        <v>1116</v>
      </c>
      <c r="X113" s="421" t="s">
        <v>1117</v>
      </c>
      <c r="Y113" s="421" t="s">
        <v>1118</v>
      </c>
      <c r="Z113" s="421" t="s">
        <v>1119</v>
      </c>
      <c r="AA113" s="421" t="s">
        <v>1772</v>
      </c>
      <c r="AB113" s="421" t="s">
        <v>1121</v>
      </c>
      <c r="AC113" s="421" t="s">
        <v>1122</v>
      </c>
      <c r="AD113" s="421" t="s">
        <v>1479</v>
      </c>
      <c r="AE113" s="421" t="s">
        <v>1124</v>
      </c>
      <c r="AF113" s="421" t="s">
        <v>1125</v>
      </c>
      <c r="AG113" s="421" t="s">
        <v>2084</v>
      </c>
      <c r="AH113" s="421">
        <v>6714</v>
      </c>
      <c r="AI113" s="421" t="s">
        <v>1127</v>
      </c>
      <c r="AJ113" s="421">
        <v>373</v>
      </c>
      <c r="AK113" s="421">
        <v>1</v>
      </c>
      <c r="AL113" s="421" t="s">
        <v>2085</v>
      </c>
      <c r="AM113" s="421">
        <v>6714</v>
      </c>
      <c r="AN113" s="421">
        <v>6825.9</v>
      </c>
      <c r="AO113" s="421" t="s">
        <v>1120</v>
      </c>
      <c r="AP113" s="421" t="s">
        <v>1129</v>
      </c>
      <c r="AR113" s="421" t="s">
        <v>1130</v>
      </c>
      <c r="AT113" s="421" t="s">
        <v>1131</v>
      </c>
      <c r="AU113" s="421" t="s">
        <v>1132</v>
      </c>
      <c r="AV113" s="421" t="s">
        <v>1133</v>
      </c>
      <c r="AW113" s="421" t="s">
        <v>1134</v>
      </c>
      <c r="AX113" s="421" t="s">
        <v>1134</v>
      </c>
      <c r="AY113" s="421" t="s">
        <v>1134</v>
      </c>
      <c r="AZ113" s="421" t="s">
        <v>1121</v>
      </c>
      <c r="BA113" s="421" t="s">
        <v>1135</v>
      </c>
      <c r="BB113" s="421" t="s">
        <v>1134</v>
      </c>
      <c r="BC113" s="421" t="s">
        <v>1136</v>
      </c>
      <c r="BD113" s="421" t="s">
        <v>1137</v>
      </c>
      <c r="BE113" s="421" t="s">
        <v>1138</v>
      </c>
      <c r="BF113" s="421" t="s">
        <v>2086</v>
      </c>
      <c r="BG113" s="421" t="s">
        <v>2044</v>
      </c>
      <c r="BH113" s="421" t="s">
        <v>2087</v>
      </c>
      <c r="BI113" s="421" t="s">
        <v>1142</v>
      </c>
      <c r="BJ113" s="421" t="s">
        <v>1143</v>
      </c>
      <c r="BK113" s="421" t="s">
        <v>2083</v>
      </c>
      <c r="BL113" s="421" t="s">
        <v>2080</v>
      </c>
      <c r="BM113" s="421" t="s">
        <v>2088</v>
      </c>
      <c r="BN113" s="421" t="s">
        <v>1938</v>
      </c>
      <c r="BO113" s="421">
        <v>0</v>
      </c>
      <c r="BR113" s="421">
        <v>0</v>
      </c>
      <c r="BS113" s="421">
        <v>0</v>
      </c>
      <c r="BT113" s="421">
        <v>0</v>
      </c>
      <c r="BU113" s="424">
        <v>42171</v>
      </c>
      <c r="BX113" s="421">
        <v>2538.5500000000002</v>
      </c>
      <c r="BY113" s="421" t="s">
        <v>1147</v>
      </c>
      <c r="BZ113" s="421">
        <v>13524.01</v>
      </c>
      <c r="CA113" s="421">
        <v>34331375.585500002</v>
      </c>
      <c r="CB113" s="421">
        <v>5.41</v>
      </c>
      <c r="CC113" s="421">
        <v>0</v>
      </c>
      <c r="CD113" s="421">
        <v>1375</v>
      </c>
      <c r="CE113" s="421">
        <v>1380.41</v>
      </c>
      <c r="CF113" s="421">
        <v>0</v>
      </c>
      <c r="CG113" s="421">
        <v>14904.42</v>
      </c>
      <c r="CH113" s="421">
        <v>0</v>
      </c>
      <c r="CI113" s="421">
        <v>14904.42</v>
      </c>
      <c r="CJ113" s="421">
        <v>37835615.391000003</v>
      </c>
      <c r="CK113" s="421">
        <v>0</v>
      </c>
      <c r="CL113" s="421">
        <v>37835615</v>
      </c>
      <c r="CM113" s="421">
        <v>0</v>
      </c>
      <c r="CN113" s="421">
        <v>0</v>
      </c>
      <c r="CO113" s="421">
        <v>0</v>
      </c>
      <c r="CP113" s="421">
        <v>0</v>
      </c>
      <c r="CQ113" s="421">
        <v>16</v>
      </c>
      <c r="CR113" s="421">
        <v>37835615</v>
      </c>
      <c r="CS113" s="421">
        <v>6054000</v>
      </c>
      <c r="CT113" s="421">
        <v>6054000</v>
      </c>
      <c r="CU113" s="421">
        <v>0</v>
      </c>
      <c r="CV113" s="421">
        <v>0</v>
      </c>
      <c r="CW113" s="421">
        <v>0</v>
      </c>
      <c r="CX113" s="421">
        <v>0</v>
      </c>
      <c r="CY113" s="421">
        <v>0</v>
      </c>
      <c r="CZ113" s="421">
        <v>0</v>
      </c>
      <c r="DA113" s="421">
        <v>0</v>
      </c>
      <c r="DB113" s="421">
        <v>0</v>
      </c>
      <c r="DC113" s="421">
        <v>0</v>
      </c>
      <c r="DD113" s="421">
        <v>0</v>
      </c>
      <c r="DE113" s="421">
        <v>0</v>
      </c>
      <c r="DF113" s="421">
        <v>0</v>
      </c>
      <c r="DG113" s="421">
        <v>0</v>
      </c>
      <c r="DH113" s="421">
        <v>0</v>
      </c>
      <c r="DI113" s="421">
        <v>0</v>
      </c>
      <c r="DJ113" s="421">
        <v>0</v>
      </c>
      <c r="DK113" s="421">
        <v>0</v>
      </c>
      <c r="DL113" s="421">
        <v>0</v>
      </c>
      <c r="DM113" s="421">
        <v>0</v>
      </c>
      <c r="DN113" s="421">
        <v>0</v>
      </c>
      <c r="DO113" s="421">
        <v>0</v>
      </c>
      <c r="DP113" s="421">
        <v>0</v>
      </c>
      <c r="DQ113" s="421">
        <v>0</v>
      </c>
      <c r="DR113" s="421">
        <v>0</v>
      </c>
      <c r="DS113" s="421">
        <v>0</v>
      </c>
      <c r="DT113" s="421">
        <v>0</v>
      </c>
      <c r="DU113" s="421">
        <v>0</v>
      </c>
      <c r="DV113" s="421">
        <v>0</v>
      </c>
      <c r="DW113" s="421">
        <v>0</v>
      </c>
      <c r="DX113" s="421">
        <v>0</v>
      </c>
      <c r="DY113" s="421">
        <v>6054000</v>
      </c>
      <c r="DZ113" s="421">
        <v>6054000</v>
      </c>
      <c r="EA113" s="421">
        <v>0</v>
      </c>
      <c r="EB113" s="421">
        <v>0</v>
      </c>
      <c r="EC113" s="421" t="s">
        <v>1148</v>
      </c>
      <c r="ED113" s="421" t="s">
        <v>1149</v>
      </c>
      <c r="EE113" s="421" t="s">
        <v>1149</v>
      </c>
    </row>
    <row r="114" spans="1:135" x14ac:dyDescent="0.25">
      <c r="A114" s="421">
        <v>111</v>
      </c>
      <c r="B114" s="421">
        <v>2015</v>
      </c>
      <c r="C114" s="421">
        <v>6</v>
      </c>
      <c r="D114" s="421">
        <v>20</v>
      </c>
      <c r="E114" s="424">
        <v>42175</v>
      </c>
      <c r="F114" s="421" t="s">
        <v>2089</v>
      </c>
      <c r="G114" s="421" t="s">
        <v>2090</v>
      </c>
      <c r="H114" s="421" t="s">
        <v>1152</v>
      </c>
      <c r="I114" s="421" t="s">
        <v>1107</v>
      </c>
      <c r="J114" s="421" t="s">
        <v>1108</v>
      </c>
      <c r="K114" s="421" t="s">
        <v>1109</v>
      </c>
      <c r="L114" s="421" t="s">
        <v>1110</v>
      </c>
      <c r="O114" s="421" t="s">
        <v>1111</v>
      </c>
      <c r="R114" s="421" t="s">
        <v>1111</v>
      </c>
      <c r="S114" s="421" t="s">
        <v>1112</v>
      </c>
      <c r="T114" s="421" t="s">
        <v>1113</v>
      </c>
      <c r="U114" s="421" t="s">
        <v>1114</v>
      </c>
      <c r="V114" s="421" t="s">
        <v>1115</v>
      </c>
      <c r="W114" s="421" t="s">
        <v>1116</v>
      </c>
      <c r="X114" s="421" t="s">
        <v>1117</v>
      </c>
      <c r="Y114" s="421" t="s">
        <v>1118</v>
      </c>
      <c r="Z114" s="421" t="s">
        <v>1119</v>
      </c>
      <c r="AA114" s="421" t="s">
        <v>1772</v>
      </c>
      <c r="AB114" s="421" t="s">
        <v>1121</v>
      </c>
      <c r="AC114" s="421" t="s">
        <v>1122</v>
      </c>
      <c r="AD114" s="421" t="s">
        <v>1479</v>
      </c>
      <c r="AE114" s="421" t="s">
        <v>1233</v>
      </c>
      <c r="AF114" s="421" t="s">
        <v>1234</v>
      </c>
      <c r="AG114" s="421" t="s">
        <v>2091</v>
      </c>
      <c r="AH114" s="421">
        <v>99120</v>
      </c>
      <c r="AI114" s="421" t="s">
        <v>1189</v>
      </c>
      <c r="AJ114" s="421">
        <v>413</v>
      </c>
      <c r="AK114" s="421">
        <v>1</v>
      </c>
      <c r="AL114" s="421" t="s">
        <v>1173</v>
      </c>
      <c r="AM114" s="421">
        <v>4204.8</v>
      </c>
      <c r="AN114" s="421">
        <v>4617.8</v>
      </c>
      <c r="AO114" s="421" t="s">
        <v>1120</v>
      </c>
      <c r="AP114" s="421" t="s">
        <v>1129</v>
      </c>
      <c r="AR114" s="421" t="s">
        <v>1130</v>
      </c>
      <c r="AT114" s="421" t="s">
        <v>1131</v>
      </c>
      <c r="AU114" s="421" t="s">
        <v>1190</v>
      </c>
      <c r="AV114" s="421" t="s">
        <v>1191</v>
      </c>
      <c r="AW114" s="421" t="s">
        <v>960</v>
      </c>
      <c r="AX114" s="421" t="s">
        <v>960</v>
      </c>
      <c r="AY114" s="421" t="s">
        <v>960</v>
      </c>
      <c r="AZ114" s="421" t="s">
        <v>1121</v>
      </c>
      <c r="BA114" s="421" t="s">
        <v>1588</v>
      </c>
      <c r="BB114" s="421" t="s">
        <v>960</v>
      </c>
      <c r="BC114" s="421" t="s">
        <v>1175</v>
      </c>
      <c r="BD114" s="421" t="s">
        <v>1589</v>
      </c>
      <c r="BE114" s="421" t="s">
        <v>1590</v>
      </c>
      <c r="BF114" s="421" t="s">
        <v>2092</v>
      </c>
      <c r="BG114" s="421" t="s">
        <v>2093</v>
      </c>
      <c r="BH114" s="421" t="s">
        <v>2094</v>
      </c>
      <c r="BI114" s="421" t="s">
        <v>1142</v>
      </c>
      <c r="BJ114" s="421" t="s">
        <v>1163</v>
      </c>
      <c r="BK114" s="421" t="s">
        <v>2090</v>
      </c>
      <c r="BL114" s="421" t="s">
        <v>2080</v>
      </c>
      <c r="BM114" s="421" t="s">
        <v>2095</v>
      </c>
      <c r="BN114" s="421" t="s">
        <v>1887</v>
      </c>
      <c r="BO114" s="421">
        <v>0</v>
      </c>
      <c r="BR114" s="421">
        <v>0</v>
      </c>
      <c r="BS114" s="421">
        <v>0</v>
      </c>
      <c r="BT114" s="421">
        <v>0</v>
      </c>
      <c r="BU114" s="424">
        <v>42138</v>
      </c>
      <c r="BX114" s="421">
        <v>2538.5500000000002</v>
      </c>
      <c r="BY114" s="421" t="s">
        <v>1183</v>
      </c>
      <c r="BZ114" s="421">
        <v>14122.08</v>
      </c>
      <c r="CA114" s="421">
        <v>35849606.184</v>
      </c>
      <c r="CB114" s="421">
        <v>5.65</v>
      </c>
      <c r="CC114" s="421">
        <v>0</v>
      </c>
      <c r="CD114" s="421">
        <v>2500</v>
      </c>
      <c r="CE114" s="421">
        <v>2505.65</v>
      </c>
      <c r="CF114" s="421">
        <v>0</v>
      </c>
      <c r="CG114" s="421">
        <v>16627.73</v>
      </c>
      <c r="CH114" s="421">
        <v>0</v>
      </c>
      <c r="CI114" s="421">
        <v>16627.73</v>
      </c>
      <c r="CJ114" s="421">
        <v>42210323.991499998</v>
      </c>
      <c r="CK114" s="421">
        <v>15</v>
      </c>
      <c r="CL114" s="421">
        <v>42210324</v>
      </c>
      <c r="CM114" s="421">
        <v>6332000</v>
      </c>
      <c r="CN114" s="421">
        <v>6332000</v>
      </c>
      <c r="CO114" s="421">
        <v>0</v>
      </c>
      <c r="CP114" s="421">
        <v>0</v>
      </c>
      <c r="CQ114" s="421">
        <v>16</v>
      </c>
      <c r="CR114" s="421">
        <v>48542324</v>
      </c>
      <c r="CS114" s="421">
        <v>7767000</v>
      </c>
      <c r="CT114" s="421">
        <v>7767000</v>
      </c>
      <c r="CU114" s="421">
        <v>0</v>
      </c>
      <c r="CV114" s="421">
        <v>0</v>
      </c>
      <c r="CW114" s="421">
        <v>0</v>
      </c>
      <c r="CX114" s="421">
        <v>0</v>
      </c>
      <c r="CY114" s="421">
        <v>0</v>
      </c>
      <c r="CZ114" s="421">
        <v>0</v>
      </c>
      <c r="DA114" s="421">
        <v>0</v>
      </c>
      <c r="DB114" s="421">
        <v>0</v>
      </c>
      <c r="DC114" s="421">
        <v>0</v>
      </c>
      <c r="DD114" s="421">
        <v>0</v>
      </c>
      <c r="DE114" s="421">
        <v>0</v>
      </c>
      <c r="DF114" s="421">
        <v>0</v>
      </c>
      <c r="DG114" s="421">
        <v>0</v>
      </c>
      <c r="DH114" s="421">
        <v>0</v>
      </c>
      <c r="DI114" s="421">
        <v>0</v>
      </c>
      <c r="DJ114" s="421">
        <v>0</v>
      </c>
      <c r="DK114" s="421">
        <v>0</v>
      </c>
      <c r="DL114" s="421">
        <v>0</v>
      </c>
      <c r="DM114" s="421">
        <v>0</v>
      </c>
      <c r="DN114" s="421">
        <v>0</v>
      </c>
      <c r="DO114" s="421">
        <v>0</v>
      </c>
      <c r="DP114" s="421">
        <v>0</v>
      </c>
      <c r="DQ114" s="421">
        <v>0</v>
      </c>
      <c r="DR114" s="421">
        <v>0</v>
      </c>
      <c r="DS114" s="421">
        <v>0</v>
      </c>
      <c r="DT114" s="421">
        <v>0</v>
      </c>
      <c r="DU114" s="421">
        <v>0</v>
      </c>
      <c r="DV114" s="421">
        <v>0</v>
      </c>
      <c r="DW114" s="421">
        <v>0</v>
      </c>
      <c r="DX114" s="421">
        <v>0</v>
      </c>
      <c r="DY114" s="421">
        <v>14099000</v>
      </c>
      <c r="DZ114" s="421">
        <v>14099000</v>
      </c>
      <c r="EA114" s="421">
        <v>0</v>
      </c>
      <c r="EB114" s="421">
        <v>0</v>
      </c>
      <c r="EC114" s="421" t="s">
        <v>1148</v>
      </c>
      <c r="ED114" s="421" t="s">
        <v>1167</v>
      </c>
      <c r="EE114" s="421" t="s">
        <v>1167</v>
      </c>
    </row>
    <row r="115" spans="1:135" x14ac:dyDescent="0.25">
      <c r="A115" s="421">
        <v>112</v>
      </c>
      <c r="B115" s="421">
        <v>2015</v>
      </c>
      <c r="C115" s="421">
        <v>6</v>
      </c>
      <c r="D115" s="421">
        <v>22</v>
      </c>
      <c r="E115" s="424">
        <v>42177</v>
      </c>
      <c r="F115" s="421" t="s">
        <v>2096</v>
      </c>
      <c r="G115" s="421" t="s">
        <v>2097</v>
      </c>
      <c r="H115" s="421" t="s">
        <v>1152</v>
      </c>
      <c r="I115" s="421" t="s">
        <v>1107</v>
      </c>
      <c r="J115" s="421" t="s">
        <v>1108</v>
      </c>
      <c r="K115" s="421" t="s">
        <v>1109</v>
      </c>
      <c r="L115" s="421" t="s">
        <v>1110</v>
      </c>
      <c r="O115" s="421" t="s">
        <v>1111</v>
      </c>
      <c r="R115" s="421" t="s">
        <v>1111</v>
      </c>
      <c r="S115" s="421" t="s">
        <v>1112</v>
      </c>
      <c r="T115" s="421" t="s">
        <v>1113</v>
      </c>
      <c r="U115" s="421" t="s">
        <v>1114</v>
      </c>
      <c r="V115" s="421" t="s">
        <v>1115</v>
      </c>
      <c r="W115" s="421" t="s">
        <v>1116</v>
      </c>
      <c r="X115" s="421" t="s">
        <v>1117</v>
      </c>
      <c r="Y115" s="421" t="s">
        <v>1118</v>
      </c>
      <c r="Z115" s="421" t="s">
        <v>1119</v>
      </c>
      <c r="AA115" s="421" t="s">
        <v>1772</v>
      </c>
      <c r="AB115" s="421" t="s">
        <v>1121</v>
      </c>
      <c r="AC115" s="421" t="s">
        <v>1122</v>
      </c>
      <c r="AD115" s="421" t="s">
        <v>1479</v>
      </c>
      <c r="AE115" s="421" t="s">
        <v>1264</v>
      </c>
      <c r="AF115" s="421" t="s">
        <v>1265</v>
      </c>
      <c r="AG115" s="421" t="s">
        <v>2098</v>
      </c>
      <c r="AH115" s="421">
        <v>14349.55</v>
      </c>
      <c r="AI115" s="421" t="s">
        <v>1127</v>
      </c>
      <c r="AJ115" s="421">
        <v>22</v>
      </c>
      <c r="AK115" s="421">
        <v>1</v>
      </c>
      <c r="AL115" s="421" t="s">
        <v>1206</v>
      </c>
      <c r="AM115" s="421">
        <v>14349.55</v>
      </c>
      <c r="AN115" s="421">
        <v>15250.07</v>
      </c>
      <c r="AO115" s="421" t="s">
        <v>1120</v>
      </c>
      <c r="AP115" s="421" t="s">
        <v>1129</v>
      </c>
      <c r="AR115" s="421" t="s">
        <v>1130</v>
      </c>
      <c r="AT115" s="421" t="s">
        <v>1131</v>
      </c>
      <c r="AU115" s="421" t="s">
        <v>1132</v>
      </c>
      <c r="AV115" s="421" t="s">
        <v>1133</v>
      </c>
      <c r="AW115" s="421" t="s">
        <v>962</v>
      </c>
      <c r="AX115" s="421" t="s">
        <v>962</v>
      </c>
      <c r="AY115" s="421" t="s">
        <v>962</v>
      </c>
      <c r="AZ115" s="421" t="s">
        <v>1121</v>
      </c>
      <c r="BA115" s="421" t="s">
        <v>1364</v>
      </c>
      <c r="BB115" s="421" t="s">
        <v>962</v>
      </c>
      <c r="BC115" s="421" t="s">
        <v>1365</v>
      </c>
      <c r="BD115" s="421" t="s">
        <v>1366</v>
      </c>
      <c r="BE115" s="421" t="s">
        <v>1696</v>
      </c>
      <c r="BF115" s="421" t="s">
        <v>2078</v>
      </c>
      <c r="BG115" s="421" t="s">
        <v>2044</v>
      </c>
      <c r="BH115" s="421" t="s">
        <v>2099</v>
      </c>
      <c r="BI115" s="421" t="s">
        <v>1142</v>
      </c>
      <c r="BJ115" s="421" t="s">
        <v>1243</v>
      </c>
      <c r="BK115" s="421" t="s">
        <v>2097</v>
      </c>
      <c r="BL115" s="421" t="s">
        <v>2100</v>
      </c>
      <c r="BM115" s="421" t="s">
        <v>2101</v>
      </c>
      <c r="BN115" s="421" t="s">
        <v>2008</v>
      </c>
      <c r="BO115" s="421">
        <v>0</v>
      </c>
      <c r="BR115" s="421">
        <v>0</v>
      </c>
      <c r="BS115" s="421">
        <v>0</v>
      </c>
      <c r="BT115" s="421">
        <v>0</v>
      </c>
      <c r="BU115" s="424">
        <v>42162</v>
      </c>
      <c r="BX115" s="421">
        <v>2528.85</v>
      </c>
      <c r="BY115" s="421" t="s">
        <v>1147</v>
      </c>
      <c r="BZ115" s="421">
        <v>135125.54</v>
      </c>
      <c r="CA115" s="421">
        <v>341712221.829</v>
      </c>
      <c r="CB115" s="421">
        <v>54.05</v>
      </c>
      <c r="CC115" s="421">
        <v>0</v>
      </c>
      <c r="CD115" s="421">
        <v>1459.45</v>
      </c>
      <c r="CE115" s="421">
        <v>1513.5</v>
      </c>
      <c r="CF115" s="421">
        <v>0</v>
      </c>
      <c r="CG115" s="421">
        <v>136639.04000000001</v>
      </c>
      <c r="CH115" s="421">
        <v>0</v>
      </c>
      <c r="CI115" s="421">
        <v>136639.04000000001</v>
      </c>
      <c r="CJ115" s="421">
        <v>345539636.30400002</v>
      </c>
      <c r="CK115" s="421">
        <v>5</v>
      </c>
      <c r="CL115" s="421">
        <v>345539636</v>
      </c>
      <c r="CM115" s="421">
        <v>17277000</v>
      </c>
      <c r="CN115" s="421">
        <v>17277000</v>
      </c>
      <c r="CO115" s="421">
        <v>0</v>
      </c>
      <c r="CP115" s="421">
        <v>0</v>
      </c>
      <c r="CQ115" s="421">
        <v>16</v>
      </c>
      <c r="CR115" s="421">
        <v>362816636</v>
      </c>
      <c r="CS115" s="421">
        <v>58051000</v>
      </c>
      <c r="CT115" s="421">
        <v>58051000</v>
      </c>
      <c r="CU115" s="421">
        <v>0</v>
      </c>
      <c r="CV115" s="421">
        <v>0</v>
      </c>
      <c r="CW115" s="421">
        <v>0</v>
      </c>
      <c r="CX115" s="421">
        <v>0</v>
      </c>
      <c r="CY115" s="421">
        <v>0</v>
      </c>
      <c r="CZ115" s="421">
        <v>0</v>
      </c>
      <c r="DA115" s="421">
        <v>0</v>
      </c>
      <c r="DB115" s="421">
        <v>0</v>
      </c>
      <c r="DC115" s="421">
        <v>0</v>
      </c>
      <c r="DD115" s="421">
        <v>0</v>
      </c>
      <c r="DE115" s="421">
        <v>0</v>
      </c>
      <c r="DF115" s="421">
        <v>0</v>
      </c>
      <c r="DG115" s="421">
        <v>0</v>
      </c>
      <c r="DH115" s="421">
        <v>0</v>
      </c>
      <c r="DI115" s="421">
        <v>0</v>
      </c>
      <c r="DJ115" s="421">
        <v>0</v>
      </c>
      <c r="DK115" s="421">
        <v>0</v>
      </c>
      <c r="DL115" s="421">
        <v>0</v>
      </c>
      <c r="DM115" s="421">
        <v>0</v>
      </c>
      <c r="DN115" s="421">
        <v>0</v>
      </c>
      <c r="DO115" s="421">
        <v>0</v>
      </c>
      <c r="DP115" s="421">
        <v>0</v>
      </c>
      <c r="DQ115" s="421">
        <v>0</v>
      </c>
      <c r="DR115" s="421">
        <v>0</v>
      </c>
      <c r="DS115" s="421">
        <v>0</v>
      </c>
      <c r="DT115" s="421">
        <v>0</v>
      </c>
      <c r="DU115" s="421">
        <v>0</v>
      </c>
      <c r="DV115" s="421">
        <v>0</v>
      </c>
      <c r="DW115" s="421">
        <v>0</v>
      </c>
      <c r="DX115" s="421">
        <v>0</v>
      </c>
      <c r="DY115" s="421">
        <v>75328000</v>
      </c>
      <c r="DZ115" s="421">
        <v>75328000</v>
      </c>
      <c r="EA115" s="421">
        <v>0</v>
      </c>
      <c r="EB115" s="421">
        <v>0</v>
      </c>
      <c r="EC115" s="421" t="s">
        <v>1148</v>
      </c>
      <c r="ED115" s="421" t="s">
        <v>1149</v>
      </c>
      <c r="EE115" s="421" t="s">
        <v>1149</v>
      </c>
    </row>
    <row r="116" spans="1:135" x14ac:dyDescent="0.25">
      <c r="A116" s="421">
        <v>113</v>
      </c>
      <c r="B116" s="421">
        <v>2015</v>
      </c>
      <c r="C116" s="421">
        <v>6</v>
      </c>
      <c r="D116" s="421">
        <v>22</v>
      </c>
      <c r="E116" s="424">
        <v>42177</v>
      </c>
      <c r="F116" s="421" t="s">
        <v>2102</v>
      </c>
      <c r="G116" s="421" t="s">
        <v>2103</v>
      </c>
      <c r="H116" s="421" t="s">
        <v>1152</v>
      </c>
      <c r="I116" s="421" t="s">
        <v>1107</v>
      </c>
      <c r="J116" s="421" t="s">
        <v>1108</v>
      </c>
      <c r="K116" s="421" t="s">
        <v>1109</v>
      </c>
      <c r="L116" s="421" t="s">
        <v>1110</v>
      </c>
      <c r="O116" s="421" t="s">
        <v>1111</v>
      </c>
      <c r="R116" s="421" t="s">
        <v>1111</v>
      </c>
      <c r="S116" s="421" t="s">
        <v>1112</v>
      </c>
      <c r="T116" s="421" t="s">
        <v>1113</v>
      </c>
      <c r="U116" s="421" t="s">
        <v>1114</v>
      </c>
      <c r="V116" s="421" t="s">
        <v>1115</v>
      </c>
      <c r="W116" s="421" t="s">
        <v>1116</v>
      </c>
      <c r="X116" s="421" t="s">
        <v>1117</v>
      </c>
      <c r="Y116" s="421" t="s">
        <v>1118</v>
      </c>
      <c r="Z116" s="421" t="s">
        <v>1119</v>
      </c>
      <c r="AA116" s="421" t="s">
        <v>1772</v>
      </c>
      <c r="AB116" s="421" t="s">
        <v>1121</v>
      </c>
      <c r="AC116" s="421" t="s">
        <v>1122</v>
      </c>
      <c r="AD116" s="421" t="s">
        <v>1479</v>
      </c>
      <c r="AE116" s="421" t="s">
        <v>1264</v>
      </c>
      <c r="AF116" s="421" t="s">
        <v>1265</v>
      </c>
      <c r="AG116" s="421" t="s">
        <v>2104</v>
      </c>
      <c r="AH116" s="421">
        <v>4483.82</v>
      </c>
      <c r="AI116" s="421" t="s">
        <v>1127</v>
      </c>
      <c r="AJ116" s="421">
        <v>22</v>
      </c>
      <c r="AK116" s="421">
        <v>1</v>
      </c>
      <c r="AL116" s="421" t="s">
        <v>1206</v>
      </c>
      <c r="AM116" s="421">
        <v>4483.82</v>
      </c>
      <c r="AN116" s="421">
        <v>4708.01</v>
      </c>
      <c r="AO116" s="421" t="s">
        <v>1427</v>
      </c>
      <c r="AP116" s="421" t="s">
        <v>1129</v>
      </c>
      <c r="AR116" s="421" t="s">
        <v>1130</v>
      </c>
      <c r="AT116" s="421" t="s">
        <v>1131</v>
      </c>
      <c r="AU116" s="421" t="s">
        <v>1132</v>
      </c>
      <c r="AV116" s="421" t="s">
        <v>1133</v>
      </c>
      <c r="AW116" s="421" t="s">
        <v>962</v>
      </c>
      <c r="AX116" s="421" t="s">
        <v>962</v>
      </c>
      <c r="AY116" s="421" t="s">
        <v>962</v>
      </c>
      <c r="AZ116" s="421" t="s">
        <v>1121</v>
      </c>
      <c r="BA116" s="421" t="s">
        <v>1364</v>
      </c>
      <c r="BB116" s="421" t="s">
        <v>962</v>
      </c>
      <c r="BC116" s="421" t="s">
        <v>1365</v>
      </c>
      <c r="BD116" s="421" t="s">
        <v>1366</v>
      </c>
      <c r="BE116" s="421" t="s">
        <v>1696</v>
      </c>
      <c r="BF116" s="421" t="s">
        <v>2078</v>
      </c>
      <c r="BG116" s="421" t="s">
        <v>2044</v>
      </c>
      <c r="BH116" s="421" t="s">
        <v>2099</v>
      </c>
      <c r="BI116" s="421" t="s">
        <v>1142</v>
      </c>
      <c r="BJ116" s="421" t="s">
        <v>1243</v>
      </c>
      <c r="BK116" s="421" t="s">
        <v>2103</v>
      </c>
      <c r="BL116" s="421" t="s">
        <v>2100</v>
      </c>
      <c r="BM116" s="421" t="s">
        <v>2101</v>
      </c>
      <c r="BN116" s="421" t="s">
        <v>2008</v>
      </c>
      <c r="BO116" s="421">
        <v>0</v>
      </c>
      <c r="BR116" s="421">
        <v>0</v>
      </c>
      <c r="BS116" s="421">
        <v>0</v>
      </c>
      <c r="BT116" s="421">
        <v>0</v>
      </c>
      <c r="BU116" s="424">
        <v>42162</v>
      </c>
      <c r="BX116" s="421">
        <v>2528.85</v>
      </c>
      <c r="BY116" s="421" t="s">
        <v>1147</v>
      </c>
      <c r="BZ116" s="421">
        <v>39974.11</v>
      </c>
      <c r="CA116" s="421">
        <v>101088528.07350001</v>
      </c>
      <c r="CB116" s="421">
        <v>15.99</v>
      </c>
      <c r="CC116" s="421">
        <v>0</v>
      </c>
      <c r="CD116" s="421">
        <v>450.55</v>
      </c>
      <c r="CE116" s="421">
        <v>466.54</v>
      </c>
      <c r="CF116" s="421">
        <v>0</v>
      </c>
      <c r="CG116" s="421">
        <v>40440.65</v>
      </c>
      <c r="CH116" s="421">
        <v>0</v>
      </c>
      <c r="CI116" s="421">
        <v>40440.65</v>
      </c>
      <c r="CJ116" s="421">
        <v>102268337.7525</v>
      </c>
      <c r="CK116" s="421">
        <v>2</v>
      </c>
      <c r="CL116" s="421">
        <v>102268338</v>
      </c>
      <c r="CM116" s="421">
        <v>2045000</v>
      </c>
      <c r="CN116" s="421">
        <v>2045000</v>
      </c>
      <c r="CO116" s="421">
        <v>0</v>
      </c>
      <c r="CP116" s="421">
        <v>0</v>
      </c>
      <c r="CQ116" s="421">
        <v>16</v>
      </c>
      <c r="CR116" s="421">
        <v>104313338</v>
      </c>
      <c r="CS116" s="421">
        <v>16690000</v>
      </c>
      <c r="CT116" s="421">
        <v>16690000</v>
      </c>
      <c r="CU116" s="421">
        <v>0</v>
      </c>
      <c r="CV116" s="421">
        <v>0</v>
      </c>
      <c r="CW116" s="421">
        <v>0</v>
      </c>
      <c r="CX116" s="421">
        <v>0</v>
      </c>
      <c r="CY116" s="421">
        <v>0</v>
      </c>
      <c r="CZ116" s="421">
        <v>0</v>
      </c>
      <c r="DA116" s="421">
        <v>0</v>
      </c>
      <c r="DB116" s="421">
        <v>0</v>
      </c>
      <c r="DC116" s="421">
        <v>0</v>
      </c>
      <c r="DD116" s="421">
        <v>0</v>
      </c>
      <c r="DE116" s="421">
        <v>0</v>
      </c>
      <c r="DF116" s="421">
        <v>0</v>
      </c>
      <c r="DG116" s="421">
        <v>0</v>
      </c>
      <c r="DH116" s="421">
        <v>0</v>
      </c>
      <c r="DI116" s="421">
        <v>0</v>
      </c>
      <c r="DJ116" s="421">
        <v>0</v>
      </c>
      <c r="DK116" s="421">
        <v>0</v>
      </c>
      <c r="DL116" s="421">
        <v>0</v>
      </c>
      <c r="DM116" s="421">
        <v>0</v>
      </c>
      <c r="DN116" s="421">
        <v>0</v>
      </c>
      <c r="DO116" s="421">
        <v>0</v>
      </c>
      <c r="DP116" s="421">
        <v>0</v>
      </c>
      <c r="DQ116" s="421">
        <v>0</v>
      </c>
      <c r="DR116" s="421">
        <v>0</v>
      </c>
      <c r="DS116" s="421">
        <v>0</v>
      </c>
      <c r="DT116" s="421">
        <v>0</v>
      </c>
      <c r="DU116" s="421">
        <v>0</v>
      </c>
      <c r="DV116" s="421">
        <v>0</v>
      </c>
      <c r="DW116" s="421">
        <v>0</v>
      </c>
      <c r="DX116" s="421">
        <v>0</v>
      </c>
      <c r="DY116" s="421">
        <v>18735000</v>
      </c>
      <c r="DZ116" s="421">
        <v>18735000</v>
      </c>
      <c r="EA116" s="421">
        <v>0</v>
      </c>
      <c r="EB116" s="421">
        <v>0</v>
      </c>
      <c r="EC116" s="421" t="s">
        <v>1148</v>
      </c>
      <c r="ED116" s="421" t="s">
        <v>1149</v>
      </c>
      <c r="EE116" s="421" t="s">
        <v>1149</v>
      </c>
    </row>
    <row r="117" spans="1:135" x14ac:dyDescent="0.25">
      <c r="A117" s="421">
        <v>114</v>
      </c>
      <c r="B117" s="421">
        <v>2015</v>
      </c>
      <c r="C117" s="421">
        <v>6</v>
      </c>
      <c r="D117" s="421">
        <v>24</v>
      </c>
      <c r="E117" s="424">
        <v>42179</v>
      </c>
      <c r="F117" s="421" t="s">
        <v>2105</v>
      </c>
      <c r="G117" s="421" t="s">
        <v>2106</v>
      </c>
      <c r="H117" s="421" t="s">
        <v>1106</v>
      </c>
      <c r="I117" s="421" t="s">
        <v>1107</v>
      </c>
      <c r="J117" s="421" t="s">
        <v>1108</v>
      </c>
      <c r="K117" s="421" t="s">
        <v>1202</v>
      </c>
      <c r="L117" s="421" t="s">
        <v>1110</v>
      </c>
      <c r="O117" s="421" t="s">
        <v>1111</v>
      </c>
      <c r="R117" s="421" t="s">
        <v>1111</v>
      </c>
      <c r="S117" s="421" t="s">
        <v>1112</v>
      </c>
      <c r="T117" s="421" t="s">
        <v>1113</v>
      </c>
      <c r="U117" s="421" t="s">
        <v>1114</v>
      </c>
      <c r="V117" s="421" t="s">
        <v>1115</v>
      </c>
      <c r="W117" s="421" t="s">
        <v>1116</v>
      </c>
      <c r="X117" s="421" t="s">
        <v>1117</v>
      </c>
      <c r="Y117" s="421" t="s">
        <v>1118</v>
      </c>
      <c r="Z117" s="421" t="s">
        <v>1119</v>
      </c>
      <c r="AA117" s="421" t="s">
        <v>1772</v>
      </c>
      <c r="AB117" s="421" t="s">
        <v>1121</v>
      </c>
      <c r="AC117" s="421" t="s">
        <v>1122</v>
      </c>
      <c r="AD117" s="421" t="s">
        <v>1479</v>
      </c>
      <c r="AE117" s="421" t="s">
        <v>1203</v>
      </c>
      <c r="AF117" s="421" t="s">
        <v>1204</v>
      </c>
      <c r="AG117" s="421" t="s">
        <v>2107</v>
      </c>
      <c r="AH117" s="421">
        <v>86000</v>
      </c>
      <c r="AI117" s="421" t="s">
        <v>1127</v>
      </c>
      <c r="AJ117" s="421">
        <v>4</v>
      </c>
      <c r="AK117" s="421">
        <v>1</v>
      </c>
      <c r="AL117" s="421" t="s">
        <v>1283</v>
      </c>
      <c r="AM117" s="421">
        <v>86000</v>
      </c>
      <c r="AN117" s="421">
        <v>86970</v>
      </c>
      <c r="AO117" s="421" t="s">
        <v>1120</v>
      </c>
      <c r="AP117" s="421" t="s">
        <v>1129</v>
      </c>
      <c r="AR117" s="421" t="s">
        <v>1130</v>
      </c>
      <c r="AT117" s="421" t="s">
        <v>1131</v>
      </c>
      <c r="AU117" s="421" t="s">
        <v>1132</v>
      </c>
      <c r="AV117" s="421" t="s">
        <v>1133</v>
      </c>
      <c r="AW117" s="421" t="s">
        <v>1207</v>
      </c>
      <c r="AX117" s="421" t="s">
        <v>1207</v>
      </c>
      <c r="AY117" s="421" t="s">
        <v>1208</v>
      </c>
      <c r="AZ117" s="421" t="s">
        <v>1121</v>
      </c>
      <c r="BA117" s="421" t="s">
        <v>1209</v>
      </c>
      <c r="BB117" s="421" t="s">
        <v>1208</v>
      </c>
      <c r="BC117" s="421" t="s">
        <v>1210</v>
      </c>
      <c r="BD117" s="421" t="s">
        <v>1211</v>
      </c>
      <c r="BE117" s="421" t="s">
        <v>1212</v>
      </c>
      <c r="BF117" s="421" t="s">
        <v>2108</v>
      </c>
      <c r="BG117" s="421" t="s">
        <v>2100</v>
      </c>
      <c r="BH117" s="421" t="s">
        <v>2109</v>
      </c>
      <c r="BI117" s="421" t="s">
        <v>1142</v>
      </c>
      <c r="BJ117" s="421" t="s">
        <v>1243</v>
      </c>
      <c r="BK117" s="421" t="s">
        <v>2106</v>
      </c>
      <c r="BL117" s="421" t="s">
        <v>2110</v>
      </c>
      <c r="BM117" s="421" t="s">
        <v>2111</v>
      </c>
      <c r="BN117" s="421" t="s">
        <v>2112</v>
      </c>
      <c r="BO117" s="421">
        <v>0</v>
      </c>
      <c r="BR117" s="421">
        <v>0</v>
      </c>
      <c r="BS117" s="421">
        <v>0</v>
      </c>
      <c r="BT117" s="421">
        <v>0</v>
      </c>
      <c r="BU117" s="424">
        <v>42172</v>
      </c>
      <c r="BX117" s="421">
        <v>2528.85</v>
      </c>
      <c r="BY117" s="421" t="s">
        <v>1147</v>
      </c>
      <c r="BZ117" s="421">
        <v>163400</v>
      </c>
      <c r="CA117" s="421">
        <v>413214090</v>
      </c>
      <c r="CB117" s="421">
        <v>65.36</v>
      </c>
      <c r="CC117" s="421">
        <v>0</v>
      </c>
      <c r="CD117" s="421">
        <v>3280</v>
      </c>
      <c r="CE117" s="421">
        <v>3345.36</v>
      </c>
      <c r="CF117" s="421">
        <v>0</v>
      </c>
      <c r="CG117" s="421">
        <v>166745.35999999999</v>
      </c>
      <c r="CH117" s="421">
        <v>0</v>
      </c>
      <c r="CI117" s="421">
        <v>166745.35999999999</v>
      </c>
      <c r="CJ117" s="421">
        <v>421674003.63599998</v>
      </c>
      <c r="CK117" s="421">
        <v>0</v>
      </c>
      <c r="CL117" s="421">
        <v>421674004</v>
      </c>
      <c r="CM117" s="421">
        <v>0</v>
      </c>
      <c r="CN117" s="421">
        <v>0</v>
      </c>
      <c r="CO117" s="421">
        <v>0</v>
      </c>
      <c r="CP117" s="421">
        <v>0</v>
      </c>
      <c r="CQ117" s="421">
        <v>0</v>
      </c>
      <c r="CR117" s="421">
        <v>421674004</v>
      </c>
      <c r="CS117" s="421">
        <v>0</v>
      </c>
      <c r="CT117" s="421">
        <v>0</v>
      </c>
      <c r="CU117" s="421">
        <v>0</v>
      </c>
      <c r="CV117" s="421">
        <v>0</v>
      </c>
      <c r="CW117" s="421">
        <v>0</v>
      </c>
      <c r="CX117" s="421">
        <v>0</v>
      </c>
      <c r="CY117" s="421">
        <v>0</v>
      </c>
      <c r="CZ117" s="421">
        <v>0</v>
      </c>
      <c r="DA117" s="421">
        <v>0</v>
      </c>
      <c r="DB117" s="421">
        <v>0</v>
      </c>
      <c r="DC117" s="421">
        <v>0</v>
      </c>
      <c r="DD117" s="421">
        <v>0</v>
      </c>
      <c r="DE117" s="421">
        <v>0</v>
      </c>
      <c r="DF117" s="421">
        <v>0</v>
      </c>
      <c r="DG117" s="421">
        <v>0</v>
      </c>
      <c r="DH117" s="421">
        <v>0</v>
      </c>
      <c r="DI117" s="421">
        <v>0</v>
      </c>
      <c r="DJ117" s="421">
        <v>0</v>
      </c>
      <c r="DK117" s="421">
        <v>0</v>
      </c>
      <c r="DL117" s="421">
        <v>0</v>
      </c>
      <c r="DM117" s="421">
        <v>0</v>
      </c>
      <c r="DN117" s="421">
        <v>0</v>
      </c>
      <c r="DO117" s="421">
        <v>0</v>
      </c>
      <c r="DP117" s="421">
        <v>0</v>
      </c>
      <c r="DQ117" s="421">
        <v>0</v>
      </c>
      <c r="DR117" s="421">
        <v>0</v>
      </c>
      <c r="DS117" s="421">
        <v>0</v>
      </c>
      <c r="DT117" s="421">
        <v>0</v>
      </c>
      <c r="DU117" s="421">
        <v>0</v>
      </c>
      <c r="DV117" s="421">
        <v>0</v>
      </c>
      <c r="DW117" s="421">
        <v>0</v>
      </c>
      <c r="DX117" s="421">
        <v>0</v>
      </c>
      <c r="DY117" s="421">
        <v>0</v>
      </c>
      <c r="DZ117" s="421">
        <v>0</v>
      </c>
      <c r="EA117" s="421">
        <v>0</v>
      </c>
      <c r="EB117" s="421">
        <v>0</v>
      </c>
      <c r="EC117" s="421" t="s">
        <v>1148</v>
      </c>
      <c r="ED117" s="421" t="s">
        <v>1149</v>
      </c>
      <c r="EE117" s="421" t="s">
        <v>1149</v>
      </c>
    </row>
    <row r="118" spans="1:135" x14ac:dyDescent="0.25">
      <c r="A118" s="421">
        <v>115</v>
      </c>
      <c r="B118" s="421">
        <v>2015</v>
      </c>
      <c r="C118" s="421">
        <v>7</v>
      </c>
      <c r="D118" s="421">
        <v>2</v>
      </c>
      <c r="E118" s="424">
        <v>42187</v>
      </c>
      <c r="F118" s="421" t="s">
        <v>2113</v>
      </c>
      <c r="G118" s="421" t="s">
        <v>2114</v>
      </c>
      <c r="H118" s="421" t="s">
        <v>1106</v>
      </c>
      <c r="I118" s="421" t="s">
        <v>1281</v>
      </c>
      <c r="J118" s="421" t="s">
        <v>1108</v>
      </c>
      <c r="K118" s="421" t="s">
        <v>1202</v>
      </c>
      <c r="L118" s="421" t="s">
        <v>1110</v>
      </c>
      <c r="O118" s="421" t="s">
        <v>1111</v>
      </c>
      <c r="R118" s="421" t="s">
        <v>1111</v>
      </c>
      <c r="S118" s="421" t="s">
        <v>1112</v>
      </c>
      <c r="T118" s="421" t="s">
        <v>1113</v>
      </c>
      <c r="U118" s="421" t="s">
        <v>1114</v>
      </c>
      <c r="V118" s="421" t="s">
        <v>1115</v>
      </c>
      <c r="W118" s="421" t="s">
        <v>1116</v>
      </c>
      <c r="X118" s="421" t="s">
        <v>1117</v>
      </c>
      <c r="Y118" s="421" t="s">
        <v>1118</v>
      </c>
      <c r="Z118" s="421" t="s">
        <v>1119</v>
      </c>
      <c r="AA118" s="421" t="s">
        <v>1120</v>
      </c>
      <c r="AB118" s="421" t="s">
        <v>1121</v>
      </c>
      <c r="AC118" s="421" t="s">
        <v>1122</v>
      </c>
      <c r="AD118" s="421" t="s">
        <v>1479</v>
      </c>
      <c r="AE118" s="421" t="s">
        <v>1203</v>
      </c>
      <c r="AF118" s="421" t="s">
        <v>1204</v>
      </c>
      <c r="AG118" s="421" t="s">
        <v>2115</v>
      </c>
      <c r="AH118" s="421">
        <v>86000</v>
      </c>
      <c r="AI118" s="421" t="s">
        <v>1127</v>
      </c>
      <c r="AJ118" s="421">
        <v>4</v>
      </c>
      <c r="AK118" s="421">
        <v>1</v>
      </c>
      <c r="AL118" s="421" t="s">
        <v>1206</v>
      </c>
      <c r="AM118" s="421">
        <v>86000</v>
      </c>
      <c r="AN118" s="421">
        <v>86971</v>
      </c>
      <c r="AO118" s="421" t="s">
        <v>1120</v>
      </c>
      <c r="AP118" s="421" t="s">
        <v>1129</v>
      </c>
      <c r="AR118" s="421" t="s">
        <v>1130</v>
      </c>
      <c r="AT118" s="421" t="s">
        <v>1131</v>
      </c>
      <c r="AU118" s="421" t="s">
        <v>1190</v>
      </c>
      <c r="AV118" s="421" t="s">
        <v>1191</v>
      </c>
      <c r="AW118" s="421" t="s">
        <v>1207</v>
      </c>
      <c r="AX118" s="421" t="s">
        <v>1207</v>
      </c>
      <c r="AY118" s="421" t="s">
        <v>1208</v>
      </c>
      <c r="AZ118" s="421" t="s">
        <v>1121</v>
      </c>
      <c r="BA118" s="421" t="s">
        <v>1209</v>
      </c>
      <c r="BB118" s="421" t="s">
        <v>1208</v>
      </c>
      <c r="BC118" s="421" t="s">
        <v>1210</v>
      </c>
      <c r="BD118" s="421" t="s">
        <v>1211</v>
      </c>
      <c r="BE118" s="421" t="s">
        <v>1212</v>
      </c>
      <c r="BI118" s="421" t="s">
        <v>1142</v>
      </c>
      <c r="BJ118" s="421" t="s">
        <v>1243</v>
      </c>
      <c r="BK118" s="421" t="s">
        <v>2114</v>
      </c>
      <c r="BL118" s="421" t="s">
        <v>2116</v>
      </c>
      <c r="BM118" s="421" t="s">
        <v>2117</v>
      </c>
      <c r="BN118" s="421" t="s">
        <v>2100</v>
      </c>
      <c r="BO118" s="421">
        <v>0</v>
      </c>
      <c r="BR118" s="421">
        <v>0</v>
      </c>
      <c r="BS118" s="421">
        <v>0</v>
      </c>
      <c r="BT118" s="421">
        <v>0</v>
      </c>
      <c r="BU118" s="424">
        <v>38718</v>
      </c>
      <c r="BX118" s="421">
        <v>2556.21</v>
      </c>
      <c r="BY118" s="421" t="s">
        <v>1147</v>
      </c>
      <c r="BZ118" s="421">
        <v>163400</v>
      </c>
      <c r="CA118" s="421">
        <v>417684714</v>
      </c>
      <c r="CB118" s="421">
        <v>65.36</v>
      </c>
      <c r="CC118" s="421">
        <v>0</v>
      </c>
      <c r="CD118" s="421">
        <v>3280</v>
      </c>
      <c r="CE118" s="421">
        <v>3345.36</v>
      </c>
      <c r="CF118" s="421">
        <v>0</v>
      </c>
      <c r="CG118" s="421">
        <v>166745.35999999999</v>
      </c>
      <c r="CH118" s="421">
        <v>0</v>
      </c>
      <c r="CI118" s="421">
        <v>166745.35999999999</v>
      </c>
      <c r="CJ118" s="421">
        <v>426236156.68559998</v>
      </c>
      <c r="CK118" s="421">
        <v>0</v>
      </c>
      <c r="CL118" s="421">
        <v>426236157</v>
      </c>
      <c r="CM118" s="421">
        <v>0</v>
      </c>
      <c r="CN118" s="421">
        <v>0</v>
      </c>
      <c r="CO118" s="421">
        <v>0</v>
      </c>
      <c r="CP118" s="421">
        <v>0</v>
      </c>
      <c r="CQ118" s="421">
        <v>0</v>
      </c>
      <c r="CR118" s="421">
        <v>426236157</v>
      </c>
      <c r="CS118" s="421">
        <v>0</v>
      </c>
      <c r="CT118" s="421">
        <v>0</v>
      </c>
      <c r="CU118" s="421">
        <v>0</v>
      </c>
      <c r="CV118" s="421">
        <v>0</v>
      </c>
      <c r="CW118" s="421">
        <v>0</v>
      </c>
      <c r="CX118" s="421">
        <v>0</v>
      </c>
      <c r="CY118" s="421">
        <v>0</v>
      </c>
      <c r="CZ118" s="421">
        <v>0</v>
      </c>
      <c r="DA118" s="421">
        <v>0</v>
      </c>
      <c r="DB118" s="421">
        <v>0</v>
      </c>
      <c r="DC118" s="421">
        <v>0</v>
      </c>
      <c r="DD118" s="421">
        <v>0</v>
      </c>
      <c r="DE118" s="421">
        <v>0</v>
      </c>
      <c r="DF118" s="421">
        <v>0</v>
      </c>
      <c r="DG118" s="421">
        <v>0</v>
      </c>
      <c r="DH118" s="421">
        <v>0</v>
      </c>
      <c r="DI118" s="421">
        <v>0</v>
      </c>
      <c r="DJ118" s="421">
        <v>0</v>
      </c>
      <c r="DK118" s="421">
        <v>0</v>
      </c>
      <c r="DL118" s="421">
        <v>0</v>
      </c>
      <c r="DM118" s="421">
        <v>0</v>
      </c>
      <c r="DN118" s="421">
        <v>0</v>
      </c>
      <c r="DO118" s="421">
        <v>0</v>
      </c>
      <c r="DP118" s="421">
        <v>0</v>
      </c>
      <c r="DQ118" s="421">
        <v>0</v>
      </c>
      <c r="DR118" s="421">
        <v>0</v>
      </c>
      <c r="DS118" s="421">
        <v>0</v>
      </c>
      <c r="DT118" s="421">
        <v>0</v>
      </c>
      <c r="DU118" s="421">
        <v>0</v>
      </c>
      <c r="DV118" s="421">
        <v>0</v>
      </c>
      <c r="DW118" s="421">
        <v>0</v>
      </c>
      <c r="DX118" s="421">
        <v>0</v>
      </c>
      <c r="DY118" s="421">
        <v>0</v>
      </c>
      <c r="DZ118" s="421">
        <v>0</v>
      </c>
      <c r="EA118" s="421">
        <v>0</v>
      </c>
      <c r="EB118" s="421">
        <v>0</v>
      </c>
      <c r="EC118" s="421" t="s">
        <v>1148</v>
      </c>
      <c r="ED118" s="421" t="s">
        <v>1149</v>
      </c>
      <c r="EE118" s="421" t="s">
        <v>1149</v>
      </c>
    </row>
    <row r="119" spans="1:135" x14ac:dyDescent="0.25">
      <c r="A119" s="421">
        <v>116</v>
      </c>
      <c r="B119" s="421">
        <v>2015</v>
      </c>
      <c r="C119" s="421">
        <v>7</v>
      </c>
      <c r="D119" s="421">
        <v>2</v>
      </c>
      <c r="E119" s="424">
        <v>42187</v>
      </c>
      <c r="F119" s="421" t="s">
        <v>2118</v>
      </c>
      <c r="G119" s="421" t="s">
        <v>2119</v>
      </c>
      <c r="H119" s="421" t="s">
        <v>1106</v>
      </c>
      <c r="I119" s="421" t="s">
        <v>1107</v>
      </c>
      <c r="J119" s="421" t="s">
        <v>1108</v>
      </c>
      <c r="K119" s="421" t="s">
        <v>1109</v>
      </c>
      <c r="L119" s="421" t="s">
        <v>1110</v>
      </c>
      <c r="O119" s="421" t="s">
        <v>1111</v>
      </c>
      <c r="R119" s="421" t="s">
        <v>1111</v>
      </c>
      <c r="S119" s="421" t="s">
        <v>1112</v>
      </c>
      <c r="T119" s="421" t="s">
        <v>1113</v>
      </c>
      <c r="U119" s="421" t="s">
        <v>1114</v>
      </c>
      <c r="V119" s="421" t="s">
        <v>1115</v>
      </c>
      <c r="W119" s="421" t="s">
        <v>1116</v>
      </c>
      <c r="X119" s="421" t="s">
        <v>1117</v>
      </c>
      <c r="Y119" s="421" t="s">
        <v>1118</v>
      </c>
      <c r="Z119" s="421" t="s">
        <v>1119</v>
      </c>
      <c r="AA119" s="421" t="s">
        <v>1120</v>
      </c>
      <c r="AB119" s="421" t="s">
        <v>1121</v>
      </c>
      <c r="AC119" s="421" t="s">
        <v>1122</v>
      </c>
      <c r="AD119" s="421" t="s">
        <v>1479</v>
      </c>
      <c r="AE119" s="421" t="s">
        <v>1219</v>
      </c>
      <c r="AF119" s="421" t="s">
        <v>1220</v>
      </c>
      <c r="AG119" s="421" t="s">
        <v>2120</v>
      </c>
      <c r="AH119" s="421">
        <v>9000</v>
      </c>
      <c r="AI119" s="421" t="s">
        <v>1127</v>
      </c>
      <c r="AJ119" s="421">
        <v>20</v>
      </c>
      <c r="AK119" s="421">
        <v>1</v>
      </c>
      <c r="AL119" s="421" t="s">
        <v>1206</v>
      </c>
      <c r="AM119" s="421">
        <v>9000</v>
      </c>
      <c r="AN119" s="421">
        <v>10008</v>
      </c>
      <c r="AO119" s="421" t="s">
        <v>1120</v>
      </c>
      <c r="AP119" s="421" t="s">
        <v>1129</v>
      </c>
      <c r="AR119" s="421" t="s">
        <v>1130</v>
      </c>
      <c r="AT119" s="421" t="s">
        <v>1131</v>
      </c>
      <c r="AU119" s="421" t="s">
        <v>1132</v>
      </c>
      <c r="AV119" s="421" t="s">
        <v>1133</v>
      </c>
      <c r="AW119" s="421" t="s">
        <v>960</v>
      </c>
      <c r="AX119" s="421" t="s">
        <v>960</v>
      </c>
      <c r="AY119" s="421" t="s">
        <v>960</v>
      </c>
      <c r="AZ119" s="421" t="s">
        <v>1121</v>
      </c>
      <c r="BA119" s="421" t="s">
        <v>1222</v>
      </c>
      <c r="BB119" s="421" t="s">
        <v>960</v>
      </c>
      <c r="BC119" s="421" t="s">
        <v>1223</v>
      </c>
      <c r="BD119" s="421" t="s">
        <v>1224</v>
      </c>
      <c r="BE119" s="421" t="s">
        <v>1225</v>
      </c>
      <c r="BF119" s="421" t="s">
        <v>2121</v>
      </c>
      <c r="BG119" s="421" t="s">
        <v>2122</v>
      </c>
      <c r="BH119" s="421" t="s">
        <v>2123</v>
      </c>
      <c r="BI119" s="421" t="s">
        <v>1142</v>
      </c>
      <c r="BJ119" s="421" t="s">
        <v>1243</v>
      </c>
      <c r="BK119" s="421" t="s">
        <v>2119</v>
      </c>
      <c r="BL119" s="421" t="s">
        <v>2116</v>
      </c>
      <c r="BM119" s="421" t="s">
        <v>2124</v>
      </c>
      <c r="BN119" s="421" t="s">
        <v>1839</v>
      </c>
      <c r="BO119" s="421">
        <v>0</v>
      </c>
      <c r="BR119" s="421">
        <v>0</v>
      </c>
      <c r="BS119" s="421">
        <v>0</v>
      </c>
      <c r="BT119" s="421">
        <v>0</v>
      </c>
      <c r="BU119" s="424">
        <v>42141</v>
      </c>
      <c r="BX119" s="421">
        <v>2556.21</v>
      </c>
      <c r="BY119" s="421" t="s">
        <v>1147</v>
      </c>
      <c r="BZ119" s="421">
        <v>35995</v>
      </c>
      <c r="CA119" s="421">
        <v>92010778.950000003</v>
      </c>
      <c r="CB119" s="421">
        <v>75</v>
      </c>
      <c r="CC119" s="421">
        <v>0</v>
      </c>
      <c r="CD119" s="421">
        <v>3800</v>
      </c>
      <c r="CE119" s="421">
        <v>3875</v>
      </c>
      <c r="CF119" s="421">
        <v>0</v>
      </c>
      <c r="CG119" s="421">
        <v>39870</v>
      </c>
      <c r="CH119" s="421">
        <v>0</v>
      </c>
      <c r="CI119" s="421">
        <v>39870</v>
      </c>
      <c r="CJ119" s="421">
        <v>101916092.7</v>
      </c>
      <c r="CK119" s="421">
        <v>5</v>
      </c>
      <c r="CL119" s="421">
        <v>101916093</v>
      </c>
      <c r="CM119" s="421">
        <v>5096000</v>
      </c>
      <c r="CN119" s="421">
        <v>5096000</v>
      </c>
      <c r="CO119" s="421">
        <v>0</v>
      </c>
      <c r="CP119" s="421">
        <v>0</v>
      </c>
      <c r="CQ119" s="421">
        <v>16</v>
      </c>
      <c r="CR119" s="421">
        <v>107012093</v>
      </c>
      <c r="CS119" s="421">
        <v>17122000</v>
      </c>
      <c r="CT119" s="421">
        <v>17122000</v>
      </c>
      <c r="CU119" s="421">
        <v>0</v>
      </c>
      <c r="CV119" s="421">
        <v>0</v>
      </c>
      <c r="CW119" s="421">
        <v>0</v>
      </c>
      <c r="CX119" s="421">
        <v>0</v>
      </c>
      <c r="CY119" s="421">
        <v>0</v>
      </c>
      <c r="CZ119" s="421">
        <v>0</v>
      </c>
      <c r="DA119" s="421">
        <v>0</v>
      </c>
      <c r="DB119" s="421">
        <v>0</v>
      </c>
      <c r="DC119" s="421">
        <v>0</v>
      </c>
      <c r="DD119" s="421">
        <v>0</v>
      </c>
      <c r="DE119" s="421">
        <v>0</v>
      </c>
      <c r="DF119" s="421">
        <v>0</v>
      </c>
      <c r="DG119" s="421">
        <v>0</v>
      </c>
      <c r="DH119" s="421">
        <v>0</v>
      </c>
      <c r="DI119" s="421">
        <v>0</v>
      </c>
      <c r="DJ119" s="421">
        <v>0</v>
      </c>
      <c r="DK119" s="421">
        <v>0</v>
      </c>
      <c r="DL119" s="421">
        <v>0</v>
      </c>
      <c r="DM119" s="421">
        <v>0</v>
      </c>
      <c r="DN119" s="421">
        <v>0</v>
      </c>
      <c r="DO119" s="421">
        <v>0</v>
      </c>
      <c r="DP119" s="421">
        <v>0</v>
      </c>
      <c r="DQ119" s="421">
        <v>0</v>
      </c>
      <c r="DR119" s="421">
        <v>0</v>
      </c>
      <c r="DS119" s="421">
        <v>0</v>
      </c>
      <c r="DT119" s="421">
        <v>0</v>
      </c>
      <c r="DU119" s="421">
        <v>0</v>
      </c>
      <c r="DV119" s="421">
        <v>0</v>
      </c>
      <c r="DW119" s="421">
        <v>0</v>
      </c>
      <c r="DX119" s="421">
        <v>0</v>
      </c>
      <c r="DY119" s="421">
        <v>22218000</v>
      </c>
      <c r="DZ119" s="421">
        <v>22218000</v>
      </c>
      <c r="EA119" s="421">
        <v>0</v>
      </c>
      <c r="EB119" s="421">
        <v>0</v>
      </c>
      <c r="EC119" s="421" t="s">
        <v>1148</v>
      </c>
      <c r="ED119" s="421" t="s">
        <v>1167</v>
      </c>
      <c r="EE119" s="421" t="s">
        <v>1167</v>
      </c>
    </row>
    <row r="120" spans="1:135" x14ac:dyDescent="0.25">
      <c r="A120" s="421">
        <v>117</v>
      </c>
      <c r="B120" s="421">
        <v>2015</v>
      </c>
      <c r="C120" s="421">
        <v>7</v>
      </c>
      <c r="D120" s="421">
        <v>2</v>
      </c>
      <c r="E120" s="424">
        <v>42187</v>
      </c>
      <c r="F120" s="421" t="s">
        <v>2125</v>
      </c>
      <c r="G120" s="421" t="s">
        <v>2126</v>
      </c>
      <c r="H120" s="421" t="s">
        <v>1106</v>
      </c>
      <c r="I120" s="421" t="s">
        <v>1107</v>
      </c>
      <c r="J120" s="421" t="s">
        <v>1108</v>
      </c>
      <c r="K120" s="421" t="s">
        <v>1109</v>
      </c>
      <c r="L120" s="421" t="s">
        <v>1110</v>
      </c>
      <c r="O120" s="421" t="s">
        <v>1111</v>
      </c>
      <c r="R120" s="421" t="s">
        <v>1111</v>
      </c>
      <c r="S120" s="421" t="s">
        <v>1112</v>
      </c>
      <c r="T120" s="421" t="s">
        <v>1113</v>
      </c>
      <c r="U120" s="421" t="s">
        <v>1114</v>
      </c>
      <c r="V120" s="421" t="s">
        <v>1115</v>
      </c>
      <c r="W120" s="421" t="s">
        <v>1116</v>
      </c>
      <c r="X120" s="421" t="s">
        <v>1117</v>
      </c>
      <c r="Y120" s="421" t="s">
        <v>1118</v>
      </c>
      <c r="Z120" s="421" t="s">
        <v>1119</v>
      </c>
      <c r="AA120" s="421" t="s">
        <v>1120</v>
      </c>
      <c r="AB120" s="421" t="s">
        <v>1121</v>
      </c>
      <c r="AC120" s="421" t="s">
        <v>1122</v>
      </c>
      <c r="AD120" s="421" t="s">
        <v>1479</v>
      </c>
      <c r="AE120" s="421" t="s">
        <v>1233</v>
      </c>
      <c r="AF120" s="421" t="s">
        <v>1234</v>
      </c>
      <c r="AG120" s="421" t="s">
        <v>2127</v>
      </c>
      <c r="AH120" s="421">
        <v>135184</v>
      </c>
      <c r="AI120" s="421" t="s">
        <v>1189</v>
      </c>
      <c r="AJ120" s="421">
        <v>1190</v>
      </c>
      <c r="AK120" s="421">
        <v>1</v>
      </c>
      <c r="AL120" s="421" t="s">
        <v>1173</v>
      </c>
      <c r="AM120" s="421">
        <v>11971.26</v>
      </c>
      <c r="AN120" s="421">
        <v>12212.3</v>
      </c>
      <c r="AO120" s="421" t="s">
        <v>1120</v>
      </c>
      <c r="AP120" s="421" t="s">
        <v>1129</v>
      </c>
      <c r="AR120" s="421" t="s">
        <v>1130</v>
      </c>
      <c r="AT120" s="421" t="s">
        <v>1131</v>
      </c>
      <c r="AU120" s="421" t="s">
        <v>1190</v>
      </c>
      <c r="AV120" s="421" t="s">
        <v>1191</v>
      </c>
      <c r="AW120" s="421" t="s">
        <v>960</v>
      </c>
      <c r="AX120" s="421" t="s">
        <v>960</v>
      </c>
      <c r="AY120" s="421" t="s">
        <v>960</v>
      </c>
      <c r="AZ120" s="421" t="s">
        <v>1121</v>
      </c>
      <c r="BA120" s="421" t="s">
        <v>1236</v>
      </c>
      <c r="BB120" s="421" t="s">
        <v>960</v>
      </c>
      <c r="BC120" s="421" t="s">
        <v>1237</v>
      </c>
      <c r="BD120" s="421" t="s">
        <v>1238</v>
      </c>
      <c r="BE120" s="421" t="s">
        <v>1239</v>
      </c>
      <c r="BF120" s="421" t="s">
        <v>2128</v>
      </c>
      <c r="BG120" s="421" t="s">
        <v>2129</v>
      </c>
      <c r="BH120" s="421" t="s">
        <v>2130</v>
      </c>
      <c r="BI120" s="421" t="s">
        <v>1142</v>
      </c>
      <c r="BJ120" s="421" t="s">
        <v>1275</v>
      </c>
      <c r="BK120" s="421" t="s">
        <v>2126</v>
      </c>
      <c r="BL120" s="421" t="s">
        <v>2116</v>
      </c>
      <c r="BM120" s="421" t="s">
        <v>2131</v>
      </c>
      <c r="BN120" s="421" t="s">
        <v>1955</v>
      </c>
      <c r="BO120" s="421">
        <v>0</v>
      </c>
      <c r="BR120" s="421">
        <v>0</v>
      </c>
      <c r="BS120" s="421">
        <v>0</v>
      </c>
      <c r="BT120" s="421">
        <v>0</v>
      </c>
      <c r="BU120" s="424">
        <v>42136</v>
      </c>
      <c r="BX120" s="421">
        <v>2556.21</v>
      </c>
      <c r="BY120" s="421" t="s">
        <v>1183</v>
      </c>
      <c r="BZ120" s="421">
        <v>42102.48</v>
      </c>
      <c r="CA120" s="421">
        <v>107622780.4008</v>
      </c>
      <c r="CB120" s="421">
        <v>16.84</v>
      </c>
      <c r="CC120" s="421">
        <v>0</v>
      </c>
      <c r="CD120" s="421">
        <v>3650</v>
      </c>
      <c r="CE120" s="421">
        <v>3666.84</v>
      </c>
      <c r="CF120" s="421">
        <v>0</v>
      </c>
      <c r="CG120" s="421">
        <v>45769.32</v>
      </c>
      <c r="CH120" s="421">
        <v>0</v>
      </c>
      <c r="CI120" s="421">
        <v>45769.32</v>
      </c>
      <c r="CJ120" s="421">
        <v>116995993.4772</v>
      </c>
      <c r="CK120" s="421">
        <v>15</v>
      </c>
      <c r="CL120" s="421">
        <v>116995993</v>
      </c>
      <c r="CM120" s="421">
        <v>17549000</v>
      </c>
      <c r="CN120" s="421">
        <v>17549000</v>
      </c>
      <c r="CO120" s="421">
        <v>0</v>
      </c>
      <c r="CP120" s="421">
        <v>0</v>
      </c>
      <c r="CQ120" s="421">
        <v>16</v>
      </c>
      <c r="CR120" s="421">
        <v>134544993</v>
      </c>
      <c r="CS120" s="421">
        <v>21527000</v>
      </c>
      <c r="CT120" s="421">
        <v>21527000</v>
      </c>
      <c r="CU120" s="421">
        <v>0</v>
      </c>
      <c r="CV120" s="421">
        <v>0</v>
      </c>
      <c r="CW120" s="421">
        <v>0</v>
      </c>
      <c r="CX120" s="421">
        <v>0</v>
      </c>
      <c r="CY120" s="421">
        <v>0</v>
      </c>
      <c r="CZ120" s="421">
        <v>0</v>
      </c>
      <c r="DA120" s="421">
        <v>0</v>
      </c>
      <c r="DB120" s="421">
        <v>0</v>
      </c>
      <c r="DC120" s="421">
        <v>0</v>
      </c>
      <c r="DD120" s="421">
        <v>0</v>
      </c>
      <c r="DE120" s="421">
        <v>0</v>
      </c>
      <c r="DF120" s="421">
        <v>0</v>
      </c>
      <c r="DG120" s="421">
        <v>0</v>
      </c>
      <c r="DH120" s="421">
        <v>0</v>
      </c>
      <c r="DI120" s="421">
        <v>0</v>
      </c>
      <c r="DJ120" s="421">
        <v>0</v>
      </c>
      <c r="DK120" s="421">
        <v>0</v>
      </c>
      <c r="DL120" s="421">
        <v>0</v>
      </c>
      <c r="DM120" s="421">
        <v>0</v>
      </c>
      <c r="DN120" s="421">
        <v>0</v>
      </c>
      <c r="DO120" s="421">
        <v>0</v>
      </c>
      <c r="DP120" s="421">
        <v>0</v>
      </c>
      <c r="DQ120" s="421">
        <v>0</v>
      </c>
      <c r="DR120" s="421">
        <v>0</v>
      </c>
      <c r="DS120" s="421">
        <v>0</v>
      </c>
      <c r="DT120" s="421">
        <v>0</v>
      </c>
      <c r="DU120" s="421">
        <v>0</v>
      </c>
      <c r="DV120" s="421">
        <v>0</v>
      </c>
      <c r="DW120" s="421">
        <v>0</v>
      </c>
      <c r="DX120" s="421">
        <v>0</v>
      </c>
      <c r="DY120" s="421">
        <v>39076000</v>
      </c>
      <c r="DZ120" s="421">
        <v>39076000</v>
      </c>
      <c r="EA120" s="421">
        <v>0</v>
      </c>
      <c r="EB120" s="421">
        <v>0</v>
      </c>
      <c r="EC120" s="421" t="s">
        <v>1148</v>
      </c>
      <c r="ED120" s="421" t="s">
        <v>1167</v>
      </c>
      <c r="EE120" s="421" t="s">
        <v>1167</v>
      </c>
    </row>
    <row r="121" spans="1:135" x14ac:dyDescent="0.25">
      <c r="A121" s="421">
        <v>118</v>
      </c>
      <c r="B121" s="421">
        <v>2015</v>
      </c>
      <c r="C121" s="421">
        <v>7</v>
      </c>
      <c r="D121" s="421">
        <v>10</v>
      </c>
      <c r="E121" s="424">
        <v>42195</v>
      </c>
      <c r="F121" s="421" t="s">
        <v>2132</v>
      </c>
      <c r="G121" s="421" t="s">
        <v>2133</v>
      </c>
      <c r="H121" s="421" t="s">
        <v>1106</v>
      </c>
      <c r="I121" s="421" t="s">
        <v>1107</v>
      </c>
      <c r="J121" s="421" t="s">
        <v>1108</v>
      </c>
      <c r="K121" s="421" t="s">
        <v>1109</v>
      </c>
      <c r="L121" s="421" t="s">
        <v>1110</v>
      </c>
      <c r="O121" s="421" t="s">
        <v>1111</v>
      </c>
      <c r="R121" s="421" t="s">
        <v>1111</v>
      </c>
      <c r="S121" s="421" t="s">
        <v>1112</v>
      </c>
      <c r="T121" s="421" t="s">
        <v>1113</v>
      </c>
      <c r="U121" s="421" t="s">
        <v>1114</v>
      </c>
      <c r="V121" s="421" t="s">
        <v>1115</v>
      </c>
      <c r="W121" s="421" t="s">
        <v>1116</v>
      </c>
      <c r="X121" s="421" t="s">
        <v>1117</v>
      </c>
      <c r="Y121" s="421" t="s">
        <v>1118</v>
      </c>
      <c r="Z121" s="421" t="s">
        <v>1119</v>
      </c>
      <c r="AA121" s="421" t="s">
        <v>1120</v>
      </c>
      <c r="AB121" s="421" t="s">
        <v>1121</v>
      </c>
      <c r="AC121" s="421" t="s">
        <v>1122</v>
      </c>
      <c r="AD121" s="421" t="s">
        <v>1479</v>
      </c>
      <c r="AE121" s="421" t="s">
        <v>1233</v>
      </c>
      <c r="AF121" s="421" t="s">
        <v>1234</v>
      </c>
      <c r="AG121" s="421" t="s">
        <v>2134</v>
      </c>
      <c r="AH121" s="421">
        <v>26136</v>
      </c>
      <c r="AI121" s="421" t="s">
        <v>1189</v>
      </c>
      <c r="AJ121" s="421">
        <v>55</v>
      </c>
      <c r="AK121" s="421">
        <v>1</v>
      </c>
      <c r="AL121" s="421" t="s">
        <v>1173</v>
      </c>
      <c r="AM121" s="421">
        <v>870.9</v>
      </c>
      <c r="AN121" s="421">
        <v>958.2</v>
      </c>
      <c r="AO121" s="421" t="s">
        <v>1120</v>
      </c>
      <c r="AP121" s="421" t="s">
        <v>1129</v>
      </c>
      <c r="AR121" s="421" t="s">
        <v>1130</v>
      </c>
      <c r="AT121" s="421" t="s">
        <v>1131</v>
      </c>
      <c r="AU121" s="421" t="s">
        <v>1303</v>
      </c>
      <c r="AV121" s="421" t="s">
        <v>1304</v>
      </c>
      <c r="AW121" s="421" t="s">
        <v>2135</v>
      </c>
      <c r="AX121" s="421" t="s">
        <v>2135</v>
      </c>
      <c r="AY121" s="421" t="s">
        <v>2037</v>
      </c>
      <c r="AZ121" s="421" t="s">
        <v>1121</v>
      </c>
      <c r="BA121" s="421" t="s">
        <v>2038</v>
      </c>
      <c r="BB121" s="421" t="s">
        <v>2037</v>
      </c>
      <c r="BC121" s="421" t="s">
        <v>2039</v>
      </c>
      <c r="BD121" s="421" t="s">
        <v>2040</v>
      </c>
      <c r="BE121" s="421" t="s">
        <v>2041</v>
      </c>
      <c r="BF121" s="421" t="s">
        <v>2121</v>
      </c>
      <c r="BG121" s="421" t="s">
        <v>2122</v>
      </c>
      <c r="BH121" s="421" t="s">
        <v>2136</v>
      </c>
      <c r="BI121" s="421" t="s">
        <v>1142</v>
      </c>
      <c r="BJ121" s="421" t="s">
        <v>1243</v>
      </c>
      <c r="BK121" s="421" t="s">
        <v>2133</v>
      </c>
      <c r="BL121" s="421" t="s">
        <v>2137</v>
      </c>
      <c r="BM121" s="421" t="s">
        <v>2138</v>
      </c>
      <c r="BN121" s="421" t="s">
        <v>2139</v>
      </c>
      <c r="BO121" s="421">
        <v>0</v>
      </c>
      <c r="BR121" s="421">
        <v>0</v>
      </c>
      <c r="BS121" s="421">
        <v>0</v>
      </c>
      <c r="BT121" s="421">
        <v>0</v>
      </c>
      <c r="BU121" s="424">
        <v>42150</v>
      </c>
      <c r="BX121" s="421">
        <v>2623.91</v>
      </c>
      <c r="BY121" s="421" t="s">
        <v>1147</v>
      </c>
      <c r="BZ121" s="421">
        <v>8207.2800000000007</v>
      </c>
      <c r="CA121" s="421">
        <v>21535164.064800002</v>
      </c>
      <c r="CB121" s="421">
        <v>3.28</v>
      </c>
      <c r="CC121" s="421">
        <v>0</v>
      </c>
      <c r="CD121" s="421">
        <v>385.23</v>
      </c>
      <c r="CE121" s="421">
        <v>388.51</v>
      </c>
      <c r="CF121" s="421">
        <v>0</v>
      </c>
      <c r="CG121" s="421">
        <v>8595.7900000000009</v>
      </c>
      <c r="CH121" s="421">
        <v>0</v>
      </c>
      <c r="CI121" s="421">
        <v>8595.7900000000009</v>
      </c>
      <c r="CJ121" s="421">
        <v>22554579.3389</v>
      </c>
      <c r="CK121" s="421">
        <v>15</v>
      </c>
      <c r="CL121" s="421">
        <v>22554579</v>
      </c>
      <c r="CM121" s="421">
        <v>3383000</v>
      </c>
      <c r="CN121" s="421">
        <v>3383000</v>
      </c>
      <c r="CO121" s="421">
        <v>0</v>
      </c>
      <c r="CP121" s="421">
        <v>0</v>
      </c>
      <c r="CQ121" s="421">
        <v>16</v>
      </c>
      <c r="CR121" s="421">
        <v>25937579</v>
      </c>
      <c r="CS121" s="421">
        <v>4150000</v>
      </c>
      <c r="CT121" s="421">
        <v>4150000</v>
      </c>
      <c r="CU121" s="421">
        <v>0</v>
      </c>
      <c r="CV121" s="421">
        <v>0</v>
      </c>
      <c r="CW121" s="421">
        <v>0</v>
      </c>
      <c r="CX121" s="421">
        <v>0</v>
      </c>
      <c r="CY121" s="421">
        <v>0</v>
      </c>
      <c r="CZ121" s="421">
        <v>0</v>
      </c>
      <c r="DA121" s="421">
        <v>0</v>
      </c>
      <c r="DB121" s="421">
        <v>0</v>
      </c>
      <c r="DC121" s="421">
        <v>0</v>
      </c>
      <c r="DD121" s="421">
        <v>0</v>
      </c>
      <c r="DE121" s="421">
        <v>0</v>
      </c>
      <c r="DF121" s="421">
        <v>0</v>
      </c>
      <c r="DG121" s="421">
        <v>0</v>
      </c>
      <c r="DH121" s="421">
        <v>0</v>
      </c>
      <c r="DI121" s="421">
        <v>0</v>
      </c>
      <c r="DJ121" s="421">
        <v>0</v>
      </c>
      <c r="DK121" s="421">
        <v>0</v>
      </c>
      <c r="DL121" s="421">
        <v>0</v>
      </c>
      <c r="DM121" s="421">
        <v>0</v>
      </c>
      <c r="DN121" s="421">
        <v>0</v>
      </c>
      <c r="DO121" s="421">
        <v>0</v>
      </c>
      <c r="DP121" s="421">
        <v>0</v>
      </c>
      <c r="DQ121" s="421">
        <v>0</v>
      </c>
      <c r="DR121" s="421">
        <v>0</v>
      </c>
      <c r="DS121" s="421">
        <v>0</v>
      </c>
      <c r="DT121" s="421">
        <v>0</v>
      </c>
      <c r="DU121" s="421">
        <v>0</v>
      </c>
      <c r="DV121" s="421">
        <v>0</v>
      </c>
      <c r="DW121" s="421">
        <v>0</v>
      </c>
      <c r="DX121" s="421">
        <v>0</v>
      </c>
      <c r="DY121" s="421">
        <v>7533000</v>
      </c>
      <c r="DZ121" s="421">
        <v>7533000</v>
      </c>
      <c r="EA121" s="421">
        <v>0</v>
      </c>
      <c r="EB121" s="421">
        <v>0</v>
      </c>
      <c r="EC121" s="421" t="s">
        <v>1148</v>
      </c>
      <c r="ED121" s="421" t="s">
        <v>1149</v>
      </c>
      <c r="EE121" s="421" t="s">
        <v>1167</v>
      </c>
    </row>
    <row r="122" spans="1:135" x14ac:dyDescent="0.25">
      <c r="A122" s="421">
        <v>119</v>
      </c>
      <c r="B122" s="421">
        <v>2015</v>
      </c>
      <c r="C122" s="421">
        <v>7</v>
      </c>
      <c r="D122" s="421">
        <v>13</v>
      </c>
      <c r="E122" s="424">
        <v>42198</v>
      </c>
      <c r="F122" s="421" t="s">
        <v>2140</v>
      </c>
      <c r="G122" s="421" t="s">
        <v>2141</v>
      </c>
      <c r="H122" s="421" t="s">
        <v>1106</v>
      </c>
      <c r="I122" s="421" t="s">
        <v>1107</v>
      </c>
      <c r="J122" s="421" t="s">
        <v>1108</v>
      </c>
      <c r="K122" s="421" t="s">
        <v>1202</v>
      </c>
      <c r="L122" s="421" t="s">
        <v>1110</v>
      </c>
      <c r="O122" s="421" t="s">
        <v>1111</v>
      </c>
      <c r="R122" s="421" t="s">
        <v>1111</v>
      </c>
      <c r="S122" s="421" t="s">
        <v>1112</v>
      </c>
      <c r="T122" s="421" t="s">
        <v>1113</v>
      </c>
      <c r="U122" s="421" t="s">
        <v>1114</v>
      </c>
      <c r="V122" s="421" t="s">
        <v>1115</v>
      </c>
      <c r="W122" s="421" t="s">
        <v>1116</v>
      </c>
      <c r="X122" s="421" t="s">
        <v>1117</v>
      </c>
      <c r="Y122" s="421" t="s">
        <v>1118</v>
      </c>
      <c r="Z122" s="421" t="s">
        <v>1119</v>
      </c>
      <c r="AA122" s="421" t="s">
        <v>1120</v>
      </c>
      <c r="AB122" s="421" t="s">
        <v>1121</v>
      </c>
      <c r="AC122" s="421" t="s">
        <v>1122</v>
      </c>
      <c r="AD122" s="421" t="s">
        <v>1479</v>
      </c>
      <c r="AE122" s="421" t="s">
        <v>1203</v>
      </c>
      <c r="AF122" s="421" t="s">
        <v>1204</v>
      </c>
      <c r="AG122" s="421" t="s">
        <v>2142</v>
      </c>
      <c r="AH122" s="421">
        <v>43000</v>
      </c>
      <c r="AI122" s="421" t="s">
        <v>1127</v>
      </c>
      <c r="AJ122" s="421">
        <v>2</v>
      </c>
      <c r="AK122" s="421">
        <v>1</v>
      </c>
      <c r="AL122" s="421" t="s">
        <v>1206</v>
      </c>
      <c r="AM122" s="421">
        <v>43000</v>
      </c>
      <c r="AN122" s="421">
        <v>43200</v>
      </c>
      <c r="AO122" s="421" t="s">
        <v>1120</v>
      </c>
      <c r="AP122" s="421" t="s">
        <v>1129</v>
      </c>
      <c r="AR122" s="421" t="s">
        <v>1130</v>
      </c>
      <c r="AT122" s="421" t="s">
        <v>1131</v>
      </c>
      <c r="AU122" s="421" t="s">
        <v>1132</v>
      </c>
      <c r="AV122" s="421" t="s">
        <v>1133</v>
      </c>
      <c r="AW122" s="421" t="s">
        <v>1207</v>
      </c>
      <c r="AX122" s="421" t="s">
        <v>1207</v>
      </c>
      <c r="AY122" s="421" t="s">
        <v>1208</v>
      </c>
      <c r="AZ122" s="421" t="s">
        <v>1121</v>
      </c>
      <c r="BA122" s="421" t="s">
        <v>1209</v>
      </c>
      <c r="BB122" s="421" t="s">
        <v>1208</v>
      </c>
      <c r="BC122" s="421" t="s">
        <v>1210</v>
      </c>
      <c r="BD122" s="421" t="s">
        <v>1211</v>
      </c>
      <c r="BE122" s="421" t="s">
        <v>1212</v>
      </c>
      <c r="BF122" s="421" t="s">
        <v>2143</v>
      </c>
      <c r="BG122" s="421" t="s">
        <v>2137</v>
      </c>
      <c r="BH122" s="421" t="s">
        <v>2144</v>
      </c>
      <c r="BI122" s="421" t="s">
        <v>1142</v>
      </c>
      <c r="BJ122" s="421" t="s">
        <v>1180</v>
      </c>
      <c r="BK122" s="421" t="s">
        <v>2141</v>
      </c>
      <c r="BL122" s="421" t="s">
        <v>2145</v>
      </c>
      <c r="BM122" s="421" t="s">
        <v>1216</v>
      </c>
      <c r="BN122" s="421" t="s">
        <v>2146</v>
      </c>
      <c r="BO122" s="421">
        <v>0</v>
      </c>
      <c r="BR122" s="421">
        <v>0</v>
      </c>
      <c r="BS122" s="421">
        <v>0</v>
      </c>
      <c r="BT122" s="421">
        <v>0</v>
      </c>
      <c r="BU122" s="424">
        <v>42181</v>
      </c>
      <c r="BX122" s="421">
        <v>2670.79</v>
      </c>
      <c r="BY122" s="421" t="s">
        <v>1147</v>
      </c>
      <c r="BZ122" s="421">
        <v>81700</v>
      </c>
      <c r="CA122" s="421">
        <v>218203543</v>
      </c>
      <c r="CB122" s="421">
        <v>32.68</v>
      </c>
      <c r="CC122" s="421">
        <v>0</v>
      </c>
      <c r="CD122" s="421">
        <v>1690.8</v>
      </c>
      <c r="CE122" s="421">
        <v>1723.48</v>
      </c>
      <c r="CF122" s="421">
        <v>0</v>
      </c>
      <c r="CG122" s="421">
        <v>83423.48</v>
      </c>
      <c r="CH122" s="421">
        <v>0</v>
      </c>
      <c r="CI122" s="421">
        <v>83423.48</v>
      </c>
      <c r="CJ122" s="421">
        <v>222806596.14919999</v>
      </c>
      <c r="CK122" s="421">
        <v>0</v>
      </c>
      <c r="CL122" s="421">
        <v>222806596</v>
      </c>
      <c r="CM122" s="421">
        <v>0</v>
      </c>
      <c r="CN122" s="421">
        <v>0</v>
      </c>
      <c r="CO122" s="421">
        <v>0</v>
      </c>
      <c r="CP122" s="421">
        <v>0</v>
      </c>
      <c r="CQ122" s="421">
        <v>0</v>
      </c>
      <c r="CR122" s="421">
        <v>222806596</v>
      </c>
      <c r="CS122" s="421">
        <v>0</v>
      </c>
      <c r="CT122" s="421">
        <v>0</v>
      </c>
      <c r="CU122" s="421">
        <v>0</v>
      </c>
      <c r="CV122" s="421">
        <v>0</v>
      </c>
      <c r="CW122" s="421">
        <v>0</v>
      </c>
      <c r="CX122" s="421">
        <v>0</v>
      </c>
      <c r="CY122" s="421">
        <v>0</v>
      </c>
      <c r="CZ122" s="421">
        <v>0</v>
      </c>
      <c r="DA122" s="421">
        <v>0</v>
      </c>
      <c r="DB122" s="421">
        <v>0</v>
      </c>
      <c r="DC122" s="421">
        <v>0</v>
      </c>
      <c r="DD122" s="421">
        <v>0</v>
      </c>
      <c r="DE122" s="421">
        <v>0</v>
      </c>
      <c r="DF122" s="421">
        <v>0</v>
      </c>
      <c r="DG122" s="421">
        <v>0</v>
      </c>
      <c r="DH122" s="421">
        <v>0</v>
      </c>
      <c r="DI122" s="421">
        <v>0</v>
      </c>
      <c r="DJ122" s="421">
        <v>0</v>
      </c>
      <c r="DK122" s="421">
        <v>0</v>
      </c>
      <c r="DL122" s="421">
        <v>0</v>
      </c>
      <c r="DM122" s="421">
        <v>0</v>
      </c>
      <c r="DN122" s="421">
        <v>0</v>
      </c>
      <c r="DO122" s="421">
        <v>0</v>
      </c>
      <c r="DP122" s="421">
        <v>0</v>
      </c>
      <c r="DQ122" s="421">
        <v>0</v>
      </c>
      <c r="DR122" s="421">
        <v>0</v>
      </c>
      <c r="DS122" s="421">
        <v>0</v>
      </c>
      <c r="DT122" s="421">
        <v>0</v>
      </c>
      <c r="DU122" s="421">
        <v>0</v>
      </c>
      <c r="DV122" s="421">
        <v>0</v>
      </c>
      <c r="DW122" s="421">
        <v>0</v>
      </c>
      <c r="DX122" s="421">
        <v>0</v>
      </c>
      <c r="DY122" s="421">
        <v>0</v>
      </c>
      <c r="DZ122" s="421">
        <v>0</v>
      </c>
      <c r="EA122" s="421">
        <v>0</v>
      </c>
      <c r="EB122" s="421">
        <v>0</v>
      </c>
      <c r="EC122" s="421" t="s">
        <v>1148</v>
      </c>
      <c r="ED122" s="421" t="s">
        <v>1149</v>
      </c>
      <c r="EE122" s="421" t="s">
        <v>1149</v>
      </c>
    </row>
    <row r="123" spans="1:135" x14ac:dyDescent="0.25">
      <c r="A123" s="421">
        <v>120</v>
      </c>
      <c r="B123" s="421">
        <v>2015</v>
      </c>
      <c r="C123" s="421">
        <v>7</v>
      </c>
      <c r="D123" s="421">
        <v>13</v>
      </c>
      <c r="E123" s="424">
        <v>42198</v>
      </c>
      <c r="F123" s="421" t="s">
        <v>2147</v>
      </c>
      <c r="G123" s="421" t="s">
        <v>2148</v>
      </c>
      <c r="H123" s="421" t="s">
        <v>1106</v>
      </c>
      <c r="I123" s="421" t="s">
        <v>1107</v>
      </c>
      <c r="J123" s="421" t="s">
        <v>1108</v>
      </c>
      <c r="K123" s="421" t="s">
        <v>1202</v>
      </c>
      <c r="L123" s="421" t="s">
        <v>1110</v>
      </c>
      <c r="O123" s="421" t="s">
        <v>1111</v>
      </c>
      <c r="R123" s="421" t="s">
        <v>1111</v>
      </c>
      <c r="S123" s="421" t="s">
        <v>1112</v>
      </c>
      <c r="T123" s="421" t="s">
        <v>1113</v>
      </c>
      <c r="U123" s="421" t="s">
        <v>1114</v>
      </c>
      <c r="V123" s="421" t="s">
        <v>1115</v>
      </c>
      <c r="W123" s="421" t="s">
        <v>1116</v>
      </c>
      <c r="X123" s="421" t="s">
        <v>1117</v>
      </c>
      <c r="Y123" s="421" t="s">
        <v>1118</v>
      </c>
      <c r="Z123" s="421" t="s">
        <v>1119</v>
      </c>
      <c r="AA123" s="421" t="s">
        <v>1120</v>
      </c>
      <c r="AB123" s="421" t="s">
        <v>1121</v>
      </c>
      <c r="AC123" s="421" t="s">
        <v>1122</v>
      </c>
      <c r="AD123" s="421" t="s">
        <v>1479</v>
      </c>
      <c r="AE123" s="421" t="s">
        <v>1203</v>
      </c>
      <c r="AF123" s="421" t="s">
        <v>1204</v>
      </c>
      <c r="AG123" s="421" t="s">
        <v>2149</v>
      </c>
      <c r="AH123" s="421">
        <v>43000</v>
      </c>
      <c r="AI123" s="421" t="s">
        <v>1127</v>
      </c>
      <c r="AJ123" s="421">
        <v>2</v>
      </c>
      <c r="AK123" s="421">
        <v>1</v>
      </c>
      <c r="AL123" s="421" t="s">
        <v>1283</v>
      </c>
      <c r="AM123" s="421">
        <v>43000</v>
      </c>
      <c r="AN123" s="421">
        <v>43485</v>
      </c>
      <c r="AO123" s="421" t="s">
        <v>1120</v>
      </c>
      <c r="AP123" s="421" t="s">
        <v>1129</v>
      </c>
      <c r="AR123" s="421" t="s">
        <v>1130</v>
      </c>
      <c r="AT123" s="421" t="s">
        <v>1131</v>
      </c>
      <c r="AU123" s="421" t="s">
        <v>1132</v>
      </c>
      <c r="AV123" s="421" t="s">
        <v>1133</v>
      </c>
      <c r="AW123" s="421" t="s">
        <v>1207</v>
      </c>
      <c r="AX123" s="421" t="s">
        <v>1207</v>
      </c>
      <c r="AY123" s="421" t="s">
        <v>1208</v>
      </c>
      <c r="AZ123" s="421" t="s">
        <v>1121</v>
      </c>
      <c r="BA123" s="421" t="s">
        <v>1209</v>
      </c>
      <c r="BB123" s="421" t="s">
        <v>1208</v>
      </c>
      <c r="BC123" s="421" t="s">
        <v>1210</v>
      </c>
      <c r="BD123" s="421" t="s">
        <v>1211</v>
      </c>
      <c r="BE123" s="421" t="s">
        <v>1212</v>
      </c>
      <c r="BF123" s="421" t="s">
        <v>2150</v>
      </c>
      <c r="BG123" s="421" t="s">
        <v>2137</v>
      </c>
      <c r="BH123" s="421" t="s">
        <v>2151</v>
      </c>
      <c r="BI123" s="421" t="s">
        <v>1142</v>
      </c>
      <c r="BJ123" s="421" t="s">
        <v>1243</v>
      </c>
      <c r="BK123" s="421" t="s">
        <v>2148</v>
      </c>
      <c r="BL123" s="421" t="s">
        <v>2145</v>
      </c>
      <c r="BM123" s="421" t="s">
        <v>2152</v>
      </c>
      <c r="BN123" s="421" t="s">
        <v>2122</v>
      </c>
      <c r="BO123" s="421">
        <v>0</v>
      </c>
      <c r="BR123" s="421">
        <v>0</v>
      </c>
      <c r="BS123" s="421">
        <v>0</v>
      </c>
      <c r="BT123" s="421">
        <v>0</v>
      </c>
      <c r="BU123" s="424">
        <v>42186</v>
      </c>
      <c r="BX123" s="421">
        <v>2670.79</v>
      </c>
      <c r="BY123" s="421" t="s">
        <v>1147</v>
      </c>
      <c r="BZ123" s="421">
        <v>81700</v>
      </c>
      <c r="CA123" s="421">
        <v>218203543</v>
      </c>
      <c r="CB123" s="421">
        <v>32.68</v>
      </c>
      <c r="CC123" s="421">
        <v>0</v>
      </c>
      <c r="CD123" s="421">
        <v>1680</v>
      </c>
      <c r="CE123" s="421">
        <v>1712.68</v>
      </c>
      <c r="CF123" s="421">
        <v>0</v>
      </c>
      <c r="CG123" s="421">
        <v>83412.679999999993</v>
      </c>
      <c r="CH123" s="421">
        <v>0</v>
      </c>
      <c r="CI123" s="421">
        <v>83412.679999999993</v>
      </c>
      <c r="CJ123" s="421">
        <v>222777751.61719999</v>
      </c>
      <c r="CK123" s="421">
        <v>0</v>
      </c>
      <c r="CL123" s="421">
        <v>222777752</v>
      </c>
      <c r="CM123" s="421">
        <v>0</v>
      </c>
      <c r="CN123" s="421">
        <v>0</v>
      </c>
      <c r="CO123" s="421">
        <v>0</v>
      </c>
      <c r="CP123" s="421">
        <v>0</v>
      </c>
      <c r="CQ123" s="421">
        <v>0</v>
      </c>
      <c r="CR123" s="421">
        <v>222777752</v>
      </c>
      <c r="CS123" s="421">
        <v>0</v>
      </c>
      <c r="CT123" s="421">
        <v>0</v>
      </c>
      <c r="CU123" s="421">
        <v>0</v>
      </c>
      <c r="CV123" s="421">
        <v>0</v>
      </c>
      <c r="CW123" s="421">
        <v>0</v>
      </c>
      <c r="CX123" s="421">
        <v>0</v>
      </c>
      <c r="CY123" s="421">
        <v>0</v>
      </c>
      <c r="CZ123" s="421">
        <v>0</v>
      </c>
      <c r="DA123" s="421">
        <v>0</v>
      </c>
      <c r="DB123" s="421">
        <v>0</v>
      </c>
      <c r="DC123" s="421">
        <v>0</v>
      </c>
      <c r="DD123" s="421">
        <v>0</v>
      </c>
      <c r="DE123" s="421">
        <v>0</v>
      </c>
      <c r="DF123" s="421">
        <v>0</v>
      </c>
      <c r="DG123" s="421">
        <v>0</v>
      </c>
      <c r="DH123" s="421">
        <v>0</v>
      </c>
      <c r="DI123" s="421">
        <v>0</v>
      </c>
      <c r="DJ123" s="421">
        <v>0</v>
      </c>
      <c r="DK123" s="421">
        <v>0</v>
      </c>
      <c r="DL123" s="421">
        <v>0</v>
      </c>
      <c r="DM123" s="421">
        <v>0</v>
      </c>
      <c r="DN123" s="421">
        <v>0</v>
      </c>
      <c r="DO123" s="421">
        <v>0</v>
      </c>
      <c r="DP123" s="421">
        <v>0</v>
      </c>
      <c r="DQ123" s="421">
        <v>0</v>
      </c>
      <c r="DR123" s="421">
        <v>0</v>
      </c>
      <c r="DS123" s="421">
        <v>0</v>
      </c>
      <c r="DT123" s="421">
        <v>0</v>
      </c>
      <c r="DU123" s="421">
        <v>0</v>
      </c>
      <c r="DV123" s="421">
        <v>0</v>
      </c>
      <c r="DW123" s="421">
        <v>0</v>
      </c>
      <c r="DX123" s="421">
        <v>0</v>
      </c>
      <c r="DY123" s="421">
        <v>0</v>
      </c>
      <c r="DZ123" s="421">
        <v>0</v>
      </c>
      <c r="EA123" s="421">
        <v>0</v>
      </c>
      <c r="EB123" s="421">
        <v>0</v>
      </c>
      <c r="EC123" s="421" t="s">
        <v>1148</v>
      </c>
      <c r="ED123" s="421" t="s">
        <v>1149</v>
      </c>
      <c r="EE123" s="421" t="s">
        <v>1149</v>
      </c>
    </row>
    <row r="124" spans="1:135" x14ac:dyDescent="0.25">
      <c r="A124" s="421">
        <v>121</v>
      </c>
      <c r="B124" s="421">
        <v>2015</v>
      </c>
      <c r="C124" s="421">
        <v>7</v>
      </c>
      <c r="D124" s="421">
        <v>13</v>
      </c>
      <c r="E124" s="424">
        <v>42198</v>
      </c>
      <c r="F124" s="421" t="s">
        <v>2153</v>
      </c>
      <c r="G124" s="421" t="s">
        <v>2154</v>
      </c>
      <c r="H124" s="421" t="s">
        <v>1106</v>
      </c>
      <c r="I124" s="421" t="s">
        <v>1107</v>
      </c>
      <c r="J124" s="421" t="s">
        <v>1108</v>
      </c>
      <c r="K124" s="421" t="s">
        <v>1202</v>
      </c>
      <c r="L124" s="421" t="s">
        <v>1110</v>
      </c>
      <c r="O124" s="421" t="s">
        <v>1111</v>
      </c>
      <c r="R124" s="421" t="s">
        <v>1111</v>
      </c>
      <c r="S124" s="421" t="s">
        <v>1112</v>
      </c>
      <c r="T124" s="421" t="s">
        <v>1113</v>
      </c>
      <c r="U124" s="421" t="s">
        <v>1114</v>
      </c>
      <c r="V124" s="421" t="s">
        <v>1115</v>
      </c>
      <c r="W124" s="421" t="s">
        <v>1116</v>
      </c>
      <c r="X124" s="421" t="s">
        <v>1117</v>
      </c>
      <c r="Y124" s="421" t="s">
        <v>1118</v>
      </c>
      <c r="Z124" s="421" t="s">
        <v>1119</v>
      </c>
      <c r="AA124" s="421" t="s">
        <v>1120</v>
      </c>
      <c r="AB124" s="421" t="s">
        <v>1121</v>
      </c>
      <c r="AC124" s="421" t="s">
        <v>1122</v>
      </c>
      <c r="AD124" s="421" t="s">
        <v>1479</v>
      </c>
      <c r="AE124" s="421" t="s">
        <v>1203</v>
      </c>
      <c r="AF124" s="421" t="s">
        <v>1204</v>
      </c>
      <c r="AG124" s="421" t="s">
        <v>2155</v>
      </c>
      <c r="AH124" s="421">
        <v>43000</v>
      </c>
      <c r="AI124" s="421" t="s">
        <v>1127</v>
      </c>
      <c r="AJ124" s="421">
        <v>2</v>
      </c>
      <c r="AK124" s="421">
        <v>1</v>
      </c>
      <c r="AL124" s="421" t="s">
        <v>1283</v>
      </c>
      <c r="AM124" s="421">
        <v>43000</v>
      </c>
      <c r="AN124" s="421">
        <v>43485</v>
      </c>
      <c r="AO124" s="421" t="s">
        <v>1120</v>
      </c>
      <c r="AP124" s="421" t="s">
        <v>1129</v>
      </c>
      <c r="AR124" s="421" t="s">
        <v>1130</v>
      </c>
      <c r="AT124" s="421" t="s">
        <v>1131</v>
      </c>
      <c r="AU124" s="421" t="s">
        <v>1132</v>
      </c>
      <c r="AV124" s="421" t="s">
        <v>1133</v>
      </c>
      <c r="AW124" s="421" t="s">
        <v>1207</v>
      </c>
      <c r="AX124" s="421" t="s">
        <v>1207</v>
      </c>
      <c r="AY124" s="421" t="s">
        <v>1208</v>
      </c>
      <c r="AZ124" s="421" t="s">
        <v>1121</v>
      </c>
      <c r="BA124" s="421" t="s">
        <v>1209</v>
      </c>
      <c r="BB124" s="421" t="s">
        <v>1208</v>
      </c>
      <c r="BC124" s="421" t="s">
        <v>1210</v>
      </c>
      <c r="BD124" s="421" t="s">
        <v>1211</v>
      </c>
      <c r="BE124" s="421" t="s">
        <v>1212</v>
      </c>
      <c r="BF124" s="421" t="s">
        <v>2150</v>
      </c>
      <c r="BG124" s="421" t="s">
        <v>2137</v>
      </c>
      <c r="BH124" s="421" t="s">
        <v>2156</v>
      </c>
      <c r="BI124" s="421" t="s">
        <v>1142</v>
      </c>
      <c r="BJ124" s="421" t="s">
        <v>1243</v>
      </c>
      <c r="BK124" s="421" t="s">
        <v>2154</v>
      </c>
      <c r="BL124" s="421" t="s">
        <v>2145</v>
      </c>
      <c r="BM124" s="421" t="s">
        <v>2157</v>
      </c>
      <c r="BN124" s="421" t="s">
        <v>2122</v>
      </c>
      <c r="BO124" s="421">
        <v>0</v>
      </c>
      <c r="BR124" s="421">
        <v>0</v>
      </c>
      <c r="BS124" s="421">
        <v>0</v>
      </c>
      <c r="BT124" s="421">
        <v>0</v>
      </c>
      <c r="BU124" s="424">
        <v>42186</v>
      </c>
      <c r="BX124" s="421">
        <v>2670.79</v>
      </c>
      <c r="BY124" s="421" t="s">
        <v>1147</v>
      </c>
      <c r="BZ124" s="421">
        <v>81700</v>
      </c>
      <c r="CA124" s="421">
        <v>218203543</v>
      </c>
      <c r="CB124" s="421">
        <v>32.68</v>
      </c>
      <c r="CC124" s="421">
        <v>0</v>
      </c>
      <c r="CD124" s="421">
        <v>1680</v>
      </c>
      <c r="CE124" s="421">
        <v>1712.68</v>
      </c>
      <c r="CF124" s="421">
        <v>0</v>
      </c>
      <c r="CG124" s="421">
        <v>83412.679999999993</v>
      </c>
      <c r="CH124" s="421">
        <v>0</v>
      </c>
      <c r="CI124" s="421">
        <v>83412.679999999993</v>
      </c>
      <c r="CJ124" s="421">
        <v>222777751.61719999</v>
      </c>
      <c r="CK124" s="421">
        <v>0</v>
      </c>
      <c r="CL124" s="421">
        <v>222777752</v>
      </c>
      <c r="CM124" s="421">
        <v>0</v>
      </c>
      <c r="CN124" s="421">
        <v>0</v>
      </c>
      <c r="CO124" s="421">
        <v>0</v>
      </c>
      <c r="CP124" s="421">
        <v>0</v>
      </c>
      <c r="CQ124" s="421">
        <v>0</v>
      </c>
      <c r="CR124" s="421">
        <v>222777752</v>
      </c>
      <c r="CS124" s="421">
        <v>0</v>
      </c>
      <c r="CT124" s="421">
        <v>0</v>
      </c>
      <c r="CU124" s="421">
        <v>0</v>
      </c>
      <c r="CV124" s="421">
        <v>0</v>
      </c>
      <c r="CW124" s="421">
        <v>0</v>
      </c>
      <c r="CX124" s="421">
        <v>0</v>
      </c>
      <c r="CY124" s="421">
        <v>0</v>
      </c>
      <c r="CZ124" s="421">
        <v>0</v>
      </c>
      <c r="DA124" s="421">
        <v>0</v>
      </c>
      <c r="DB124" s="421">
        <v>0</v>
      </c>
      <c r="DC124" s="421">
        <v>0</v>
      </c>
      <c r="DD124" s="421">
        <v>0</v>
      </c>
      <c r="DE124" s="421">
        <v>0</v>
      </c>
      <c r="DF124" s="421">
        <v>0</v>
      </c>
      <c r="DG124" s="421">
        <v>0</v>
      </c>
      <c r="DH124" s="421">
        <v>0</v>
      </c>
      <c r="DI124" s="421">
        <v>0</v>
      </c>
      <c r="DJ124" s="421">
        <v>0</v>
      </c>
      <c r="DK124" s="421">
        <v>0</v>
      </c>
      <c r="DL124" s="421">
        <v>0</v>
      </c>
      <c r="DM124" s="421">
        <v>0</v>
      </c>
      <c r="DN124" s="421">
        <v>0</v>
      </c>
      <c r="DO124" s="421">
        <v>0</v>
      </c>
      <c r="DP124" s="421">
        <v>0</v>
      </c>
      <c r="DQ124" s="421">
        <v>0</v>
      </c>
      <c r="DR124" s="421">
        <v>0</v>
      </c>
      <c r="DS124" s="421">
        <v>0</v>
      </c>
      <c r="DT124" s="421">
        <v>0</v>
      </c>
      <c r="DU124" s="421">
        <v>0</v>
      </c>
      <c r="DV124" s="421">
        <v>0</v>
      </c>
      <c r="DW124" s="421">
        <v>0</v>
      </c>
      <c r="DX124" s="421">
        <v>0</v>
      </c>
      <c r="DY124" s="421">
        <v>0</v>
      </c>
      <c r="DZ124" s="421">
        <v>0</v>
      </c>
      <c r="EA124" s="421">
        <v>0</v>
      </c>
      <c r="EB124" s="421">
        <v>0</v>
      </c>
      <c r="EC124" s="421" t="s">
        <v>1148</v>
      </c>
      <c r="ED124" s="421" t="s">
        <v>1149</v>
      </c>
      <c r="EE124" s="421" t="s">
        <v>1149</v>
      </c>
    </row>
    <row r="125" spans="1:135" x14ac:dyDescent="0.25">
      <c r="A125" s="421">
        <v>122</v>
      </c>
      <c r="B125" s="421">
        <v>2015</v>
      </c>
      <c r="C125" s="421">
        <v>7</v>
      </c>
      <c r="D125" s="421">
        <v>14</v>
      </c>
      <c r="E125" s="424">
        <v>42199</v>
      </c>
      <c r="F125" s="421" t="s">
        <v>2158</v>
      </c>
      <c r="G125" s="421" t="s">
        <v>2159</v>
      </c>
      <c r="H125" s="421" t="s">
        <v>1152</v>
      </c>
      <c r="I125" s="421" t="s">
        <v>1901</v>
      </c>
      <c r="J125" s="421" t="s">
        <v>1108</v>
      </c>
      <c r="K125" s="421" t="s">
        <v>1109</v>
      </c>
      <c r="L125" s="421" t="s">
        <v>1110</v>
      </c>
      <c r="M125" s="421" t="s">
        <v>2145</v>
      </c>
      <c r="N125" s="421" t="s">
        <v>2160</v>
      </c>
      <c r="O125" s="421" t="s">
        <v>1108</v>
      </c>
      <c r="R125" s="421" t="s">
        <v>1111</v>
      </c>
      <c r="S125" s="421" t="s">
        <v>1112</v>
      </c>
      <c r="T125" s="421" t="s">
        <v>1113</v>
      </c>
      <c r="U125" s="421" t="s">
        <v>1114</v>
      </c>
      <c r="V125" s="421" t="s">
        <v>1115</v>
      </c>
      <c r="W125" s="421" t="s">
        <v>1116</v>
      </c>
      <c r="X125" s="421" t="s">
        <v>1117</v>
      </c>
      <c r="Y125" s="421" t="s">
        <v>1118</v>
      </c>
      <c r="Z125" s="421" t="s">
        <v>1119</v>
      </c>
      <c r="AA125" s="421" t="s">
        <v>1120</v>
      </c>
      <c r="AB125" s="421" t="s">
        <v>1121</v>
      </c>
      <c r="AC125" s="421" t="s">
        <v>1122</v>
      </c>
      <c r="AD125" s="421" t="s">
        <v>1479</v>
      </c>
      <c r="AE125" s="421" t="s">
        <v>1620</v>
      </c>
      <c r="AF125" s="421" t="s">
        <v>1621</v>
      </c>
      <c r="AG125" s="421" t="s">
        <v>2161</v>
      </c>
      <c r="AH125" s="421">
        <v>1574.4</v>
      </c>
      <c r="AI125" s="421" t="s">
        <v>1127</v>
      </c>
      <c r="AJ125" s="421">
        <v>1453</v>
      </c>
      <c r="AK125" s="421">
        <v>9</v>
      </c>
      <c r="AL125" s="421" t="s">
        <v>1173</v>
      </c>
      <c r="AM125" s="421">
        <v>1574.4</v>
      </c>
      <c r="AN125" s="421">
        <v>1716.1</v>
      </c>
      <c r="AO125" s="421" t="s">
        <v>1120</v>
      </c>
      <c r="AP125" s="421" t="s">
        <v>1129</v>
      </c>
      <c r="AR125" s="421" t="s">
        <v>1130</v>
      </c>
      <c r="AT125" s="421" t="s">
        <v>1131</v>
      </c>
      <c r="AU125" s="421" t="s">
        <v>1911</v>
      </c>
      <c r="AV125" s="421" t="s">
        <v>1912</v>
      </c>
      <c r="AW125" s="421" t="s">
        <v>960</v>
      </c>
      <c r="AX125" s="421" t="s">
        <v>960</v>
      </c>
      <c r="AY125" s="421" t="s">
        <v>960</v>
      </c>
      <c r="AZ125" s="421" t="s">
        <v>1121</v>
      </c>
      <c r="BA125" s="421" t="s">
        <v>1305</v>
      </c>
      <c r="BB125" s="421" t="s">
        <v>960</v>
      </c>
      <c r="BC125" s="421" t="s">
        <v>1175</v>
      </c>
      <c r="BD125" s="421" t="s">
        <v>1306</v>
      </c>
      <c r="BE125" s="421" t="s">
        <v>2162</v>
      </c>
      <c r="BF125" s="421" t="s">
        <v>2163</v>
      </c>
      <c r="BG125" s="421" t="s">
        <v>2164</v>
      </c>
      <c r="BH125" s="421" t="s">
        <v>2165</v>
      </c>
      <c r="BI125" s="421" t="s">
        <v>1142</v>
      </c>
      <c r="BJ125" s="421" t="s">
        <v>1243</v>
      </c>
      <c r="BK125" s="421" t="s">
        <v>2159</v>
      </c>
      <c r="BL125" s="421" t="s">
        <v>2166</v>
      </c>
      <c r="BM125" s="421" t="s">
        <v>2167</v>
      </c>
      <c r="BN125" s="421" t="s">
        <v>2139</v>
      </c>
      <c r="BO125" s="421">
        <v>0</v>
      </c>
      <c r="BR125" s="421">
        <v>0</v>
      </c>
      <c r="BS125" s="421">
        <v>0</v>
      </c>
      <c r="BT125" s="421">
        <v>0</v>
      </c>
      <c r="BU125" s="424">
        <v>42158</v>
      </c>
      <c r="BX125" s="421">
        <v>2670.79</v>
      </c>
      <c r="BY125" s="421" t="s">
        <v>1183</v>
      </c>
      <c r="BZ125" s="421">
        <v>11174.26</v>
      </c>
      <c r="CA125" s="421">
        <v>29844101.865400001</v>
      </c>
      <c r="CB125" s="421">
        <v>4.46</v>
      </c>
      <c r="CC125" s="421">
        <v>0</v>
      </c>
      <c r="CD125" s="421">
        <v>304.10000000000002</v>
      </c>
      <c r="CE125" s="421">
        <v>308.56</v>
      </c>
      <c r="CF125" s="421">
        <v>0</v>
      </c>
      <c r="CG125" s="421">
        <v>11482.82</v>
      </c>
      <c r="CH125" s="421">
        <v>0</v>
      </c>
      <c r="CI125" s="421">
        <v>11482.82</v>
      </c>
      <c r="CJ125" s="421">
        <v>30668200.827799998</v>
      </c>
      <c r="CK125" s="421">
        <v>15</v>
      </c>
      <c r="CL125" s="421">
        <v>30668201</v>
      </c>
      <c r="CM125" s="421">
        <v>4600000</v>
      </c>
      <c r="CN125" s="421">
        <v>4600000</v>
      </c>
      <c r="CO125" s="421">
        <v>0</v>
      </c>
      <c r="CP125" s="421">
        <v>0</v>
      </c>
      <c r="CQ125" s="421">
        <v>16</v>
      </c>
      <c r="CR125" s="421">
        <v>35268201</v>
      </c>
      <c r="CS125" s="421">
        <v>5643000</v>
      </c>
      <c r="CT125" s="421">
        <v>5643000</v>
      </c>
      <c r="CU125" s="421">
        <v>0</v>
      </c>
      <c r="CV125" s="421">
        <v>0</v>
      </c>
      <c r="CW125" s="421">
        <v>0</v>
      </c>
      <c r="CX125" s="421">
        <v>0</v>
      </c>
      <c r="CY125" s="421">
        <v>0</v>
      </c>
      <c r="CZ125" s="421">
        <v>0</v>
      </c>
      <c r="DA125" s="421">
        <v>0</v>
      </c>
      <c r="DB125" s="421">
        <v>0</v>
      </c>
      <c r="DC125" s="421">
        <v>0</v>
      </c>
      <c r="DD125" s="421">
        <v>0</v>
      </c>
      <c r="DE125" s="421">
        <v>0</v>
      </c>
      <c r="DF125" s="421">
        <v>0</v>
      </c>
      <c r="DG125" s="421">
        <v>0</v>
      </c>
      <c r="DH125" s="421">
        <v>0</v>
      </c>
      <c r="DI125" s="421">
        <v>0</v>
      </c>
      <c r="DJ125" s="421">
        <v>0</v>
      </c>
      <c r="DK125" s="421">
        <v>0</v>
      </c>
      <c r="DL125" s="421">
        <v>0</v>
      </c>
      <c r="DM125" s="421">
        <v>0</v>
      </c>
      <c r="DN125" s="421">
        <v>0</v>
      </c>
      <c r="DO125" s="421">
        <v>0</v>
      </c>
      <c r="DP125" s="421">
        <v>0</v>
      </c>
      <c r="DQ125" s="421">
        <v>0</v>
      </c>
      <c r="DR125" s="421">
        <v>0</v>
      </c>
      <c r="DS125" s="421">
        <v>0</v>
      </c>
      <c r="DT125" s="421">
        <v>0</v>
      </c>
      <c r="DU125" s="421">
        <v>0</v>
      </c>
      <c r="DV125" s="421">
        <v>0</v>
      </c>
      <c r="DW125" s="421">
        <v>0</v>
      </c>
      <c r="DX125" s="421">
        <v>0</v>
      </c>
      <c r="DY125" s="421">
        <v>10243000</v>
      </c>
      <c r="DZ125" s="421">
        <v>10243000</v>
      </c>
      <c r="EA125" s="421">
        <v>0</v>
      </c>
      <c r="EB125" s="421">
        <v>0</v>
      </c>
      <c r="EC125" s="421" t="s">
        <v>1148</v>
      </c>
      <c r="ED125" s="421" t="s">
        <v>1167</v>
      </c>
      <c r="EE125" s="421" t="s">
        <v>1167</v>
      </c>
    </row>
    <row r="126" spans="1:135" x14ac:dyDescent="0.25">
      <c r="A126" s="421">
        <v>123</v>
      </c>
      <c r="B126" s="421">
        <v>2015</v>
      </c>
      <c r="C126" s="421">
        <v>7</v>
      </c>
      <c r="D126" s="421">
        <v>14</v>
      </c>
      <c r="E126" s="424">
        <v>42199</v>
      </c>
      <c r="F126" s="421" t="s">
        <v>2168</v>
      </c>
      <c r="G126" s="421" t="s">
        <v>2169</v>
      </c>
      <c r="H126" s="421" t="s">
        <v>1152</v>
      </c>
      <c r="I126" s="421" t="s">
        <v>1901</v>
      </c>
      <c r="J126" s="421" t="s">
        <v>1108</v>
      </c>
      <c r="K126" s="421" t="s">
        <v>1109</v>
      </c>
      <c r="L126" s="421" t="s">
        <v>1110</v>
      </c>
      <c r="M126" s="421" t="s">
        <v>2145</v>
      </c>
      <c r="N126" s="421" t="s">
        <v>2160</v>
      </c>
      <c r="O126" s="421" t="s">
        <v>1108</v>
      </c>
      <c r="R126" s="421" t="s">
        <v>1111</v>
      </c>
      <c r="S126" s="421" t="s">
        <v>1112</v>
      </c>
      <c r="T126" s="421" t="s">
        <v>1113</v>
      </c>
      <c r="U126" s="421" t="s">
        <v>1114</v>
      </c>
      <c r="V126" s="421" t="s">
        <v>1115</v>
      </c>
      <c r="W126" s="421" t="s">
        <v>1116</v>
      </c>
      <c r="X126" s="421" t="s">
        <v>1117</v>
      </c>
      <c r="Y126" s="421" t="s">
        <v>1118</v>
      </c>
      <c r="Z126" s="421" t="s">
        <v>1119</v>
      </c>
      <c r="AA126" s="421" t="s">
        <v>1120</v>
      </c>
      <c r="AB126" s="421" t="s">
        <v>1121</v>
      </c>
      <c r="AC126" s="421" t="s">
        <v>1122</v>
      </c>
      <c r="AD126" s="421" t="s">
        <v>1479</v>
      </c>
      <c r="AE126" s="421" t="s">
        <v>1300</v>
      </c>
      <c r="AF126" s="421" t="s">
        <v>1301</v>
      </c>
      <c r="AG126" s="421" t="s">
        <v>2170</v>
      </c>
      <c r="AH126" s="421">
        <v>1506.08</v>
      </c>
      <c r="AI126" s="421" t="s">
        <v>1127</v>
      </c>
      <c r="AJ126" s="421">
        <v>1453</v>
      </c>
      <c r="AK126" s="421">
        <v>9</v>
      </c>
      <c r="AL126" s="421" t="s">
        <v>1173</v>
      </c>
      <c r="AM126" s="421">
        <v>1506.08</v>
      </c>
      <c r="AN126" s="421">
        <v>1641.62</v>
      </c>
      <c r="AO126" s="421" t="s">
        <v>1120</v>
      </c>
      <c r="AP126" s="421" t="s">
        <v>1129</v>
      </c>
      <c r="AR126" s="421" t="s">
        <v>1130</v>
      </c>
      <c r="AT126" s="421" t="s">
        <v>1131</v>
      </c>
      <c r="AU126" s="421" t="s">
        <v>1911</v>
      </c>
      <c r="AV126" s="421" t="s">
        <v>1912</v>
      </c>
      <c r="AW126" s="421" t="s">
        <v>960</v>
      </c>
      <c r="AX126" s="421" t="s">
        <v>960</v>
      </c>
      <c r="AY126" s="421" t="s">
        <v>960</v>
      </c>
      <c r="AZ126" s="421" t="s">
        <v>1121</v>
      </c>
      <c r="BA126" s="421" t="s">
        <v>1305</v>
      </c>
      <c r="BB126" s="421" t="s">
        <v>960</v>
      </c>
      <c r="BC126" s="421" t="s">
        <v>1175</v>
      </c>
      <c r="BD126" s="421" t="s">
        <v>1306</v>
      </c>
      <c r="BE126" s="421" t="s">
        <v>2162</v>
      </c>
      <c r="BF126" s="421" t="s">
        <v>2163</v>
      </c>
      <c r="BG126" s="421" t="s">
        <v>2164</v>
      </c>
      <c r="BH126" s="421" t="s">
        <v>2165</v>
      </c>
      <c r="BI126" s="421" t="s">
        <v>1142</v>
      </c>
      <c r="BJ126" s="421" t="s">
        <v>1243</v>
      </c>
      <c r="BK126" s="421" t="s">
        <v>2169</v>
      </c>
      <c r="BL126" s="421" t="s">
        <v>2166</v>
      </c>
      <c r="BM126" s="421" t="s">
        <v>2167</v>
      </c>
      <c r="BN126" s="421" t="s">
        <v>2139</v>
      </c>
      <c r="BO126" s="421">
        <v>0</v>
      </c>
      <c r="BR126" s="421">
        <v>0</v>
      </c>
      <c r="BS126" s="421">
        <v>0</v>
      </c>
      <c r="BT126" s="421">
        <v>0</v>
      </c>
      <c r="BU126" s="424">
        <v>42158</v>
      </c>
      <c r="BX126" s="421">
        <v>2670.79</v>
      </c>
      <c r="BY126" s="421" t="s">
        <v>1183</v>
      </c>
      <c r="BZ126" s="421">
        <v>14600.98</v>
      </c>
      <c r="CA126" s="421">
        <v>38996151.374200001</v>
      </c>
      <c r="CB126" s="421">
        <v>5.85</v>
      </c>
      <c r="CC126" s="421">
        <v>0</v>
      </c>
      <c r="CD126" s="421">
        <v>290.91000000000003</v>
      </c>
      <c r="CE126" s="421">
        <v>296.76</v>
      </c>
      <c r="CF126" s="421">
        <v>0</v>
      </c>
      <c r="CG126" s="421">
        <v>14897.74</v>
      </c>
      <c r="CH126" s="421">
        <v>0</v>
      </c>
      <c r="CI126" s="421">
        <v>14897.74</v>
      </c>
      <c r="CJ126" s="421">
        <v>39788735.014600001</v>
      </c>
      <c r="CK126" s="421">
        <v>15</v>
      </c>
      <c r="CL126" s="421">
        <v>39788735</v>
      </c>
      <c r="CM126" s="421">
        <v>5968000</v>
      </c>
      <c r="CN126" s="421">
        <v>5968000</v>
      </c>
      <c r="CO126" s="421">
        <v>0</v>
      </c>
      <c r="CP126" s="421">
        <v>0</v>
      </c>
      <c r="CQ126" s="421">
        <v>16</v>
      </c>
      <c r="CR126" s="421">
        <v>45756735</v>
      </c>
      <c r="CS126" s="421">
        <v>7321000</v>
      </c>
      <c r="CT126" s="421">
        <v>7321000</v>
      </c>
      <c r="CU126" s="421">
        <v>0</v>
      </c>
      <c r="CV126" s="421">
        <v>0</v>
      </c>
      <c r="CW126" s="421">
        <v>0</v>
      </c>
      <c r="CX126" s="421">
        <v>0</v>
      </c>
      <c r="CY126" s="421">
        <v>0</v>
      </c>
      <c r="CZ126" s="421">
        <v>0</v>
      </c>
      <c r="DA126" s="421">
        <v>0</v>
      </c>
      <c r="DB126" s="421">
        <v>0</v>
      </c>
      <c r="DC126" s="421">
        <v>0</v>
      </c>
      <c r="DD126" s="421">
        <v>0</v>
      </c>
      <c r="DE126" s="421">
        <v>0</v>
      </c>
      <c r="DF126" s="421">
        <v>0</v>
      </c>
      <c r="DG126" s="421">
        <v>0</v>
      </c>
      <c r="DH126" s="421">
        <v>0</v>
      </c>
      <c r="DI126" s="421">
        <v>0</v>
      </c>
      <c r="DJ126" s="421">
        <v>0</v>
      </c>
      <c r="DK126" s="421">
        <v>0</v>
      </c>
      <c r="DL126" s="421">
        <v>0</v>
      </c>
      <c r="DM126" s="421">
        <v>0</v>
      </c>
      <c r="DN126" s="421">
        <v>0</v>
      </c>
      <c r="DO126" s="421">
        <v>0</v>
      </c>
      <c r="DP126" s="421">
        <v>0</v>
      </c>
      <c r="DQ126" s="421">
        <v>0</v>
      </c>
      <c r="DR126" s="421">
        <v>0</v>
      </c>
      <c r="DS126" s="421">
        <v>0</v>
      </c>
      <c r="DT126" s="421">
        <v>0</v>
      </c>
      <c r="DU126" s="421">
        <v>0</v>
      </c>
      <c r="DV126" s="421">
        <v>0</v>
      </c>
      <c r="DW126" s="421">
        <v>0</v>
      </c>
      <c r="DX126" s="421">
        <v>0</v>
      </c>
      <c r="DY126" s="421">
        <v>13289000</v>
      </c>
      <c r="DZ126" s="421">
        <v>13289000</v>
      </c>
      <c r="EA126" s="421">
        <v>0</v>
      </c>
      <c r="EB126" s="421">
        <v>0</v>
      </c>
      <c r="EC126" s="421" t="s">
        <v>1148</v>
      </c>
      <c r="ED126" s="421" t="s">
        <v>1167</v>
      </c>
      <c r="EE126" s="421" t="s">
        <v>1167</v>
      </c>
    </row>
    <row r="127" spans="1:135" x14ac:dyDescent="0.25">
      <c r="A127" s="421">
        <v>124</v>
      </c>
      <c r="B127" s="421">
        <v>2015</v>
      </c>
      <c r="C127" s="421">
        <v>7</v>
      </c>
      <c r="D127" s="421">
        <v>14</v>
      </c>
      <c r="E127" s="424">
        <v>42199</v>
      </c>
      <c r="F127" s="421" t="s">
        <v>2171</v>
      </c>
      <c r="G127" s="421" t="s">
        <v>2172</v>
      </c>
      <c r="H127" s="421" t="s">
        <v>1152</v>
      </c>
      <c r="I127" s="421" t="s">
        <v>1901</v>
      </c>
      <c r="J127" s="421" t="s">
        <v>1108</v>
      </c>
      <c r="K127" s="421" t="s">
        <v>1109</v>
      </c>
      <c r="L127" s="421" t="s">
        <v>1110</v>
      </c>
      <c r="M127" s="421" t="s">
        <v>2145</v>
      </c>
      <c r="N127" s="421" t="s">
        <v>2173</v>
      </c>
      <c r="O127" s="421" t="s">
        <v>1108</v>
      </c>
      <c r="R127" s="421" t="s">
        <v>1111</v>
      </c>
      <c r="S127" s="421" t="s">
        <v>1112</v>
      </c>
      <c r="T127" s="421" t="s">
        <v>1113</v>
      </c>
      <c r="U127" s="421" t="s">
        <v>1114</v>
      </c>
      <c r="V127" s="421" t="s">
        <v>1115</v>
      </c>
      <c r="W127" s="421" t="s">
        <v>1116</v>
      </c>
      <c r="X127" s="421" t="s">
        <v>1117</v>
      </c>
      <c r="Y127" s="421" t="s">
        <v>1118</v>
      </c>
      <c r="Z127" s="421" t="s">
        <v>1119</v>
      </c>
      <c r="AA127" s="421" t="s">
        <v>1120</v>
      </c>
      <c r="AB127" s="421" t="s">
        <v>1121</v>
      </c>
      <c r="AC127" s="421" t="s">
        <v>1122</v>
      </c>
      <c r="AD127" s="421" t="s">
        <v>1479</v>
      </c>
      <c r="AE127" s="421" t="s">
        <v>1865</v>
      </c>
      <c r="AF127" s="421" t="s">
        <v>1866</v>
      </c>
      <c r="AG127" s="421" t="s">
        <v>2174</v>
      </c>
      <c r="AH127" s="421">
        <v>2127</v>
      </c>
      <c r="AI127" s="421" t="s">
        <v>1127</v>
      </c>
      <c r="AJ127" s="421">
        <v>1453</v>
      </c>
      <c r="AK127" s="421">
        <v>9</v>
      </c>
      <c r="AL127" s="421" t="s">
        <v>1173</v>
      </c>
      <c r="AM127" s="421">
        <v>2127</v>
      </c>
      <c r="AN127" s="421">
        <v>2318.4299999999998</v>
      </c>
      <c r="AO127" s="421" t="s">
        <v>1120</v>
      </c>
      <c r="AP127" s="421" t="s">
        <v>1129</v>
      </c>
      <c r="AR127" s="421" t="s">
        <v>1130</v>
      </c>
      <c r="AT127" s="421" t="s">
        <v>1131</v>
      </c>
      <c r="AU127" s="421" t="s">
        <v>1911</v>
      </c>
      <c r="AV127" s="421" t="s">
        <v>1912</v>
      </c>
      <c r="AW127" s="421" t="s">
        <v>960</v>
      </c>
      <c r="AX127" s="421" t="s">
        <v>960</v>
      </c>
      <c r="AY127" s="421" t="s">
        <v>960</v>
      </c>
      <c r="AZ127" s="421" t="s">
        <v>1121</v>
      </c>
      <c r="BA127" s="421" t="s">
        <v>1305</v>
      </c>
      <c r="BB127" s="421" t="s">
        <v>960</v>
      </c>
      <c r="BC127" s="421" t="s">
        <v>1175</v>
      </c>
      <c r="BD127" s="421" t="s">
        <v>1306</v>
      </c>
      <c r="BE127" s="421" t="s">
        <v>2162</v>
      </c>
      <c r="BF127" s="421" t="s">
        <v>2163</v>
      </c>
      <c r="BG127" s="421" t="s">
        <v>2164</v>
      </c>
      <c r="BH127" s="421" t="s">
        <v>2165</v>
      </c>
      <c r="BI127" s="421" t="s">
        <v>1142</v>
      </c>
      <c r="BJ127" s="421" t="s">
        <v>1243</v>
      </c>
      <c r="BK127" s="421" t="s">
        <v>2172</v>
      </c>
      <c r="BL127" s="421" t="s">
        <v>2166</v>
      </c>
      <c r="BM127" s="421" t="s">
        <v>2167</v>
      </c>
      <c r="BN127" s="421" t="s">
        <v>2139</v>
      </c>
      <c r="BO127" s="421">
        <v>0</v>
      </c>
      <c r="BR127" s="421">
        <v>0</v>
      </c>
      <c r="BS127" s="421">
        <v>0</v>
      </c>
      <c r="BT127" s="421">
        <v>0</v>
      </c>
      <c r="BU127" s="424">
        <v>42158</v>
      </c>
      <c r="BX127" s="421">
        <v>2670.79</v>
      </c>
      <c r="BY127" s="421" t="s">
        <v>1183</v>
      </c>
      <c r="BZ127" s="421">
        <v>11837.44</v>
      </c>
      <c r="CA127" s="421">
        <v>31615316.377599999</v>
      </c>
      <c r="CB127" s="421">
        <v>4.7300000000000004</v>
      </c>
      <c r="CC127" s="421">
        <v>0</v>
      </c>
      <c r="CD127" s="421">
        <v>410.79</v>
      </c>
      <c r="CE127" s="421">
        <v>415.52</v>
      </c>
      <c r="CF127" s="421">
        <v>0</v>
      </c>
      <c r="CG127" s="421">
        <v>12252.96</v>
      </c>
      <c r="CH127" s="421">
        <v>0</v>
      </c>
      <c r="CI127" s="421">
        <v>12252.96</v>
      </c>
      <c r="CJ127" s="421">
        <v>32725083.038400002</v>
      </c>
      <c r="CK127" s="421">
        <v>10</v>
      </c>
      <c r="CL127" s="421">
        <v>32725083</v>
      </c>
      <c r="CM127" s="421">
        <v>3273000</v>
      </c>
      <c r="CN127" s="421">
        <v>3273000</v>
      </c>
      <c r="CO127" s="421">
        <v>0</v>
      </c>
      <c r="CP127" s="421">
        <v>0</v>
      </c>
      <c r="CQ127" s="421">
        <v>16</v>
      </c>
      <c r="CR127" s="421">
        <v>35998083</v>
      </c>
      <c r="CS127" s="421">
        <v>5760000</v>
      </c>
      <c r="CT127" s="421">
        <v>5760000</v>
      </c>
      <c r="CU127" s="421">
        <v>0</v>
      </c>
      <c r="CV127" s="421">
        <v>0</v>
      </c>
      <c r="CW127" s="421">
        <v>0</v>
      </c>
      <c r="CX127" s="421">
        <v>0</v>
      </c>
      <c r="CY127" s="421">
        <v>0</v>
      </c>
      <c r="CZ127" s="421">
        <v>0</v>
      </c>
      <c r="DA127" s="421">
        <v>0</v>
      </c>
      <c r="DB127" s="421">
        <v>0</v>
      </c>
      <c r="DC127" s="421">
        <v>0</v>
      </c>
      <c r="DD127" s="421">
        <v>0</v>
      </c>
      <c r="DE127" s="421">
        <v>0</v>
      </c>
      <c r="DF127" s="421">
        <v>0</v>
      </c>
      <c r="DG127" s="421">
        <v>0</v>
      </c>
      <c r="DH127" s="421">
        <v>0</v>
      </c>
      <c r="DI127" s="421">
        <v>0</v>
      </c>
      <c r="DJ127" s="421">
        <v>0</v>
      </c>
      <c r="DK127" s="421">
        <v>0</v>
      </c>
      <c r="DL127" s="421">
        <v>0</v>
      </c>
      <c r="DM127" s="421">
        <v>0</v>
      </c>
      <c r="DN127" s="421">
        <v>0</v>
      </c>
      <c r="DO127" s="421">
        <v>0</v>
      </c>
      <c r="DP127" s="421">
        <v>0</v>
      </c>
      <c r="DQ127" s="421">
        <v>0</v>
      </c>
      <c r="DR127" s="421">
        <v>0</v>
      </c>
      <c r="DS127" s="421">
        <v>0</v>
      </c>
      <c r="DT127" s="421">
        <v>0</v>
      </c>
      <c r="DU127" s="421">
        <v>0</v>
      </c>
      <c r="DV127" s="421">
        <v>0</v>
      </c>
      <c r="DW127" s="421">
        <v>0</v>
      </c>
      <c r="DX127" s="421">
        <v>0</v>
      </c>
      <c r="DY127" s="421">
        <v>9033000</v>
      </c>
      <c r="DZ127" s="421">
        <v>9033000</v>
      </c>
      <c r="EA127" s="421">
        <v>0</v>
      </c>
      <c r="EB127" s="421">
        <v>0</v>
      </c>
      <c r="EC127" s="421" t="s">
        <v>1148</v>
      </c>
      <c r="ED127" s="421" t="s">
        <v>1167</v>
      </c>
      <c r="EE127" s="421" t="s">
        <v>1167</v>
      </c>
    </row>
    <row r="128" spans="1:135" x14ac:dyDescent="0.25">
      <c r="A128" s="421">
        <v>125</v>
      </c>
      <c r="B128" s="421">
        <v>2015</v>
      </c>
      <c r="C128" s="421">
        <v>7</v>
      </c>
      <c r="D128" s="421">
        <v>14</v>
      </c>
      <c r="E128" s="424">
        <v>42199</v>
      </c>
      <c r="F128" s="421" t="s">
        <v>2175</v>
      </c>
      <c r="G128" s="421" t="s">
        <v>2176</v>
      </c>
      <c r="H128" s="421" t="s">
        <v>1152</v>
      </c>
      <c r="I128" s="421" t="s">
        <v>1901</v>
      </c>
      <c r="J128" s="421" t="s">
        <v>1108</v>
      </c>
      <c r="K128" s="421" t="s">
        <v>1109</v>
      </c>
      <c r="L128" s="421" t="s">
        <v>1110</v>
      </c>
      <c r="M128" s="421" t="s">
        <v>2145</v>
      </c>
      <c r="N128" s="421" t="s">
        <v>2177</v>
      </c>
      <c r="O128" s="421" t="s">
        <v>1108</v>
      </c>
      <c r="R128" s="421" t="s">
        <v>1111</v>
      </c>
      <c r="S128" s="421" t="s">
        <v>1112</v>
      </c>
      <c r="T128" s="421" t="s">
        <v>1113</v>
      </c>
      <c r="U128" s="421" t="s">
        <v>1114</v>
      </c>
      <c r="V128" s="421" t="s">
        <v>1115</v>
      </c>
      <c r="W128" s="421" t="s">
        <v>1116</v>
      </c>
      <c r="X128" s="421" t="s">
        <v>1117</v>
      </c>
      <c r="Y128" s="421" t="s">
        <v>1118</v>
      </c>
      <c r="Z128" s="421" t="s">
        <v>1119</v>
      </c>
      <c r="AA128" s="421" t="s">
        <v>1120</v>
      </c>
      <c r="AB128" s="421" t="s">
        <v>1121</v>
      </c>
      <c r="AC128" s="421" t="s">
        <v>1122</v>
      </c>
      <c r="AD128" s="421" t="s">
        <v>1479</v>
      </c>
      <c r="AE128" s="421" t="s">
        <v>1896</v>
      </c>
      <c r="AF128" s="421" t="s">
        <v>1897</v>
      </c>
      <c r="AG128" s="421" t="s">
        <v>2178</v>
      </c>
      <c r="AH128" s="421">
        <v>13680</v>
      </c>
      <c r="AI128" s="421" t="s">
        <v>1189</v>
      </c>
      <c r="AJ128" s="421">
        <v>1453</v>
      </c>
      <c r="AK128" s="421">
        <v>9</v>
      </c>
      <c r="AL128" s="421" t="s">
        <v>1173</v>
      </c>
      <c r="AM128" s="421">
        <v>1112</v>
      </c>
      <c r="AN128" s="421">
        <v>1212.08</v>
      </c>
      <c r="AO128" s="421" t="s">
        <v>1120</v>
      </c>
      <c r="AP128" s="421" t="s">
        <v>1129</v>
      </c>
      <c r="AR128" s="421" t="s">
        <v>1130</v>
      </c>
      <c r="AT128" s="421" t="s">
        <v>1131</v>
      </c>
      <c r="AU128" s="421" t="s">
        <v>1911</v>
      </c>
      <c r="AV128" s="421" t="s">
        <v>1912</v>
      </c>
      <c r="AW128" s="421" t="s">
        <v>960</v>
      </c>
      <c r="AX128" s="421" t="s">
        <v>960</v>
      </c>
      <c r="AY128" s="421" t="s">
        <v>960</v>
      </c>
      <c r="AZ128" s="421" t="s">
        <v>1121</v>
      </c>
      <c r="BA128" s="421" t="s">
        <v>1305</v>
      </c>
      <c r="BB128" s="421" t="s">
        <v>960</v>
      </c>
      <c r="BC128" s="421" t="s">
        <v>1175</v>
      </c>
      <c r="BD128" s="421" t="s">
        <v>1306</v>
      </c>
      <c r="BE128" s="421" t="s">
        <v>2162</v>
      </c>
      <c r="BF128" s="421" t="s">
        <v>2163</v>
      </c>
      <c r="BG128" s="421" t="s">
        <v>2164</v>
      </c>
      <c r="BH128" s="421" t="s">
        <v>2165</v>
      </c>
      <c r="BI128" s="421" t="s">
        <v>1142</v>
      </c>
      <c r="BJ128" s="421" t="s">
        <v>1243</v>
      </c>
      <c r="BK128" s="421" t="s">
        <v>2176</v>
      </c>
      <c r="BL128" s="421" t="s">
        <v>2166</v>
      </c>
      <c r="BM128" s="421" t="s">
        <v>2167</v>
      </c>
      <c r="BN128" s="421" t="s">
        <v>2139</v>
      </c>
      <c r="BO128" s="421">
        <v>0</v>
      </c>
      <c r="BR128" s="421">
        <v>0</v>
      </c>
      <c r="BS128" s="421">
        <v>0</v>
      </c>
      <c r="BT128" s="421">
        <v>0</v>
      </c>
      <c r="BU128" s="424">
        <v>42158</v>
      </c>
      <c r="BX128" s="421">
        <v>2670.79</v>
      </c>
      <c r="BY128" s="421" t="s">
        <v>1183</v>
      </c>
      <c r="BZ128" s="421">
        <v>5523.53</v>
      </c>
      <c r="CA128" s="421">
        <v>14752188.6887</v>
      </c>
      <c r="CB128" s="421">
        <v>2.21</v>
      </c>
      <c r="CC128" s="421">
        <v>0</v>
      </c>
      <c r="CD128" s="421">
        <v>214.79</v>
      </c>
      <c r="CE128" s="421">
        <v>217</v>
      </c>
      <c r="CF128" s="421">
        <v>0</v>
      </c>
      <c r="CG128" s="421">
        <v>5740.53</v>
      </c>
      <c r="CH128" s="421">
        <v>0</v>
      </c>
      <c r="CI128" s="421">
        <v>5740.53</v>
      </c>
      <c r="CJ128" s="421">
        <v>15331750.1187</v>
      </c>
      <c r="CK128" s="421">
        <v>15</v>
      </c>
      <c r="CL128" s="421">
        <v>15331750</v>
      </c>
      <c r="CM128" s="421">
        <v>2300000</v>
      </c>
      <c r="CN128" s="421">
        <v>2300000</v>
      </c>
      <c r="CO128" s="421">
        <v>0</v>
      </c>
      <c r="CP128" s="421">
        <v>0</v>
      </c>
      <c r="CQ128" s="421">
        <v>16</v>
      </c>
      <c r="CR128" s="421">
        <v>17631750</v>
      </c>
      <c r="CS128" s="421">
        <v>2821000</v>
      </c>
      <c r="CT128" s="421">
        <v>2821000</v>
      </c>
      <c r="CU128" s="421">
        <v>0</v>
      </c>
      <c r="CV128" s="421">
        <v>0</v>
      </c>
      <c r="CW128" s="421">
        <v>0</v>
      </c>
      <c r="CX128" s="421">
        <v>0</v>
      </c>
      <c r="CY128" s="421">
        <v>0</v>
      </c>
      <c r="CZ128" s="421">
        <v>0</v>
      </c>
      <c r="DA128" s="421">
        <v>0</v>
      </c>
      <c r="DB128" s="421">
        <v>0</v>
      </c>
      <c r="DC128" s="421">
        <v>0</v>
      </c>
      <c r="DD128" s="421">
        <v>0</v>
      </c>
      <c r="DE128" s="421">
        <v>0</v>
      </c>
      <c r="DF128" s="421">
        <v>0</v>
      </c>
      <c r="DG128" s="421">
        <v>0</v>
      </c>
      <c r="DH128" s="421">
        <v>0</v>
      </c>
      <c r="DI128" s="421">
        <v>0</v>
      </c>
      <c r="DJ128" s="421">
        <v>0</v>
      </c>
      <c r="DK128" s="421">
        <v>0</v>
      </c>
      <c r="DL128" s="421">
        <v>0</v>
      </c>
      <c r="DM128" s="421">
        <v>0</v>
      </c>
      <c r="DN128" s="421">
        <v>0</v>
      </c>
      <c r="DO128" s="421">
        <v>0</v>
      </c>
      <c r="DP128" s="421">
        <v>0</v>
      </c>
      <c r="DQ128" s="421">
        <v>0</v>
      </c>
      <c r="DR128" s="421">
        <v>0</v>
      </c>
      <c r="DS128" s="421">
        <v>0</v>
      </c>
      <c r="DT128" s="421">
        <v>0</v>
      </c>
      <c r="DU128" s="421">
        <v>0</v>
      </c>
      <c r="DV128" s="421">
        <v>0</v>
      </c>
      <c r="DW128" s="421">
        <v>0</v>
      </c>
      <c r="DX128" s="421">
        <v>0</v>
      </c>
      <c r="DY128" s="421">
        <v>5121000</v>
      </c>
      <c r="DZ128" s="421">
        <v>5121000</v>
      </c>
      <c r="EA128" s="421">
        <v>0</v>
      </c>
      <c r="EB128" s="421">
        <v>0</v>
      </c>
      <c r="EC128" s="421" t="s">
        <v>1148</v>
      </c>
      <c r="ED128" s="421" t="s">
        <v>1167</v>
      </c>
      <c r="EE128" s="421" t="s">
        <v>1167</v>
      </c>
    </row>
    <row r="129" spans="1:135" x14ac:dyDescent="0.25">
      <c r="A129" s="421">
        <v>126</v>
      </c>
      <c r="B129" s="421">
        <v>2015</v>
      </c>
      <c r="C129" s="421">
        <v>7</v>
      </c>
      <c r="D129" s="421">
        <v>14</v>
      </c>
      <c r="E129" s="424">
        <v>42199</v>
      </c>
      <c r="F129" s="421" t="s">
        <v>2179</v>
      </c>
      <c r="G129" s="421" t="s">
        <v>2180</v>
      </c>
      <c r="H129" s="421" t="s">
        <v>1152</v>
      </c>
      <c r="I129" s="421" t="s">
        <v>1901</v>
      </c>
      <c r="J129" s="421" t="s">
        <v>1108</v>
      </c>
      <c r="K129" s="421" t="s">
        <v>1109</v>
      </c>
      <c r="L129" s="421" t="s">
        <v>1110</v>
      </c>
      <c r="M129" s="421" t="s">
        <v>2145</v>
      </c>
      <c r="N129" s="421" t="s">
        <v>2181</v>
      </c>
      <c r="O129" s="421" t="s">
        <v>1108</v>
      </c>
      <c r="R129" s="421" t="s">
        <v>1111</v>
      </c>
      <c r="S129" s="421" t="s">
        <v>1112</v>
      </c>
      <c r="T129" s="421" t="s">
        <v>1113</v>
      </c>
      <c r="U129" s="421" t="s">
        <v>1114</v>
      </c>
      <c r="V129" s="421" t="s">
        <v>1115</v>
      </c>
      <c r="W129" s="421" t="s">
        <v>1116</v>
      </c>
      <c r="X129" s="421" t="s">
        <v>1117</v>
      </c>
      <c r="Y129" s="421" t="s">
        <v>1118</v>
      </c>
      <c r="Z129" s="421" t="s">
        <v>1119</v>
      </c>
      <c r="AA129" s="421" t="s">
        <v>1120</v>
      </c>
      <c r="AB129" s="421" t="s">
        <v>1121</v>
      </c>
      <c r="AC129" s="421" t="s">
        <v>1122</v>
      </c>
      <c r="AD129" s="421" t="s">
        <v>1479</v>
      </c>
      <c r="AE129" s="421" t="s">
        <v>2182</v>
      </c>
      <c r="AF129" s="421" t="s">
        <v>2183</v>
      </c>
      <c r="AG129" s="421" t="s">
        <v>2184</v>
      </c>
      <c r="AH129" s="421">
        <v>14208</v>
      </c>
      <c r="AI129" s="421" t="s">
        <v>1189</v>
      </c>
      <c r="AJ129" s="421">
        <v>1453</v>
      </c>
      <c r="AK129" s="421">
        <v>9</v>
      </c>
      <c r="AL129" s="421" t="s">
        <v>1173</v>
      </c>
      <c r="AM129" s="421">
        <v>1690.16</v>
      </c>
      <c r="AN129" s="421">
        <v>1842.27</v>
      </c>
      <c r="AO129" s="421" t="s">
        <v>1120</v>
      </c>
      <c r="AP129" s="421" t="s">
        <v>1129</v>
      </c>
      <c r="AR129" s="421" t="s">
        <v>1130</v>
      </c>
      <c r="AT129" s="421" t="s">
        <v>1131</v>
      </c>
      <c r="AU129" s="421" t="s">
        <v>1911</v>
      </c>
      <c r="AV129" s="421" t="s">
        <v>1912</v>
      </c>
      <c r="AW129" s="421" t="s">
        <v>960</v>
      </c>
      <c r="AX129" s="421" t="s">
        <v>960</v>
      </c>
      <c r="AY129" s="421" t="s">
        <v>960</v>
      </c>
      <c r="AZ129" s="421" t="s">
        <v>1121</v>
      </c>
      <c r="BA129" s="421" t="s">
        <v>1305</v>
      </c>
      <c r="BB129" s="421" t="s">
        <v>960</v>
      </c>
      <c r="BC129" s="421" t="s">
        <v>1175</v>
      </c>
      <c r="BD129" s="421" t="s">
        <v>1306</v>
      </c>
      <c r="BE129" s="421" t="s">
        <v>2162</v>
      </c>
      <c r="BF129" s="421" t="s">
        <v>2163</v>
      </c>
      <c r="BG129" s="421" t="s">
        <v>2164</v>
      </c>
      <c r="BH129" s="421" t="s">
        <v>2165</v>
      </c>
      <c r="BI129" s="421" t="s">
        <v>1142</v>
      </c>
      <c r="BJ129" s="421" t="s">
        <v>1243</v>
      </c>
      <c r="BK129" s="421" t="s">
        <v>2180</v>
      </c>
      <c r="BL129" s="421" t="s">
        <v>2166</v>
      </c>
      <c r="BM129" s="421" t="s">
        <v>2167</v>
      </c>
      <c r="BN129" s="421" t="s">
        <v>2139</v>
      </c>
      <c r="BO129" s="421">
        <v>0</v>
      </c>
      <c r="BR129" s="421">
        <v>0</v>
      </c>
      <c r="BS129" s="421">
        <v>0</v>
      </c>
      <c r="BT129" s="421">
        <v>0</v>
      </c>
      <c r="BU129" s="424">
        <v>42158</v>
      </c>
      <c r="BX129" s="421">
        <v>2670.79</v>
      </c>
      <c r="BY129" s="421" t="s">
        <v>1183</v>
      </c>
      <c r="BZ129" s="421">
        <v>6812.36</v>
      </c>
      <c r="CA129" s="421">
        <v>18194382.964400001</v>
      </c>
      <c r="CB129" s="421">
        <v>2.72</v>
      </c>
      <c r="CC129" s="421">
        <v>0</v>
      </c>
      <c r="CD129" s="421">
        <v>326.44</v>
      </c>
      <c r="CE129" s="421">
        <v>329.16</v>
      </c>
      <c r="CF129" s="421">
        <v>0</v>
      </c>
      <c r="CG129" s="421">
        <v>7141.52</v>
      </c>
      <c r="CH129" s="421">
        <v>0</v>
      </c>
      <c r="CI129" s="421">
        <v>7141.52</v>
      </c>
      <c r="CJ129" s="421">
        <v>19073500.200800002</v>
      </c>
      <c r="CK129" s="421">
        <v>10</v>
      </c>
      <c r="CL129" s="421">
        <v>19073500</v>
      </c>
      <c r="CM129" s="421">
        <v>1907000</v>
      </c>
      <c r="CN129" s="421">
        <v>1907000</v>
      </c>
      <c r="CO129" s="421">
        <v>0</v>
      </c>
      <c r="CP129" s="421">
        <v>0</v>
      </c>
      <c r="CQ129" s="421">
        <v>16</v>
      </c>
      <c r="CR129" s="421">
        <v>20980500</v>
      </c>
      <c r="CS129" s="421">
        <v>3357000</v>
      </c>
      <c r="CT129" s="421">
        <v>3357000</v>
      </c>
      <c r="CU129" s="421">
        <v>0</v>
      </c>
      <c r="CV129" s="421">
        <v>0</v>
      </c>
      <c r="CW129" s="421">
        <v>0</v>
      </c>
      <c r="CX129" s="421">
        <v>0</v>
      </c>
      <c r="CY129" s="421">
        <v>0</v>
      </c>
      <c r="CZ129" s="421">
        <v>0</v>
      </c>
      <c r="DA129" s="421">
        <v>0</v>
      </c>
      <c r="DB129" s="421">
        <v>0</v>
      </c>
      <c r="DC129" s="421">
        <v>0</v>
      </c>
      <c r="DD129" s="421">
        <v>0</v>
      </c>
      <c r="DE129" s="421">
        <v>0</v>
      </c>
      <c r="DF129" s="421">
        <v>0</v>
      </c>
      <c r="DG129" s="421">
        <v>0</v>
      </c>
      <c r="DH129" s="421">
        <v>0</v>
      </c>
      <c r="DI129" s="421">
        <v>0</v>
      </c>
      <c r="DJ129" s="421">
        <v>0</v>
      </c>
      <c r="DK129" s="421">
        <v>0</v>
      </c>
      <c r="DL129" s="421">
        <v>0</v>
      </c>
      <c r="DM129" s="421">
        <v>0</v>
      </c>
      <c r="DN129" s="421">
        <v>0</v>
      </c>
      <c r="DO129" s="421">
        <v>0</v>
      </c>
      <c r="DP129" s="421">
        <v>0</v>
      </c>
      <c r="DQ129" s="421">
        <v>0</v>
      </c>
      <c r="DR129" s="421">
        <v>0</v>
      </c>
      <c r="DS129" s="421">
        <v>0</v>
      </c>
      <c r="DT129" s="421">
        <v>0</v>
      </c>
      <c r="DU129" s="421">
        <v>0</v>
      </c>
      <c r="DV129" s="421">
        <v>0</v>
      </c>
      <c r="DW129" s="421">
        <v>0</v>
      </c>
      <c r="DX129" s="421">
        <v>0</v>
      </c>
      <c r="DY129" s="421">
        <v>5264000</v>
      </c>
      <c r="DZ129" s="421">
        <v>5264000</v>
      </c>
      <c r="EA129" s="421">
        <v>0</v>
      </c>
      <c r="EB129" s="421">
        <v>0</v>
      </c>
      <c r="EC129" s="421" t="s">
        <v>1148</v>
      </c>
      <c r="ED129" s="421" t="s">
        <v>1167</v>
      </c>
      <c r="EE129" s="421" t="s">
        <v>1167</v>
      </c>
    </row>
    <row r="130" spans="1:135" x14ac:dyDescent="0.25">
      <c r="A130" s="421">
        <v>127</v>
      </c>
      <c r="B130" s="421">
        <v>2015</v>
      </c>
      <c r="C130" s="421">
        <v>7</v>
      </c>
      <c r="D130" s="421">
        <v>14</v>
      </c>
      <c r="E130" s="424">
        <v>42199</v>
      </c>
      <c r="F130" s="421" t="s">
        <v>2185</v>
      </c>
      <c r="G130" s="421" t="s">
        <v>2186</v>
      </c>
      <c r="H130" s="421" t="s">
        <v>1152</v>
      </c>
      <c r="I130" s="421" t="s">
        <v>1901</v>
      </c>
      <c r="J130" s="421" t="s">
        <v>1108</v>
      </c>
      <c r="K130" s="421" t="s">
        <v>1109</v>
      </c>
      <c r="L130" s="421" t="s">
        <v>1110</v>
      </c>
      <c r="M130" s="421" t="s">
        <v>2145</v>
      </c>
      <c r="N130" s="421" t="s">
        <v>2160</v>
      </c>
      <c r="O130" s="421" t="s">
        <v>1108</v>
      </c>
      <c r="R130" s="421" t="s">
        <v>1111</v>
      </c>
      <c r="S130" s="421" t="s">
        <v>1112</v>
      </c>
      <c r="T130" s="421" t="s">
        <v>1113</v>
      </c>
      <c r="U130" s="421" t="s">
        <v>1114</v>
      </c>
      <c r="V130" s="421" t="s">
        <v>1115</v>
      </c>
      <c r="W130" s="421" t="s">
        <v>1116</v>
      </c>
      <c r="X130" s="421" t="s">
        <v>1117</v>
      </c>
      <c r="Y130" s="421" t="s">
        <v>1118</v>
      </c>
      <c r="Z130" s="421" t="s">
        <v>1119</v>
      </c>
      <c r="AA130" s="421" t="s">
        <v>1120</v>
      </c>
      <c r="AB130" s="421" t="s">
        <v>1121</v>
      </c>
      <c r="AC130" s="421" t="s">
        <v>1122</v>
      </c>
      <c r="AD130" s="421" t="s">
        <v>1479</v>
      </c>
      <c r="AE130" s="421" t="s">
        <v>1632</v>
      </c>
      <c r="AF130" s="421" t="s">
        <v>1633</v>
      </c>
      <c r="AG130" s="421" t="s">
        <v>2187</v>
      </c>
      <c r="AH130" s="421">
        <v>2246.08</v>
      </c>
      <c r="AI130" s="421" t="s">
        <v>1127</v>
      </c>
      <c r="AJ130" s="421">
        <v>1453</v>
      </c>
      <c r="AK130" s="421">
        <v>9</v>
      </c>
      <c r="AL130" s="421" t="s">
        <v>1173</v>
      </c>
      <c r="AM130" s="421">
        <v>2246.08</v>
      </c>
      <c r="AN130" s="421">
        <v>2448.23</v>
      </c>
      <c r="AO130" s="421" t="s">
        <v>1120</v>
      </c>
      <c r="AP130" s="421" t="s">
        <v>1129</v>
      </c>
      <c r="AR130" s="421" t="s">
        <v>1130</v>
      </c>
      <c r="AT130" s="421" t="s">
        <v>1131</v>
      </c>
      <c r="AU130" s="421" t="s">
        <v>1911</v>
      </c>
      <c r="AV130" s="421" t="s">
        <v>1912</v>
      </c>
      <c r="AW130" s="421" t="s">
        <v>960</v>
      </c>
      <c r="AX130" s="421" t="s">
        <v>960</v>
      </c>
      <c r="AY130" s="421" t="s">
        <v>960</v>
      </c>
      <c r="AZ130" s="421" t="s">
        <v>1121</v>
      </c>
      <c r="BA130" s="421" t="s">
        <v>1305</v>
      </c>
      <c r="BB130" s="421" t="s">
        <v>960</v>
      </c>
      <c r="BC130" s="421" t="s">
        <v>1175</v>
      </c>
      <c r="BD130" s="421" t="s">
        <v>1306</v>
      </c>
      <c r="BE130" s="421" t="s">
        <v>2162</v>
      </c>
      <c r="BF130" s="421" t="s">
        <v>2163</v>
      </c>
      <c r="BG130" s="421" t="s">
        <v>2164</v>
      </c>
      <c r="BH130" s="421" t="s">
        <v>2165</v>
      </c>
      <c r="BI130" s="421" t="s">
        <v>1142</v>
      </c>
      <c r="BJ130" s="421" t="s">
        <v>1243</v>
      </c>
      <c r="BK130" s="421" t="s">
        <v>2186</v>
      </c>
      <c r="BL130" s="421" t="s">
        <v>2166</v>
      </c>
      <c r="BM130" s="421" t="s">
        <v>2167</v>
      </c>
      <c r="BN130" s="421" t="s">
        <v>2139</v>
      </c>
      <c r="BO130" s="421">
        <v>0</v>
      </c>
      <c r="BR130" s="421">
        <v>0</v>
      </c>
      <c r="BS130" s="421">
        <v>0</v>
      </c>
      <c r="BT130" s="421">
        <v>0</v>
      </c>
      <c r="BU130" s="424">
        <v>42158</v>
      </c>
      <c r="BX130" s="421">
        <v>2670.79</v>
      </c>
      <c r="BY130" s="421" t="s">
        <v>1183</v>
      </c>
      <c r="BZ130" s="421">
        <v>11832.02</v>
      </c>
      <c r="CA130" s="421">
        <v>31600840.695799999</v>
      </c>
      <c r="CB130" s="421">
        <v>4.71</v>
      </c>
      <c r="CC130" s="421">
        <v>0</v>
      </c>
      <c r="CD130" s="421">
        <v>433.77</v>
      </c>
      <c r="CE130" s="421">
        <v>438.48</v>
      </c>
      <c r="CF130" s="421">
        <v>0</v>
      </c>
      <c r="CG130" s="421">
        <v>12270.5</v>
      </c>
      <c r="CH130" s="421">
        <v>0</v>
      </c>
      <c r="CI130" s="421">
        <v>12270.5</v>
      </c>
      <c r="CJ130" s="421">
        <v>32771928.695</v>
      </c>
      <c r="CK130" s="421">
        <v>15</v>
      </c>
      <c r="CL130" s="421">
        <v>32771929</v>
      </c>
      <c r="CM130" s="421">
        <v>4916000</v>
      </c>
      <c r="CN130" s="421">
        <v>4916000</v>
      </c>
      <c r="CO130" s="421">
        <v>0</v>
      </c>
      <c r="CP130" s="421">
        <v>0</v>
      </c>
      <c r="CQ130" s="421">
        <v>16</v>
      </c>
      <c r="CR130" s="421">
        <v>37687929</v>
      </c>
      <c r="CS130" s="421">
        <v>6030000</v>
      </c>
      <c r="CT130" s="421">
        <v>6030000</v>
      </c>
      <c r="CU130" s="421">
        <v>0</v>
      </c>
      <c r="CV130" s="421">
        <v>0</v>
      </c>
      <c r="CW130" s="421">
        <v>0</v>
      </c>
      <c r="CX130" s="421">
        <v>0</v>
      </c>
      <c r="CY130" s="421">
        <v>0</v>
      </c>
      <c r="CZ130" s="421">
        <v>0</v>
      </c>
      <c r="DA130" s="421">
        <v>0</v>
      </c>
      <c r="DB130" s="421">
        <v>0</v>
      </c>
      <c r="DC130" s="421">
        <v>0</v>
      </c>
      <c r="DD130" s="421">
        <v>0</v>
      </c>
      <c r="DE130" s="421">
        <v>0</v>
      </c>
      <c r="DF130" s="421">
        <v>0</v>
      </c>
      <c r="DG130" s="421">
        <v>0</v>
      </c>
      <c r="DH130" s="421">
        <v>0</v>
      </c>
      <c r="DI130" s="421">
        <v>0</v>
      </c>
      <c r="DJ130" s="421">
        <v>0</v>
      </c>
      <c r="DK130" s="421">
        <v>0</v>
      </c>
      <c r="DL130" s="421">
        <v>0</v>
      </c>
      <c r="DM130" s="421">
        <v>0</v>
      </c>
      <c r="DN130" s="421">
        <v>0</v>
      </c>
      <c r="DO130" s="421">
        <v>0</v>
      </c>
      <c r="DP130" s="421">
        <v>0</v>
      </c>
      <c r="DQ130" s="421">
        <v>0</v>
      </c>
      <c r="DR130" s="421">
        <v>0</v>
      </c>
      <c r="DS130" s="421">
        <v>0</v>
      </c>
      <c r="DT130" s="421">
        <v>0</v>
      </c>
      <c r="DU130" s="421">
        <v>0</v>
      </c>
      <c r="DV130" s="421">
        <v>0</v>
      </c>
      <c r="DW130" s="421">
        <v>0</v>
      </c>
      <c r="DX130" s="421">
        <v>0</v>
      </c>
      <c r="DY130" s="421">
        <v>10946000</v>
      </c>
      <c r="DZ130" s="421">
        <v>10946000</v>
      </c>
      <c r="EA130" s="421">
        <v>0</v>
      </c>
      <c r="EB130" s="421">
        <v>0</v>
      </c>
      <c r="EC130" s="421" t="s">
        <v>1148</v>
      </c>
      <c r="ED130" s="421" t="s">
        <v>1167</v>
      </c>
      <c r="EE130" s="421" t="s">
        <v>1167</v>
      </c>
    </row>
    <row r="131" spans="1:135" x14ac:dyDescent="0.25">
      <c r="A131" s="421">
        <v>128</v>
      </c>
      <c r="B131" s="421">
        <v>2015</v>
      </c>
      <c r="C131" s="421">
        <v>7</v>
      </c>
      <c r="D131" s="421">
        <v>14</v>
      </c>
      <c r="E131" s="424">
        <v>42199</v>
      </c>
      <c r="F131" s="421" t="s">
        <v>2188</v>
      </c>
      <c r="G131" s="421" t="s">
        <v>2189</v>
      </c>
      <c r="H131" s="421" t="s">
        <v>1152</v>
      </c>
      <c r="I131" s="421" t="s">
        <v>1901</v>
      </c>
      <c r="J131" s="421" t="s">
        <v>1108</v>
      </c>
      <c r="K131" s="421" t="s">
        <v>1109</v>
      </c>
      <c r="L131" s="421" t="s">
        <v>1110</v>
      </c>
      <c r="M131" s="421" t="s">
        <v>2145</v>
      </c>
      <c r="N131" s="421" t="s">
        <v>2177</v>
      </c>
      <c r="O131" s="421" t="s">
        <v>1108</v>
      </c>
      <c r="R131" s="421" t="s">
        <v>1111</v>
      </c>
      <c r="S131" s="421" t="s">
        <v>1112</v>
      </c>
      <c r="T131" s="421" t="s">
        <v>1113</v>
      </c>
      <c r="U131" s="421" t="s">
        <v>1114</v>
      </c>
      <c r="V131" s="421" t="s">
        <v>1115</v>
      </c>
      <c r="W131" s="421" t="s">
        <v>1116</v>
      </c>
      <c r="X131" s="421" t="s">
        <v>1117</v>
      </c>
      <c r="Y131" s="421" t="s">
        <v>1118</v>
      </c>
      <c r="Z131" s="421" t="s">
        <v>1119</v>
      </c>
      <c r="AA131" s="421" t="s">
        <v>1120</v>
      </c>
      <c r="AB131" s="421" t="s">
        <v>1121</v>
      </c>
      <c r="AC131" s="421" t="s">
        <v>1122</v>
      </c>
      <c r="AD131" s="421" t="s">
        <v>1479</v>
      </c>
      <c r="AE131" s="421" t="s">
        <v>1512</v>
      </c>
      <c r="AF131" s="421" t="s">
        <v>1513</v>
      </c>
      <c r="AG131" s="421" t="s">
        <v>2190</v>
      </c>
      <c r="AH131" s="421">
        <v>14472</v>
      </c>
      <c r="AI131" s="421" t="s">
        <v>1189</v>
      </c>
      <c r="AJ131" s="421">
        <v>1453</v>
      </c>
      <c r="AK131" s="421">
        <v>9</v>
      </c>
      <c r="AL131" s="421" t="s">
        <v>1173</v>
      </c>
      <c r="AM131" s="421">
        <v>375.2</v>
      </c>
      <c r="AN131" s="421">
        <v>408.97</v>
      </c>
      <c r="AO131" s="421" t="s">
        <v>1120</v>
      </c>
      <c r="AP131" s="421" t="s">
        <v>1129</v>
      </c>
      <c r="AR131" s="421" t="s">
        <v>1130</v>
      </c>
      <c r="AT131" s="421" t="s">
        <v>1131</v>
      </c>
      <c r="AU131" s="421" t="s">
        <v>1911</v>
      </c>
      <c r="AV131" s="421" t="s">
        <v>1912</v>
      </c>
      <c r="AW131" s="421" t="s">
        <v>960</v>
      </c>
      <c r="AX131" s="421" t="s">
        <v>960</v>
      </c>
      <c r="AY131" s="421" t="s">
        <v>960</v>
      </c>
      <c r="AZ131" s="421" t="s">
        <v>1121</v>
      </c>
      <c r="BA131" s="421" t="s">
        <v>1305</v>
      </c>
      <c r="BB131" s="421" t="s">
        <v>960</v>
      </c>
      <c r="BC131" s="421" t="s">
        <v>1175</v>
      </c>
      <c r="BD131" s="421" t="s">
        <v>1306</v>
      </c>
      <c r="BE131" s="421" t="s">
        <v>2162</v>
      </c>
      <c r="BF131" s="421" t="s">
        <v>2163</v>
      </c>
      <c r="BG131" s="421" t="s">
        <v>2164</v>
      </c>
      <c r="BH131" s="421" t="s">
        <v>2165</v>
      </c>
      <c r="BI131" s="421" t="s">
        <v>1142</v>
      </c>
      <c r="BJ131" s="421" t="s">
        <v>1243</v>
      </c>
      <c r="BK131" s="421" t="s">
        <v>2189</v>
      </c>
      <c r="BL131" s="421" t="s">
        <v>2166</v>
      </c>
      <c r="BM131" s="421" t="s">
        <v>2167</v>
      </c>
      <c r="BN131" s="421" t="s">
        <v>2139</v>
      </c>
      <c r="BO131" s="421">
        <v>0</v>
      </c>
      <c r="BR131" s="421">
        <v>0</v>
      </c>
      <c r="BS131" s="421">
        <v>0</v>
      </c>
      <c r="BT131" s="421">
        <v>0</v>
      </c>
      <c r="BU131" s="424">
        <v>42158</v>
      </c>
      <c r="BX131" s="421">
        <v>2670.79</v>
      </c>
      <c r="BY131" s="421" t="s">
        <v>1183</v>
      </c>
      <c r="BZ131" s="421">
        <v>3104.27</v>
      </c>
      <c r="CA131" s="421">
        <v>8290853.2732999995</v>
      </c>
      <c r="CB131" s="421">
        <v>1.25</v>
      </c>
      <c r="CC131" s="421">
        <v>0</v>
      </c>
      <c r="CD131" s="421">
        <v>72.45</v>
      </c>
      <c r="CE131" s="421">
        <v>73.7</v>
      </c>
      <c r="CF131" s="421">
        <v>0</v>
      </c>
      <c r="CG131" s="421">
        <v>3177.97</v>
      </c>
      <c r="CH131" s="421">
        <v>0</v>
      </c>
      <c r="CI131" s="421">
        <v>3177.97</v>
      </c>
      <c r="CJ131" s="421">
        <v>8487690.4963000007</v>
      </c>
      <c r="CK131" s="421">
        <v>15</v>
      </c>
      <c r="CL131" s="421">
        <v>8487690</v>
      </c>
      <c r="CM131" s="421">
        <v>1273000</v>
      </c>
      <c r="CN131" s="421">
        <v>1273000</v>
      </c>
      <c r="CO131" s="421">
        <v>0</v>
      </c>
      <c r="CP131" s="421">
        <v>0</v>
      </c>
      <c r="CQ131" s="421">
        <v>16</v>
      </c>
      <c r="CR131" s="421">
        <v>9760690</v>
      </c>
      <c r="CS131" s="421">
        <v>1562000</v>
      </c>
      <c r="CT131" s="421">
        <v>1562000</v>
      </c>
      <c r="CU131" s="421">
        <v>0</v>
      </c>
      <c r="CV131" s="421">
        <v>0</v>
      </c>
      <c r="CW131" s="421">
        <v>0</v>
      </c>
      <c r="CX131" s="421">
        <v>0</v>
      </c>
      <c r="CY131" s="421">
        <v>0</v>
      </c>
      <c r="CZ131" s="421">
        <v>0</v>
      </c>
      <c r="DA131" s="421">
        <v>0</v>
      </c>
      <c r="DB131" s="421">
        <v>0</v>
      </c>
      <c r="DC131" s="421">
        <v>0</v>
      </c>
      <c r="DD131" s="421">
        <v>0</v>
      </c>
      <c r="DE131" s="421">
        <v>0</v>
      </c>
      <c r="DF131" s="421">
        <v>0</v>
      </c>
      <c r="DG131" s="421">
        <v>0</v>
      </c>
      <c r="DH131" s="421">
        <v>0</v>
      </c>
      <c r="DI131" s="421">
        <v>0</v>
      </c>
      <c r="DJ131" s="421">
        <v>0</v>
      </c>
      <c r="DK131" s="421">
        <v>0</v>
      </c>
      <c r="DL131" s="421">
        <v>0</v>
      </c>
      <c r="DM131" s="421">
        <v>0</v>
      </c>
      <c r="DN131" s="421">
        <v>0</v>
      </c>
      <c r="DO131" s="421">
        <v>0</v>
      </c>
      <c r="DP131" s="421">
        <v>0</v>
      </c>
      <c r="DQ131" s="421">
        <v>0</v>
      </c>
      <c r="DR131" s="421">
        <v>0</v>
      </c>
      <c r="DS131" s="421">
        <v>0</v>
      </c>
      <c r="DT131" s="421">
        <v>0</v>
      </c>
      <c r="DU131" s="421">
        <v>0</v>
      </c>
      <c r="DV131" s="421">
        <v>0</v>
      </c>
      <c r="DW131" s="421">
        <v>0</v>
      </c>
      <c r="DX131" s="421">
        <v>0</v>
      </c>
      <c r="DY131" s="421">
        <v>2835000</v>
      </c>
      <c r="DZ131" s="421">
        <v>2835000</v>
      </c>
      <c r="EA131" s="421">
        <v>0</v>
      </c>
      <c r="EB131" s="421">
        <v>0</v>
      </c>
      <c r="EC131" s="421" t="s">
        <v>1148</v>
      </c>
      <c r="ED131" s="421" t="s">
        <v>1167</v>
      </c>
      <c r="EE131" s="421" t="s">
        <v>1167</v>
      </c>
    </row>
    <row r="132" spans="1:135" x14ac:dyDescent="0.25">
      <c r="A132" s="421">
        <v>129</v>
      </c>
      <c r="B132" s="421">
        <v>2015</v>
      </c>
      <c r="C132" s="421">
        <v>7</v>
      </c>
      <c r="D132" s="421">
        <v>14</v>
      </c>
      <c r="E132" s="424">
        <v>42199</v>
      </c>
      <c r="F132" s="421" t="s">
        <v>2191</v>
      </c>
      <c r="G132" s="421" t="s">
        <v>2192</v>
      </c>
      <c r="H132" s="421" t="s">
        <v>1152</v>
      </c>
      <c r="I132" s="421" t="s">
        <v>1901</v>
      </c>
      <c r="J132" s="421" t="s">
        <v>1108</v>
      </c>
      <c r="K132" s="421" t="s">
        <v>1109</v>
      </c>
      <c r="L132" s="421" t="s">
        <v>1110</v>
      </c>
      <c r="M132" s="421" t="s">
        <v>2145</v>
      </c>
      <c r="N132" s="421" t="s">
        <v>2181</v>
      </c>
      <c r="O132" s="421" t="s">
        <v>1108</v>
      </c>
      <c r="R132" s="421" t="s">
        <v>1111</v>
      </c>
      <c r="S132" s="421" t="s">
        <v>1112</v>
      </c>
      <c r="T132" s="421" t="s">
        <v>1113</v>
      </c>
      <c r="U132" s="421" t="s">
        <v>1114</v>
      </c>
      <c r="V132" s="421" t="s">
        <v>1115</v>
      </c>
      <c r="W132" s="421" t="s">
        <v>1116</v>
      </c>
      <c r="X132" s="421" t="s">
        <v>1117</v>
      </c>
      <c r="Y132" s="421" t="s">
        <v>1118</v>
      </c>
      <c r="Z132" s="421" t="s">
        <v>1119</v>
      </c>
      <c r="AA132" s="421" t="s">
        <v>1120</v>
      </c>
      <c r="AB132" s="421" t="s">
        <v>1121</v>
      </c>
      <c r="AC132" s="421" t="s">
        <v>1122</v>
      </c>
      <c r="AD132" s="421" t="s">
        <v>1479</v>
      </c>
      <c r="AE132" s="421" t="s">
        <v>1249</v>
      </c>
      <c r="AF132" s="421" t="s">
        <v>1250</v>
      </c>
      <c r="AG132" s="421" t="s">
        <v>2193</v>
      </c>
      <c r="AH132" s="421">
        <v>11376</v>
      </c>
      <c r="AI132" s="421" t="s">
        <v>1189</v>
      </c>
      <c r="AJ132" s="421">
        <v>1453</v>
      </c>
      <c r="AK132" s="421">
        <v>9</v>
      </c>
      <c r="AL132" s="421" t="s">
        <v>1173</v>
      </c>
      <c r="AM132" s="421">
        <v>1738</v>
      </c>
      <c r="AN132" s="421">
        <v>1958.5</v>
      </c>
      <c r="AO132" s="421" t="s">
        <v>1120</v>
      </c>
      <c r="AP132" s="421" t="s">
        <v>1129</v>
      </c>
      <c r="AR132" s="421" t="s">
        <v>1130</v>
      </c>
      <c r="AT132" s="421" t="s">
        <v>1131</v>
      </c>
      <c r="AU132" s="421" t="s">
        <v>1911</v>
      </c>
      <c r="AV132" s="421" t="s">
        <v>1912</v>
      </c>
      <c r="AW132" s="421" t="s">
        <v>960</v>
      </c>
      <c r="AX132" s="421" t="s">
        <v>960</v>
      </c>
      <c r="AY132" s="421" t="s">
        <v>960</v>
      </c>
      <c r="AZ132" s="421" t="s">
        <v>1121</v>
      </c>
      <c r="BA132" s="421" t="s">
        <v>1305</v>
      </c>
      <c r="BB132" s="421" t="s">
        <v>960</v>
      </c>
      <c r="BC132" s="421" t="s">
        <v>1175</v>
      </c>
      <c r="BD132" s="421" t="s">
        <v>1306</v>
      </c>
      <c r="BE132" s="421" t="s">
        <v>2162</v>
      </c>
      <c r="BF132" s="421" t="s">
        <v>2163</v>
      </c>
      <c r="BG132" s="421" t="s">
        <v>2164</v>
      </c>
      <c r="BH132" s="421" t="s">
        <v>2165</v>
      </c>
      <c r="BI132" s="421" t="s">
        <v>1142</v>
      </c>
      <c r="BJ132" s="421" t="s">
        <v>1243</v>
      </c>
      <c r="BK132" s="421" t="s">
        <v>2192</v>
      </c>
      <c r="BL132" s="421" t="s">
        <v>2166</v>
      </c>
      <c r="BM132" s="421" t="s">
        <v>2167</v>
      </c>
      <c r="BN132" s="421" t="s">
        <v>2139</v>
      </c>
      <c r="BO132" s="421">
        <v>0</v>
      </c>
      <c r="BR132" s="421">
        <v>0</v>
      </c>
      <c r="BS132" s="421">
        <v>0</v>
      </c>
      <c r="BT132" s="421">
        <v>0</v>
      </c>
      <c r="BU132" s="424">
        <v>42158</v>
      </c>
      <c r="BX132" s="421">
        <v>2670.79</v>
      </c>
      <c r="BY132" s="421" t="s">
        <v>1183</v>
      </c>
      <c r="BZ132" s="421">
        <v>10191.370000000001</v>
      </c>
      <c r="CA132" s="421">
        <v>27219009.0823</v>
      </c>
      <c r="CB132" s="421">
        <v>4.0999999999999996</v>
      </c>
      <c r="CC132" s="421">
        <v>0</v>
      </c>
      <c r="CD132" s="421">
        <v>347.09</v>
      </c>
      <c r="CE132" s="421">
        <v>351.19</v>
      </c>
      <c r="CF132" s="421">
        <v>0</v>
      </c>
      <c r="CG132" s="421">
        <v>10542.56</v>
      </c>
      <c r="CH132" s="421">
        <v>0</v>
      </c>
      <c r="CI132" s="421">
        <v>10542.56</v>
      </c>
      <c r="CJ132" s="421">
        <v>28156963.8224</v>
      </c>
      <c r="CK132" s="421">
        <v>15</v>
      </c>
      <c r="CL132" s="421">
        <v>28156964</v>
      </c>
      <c r="CM132" s="421">
        <v>4224000</v>
      </c>
      <c r="CN132" s="421">
        <v>4224000</v>
      </c>
      <c r="CO132" s="421">
        <v>0</v>
      </c>
      <c r="CP132" s="421">
        <v>0</v>
      </c>
      <c r="CQ132" s="421">
        <v>16</v>
      </c>
      <c r="CR132" s="421">
        <v>32380964</v>
      </c>
      <c r="CS132" s="421">
        <v>5181000</v>
      </c>
      <c r="CT132" s="421">
        <v>5181000</v>
      </c>
      <c r="CU132" s="421">
        <v>0</v>
      </c>
      <c r="CV132" s="421">
        <v>0</v>
      </c>
      <c r="CW132" s="421">
        <v>0</v>
      </c>
      <c r="CX132" s="421">
        <v>0</v>
      </c>
      <c r="CY132" s="421">
        <v>0</v>
      </c>
      <c r="CZ132" s="421">
        <v>0</v>
      </c>
      <c r="DA132" s="421">
        <v>0</v>
      </c>
      <c r="DB132" s="421">
        <v>0</v>
      </c>
      <c r="DC132" s="421">
        <v>0</v>
      </c>
      <c r="DD132" s="421">
        <v>0</v>
      </c>
      <c r="DE132" s="421">
        <v>0</v>
      </c>
      <c r="DF132" s="421">
        <v>0</v>
      </c>
      <c r="DG132" s="421">
        <v>0</v>
      </c>
      <c r="DH132" s="421">
        <v>0</v>
      </c>
      <c r="DI132" s="421">
        <v>0</v>
      </c>
      <c r="DJ132" s="421">
        <v>0</v>
      </c>
      <c r="DK132" s="421">
        <v>0</v>
      </c>
      <c r="DL132" s="421">
        <v>0</v>
      </c>
      <c r="DM132" s="421">
        <v>0</v>
      </c>
      <c r="DN132" s="421">
        <v>0</v>
      </c>
      <c r="DO132" s="421">
        <v>0</v>
      </c>
      <c r="DP132" s="421">
        <v>0</v>
      </c>
      <c r="DQ132" s="421">
        <v>0</v>
      </c>
      <c r="DR132" s="421">
        <v>0</v>
      </c>
      <c r="DS132" s="421">
        <v>0</v>
      </c>
      <c r="DT132" s="421">
        <v>0</v>
      </c>
      <c r="DU132" s="421">
        <v>0</v>
      </c>
      <c r="DV132" s="421">
        <v>0</v>
      </c>
      <c r="DW132" s="421">
        <v>0</v>
      </c>
      <c r="DX132" s="421">
        <v>0</v>
      </c>
      <c r="DY132" s="421">
        <v>9405000</v>
      </c>
      <c r="DZ132" s="421">
        <v>9405000</v>
      </c>
      <c r="EA132" s="421">
        <v>0</v>
      </c>
      <c r="EB132" s="421">
        <v>0</v>
      </c>
      <c r="EC132" s="421" t="s">
        <v>1148</v>
      </c>
      <c r="ED132" s="421" t="s">
        <v>1167</v>
      </c>
      <c r="EE132" s="421" t="s">
        <v>1167</v>
      </c>
    </row>
    <row r="133" spans="1:135" x14ac:dyDescent="0.25">
      <c r="A133" s="421">
        <v>130</v>
      </c>
      <c r="B133" s="421">
        <v>2015</v>
      </c>
      <c r="C133" s="421">
        <v>7</v>
      </c>
      <c r="D133" s="421">
        <v>15</v>
      </c>
      <c r="E133" s="424">
        <v>42200</v>
      </c>
      <c r="F133" s="421" t="s">
        <v>2194</v>
      </c>
      <c r="G133" s="421" t="s">
        <v>2195</v>
      </c>
      <c r="H133" s="421" t="s">
        <v>1106</v>
      </c>
      <c r="I133" s="421" t="s">
        <v>1281</v>
      </c>
      <c r="J133" s="421" t="s">
        <v>1108</v>
      </c>
      <c r="K133" s="421" t="s">
        <v>1109</v>
      </c>
      <c r="L133" s="421" t="s">
        <v>1110</v>
      </c>
      <c r="O133" s="421" t="s">
        <v>1111</v>
      </c>
      <c r="R133" s="421" t="s">
        <v>1111</v>
      </c>
      <c r="S133" s="421" t="s">
        <v>1112</v>
      </c>
      <c r="T133" s="421" t="s">
        <v>1113</v>
      </c>
      <c r="U133" s="421" t="s">
        <v>1114</v>
      </c>
      <c r="V133" s="421" t="s">
        <v>1115</v>
      </c>
      <c r="W133" s="421" t="s">
        <v>1116</v>
      </c>
      <c r="X133" s="421" t="s">
        <v>1117</v>
      </c>
      <c r="Y133" s="421" t="s">
        <v>1118</v>
      </c>
      <c r="Z133" s="421" t="s">
        <v>1119</v>
      </c>
      <c r="AA133" s="421" t="s">
        <v>1120</v>
      </c>
      <c r="AB133" s="421" t="s">
        <v>1121</v>
      </c>
      <c r="AC133" s="421" t="s">
        <v>1122</v>
      </c>
      <c r="AD133" s="421" t="s">
        <v>1479</v>
      </c>
      <c r="AE133" s="421" t="s">
        <v>1153</v>
      </c>
      <c r="AF133" s="421" t="s">
        <v>1154</v>
      </c>
      <c r="AG133" s="421" t="s">
        <v>2196</v>
      </c>
      <c r="AH133" s="421">
        <v>40000</v>
      </c>
      <c r="AI133" s="421" t="s">
        <v>1127</v>
      </c>
      <c r="AJ133" s="421">
        <v>1600</v>
      </c>
      <c r="AK133" s="421">
        <v>1</v>
      </c>
      <c r="AL133" s="421" t="s">
        <v>1128</v>
      </c>
      <c r="AM133" s="421">
        <v>40000</v>
      </c>
      <c r="AN133" s="421">
        <v>40200</v>
      </c>
      <c r="AO133" s="421" t="s">
        <v>1120</v>
      </c>
      <c r="AP133" s="421" t="s">
        <v>1129</v>
      </c>
      <c r="AR133" s="421" t="s">
        <v>1130</v>
      </c>
      <c r="AT133" s="421" t="s">
        <v>1131</v>
      </c>
      <c r="AU133" s="421" t="s">
        <v>1190</v>
      </c>
      <c r="AV133" s="421" t="s">
        <v>1191</v>
      </c>
      <c r="AW133" s="421" t="s">
        <v>960</v>
      </c>
      <c r="AX133" s="421" t="s">
        <v>960</v>
      </c>
      <c r="AY133" s="421" t="s">
        <v>960</v>
      </c>
      <c r="AZ133" s="421" t="s">
        <v>1121</v>
      </c>
      <c r="BA133" s="421" t="s">
        <v>1156</v>
      </c>
      <c r="BB133" s="421" t="s">
        <v>960</v>
      </c>
      <c r="BC133" s="421" t="s">
        <v>1157</v>
      </c>
      <c r="BD133" s="421" t="s">
        <v>1158</v>
      </c>
      <c r="BE133" s="421" t="s">
        <v>1746</v>
      </c>
      <c r="BI133" s="421" t="s">
        <v>1142</v>
      </c>
      <c r="BJ133" s="421" t="s">
        <v>1342</v>
      </c>
      <c r="BK133" s="421" t="s">
        <v>2195</v>
      </c>
      <c r="BL133" s="421" t="s">
        <v>2166</v>
      </c>
      <c r="BM133" s="421" t="s">
        <v>2197</v>
      </c>
      <c r="BN133" s="421" t="s">
        <v>2129</v>
      </c>
      <c r="BO133" s="421">
        <v>0</v>
      </c>
      <c r="BR133" s="421">
        <v>0</v>
      </c>
      <c r="BS133" s="421">
        <v>0</v>
      </c>
      <c r="BT133" s="421">
        <v>0</v>
      </c>
      <c r="BU133" s="424">
        <v>38718</v>
      </c>
      <c r="BX133" s="421">
        <v>2670.79</v>
      </c>
      <c r="BY133" s="421" t="s">
        <v>1147</v>
      </c>
      <c r="BZ133" s="421">
        <v>78000</v>
      </c>
      <c r="CA133" s="421">
        <v>208321620</v>
      </c>
      <c r="CB133" s="421">
        <v>31.2</v>
      </c>
      <c r="CC133" s="421">
        <v>0</v>
      </c>
      <c r="CD133" s="421">
        <v>3560</v>
      </c>
      <c r="CE133" s="421">
        <v>3591.2</v>
      </c>
      <c r="CF133" s="421">
        <v>0</v>
      </c>
      <c r="CG133" s="421">
        <v>81591.199999999997</v>
      </c>
      <c r="CH133" s="421">
        <v>0</v>
      </c>
      <c r="CI133" s="421">
        <v>81591.199999999997</v>
      </c>
      <c r="CJ133" s="421">
        <v>217912961.04800001</v>
      </c>
      <c r="CK133" s="421">
        <v>0</v>
      </c>
      <c r="CL133" s="421">
        <v>217912961</v>
      </c>
      <c r="CM133" s="421">
        <v>0</v>
      </c>
      <c r="CN133" s="421">
        <v>0</v>
      </c>
      <c r="CO133" s="421">
        <v>0</v>
      </c>
      <c r="CP133" s="421">
        <v>0</v>
      </c>
      <c r="CQ133" s="421">
        <v>16</v>
      </c>
      <c r="CR133" s="421">
        <v>217912961</v>
      </c>
      <c r="CS133" s="421">
        <v>34866000</v>
      </c>
      <c r="CT133" s="421">
        <v>34866000</v>
      </c>
      <c r="CU133" s="421">
        <v>0</v>
      </c>
      <c r="CV133" s="421">
        <v>0</v>
      </c>
      <c r="CW133" s="421">
        <v>0</v>
      </c>
      <c r="CX133" s="421">
        <v>0</v>
      </c>
      <c r="CY133" s="421">
        <v>0</v>
      </c>
      <c r="CZ133" s="421">
        <v>0</v>
      </c>
      <c r="DA133" s="421">
        <v>0</v>
      </c>
      <c r="DB133" s="421">
        <v>0</v>
      </c>
      <c r="DC133" s="421">
        <v>0</v>
      </c>
      <c r="DD133" s="421">
        <v>0</v>
      </c>
      <c r="DE133" s="421">
        <v>0</v>
      </c>
      <c r="DF133" s="421">
        <v>0</v>
      </c>
      <c r="DG133" s="421">
        <v>0</v>
      </c>
      <c r="DH133" s="421">
        <v>0</v>
      </c>
      <c r="DI133" s="421">
        <v>0</v>
      </c>
      <c r="DJ133" s="421">
        <v>0</v>
      </c>
      <c r="DK133" s="421">
        <v>0</v>
      </c>
      <c r="DL133" s="421">
        <v>0</v>
      </c>
      <c r="DM133" s="421">
        <v>0</v>
      </c>
      <c r="DN133" s="421">
        <v>0</v>
      </c>
      <c r="DO133" s="421">
        <v>0</v>
      </c>
      <c r="DP133" s="421">
        <v>0</v>
      </c>
      <c r="DQ133" s="421">
        <v>0</v>
      </c>
      <c r="DR133" s="421">
        <v>0</v>
      </c>
      <c r="DS133" s="421">
        <v>0</v>
      </c>
      <c r="DT133" s="421">
        <v>0</v>
      </c>
      <c r="DU133" s="421">
        <v>0</v>
      </c>
      <c r="DV133" s="421">
        <v>0</v>
      </c>
      <c r="DW133" s="421">
        <v>0</v>
      </c>
      <c r="DX133" s="421">
        <v>0</v>
      </c>
      <c r="DY133" s="421">
        <v>34866000</v>
      </c>
      <c r="DZ133" s="421">
        <v>34866000</v>
      </c>
      <c r="EA133" s="421">
        <v>0</v>
      </c>
      <c r="EB133" s="421">
        <v>0</v>
      </c>
      <c r="EC133" s="421" t="s">
        <v>1148</v>
      </c>
      <c r="ED133" s="421" t="s">
        <v>1167</v>
      </c>
      <c r="EE133" s="421" t="s">
        <v>1167</v>
      </c>
    </row>
    <row r="134" spans="1:135" x14ac:dyDescent="0.25">
      <c r="A134" s="421">
        <v>131</v>
      </c>
      <c r="B134" s="421">
        <v>2015</v>
      </c>
      <c r="C134" s="421">
        <v>7</v>
      </c>
      <c r="D134" s="421">
        <v>16</v>
      </c>
      <c r="E134" s="424">
        <v>42201</v>
      </c>
      <c r="F134" s="421" t="s">
        <v>2198</v>
      </c>
      <c r="G134" s="421" t="s">
        <v>2199</v>
      </c>
      <c r="H134" s="421" t="s">
        <v>1106</v>
      </c>
      <c r="I134" s="421" t="s">
        <v>1281</v>
      </c>
      <c r="J134" s="421" t="s">
        <v>1108</v>
      </c>
      <c r="K134" s="421" t="s">
        <v>1109</v>
      </c>
      <c r="L134" s="421" t="s">
        <v>1110</v>
      </c>
      <c r="O134" s="421" t="s">
        <v>1111</v>
      </c>
      <c r="R134" s="421" t="s">
        <v>1111</v>
      </c>
      <c r="S134" s="421" t="s">
        <v>1112</v>
      </c>
      <c r="T134" s="421" t="s">
        <v>1113</v>
      </c>
      <c r="U134" s="421" t="s">
        <v>1114</v>
      </c>
      <c r="V134" s="421" t="s">
        <v>1115</v>
      </c>
      <c r="W134" s="421" t="s">
        <v>1116</v>
      </c>
      <c r="X134" s="421" t="s">
        <v>1117</v>
      </c>
      <c r="Y134" s="421" t="s">
        <v>1118</v>
      </c>
      <c r="Z134" s="421" t="s">
        <v>1119</v>
      </c>
      <c r="AA134" s="421" t="s">
        <v>1120</v>
      </c>
      <c r="AB134" s="421" t="s">
        <v>1121</v>
      </c>
      <c r="AC134" s="421" t="s">
        <v>1122</v>
      </c>
      <c r="AD134" s="421" t="s">
        <v>1479</v>
      </c>
      <c r="AE134" s="421" t="s">
        <v>1387</v>
      </c>
      <c r="AF134" s="421" t="s">
        <v>1388</v>
      </c>
      <c r="AG134" s="421" t="s">
        <v>2200</v>
      </c>
      <c r="AH134" s="421">
        <v>37350</v>
      </c>
      <c r="AI134" s="421" t="s">
        <v>1189</v>
      </c>
      <c r="AJ134" s="421">
        <v>415</v>
      </c>
      <c r="AK134" s="421">
        <v>1</v>
      </c>
      <c r="AL134" s="421" t="s">
        <v>1173</v>
      </c>
      <c r="AM134" s="421">
        <v>3486</v>
      </c>
      <c r="AN134" s="421">
        <v>4357.5</v>
      </c>
      <c r="AO134" s="421" t="s">
        <v>1120</v>
      </c>
      <c r="AP134" s="421" t="s">
        <v>1129</v>
      </c>
      <c r="AR134" s="421" t="s">
        <v>1130</v>
      </c>
      <c r="AT134" s="421" t="s">
        <v>1131</v>
      </c>
      <c r="AU134" s="421" t="s">
        <v>1190</v>
      </c>
      <c r="AV134" s="421" t="s">
        <v>1191</v>
      </c>
      <c r="AW134" s="421" t="s">
        <v>960</v>
      </c>
      <c r="AX134" s="421" t="s">
        <v>960</v>
      </c>
      <c r="AY134" s="421" t="s">
        <v>960</v>
      </c>
      <c r="AZ134" s="421" t="s">
        <v>1121</v>
      </c>
      <c r="BA134" s="421" t="s">
        <v>1652</v>
      </c>
      <c r="BB134" s="421" t="s">
        <v>960</v>
      </c>
      <c r="BC134" s="421" t="s">
        <v>1377</v>
      </c>
      <c r="BD134" s="421" t="s">
        <v>1653</v>
      </c>
      <c r="BE134" s="421" t="s">
        <v>1654</v>
      </c>
      <c r="BI134" s="421" t="s">
        <v>1142</v>
      </c>
      <c r="BJ134" s="421" t="s">
        <v>1180</v>
      </c>
      <c r="BK134" s="421" t="s">
        <v>2199</v>
      </c>
      <c r="BL134" s="421" t="s">
        <v>2201</v>
      </c>
      <c r="BM134" s="421" t="s">
        <v>2202</v>
      </c>
      <c r="BN134" s="421" t="s">
        <v>2010</v>
      </c>
      <c r="BO134" s="421">
        <v>0</v>
      </c>
      <c r="BR134" s="421">
        <v>0</v>
      </c>
      <c r="BS134" s="421">
        <v>0</v>
      </c>
      <c r="BT134" s="421">
        <v>0</v>
      </c>
      <c r="BU134" s="424">
        <v>38718</v>
      </c>
      <c r="BX134" s="421">
        <v>2670.79</v>
      </c>
      <c r="BY134" s="421" t="s">
        <v>1183</v>
      </c>
      <c r="BZ134" s="421">
        <v>19048.5</v>
      </c>
      <c r="CA134" s="421">
        <v>50874543.314999998</v>
      </c>
      <c r="CB134" s="421">
        <v>7.62</v>
      </c>
      <c r="CC134" s="421">
        <v>0</v>
      </c>
      <c r="CD134" s="421">
        <v>1780</v>
      </c>
      <c r="CE134" s="421">
        <v>1787.62</v>
      </c>
      <c r="CF134" s="421">
        <v>0</v>
      </c>
      <c r="CG134" s="421">
        <v>20836.12</v>
      </c>
      <c r="CH134" s="421">
        <v>0</v>
      </c>
      <c r="CI134" s="421">
        <v>20836.12</v>
      </c>
      <c r="CJ134" s="421">
        <v>55648900.934799999</v>
      </c>
      <c r="CK134" s="421">
        <v>0</v>
      </c>
      <c r="CL134" s="421">
        <v>55648901</v>
      </c>
      <c r="CM134" s="421">
        <v>0</v>
      </c>
      <c r="CN134" s="421">
        <v>0</v>
      </c>
      <c r="CO134" s="421">
        <v>0</v>
      </c>
      <c r="CP134" s="421">
        <v>0</v>
      </c>
      <c r="CQ134" s="421">
        <v>16</v>
      </c>
      <c r="CR134" s="421">
        <v>55648901</v>
      </c>
      <c r="CS134" s="421">
        <v>8904000</v>
      </c>
      <c r="CT134" s="421">
        <v>8904000</v>
      </c>
      <c r="CU134" s="421">
        <v>0</v>
      </c>
      <c r="CV134" s="421">
        <v>0</v>
      </c>
      <c r="CW134" s="421">
        <v>0</v>
      </c>
      <c r="CX134" s="421">
        <v>0</v>
      </c>
      <c r="CY134" s="421">
        <v>0</v>
      </c>
      <c r="CZ134" s="421">
        <v>0</v>
      </c>
      <c r="DA134" s="421">
        <v>0</v>
      </c>
      <c r="DB134" s="421">
        <v>0</v>
      </c>
      <c r="DC134" s="421">
        <v>0</v>
      </c>
      <c r="DD134" s="421">
        <v>0</v>
      </c>
      <c r="DE134" s="421">
        <v>0</v>
      </c>
      <c r="DF134" s="421">
        <v>0</v>
      </c>
      <c r="DG134" s="421">
        <v>0</v>
      </c>
      <c r="DH134" s="421">
        <v>0</v>
      </c>
      <c r="DI134" s="421">
        <v>0</v>
      </c>
      <c r="DJ134" s="421">
        <v>0</v>
      </c>
      <c r="DK134" s="421">
        <v>0</v>
      </c>
      <c r="DL134" s="421">
        <v>0</v>
      </c>
      <c r="DM134" s="421">
        <v>0</v>
      </c>
      <c r="DN134" s="421">
        <v>0</v>
      </c>
      <c r="DO134" s="421">
        <v>0</v>
      </c>
      <c r="DP134" s="421">
        <v>0</v>
      </c>
      <c r="DQ134" s="421">
        <v>0</v>
      </c>
      <c r="DR134" s="421">
        <v>0</v>
      </c>
      <c r="DS134" s="421">
        <v>0</v>
      </c>
      <c r="DT134" s="421">
        <v>0</v>
      </c>
      <c r="DU134" s="421">
        <v>0</v>
      </c>
      <c r="DV134" s="421">
        <v>0</v>
      </c>
      <c r="DW134" s="421">
        <v>0</v>
      </c>
      <c r="DX134" s="421">
        <v>0</v>
      </c>
      <c r="DY134" s="421">
        <v>8904000</v>
      </c>
      <c r="DZ134" s="421">
        <v>8904000</v>
      </c>
      <c r="EA134" s="421">
        <v>0</v>
      </c>
      <c r="EB134" s="421">
        <v>0</v>
      </c>
      <c r="EC134" s="421" t="s">
        <v>1148</v>
      </c>
      <c r="ED134" s="421" t="s">
        <v>1167</v>
      </c>
      <c r="EE134" s="421" t="s">
        <v>1167</v>
      </c>
    </row>
    <row r="135" spans="1:135" x14ac:dyDescent="0.25">
      <c r="A135" s="421">
        <v>132</v>
      </c>
      <c r="B135" s="421">
        <v>2015</v>
      </c>
      <c r="C135" s="421">
        <v>7</v>
      </c>
      <c r="D135" s="421">
        <v>17</v>
      </c>
      <c r="E135" s="424">
        <v>42202</v>
      </c>
      <c r="F135" s="421" t="s">
        <v>2203</v>
      </c>
      <c r="G135" s="421" t="s">
        <v>2204</v>
      </c>
      <c r="H135" s="421" t="s">
        <v>1152</v>
      </c>
      <c r="I135" s="421" t="s">
        <v>1281</v>
      </c>
      <c r="J135" s="421" t="s">
        <v>1108</v>
      </c>
      <c r="K135" s="421" t="s">
        <v>1202</v>
      </c>
      <c r="L135" s="421" t="s">
        <v>1110</v>
      </c>
      <c r="O135" s="421" t="s">
        <v>1111</v>
      </c>
      <c r="R135" s="421" t="s">
        <v>1111</v>
      </c>
      <c r="S135" s="421" t="s">
        <v>1112</v>
      </c>
      <c r="T135" s="421" t="s">
        <v>1113</v>
      </c>
      <c r="U135" s="421" t="s">
        <v>1114</v>
      </c>
      <c r="V135" s="421" t="s">
        <v>1115</v>
      </c>
      <c r="W135" s="421" t="s">
        <v>1116</v>
      </c>
      <c r="X135" s="421" t="s">
        <v>1117</v>
      </c>
      <c r="Y135" s="421" t="s">
        <v>1118</v>
      </c>
      <c r="Z135" s="421" t="s">
        <v>1119</v>
      </c>
      <c r="AA135" s="421" t="s">
        <v>1120</v>
      </c>
      <c r="AB135" s="421" t="s">
        <v>1121</v>
      </c>
      <c r="AC135" s="421" t="s">
        <v>1122</v>
      </c>
      <c r="AD135" s="421" t="s">
        <v>1479</v>
      </c>
      <c r="AE135" s="421" t="s">
        <v>1203</v>
      </c>
      <c r="AF135" s="421" t="s">
        <v>1204</v>
      </c>
      <c r="AG135" s="421" t="s">
        <v>2205</v>
      </c>
      <c r="AH135" s="421">
        <v>43000</v>
      </c>
      <c r="AI135" s="421" t="s">
        <v>1127</v>
      </c>
      <c r="AJ135" s="421">
        <v>2</v>
      </c>
      <c r="AK135" s="421">
        <v>1</v>
      </c>
      <c r="AL135" s="421" t="s">
        <v>1283</v>
      </c>
      <c r="AM135" s="421">
        <v>43000</v>
      </c>
      <c r="AN135" s="421">
        <v>43485</v>
      </c>
      <c r="AO135" s="421" t="s">
        <v>1120</v>
      </c>
      <c r="AP135" s="421" t="s">
        <v>1129</v>
      </c>
      <c r="AR135" s="421" t="s">
        <v>1130</v>
      </c>
      <c r="AT135" s="421" t="s">
        <v>1131</v>
      </c>
      <c r="AU135" s="421" t="s">
        <v>1190</v>
      </c>
      <c r="AV135" s="421" t="s">
        <v>1191</v>
      </c>
      <c r="AW135" s="421" t="s">
        <v>1207</v>
      </c>
      <c r="AX135" s="421" t="s">
        <v>1207</v>
      </c>
      <c r="AY135" s="421" t="s">
        <v>1208</v>
      </c>
      <c r="AZ135" s="421" t="s">
        <v>1121</v>
      </c>
      <c r="BA135" s="421" t="s">
        <v>1209</v>
      </c>
      <c r="BB135" s="421" t="s">
        <v>1208</v>
      </c>
      <c r="BC135" s="421" t="s">
        <v>1210</v>
      </c>
      <c r="BD135" s="421" t="s">
        <v>1211</v>
      </c>
      <c r="BE135" s="421" t="s">
        <v>1212</v>
      </c>
      <c r="BI135" s="421" t="s">
        <v>1142</v>
      </c>
      <c r="BJ135" s="421" t="s">
        <v>1275</v>
      </c>
      <c r="BK135" s="421" t="s">
        <v>2204</v>
      </c>
      <c r="BL135" s="421" t="s">
        <v>2206</v>
      </c>
      <c r="BM135" s="421" t="s">
        <v>2207</v>
      </c>
      <c r="BN135" s="421" t="s">
        <v>2208</v>
      </c>
      <c r="BO135" s="421">
        <v>0</v>
      </c>
      <c r="BR135" s="421">
        <v>0</v>
      </c>
      <c r="BS135" s="421">
        <v>0</v>
      </c>
      <c r="BT135" s="421">
        <v>0</v>
      </c>
      <c r="BU135" s="424">
        <v>38718</v>
      </c>
      <c r="BX135" s="421">
        <v>2670.79</v>
      </c>
      <c r="BY135" s="421" t="s">
        <v>1147</v>
      </c>
      <c r="BZ135" s="421">
        <v>81700</v>
      </c>
      <c r="CA135" s="421">
        <v>218203543</v>
      </c>
      <c r="CB135" s="421">
        <v>32.68</v>
      </c>
      <c r="CC135" s="421">
        <v>0</v>
      </c>
      <c r="CD135" s="421">
        <v>2514</v>
      </c>
      <c r="CE135" s="421">
        <v>2546.6799999999998</v>
      </c>
      <c r="CF135" s="421">
        <v>0</v>
      </c>
      <c r="CG135" s="421">
        <v>84246.68</v>
      </c>
      <c r="CH135" s="421">
        <v>0</v>
      </c>
      <c r="CI135" s="421">
        <v>84246.68</v>
      </c>
      <c r="CJ135" s="421">
        <v>225005190.4772</v>
      </c>
      <c r="CK135" s="421">
        <v>0</v>
      </c>
      <c r="CL135" s="421">
        <v>225005190</v>
      </c>
      <c r="CM135" s="421">
        <v>0</v>
      </c>
      <c r="CN135" s="421">
        <v>0</v>
      </c>
      <c r="CO135" s="421">
        <v>0</v>
      </c>
      <c r="CP135" s="421">
        <v>0</v>
      </c>
      <c r="CQ135" s="421">
        <v>0</v>
      </c>
      <c r="CR135" s="421">
        <v>225005190</v>
      </c>
      <c r="CS135" s="421">
        <v>0</v>
      </c>
      <c r="CT135" s="421">
        <v>0</v>
      </c>
      <c r="CU135" s="421">
        <v>0</v>
      </c>
      <c r="CV135" s="421">
        <v>0</v>
      </c>
      <c r="CW135" s="421">
        <v>0</v>
      </c>
      <c r="CX135" s="421">
        <v>0</v>
      </c>
      <c r="CY135" s="421">
        <v>0</v>
      </c>
      <c r="CZ135" s="421">
        <v>0</v>
      </c>
      <c r="DA135" s="421">
        <v>0</v>
      </c>
      <c r="DB135" s="421">
        <v>0</v>
      </c>
      <c r="DC135" s="421">
        <v>0</v>
      </c>
      <c r="DD135" s="421">
        <v>0</v>
      </c>
      <c r="DE135" s="421">
        <v>0</v>
      </c>
      <c r="DF135" s="421">
        <v>0</v>
      </c>
      <c r="DG135" s="421">
        <v>0</v>
      </c>
      <c r="DH135" s="421">
        <v>0</v>
      </c>
      <c r="DI135" s="421">
        <v>0</v>
      </c>
      <c r="DJ135" s="421">
        <v>0</v>
      </c>
      <c r="DK135" s="421">
        <v>0</v>
      </c>
      <c r="DL135" s="421">
        <v>0</v>
      </c>
      <c r="DM135" s="421">
        <v>0</v>
      </c>
      <c r="DN135" s="421">
        <v>0</v>
      </c>
      <c r="DO135" s="421">
        <v>0</v>
      </c>
      <c r="DP135" s="421">
        <v>0</v>
      </c>
      <c r="DQ135" s="421">
        <v>0</v>
      </c>
      <c r="DR135" s="421">
        <v>0</v>
      </c>
      <c r="DS135" s="421">
        <v>0</v>
      </c>
      <c r="DT135" s="421">
        <v>0</v>
      </c>
      <c r="DU135" s="421">
        <v>0</v>
      </c>
      <c r="DV135" s="421">
        <v>0</v>
      </c>
      <c r="DW135" s="421">
        <v>0</v>
      </c>
      <c r="DX135" s="421">
        <v>0</v>
      </c>
      <c r="DY135" s="421">
        <v>0</v>
      </c>
      <c r="DZ135" s="421">
        <v>0</v>
      </c>
      <c r="EA135" s="421">
        <v>0</v>
      </c>
      <c r="EB135" s="421">
        <v>0</v>
      </c>
      <c r="EC135" s="421" t="s">
        <v>1148</v>
      </c>
      <c r="ED135" s="421" t="s">
        <v>1149</v>
      </c>
      <c r="EE135" s="421" t="s">
        <v>1149</v>
      </c>
    </row>
    <row r="136" spans="1:135" x14ac:dyDescent="0.25">
      <c r="A136" s="421">
        <v>133</v>
      </c>
      <c r="B136" s="421">
        <v>2015</v>
      </c>
      <c r="C136" s="421">
        <v>7</v>
      </c>
      <c r="D136" s="421">
        <v>18</v>
      </c>
      <c r="E136" s="424">
        <v>42203</v>
      </c>
      <c r="F136" s="421" t="s">
        <v>2209</v>
      </c>
      <c r="G136" s="421" t="s">
        <v>2210</v>
      </c>
      <c r="H136" s="421" t="s">
        <v>1152</v>
      </c>
      <c r="I136" s="421" t="s">
        <v>1281</v>
      </c>
      <c r="J136" s="421" t="s">
        <v>1108</v>
      </c>
      <c r="K136" s="421" t="s">
        <v>1202</v>
      </c>
      <c r="L136" s="421" t="s">
        <v>1110</v>
      </c>
      <c r="O136" s="421" t="s">
        <v>1111</v>
      </c>
      <c r="R136" s="421" t="s">
        <v>1111</v>
      </c>
      <c r="S136" s="421" t="s">
        <v>1112</v>
      </c>
      <c r="T136" s="421" t="s">
        <v>1113</v>
      </c>
      <c r="U136" s="421" t="s">
        <v>1114</v>
      </c>
      <c r="V136" s="421" t="s">
        <v>1115</v>
      </c>
      <c r="W136" s="421" t="s">
        <v>1116</v>
      </c>
      <c r="X136" s="421" t="s">
        <v>1117</v>
      </c>
      <c r="Y136" s="421" t="s">
        <v>1118</v>
      </c>
      <c r="Z136" s="421" t="s">
        <v>1119</v>
      </c>
      <c r="AA136" s="421" t="s">
        <v>1120</v>
      </c>
      <c r="AB136" s="421" t="s">
        <v>1121</v>
      </c>
      <c r="AC136" s="421" t="s">
        <v>1122</v>
      </c>
      <c r="AD136" s="421" t="s">
        <v>1479</v>
      </c>
      <c r="AE136" s="421" t="s">
        <v>1203</v>
      </c>
      <c r="AF136" s="421" t="s">
        <v>1204</v>
      </c>
      <c r="AG136" s="421" t="s">
        <v>2211</v>
      </c>
      <c r="AH136" s="421">
        <v>21500</v>
      </c>
      <c r="AI136" s="421" t="s">
        <v>1127</v>
      </c>
      <c r="AJ136" s="421">
        <v>1</v>
      </c>
      <c r="AK136" s="421">
        <v>1</v>
      </c>
      <c r="AL136" s="421" t="s">
        <v>1283</v>
      </c>
      <c r="AM136" s="421">
        <v>21500</v>
      </c>
      <c r="AN136" s="421">
        <v>21743</v>
      </c>
      <c r="AO136" s="421" t="s">
        <v>1120</v>
      </c>
      <c r="AP136" s="421" t="s">
        <v>1129</v>
      </c>
      <c r="AR136" s="421" t="s">
        <v>1130</v>
      </c>
      <c r="AT136" s="421" t="s">
        <v>1131</v>
      </c>
      <c r="AU136" s="421" t="s">
        <v>1190</v>
      </c>
      <c r="AV136" s="421" t="s">
        <v>1191</v>
      </c>
      <c r="AW136" s="421" t="s">
        <v>1207</v>
      </c>
      <c r="AX136" s="421" t="s">
        <v>1207</v>
      </c>
      <c r="AY136" s="421" t="s">
        <v>1208</v>
      </c>
      <c r="AZ136" s="421" t="s">
        <v>1121</v>
      </c>
      <c r="BA136" s="421" t="s">
        <v>1209</v>
      </c>
      <c r="BB136" s="421" t="s">
        <v>1208</v>
      </c>
      <c r="BC136" s="421" t="s">
        <v>1210</v>
      </c>
      <c r="BD136" s="421" t="s">
        <v>1211</v>
      </c>
      <c r="BE136" s="421" t="s">
        <v>1212</v>
      </c>
      <c r="BI136" s="421" t="s">
        <v>1142</v>
      </c>
      <c r="BJ136" s="421" t="s">
        <v>1180</v>
      </c>
      <c r="BK136" s="421" t="s">
        <v>2210</v>
      </c>
      <c r="BL136" s="421" t="s">
        <v>2206</v>
      </c>
      <c r="BM136" s="421" t="s">
        <v>2212</v>
      </c>
      <c r="BN136" s="421" t="s">
        <v>2100</v>
      </c>
      <c r="BO136" s="421">
        <v>0</v>
      </c>
      <c r="BR136" s="421">
        <v>0</v>
      </c>
      <c r="BS136" s="421">
        <v>0</v>
      </c>
      <c r="BT136" s="421">
        <v>0</v>
      </c>
      <c r="BU136" s="424">
        <v>38718</v>
      </c>
      <c r="BX136" s="421">
        <v>2670.79</v>
      </c>
      <c r="BY136" s="421" t="s">
        <v>1147</v>
      </c>
      <c r="BZ136" s="421">
        <v>40850</v>
      </c>
      <c r="CA136" s="421">
        <v>109101771.5</v>
      </c>
      <c r="CB136" s="421">
        <v>16.34</v>
      </c>
      <c r="CC136" s="421">
        <v>0</v>
      </c>
      <c r="CD136" s="421">
        <v>930</v>
      </c>
      <c r="CE136" s="421">
        <v>946.34</v>
      </c>
      <c r="CF136" s="421">
        <v>0</v>
      </c>
      <c r="CG136" s="421">
        <v>41796.339999999997</v>
      </c>
      <c r="CH136" s="421">
        <v>0</v>
      </c>
      <c r="CI136" s="421">
        <v>41796.339999999997</v>
      </c>
      <c r="CJ136" s="421">
        <v>111629246.9086</v>
      </c>
      <c r="CK136" s="421">
        <v>0</v>
      </c>
      <c r="CL136" s="421">
        <v>111629247</v>
      </c>
      <c r="CM136" s="421">
        <v>0</v>
      </c>
      <c r="CN136" s="421">
        <v>0</v>
      </c>
      <c r="CO136" s="421">
        <v>0</v>
      </c>
      <c r="CP136" s="421">
        <v>0</v>
      </c>
      <c r="CQ136" s="421">
        <v>0</v>
      </c>
      <c r="CR136" s="421">
        <v>111629247</v>
      </c>
      <c r="CS136" s="421">
        <v>0</v>
      </c>
      <c r="CT136" s="421">
        <v>0</v>
      </c>
      <c r="CU136" s="421">
        <v>0</v>
      </c>
      <c r="CV136" s="421">
        <v>0</v>
      </c>
      <c r="CW136" s="421">
        <v>0</v>
      </c>
      <c r="CX136" s="421">
        <v>0</v>
      </c>
      <c r="CY136" s="421">
        <v>0</v>
      </c>
      <c r="CZ136" s="421">
        <v>0</v>
      </c>
      <c r="DA136" s="421">
        <v>0</v>
      </c>
      <c r="DB136" s="421">
        <v>0</v>
      </c>
      <c r="DC136" s="421">
        <v>0</v>
      </c>
      <c r="DD136" s="421">
        <v>0</v>
      </c>
      <c r="DE136" s="421">
        <v>0</v>
      </c>
      <c r="DF136" s="421">
        <v>0</v>
      </c>
      <c r="DG136" s="421">
        <v>0</v>
      </c>
      <c r="DH136" s="421">
        <v>0</v>
      </c>
      <c r="DI136" s="421">
        <v>0</v>
      </c>
      <c r="DJ136" s="421">
        <v>0</v>
      </c>
      <c r="DK136" s="421">
        <v>0</v>
      </c>
      <c r="DL136" s="421">
        <v>0</v>
      </c>
      <c r="DM136" s="421">
        <v>0</v>
      </c>
      <c r="DN136" s="421">
        <v>0</v>
      </c>
      <c r="DO136" s="421">
        <v>0</v>
      </c>
      <c r="DP136" s="421">
        <v>0</v>
      </c>
      <c r="DQ136" s="421">
        <v>0</v>
      </c>
      <c r="DR136" s="421">
        <v>0</v>
      </c>
      <c r="DS136" s="421">
        <v>0</v>
      </c>
      <c r="DT136" s="421">
        <v>0</v>
      </c>
      <c r="DU136" s="421">
        <v>0</v>
      </c>
      <c r="DV136" s="421">
        <v>0</v>
      </c>
      <c r="DW136" s="421">
        <v>0</v>
      </c>
      <c r="DX136" s="421">
        <v>0</v>
      </c>
      <c r="DY136" s="421">
        <v>0</v>
      </c>
      <c r="DZ136" s="421">
        <v>0</v>
      </c>
      <c r="EA136" s="421">
        <v>0</v>
      </c>
      <c r="EB136" s="421">
        <v>0</v>
      </c>
      <c r="EC136" s="421" t="s">
        <v>1148</v>
      </c>
      <c r="ED136" s="421" t="s">
        <v>1149</v>
      </c>
      <c r="EE136" s="421" t="s">
        <v>1149</v>
      </c>
    </row>
    <row r="137" spans="1:135" x14ac:dyDescent="0.25">
      <c r="A137" s="421">
        <v>134</v>
      </c>
      <c r="B137" s="421">
        <v>2015</v>
      </c>
      <c r="C137" s="421">
        <v>7</v>
      </c>
      <c r="D137" s="421">
        <v>22</v>
      </c>
      <c r="E137" s="424">
        <v>42207</v>
      </c>
      <c r="F137" s="421" t="s">
        <v>2213</v>
      </c>
      <c r="G137" s="421" t="s">
        <v>2214</v>
      </c>
      <c r="H137" s="421" t="s">
        <v>1152</v>
      </c>
      <c r="I137" s="421" t="s">
        <v>1281</v>
      </c>
      <c r="J137" s="421" t="s">
        <v>1108</v>
      </c>
      <c r="K137" s="421" t="s">
        <v>1109</v>
      </c>
      <c r="L137" s="421" t="s">
        <v>1110</v>
      </c>
      <c r="O137" s="421" t="s">
        <v>1111</v>
      </c>
      <c r="R137" s="421" t="s">
        <v>1111</v>
      </c>
      <c r="S137" s="421" t="s">
        <v>1112</v>
      </c>
      <c r="T137" s="421" t="s">
        <v>1113</v>
      </c>
      <c r="U137" s="421" t="s">
        <v>1114</v>
      </c>
      <c r="V137" s="421" t="s">
        <v>1115</v>
      </c>
      <c r="W137" s="421" t="s">
        <v>1116</v>
      </c>
      <c r="X137" s="421" t="s">
        <v>1117</v>
      </c>
      <c r="Y137" s="421" t="s">
        <v>1118</v>
      </c>
      <c r="Z137" s="421" t="s">
        <v>1119</v>
      </c>
      <c r="AA137" s="421" t="s">
        <v>1120</v>
      </c>
      <c r="AB137" s="421" t="s">
        <v>1121</v>
      </c>
      <c r="AC137" s="421" t="s">
        <v>1122</v>
      </c>
      <c r="AD137" s="421" t="s">
        <v>1479</v>
      </c>
      <c r="AE137" s="421" t="s">
        <v>2215</v>
      </c>
      <c r="AF137" s="421" t="s">
        <v>2216</v>
      </c>
      <c r="AG137" s="421" t="s">
        <v>2217</v>
      </c>
      <c r="AH137" s="421">
        <v>31.41</v>
      </c>
      <c r="AI137" s="421" t="s">
        <v>1127</v>
      </c>
      <c r="AJ137" s="421">
        <v>2</v>
      </c>
      <c r="AK137" s="421">
        <v>1</v>
      </c>
      <c r="AL137" s="421" t="s">
        <v>1335</v>
      </c>
      <c r="AM137" s="421">
        <v>31.41</v>
      </c>
      <c r="AN137" s="421">
        <v>34.9</v>
      </c>
      <c r="AO137" s="421" t="s">
        <v>1120</v>
      </c>
      <c r="AP137" s="421" t="s">
        <v>1129</v>
      </c>
      <c r="AR137" s="421" t="s">
        <v>1130</v>
      </c>
      <c r="AT137" s="421" t="s">
        <v>1131</v>
      </c>
      <c r="AU137" s="421" t="s">
        <v>1190</v>
      </c>
      <c r="AV137" s="421" t="s">
        <v>1191</v>
      </c>
      <c r="AW137" s="421" t="s">
        <v>962</v>
      </c>
      <c r="AX137" s="421" t="s">
        <v>962</v>
      </c>
      <c r="AY137" s="421" t="s">
        <v>962</v>
      </c>
      <c r="AZ137" s="421" t="s">
        <v>1121</v>
      </c>
      <c r="BA137" s="421" t="s">
        <v>2218</v>
      </c>
      <c r="BB137" s="421" t="s">
        <v>962</v>
      </c>
      <c r="BC137" s="421" t="s">
        <v>2219</v>
      </c>
      <c r="BD137" s="421" t="s">
        <v>2220</v>
      </c>
      <c r="BE137" s="421" t="s">
        <v>2221</v>
      </c>
      <c r="BF137" s="421" t="s">
        <v>2222</v>
      </c>
      <c r="BG137" s="421" t="s">
        <v>2223</v>
      </c>
      <c r="BH137" s="421" t="s">
        <v>2224</v>
      </c>
      <c r="BI137" s="421" t="s">
        <v>1341</v>
      </c>
      <c r="BJ137" s="421" t="s">
        <v>1342</v>
      </c>
      <c r="BK137" s="421" t="s">
        <v>2214</v>
      </c>
      <c r="BL137" s="421" t="s">
        <v>2225</v>
      </c>
      <c r="BM137" s="421" t="s">
        <v>2226</v>
      </c>
      <c r="BN137" s="421" t="s">
        <v>2206</v>
      </c>
      <c r="BO137" s="421">
        <v>0</v>
      </c>
      <c r="BR137" s="421">
        <v>0</v>
      </c>
      <c r="BS137" s="421">
        <v>0</v>
      </c>
      <c r="BT137" s="421">
        <v>0</v>
      </c>
      <c r="BU137" s="424">
        <v>42206</v>
      </c>
      <c r="BX137" s="421">
        <v>2727.23</v>
      </c>
      <c r="BY137" s="421" t="s">
        <v>1147</v>
      </c>
      <c r="BZ137" s="421">
        <v>1177</v>
      </c>
      <c r="CA137" s="421">
        <v>3209949.71</v>
      </c>
      <c r="CB137" s="421">
        <v>0.47</v>
      </c>
      <c r="CC137" s="421">
        <v>0</v>
      </c>
      <c r="CD137" s="421">
        <v>175</v>
      </c>
      <c r="CE137" s="421">
        <v>175.47</v>
      </c>
      <c r="CF137" s="421">
        <v>0</v>
      </c>
      <c r="CG137" s="421">
        <v>1352.47</v>
      </c>
      <c r="CH137" s="421">
        <v>0</v>
      </c>
      <c r="CI137" s="421">
        <v>1352.47</v>
      </c>
      <c r="CJ137" s="421">
        <v>3688496.7581000002</v>
      </c>
      <c r="CK137" s="421">
        <v>10</v>
      </c>
      <c r="CL137" s="421">
        <v>3688497</v>
      </c>
      <c r="CM137" s="421">
        <v>369000</v>
      </c>
      <c r="CN137" s="421">
        <v>369000</v>
      </c>
      <c r="CO137" s="421">
        <v>0</v>
      </c>
      <c r="CP137" s="421">
        <v>0</v>
      </c>
      <c r="CQ137" s="421">
        <v>16</v>
      </c>
      <c r="CR137" s="421">
        <v>4057497</v>
      </c>
      <c r="CS137" s="421">
        <v>649000</v>
      </c>
      <c r="CT137" s="421">
        <v>649000</v>
      </c>
      <c r="CU137" s="421">
        <v>0</v>
      </c>
      <c r="CV137" s="421">
        <v>0</v>
      </c>
      <c r="CW137" s="421">
        <v>0</v>
      </c>
      <c r="CX137" s="421">
        <v>0</v>
      </c>
      <c r="CY137" s="421">
        <v>0</v>
      </c>
      <c r="CZ137" s="421">
        <v>0</v>
      </c>
      <c r="DA137" s="421">
        <v>0</v>
      </c>
      <c r="DB137" s="421">
        <v>0</v>
      </c>
      <c r="DC137" s="421">
        <v>0</v>
      </c>
      <c r="DD137" s="421">
        <v>0</v>
      </c>
      <c r="DE137" s="421">
        <v>0</v>
      </c>
      <c r="DF137" s="421">
        <v>0</v>
      </c>
      <c r="DG137" s="421">
        <v>0</v>
      </c>
      <c r="DH137" s="421">
        <v>0</v>
      </c>
      <c r="DI137" s="421">
        <v>0</v>
      </c>
      <c r="DJ137" s="421">
        <v>0</v>
      </c>
      <c r="DK137" s="421">
        <v>0</v>
      </c>
      <c r="DL137" s="421">
        <v>0</v>
      </c>
      <c r="DM137" s="421">
        <v>0</v>
      </c>
      <c r="DN137" s="421">
        <v>0</v>
      </c>
      <c r="DO137" s="421">
        <v>0</v>
      </c>
      <c r="DP137" s="421">
        <v>0</v>
      </c>
      <c r="DQ137" s="421">
        <v>0</v>
      </c>
      <c r="DR137" s="421">
        <v>0</v>
      </c>
      <c r="DS137" s="421">
        <v>0</v>
      </c>
      <c r="DT137" s="421">
        <v>0</v>
      </c>
      <c r="DU137" s="421">
        <v>0</v>
      </c>
      <c r="DV137" s="421">
        <v>0</v>
      </c>
      <c r="DW137" s="421">
        <v>0</v>
      </c>
      <c r="DX137" s="421">
        <v>0</v>
      </c>
      <c r="DY137" s="421">
        <v>1018000</v>
      </c>
      <c r="DZ137" s="421">
        <v>1018000</v>
      </c>
      <c r="EA137" s="421">
        <v>0</v>
      </c>
      <c r="EB137" s="421">
        <v>0</v>
      </c>
      <c r="EC137" s="421" t="s">
        <v>1148</v>
      </c>
      <c r="ED137" s="421" t="s">
        <v>1149</v>
      </c>
      <c r="EE137" s="421" t="s">
        <v>1149</v>
      </c>
    </row>
    <row r="138" spans="1:135" x14ac:dyDescent="0.25">
      <c r="A138" s="421">
        <v>135</v>
      </c>
      <c r="B138" s="421">
        <v>2015</v>
      </c>
      <c r="C138" s="421">
        <v>7</v>
      </c>
      <c r="D138" s="421">
        <v>23</v>
      </c>
      <c r="E138" s="424">
        <v>42208</v>
      </c>
      <c r="F138" s="421" t="s">
        <v>2227</v>
      </c>
      <c r="G138" s="421" t="s">
        <v>2228</v>
      </c>
      <c r="H138" s="421" t="s">
        <v>1152</v>
      </c>
      <c r="I138" s="421" t="s">
        <v>1107</v>
      </c>
      <c r="J138" s="421" t="s">
        <v>1108</v>
      </c>
      <c r="K138" s="421" t="s">
        <v>1202</v>
      </c>
      <c r="L138" s="421" t="s">
        <v>1110</v>
      </c>
      <c r="O138" s="421" t="s">
        <v>1111</v>
      </c>
      <c r="R138" s="421" t="s">
        <v>1111</v>
      </c>
      <c r="S138" s="421" t="s">
        <v>1112</v>
      </c>
      <c r="T138" s="421" t="s">
        <v>1113</v>
      </c>
      <c r="U138" s="421" t="s">
        <v>1114</v>
      </c>
      <c r="V138" s="421" t="s">
        <v>1115</v>
      </c>
      <c r="W138" s="421" t="s">
        <v>1116</v>
      </c>
      <c r="X138" s="421" t="s">
        <v>1117</v>
      </c>
      <c r="Y138" s="421" t="s">
        <v>1118</v>
      </c>
      <c r="Z138" s="421" t="s">
        <v>1119</v>
      </c>
      <c r="AA138" s="421" t="s">
        <v>1120</v>
      </c>
      <c r="AB138" s="421" t="s">
        <v>1121</v>
      </c>
      <c r="AC138" s="421" t="s">
        <v>1122</v>
      </c>
      <c r="AD138" s="421" t="s">
        <v>1479</v>
      </c>
      <c r="AE138" s="421" t="s">
        <v>1203</v>
      </c>
      <c r="AF138" s="421" t="s">
        <v>1204</v>
      </c>
      <c r="AG138" s="421" t="s">
        <v>2229</v>
      </c>
      <c r="AH138" s="421">
        <v>64500</v>
      </c>
      <c r="AI138" s="421" t="s">
        <v>1127</v>
      </c>
      <c r="AJ138" s="421">
        <v>3</v>
      </c>
      <c r="AK138" s="421">
        <v>1</v>
      </c>
      <c r="AL138" s="421" t="s">
        <v>1206</v>
      </c>
      <c r="AM138" s="421">
        <v>64500</v>
      </c>
      <c r="AN138" s="421">
        <v>65228</v>
      </c>
      <c r="AO138" s="421" t="s">
        <v>1120</v>
      </c>
      <c r="AP138" s="421" t="s">
        <v>1129</v>
      </c>
      <c r="AR138" s="421" t="s">
        <v>1130</v>
      </c>
      <c r="AT138" s="421" t="s">
        <v>1131</v>
      </c>
      <c r="AU138" s="421" t="s">
        <v>1132</v>
      </c>
      <c r="AV138" s="421" t="s">
        <v>1133</v>
      </c>
      <c r="AW138" s="421" t="s">
        <v>1207</v>
      </c>
      <c r="AX138" s="421" t="s">
        <v>1207</v>
      </c>
      <c r="AY138" s="421" t="s">
        <v>1208</v>
      </c>
      <c r="AZ138" s="421" t="s">
        <v>1121</v>
      </c>
      <c r="BA138" s="421" t="s">
        <v>1209</v>
      </c>
      <c r="BB138" s="421" t="s">
        <v>1208</v>
      </c>
      <c r="BC138" s="421" t="s">
        <v>1210</v>
      </c>
      <c r="BD138" s="421" t="s">
        <v>1211</v>
      </c>
      <c r="BE138" s="421" t="s">
        <v>1212</v>
      </c>
      <c r="BF138" s="421" t="s">
        <v>2230</v>
      </c>
      <c r="BG138" s="421" t="s">
        <v>2231</v>
      </c>
      <c r="BH138" s="421" t="s">
        <v>2232</v>
      </c>
      <c r="BI138" s="421" t="s">
        <v>1142</v>
      </c>
      <c r="BJ138" s="421" t="s">
        <v>1243</v>
      </c>
      <c r="BK138" s="421" t="s">
        <v>2228</v>
      </c>
      <c r="BL138" s="421" t="s">
        <v>2223</v>
      </c>
      <c r="BM138" s="421" t="s">
        <v>2233</v>
      </c>
      <c r="BN138" s="421" t="s">
        <v>2137</v>
      </c>
      <c r="BO138" s="421">
        <v>0</v>
      </c>
      <c r="BR138" s="421">
        <v>0</v>
      </c>
      <c r="BS138" s="421">
        <v>0</v>
      </c>
      <c r="BT138" s="421">
        <v>0</v>
      </c>
      <c r="BU138" s="424">
        <v>42201</v>
      </c>
      <c r="BX138" s="421">
        <v>2727.23</v>
      </c>
      <c r="BY138" s="421" t="s">
        <v>1147</v>
      </c>
      <c r="BZ138" s="421">
        <v>122550</v>
      </c>
      <c r="CA138" s="421">
        <v>334222036.5</v>
      </c>
      <c r="CB138" s="421">
        <v>49.02</v>
      </c>
      <c r="CC138" s="421">
        <v>0</v>
      </c>
      <c r="CD138" s="421">
        <v>2480</v>
      </c>
      <c r="CE138" s="421">
        <v>2529.02</v>
      </c>
      <c r="CF138" s="421">
        <v>0</v>
      </c>
      <c r="CG138" s="421">
        <v>125079.02</v>
      </c>
      <c r="CH138" s="421">
        <v>0</v>
      </c>
      <c r="CI138" s="421">
        <v>125079.02</v>
      </c>
      <c r="CJ138" s="421">
        <v>341119255.71460003</v>
      </c>
      <c r="CK138" s="421">
        <v>0</v>
      </c>
      <c r="CL138" s="421">
        <v>341119256</v>
      </c>
      <c r="CM138" s="421">
        <v>0</v>
      </c>
      <c r="CN138" s="421">
        <v>0</v>
      </c>
      <c r="CO138" s="421">
        <v>0</v>
      </c>
      <c r="CP138" s="421">
        <v>0</v>
      </c>
      <c r="CQ138" s="421">
        <v>0</v>
      </c>
      <c r="CR138" s="421">
        <v>341119256</v>
      </c>
      <c r="CS138" s="421">
        <v>0</v>
      </c>
      <c r="CT138" s="421">
        <v>0</v>
      </c>
      <c r="CU138" s="421">
        <v>0</v>
      </c>
      <c r="CV138" s="421">
        <v>0</v>
      </c>
      <c r="CW138" s="421">
        <v>0</v>
      </c>
      <c r="CX138" s="421">
        <v>0</v>
      </c>
      <c r="CY138" s="421">
        <v>0</v>
      </c>
      <c r="CZ138" s="421">
        <v>0</v>
      </c>
      <c r="DA138" s="421">
        <v>0</v>
      </c>
      <c r="DB138" s="421">
        <v>0</v>
      </c>
      <c r="DC138" s="421">
        <v>0</v>
      </c>
      <c r="DD138" s="421">
        <v>0</v>
      </c>
      <c r="DE138" s="421">
        <v>0</v>
      </c>
      <c r="DF138" s="421">
        <v>0</v>
      </c>
      <c r="DG138" s="421">
        <v>0</v>
      </c>
      <c r="DH138" s="421">
        <v>0</v>
      </c>
      <c r="DI138" s="421">
        <v>0</v>
      </c>
      <c r="DJ138" s="421">
        <v>0</v>
      </c>
      <c r="DK138" s="421">
        <v>0</v>
      </c>
      <c r="DL138" s="421">
        <v>0</v>
      </c>
      <c r="DM138" s="421">
        <v>0</v>
      </c>
      <c r="DN138" s="421">
        <v>0</v>
      </c>
      <c r="DO138" s="421">
        <v>0</v>
      </c>
      <c r="DP138" s="421">
        <v>0</v>
      </c>
      <c r="DQ138" s="421">
        <v>0</v>
      </c>
      <c r="DR138" s="421">
        <v>0</v>
      </c>
      <c r="DS138" s="421">
        <v>0</v>
      </c>
      <c r="DT138" s="421">
        <v>0</v>
      </c>
      <c r="DU138" s="421">
        <v>0</v>
      </c>
      <c r="DV138" s="421">
        <v>0</v>
      </c>
      <c r="DW138" s="421">
        <v>0</v>
      </c>
      <c r="DX138" s="421">
        <v>0</v>
      </c>
      <c r="DY138" s="421">
        <v>0</v>
      </c>
      <c r="DZ138" s="421">
        <v>0</v>
      </c>
      <c r="EA138" s="421">
        <v>0</v>
      </c>
      <c r="EB138" s="421">
        <v>0</v>
      </c>
      <c r="EC138" s="421" t="s">
        <v>1148</v>
      </c>
      <c r="ED138" s="421" t="s">
        <v>1149</v>
      </c>
      <c r="EE138" s="421" t="s">
        <v>1149</v>
      </c>
    </row>
    <row r="139" spans="1:135" x14ac:dyDescent="0.25">
      <c r="A139" s="421">
        <v>136</v>
      </c>
      <c r="B139" s="421">
        <v>2015</v>
      </c>
      <c r="C139" s="421">
        <v>7</v>
      </c>
      <c r="D139" s="421">
        <v>24</v>
      </c>
      <c r="E139" s="424">
        <v>42209</v>
      </c>
      <c r="F139" s="421" t="s">
        <v>2234</v>
      </c>
      <c r="G139" s="421" t="s">
        <v>2235</v>
      </c>
      <c r="H139" s="421" t="s">
        <v>1106</v>
      </c>
      <c r="I139" s="421" t="s">
        <v>1107</v>
      </c>
      <c r="J139" s="421" t="s">
        <v>1108</v>
      </c>
      <c r="K139" s="421" t="s">
        <v>1109</v>
      </c>
      <c r="L139" s="421" t="s">
        <v>1110</v>
      </c>
      <c r="O139" s="421" t="s">
        <v>1111</v>
      </c>
      <c r="R139" s="421" t="s">
        <v>1111</v>
      </c>
      <c r="S139" s="421" t="s">
        <v>1112</v>
      </c>
      <c r="T139" s="421" t="s">
        <v>1113</v>
      </c>
      <c r="U139" s="421" t="s">
        <v>1114</v>
      </c>
      <c r="V139" s="421" t="s">
        <v>1115</v>
      </c>
      <c r="W139" s="421" t="s">
        <v>1116</v>
      </c>
      <c r="X139" s="421" t="s">
        <v>1117</v>
      </c>
      <c r="Y139" s="421" t="s">
        <v>1118</v>
      </c>
      <c r="Z139" s="421" t="s">
        <v>1119</v>
      </c>
      <c r="AA139" s="421" t="s">
        <v>1120</v>
      </c>
      <c r="AB139" s="421" t="s">
        <v>1121</v>
      </c>
      <c r="AC139" s="421" t="s">
        <v>1122</v>
      </c>
      <c r="AD139" s="421" t="s">
        <v>1479</v>
      </c>
      <c r="AE139" s="421" t="s">
        <v>2236</v>
      </c>
      <c r="AF139" s="421" t="s">
        <v>2237</v>
      </c>
      <c r="AG139" s="421" t="s">
        <v>2238</v>
      </c>
      <c r="AH139" s="421">
        <v>15000000</v>
      </c>
      <c r="AI139" s="421" t="s">
        <v>1189</v>
      </c>
      <c r="AJ139" s="421">
        <v>150</v>
      </c>
      <c r="AK139" s="421">
        <v>1</v>
      </c>
      <c r="AL139" s="421" t="s">
        <v>1173</v>
      </c>
      <c r="AM139" s="421">
        <v>1950</v>
      </c>
      <c r="AN139" s="421">
        <v>2490</v>
      </c>
      <c r="AO139" s="421" t="s">
        <v>1120</v>
      </c>
      <c r="AP139" s="421" t="s">
        <v>2239</v>
      </c>
      <c r="AQ139" s="421" t="s">
        <v>1475</v>
      </c>
      <c r="AR139" s="421" t="s">
        <v>1476</v>
      </c>
      <c r="AT139" s="421" t="s">
        <v>1131</v>
      </c>
      <c r="AU139" s="421" t="s">
        <v>1303</v>
      </c>
      <c r="AV139" s="421" t="s">
        <v>1304</v>
      </c>
      <c r="AW139" s="421" t="s">
        <v>960</v>
      </c>
      <c r="AX139" s="421" t="s">
        <v>960</v>
      </c>
      <c r="AY139" s="421" t="s">
        <v>960</v>
      </c>
      <c r="AZ139" s="421" t="s">
        <v>1121</v>
      </c>
      <c r="BA139" s="421" t="s">
        <v>2240</v>
      </c>
      <c r="BB139" s="421" t="s">
        <v>960</v>
      </c>
      <c r="BC139" s="421" t="s">
        <v>2241</v>
      </c>
      <c r="BD139" s="421" t="s">
        <v>2242</v>
      </c>
      <c r="BE139" s="421" t="s">
        <v>2243</v>
      </c>
      <c r="BF139" s="421" t="s">
        <v>2244</v>
      </c>
      <c r="BG139" s="421" t="s">
        <v>2164</v>
      </c>
      <c r="BH139" s="421" t="s">
        <v>2245</v>
      </c>
      <c r="BI139" s="421" t="s">
        <v>1142</v>
      </c>
      <c r="BJ139" s="421" t="s">
        <v>1180</v>
      </c>
      <c r="BK139" s="421" t="s">
        <v>2235</v>
      </c>
      <c r="BL139" s="421" t="s">
        <v>2246</v>
      </c>
      <c r="BM139" s="421" t="s">
        <v>2247</v>
      </c>
      <c r="BN139" s="421" t="s">
        <v>1887</v>
      </c>
      <c r="BO139" s="421">
        <v>0</v>
      </c>
      <c r="BR139" s="421">
        <v>0</v>
      </c>
      <c r="BS139" s="421">
        <v>0</v>
      </c>
      <c r="BT139" s="421">
        <v>0</v>
      </c>
      <c r="BU139" s="424">
        <v>42152</v>
      </c>
      <c r="BX139" s="421">
        <v>2727.23</v>
      </c>
      <c r="BY139" s="421" t="s">
        <v>1183</v>
      </c>
      <c r="BZ139" s="421">
        <v>13500</v>
      </c>
      <c r="CA139" s="421">
        <v>36817605</v>
      </c>
      <c r="CB139" s="421">
        <v>5.4</v>
      </c>
      <c r="CC139" s="421">
        <v>0</v>
      </c>
      <c r="CD139" s="421">
        <v>1198.33</v>
      </c>
      <c r="CE139" s="421">
        <v>1203.73</v>
      </c>
      <c r="CF139" s="421">
        <v>0</v>
      </c>
      <c r="CG139" s="421">
        <v>14703.73</v>
      </c>
      <c r="CH139" s="421">
        <v>0</v>
      </c>
      <c r="CI139" s="421">
        <v>14703.73</v>
      </c>
      <c r="CJ139" s="421">
        <v>40100453.567900002</v>
      </c>
      <c r="CK139" s="421">
        <v>15</v>
      </c>
      <c r="CL139" s="421">
        <v>40100454</v>
      </c>
      <c r="CM139" s="421">
        <v>6015000</v>
      </c>
      <c r="CN139" s="421">
        <v>6015000</v>
      </c>
      <c r="CO139" s="421">
        <v>0</v>
      </c>
      <c r="CP139" s="421">
        <v>0</v>
      </c>
      <c r="CQ139" s="421">
        <v>16</v>
      </c>
      <c r="CR139" s="421">
        <v>46115454</v>
      </c>
      <c r="CS139" s="421">
        <v>7378000</v>
      </c>
      <c r="CT139" s="421">
        <v>7378000</v>
      </c>
      <c r="CU139" s="421">
        <v>0</v>
      </c>
      <c r="CV139" s="421">
        <v>0</v>
      </c>
      <c r="CW139" s="421">
        <v>0</v>
      </c>
      <c r="CX139" s="421">
        <v>0</v>
      </c>
      <c r="CY139" s="421">
        <v>0</v>
      </c>
      <c r="CZ139" s="421">
        <v>0</v>
      </c>
      <c r="DA139" s="421">
        <v>0</v>
      </c>
      <c r="DB139" s="421">
        <v>0</v>
      </c>
      <c r="DC139" s="421">
        <v>0</v>
      </c>
      <c r="DD139" s="421">
        <v>0</v>
      </c>
      <c r="DE139" s="421">
        <v>0</v>
      </c>
      <c r="DF139" s="421">
        <v>0</v>
      </c>
      <c r="DG139" s="421">
        <v>0</v>
      </c>
      <c r="DH139" s="421">
        <v>0</v>
      </c>
      <c r="DI139" s="421">
        <v>0</v>
      </c>
      <c r="DJ139" s="421">
        <v>0</v>
      </c>
      <c r="DK139" s="421">
        <v>0</v>
      </c>
      <c r="DL139" s="421">
        <v>0</v>
      </c>
      <c r="DM139" s="421">
        <v>0</v>
      </c>
      <c r="DN139" s="421">
        <v>0</v>
      </c>
      <c r="DO139" s="421">
        <v>0</v>
      </c>
      <c r="DP139" s="421">
        <v>0</v>
      </c>
      <c r="DQ139" s="421">
        <v>0</v>
      </c>
      <c r="DR139" s="421">
        <v>0</v>
      </c>
      <c r="DS139" s="421">
        <v>0</v>
      </c>
      <c r="DT139" s="421">
        <v>0</v>
      </c>
      <c r="DU139" s="421">
        <v>0</v>
      </c>
      <c r="DV139" s="421">
        <v>0</v>
      </c>
      <c r="DW139" s="421">
        <v>0</v>
      </c>
      <c r="DX139" s="421">
        <v>0</v>
      </c>
      <c r="DY139" s="421">
        <v>13393000</v>
      </c>
      <c r="DZ139" s="421">
        <v>13393000</v>
      </c>
      <c r="EA139" s="421">
        <v>0</v>
      </c>
      <c r="EB139" s="421">
        <v>0</v>
      </c>
      <c r="EC139" s="421" t="s">
        <v>1148</v>
      </c>
      <c r="ED139" s="421" t="s">
        <v>1167</v>
      </c>
      <c r="EE139" s="421" t="s">
        <v>1167</v>
      </c>
    </row>
    <row r="140" spans="1:135" x14ac:dyDescent="0.25">
      <c r="A140" s="421">
        <v>137</v>
      </c>
      <c r="B140" s="421">
        <v>2015</v>
      </c>
      <c r="C140" s="421">
        <v>7</v>
      </c>
      <c r="D140" s="421">
        <v>27</v>
      </c>
      <c r="E140" s="424">
        <v>42212</v>
      </c>
      <c r="F140" s="421" t="s">
        <v>2248</v>
      </c>
      <c r="G140" s="421" t="s">
        <v>2249</v>
      </c>
      <c r="H140" s="421" t="s">
        <v>1152</v>
      </c>
      <c r="I140" s="421" t="s">
        <v>1281</v>
      </c>
      <c r="J140" s="421" t="s">
        <v>1108</v>
      </c>
      <c r="K140" s="421" t="s">
        <v>1109</v>
      </c>
      <c r="L140" s="421" t="s">
        <v>1110</v>
      </c>
      <c r="O140" s="421" t="s">
        <v>1111</v>
      </c>
      <c r="R140" s="421" t="s">
        <v>1111</v>
      </c>
      <c r="S140" s="421" t="s">
        <v>1112</v>
      </c>
      <c r="T140" s="421" t="s">
        <v>1113</v>
      </c>
      <c r="U140" s="421" t="s">
        <v>1114</v>
      </c>
      <c r="V140" s="421" t="s">
        <v>1115</v>
      </c>
      <c r="W140" s="421" t="s">
        <v>1116</v>
      </c>
      <c r="X140" s="421" t="s">
        <v>1117</v>
      </c>
      <c r="Y140" s="421" t="s">
        <v>1118</v>
      </c>
      <c r="Z140" s="421" t="s">
        <v>1119</v>
      </c>
      <c r="AA140" s="421" t="s">
        <v>1120</v>
      </c>
      <c r="AB140" s="421" t="s">
        <v>1121</v>
      </c>
      <c r="AC140" s="421" t="s">
        <v>1122</v>
      </c>
      <c r="AD140" s="421" t="s">
        <v>1479</v>
      </c>
      <c r="AE140" s="421" t="s">
        <v>1721</v>
      </c>
      <c r="AF140" s="421" t="s">
        <v>1722</v>
      </c>
      <c r="AG140" s="421" t="s">
        <v>2250</v>
      </c>
      <c r="AH140" s="421">
        <v>15921</v>
      </c>
      <c r="AI140" s="421" t="s">
        <v>1127</v>
      </c>
      <c r="AJ140" s="421">
        <v>702</v>
      </c>
      <c r="AK140" s="421">
        <v>1</v>
      </c>
      <c r="AL140" s="421" t="s">
        <v>1128</v>
      </c>
      <c r="AM140" s="421">
        <v>15921</v>
      </c>
      <c r="AN140" s="421">
        <v>15921</v>
      </c>
      <c r="AO140" s="421" t="s">
        <v>1427</v>
      </c>
      <c r="AP140" s="421" t="s">
        <v>2251</v>
      </c>
      <c r="AQ140" s="421" t="s">
        <v>1475</v>
      </c>
      <c r="AR140" s="421" t="s">
        <v>1476</v>
      </c>
      <c r="AT140" s="421" t="s">
        <v>1131</v>
      </c>
      <c r="AU140" s="421" t="s">
        <v>1132</v>
      </c>
      <c r="AV140" s="421" t="s">
        <v>1133</v>
      </c>
      <c r="AW140" s="421" t="s">
        <v>962</v>
      </c>
      <c r="AX140" s="421" t="s">
        <v>962</v>
      </c>
      <c r="AY140" s="421" t="s">
        <v>962</v>
      </c>
      <c r="AZ140" s="421" t="s">
        <v>1121</v>
      </c>
      <c r="BA140" s="421" t="s">
        <v>1725</v>
      </c>
      <c r="BB140" s="421" t="s">
        <v>962</v>
      </c>
      <c r="BC140" s="421" t="s">
        <v>1726</v>
      </c>
      <c r="BD140" s="421" t="s">
        <v>1727</v>
      </c>
      <c r="BE140" s="421" t="s">
        <v>1728</v>
      </c>
      <c r="BF140" s="421" t="s">
        <v>2230</v>
      </c>
      <c r="BG140" s="421" t="s">
        <v>2231</v>
      </c>
      <c r="BH140" s="421" t="s">
        <v>2252</v>
      </c>
      <c r="BI140" s="421" t="s">
        <v>1142</v>
      </c>
      <c r="BJ140" s="421" t="s">
        <v>1243</v>
      </c>
      <c r="BK140" s="421" t="s">
        <v>2249</v>
      </c>
      <c r="BL140" s="421" t="s">
        <v>2231</v>
      </c>
      <c r="BM140" s="421" t="s">
        <v>2253</v>
      </c>
      <c r="BN140" s="421" t="s">
        <v>2146</v>
      </c>
      <c r="BO140" s="421">
        <v>0</v>
      </c>
      <c r="BR140" s="421">
        <v>0</v>
      </c>
      <c r="BS140" s="421">
        <v>0</v>
      </c>
      <c r="BT140" s="421">
        <v>0</v>
      </c>
      <c r="BU140" s="424">
        <v>42193</v>
      </c>
      <c r="BX140" s="421">
        <v>2727.23</v>
      </c>
      <c r="BY140" s="421" t="s">
        <v>1147</v>
      </c>
      <c r="BZ140" s="421">
        <v>11407.5</v>
      </c>
      <c r="CA140" s="421">
        <v>31110876.225000001</v>
      </c>
      <c r="CB140" s="421">
        <v>4.5599999999999996</v>
      </c>
      <c r="CC140" s="421">
        <v>0</v>
      </c>
      <c r="CD140" s="421">
        <v>3200</v>
      </c>
      <c r="CE140" s="421">
        <v>3204.56</v>
      </c>
      <c r="CF140" s="421">
        <v>0</v>
      </c>
      <c r="CG140" s="421">
        <v>14612.06</v>
      </c>
      <c r="CH140" s="421">
        <v>0</v>
      </c>
      <c r="CI140" s="421">
        <v>14612.06</v>
      </c>
      <c r="CJ140" s="421">
        <v>39850448.393799998</v>
      </c>
      <c r="CK140" s="421">
        <v>0</v>
      </c>
      <c r="CL140" s="421">
        <v>39850448</v>
      </c>
      <c r="CM140" s="421">
        <v>0</v>
      </c>
      <c r="CN140" s="421">
        <v>0</v>
      </c>
      <c r="CO140" s="421">
        <v>0</v>
      </c>
      <c r="CP140" s="421">
        <v>0</v>
      </c>
      <c r="CQ140" s="421">
        <v>16</v>
      </c>
      <c r="CR140" s="421">
        <v>39850448</v>
      </c>
      <c r="CS140" s="421">
        <v>6376000</v>
      </c>
      <c r="CT140" s="421">
        <v>6376000</v>
      </c>
      <c r="CU140" s="421">
        <v>0</v>
      </c>
      <c r="CV140" s="421">
        <v>0</v>
      </c>
      <c r="CW140" s="421">
        <v>0</v>
      </c>
      <c r="CX140" s="421">
        <v>0</v>
      </c>
      <c r="CY140" s="421">
        <v>0</v>
      </c>
      <c r="CZ140" s="421">
        <v>0</v>
      </c>
      <c r="DA140" s="421">
        <v>0</v>
      </c>
      <c r="DB140" s="421">
        <v>0</v>
      </c>
      <c r="DC140" s="421">
        <v>0</v>
      </c>
      <c r="DD140" s="421">
        <v>0</v>
      </c>
      <c r="DE140" s="421">
        <v>0</v>
      </c>
      <c r="DF140" s="421">
        <v>0</v>
      </c>
      <c r="DG140" s="421">
        <v>0</v>
      </c>
      <c r="DH140" s="421">
        <v>0</v>
      </c>
      <c r="DI140" s="421">
        <v>0</v>
      </c>
      <c r="DJ140" s="421">
        <v>0</v>
      </c>
      <c r="DK140" s="421">
        <v>0</v>
      </c>
      <c r="DL140" s="421">
        <v>0</v>
      </c>
      <c r="DM140" s="421">
        <v>0</v>
      </c>
      <c r="DN140" s="421">
        <v>0</v>
      </c>
      <c r="DO140" s="421">
        <v>0</v>
      </c>
      <c r="DP140" s="421">
        <v>0</v>
      </c>
      <c r="DQ140" s="421">
        <v>0</v>
      </c>
      <c r="DR140" s="421">
        <v>0</v>
      </c>
      <c r="DS140" s="421">
        <v>0</v>
      </c>
      <c r="DT140" s="421">
        <v>0</v>
      </c>
      <c r="DU140" s="421">
        <v>0</v>
      </c>
      <c r="DV140" s="421">
        <v>0</v>
      </c>
      <c r="DW140" s="421">
        <v>0</v>
      </c>
      <c r="DX140" s="421">
        <v>0</v>
      </c>
      <c r="DY140" s="421">
        <v>6376000</v>
      </c>
      <c r="DZ140" s="421">
        <v>6376000</v>
      </c>
      <c r="EA140" s="421">
        <v>0</v>
      </c>
      <c r="EB140" s="421">
        <v>0</v>
      </c>
      <c r="EC140" s="421" t="s">
        <v>1148</v>
      </c>
      <c r="ED140" s="421" t="s">
        <v>1149</v>
      </c>
      <c r="EE140" s="421" t="s">
        <v>1149</v>
      </c>
    </row>
    <row r="141" spans="1:135" x14ac:dyDescent="0.25">
      <c r="A141" s="421">
        <v>138</v>
      </c>
      <c r="B141" s="421">
        <v>2015</v>
      </c>
      <c r="C141" s="421">
        <v>7</v>
      </c>
      <c r="D141" s="421">
        <v>27</v>
      </c>
      <c r="E141" s="424">
        <v>42212</v>
      </c>
      <c r="F141" s="421" t="s">
        <v>2254</v>
      </c>
      <c r="G141" s="421" t="s">
        <v>2255</v>
      </c>
      <c r="H141" s="421" t="s">
        <v>1152</v>
      </c>
      <c r="I141" s="421" t="s">
        <v>1107</v>
      </c>
      <c r="J141" s="421" t="s">
        <v>1108</v>
      </c>
      <c r="K141" s="421" t="s">
        <v>1109</v>
      </c>
      <c r="L141" s="421" t="s">
        <v>1110</v>
      </c>
      <c r="O141" s="421" t="s">
        <v>1111</v>
      </c>
      <c r="R141" s="421" t="s">
        <v>1111</v>
      </c>
      <c r="S141" s="421" t="s">
        <v>1112</v>
      </c>
      <c r="T141" s="421" t="s">
        <v>1113</v>
      </c>
      <c r="U141" s="421" t="s">
        <v>1114</v>
      </c>
      <c r="V141" s="421" t="s">
        <v>1115</v>
      </c>
      <c r="W141" s="421" t="s">
        <v>1116</v>
      </c>
      <c r="X141" s="421" t="s">
        <v>1117</v>
      </c>
      <c r="Y141" s="421" t="s">
        <v>1118</v>
      </c>
      <c r="Z141" s="421" t="s">
        <v>1119</v>
      </c>
      <c r="AA141" s="421" t="s">
        <v>1120</v>
      </c>
      <c r="AB141" s="421" t="s">
        <v>1121</v>
      </c>
      <c r="AC141" s="421" t="s">
        <v>1122</v>
      </c>
      <c r="AD141" s="421" t="s">
        <v>1479</v>
      </c>
      <c r="AE141" s="421" t="s">
        <v>1471</v>
      </c>
      <c r="AF141" s="421" t="s">
        <v>1472</v>
      </c>
      <c r="AG141" s="421" t="s">
        <v>2256</v>
      </c>
      <c r="AH141" s="421">
        <v>34128</v>
      </c>
      <c r="AI141" s="421" t="s">
        <v>1189</v>
      </c>
      <c r="AJ141" s="421">
        <v>303</v>
      </c>
      <c r="AK141" s="421">
        <v>1</v>
      </c>
      <c r="AL141" s="421" t="s">
        <v>1173</v>
      </c>
      <c r="AM141" s="421">
        <v>1066.8</v>
      </c>
      <c r="AN141" s="421">
        <v>1174.8</v>
      </c>
      <c r="AO141" s="421" t="s">
        <v>1120</v>
      </c>
      <c r="AP141" s="421" t="s">
        <v>2257</v>
      </c>
      <c r="AQ141" s="421" t="s">
        <v>1475</v>
      </c>
      <c r="AR141" s="421" t="s">
        <v>1476</v>
      </c>
      <c r="AT141" s="421" t="s">
        <v>1131</v>
      </c>
      <c r="AU141" s="421" t="s">
        <v>1303</v>
      </c>
      <c r="AV141" s="421" t="s">
        <v>1304</v>
      </c>
      <c r="AW141" s="421" t="s">
        <v>960</v>
      </c>
      <c r="AX141" s="421" t="s">
        <v>960</v>
      </c>
      <c r="AY141" s="421" t="s">
        <v>960</v>
      </c>
      <c r="AZ141" s="421" t="s">
        <v>1121</v>
      </c>
      <c r="BA141" s="421" t="s">
        <v>1305</v>
      </c>
      <c r="BB141" s="421" t="s">
        <v>960</v>
      </c>
      <c r="BC141" s="421" t="s">
        <v>1175</v>
      </c>
      <c r="BD141" s="421" t="s">
        <v>1306</v>
      </c>
      <c r="BE141" s="421" t="s">
        <v>2162</v>
      </c>
      <c r="BF141" s="421" t="s">
        <v>2163</v>
      </c>
      <c r="BG141" s="421" t="s">
        <v>2164</v>
      </c>
      <c r="BH141" s="421" t="s">
        <v>2165</v>
      </c>
      <c r="BI141" s="421" t="s">
        <v>1142</v>
      </c>
      <c r="BJ141" s="421" t="s">
        <v>1243</v>
      </c>
      <c r="BK141" s="421" t="s">
        <v>2255</v>
      </c>
      <c r="BL141" s="421" t="s">
        <v>2258</v>
      </c>
      <c r="BM141" s="421" t="s">
        <v>2167</v>
      </c>
      <c r="BN141" s="421" t="s">
        <v>2139</v>
      </c>
      <c r="BO141" s="421">
        <v>0</v>
      </c>
      <c r="BR141" s="421">
        <v>0</v>
      </c>
      <c r="BS141" s="421">
        <v>0</v>
      </c>
      <c r="BT141" s="421">
        <v>0</v>
      </c>
      <c r="BU141" s="424">
        <v>42158</v>
      </c>
      <c r="BX141" s="421">
        <v>2807.36</v>
      </c>
      <c r="BY141" s="421" t="s">
        <v>1183</v>
      </c>
      <c r="BZ141" s="421">
        <v>16914.009999999998</v>
      </c>
      <c r="CA141" s="421">
        <v>47483715.113600001</v>
      </c>
      <c r="CB141" s="421">
        <v>6.77</v>
      </c>
      <c r="CC141" s="421">
        <v>0</v>
      </c>
      <c r="CD141" s="421">
        <v>208.18</v>
      </c>
      <c r="CE141" s="421">
        <v>214.95</v>
      </c>
      <c r="CF141" s="421">
        <v>0</v>
      </c>
      <c r="CG141" s="421">
        <v>17128.96</v>
      </c>
      <c r="CH141" s="421">
        <v>0</v>
      </c>
      <c r="CI141" s="421">
        <v>17128.96</v>
      </c>
      <c r="CJ141" s="421">
        <v>48087157.145599999</v>
      </c>
      <c r="CK141" s="421">
        <v>15</v>
      </c>
      <c r="CL141" s="421">
        <v>48087157</v>
      </c>
      <c r="CM141" s="421">
        <v>7213000</v>
      </c>
      <c r="CN141" s="421">
        <v>7213000</v>
      </c>
      <c r="CO141" s="421">
        <v>0</v>
      </c>
      <c r="CP141" s="421">
        <v>0</v>
      </c>
      <c r="CQ141" s="421">
        <v>16</v>
      </c>
      <c r="CR141" s="421">
        <v>55300157</v>
      </c>
      <c r="CS141" s="421">
        <v>8848000</v>
      </c>
      <c r="CT141" s="421">
        <v>8848000</v>
      </c>
      <c r="CU141" s="421">
        <v>0</v>
      </c>
      <c r="CV141" s="421">
        <v>0</v>
      </c>
      <c r="CW141" s="421">
        <v>0</v>
      </c>
      <c r="CX141" s="421">
        <v>0</v>
      </c>
      <c r="CY141" s="421">
        <v>0</v>
      </c>
      <c r="CZ141" s="421">
        <v>0</v>
      </c>
      <c r="DA141" s="421">
        <v>0</v>
      </c>
      <c r="DB141" s="421">
        <v>0</v>
      </c>
      <c r="DC141" s="421">
        <v>0</v>
      </c>
      <c r="DD141" s="421">
        <v>0</v>
      </c>
      <c r="DE141" s="421">
        <v>0</v>
      </c>
      <c r="DF141" s="421">
        <v>0</v>
      </c>
      <c r="DG141" s="421">
        <v>0</v>
      </c>
      <c r="DH141" s="421">
        <v>0</v>
      </c>
      <c r="DI141" s="421">
        <v>0</v>
      </c>
      <c r="DJ141" s="421">
        <v>0</v>
      </c>
      <c r="DK141" s="421">
        <v>0</v>
      </c>
      <c r="DL141" s="421">
        <v>0</v>
      </c>
      <c r="DM141" s="421">
        <v>0</v>
      </c>
      <c r="DN141" s="421">
        <v>0</v>
      </c>
      <c r="DO141" s="421">
        <v>0</v>
      </c>
      <c r="DP141" s="421">
        <v>0</v>
      </c>
      <c r="DQ141" s="421">
        <v>0</v>
      </c>
      <c r="DR141" s="421">
        <v>0</v>
      </c>
      <c r="DS141" s="421">
        <v>0</v>
      </c>
      <c r="DT141" s="421">
        <v>0</v>
      </c>
      <c r="DU141" s="421">
        <v>0</v>
      </c>
      <c r="DV141" s="421">
        <v>0</v>
      </c>
      <c r="DW141" s="421">
        <v>0</v>
      </c>
      <c r="DX141" s="421">
        <v>0</v>
      </c>
      <c r="DY141" s="421">
        <v>16061000</v>
      </c>
      <c r="DZ141" s="421">
        <v>16061000</v>
      </c>
      <c r="EA141" s="421">
        <v>0</v>
      </c>
      <c r="EB141" s="421">
        <v>0</v>
      </c>
      <c r="EC141" s="421" t="s">
        <v>1148</v>
      </c>
      <c r="ED141" s="421" t="s">
        <v>1167</v>
      </c>
      <c r="EE141" s="421" t="s">
        <v>1167</v>
      </c>
    </row>
    <row r="142" spans="1:135" x14ac:dyDescent="0.25">
      <c r="A142" s="421">
        <v>139</v>
      </c>
      <c r="B142" s="421">
        <v>2015</v>
      </c>
      <c r="C142" s="421">
        <v>7</v>
      </c>
      <c r="D142" s="421">
        <v>28</v>
      </c>
      <c r="E142" s="424">
        <v>42213</v>
      </c>
      <c r="F142" s="421" t="s">
        <v>2259</v>
      </c>
      <c r="G142" s="421" t="s">
        <v>2260</v>
      </c>
      <c r="H142" s="421" t="s">
        <v>1106</v>
      </c>
      <c r="I142" s="421" t="s">
        <v>1107</v>
      </c>
      <c r="J142" s="421" t="s">
        <v>1108</v>
      </c>
      <c r="K142" s="421" t="s">
        <v>1109</v>
      </c>
      <c r="L142" s="421" t="s">
        <v>1110</v>
      </c>
      <c r="O142" s="421" t="s">
        <v>1111</v>
      </c>
      <c r="R142" s="421" t="s">
        <v>1111</v>
      </c>
      <c r="S142" s="421" t="s">
        <v>1112</v>
      </c>
      <c r="T142" s="421" t="s">
        <v>1113</v>
      </c>
      <c r="U142" s="421" t="s">
        <v>1114</v>
      </c>
      <c r="V142" s="421" t="s">
        <v>1115</v>
      </c>
      <c r="W142" s="421" t="s">
        <v>1116</v>
      </c>
      <c r="X142" s="421" t="s">
        <v>1117</v>
      </c>
      <c r="Y142" s="421" t="s">
        <v>1118</v>
      </c>
      <c r="Z142" s="421" t="s">
        <v>1119</v>
      </c>
      <c r="AA142" s="421" t="s">
        <v>1120</v>
      </c>
      <c r="AB142" s="421" t="s">
        <v>1121</v>
      </c>
      <c r="AC142" s="421" t="s">
        <v>1122</v>
      </c>
      <c r="AD142" s="421" t="s">
        <v>1479</v>
      </c>
      <c r="AE142" s="421" t="s">
        <v>1471</v>
      </c>
      <c r="AF142" s="421" t="s">
        <v>1472</v>
      </c>
      <c r="AG142" s="421" t="s">
        <v>2261</v>
      </c>
      <c r="AH142" s="421">
        <v>125016</v>
      </c>
      <c r="AI142" s="421" t="s">
        <v>1189</v>
      </c>
      <c r="AJ142" s="421">
        <v>765</v>
      </c>
      <c r="AK142" s="421">
        <v>2</v>
      </c>
      <c r="AL142" s="421" t="s">
        <v>1173</v>
      </c>
      <c r="AM142" s="421">
        <v>4984.8999999999996</v>
      </c>
      <c r="AN142" s="421">
        <v>6262.3</v>
      </c>
      <c r="AO142" s="421" t="s">
        <v>1120</v>
      </c>
      <c r="AP142" s="421" t="s">
        <v>2262</v>
      </c>
      <c r="AQ142" s="421" t="s">
        <v>1475</v>
      </c>
      <c r="AR142" s="421" t="s">
        <v>1476</v>
      </c>
      <c r="AT142" s="421" t="s">
        <v>1131</v>
      </c>
      <c r="AU142" s="421" t="s">
        <v>1303</v>
      </c>
      <c r="AV142" s="421" t="s">
        <v>1304</v>
      </c>
      <c r="AW142" s="421" t="s">
        <v>960</v>
      </c>
      <c r="AX142" s="421" t="s">
        <v>2135</v>
      </c>
      <c r="AY142" s="421" t="s">
        <v>2037</v>
      </c>
      <c r="AZ142" s="421" t="s">
        <v>1121</v>
      </c>
      <c r="BA142" s="421" t="s">
        <v>2038</v>
      </c>
      <c r="BB142" s="421" t="s">
        <v>2037</v>
      </c>
      <c r="BC142" s="421" t="s">
        <v>2039</v>
      </c>
      <c r="BD142" s="421" t="s">
        <v>2040</v>
      </c>
      <c r="BE142" s="421" t="s">
        <v>2041</v>
      </c>
      <c r="BF142" s="421" t="s">
        <v>2121</v>
      </c>
      <c r="BG142" s="421" t="s">
        <v>2122</v>
      </c>
      <c r="BH142" s="421" t="s">
        <v>2136</v>
      </c>
      <c r="BI142" s="421" t="s">
        <v>1142</v>
      </c>
      <c r="BJ142" s="421" t="s">
        <v>1243</v>
      </c>
      <c r="BK142" s="421" t="s">
        <v>2260</v>
      </c>
      <c r="BL142" s="421" t="s">
        <v>2263</v>
      </c>
      <c r="BM142" s="421" t="s">
        <v>2138</v>
      </c>
      <c r="BN142" s="421" t="s">
        <v>2139</v>
      </c>
      <c r="BO142" s="421">
        <v>0</v>
      </c>
      <c r="BR142" s="421">
        <v>0</v>
      </c>
      <c r="BS142" s="421">
        <v>0</v>
      </c>
      <c r="BT142" s="421">
        <v>0</v>
      </c>
      <c r="BU142" s="424">
        <v>42150</v>
      </c>
      <c r="BX142" s="421">
        <v>2807.36</v>
      </c>
      <c r="BY142" s="421" t="s">
        <v>1147</v>
      </c>
      <c r="BZ142" s="421">
        <v>71143.649999999994</v>
      </c>
      <c r="CA142" s="421">
        <v>199725837.264</v>
      </c>
      <c r="CB142" s="421">
        <v>28.45</v>
      </c>
      <c r="CC142" s="421">
        <v>0</v>
      </c>
      <c r="CD142" s="421">
        <v>2532.84</v>
      </c>
      <c r="CE142" s="421">
        <v>2561.29</v>
      </c>
      <c r="CF142" s="421">
        <v>0</v>
      </c>
      <c r="CG142" s="421">
        <v>73704.94</v>
      </c>
      <c r="CH142" s="421">
        <v>0</v>
      </c>
      <c r="CI142" s="421">
        <v>73704.94</v>
      </c>
      <c r="CJ142" s="421">
        <v>206916300.35839999</v>
      </c>
      <c r="CK142" s="421">
        <v>15</v>
      </c>
      <c r="CL142" s="421">
        <v>206916300</v>
      </c>
      <c r="CM142" s="421">
        <v>31037000</v>
      </c>
      <c r="CN142" s="421">
        <v>31037000</v>
      </c>
      <c r="CO142" s="421">
        <v>0</v>
      </c>
      <c r="CP142" s="421">
        <v>0</v>
      </c>
      <c r="CQ142" s="421">
        <v>16</v>
      </c>
      <c r="CR142" s="421">
        <v>237953300</v>
      </c>
      <c r="CS142" s="421">
        <v>38073000</v>
      </c>
      <c r="CT142" s="421">
        <v>38073000</v>
      </c>
      <c r="CU142" s="421">
        <v>0</v>
      </c>
      <c r="CV142" s="421">
        <v>0</v>
      </c>
      <c r="CW142" s="421">
        <v>0</v>
      </c>
      <c r="CX142" s="421">
        <v>0</v>
      </c>
      <c r="CY142" s="421">
        <v>0</v>
      </c>
      <c r="CZ142" s="421">
        <v>0</v>
      </c>
      <c r="DA142" s="421">
        <v>0</v>
      </c>
      <c r="DB142" s="421">
        <v>0</v>
      </c>
      <c r="DC142" s="421">
        <v>0</v>
      </c>
      <c r="DD142" s="421">
        <v>0</v>
      </c>
      <c r="DE142" s="421">
        <v>0</v>
      </c>
      <c r="DF142" s="421">
        <v>0</v>
      </c>
      <c r="DG142" s="421">
        <v>0</v>
      </c>
      <c r="DH142" s="421">
        <v>0</v>
      </c>
      <c r="DI142" s="421">
        <v>0</v>
      </c>
      <c r="DJ142" s="421">
        <v>0</v>
      </c>
      <c r="DK142" s="421">
        <v>0</v>
      </c>
      <c r="DL142" s="421">
        <v>0</v>
      </c>
      <c r="DM142" s="421">
        <v>0</v>
      </c>
      <c r="DN142" s="421">
        <v>0</v>
      </c>
      <c r="DO142" s="421">
        <v>0</v>
      </c>
      <c r="DP142" s="421">
        <v>0</v>
      </c>
      <c r="DQ142" s="421">
        <v>0</v>
      </c>
      <c r="DR142" s="421">
        <v>0</v>
      </c>
      <c r="DS142" s="421">
        <v>0</v>
      </c>
      <c r="DT142" s="421">
        <v>0</v>
      </c>
      <c r="DU142" s="421">
        <v>0</v>
      </c>
      <c r="DV142" s="421">
        <v>0</v>
      </c>
      <c r="DW142" s="421">
        <v>0</v>
      </c>
      <c r="DX142" s="421">
        <v>0</v>
      </c>
      <c r="DY142" s="421">
        <v>69110000</v>
      </c>
      <c r="DZ142" s="421">
        <v>69110000</v>
      </c>
      <c r="EA142" s="421">
        <v>0</v>
      </c>
      <c r="EB142" s="421">
        <v>0</v>
      </c>
      <c r="EC142" s="421" t="s">
        <v>1148</v>
      </c>
      <c r="ED142" s="421" t="s">
        <v>1149</v>
      </c>
      <c r="EE142" s="421" t="s">
        <v>1167</v>
      </c>
    </row>
    <row r="143" spans="1:135" x14ac:dyDescent="0.25">
      <c r="A143" s="421">
        <v>140</v>
      </c>
      <c r="B143" s="421">
        <v>2015</v>
      </c>
      <c r="C143" s="421">
        <v>7</v>
      </c>
      <c r="D143" s="421">
        <v>28</v>
      </c>
      <c r="E143" s="424">
        <v>42213</v>
      </c>
      <c r="F143" s="421" t="s">
        <v>2264</v>
      </c>
      <c r="G143" s="421" t="s">
        <v>2265</v>
      </c>
      <c r="H143" s="421" t="s">
        <v>1106</v>
      </c>
      <c r="I143" s="421" t="s">
        <v>1107</v>
      </c>
      <c r="J143" s="421" t="s">
        <v>1108</v>
      </c>
      <c r="K143" s="421" t="s">
        <v>1109</v>
      </c>
      <c r="L143" s="421" t="s">
        <v>1110</v>
      </c>
      <c r="O143" s="421" t="s">
        <v>1111</v>
      </c>
      <c r="R143" s="421" t="s">
        <v>1111</v>
      </c>
      <c r="S143" s="421" t="s">
        <v>1112</v>
      </c>
      <c r="T143" s="421" t="s">
        <v>1113</v>
      </c>
      <c r="U143" s="421" t="s">
        <v>1114</v>
      </c>
      <c r="V143" s="421" t="s">
        <v>1115</v>
      </c>
      <c r="W143" s="421" t="s">
        <v>1116</v>
      </c>
      <c r="X143" s="421" t="s">
        <v>1117</v>
      </c>
      <c r="Y143" s="421" t="s">
        <v>1118</v>
      </c>
      <c r="Z143" s="421" t="s">
        <v>1119</v>
      </c>
      <c r="AA143" s="421" t="s">
        <v>1120</v>
      </c>
      <c r="AB143" s="421" t="s">
        <v>1121</v>
      </c>
      <c r="AC143" s="421" t="s">
        <v>1122</v>
      </c>
      <c r="AD143" s="421" t="s">
        <v>1479</v>
      </c>
      <c r="AE143" s="421" t="s">
        <v>2266</v>
      </c>
      <c r="AF143" s="421" t="s">
        <v>2267</v>
      </c>
      <c r="AG143" s="421" t="s">
        <v>2268</v>
      </c>
      <c r="AH143" s="421">
        <v>576</v>
      </c>
      <c r="AI143" s="421" t="s">
        <v>1189</v>
      </c>
      <c r="AJ143" s="421">
        <v>765</v>
      </c>
      <c r="AK143" s="421">
        <v>2</v>
      </c>
      <c r="AL143" s="421" t="s">
        <v>1173</v>
      </c>
      <c r="AM143" s="421">
        <v>23.6</v>
      </c>
      <c r="AN143" s="421">
        <v>29.5</v>
      </c>
      <c r="AO143" s="421" t="s">
        <v>1120</v>
      </c>
      <c r="AP143" s="421" t="s">
        <v>2262</v>
      </c>
      <c r="AQ143" s="421" t="s">
        <v>1475</v>
      </c>
      <c r="AR143" s="421" t="s">
        <v>1476</v>
      </c>
      <c r="AT143" s="421" t="s">
        <v>1131</v>
      </c>
      <c r="AU143" s="421" t="s">
        <v>1303</v>
      </c>
      <c r="AV143" s="421" t="s">
        <v>1304</v>
      </c>
      <c r="AW143" s="421" t="s">
        <v>960</v>
      </c>
      <c r="AX143" s="421" t="s">
        <v>2135</v>
      </c>
      <c r="AY143" s="421" t="s">
        <v>2037</v>
      </c>
      <c r="AZ143" s="421" t="s">
        <v>1121</v>
      </c>
      <c r="BA143" s="421" t="s">
        <v>2038</v>
      </c>
      <c r="BB143" s="421" t="s">
        <v>2037</v>
      </c>
      <c r="BC143" s="421" t="s">
        <v>2039</v>
      </c>
      <c r="BD143" s="421" t="s">
        <v>2040</v>
      </c>
      <c r="BE143" s="421" t="s">
        <v>2041</v>
      </c>
      <c r="BF143" s="421" t="s">
        <v>2121</v>
      </c>
      <c r="BG143" s="421" t="s">
        <v>2122</v>
      </c>
      <c r="BH143" s="421" t="s">
        <v>2136</v>
      </c>
      <c r="BI143" s="421" t="s">
        <v>1142</v>
      </c>
      <c r="BJ143" s="421" t="s">
        <v>1243</v>
      </c>
      <c r="BK143" s="421" t="s">
        <v>2265</v>
      </c>
      <c r="BL143" s="421" t="s">
        <v>2263</v>
      </c>
      <c r="BM143" s="421" t="s">
        <v>2138</v>
      </c>
      <c r="BN143" s="421" t="s">
        <v>2139</v>
      </c>
      <c r="BO143" s="421">
        <v>0</v>
      </c>
      <c r="BR143" s="421">
        <v>0</v>
      </c>
      <c r="BS143" s="421">
        <v>0</v>
      </c>
      <c r="BT143" s="421">
        <v>0</v>
      </c>
      <c r="BU143" s="424">
        <v>42150</v>
      </c>
      <c r="BX143" s="421">
        <v>2807.36</v>
      </c>
      <c r="BY143" s="421" t="s">
        <v>1147</v>
      </c>
      <c r="BZ143" s="421">
        <v>262.66000000000003</v>
      </c>
      <c r="CA143" s="421">
        <v>737381.17760000005</v>
      </c>
      <c r="CB143" s="421">
        <v>0.11</v>
      </c>
      <c r="CC143" s="421">
        <v>0</v>
      </c>
      <c r="CD143" s="421">
        <v>11.93</v>
      </c>
      <c r="CE143" s="421">
        <v>12.04</v>
      </c>
      <c r="CF143" s="421">
        <v>0</v>
      </c>
      <c r="CG143" s="421">
        <v>274.7</v>
      </c>
      <c r="CH143" s="421">
        <v>0</v>
      </c>
      <c r="CI143" s="421">
        <v>274.7</v>
      </c>
      <c r="CJ143" s="421">
        <v>771181.79200000002</v>
      </c>
      <c r="CK143" s="421">
        <v>15</v>
      </c>
      <c r="CL143" s="421">
        <v>771182</v>
      </c>
      <c r="CM143" s="421">
        <v>116000</v>
      </c>
      <c r="CN143" s="421">
        <v>116000</v>
      </c>
      <c r="CO143" s="421">
        <v>0</v>
      </c>
      <c r="CP143" s="421">
        <v>0</v>
      </c>
      <c r="CQ143" s="421">
        <v>16</v>
      </c>
      <c r="CR143" s="421">
        <v>887182</v>
      </c>
      <c r="CS143" s="421">
        <v>142000</v>
      </c>
      <c r="CT143" s="421">
        <v>142000</v>
      </c>
      <c r="CU143" s="421">
        <v>0</v>
      </c>
      <c r="CV143" s="421">
        <v>0</v>
      </c>
      <c r="CW143" s="421">
        <v>0</v>
      </c>
      <c r="CX143" s="421">
        <v>0</v>
      </c>
      <c r="CY143" s="421">
        <v>0</v>
      </c>
      <c r="CZ143" s="421">
        <v>0</v>
      </c>
      <c r="DA143" s="421">
        <v>0</v>
      </c>
      <c r="DB143" s="421">
        <v>0</v>
      </c>
      <c r="DC143" s="421">
        <v>0</v>
      </c>
      <c r="DD143" s="421">
        <v>0</v>
      </c>
      <c r="DE143" s="421">
        <v>0</v>
      </c>
      <c r="DF143" s="421">
        <v>0</v>
      </c>
      <c r="DG143" s="421">
        <v>0</v>
      </c>
      <c r="DH143" s="421">
        <v>0</v>
      </c>
      <c r="DI143" s="421">
        <v>0</v>
      </c>
      <c r="DJ143" s="421">
        <v>0</v>
      </c>
      <c r="DK143" s="421">
        <v>0</v>
      </c>
      <c r="DL143" s="421">
        <v>0</v>
      </c>
      <c r="DM143" s="421">
        <v>0</v>
      </c>
      <c r="DN143" s="421">
        <v>0</v>
      </c>
      <c r="DO143" s="421">
        <v>0</v>
      </c>
      <c r="DP143" s="421">
        <v>0</v>
      </c>
      <c r="DQ143" s="421">
        <v>0</v>
      </c>
      <c r="DR143" s="421">
        <v>0</v>
      </c>
      <c r="DS143" s="421">
        <v>0</v>
      </c>
      <c r="DT143" s="421">
        <v>0</v>
      </c>
      <c r="DU143" s="421">
        <v>0</v>
      </c>
      <c r="DV143" s="421">
        <v>0</v>
      </c>
      <c r="DW143" s="421">
        <v>0</v>
      </c>
      <c r="DX143" s="421">
        <v>0</v>
      </c>
      <c r="DY143" s="421">
        <v>258000</v>
      </c>
      <c r="DZ143" s="421">
        <v>258000</v>
      </c>
      <c r="EA143" s="421">
        <v>0</v>
      </c>
      <c r="EB143" s="421">
        <v>0</v>
      </c>
      <c r="EC143" s="421" t="s">
        <v>1148</v>
      </c>
      <c r="ED143" s="421" t="s">
        <v>1149</v>
      </c>
      <c r="EE143" s="421" t="s">
        <v>1167</v>
      </c>
    </row>
    <row r="144" spans="1:135" x14ac:dyDescent="0.25">
      <c r="A144" s="421">
        <v>141</v>
      </c>
      <c r="B144" s="421">
        <v>2015</v>
      </c>
      <c r="C144" s="421">
        <v>7</v>
      </c>
      <c r="D144" s="421">
        <v>29</v>
      </c>
      <c r="E144" s="424">
        <v>42214</v>
      </c>
      <c r="F144" s="421" t="s">
        <v>2269</v>
      </c>
      <c r="G144" s="421" t="s">
        <v>2270</v>
      </c>
      <c r="H144" s="421" t="s">
        <v>1106</v>
      </c>
      <c r="I144" s="421" t="s">
        <v>1281</v>
      </c>
      <c r="J144" s="421" t="s">
        <v>1108</v>
      </c>
      <c r="K144" s="421" t="s">
        <v>1109</v>
      </c>
      <c r="L144" s="421" t="s">
        <v>1110</v>
      </c>
      <c r="O144" s="421" t="s">
        <v>1111</v>
      </c>
      <c r="R144" s="421" t="s">
        <v>1111</v>
      </c>
      <c r="S144" s="421" t="s">
        <v>1112</v>
      </c>
      <c r="T144" s="421" t="s">
        <v>1113</v>
      </c>
      <c r="U144" s="421" t="s">
        <v>1114</v>
      </c>
      <c r="V144" s="421" t="s">
        <v>1115</v>
      </c>
      <c r="W144" s="421" t="s">
        <v>1116</v>
      </c>
      <c r="X144" s="421" t="s">
        <v>1117</v>
      </c>
      <c r="Y144" s="421" t="s">
        <v>1118</v>
      </c>
      <c r="Z144" s="421" t="s">
        <v>1119</v>
      </c>
      <c r="AA144" s="421" t="s">
        <v>1120</v>
      </c>
      <c r="AB144" s="421" t="s">
        <v>1121</v>
      </c>
      <c r="AC144" s="421" t="s">
        <v>1122</v>
      </c>
      <c r="AD144" s="421" t="s">
        <v>1479</v>
      </c>
      <c r="AE144" s="421" t="s">
        <v>1517</v>
      </c>
      <c r="AF144" s="421" t="s">
        <v>1518</v>
      </c>
      <c r="AG144" s="421" t="s">
        <v>2271</v>
      </c>
      <c r="AH144" s="421">
        <v>100</v>
      </c>
      <c r="AI144" s="421" t="s">
        <v>1127</v>
      </c>
      <c r="AJ144" s="421">
        <v>4</v>
      </c>
      <c r="AK144" s="421">
        <v>1</v>
      </c>
      <c r="AL144" s="421" t="s">
        <v>1335</v>
      </c>
      <c r="AM144" s="421">
        <v>100</v>
      </c>
      <c r="AN144" s="421">
        <v>108</v>
      </c>
      <c r="AO144" s="421" t="s">
        <v>1120</v>
      </c>
      <c r="AP144" s="421" t="s">
        <v>1129</v>
      </c>
      <c r="AR144" s="421" t="s">
        <v>1130</v>
      </c>
      <c r="AT144" s="421" t="s">
        <v>1131</v>
      </c>
      <c r="AU144" s="421" t="s">
        <v>1190</v>
      </c>
      <c r="AV144" s="421" t="s">
        <v>1191</v>
      </c>
      <c r="AW144" s="421" t="s">
        <v>960</v>
      </c>
      <c r="AX144" s="421" t="s">
        <v>960</v>
      </c>
      <c r="AY144" s="421" t="s">
        <v>960</v>
      </c>
      <c r="AZ144" s="421" t="s">
        <v>1121</v>
      </c>
      <c r="BA144" s="421" t="s">
        <v>1520</v>
      </c>
      <c r="BB144" s="421" t="s">
        <v>960</v>
      </c>
      <c r="BC144" s="421" t="s">
        <v>1521</v>
      </c>
      <c r="BD144" s="421" t="s">
        <v>1522</v>
      </c>
      <c r="BE144" s="421" t="s">
        <v>1523</v>
      </c>
      <c r="BI144" s="421" t="s">
        <v>1341</v>
      </c>
      <c r="BJ144" s="421" t="s">
        <v>1243</v>
      </c>
      <c r="BK144" s="421" t="s">
        <v>2270</v>
      </c>
      <c r="BL144" s="421" t="s">
        <v>2263</v>
      </c>
      <c r="BM144" s="421" t="s">
        <v>2272</v>
      </c>
      <c r="BN144" s="421" t="s">
        <v>2273</v>
      </c>
      <c r="BO144" s="421">
        <v>0</v>
      </c>
      <c r="BR144" s="421">
        <v>0</v>
      </c>
      <c r="BS144" s="421">
        <v>0</v>
      </c>
      <c r="BT144" s="421">
        <v>0</v>
      </c>
      <c r="BU144" s="424">
        <v>38718</v>
      </c>
      <c r="BX144" s="421">
        <v>2807.36</v>
      </c>
      <c r="BY144" s="421" t="s">
        <v>1166</v>
      </c>
      <c r="BZ144" s="421">
        <v>1215.5</v>
      </c>
      <c r="CA144" s="421">
        <v>3412346.08</v>
      </c>
      <c r="CB144" s="421">
        <v>0.49</v>
      </c>
      <c r="CC144" s="421">
        <v>0</v>
      </c>
      <c r="CD144" s="421">
        <v>1066.83</v>
      </c>
      <c r="CE144" s="421">
        <v>1067.32</v>
      </c>
      <c r="CF144" s="421">
        <v>0</v>
      </c>
      <c r="CG144" s="421">
        <v>2282.8200000000002</v>
      </c>
      <c r="CH144" s="421">
        <v>0</v>
      </c>
      <c r="CI144" s="421">
        <v>2282.8200000000002</v>
      </c>
      <c r="CJ144" s="421">
        <v>6408697.5552000003</v>
      </c>
      <c r="CK144" s="421">
        <v>10</v>
      </c>
      <c r="CL144" s="421">
        <v>6408698</v>
      </c>
      <c r="CM144" s="421">
        <v>641000</v>
      </c>
      <c r="CN144" s="421">
        <v>641000</v>
      </c>
      <c r="CO144" s="421">
        <v>0</v>
      </c>
      <c r="CP144" s="421">
        <v>0</v>
      </c>
      <c r="CQ144" s="421">
        <v>16</v>
      </c>
      <c r="CR144" s="421">
        <v>7049698</v>
      </c>
      <c r="CS144" s="421">
        <v>1128000</v>
      </c>
      <c r="CT144" s="421">
        <v>1128000</v>
      </c>
      <c r="CU144" s="421">
        <v>0</v>
      </c>
      <c r="CV144" s="421">
        <v>0</v>
      </c>
      <c r="CW144" s="421">
        <v>0</v>
      </c>
      <c r="CX144" s="421">
        <v>0</v>
      </c>
      <c r="CY144" s="421">
        <v>0</v>
      </c>
      <c r="CZ144" s="421">
        <v>0</v>
      </c>
      <c r="DA144" s="421">
        <v>0</v>
      </c>
      <c r="DB144" s="421">
        <v>0</v>
      </c>
      <c r="DC144" s="421">
        <v>0</v>
      </c>
      <c r="DD144" s="421">
        <v>0</v>
      </c>
      <c r="DE144" s="421">
        <v>0</v>
      </c>
      <c r="DF144" s="421">
        <v>0</v>
      </c>
      <c r="DG144" s="421">
        <v>0</v>
      </c>
      <c r="DH144" s="421">
        <v>0</v>
      </c>
      <c r="DI144" s="421">
        <v>0</v>
      </c>
      <c r="DJ144" s="421">
        <v>0</v>
      </c>
      <c r="DK144" s="421">
        <v>0</v>
      </c>
      <c r="DL144" s="421">
        <v>0</v>
      </c>
      <c r="DM144" s="421">
        <v>0</v>
      </c>
      <c r="DN144" s="421">
        <v>0</v>
      </c>
      <c r="DO144" s="421">
        <v>0</v>
      </c>
      <c r="DP144" s="421">
        <v>0</v>
      </c>
      <c r="DQ144" s="421">
        <v>0</v>
      </c>
      <c r="DR144" s="421">
        <v>0</v>
      </c>
      <c r="DS144" s="421">
        <v>0</v>
      </c>
      <c r="DT144" s="421">
        <v>0</v>
      </c>
      <c r="DU144" s="421">
        <v>0</v>
      </c>
      <c r="DV144" s="421">
        <v>0</v>
      </c>
      <c r="DW144" s="421">
        <v>0</v>
      </c>
      <c r="DX144" s="421">
        <v>0</v>
      </c>
      <c r="DY144" s="421">
        <v>1769000</v>
      </c>
      <c r="DZ144" s="421">
        <v>1769000</v>
      </c>
      <c r="EA144" s="421">
        <v>0</v>
      </c>
      <c r="EB144" s="421">
        <v>0</v>
      </c>
      <c r="EC144" s="421" t="s">
        <v>1148</v>
      </c>
      <c r="ED144" s="421" t="s">
        <v>1167</v>
      </c>
      <c r="EE144" s="421" t="s">
        <v>1167</v>
      </c>
    </row>
    <row r="145" spans="1:135" x14ac:dyDescent="0.25">
      <c r="A145" s="421">
        <v>142</v>
      </c>
      <c r="B145" s="421">
        <v>2015</v>
      </c>
      <c r="C145" s="421">
        <v>7</v>
      </c>
      <c r="D145" s="421">
        <v>31</v>
      </c>
      <c r="E145" s="424">
        <v>42216</v>
      </c>
      <c r="F145" s="421" t="s">
        <v>2274</v>
      </c>
      <c r="G145" s="421" t="s">
        <v>2275</v>
      </c>
      <c r="H145" s="421" t="s">
        <v>1106</v>
      </c>
      <c r="I145" s="421" t="s">
        <v>1107</v>
      </c>
      <c r="J145" s="421" t="s">
        <v>1108</v>
      </c>
      <c r="K145" s="421" t="s">
        <v>1109</v>
      </c>
      <c r="L145" s="421" t="s">
        <v>1110</v>
      </c>
      <c r="O145" s="421" t="s">
        <v>1111</v>
      </c>
      <c r="R145" s="421" t="s">
        <v>1111</v>
      </c>
      <c r="S145" s="421" t="s">
        <v>1112</v>
      </c>
      <c r="T145" s="421" t="s">
        <v>1113</v>
      </c>
      <c r="U145" s="421" t="s">
        <v>1114</v>
      </c>
      <c r="V145" s="421" t="s">
        <v>1115</v>
      </c>
      <c r="W145" s="421" t="s">
        <v>1116</v>
      </c>
      <c r="X145" s="421" t="s">
        <v>1117</v>
      </c>
      <c r="Y145" s="421" t="s">
        <v>1118</v>
      </c>
      <c r="Z145" s="421" t="s">
        <v>1119</v>
      </c>
      <c r="AA145" s="421" t="s">
        <v>1120</v>
      </c>
      <c r="AB145" s="421" t="s">
        <v>1121</v>
      </c>
      <c r="AC145" s="421" t="s">
        <v>1122</v>
      </c>
      <c r="AD145" s="421" t="s">
        <v>1479</v>
      </c>
      <c r="AE145" s="421" t="s">
        <v>1471</v>
      </c>
      <c r="AF145" s="421" t="s">
        <v>1472</v>
      </c>
      <c r="AG145" s="421" t="s">
        <v>2276</v>
      </c>
      <c r="AH145" s="421">
        <v>3888</v>
      </c>
      <c r="AI145" s="421" t="s">
        <v>1189</v>
      </c>
      <c r="AJ145" s="421">
        <v>27</v>
      </c>
      <c r="AK145" s="421">
        <v>1</v>
      </c>
      <c r="AL145" s="421" t="s">
        <v>1173</v>
      </c>
      <c r="AM145" s="421">
        <v>159.30000000000001</v>
      </c>
      <c r="AN145" s="421">
        <v>189</v>
      </c>
      <c r="AO145" s="421" t="s">
        <v>1120</v>
      </c>
      <c r="AP145" s="421" t="s">
        <v>2277</v>
      </c>
      <c r="AQ145" s="421" t="s">
        <v>1475</v>
      </c>
      <c r="AR145" s="421" t="s">
        <v>1476</v>
      </c>
      <c r="AT145" s="421" t="s">
        <v>1131</v>
      </c>
      <c r="AU145" s="421" t="s">
        <v>1303</v>
      </c>
      <c r="AV145" s="421" t="s">
        <v>1304</v>
      </c>
      <c r="AW145" s="421" t="s">
        <v>960</v>
      </c>
      <c r="AX145" s="421" t="s">
        <v>960</v>
      </c>
      <c r="AY145" s="421" t="s">
        <v>960</v>
      </c>
      <c r="AZ145" s="421" t="s">
        <v>1121</v>
      </c>
      <c r="BA145" s="421" t="s">
        <v>1305</v>
      </c>
      <c r="BB145" s="421" t="s">
        <v>960</v>
      </c>
      <c r="BC145" s="421" t="s">
        <v>1175</v>
      </c>
      <c r="BD145" s="421" t="s">
        <v>1306</v>
      </c>
      <c r="BE145" s="421" t="s">
        <v>1885</v>
      </c>
      <c r="BF145" s="421" t="s">
        <v>2163</v>
      </c>
      <c r="BG145" s="421" t="s">
        <v>2164</v>
      </c>
      <c r="BH145" s="421" t="s">
        <v>2165</v>
      </c>
      <c r="BI145" s="421" t="s">
        <v>1142</v>
      </c>
      <c r="BJ145" s="421" t="s">
        <v>1243</v>
      </c>
      <c r="BK145" s="421" t="s">
        <v>2275</v>
      </c>
      <c r="BL145" s="421" t="s">
        <v>2278</v>
      </c>
      <c r="BM145" s="421" t="s">
        <v>2167</v>
      </c>
      <c r="BN145" s="421" t="s">
        <v>2139</v>
      </c>
      <c r="BO145" s="421">
        <v>0</v>
      </c>
      <c r="BR145" s="421">
        <v>0</v>
      </c>
      <c r="BS145" s="421">
        <v>0</v>
      </c>
      <c r="BT145" s="421">
        <v>0</v>
      </c>
      <c r="BU145" s="424">
        <v>42158</v>
      </c>
      <c r="BX145" s="421">
        <v>2807.36</v>
      </c>
      <c r="BY145" s="421" t="s">
        <v>1183</v>
      </c>
      <c r="BZ145" s="421">
        <v>1471.73</v>
      </c>
      <c r="CA145" s="421">
        <v>4131675.9328000001</v>
      </c>
      <c r="CB145" s="421">
        <v>0.59</v>
      </c>
      <c r="CC145" s="421">
        <v>0</v>
      </c>
      <c r="CD145" s="421">
        <v>33.479999999999997</v>
      </c>
      <c r="CE145" s="421">
        <v>34.07</v>
      </c>
      <c r="CF145" s="421">
        <v>0</v>
      </c>
      <c r="CG145" s="421">
        <v>1505.8</v>
      </c>
      <c r="CH145" s="421">
        <v>0</v>
      </c>
      <c r="CI145" s="421">
        <v>1505.8</v>
      </c>
      <c r="CJ145" s="421">
        <v>4227322.6880000001</v>
      </c>
      <c r="CK145" s="421">
        <v>15</v>
      </c>
      <c r="CL145" s="421">
        <v>4227323</v>
      </c>
      <c r="CM145" s="421">
        <v>634000</v>
      </c>
      <c r="CN145" s="421">
        <v>634000</v>
      </c>
      <c r="CO145" s="421">
        <v>0</v>
      </c>
      <c r="CP145" s="421">
        <v>0</v>
      </c>
      <c r="CQ145" s="421">
        <v>16</v>
      </c>
      <c r="CR145" s="421">
        <v>4861323</v>
      </c>
      <c r="CS145" s="421">
        <v>778000</v>
      </c>
      <c r="CT145" s="421">
        <v>778000</v>
      </c>
      <c r="CU145" s="421">
        <v>0</v>
      </c>
      <c r="CV145" s="421">
        <v>0</v>
      </c>
      <c r="CW145" s="421">
        <v>0</v>
      </c>
      <c r="CX145" s="421">
        <v>0</v>
      </c>
      <c r="CY145" s="421">
        <v>0</v>
      </c>
      <c r="CZ145" s="421">
        <v>0</v>
      </c>
      <c r="DA145" s="421">
        <v>0</v>
      </c>
      <c r="DB145" s="421">
        <v>0</v>
      </c>
      <c r="DC145" s="421">
        <v>0</v>
      </c>
      <c r="DD145" s="421">
        <v>0</v>
      </c>
      <c r="DE145" s="421">
        <v>0</v>
      </c>
      <c r="DF145" s="421">
        <v>0</v>
      </c>
      <c r="DG145" s="421">
        <v>0</v>
      </c>
      <c r="DH145" s="421">
        <v>0</v>
      </c>
      <c r="DI145" s="421">
        <v>0</v>
      </c>
      <c r="DJ145" s="421">
        <v>0</v>
      </c>
      <c r="DK145" s="421">
        <v>0</v>
      </c>
      <c r="DL145" s="421">
        <v>0</v>
      </c>
      <c r="DM145" s="421">
        <v>0</v>
      </c>
      <c r="DN145" s="421">
        <v>0</v>
      </c>
      <c r="DO145" s="421">
        <v>0</v>
      </c>
      <c r="DP145" s="421">
        <v>0</v>
      </c>
      <c r="DQ145" s="421">
        <v>0</v>
      </c>
      <c r="DR145" s="421">
        <v>0</v>
      </c>
      <c r="DS145" s="421">
        <v>0</v>
      </c>
      <c r="DT145" s="421">
        <v>0</v>
      </c>
      <c r="DU145" s="421">
        <v>0</v>
      </c>
      <c r="DV145" s="421">
        <v>0</v>
      </c>
      <c r="DW145" s="421">
        <v>0</v>
      </c>
      <c r="DX145" s="421">
        <v>0</v>
      </c>
      <c r="DY145" s="421">
        <v>1412000</v>
      </c>
      <c r="DZ145" s="421">
        <v>1412000</v>
      </c>
      <c r="EA145" s="421">
        <v>0</v>
      </c>
      <c r="EB145" s="421">
        <v>0</v>
      </c>
      <c r="EC145" s="421" t="s">
        <v>1148</v>
      </c>
      <c r="ED145" s="421" t="s">
        <v>1167</v>
      </c>
      <c r="EE145" s="421" t="s">
        <v>1167</v>
      </c>
    </row>
    <row r="146" spans="1:135" x14ac:dyDescent="0.25">
      <c r="A146" s="421">
        <v>143</v>
      </c>
      <c r="B146" s="421">
        <v>2015</v>
      </c>
      <c r="C146" s="421">
        <v>8</v>
      </c>
      <c r="D146" s="421">
        <v>6</v>
      </c>
      <c r="E146" s="424">
        <v>42222</v>
      </c>
      <c r="F146" s="421" t="s">
        <v>2279</v>
      </c>
      <c r="G146" s="421" t="s">
        <v>2280</v>
      </c>
      <c r="H146" s="421" t="s">
        <v>1152</v>
      </c>
      <c r="I146" s="421" t="s">
        <v>1281</v>
      </c>
      <c r="J146" s="421" t="s">
        <v>1108</v>
      </c>
      <c r="K146" s="421" t="s">
        <v>1109</v>
      </c>
      <c r="L146" s="421" t="s">
        <v>1110</v>
      </c>
      <c r="O146" s="421" t="s">
        <v>1111</v>
      </c>
      <c r="R146" s="421" t="s">
        <v>1111</v>
      </c>
      <c r="S146" s="421" t="s">
        <v>1112</v>
      </c>
      <c r="T146" s="421" t="s">
        <v>1113</v>
      </c>
      <c r="U146" s="421" t="s">
        <v>1114</v>
      </c>
      <c r="V146" s="421" t="s">
        <v>1115</v>
      </c>
      <c r="W146" s="421" t="s">
        <v>1116</v>
      </c>
      <c r="X146" s="421" t="s">
        <v>1117</v>
      </c>
      <c r="Y146" s="421" t="s">
        <v>1118</v>
      </c>
      <c r="Z146" s="421" t="s">
        <v>1119</v>
      </c>
      <c r="AA146" s="421" t="s">
        <v>1120</v>
      </c>
      <c r="AB146" s="421" t="s">
        <v>1121</v>
      </c>
      <c r="AC146" s="421" t="s">
        <v>1122</v>
      </c>
      <c r="AD146" s="421" t="s">
        <v>1479</v>
      </c>
      <c r="AE146" s="421" t="s">
        <v>1452</v>
      </c>
      <c r="AF146" s="421" t="s">
        <v>1453</v>
      </c>
      <c r="AG146" s="421" t="s">
        <v>2281</v>
      </c>
      <c r="AH146" s="421">
        <v>438.8</v>
      </c>
      <c r="AI146" s="421" t="s">
        <v>1127</v>
      </c>
      <c r="AJ146" s="421">
        <v>1</v>
      </c>
      <c r="AK146" s="421">
        <v>1</v>
      </c>
      <c r="AL146" s="421" t="s">
        <v>1335</v>
      </c>
      <c r="AM146" s="421">
        <v>438.8</v>
      </c>
      <c r="AN146" s="421">
        <v>518.91</v>
      </c>
      <c r="AO146" s="421" t="s">
        <v>1120</v>
      </c>
      <c r="AP146" s="421" t="s">
        <v>1129</v>
      </c>
      <c r="AR146" s="421" t="s">
        <v>1130</v>
      </c>
      <c r="AT146" s="421" t="s">
        <v>1131</v>
      </c>
      <c r="AU146" s="421" t="s">
        <v>1190</v>
      </c>
      <c r="AV146" s="421" t="s">
        <v>1191</v>
      </c>
      <c r="AW146" s="421" t="s">
        <v>962</v>
      </c>
      <c r="AX146" s="421" t="s">
        <v>962</v>
      </c>
      <c r="AY146" s="421" t="s">
        <v>962</v>
      </c>
      <c r="AZ146" s="421" t="s">
        <v>1121</v>
      </c>
      <c r="BA146" s="421" t="s">
        <v>2282</v>
      </c>
      <c r="BB146" s="421" t="s">
        <v>962</v>
      </c>
      <c r="BC146" s="421" t="s">
        <v>1456</v>
      </c>
      <c r="BD146" s="421" t="s">
        <v>1457</v>
      </c>
      <c r="BE146" s="421" t="s">
        <v>1458</v>
      </c>
      <c r="BF146" s="421" t="s">
        <v>2283</v>
      </c>
      <c r="BG146" s="421" t="s">
        <v>2284</v>
      </c>
      <c r="BH146" s="421" t="s">
        <v>2285</v>
      </c>
      <c r="BI146" s="421" t="s">
        <v>1341</v>
      </c>
      <c r="BJ146" s="421" t="s">
        <v>1342</v>
      </c>
      <c r="BK146" s="421" t="s">
        <v>2280</v>
      </c>
      <c r="BL146" s="421" t="s">
        <v>2286</v>
      </c>
      <c r="BM146" s="421" t="s">
        <v>2287</v>
      </c>
      <c r="BN146" s="421" t="s">
        <v>2225</v>
      </c>
      <c r="BO146" s="421">
        <v>0</v>
      </c>
      <c r="BR146" s="421">
        <v>0</v>
      </c>
      <c r="BS146" s="421">
        <v>0</v>
      </c>
      <c r="BT146" s="421">
        <v>0</v>
      </c>
      <c r="BU146" s="424">
        <v>42220</v>
      </c>
      <c r="BX146" s="421">
        <v>2866.04</v>
      </c>
      <c r="BY146" s="421" t="s">
        <v>1147</v>
      </c>
      <c r="BZ146" s="421">
        <v>3083.48</v>
      </c>
      <c r="CA146" s="421">
        <v>8837377.0192000009</v>
      </c>
      <c r="CB146" s="421">
        <v>1.23</v>
      </c>
      <c r="CC146" s="421">
        <v>0</v>
      </c>
      <c r="CD146" s="421">
        <v>1061.08</v>
      </c>
      <c r="CE146" s="421">
        <v>1062.31</v>
      </c>
      <c r="CF146" s="421">
        <v>0</v>
      </c>
      <c r="CG146" s="421">
        <v>4145.79</v>
      </c>
      <c r="CH146" s="421">
        <v>0</v>
      </c>
      <c r="CI146" s="421">
        <v>4145.79</v>
      </c>
      <c r="CJ146" s="421">
        <v>11881999.9716</v>
      </c>
      <c r="CK146" s="421">
        <v>0</v>
      </c>
      <c r="CL146" s="421">
        <v>11882000</v>
      </c>
      <c r="CM146" s="421">
        <v>0</v>
      </c>
      <c r="CN146" s="421">
        <v>0</v>
      </c>
      <c r="CO146" s="421">
        <v>0</v>
      </c>
      <c r="CP146" s="421">
        <v>0</v>
      </c>
      <c r="CQ146" s="421">
        <v>16</v>
      </c>
      <c r="CR146" s="421">
        <v>11882000</v>
      </c>
      <c r="CS146" s="421">
        <v>1901000</v>
      </c>
      <c r="CT146" s="421">
        <v>1901000</v>
      </c>
      <c r="CU146" s="421">
        <v>0</v>
      </c>
      <c r="CV146" s="421">
        <v>0</v>
      </c>
      <c r="CW146" s="421">
        <v>0</v>
      </c>
      <c r="CX146" s="421">
        <v>0</v>
      </c>
      <c r="CY146" s="421">
        <v>0</v>
      </c>
      <c r="CZ146" s="421">
        <v>0</v>
      </c>
      <c r="DA146" s="421">
        <v>0</v>
      </c>
      <c r="DB146" s="421">
        <v>0</v>
      </c>
      <c r="DC146" s="421">
        <v>0</v>
      </c>
      <c r="DD146" s="421">
        <v>0</v>
      </c>
      <c r="DE146" s="421">
        <v>0</v>
      </c>
      <c r="DF146" s="421">
        <v>0</v>
      </c>
      <c r="DG146" s="421">
        <v>0</v>
      </c>
      <c r="DH146" s="421">
        <v>0</v>
      </c>
      <c r="DI146" s="421">
        <v>0</v>
      </c>
      <c r="DJ146" s="421">
        <v>0</v>
      </c>
      <c r="DK146" s="421">
        <v>0</v>
      </c>
      <c r="DL146" s="421">
        <v>0</v>
      </c>
      <c r="DM146" s="421">
        <v>0</v>
      </c>
      <c r="DN146" s="421">
        <v>0</v>
      </c>
      <c r="DO146" s="421">
        <v>0</v>
      </c>
      <c r="DP146" s="421">
        <v>0</v>
      </c>
      <c r="DQ146" s="421">
        <v>0</v>
      </c>
      <c r="DR146" s="421">
        <v>0</v>
      </c>
      <c r="DS146" s="421">
        <v>0</v>
      </c>
      <c r="DT146" s="421">
        <v>0</v>
      </c>
      <c r="DU146" s="421">
        <v>0</v>
      </c>
      <c r="DV146" s="421">
        <v>0</v>
      </c>
      <c r="DW146" s="421">
        <v>0</v>
      </c>
      <c r="DX146" s="421">
        <v>0</v>
      </c>
      <c r="DY146" s="421">
        <v>1901000</v>
      </c>
      <c r="DZ146" s="421">
        <v>1901000</v>
      </c>
      <c r="EA146" s="421">
        <v>0</v>
      </c>
      <c r="EB146" s="421">
        <v>0</v>
      </c>
      <c r="EC146" s="421" t="s">
        <v>1148</v>
      </c>
      <c r="ED146" s="421" t="s">
        <v>1149</v>
      </c>
      <c r="EE146" s="421" t="s">
        <v>1149</v>
      </c>
    </row>
    <row r="147" spans="1:135" x14ac:dyDescent="0.25">
      <c r="A147" s="421">
        <v>144</v>
      </c>
      <c r="B147" s="421">
        <v>2015</v>
      </c>
      <c r="C147" s="421">
        <v>8</v>
      </c>
      <c r="D147" s="421">
        <v>6</v>
      </c>
      <c r="E147" s="424">
        <v>42222</v>
      </c>
      <c r="F147" s="421" t="s">
        <v>2288</v>
      </c>
      <c r="G147" s="421" t="s">
        <v>2289</v>
      </c>
      <c r="H147" s="421" t="s">
        <v>1152</v>
      </c>
      <c r="I147" s="421" t="s">
        <v>1107</v>
      </c>
      <c r="J147" s="421" t="s">
        <v>1108</v>
      </c>
      <c r="K147" s="421" t="s">
        <v>1202</v>
      </c>
      <c r="L147" s="421" t="s">
        <v>1110</v>
      </c>
      <c r="O147" s="421" t="s">
        <v>1111</v>
      </c>
      <c r="R147" s="421" t="s">
        <v>1111</v>
      </c>
      <c r="S147" s="421" t="s">
        <v>1112</v>
      </c>
      <c r="T147" s="421" t="s">
        <v>1113</v>
      </c>
      <c r="U147" s="421" t="s">
        <v>1114</v>
      </c>
      <c r="V147" s="421" t="s">
        <v>1115</v>
      </c>
      <c r="W147" s="421" t="s">
        <v>1116</v>
      </c>
      <c r="X147" s="421" t="s">
        <v>1117</v>
      </c>
      <c r="Y147" s="421" t="s">
        <v>1118</v>
      </c>
      <c r="Z147" s="421" t="s">
        <v>1119</v>
      </c>
      <c r="AA147" s="421" t="s">
        <v>1120</v>
      </c>
      <c r="AB147" s="421" t="s">
        <v>1121</v>
      </c>
      <c r="AC147" s="421" t="s">
        <v>1122</v>
      </c>
      <c r="AD147" s="421" t="s">
        <v>1479</v>
      </c>
      <c r="AE147" s="421" t="s">
        <v>1203</v>
      </c>
      <c r="AF147" s="421" t="s">
        <v>1204</v>
      </c>
      <c r="AG147" s="421" t="s">
        <v>2290</v>
      </c>
      <c r="AH147" s="421">
        <v>43000</v>
      </c>
      <c r="AI147" s="421" t="s">
        <v>1127</v>
      </c>
      <c r="AJ147" s="421">
        <v>2</v>
      </c>
      <c r="AK147" s="421">
        <v>1</v>
      </c>
      <c r="AL147" s="421" t="s">
        <v>1283</v>
      </c>
      <c r="AM147" s="421">
        <v>43000</v>
      </c>
      <c r="AN147" s="421">
        <v>43485</v>
      </c>
      <c r="AO147" s="421" t="s">
        <v>1120</v>
      </c>
      <c r="AP147" s="421" t="s">
        <v>1129</v>
      </c>
      <c r="AR147" s="421" t="s">
        <v>1130</v>
      </c>
      <c r="AT147" s="421" t="s">
        <v>1131</v>
      </c>
      <c r="AU147" s="421" t="s">
        <v>1319</v>
      </c>
      <c r="AV147" s="421" t="s">
        <v>1320</v>
      </c>
      <c r="AW147" s="421" t="s">
        <v>1207</v>
      </c>
      <c r="AX147" s="421" t="s">
        <v>1207</v>
      </c>
      <c r="AY147" s="421" t="s">
        <v>1208</v>
      </c>
      <c r="AZ147" s="421" t="s">
        <v>1121</v>
      </c>
      <c r="BA147" s="421" t="s">
        <v>1209</v>
      </c>
      <c r="BB147" s="421" t="s">
        <v>1208</v>
      </c>
      <c r="BC147" s="421" t="s">
        <v>1210</v>
      </c>
      <c r="BD147" s="421" t="s">
        <v>1211</v>
      </c>
      <c r="BE147" s="421" t="s">
        <v>1212</v>
      </c>
      <c r="BF147" s="421" t="s">
        <v>2291</v>
      </c>
      <c r="BG147" s="421" t="s">
        <v>2292</v>
      </c>
      <c r="BH147" s="421" t="s">
        <v>2293</v>
      </c>
      <c r="BI147" s="421" t="s">
        <v>1142</v>
      </c>
      <c r="BJ147" s="421" t="s">
        <v>1163</v>
      </c>
      <c r="BK147" s="421" t="s">
        <v>2289</v>
      </c>
      <c r="BL147" s="421" t="s">
        <v>2286</v>
      </c>
      <c r="BM147" s="421" t="s">
        <v>2294</v>
      </c>
      <c r="BN147" s="421" t="s">
        <v>2246</v>
      </c>
      <c r="BO147" s="421">
        <v>0</v>
      </c>
      <c r="BR147" s="421">
        <v>0</v>
      </c>
      <c r="BS147" s="421">
        <v>0</v>
      </c>
      <c r="BT147" s="421">
        <v>0</v>
      </c>
      <c r="BU147" s="424">
        <v>42211</v>
      </c>
      <c r="BX147" s="421">
        <v>2866.04</v>
      </c>
      <c r="BY147" s="421" t="s">
        <v>1147</v>
      </c>
      <c r="BZ147" s="421">
        <v>81700</v>
      </c>
      <c r="CA147" s="421">
        <v>234155468</v>
      </c>
      <c r="CB147" s="421">
        <v>32.68</v>
      </c>
      <c r="CC147" s="421">
        <v>0</v>
      </c>
      <c r="CD147" s="421">
        <v>2514</v>
      </c>
      <c r="CE147" s="421">
        <v>2546.6799999999998</v>
      </c>
      <c r="CF147" s="421">
        <v>0</v>
      </c>
      <c r="CG147" s="421">
        <v>84246.68</v>
      </c>
      <c r="CH147" s="421">
        <v>0</v>
      </c>
      <c r="CI147" s="421">
        <v>84246.68</v>
      </c>
      <c r="CJ147" s="421">
        <v>241454354.74720001</v>
      </c>
      <c r="CK147" s="421">
        <v>0</v>
      </c>
      <c r="CL147" s="421">
        <v>241454355</v>
      </c>
      <c r="CM147" s="421">
        <v>0</v>
      </c>
      <c r="CN147" s="421">
        <v>0</v>
      </c>
      <c r="CO147" s="421">
        <v>0</v>
      </c>
      <c r="CP147" s="421">
        <v>0</v>
      </c>
      <c r="CQ147" s="421">
        <v>0</v>
      </c>
      <c r="CR147" s="421">
        <v>241454355</v>
      </c>
      <c r="CS147" s="421">
        <v>0</v>
      </c>
      <c r="CT147" s="421">
        <v>0</v>
      </c>
      <c r="CU147" s="421">
        <v>0</v>
      </c>
      <c r="CV147" s="421">
        <v>0</v>
      </c>
      <c r="CW147" s="421">
        <v>0</v>
      </c>
      <c r="CX147" s="421">
        <v>0</v>
      </c>
      <c r="CY147" s="421">
        <v>0</v>
      </c>
      <c r="CZ147" s="421">
        <v>0</v>
      </c>
      <c r="DA147" s="421">
        <v>0</v>
      </c>
      <c r="DB147" s="421">
        <v>0</v>
      </c>
      <c r="DC147" s="421">
        <v>0</v>
      </c>
      <c r="DD147" s="421">
        <v>0</v>
      </c>
      <c r="DE147" s="421">
        <v>0</v>
      </c>
      <c r="DF147" s="421">
        <v>0</v>
      </c>
      <c r="DG147" s="421">
        <v>0</v>
      </c>
      <c r="DH147" s="421">
        <v>0</v>
      </c>
      <c r="DI147" s="421">
        <v>0</v>
      </c>
      <c r="DJ147" s="421">
        <v>0</v>
      </c>
      <c r="DK147" s="421">
        <v>0</v>
      </c>
      <c r="DL147" s="421">
        <v>0</v>
      </c>
      <c r="DM147" s="421">
        <v>0</v>
      </c>
      <c r="DN147" s="421">
        <v>0</v>
      </c>
      <c r="DO147" s="421">
        <v>0</v>
      </c>
      <c r="DP147" s="421">
        <v>0</v>
      </c>
      <c r="DQ147" s="421">
        <v>0</v>
      </c>
      <c r="DR147" s="421">
        <v>0</v>
      </c>
      <c r="DS147" s="421">
        <v>0</v>
      </c>
      <c r="DT147" s="421">
        <v>0</v>
      </c>
      <c r="DU147" s="421">
        <v>0</v>
      </c>
      <c r="DV147" s="421">
        <v>0</v>
      </c>
      <c r="DW147" s="421">
        <v>0</v>
      </c>
      <c r="DX147" s="421">
        <v>0</v>
      </c>
      <c r="DY147" s="421">
        <v>0</v>
      </c>
      <c r="DZ147" s="421">
        <v>0</v>
      </c>
      <c r="EA147" s="421">
        <v>0</v>
      </c>
      <c r="EB147" s="421">
        <v>0</v>
      </c>
      <c r="EC147" s="421" t="s">
        <v>1148</v>
      </c>
      <c r="ED147" s="421" t="s">
        <v>1149</v>
      </c>
      <c r="EE147" s="421" t="s">
        <v>1149</v>
      </c>
    </row>
    <row r="148" spans="1:135" x14ac:dyDescent="0.25">
      <c r="A148" s="421">
        <v>145</v>
      </c>
      <c r="B148" s="421">
        <v>2015</v>
      </c>
      <c r="C148" s="421">
        <v>8</v>
      </c>
      <c r="D148" s="421">
        <v>10</v>
      </c>
      <c r="E148" s="424">
        <v>42226</v>
      </c>
      <c r="F148" s="421" t="s">
        <v>2295</v>
      </c>
      <c r="G148" s="421" t="s">
        <v>2296</v>
      </c>
      <c r="H148" s="421" t="s">
        <v>1152</v>
      </c>
      <c r="I148" s="421" t="s">
        <v>1107</v>
      </c>
      <c r="J148" s="421" t="s">
        <v>1108</v>
      </c>
      <c r="K148" s="421" t="s">
        <v>1109</v>
      </c>
      <c r="L148" s="421" t="s">
        <v>1110</v>
      </c>
      <c r="O148" s="421" t="s">
        <v>1111</v>
      </c>
      <c r="R148" s="421" t="s">
        <v>1111</v>
      </c>
      <c r="S148" s="421" t="s">
        <v>1112</v>
      </c>
      <c r="T148" s="421" t="s">
        <v>1113</v>
      </c>
      <c r="U148" s="421" t="s">
        <v>1114</v>
      </c>
      <c r="V148" s="421" t="s">
        <v>1115</v>
      </c>
      <c r="W148" s="421" t="s">
        <v>1116</v>
      </c>
      <c r="X148" s="421" t="s">
        <v>1117</v>
      </c>
      <c r="Y148" s="421" t="s">
        <v>1118</v>
      </c>
      <c r="Z148" s="421" t="s">
        <v>1119</v>
      </c>
      <c r="AA148" s="421" t="s">
        <v>1120</v>
      </c>
      <c r="AB148" s="421" t="s">
        <v>1121</v>
      </c>
      <c r="AC148" s="421" t="s">
        <v>1122</v>
      </c>
      <c r="AD148" s="421" t="s">
        <v>1479</v>
      </c>
      <c r="AE148" s="421" t="s">
        <v>1300</v>
      </c>
      <c r="AF148" s="421" t="s">
        <v>1301</v>
      </c>
      <c r="AG148" s="421" t="s">
        <v>2297</v>
      </c>
      <c r="AH148" s="421">
        <v>1628.9</v>
      </c>
      <c r="AI148" s="421" t="s">
        <v>1127</v>
      </c>
      <c r="AJ148" s="421">
        <v>1108</v>
      </c>
      <c r="AK148" s="421">
        <v>7</v>
      </c>
      <c r="AL148" s="421" t="s">
        <v>1173</v>
      </c>
      <c r="AM148" s="421">
        <v>1628.9</v>
      </c>
      <c r="AN148" s="421">
        <v>1775.5</v>
      </c>
      <c r="AO148" s="421" t="s">
        <v>1120</v>
      </c>
      <c r="AP148" s="421" t="s">
        <v>1129</v>
      </c>
      <c r="AR148" s="421" t="s">
        <v>1130</v>
      </c>
      <c r="AT148" s="421" t="s">
        <v>1131</v>
      </c>
      <c r="AU148" s="421" t="s">
        <v>1303</v>
      </c>
      <c r="AV148" s="421" t="s">
        <v>1304</v>
      </c>
      <c r="AW148" s="421" t="s">
        <v>960</v>
      </c>
      <c r="AX148" s="421" t="s">
        <v>960</v>
      </c>
      <c r="AY148" s="421" t="s">
        <v>960</v>
      </c>
      <c r="AZ148" s="421" t="s">
        <v>1121</v>
      </c>
      <c r="BA148" s="421" t="s">
        <v>1305</v>
      </c>
      <c r="BB148" s="421" t="s">
        <v>960</v>
      </c>
      <c r="BC148" s="421" t="s">
        <v>1175</v>
      </c>
      <c r="BD148" s="421" t="s">
        <v>1306</v>
      </c>
      <c r="BE148" s="421" t="s">
        <v>1885</v>
      </c>
      <c r="BF148" s="421" t="s">
        <v>2230</v>
      </c>
      <c r="BG148" s="421" t="s">
        <v>2231</v>
      </c>
      <c r="BH148" s="421" t="s">
        <v>2298</v>
      </c>
      <c r="BI148" s="421" t="s">
        <v>1142</v>
      </c>
      <c r="BJ148" s="421" t="s">
        <v>1243</v>
      </c>
      <c r="BK148" s="421" t="s">
        <v>2296</v>
      </c>
      <c r="BL148" s="421" t="s">
        <v>2299</v>
      </c>
      <c r="BM148" s="421" t="s">
        <v>2300</v>
      </c>
      <c r="BN148" s="421" t="s">
        <v>2112</v>
      </c>
      <c r="BO148" s="421">
        <v>0</v>
      </c>
      <c r="BR148" s="421">
        <v>0</v>
      </c>
      <c r="BS148" s="421">
        <v>0</v>
      </c>
      <c r="BT148" s="421">
        <v>0</v>
      </c>
      <c r="BU148" s="424">
        <v>42172</v>
      </c>
      <c r="BX148" s="421">
        <v>2945.97</v>
      </c>
      <c r="BY148" s="421" t="s">
        <v>1183</v>
      </c>
      <c r="BZ148" s="421">
        <v>11736.67</v>
      </c>
      <c r="CA148" s="421">
        <v>34575877.719899997</v>
      </c>
      <c r="CB148" s="421">
        <v>4.66</v>
      </c>
      <c r="CC148" s="421">
        <v>0</v>
      </c>
      <c r="CD148" s="421">
        <v>584.96</v>
      </c>
      <c r="CE148" s="421">
        <v>589.62</v>
      </c>
      <c r="CF148" s="421">
        <v>0</v>
      </c>
      <c r="CG148" s="421">
        <v>12326.29</v>
      </c>
      <c r="CH148" s="421">
        <v>0</v>
      </c>
      <c r="CI148" s="421">
        <v>12326.29</v>
      </c>
      <c r="CJ148" s="421">
        <v>36312880.551299997</v>
      </c>
      <c r="CK148" s="421">
        <v>15</v>
      </c>
      <c r="CL148" s="421">
        <v>36312881</v>
      </c>
      <c r="CM148" s="421">
        <v>5447000</v>
      </c>
      <c r="CN148" s="421">
        <v>5447000</v>
      </c>
      <c r="CO148" s="421">
        <v>0</v>
      </c>
      <c r="CP148" s="421">
        <v>0</v>
      </c>
      <c r="CQ148" s="421">
        <v>16</v>
      </c>
      <c r="CR148" s="421">
        <v>41759881</v>
      </c>
      <c r="CS148" s="421">
        <v>6682000</v>
      </c>
      <c r="CT148" s="421">
        <v>6682000</v>
      </c>
      <c r="CU148" s="421">
        <v>0</v>
      </c>
      <c r="CV148" s="421">
        <v>0</v>
      </c>
      <c r="CW148" s="421">
        <v>0</v>
      </c>
      <c r="CX148" s="421">
        <v>0</v>
      </c>
      <c r="CY148" s="421">
        <v>0</v>
      </c>
      <c r="CZ148" s="421">
        <v>0</v>
      </c>
      <c r="DA148" s="421">
        <v>0</v>
      </c>
      <c r="DB148" s="421">
        <v>0</v>
      </c>
      <c r="DC148" s="421">
        <v>0</v>
      </c>
      <c r="DD148" s="421">
        <v>0</v>
      </c>
      <c r="DE148" s="421">
        <v>0</v>
      </c>
      <c r="DF148" s="421">
        <v>0</v>
      </c>
      <c r="DG148" s="421">
        <v>0</v>
      </c>
      <c r="DH148" s="421">
        <v>0</v>
      </c>
      <c r="DI148" s="421">
        <v>0</v>
      </c>
      <c r="DJ148" s="421">
        <v>0</v>
      </c>
      <c r="DK148" s="421">
        <v>0</v>
      </c>
      <c r="DL148" s="421">
        <v>0</v>
      </c>
      <c r="DM148" s="421">
        <v>0</v>
      </c>
      <c r="DN148" s="421">
        <v>0</v>
      </c>
      <c r="DO148" s="421">
        <v>0</v>
      </c>
      <c r="DP148" s="421">
        <v>0</v>
      </c>
      <c r="DQ148" s="421">
        <v>0</v>
      </c>
      <c r="DR148" s="421">
        <v>0</v>
      </c>
      <c r="DS148" s="421">
        <v>0</v>
      </c>
      <c r="DT148" s="421">
        <v>0</v>
      </c>
      <c r="DU148" s="421">
        <v>0</v>
      </c>
      <c r="DV148" s="421">
        <v>0</v>
      </c>
      <c r="DW148" s="421">
        <v>0</v>
      </c>
      <c r="DX148" s="421">
        <v>0</v>
      </c>
      <c r="DY148" s="421">
        <v>12129000</v>
      </c>
      <c r="DZ148" s="421">
        <v>12129000</v>
      </c>
      <c r="EA148" s="421">
        <v>0</v>
      </c>
      <c r="EB148" s="421">
        <v>0</v>
      </c>
      <c r="EC148" s="421" t="s">
        <v>1148</v>
      </c>
      <c r="ED148" s="421" t="s">
        <v>1167</v>
      </c>
      <c r="EE148" s="421" t="s">
        <v>1167</v>
      </c>
    </row>
    <row r="149" spans="1:135" x14ac:dyDescent="0.25">
      <c r="A149" s="421">
        <v>146</v>
      </c>
      <c r="B149" s="421">
        <v>2015</v>
      </c>
      <c r="C149" s="421">
        <v>8</v>
      </c>
      <c r="D149" s="421">
        <v>10</v>
      </c>
      <c r="E149" s="424">
        <v>42226</v>
      </c>
      <c r="F149" s="421" t="s">
        <v>2301</v>
      </c>
      <c r="G149" s="421" t="s">
        <v>2302</v>
      </c>
      <c r="H149" s="421" t="s">
        <v>1152</v>
      </c>
      <c r="I149" s="421" t="s">
        <v>1107</v>
      </c>
      <c r="J149" s="421" t="s">
        <v>1108</v>
      </c>
      <c r="K149" s="421" t="s">
        <v>1109</v>
      </c>
      <c r="L149" s="421" t="s">
        <v>1110</v>
      </c>
      <c r="O149" s="421" t="s">
        <v>1111</v>
      </c>
      <c r="R149" s="421" t="s">
        <v>1111</v>
      </c>
      <c r="S149" s="421" t="s">
        <v>1112</v>
      </c>
      <c r="T149" s="421" t="s">
        <v>1113</v>
      </c>
      <c r="U149" s="421" t="s">
        <v>1114</v>
      </c>
      <c r="V149" s="421" t="s">
        <v>1115</v>
      </c>
      <c r="W149" s="421" t="s">
        <v>1116</v>
      </c>
      <c r="X149" s="421" t="s">
        <v>1117</v>
      </c>
      <c r="Y149" s="421" t="s">
        <v>1118</v>
      </c>
      <c r="Z149" s="421" t="s">
        <v>1119</v>
      </c>
      <c r="AA149" s="421" t="s">
        <v>1120</v>
      </c>
      <c r="AB149" s="421" t="s">
        <v>1121</v>
      </c>
      <c r="AC149" s="421" t="s">
        <v>1122</v>
      </c>
      <c r="AD149" s="421" t="s">
        <v>1479</v>
      </c>
      <c r="AE149" s="421" t="s">
        <v>1632</v>
      </c>
      <c r="AF149" s="421" t="s">
        <v>1633</v>
      </c>
      <c r="AG149" s="421" t="s">
        <v>2303</v>
      </c>
      <c r="AH149" s="421">
        <v>2465.04</v>
      </c>
      <c r="AI149" s="421" t="s">
        <v>1127</v>
      </c>
      <c r="AJ149" s="421">
        <v>1108</v>
      </c>
      <c r="AK149" s="421">
        <v>7</v>
      </c>
      <c r="AL149" s="421" t="s">
        <v>1173</v>
      </c>
      <c r="AM149" s="421">
        <v>2465.04</v>
      </c>
      <c r="AN149" s="421">
        <v>2686.89</v>
      </c>
      <c r="AO149" s="421" t="s">
        <v>1120</v>
      </c>
      <c r="AP149" s="421" t="s">
        <v>1129</v>
      </c>
      <c r="AR149" s="421" t="s">
        <v>1130</v>
      </c>
      <c r="AT149" s="421" t="s">
        <v>1131</v>
      </c>
      <c r="AU149" s="421" t="s">
        <v>1303</v>
      </c>
      <c r="AV149" s="421" t="s">
        <v>1304</v>
      </c>
      <c r="AW149" s="421" t="s">
        <v>960</v>
      </c>
      <c r="AX149" s="421" t="s">
        <v>960</v>
      </c>
      <c r="AY149" s="421" t="s">
        <v>960</v>
      </c>
      <c r="AZ149" s="421" t="s">
        <v>1121</v>
      </c>
      <c r="BA149" s="421" t="s">
        <v>1305</v>
      </c>
      <c r="BB149" s="421" t="s">
        <v>960</v>
      </c>
      <c r="BC149" s="421" t="s">
        <v>1175</v>
      </c>
      <c r="BD149" s="421" t="s">
        <v>1306</v>
      </c>
      <c r="BE149" s="421" t="s">
        <v>1885</v>
      </c>
      <c r="BF149" s="421" t="s">
        <v>2230</v>
      </c>
      <c r="BG149" s="421" t="s">
        <v>2231</v>
      </c>
      <c r="BH149" s="421" t="s">
        <v>2298</v>
      </c>
      <c r="BI149" s="421" t="s">
        <v>1142</v>
      </c>
      <c r="BJ149" s="421" t="s">
        <v>1243</v>
      </c>
      <c r="BK149" s="421" t="s">
        <v>2302</v>
      </c>
      <c r="BL149" s="421" t="s">
        <v>2299</v>
      </c>
      <c r="BM149" s="421" t="s">
        <v>2300</v>
      </c>
      <c r="BN149" s="421" t="s">
        <v>2112</v>
      </c>
      <c r="BO149" s="421">
        <v>0</v>
      </c>
      <c r="BR149" s="421">
        <v>0</v>
      </c>
      <c r="BS149" s="421">
        <v>0</v>
      </c>
      <c r="BT149" s="421">
        <v>0</v>
      </c>
      <c r="BU149" s="424">
        <v>42172</v>
      </c>
      <c r="BX149" s="421">
        <v>2945.97</v>
      </c>
      <c r="BY149" s="421" t="s">
        <v>1183</v>
      </c>
      <c r="BZ149" s="421">
        <v>8466.49</v>
      </c>
      <c r="CA149" s="421">
        <v>24942025.545299999</v>
      </c>
      <c r="CB149" s="421">
        <v>3.41</v>
      </c>
      <c r="CC149" s="421">
        <v>0</v>
      </c>
      <c r="CD149" s="421">
        <v>885.23</v>
      </c>
      <c r="CE149" s="421">
        <v>888.64</v>
      </c>
      <c r="CF149" s="421">
        <v>0</v>
      </c>
      <c r="CG149" s="421">
        <v>9355.1299999999992</v>
      </c>
      <c r="CH149" s="421">
        <v>0</v>
      </c>
      <c r="CI149" s="421">
        <v>9355.1299999999992</v>
      </c>
      <c r="CJ149" s="421">
        <v>27559932.326099999</v>
      </c>
      <c r="CK149" s="421">
        <v>15</v>
      </c>
      <c r="CL149" s="421">
        <v>27559932</v>
      </c>
      <c r="CM149" s="421">
        <v>4134000</v>
      </c>
      <c r="CN149" s="421">
        <v>4134000</v>
      </c>
      <c r="CO149" s="421">
        <v>0</v>
      </c>
      <c r="CP149" s="421">
        <v>0</v>
      </c>
      <c r="CQ149" s="421">
        <v>16</v>
      </c>
      <c r="CR149" s="421">
        <v>31693932</v>
      </c>
      <c r="CS149" s="421">
        <v>5071000</v>
      </c>
      <c r="CT149" s="421">
        <v>5071000</v>
      </c>
      <c r="CU149" s="421">
        <v>0</v>
      </c>
      <c r="CV149" s="421">
        <v>0</v>
      </c>
      <c r="CW149" s="421">
        <v>0</v>
      </c>
      <c r="CX149" s="421">
        <v>0</v>
      </c>
      <c r="CY149" s="421">
        <v>0</v>
      </c>
      <c r="CZ149" s="421">
        <v>0</v>
      </c>
      <c r="DA149" s="421">
        <v>0</v>
      </c>
      <c r="DB149" s="421">
        <v>0</v>
      </c>
      <c r="DC149" s="421">
        <v>0</v>
      </c>
      <c r="DD149" s="421">
        <v>0</v>
      </c>
      <c r="DE149" s="421">
        <v>0</v>
      </c>
      <c r="DF149" s="421">
        <v>0</v>
      </c>
      <c r="DG149" s="421">
        <v>0</v>
      </c>
      <c r="DH149" s="421">
        <v>0</v>
      </c>
      <c r="DI149" s="421">
        <v>0</v>
      </c>
      <c r="DJ149" s="421">
        <v>0</v>
      </c>
      <c r="DK149" s="421">
        <v>0</v>
      </c>
      <c r="DL149" s="421">
        <v>0</v>
      </c>
      <c r="DM149" s="421">
        <v>0</v>
      </c>
      <c r="DN149" s="421">
        <v>0</v>
      </c>
      <c r="DO149" s="421">
        <v>0</v>
      </c>
      <c r="DP149" s="421">
        <v>0</v>
      </c>
      <c r="DQ149" s="421">
        <v>0</v>
      </c>
      <c r="DR149" s="421">
        <v>0</v>
      </c>
      <c r="DS149" s="421">
        <v>0</v>
      </c>
      <c r="DT149" s="421">
        <v>0</v>
      </c>
      <c r="DU149" s="421">
        <v>0</v>
      </c>
      <c r="DV149" s="421">
        <v>0</v>
      </c>
      <c r="DW149" s="421">
        <v>0</v>
      </c>
      <c r="DX149" s="421">
        <v>0</v>
      </c>
      <c r="DY149" s="421">
        <v>9205000</v>
      </c>
      <c r="DZ149" s="421">
        <v>9205000</v>
      </c>
      <c r="EA149" s="421">
        <v>0</v>
      </c>
      <c r="EB149" s="421">
        <v>0</v>
      </c>
      <c r="EC149" s="421" t="s">
        <v>1148</v>
      </c>
      <c r="ED149" s="421" t="s">
        <v>1167</v>
      </c>
      <c r="EE149" s="421" t="s">
        <v>1167</v>
      </c>
    </row>
    <row r="150" spans="1:135" x14ac:dyDescent="0.25">
      <c r="A150" s="421">
        <v>147</v>
      </c>
      <c r="B150" s="421">
        <v>2015</v>
      </c>
      <c r="C150" s="421">
        <v>8</v>
      </c>
      <c r="D150" s="421">
        <v>10</v>
      </c>
      <c r="E150" s="424">
        <v>42226</v>
      </c>
      <c r="F150" s="421" t="s">
        <v>2304</v>
      </c>
      <c r="G150" s="421" t="s">
        <v>2305</v>
      </c>
      <c r="H150" s="421" t="s">
        <v>1152</v>
      </c>
      <c r="I150" s="421" t="s">
        <v>1107</v>
      </c>
      <c r="J150" s="421" t="s">
        <v>1108</v>
      </c>
      <c r="K150" s="421" t="s">
        <v>1109</v>
      </c>
      <c r="L150" s="421" t="s">
        <v>1110</v>
      </c>
      <c r="O150" s="421" t="s">
        <v>1111</v>
      </c>
      <c r="R150" s="421" t="s">
        <v>1111</v>
      </c>
      <c r="S150" s="421" t="s">
        <v>1112</v>
      </c>
      <c r="T150" s="421" t="s">
        <v>1113</v>
      </c>
      <c r="U150" s="421" t="s">
        <v>1114</v>
      </c>
      <c r="V150" s="421" t="s">
        <v>1115</v>
      </c>
      <c r="W150" s="421" t="s">
        <v>1116</v>
      </c>
      <c r="X150" s="421" t="s">
        <v>1117</v>
      </c>
      <c r="Y150" s="421" t="s">
        <v>1118</v>
      </c>
      <c r="Z150" s="421" t="s">
        <v>1119</v>
      </c>
      <c r="AA150" s="421" t="s">
        <v>1120</v>
      </c>
      <c r="AB150" s="421" t="s">
        <v>1121</v>
      </c>
      <c r="AC150" s="421" t="s">
        <v>1122</v>
      </c>
      <c r="AD150" s="421" t="s">
        <v>1479</v>
      </c>
      <c r="AE150" s="421" t="s">
        <v>1896</v>
      </c>
      <c r="AF150" s="421" t="s">
        <v>1897</v>
      </c>
      <c r="AG150" s="421" t="s">
        <v>2306</v>
      </c>
      <c r="AH150" s="421">
        <v>13680</v>
      </c>
      <c r="AI150" s="421" t="s">
        <v>1189</v>
      </c>
      <c r="AJ150" s="421">
        <v>1108</v>
      </c>
      <c r="AK150" s="421">
        <v>7</v>
      </c>
      <c r="AL150" s="421" t="s">
        <v>1173</v>
      </c>
      <c r="AM150" s="421">
        <v>1140</v>
      </c>
      <c r="AN150" s="421">
        <v>1242.5999999999999</v>
      </c>
      <c r="AO150" s="421" t="s">
        <v>1120</v>
      </c>
      <c r="AP150" s="421" t="s">
        <v>1129</v>
      </c>
      <c r="AR150" s="421" t="s">
        <v>1130</v>
      </c>
      <c r="AT150" s="421" t="s">
        <v>1131</v>
      </c>
      <c r="AU150" s="421" t="s">
        <v>1303</v>
      </c>
      <c r="AV150" s="421" t="s">
        <v>1304</v>
      </c>
      <c r="AW150" s="421" t="s">
        <v>960</v>
      </c>
      <c r="AX150" s="421" t="s">
        <v>960</v>
      </c>
      <c r="AY150" s="421" t="s">
        <v>960</v>
      </c>
      <c r="AZ150" s="421" t="s">
        <v>1121</v>
      </c>
      <c r="BA150" s="421" t="s">
        <v>1305</v>
      </c>
      <c r="BB150" s="421" t="s">
        <v>960</v>
      </c>
      <c r="BC150" s="421" t="s">
        <v>1175</v>
      </c>
      <c r="BD150" s="421" t="s">
        <v>1306</v>
      </c>
      <c r="BE150" s="421" t="s">
        <v>1885</v>
      </c>
      <c r="BF150" s="421" t="s">
        <v>2230</v>
      </c>
      <c r="BG150" s="421" t="s">
        <v>2231</v>
      </c>
      <c r="BH150" s="421" t="s">
        <v>2298</v>
      </c>
      <c r="BI150" s="421" t="s">
        <v>1142</v>
      </c>
      <c r="BJ150" s="421" t="s">
        <v>1243</v>
      </c>
      <c r="BK150" s="421" t="s">
        <v>2305</v>
      </c>
      <c r="BL150" s="421" t="s">
        <v>2299</v>
      </c>
      <c r="BM150" s="421" t="s">
        <v>2300</v>
      </c>
      <c r="BN150" s="421" t="s">
        <v>2112</v>
      </c>
      <c r="BO150" s="421">
        <v>0</v>
      </c>
      <c r="BR150" s="421">
        <v>0</v>
      </c>
      <c r="BS150" s="421">
        <v>0</v>
      </c>
      <c r="BT150" s="421">
        <v>0</v>
      </c>
      <c r="BU150" s="424">
        <v>42172</v>
      </c>
      <c r="BX150" s="421">
        <v>2945.97</v>
      </c>
      <c r="BY150" s="421" t="s">
        <v>1183</v>
      </c>
      <c r="BZ150" s="421">
        <v>4510.68</v>
      </c>
      <c r="CA150" s="421">
        <v>13288327.9596</v>
      </c>
      <c r="CB150" s="421">
        <v>1.81</v>
      </c>
      <c r="CC150" s="421">
        <v>0</v>
      </c>
      <c r="CD150" s="421">
        <v>409.4</v>
      </c>
      <c r="CE150" s="421">
        <v>411.21</v>
      </c>
      <c r="CF150" s="421">
        <v>0</v>
      </c>
      <c r="CG150" s="421">
        <v>4921.8900000000003</v>
      </c>
      <c r="CH150" s="421">
        <v>0</v>
      </c>
      <c r="CI150" s="421">
        <v>4921.8900000000003</v>
      </c>
      <c r="CJ150" s="421">
        <v>14499740.283299999</v>
      </c>
      <c r="CK150" s="421">
        <v>15</v>
      </c>
      <c r="CL150" s="421">
        <v>14499740</v>
      </c>
      <c r="CM150" s="421">
        <v>2175000</v>
      </c>
      <c r="CN150" s="421">
        <v>2175000</v>
      </c>
      <c r="CO150" s="421">
        <v>0</v>
      </c>
      <c r="CP150" s="421">
        <v>0</v>
      </c>
      <c r="CQ150" s="421">
        <v>16</v>
      </c>
      <c r="CR150" s="421">
        <v>16674740</v>
      </c>
      <c r="CS150" s="421">
        <v>2668000</v>
      </c>
      <c r="CT150" s="421">
        <v>2668000</v>
      </c>
      <c r="CU150" s="421">
        <v>0</v>
      </c>
      <c r="CV150" s="421">
        <v>0</v>
      </c>
      <c r="CW150" s="421">
        <v>0</v>
      </c>
      <c r="CX150" s="421">
        <v>0</v>
      </c>
      <c r="CY150" s="421">
        <v>0</v>
      </c>
      <c r="CZ150" s="421">
        <v>0</v>
      </c>
      <c r="DA150" s="421">
        <v>0</v>
      </c>
      <c r="DB150" s="421">
        <v>0</v>
      </c>
      <c r="DC150" s="421">
        <v>0</v>
      </c>
      <c r="DD150" s="421">
        <v>0</v>
      </c>
      <c r="DE150" s="421">
        <v>0</v>
      </c>
      <c r="DF150" s="421">
        <v>0</v>
      </c>
      <c r="DG150" s="421">
        <v>0</v>
      </c>
      <c r="DH150" s="421">
        <v>0</v>
      </c>
      <c r="DI150" s="421">
        <v>0</v>
      </c>
      <c r="DJ150" s="421">
        <v>0</v>
      </c>
      <c r="DK150" s="421">
        <v>0</v>
      </c>
      <c r="DL150" s="421">
        <v>0</v>
      </c>
      <c r="DM150" s="421">
        <v>0</v>
      </c>
      <c r="DN150" s="421">
        <v>0</v>
      </c>
      <c r="DO150" s="421">
        <v>0</v>
      </c>
      <c r="DP150" s="421">
        <v>0</v>
      </c>
      <c r="DQ150" s="421">
        <v>0</v>
      </c>
      <c r="DR150" s="421">
        <v>0</v>
      </c>
      <c r="DS150" s="421">
        <v>0</v>
      </c>
      <c r="DT150" s="421">
        <v>0</v>
      </c>
      <c r="DU150" s="421">
        <v>0</v>
      </c>
      <c r="DV150" s="421">
        <v>0</v>
      </c>
      <c r="DW150" s="421">
        <v>0</v>
      </c>
      <c r="DX150" s="421">
        <v>0</v>
      </c>
      <c r="DY150" s="421">
        <v>4843000</v>
      </c>
      <c r="DZ150" s="421">
        <v>4843000</v>
      </c>
      <c r="EA150" s="421">
        <v>0</v>
      </c>
      <c r="EB150" s="421">
        <v>0</v>
      </c>
      <c r="EC150" s="421" t="s">
        <v>1148</v>
      </c>
      <c r="ED150" s="421" t="s">
        <v>1167</v>
      </c>
      <c r="EE150" s="421" t="s">
        <v>1167</v>
      </c>
    </row>
    <row r="151" spans="1:135" x14ac:dyDescent="0.25">
      <c r="A151" s="421">
        <v>148</v>
      </c>
      <c r="B151" s="421">
        <v>2015</v>
      </c>
      <c r="C151" s="421">
        <v>8</v>
      </c>
      <c r="D151" s="421">
        <v>10</v>
      </c>
      <c r="E151" s="424">
        <v>42226</v>
      </c>
      <c r="F151" s="421" t="s">
        <v>2307</v>
      </c>
      <c r="G151" s="421" t="s">
        <v>2308</v>
      </c>
      <c r="H151" s="421" t="s">
        <v>1152</v>
      </c>
      <c r="I151" s="421" t="s">
        <v>1107</v>
      </c>
      <c r="J151" s="421" t="s">
        <v>1108</v>
      </c>
      <c r="K151" s="421" t="s">
        <v>1109</v>
      </c>
      <c r="L151" s="421" t="s">
        <v>1110</v>
      </c>
      <c r="O151" s="421" t="s">
        <v>1111</v>
      </c>
      <c r="R151" s="421" t="s">
        <v>1111</v>
      </c>
      <c r="S151" s="421" t="s">
        <v>1112</v>
      </c>
      <c r="T151" s="421" t="s">
        <v>1113</v>
      </c>
      <c r="U151" s="421" t="s">
        <v>1114</v>
      </c>
      <c r="V151" s="421" t="s">
        <v>1115</v>
      </c>
      <c r="W151" s="421" t="s">
        <v>1116</v>
      </c>
      <c r="X151" s="421" t="s">
        <v>1117</v>
      </c>
      <c r="Y151" s="421" t="s">
        <v>1118</v>
      </c>
      <c r="Z151" s="421" t="s">
        <v>1119</v>
      </c>
      <c r="AA151" s="421" t="s">
        <v>1120</v>
      </c>
      <c r="AB151" s="421" t="s">
        <v>1121</v>
      </c>
      <c r="AC151" s="421" t="s">
        <v>1122</v>
      </c>
      <c r="AD151" s="421" t="s">
        <v>1479</v>
      </c>
      <c r="AE151" s="421" t="s">
        <v>2182</v>
      </c>
      <c r="AF151" s="421" t="s">
        <v>2183</v>
      </c>
      <c r="AG151" s="421" t="s">
        <v>2309</v>
      </c>
      <c r="AH151" s="421">
        <v>14208</v>
      </c>
      <c r="AI151" s="421" t="s">
        <v>1189</v>
      </c>
      <c r="AJ151" s="421">
        <v>1108</v>
      </c>
      <c r="AK151" s="421">
        <v>7</v>
      </c>
      <c r="AL151" s="421" t="s">
        <v>1173</v>
      </c>
      <c r="AM151" s="421">
        <v>1690.16</v>
      </c>
      <c r="AN151" s="421">
        <v>1842.27</v>
      </c>
      <c r="AO151" s="421" t="s">
        <v>1120</v>
      </c>
      <c r="AP151" s="421" t="s">
        <v>1129</v>
      </c>
      <c r="AR151" s="421" t="s">
        <v>1130</v>
      </c>
      <c r="AT151" s="421" t="s">
        <v>1131</v>
      </c>
      <c r="AU151" s="421" t="s">
        <v>1303</v>
      </c>
      <c r="AV151" s="421" t="s">
        <v>1304</v>
      </c>
      <c r="AW151" s="421" t="s">
        <v>960</v>
      </c>
      <c r="AX151" s="421" t="s">
        <v>960</v>
      </c>
      <c r="AY151" s="421" t="s">
        <v>960</v>
      </c>
      <c r="AZ151" s="421" t="s">
        <v>1121</v>
      </c>
      <c r="BA151" s="421" t="s">
        <v>1305</v>
      </c>
      <c r="BB151" s="421" t="s">
        <v>960</v>
      </c>
      <c r="BC151" s="421" t="s">
        <v>1175</v>
      </c>
      <c r="BD151" s="421" t="s">
        <v>1306</v>
      </c>
      <c r="BE151" s="421" t="s">
        <v>1885</v>
      </c>
      <c r="BF151" s="421" t="s">
        <v>2230</v>
      </c>
      <c r="BG151" s="421" t="s">
        <v>2231</v>
      </c>
      <c r="BH151" s="421" t="s">
        <v>2298</v>
      </c>
      <c r="BI151" s="421" t="s">
        <v>1142</v>
      </c>
      <c r="BJ151" s="421" t="s">
        <v>1243</v>
      </c>
      <c r="BK151" s="421" t="s">
        <v>2308</v>
      </c>
      <c r="BL151" s="421" t="s">
        <v>2299</v>
      </c>
      <c r="BM151" s="421" t="s">
        <v>2300</v>
      </c>
      <c r="BN151" s="421" t="s">
        <v>2112</v>
      </c>
      <c r="BO151" s="421">
        <v>0</v>
      </c>
      <c r="BR151" s="421">
        <v>0</v>
      </c>
      <c r="BS151" s="421">
        <v>0</v>
      </c>
      <c r="BT151" s="421">
        <v>0</v>
      </c>
      <c r="BU151" s="424">
        <v>42172</v>
      </c>
      <c r="BX151" s="421">
        <v>2945.97</v>
      </c>
      <c r="BY151" s="421" t="s">
        <v>1183</v>
      </c>
      <c r="BZ151" s="421">
        <v>5563.18</v>
      </c>
      <c r="CA151" s="421">
        <v>16388961.3846</v>
      </c>
      <c r="CB151" s="421">
        <v>2.23</v>
      </c>
      <c r="CC151" s="421">
        <v>0</v>
      </c>
      <c r="CD151" s="421">
        <v>606.98</v>
      </c>
      <c r="CE151" s="421">
        <v>609.21</v>
      </c>
      <c r="CF151" s="421">
        <v>0</v>
      </c>
      <c r="CG151" s="421">
        <v>6172.39</v>
      </c>
      <c r="CH151" s="421">
        <v>0</v>
      </c>
      <c r="CI151" s="421">
        <v>6172.39</v>
      </c>
      <c r="CJ151" s="421">
        <v>18183675.768300001</v>
      </c>
      <c r="CK151" s="421">
        <v>10</v>
      </c>
      <c r="CL151" s="421">
        <v>18183676</v>
      </c>
      <c r="CM151" s="421">
        <v>1818000</v>
      </c>
      <c r="CN151" s="421">
        <v>1818000</v>
      </c>
      <c r="CO151" s="421">
        <v>0</v>
      </c>
      <c r="CP151" s="421">
        <v>0</v>
      </c>
      <c r="CQ151" s="421">
        <v>16</v>
      </c>
      <c r="CR151" s="421">
        <v>20001676</v>
      </c>
      <c r="CS151" s="421">
        <v>3200000</v>
      </c>
      <c r="CT151" s="421">
        <v>3200000</v>
      </c>
      <c r="CU151" s="421">
        <v>0</v>
      </c>
      <c r="CV151" s="421">
        <v>0</v>
      </c>
      <c r="CW151" s="421">
        <v>0</v>
      </c>
      <c r="CX151" s="421">
        <v>0</v>
      </c>
      <c r="CY151" s="421">
        <v>0</v>
      </c>
      <c r="CZ151" s="421">
        <v>0</v>
      </c>
      <c r="DA151" s="421">
        <v>0</v>
      </c>
      <c r="DB151" s="421">
        <v>0</v>
      </c>
      <c r="DC151" s="421">
        <v>0</v>
      </c>
      <c r="DD151" s="421">
        <v>0</v>
      </c>
      <c r="DE151" s="421">
        <v>0</v>
      </c>
      <c r="DF151" s="421">
        <v>0</v>
      </c>
      <c r="DG151" s="421">
        <v>0</v>
      </c>
      <c r="DH151" s="421">
        <v>0</v>
      </c>
      <c r="DI151" s="421">
        <v>0</v>
      </c>
      <c r="DJ151" s="421">
        <v>0</v>
      </c>
      <c r="DK151" s="421">
        <v>0</v>
      </c>
      <c r="DL151" s="421">
        <v>0</v>
      </c>
      <c r="DM151" s="421">
        <v>0</v>
      </c>
      <c r="DN151" s="421">
        <v>0</v>
      </c>
      <c r="DO151" s="421">
        <v>0</v>
      </c>
      <c r="DP151" s="421">
        <v>0</v>
      </c>
      <c r="DQ151" s="421">
        <v>0</v>
      </c>
      <c r="DR151" s="421">
        <v>0</v>
      </c>
      <c r="DS151" s="421">
        <v>0</v>
      </c>
      <c r="DT151" s="421">
        <v>0</v>
      </c>
      <c r="DU151" s="421">
        <v>0</v>
      </c>
      <c r="DV151" s="421">
        <v>0</v>
      </c>
      <c r="DW151" s="421">
        <v>0</v>
      </c>
      <c r="DX151" s="421">
        <v>0</v>
      </c>
      <c r="DY151" s="421">
        <v>5018000</v>
      </c>
      <c r="DZ151" s="421">
        <v>5018000</v>
      </c>
      <c r="EA151" s="421">
        <v>0</v>
      </c>
      <c r="EB151" s="421">
        <v>0</v>
      </c>
      <c r="EC151" s="421" t="s">
        <v>1148</v>
      </c>
      <c r="ED151" s="421" t="s">
        <v>1167</v>
      </c>
      <c r="EE151" s="421" t="s">
        <v>1167</v>
      </c>
    </row>
    <row r="152" spans="1:135" x14ac:dyDescent="0.25">
      <c r="A152" s="421">
        <v>149</v>
      </c>
      <c r="B152" s="421">
        <v>2015</v>
      </c>
      <c r="C152" s="421">
        <v>8</v>
      </c>
      <c r="D152" s="421">
        <v>10</v>
      </c>
      <c r="E152" s="424">
        <v>42226</v>
      </c>
      <c r="F152" s="421" t="s">
        <v>2310</v>
      </c>
      <c r="G152" s="421" t="s">
        <v>2311</v>
      </c>
      <c r="H152" s="421" t="s">
        <v>1152</v>
      </c>
      <c r="I152" s="421" t="s">
        <v>1107</v>
      </c>
      <c r="J152" s="421" t="s">
        <v>1108</v>
      </c>
      <c r="K152" s="421" t="s">
        <v>1109</v>
      </c>
      <c r="L152" s="421" t="s">
        <v>1110</v>
      </c>
      <c r="O152" s="421" t="s">
        <v>1111</v>
      </c>
      <c r="R152" s="421" t="s">
        <v>1111</v>
      </c>
      <c r="S152" s="421" t="s">
        <v>1112</v>
      </c>
      <c r="T152" s="421" t="s">
        <v>1113</v>
      </c>
      <c r="U152" s="421" t="s">
        <v>1114</v>
      </c>
      <c r="V152" s="421" t="s">
        <v>1115</v>
      </c>
      <c r="W152" s="421" t="s">
        <v>1116</v>
      </c>
      <c r="X152" s="421" t="s">
        <v>1117</v>
      </c>
      <c r="Y152" s="421" t="s">
        <v>1118</v>
      </c>
      <c r="Z152" s="421" t="s">
        <v>1119</v>
      </c>
      <c r="AA152" s="421" t="s">
        <v>1120</v>
      </c>
      <c r="AB152" s="421" t="s">
        <v>1121</v>
      </c>
      <c r="AC152" s="421" t="s">
        <v>1122</v>
      </c>
      <c r="AD152" s="421" t="s">
        <v>1479</v>
      </c>
      <c r="AE152" s="421" t="s">
        <v>1865</v>
      </c>
      <c r="AF152" s="421" t="s">
        <v>1866</v>
      </c>
      <c r="AG152" s="421" t="s">
        <v>2312</v>
      </c>
      <c r="AH152" s="421">
        <v>1651.4</v>
      </c>
      <c r="AI152" s="421" t="s">
        <v>1127</v>
      </c>
      <c r="AJ152" s="421">
        <v>1108</v>
      </c>
      <c r="AK152" s="421">
        <v>7</v>
      </c>
      <c r="AL152" s="421" t="s">
        <v>1173</v>
      </c>
      <c r="AM152" s="421">
        <v>1651.4</v>
      </c>
      <c r="AN152" s="421">
        <v>1800.03</v>
      </c>
      <c r="AO152" s="421" t="s">
        <v>1120</v>
      </c>
      <c r="AP152" s="421" t="s">
        <v>1129</v>
      </c>
      <c r="AR152" s="421" t="s">
        <v>1130</v>
      </c>
      <c r="AT152" s="421" t="s">
        <v>1131</v>
      </c>
      <c r="AU152" s="421" t="s">
        <v>1303</v>
      </c>
      <c r="AV152" s="421" t="s">
        <v>1304</v>
      </c>
      <c r="AW152" s="421" t="s">
        <v>960</v>
      </c>
      <c r="AX152" s="421" t="s">
        <v>960</v>
      </c>
      <c r="AY152" s="421" t="s">
        <v>960</v>
      </c>
      <c r="AZ152" s="421" t="s">
        <v>1121</v>
      </c>
      <c r="BA152" s="421" t="s">
        <v>1305</v>
      </c>
      <c r="BB152" s="421" t="s">
        <v>960</v>
      </c>
      <c r="BC152" s="421" t="s">
        <v>1175</v>
      </c>
      <c r="BD152" s="421" t="s">
        <v>1306</v>
      </c>
      <c r="BE152" s="421" t="s">
        <v>1885</v>
      </c>
      <c r="BF152" s="421" t="s">
        <v>2230</v>
      </c>
      <c r="BG152" s="421" t="s">
        <v>2231</v>
      </c>
      <c r="BH152" s="421" t="s">
        <v>2298</v>
      </c>
      <c r="BI152" s="421" t="s">
        <v>1142</v>
      </c>
      <c r="BJ152" s="421" t="s">
        <v>1243</v>
      </c>
      <c r="BK152" s="421" t="s">
        <v>2311</v>
      </c>
      <c r="BL152" s="421" t="s">
        <v>2299</v>
      </c>
      <c r="BM152" s="421" t="s">
        <v>2300</v>
      </c>
      <c r="BN152" s="421" t="s">
        <v>2112</v>
      </c>
      <c r="BO152" s="421">
        <v>0</v>
      </c>
      <c r="BR152" s="421">
        <v>0</v>
      </c>
      <c r="BS152" s="421">
        <v>0</v>
      </c>
      <c r="BT152" s="421">
        <v>0</v>
      </c>
      <c r="BU152" s="424">
        <v>42172</v>
      </c>
      <c r="BX152" s="421">
        <v>2945.97</v>
      </c>
      <c r="BY152" s="421" t="s">
        <v>1183</v>
      </c>
      <c r="BZ152" s="421">
        <v>6689.88</v>
      </c>
      <c r="CA152" s="421">
        <v>19708185.783599999</v>
      </c>
      <c r="CB152" s="421">
        <v>2.67</v>
      </c>
      <c r="CC152" s="421">
        <v>0</v>
      </c>
      <c r="CD152" s="421">
        <v>593.05999999999995</v>
      </c>
      <c r="CE152" s="421">
        <v>595.73</v>
      </c>
      <c r="CF152" s="421">
        <v>0</v>
      </c>
      <c r="CG152" s="421">
        <v>7285.61</v>
      </c>
      <c r="CH152" s="421">
        <v>0</v>
      </c>
      <c r="CI152" s="421">
        <v>7285.61</v>
      </c>
      <c r="CJ152" s="421">
        <v>21463188.491700001</v>
      </c>
      <c r="CK152" s="421">
        <v>10</v>
      </c>
      <c r="CL152" s="421">
        <v>21463188</v>
      </c>
      <c r="CM152" s="421">
        <v>2146000</v>
      </c>
      <c r="CN152" s="421">
        <v>2146000</v>
      </c>
      <c r="CO152" s="421">
        <v>0</v>
      </c>
      <c r="CP152" s="421">
        <v>0</v>
      </c>
      <c r="CQ152" s="421">
        <v>16</v>
      </c>
      <c r="CR152" s="421">
        <v>23609188</v>
      </c>
      <c r="CS152" s="421">
        <v>3777000</v>
      </c>
      <c r="CT152" s="421">
        <v>3777000</v>
      </c>
      <c r="CU152" s="421">
        <v>0</v>
      </c>
      <c r="CV152" s="421">
        <v>0</v>
      </c>
      <c r="CW152" s="421">
        <v>0</v>
      </c>
      <c r="CX152" s="421">
        <v>0</v>
      </c>
      <c r="CY152" s="421">
        <v>0</v>
      </c>
      <c r="CZ152" s="421">
        <v>0</v>
      </c>
      <c r="DA152" s="421">
        <v>0</v>
      </c>
      <c r="DB152" s="421">
        <v>0</v>
      </c>
      <c r="DC152" s="421">
        <v>0</v>
      </c>
      <c r="DD152" s="421">
        <v>0</v>
      </c>
      <c r="DE152" s="421">
        <v>0</v>
      </c>
      <c r="DF152" s="421">
        <v>0</v>
      </c>
      <c r="DG152" s="421">
        <v>0</v>
      </c>
      <c r="DH152" s="421">
        <v>0</v>
      </c>
      <c r="DI152" s="421">
        <v>0</v>
      </c>
      <c r="DJ152" s="421">
        <v>0</v>
      </c>
      <c r="DK152" s="421">
        <v>0</v>
      </c>
      <c r="DL152" s="421">
        <v>0</v>
      </c>
      <c r="DM152" s="421">
        <v>0</v>
      </c>
      <c r="DN152" s="421">
        <v>0</v>
      </c>
      <c r="DO152" s="421">
        <v>0</v>
      </c>
      <c r="DP152" s="421">
        <v>0</v>
      </c>
      <c r="DQ152" s="421">
        <v>0</v>
      </c>
      <c r="DR152" s="421">
        <v>0</v>
      </c>
      <c r="DS152" s="421">
        <v>0</v>
      </c>
      <c r="DT152" s="421">
        <v>0</v>
      </c>
      <c r="DU152" s="421">
        <v>0</v>
      </c>
      <c r="DV152" s="421">
        <v>0</v>
      </c>
      <c r="DW152" s="421">
        <v>0</v>
      </c>
      <c r="DX152" s="421">
        <v>0</v>
      </c>
      <c r="DY152" s="421">
        <v>5923000</v>
      </c>
      <c r="DZ152" s="421">
        <v>5923000</v>
      </c>
      <c r="EA152" s="421">
        <v>0</v>
      </c>
      <c r="EB152" s="421">
        <v>0</v>
      </c>
      <c r="EC152" s="421" t="s">
        <v>1148</v>
      </c>
      <c r="ED152" s="421" t="s">
        <v>1167</v>
      </c>
      <c r="EE152" s="421" t="s">
        <v>1167</v>
      </c>
    </row>
    <row r="153" spans="1:135" x14ac:dyDescent="0.25">
      <c r="A153" s="421">
        <v>150</v>
      </c>
      <c r="B153" s="421">
        <v>2015</v>
      </c>
      <c r="C153" s="421">
        <v>8</v>
      </c>
      <c r="D153" s="421">
        <v>10</v>
      </c>
      <c r="E153" s="424">
        <v>42226</v>
      </c>
      <c r="F153" s="421" t="s">
        <v>2313</v>
      </c>
      <c r="G153" s="421" t="s">
        <v>2314</v>
      </c>
      <c r="H153" s="421" t="s">
        <v>1152</v>
      </c>
      <c r="I153" s="421" t="s">
        <v>1107</v>
      </c>
      <c r="J153" s="421" t="s">
        <v>1108</v>
      </c>
      <c r="K153" s="421" t="s">
        <v>1109</v>
      </c>
      <c r="L153" s="421" t="s">
        <v>1110</v>
      </c>
      <c r="O153" s="421" t="s">
        <v>1111</v>
      </c>
      <c r="R153" s="421" t="s">
        <v>1111</v>
      </c>
      <c r="S153" s="421" t="s">
        <v>1112</v>
      </c>
      <c r="T153" s="421" t="s">
        <v>1113</v>
      </c>
      <c r="U153" s="421" t="s">
        <v>1114</v>
      </c>
      <c r="V153" s="421" t="s">
        <v>1115</v>
      </c>
      <c r="W153" s="421" t="s">
        <v>1116</v>
      </c>
      <c r="X153" s="421" t="s">
        <v>1117</v>
      </c>
      <c r="Y153" s="421" t="s">
        <v>1118</v>
      </c>
      <c r="Z153" s="421" t="s">
        <v>1119</v>
      </c>
      <c r="AA153" s="421" t="s">
        <v>1120</v>
      </c>
      <c r="AB153" s="421" t="s">
        <v>1121</v>
      </c>
      <c r="AC153" s="421" t="s">
        <v>1122</v>
      </c>
      <c r="AD153" s="421" t="s">
        <v>1479</v>
      </c>
      <c r="AE153" s="421" t="s">
        <v>1512</v>
      </c>
      <c r="AF153" s="421" t="s">
        <v>1513</v>
      </c>
      <c r="AG153" s="421" t="s">
        <v>2315</v>
      </c>
      <c r="AH153" s="421">
        <v>14472</v>
      </c>
      <c r="AI153" s="421" t="s">
        <v>1189</v>
      </c>
      <c r="AJ153" s="421">
        <v>1108</v>
      </c>
      <c r="AK153" s="421">
        <v>7</v>
      </c>
      <c r="AL153" s="421" t="s">
        <v>1173</v>
      </c>
      <c r="AM153" s="421">
        <v>375.2</v>
      </c>
      <c r="AN153" s="421">
        <v>408.97</v>
      </c>
      <c r="AO153" s="421" t="s">
        <v>1120</v>
      </c>
      <c r="AP153" s="421" t="s">
        <v>1129</v>
      </c>
      <c r="AR153" s="421" t="s">
        <v>1130</v>
      </c>
      <c r="AT153" s="421" t="s">
        <v>1131</v>
      </c>
      <c r="AU153" s="421" t="s">
        <v>1303</v>
      </c>
      <c r="AV153" s="421" t="s">
        <v>1304</v>
      </c>
      <c r="AW153" s="421" t="s">
        <v>960</v>
      </c>
      <c r="AX153" s="421" t="s">
        <v>960</v>
      </c>
      <c r="AY153" s="421" t="s">
        <v>960</v>
      </c>
      <c r="AZ153" s="421" t="s">
        <v>1121</v>
      </c>
      <c r="BA153" s="421" t="s">
        <v>1305</v>
      </c>
      <c r="BB153" s="421" t="s">
        <v>960</v>
      </c>
      <c r="BC153" s="421" t="s">
        <v>1175</v>
      </c>
      <c r="BD153" s="421" t="s">
        <v>1306</v>
      </c>
      <c r="BE153" s="421" t="s">
        <v>1885</v>
      </c>
      <c r="BF153" s="421" t="s">
        <v>2230</v>
      </c>
      <c r="BG153" s="421" t="s">
        <v>2231</v>
      </c>
      <c r="BH153" s="421" t="s">
        <v>2298</v>
      </c>
      <c r="BI153" s="421" t="s">
        <v>1142</v>
      </c>
      <c r="BJ153" s="421" t="s">
        <v>1243</v>
      </c>
      <c r="BK153" s="421" t="s">
        <v>2314</v>
      </c>
      <c r="BL153" s="421" t="s">
        <v>2299</v>
      </c>
      <c r="BM153" s="421" t="s">
        <v>2300</v>
      </c>
      <c r="BN153" s="421" t="s">
        <v>2112</v>
      </c>
      <c r="BO153" s="421">
        <v>0</v>
      </c>
      <c r="BR153" s="421">
        <v>0</v>
      </c>
      <c r="BS153" s="421">
        <v>0</v>
      </c>
      <c r="BT153" s="421">
        <v>0</v>
      </c>
      <c r="BU153" s="424">
        <v>42172</v>
      </c>
      <c r="BX153" s="421">
        <v>2945.97</v>
      </c>
      <c r="BY153" s="421" t="s">
        <v>1183</v>
      </c>
      <c r="BZ153" s="421">
        <v>2535.04</v>
      </c>
      <c r="CA153" s="421">
        <v>7468151.7888000002</v>
      </c>
      <c r="CB153" s="421">
        <v>1.03</v>
      </c>
      <c r="CC153" s="421">
        <v>0</v>
      </c>
      <c r="CD153" s="421">
        <v>134.75</v>
      </c>
      <c r="CE153" s="421">
        <v>135.78</v>
      </c>
      <c r="CF153" s="421">
        <v>0</v>
      </c>
      <c r="CG153" s="421">
        <v>2670.82</v>
      </c>
      <c r="CH153" s="421">
        <v>0</v>
      </c>
      <c r="CI153" s="421">
        <v>2670.82</v>
      </c>
      <c r="CJ153" s="421">
        <v>7868155.5954</v>
      </c>
      <c r="CK153" s="421">
        <v>15</v>
      </c>
      <c r="CL153" s="421">
        <v>7868156</v>
      </c>
      <c r="CM153" s="421">
        <v>1180000</v>
      </c>
      <c r="CN153" s="421">
        <v>1180000</v>
      </c>
      <c r="CO153" s="421">
        <v>0</v>
      </c>
      <c r="CP153" s="421">
        <v>0</v>
      </c>
      <c r="CQ153" s="421">
        <v>16</v>
      </c>
      <c r="CR153" s="421">
        <v>9048156</v>
      </c>
      <c r="CS153" s="421">
        <v>1448000</v>
      </c>
      <c r="CT153" s="421">
        <v>1448000</v>
      </c>
      <c r="CU153" s="421">
        <v>0</v>
      </c>
      <c r="CV153" s="421">
        <v>0</v>
      </c>
      <c r="CW153" s="421">
        <v>0</v>
      </c>
      <c r="CX153" s="421">
        <v>0</v>
      </c>
      <c r="CY153" s="421">
        <v>0</v>
      </c>
      <c r="CZ153" s="421">
        <v>0</v>
      </c>
      <c r="DA153" s="421">
        <v>0</v>
      </c>
      <c r="DB153" s="421">
        <v>0</v>
      </c>
      <c r="DC153" s="421">
        <v>0</v>
      </c>
      <c r="DD153" s="421">
        <v>0</v>
      </c>
      <c r="DE153" s="421">
        <v>0</v>
      </c>
      <c r="DF153" s="421">
        <v>0</v>
      </c>
      <c r="DG153" s="421">
        <v>0</v>
      </c>
      <c r="DH153" s="421">
        <v>0</v>
      </c>
      <c r="DI153" s="421">
        <v>0</v>
      </c>
      <c r="DJ153" s="421">
        <v>0</v>
      </c>
      <c r="DK153" s="421">
        <v>0</v>
      </c>
      <c r="DL153" s="421">
        <v>0</v>
      </c>
      <c r="DM153" s="421">
        <v>0</v>
      </c>
      <c r="DN153" s="421">
        <v>0</v>
      </c>
      <c r="DO153" s="421">
        <v>0</v>
      </c>
      <c r="DP153" s="421">
        <v>0</v>
      </c>
      <c r="DQ153" s="421">
        <v>0</v>
      </c>
      <c r="DR153" s="421">
        <v>0</v>
      </c>
      <c r="DS153" s="421">
        <v>0</v>
      </c>
      <c r="DT153" s="421">
        <v>0</v>
      </c>
      <c r="DU153" s="421">
        <v>0</v>
      </c>
      <c r="DV153" s="421">
        <v>0</v>
      </c>
      <c r="DW153" s="421">
        <v>0</v>
      </c>
      <c r="DX153" s="421">
        <v>0</v>
      </c>
      <c r="DY153" s="421">
        <v>2628000</v>
      </c>
      <c r="DZ153" s="421">
        <v>2628000</v>
      </c>
      <c r="EA153" s="421">
        <v>0</v>
      </c>
      <c r="EB153" s="421">
        <v>0</v>
      </c>
      <c r="EC153" s="421" t="s">
        <v>1148</v>
      </c>
      <c r="ED153" s="421" t="s">
        <v>1167</v>
      </c>
      <c r="EE153" s="421" t="s">
        <v>1167</v>
      </c>
    </row>
    <row r="154" spans="1:135" x14ac:dyDescent="0.25">
      <c r="A154" s="421">
        <v>151</v>
      </c>
      <c r="B154" s="421">
        <v>2015</v>
      </c>
      <c r="C154" s="421">
        <v>8</v>
      </c>
      <c r="D154" s="421">
        <v>10</v>
      </c>
      <c r="E154" s="424">
        <v>42226</v>
      </c>
      <c r="F154" s="421" t="s">
        <v>2316</v>
      </c>
      <c r="G154" s="421" t="s">
        <v>2317</v>
      </c>
      <c r="H154" s="421" t="s">
        <v>1152</v>
      </c>
      <c r="I154" s="421" t="s">
        <v>1107</v>
      </c>
      <c r="J154" s="421" t="s">
        <v>1108</v>
      </c>
      <c r="K154" s="421" t="s">
        <v>1109</v>
      </c>
      <c r="L154" s="421" t="s">
        <v>1110</v>
      </c>
      <c r="O154" s="421" t="s">
        <v>1111</v>
      </c>
      <c r="R154" s="421" t="s">
        <v>1111</v>
      </c>
      <c r="S154" s="421" t="s">
        <v>1112</v>
      </c>
      <c r="T154" s="421" t="s">
        <v>1113</v>
      </c>
      <c r="U154" s="421" t="s">
        <v>1114</v>
      </c>
      <c r="V154" s="421" t="s">
        <v>1115</v>
      </c>
      <c r="W154" s="421" t="s">
        <v>1116</v>
      </c>
      <c r="X154" s="421" t="s">
        <v>1117</v>
      </c>
      <c r="Y154" s="421" t="s">
        <v>1118</v>
      </c>
      <c r="Z154" s="421" t="s">
        <v>1119</v>
      </c>
      <c r="AA154" s="421" t="s">
        <v>1120</v>
      </c>
      <c r="AB154" s="421" t="s">
        <v>1121</v>
      </c>
      <c r="AC154" s="421" t="s">
        <v>1122</v>
      </c>
      <c r="AD154" s="421" t="s">
        <v>1479</v>
      </c>
      <c r="AE154" s="421" t="s">
        <v>1249</v>
      </c>
      <c r="AF154" s="421" t="s">
        <v>1250</v>
      </c>
      <c r="AG154" s="421" t="s">
        <v>2318</v>
      </c>
      <c r="AH154" s="421">
        <v>11376</v>
      </c>
      <c r="AI154" s="421" t="s">
        <v>1189</v>
      </c>
      <c r="AJ154" s="421">
        <v>1108</v>
      </c>
      <c r="AK154" s="421">
        <v>7</v>
      </c>
      <c r="AL154" s="421" t="s">
        <v>1173</v>
      </c>
      <c r="AM154" s="421">
        <v>1343</v>
      </c>
      <c r="AN154" s="421">
        <v>1519.26</v>
      </c>
      <c r="AO154" s="421" t="s">
        <v>1120</v>
      </c>
      <c r="AP154" s="421" t="s">
        <v>1129</v>
      </c>
      <c r="AR154" s="421" t="s">
        <v>1130</v>
      </c>
      <c r="AT154" s="421" t="s">
        <v>1131</v>
      </c>
      <c r="AU154" s="421" t="s">
        <v>1303</v>
      </c>
      <c r="AV154" s="421" t="s">
        <v>1304</v>
      </c>
      <c r="AW154" s="421" t="s">
        <v>960</v>
      </c>
      <c r="AX154" s="421" t="s">
        <v>960</v>
      </c>
      <c r="AY154" s="421" t="s">
        <v>960</v>
      </c>
      <c r="AZ154" s="421" t="s">
        <v>1121</v>
      </c>
      <c r="BA154" s="421" t="s">
        <v>1305</v>
      </c>
      <c r="BB154" s="421" t="s">
        <v>960</v>
      </c>
      <c r="BC154" s="421" t="s">
        <v>1175</v>
      </c>
      <c r="BD154" s="421" t="s">
        <v>1306</v>
      </c>
      <c r="BE154" s="421" t="s">
        <v>1885</v>
      </c>
      <c r="BF154" s="421" t="s">
        <v>2230</v>
      </c>
      <c r="BG154" s="421" t="s">
        <v>2231</v>
      </c>
      <c r="BH154" s="421" t="s">
        <v>2298</v>
      </c>
      <c r="BI154" s="421" t="s">
        <v>1142</v>
      </c>
      <c r="BJ154" s="421" t="s">
        <v>1243</v>
      </c>
      <c r="BK154" s="421" t="s">
        <v>2317</v>
      </c>
      <c r="BL154" s="421" t="s">
        <v>2299</v>
      </c>
      <c r="BM154" s="421" t="s">
        <v>2300</v>
      </c>
      <c r="BN154" s="421" t="s">
        <v>2112</v>
      </c>
      <c r="BO154" s="421">
        <v>0</v>
      </c>
      <c r="BR154" s="421">
        <v>0</v>
      </c>
      <c r="BS154" s="421">
        <v>0</v>
      </c>
      <c r="BT154" s="421">
        <v>0</v>
      </c>
      <c r="BU154" s="424">
        <v>42172</v>
      </c>
      <c r="BX154" s="421">
        <v>2945.97</v>
      </c>
      <c r="BY154" s="421" t="s">
        <v>1183</v>
      </c>
      <c r="BZ154" s="421">
        <v>8322.4599999999991</v>
      </c>
      <c r="CA154" s="421">
        <v>24517717.486200001</v>
      </c>
      <c r="CB154" s="421">
        <v>3.32</v>
      </c>
      <c r="CC154" s="421">
        <v>0</v>
      </c>
      <c r="CD154" s="421">
        <v>500.51</v>
      </c>
      <c r="CE154" s="421">
        <v>503.83</v>
      </c>
      <c r="CF154" s="421">
        <v>0</v>
      </c>
      <c r="CG154" s="421">
        <v>8826.2900000000009</v>
      </c>
      <c r="CH154" s="421">
        <v>0</v>
      </c>
      <c r="CI154" s="421">
        <v>8826.2900000000009</v>
      </c>
      <c r="CJ154" s="421">
        <v>26001985.5513</v>
      </c>
      <c r="CK154" s="421">
        <v>15</v>
      </c>
      <c r="CL154" s="421">
        <v>26001986</v>
      </c>
      <c r="CM154" s="421">
        <v>3900000</v>
      </c>
      <c r="CN154" s="421">
        <v>3900000</v>
      </c>
      <c r="CO154" s="421">
        <v>0</v>
      </c>
      <c r="CP154" s="421">
        <v>0</v>
      </c>
      <c r="CQ154" s="421">
        <v>16</v>
      </c>
      <c r="CR154" s="421">
        <v>29901986</v>
      </c>
      <c r="CS154" s="421">
        <v>4784000</v>
      </c>
      <c r="CT154" s="421">
        <v>4784000</v>
      </c>
      <c r="CU154" s="421">
        <v>0</v>
      </c>
      <c r="CV154" s="421">
        <v>0</v>
      </c>
      <c r="CW154" s="421">
        <v>0</v>
      </c>
      <c r="CX154" s="421">
        <v>0</v>
      </c>
      <c r="CY154" s="421">
        <v>0</v>
      </c>
      <c r="CZ154" s="421">
        <v>0</v>
      </c>
      <c r="DA154" s="421">
        <v>0</v>
      </c>
      <c r="DB154" s="421">
        <v>0</v>
      </c>
      <c r="DC154" s="421">
        <v>0</v>
      </c>
      <c r="DD154" s="421">
        <v>0</v>
      </c>
      <c r="DE154" s="421">
        <v>0</v>
      </c>
      <c r="DF154" s="421">
        <v>0</v>
      </c>
      <c r="DG154" s="421">
        <v>0</v>
      </c>
      <c r="DH154" s="421">
        <v>0</v>
      </c>
      <c r="DI154" s="421">
        <v>0</v>
      </c>
      <c r="DJ154" s="421">
        <v>0</v>
      </c>
      <c r="DK154" s="421">
        <v>0</v>
      </c>
      <c r="DL154" s="421">
        <v>0</v>
      </c>
      <c r="DM154" s="421">
        <v>0</v>
      </c>
      <c r="DN154" s="421">
        <v>0</v>
      </c>
      <c r="DO154" s="421">
        <v>0</v>
      </c>
      <c r="DP154" s="421">
        <v>0</v>
      </c>
      <c r="DQ154" s="421">
        <v>0</v>
      </c>
      <c r="DR154" s="421">
        <v>0</v>
      </c>
      <c r="DS154" s="421">
        <v>0</v>
      </c>
      <c r="DT154" s="421">
        <v>0</v>
      </c>
      <c r="DU154" s="421">
        <v>0</v>
      </c>
      <c r="DV154" s="421">
        <v>0</v>
      </c>
      <c r="DW154" s="421">
        <v>0</v>
      </c>
      <c r="DX154" s="421">
        <v>0</v>
      </c>
      <c r="DY154" s="421">
        <v>8684000</v>
      </c>
      <c r="DZ154" s="421">
        <v>8684000</v>
      </c>
      <c r="EA154" s="421">
        <v>0</v>
      </c>
      <c r="EB154" s="421">
        <v>0</v>
      </c>
      <c r="EC154" s="421" t="s">
        <v>1148</v>
      </c>
      <c r="ED154" s="421" t="s">
        <v>1167</v>
      </c>
      <c r="EE154" s="421" t="s">
        <v>1167</v>
      </c>
    </row>
    <row r="155" spans="1:135" x14ac:dyDescent="0.25">
      <c r="A155" s="421">
        <v>152</v>
      </c>
      <c r="B155" s="421">
        <v>2015</v>
      </c>
      <c r="C155" s="421">
        <v>8</v>
      </c>
      <c r="D155" s="421">
        <v>11</v>
      </c>
      <c r="E155" s="424">
        <v>42227</v>
      </c>
      <c r="F155" s="421" t="s">
        <v>2319</v>
      </c>
      <c r="G155" s="421" t="s">
        <v>2320</v>
      </c>
      <c r="H155" s="421" t="s">
        <v>1106</v>
      </c>
      <c r="I155" s="421" t="s">
        <v>1281</v>
      </c>
      <c r="J155" s="421" t="s">
        <v>1108</v>
      </c>
      <c r="K155" s="421" t="s">
        <v>1109</v>
      </c>
      <c r="L155" s="421" t="s">
        <v>1110</v>
      </c>
      <c r="O155" s="421" t="s">
        <v>1111</v>
      </c>
      <c r="R155" s="421" t="s">
        <v>1111</v>
      </c>
      <c r="S155" s="421" t="s">
        <v>1112</v>
      </c>
      <c r="T155" s="421" t="s">
        <v>1113</v>
      </c>
      <c r="U155" s="421" t="s">
        <v>1114</v>
      </c>
      <c r="V155" s="421" t="s">
        <v>1115</v>
      </c>
      <c r="W155" s="421" t="s">
        <v>1116</v>
      </c>
      <c r="X155" s="421" t="s">
        <v>1117</v>
      </c>
      <c r="Y155" s="421" t="s">
        <v>1118</v>
      </c>
      <c r="Z155" s="421" t="s">
        <v>1119</v>
      </c>
      <c r="AA155" s="421" t="s">
        <v>1120</v>
      </c>
      <c r="AB155" s="421" t="s">
        <v>1121</v>
      </c>
      <c r="AC155" s="421" t="s">
        <v>1122</v>
      </c>
      <c r="AD155" s="421" t="s">
        <v>1479</v>
      </c>
      <c r="AE155" s="421" t="s">
        <v>1632</v>
      </c>
      <c r="AF155" s="421" t="s">
        <v>1633</v>
      </c>
      <c r="AG155" s="421" t="s">
        <v>2321</v>
      </c>
      <c r="AH155" s="421">
        <v>5045.3999999999996</v>
      </c>
      <c r="AI155" s="421" t="s">
        <v>1127</v>
      </c>
      <c r="AJ155" s="421">
        <v>1294</v>
      </c>
      <c r="AK155" s="421">
        <v>2</v>
      </c>
      <c r="AL155" s="421" t="s">
        <v>1173</v>
      </c>
      <c r="AM155" s="421">
        <v>5045.3999999999996</v>
      </c>
      <c r="AN155" s="421">
        <v>5643.4</v>
      </c>
      <c r="AO155" s="421" t="s">
        <v>1120</v>
      </c>
      <c r="AP155" s="421" t="s">
        <v>1129</v>
      </c>
      <c r="AR155" s="421" t="s">
        <v>1130</v>
      </c>
      <c r="AT155" s="421" t="s">
        <v>1131</v>
      </c>
      <c r="AU155" s="421" t="s">
        <v>1190</v>
      </c>
      <c r="AV155" s="421" t="s">
        <v>1191</v>
      </c>
      <c r="AW155" s="421" t="s">
        <v>960</v>
      </c>
      <c r="AX155" s="421" t="s">
        <v>960</v>
      </c>
      <c r="AY155" s="421" t="s">
        <v>960</v>
      </c>
      <c r="AZ155" s="421" t="s">
        <v>1121</v>
      </c>
      <c r="BA155" s="421" t="s">
        <v>1623</v>
      </c>
      <c r="BB155" s="421" t="s">
        <v>960</v>
      </c>
      <c r="BC155" s="421" t="s">
        <v>1624</v>
      </c>
      <c r="BD155" s="421" t="s">
        <v>1625</v>
      </c>
      <c r="BE155" s="421" t="s">
        <v>1626</v>
      </c>
      <c r="BI155" s="421" t="s">
        <v>1142</v>
      </c>
      <c r="BJ155" s="421" t="s">
        <v>1342</v>
      </c>
      <c r="BK155" s="421" t="s">
        <v>2320</v>
      </c>
      <c r="BL155" s="421" t="s">
        <v>2322</v>
      </c>
      <c r="BM155" s="421" t="s">
        <v>1629</v>
      </c>
      <c r="BN155" s="421" t="s">
        <v>2110</v>
      </c>
      <c r="BO155" s="421">
        <v>0</v>
      </c>
      <c r="BR155" s="421">
        <v>0</v>
      </c>
      <c r="BS155" s="421">
        <v>0</v>
      </c>
      <c r="BT155" s="421">
        <v>0</v>
      </c>
      <c r="BU155" s="424">
        <v>38718</v>
      </c>
      <c r="BX155" s="421">
        <v>2945.97</v>
      </c>
      <c r="BY155" s="421" t="s">
        <v>1183</v>
      </c>
      <c r="BZ155" s="421">
        <v>17771.04</v>
      </c>
      <c r="CA155" s="421">
        <v>52352950.708800003</v>
      </c>
      <c r="CB155" s="421">
        <v>7.1</v>
      </c>
      <c r="CC155" s="421">
        <v>0</v>
      </c>
      <c r="CD155" s="421">
        <v>1374.41</v>
      </c>
      <c r="CE155" s="421">
        <v>1381.51</v>
      </c>
      <c r="CF155" s="421">
        <v>0</v>
      </c>
      <c r="CG155" s="421">
        <v>19152.55</v>
      </c>
      <c r="CH155" s="421">
        <v>0</v>
      </c>
      <c r="CI155" s="421">
        <v>19152.55</v>
      </c>
      <c r="CJ155" s="421">
        <v>56422837.723499998</v>
      </c>
      <c r="CK155" s="421">
        <v>15</v>
      </c>
      <c r="CL155" s="421">
        <v>56422838</v>
      </c>
      <c r="CM155" s="421">
        <v>8463000</v>
      </c>
      <c r="CN155" s="421">
        <v>8463000</v>
      </c>
      <c r="CO155" s="421">
        <v>0</v>
      </c>
      <c r="CP155" s="421">
        <v>0</v>
      </c>
      <c r="CQ155" s="421">
        <v>16</v>
      </c>
      <c r="CR155" s="421">
        <v>64885838</v>
      </c>
      <c r="CS155" s="421">
        <v>10382000</v>
      </c>
      <c r="CT155" s="421">
        <v>10382000</v>
      </c>
      <c r="CU155" s="421">
        <v>0</v>
      </c>
      <c r="CV155" s="421">
        <v>0</v>
      </c>
      <c r="CW155" s="421">
        <v>0</v>
      </c>
      <c r="CX155" s="421">
        <v>0</v>
      </c>
      <c r="CY155" s="421">
        <v>0</v>
      </c>
      <c r="CZ155" s="421">
        <v>0</v>
      </c>
      <c r="DA155" s="421">
        <v>0</v>
      </c>
      <c r="DB155" s="421">
        <v>0</v>
      </c>
      <c r="DC155" s="421">
        <v>0</v>
      </c>
      <c r="DD155" s="421">
        <v>0</v>
      </c>
      <c r="DE155" s="421">
        <v>0</v>
      </c>
      <c r="DF155" s="421">
        <v>0</v>
      </c>
      <c r="DG155" s="421">
        <v>0</v>
      </c>
      <c r="DH155" s="421">
        <v>0</v>
      </c>
      <c r="DI155" s="421">
        <v>0</v>
      </c>
      <c r="DJ155" s="421">
        <v>0</v>
      </c>
      <c r="DK155" s="421">
        <v>0</v>
      </c>
      <c r="DL155" s="421">
        <v>0</v>
      </c>
      <c r="DM155" s="421">
        <v>0</v>
      </c>
      <c r="DN155" s="421">
        <v>0</v>
      </c>
      <c r="DO155" s="421">
        <v>0</v>
      </c>
      <c r="DP155" s="421">
        <v>0</v>
      </c>
      <c r="DQ155" s="421">
        <v>0</v>
      </c>
      <c r="DR155" s="421">
        <v>0</v>
      </c>
      <c r="DS155" s="421">
        <v>0</v>
      </c>
      <c r="DT155" s="421">
        <v>0</v>
      </c>
      <c r="DU155" s="421">
        <v>0</v>
      </c>
      <c r="DV155" s="421">
        <v>0</v>
      </c>
      <c r="DW155" s="421">
        <v>0</v>
      </c>
      <c r="DX155" s="421">
        <v>0</v>
      </c>
      <c r="DY155" s="421">
        <v>18845000</v>
      </c>
      <c r="DZ155" s="421">
        <v>18845000</v>
      </c>
      <c r="EA155" s="421">
        <v>0</v>
      </c>
      <c r="EB155" s="421">
        <v>0</v>
      </c>
      <c r="EC155" s="421" t="s">
        <v>1148</v>
      </c>
      <c r="ED155" s="421" t="s">
        <v>1167</v>
      </c>
      <c r="EE155" s="421" t="s">
        <v>1167</v>
      </c>
    </row>
    <row r="156" spans="1:135" x14ac:dyDescent="0.25">
      <c r="A156" s="421">
        <v>153</v>
      </c>
      <c r="B156" s="421">
        <v>2015</v>
      </c>
      <c r="C156" s="421">
        <v>8</v>
      </c>
      <c r="D156" s="421">
        <v>11</v>
      </c>
      <c r="E156" s="424">
        <v>42227</v>
      </c>
      <c r="F156" s="421" t="s">
        <v>2323</v>
      </c>
      <c r="G156" s="421" t="s">
        <v>2324</v>
      </c>
      <c r="H156" s="421" t="s">
        <v>1106</v>
      </c>
      <c r="I156" s="421" t="s">
        <v>1281</v>
      </c>
      <c r="J156" s="421" t="s">
        <v>1108</v>
      </c>
      <c r="K156" s="421" t="s">
        <v>1109</v>
      </c>
      <c r="L156" s="421" t="s">
        <v>1110</v>
      </c>
      <c r="O156" s="421" t="s">
        <v>1111</v>
      </c>
      <c r="R156" s="421" t="s">
        <v>1111</v>
      </c>
      <c r="S156" s="421" t="s">
        <v>1112</v>
      </c>
      <c r="T156" s="421" t="s">
        <v>1113</v>
      </c>
      <c r="U156" s="421" t="s">
        <v>1114</v>
      </c>
      <c r="V156" s="421" t="s">
        <v>1115</v>
      </c>
      <c r="W156" s="421" t="s">
        <v>1116</v>
      </c>
      <c r="X156" s="421" t="s">
        <v>1117</v>
      </c>
      <c r="Y156" s="421" t="s">
        <v>1118</v>
      </c>
      <c r="Z156" s="421" t="s">
        <v>1119</v>
      </c>
      <c r="AA156" s="421" t="s">
        <v>1120</v>
      </c>
      <c r="AB156" s="421" t="s">
        <v>1121</v>
      </c>
      <c r="AC156" s="421" t="s">
        <v>1122</v>
      </c>
      <c r="AD156" s="421" t="s">
        <v>1479</v>
      </c>
      <c r="AE156" s="421" t="s">
        <v>1620</v>
      </c>
      <c r="AF156" s="421" t="s">
        <v>1621</v>
      </c>
      <c r="AG156" s="421" t="s">
        <v>2325</v>
      </c>
      <c r="AH156" s="421">
        <v>4130.1000000000004</v>
      </c>
      <c r="AI156" s="421" t="s">
        <v>1127</v>
      </c>
      <c r="AJ156" s="421">
        <v>1294</v>
      </c>
      <c r="AK156" s="421">
        <v>2</v>
      </c>
      <c r="AL156" s="421" t="s">
        <v>1173</v>
      </c>
      <c r="AM156" s="421">
        <v>4130.1000000000004</v>
      </c>
      <c r="AN156" s="421">
        <v>4765.5</v>
      </c>
      <c r="AO156" s="421" t="s">
        <v>1120</v>
      </c>
      <c r="AP156" s="421" t="s">
        <v>1129</v>
      </c>
      <c r="AR156" s="421" t="s">
        <v>1130</v>
      </c>
      <c r="AT156" s="421" t="s">
        <v>1131</v>
      </c>
      <c r="AU156" s="421" t="s">
        <v>1190</v>
      </c>
      <c r="AV156" s="421" t="s">
        <v>1191</v>
      </c>
      <c r="AW156" s="421" t="s">
        <v>960</v>
      </c>
      <c r="AX156" s="421" t="s">
        <v>960</v>
      </c>
      <c r="AY156" s="421" t="s">
        <v>960</v>
      </c>
      <c r="AZ156" s="421" t="s">
        <v>1121</v>
      </c>
      <c r="BA156" s="421" t="s">
        <v>1623</v>
      </c>
      <c r="BB156" s="421" t="s">
        <v>960</v>
      </c>
      <c r="BC156" s="421" t="s">
        <v>1624</v>
      </c>
      <c r="BD156" s="421" t="s">
        <v>1625</v>
      </c>
      <c r="BE156" s="421" t="s">
        <v>1626</v>
      </c>
      <c r="BI156" s="421" t="s">
        <v>1142</v>
      </c>
      <c r="BJ156" s="421" t="s">
        <v>1342</v>
      </c>
      <c r="BK156" s="421" t="s">
        <v>2324</v>
      </c>
      <c r="BL156" s="421" t="s">
        <v>2322</v>
      </c>
      <c r="BM156" s="421" t="s">
        <v>1629</v>
      </c>
      <c r="BN156" s="421" t="s">
        <v>2110</v>
      </c>
      <c r="BO156" s="421">
        <v>0</v>
      </c>
      <c r="BR156" s="421">
        <v>0</v>
      </c>
      <c r="BS156" s="421">
        <v>0</v>
      </c>
      <c r="BT156" s="421">
        <v>0</v>
      </c>
      <c r="BU156" s="424">
        <v>38718</v>
      </c>
      <c r="BX156" s="421">
        <v>2945.97</v>
      </c>
      <c r="BY156" s="421" t="s">
        <v>1183</v>
      </c>
      <c r="BZ156" s="421">
        <v>18615.77</v>
      </c>
      <c r="CA156" s="421">
        <v>54841499.946900003</v>
      </c>
      <c r="CB156" s="421">
        <v>7.45</v>
      </c>
      <c r="CC156" s="421">
        <v>0</v>
      </c>
      <c r="CD156" s="421">
        <v>1160.5899999999999</v>
      </c>
      <c r="CE156" s="421">
        <v>1168.04</v>
      </c>
      <c r="CF156" s="421">
        <v>0</v>
      </c>
      <c r="CG156" s="421">
        <v>19783.810000000001</v>
      </c>
      <c r="CH156" s="421">
        <v>0</v>
      </c>
      <c r="CI156" s="421">
        <v>19783.810000000001</v>
      </c>
      <c r="CJ156" s="421">
        <v>58282510.745700002</v>
      </c>
      <c r="CK156" s="421">
        <v>15</v>
      </c>
      <c r="CL156" s="421">
        <v>58282511</v>
      </c>
      <c r="CM156" s="421">
        <v>8742000</v>
      </c>
      <c r="CN156" s="421">
        <v>8742000</v>
      </c>
      <c r="CO156" s="421">
        <v>0</v>
      </c>
      <c r="CP156" s="421">
        <v>0</v>
      </c>
      <c r="CQ156" s="421">
        <v>16</v>
      </c>
      <c r="CR156" s="421">
        <v>67024511</v>
      </c>
      <c r="CS156" s="421">
        <v>10724000</v>
      </c>
      <c r="CT156" s="421">
        <v>10724000</v>
      </c>
      <c r="CU156" s="421">
        <v>0</v>
      </c>
      <c r="CV156" s="421">
        <v>0</v>
      </c>
      <c r="CW156" s="421">
        <v>0</v>
      </c>
      <c r="CX156" s="421">
        <v>0</v>
      </c>
      <c r="CY156" s="421">
        <v>0</v>
      </c>
      <c r="CZ156" s="421">
        <v>0</v>
      </c>
      <c r="DA156" s="421">
        <v>0</v>
      </c>
      <c r="DB156" s="421">
        <v>0</v>
      </c>
      <c r="DC156" s="421">
        <v>0</v>
      </c>
      <c r="DD156" s="421">
        <v>0</v>
      </c>
      <c r="DE156" s="421">
        <v>0</v>
      </c>
      <c r="DF156" s="421">
        <v>0</v>
      </c>
      <c r="DG156" s="421">
        <v>0</v>
      </c>
      <c r="DH156" s="421">
        <v>0</v>
      </c>
      <c r="DI156" s="421">
        <v>0</v>
      </c>
      <c r="DJ156" s="421">
        <v>0</v>
      </c>
      <c r="DK156" s="421">
        <v>0</v>
      </c>
      <c r="DL156" s="421">
        <v>0</v>
      </c>
      <c r="DM156" s="421">
        <v>0</v>
      </c>
      <c r="DN156" s="421">
        <v>0</v>
      </c>
      <c r="DO156" s="421">
        <v>0</v>
      </c>
      <c r="DP156" s="421">
        <v>0</v>
      </c>
      <c r="DQ156" s="421">
        <v>0</v>
      </c>
      <c r="DR156" s="421">
        <v>0</v>
      </c>
      <c r="DS156" s="421">
        <v>0</v>
      </c>
      <c r="DT156" s="421">
        <v>0</v>
      </c>
      <c r="DU156" s="421">
        <v>0</v>
      </c>
      <c r="DV156" s="421">
        <v>0</v>
      </c>
      <c r="DW156" s="421">
        <v>0</v>
      </c>
      <c r="DX156" s="421">
        <v>0</v>
      </c>
      <c r="DY156" s="421">
        <v>19466000</v>
      </c>
      <c r="DZ156" s="421">
        <v>19466000</v>
      </c>
      <c r="EA156" s="421">
        <v>0</v>
      </c>
      <c r="EB156" s="421">
        <v>0</v>
      </c>
      <c r="EC156" s="421" t="s">
        <v>1148</v>
      </c>
      <c r="ED156" s="421" t="s">
        <v>1167</v>
      </c>
      <c r="EE156" s="421" t="s">
        <v>1167</v>
      </c>
    </row>
    <row r="157" spans="1:135" x14ac:dyDescent="0.25">
      <c r="A157" s="421">
        <v>154</v>
      </c>
      <c r="B157" s="421">
        <v>2015</v>
      </c>
      <c r="C157" s="421">
        <v>8</v>
      </c>
      <c r="D157" s="421">
        <v>13</v>
      </c>
      <c r="E157" s="424">
        <v>42229</v>
      </c>
      <c r="F157" s="421" t="s">
        <v>2326</v>
      </c>
      <c r="G157" s="421" t="s">
        <v>2327</v>
      </c>
      <c r="H157" s="421" t="s">
        <v>1106</v>
      </c>
      <c r="I157" s="421" t="s">
        <v>1107</v>
      </c>
      <c r="J157" s="421" t="s">
        <v>1108</v>
      </c>
      <c r="K157" s="421" t="s">
        <v>1202</v>
      </c>
      <c r="L157" s="421" t="s">
        <v>1110</v>
      </c>
      <c r="O157" s="421" t="s">
        <v>1111</v>
      </c>
      <c r="R157" s="421" t="s">
        <v>1111</v>
      </c>
      <c r="S157" s="421" t="s">
        <v>1112</v>
      </c>
      <c r="T157" s="421" t="s">
        <v>1113</v>
      </c>
      <c r="U157" s="421" t="s">
        <v>1114</v>
      </c>
      <c r="V157" s="421" t="s">
        <v>1115</v>
      </c>
      <c r="W157" s="421" t="s">
        <v>1116</v>
      </c>
      <c r="X157" s="421" t="s">
        <v>1117</v>
      </c>
      <c r="Y157" s="421" t="s">
        <v>1118</v>
      </c>
      <c r="Z157" s="421" t="s">
        <v>1119</v>
      </c>
      <c r="AA157" s="421" t="s">
        <v>1120</v>
      </c>
      <c r="AB157" s="421" t="s">
        <v>1121</v>
      </c>
      <c r="AC157" s="421" t="s">
        <v>1122</v>
      </c>
      <c r="AD157" s="421" t="s">
        <v>1479</v>
      </c>
      <c r="AE157" s="421" t="s">
        <v>1203</v>
      </c>
      <c r="AF157" s="421" t="s">
        <v>1204</v>
      </c>
      <c r="AG157" s="421" t="s">
        <v>2328</v>
      </c>
      <c r="AH157" s="421">
        <v>43000</v>
      </c>
      <c r="AI157" s="421" t="s">
        <v>1127</v>
      </c>
      <c r="AJ157" s="421">
        <v>2</v>
      </c>
      <c r="AK157" s="421">
        <v>1</v>
      </c>
      <c r="AL157" s="421" t="s">
        <v>1283</v>
      </c>
      <c r="AM157" s="421">
        <v>43000</v>
      </c>
      <c r="AN157" s="421">
        <v>43485</v>
      </c>
      <c r="AO157" s="421" t="s">
        <v>1120</v>
      </c>
      <c r="AP157" s="421" t="s">
        <v>1129</v>
      </c>
      <c r="AR157" s="421" t="s">
        <v>1130</v>
      </c>
      <c r="AT157" s="421" t="s">
        <v>1131</v>
      </c>
      <c r="AU157" s="421" t="s">
        <v>1132</v>
      </c>
      <c r="AV157" s="421" t="s">
        <v>1133</v>
      </c>
      <c r="AW157" s="421" t="s">
        <v>1207</v>
      </c>
      <c r="AX157" s="421" t="s">
        <v>1207</v>
      </c>
      <c r="AY157" s="421" t="s">
        <v>1208</v>
      </c>
      <c r="AZ157" s="421" t="s">
        <v>1121</v>
      </c>
      <c r="BA157" s="421" t="s">
        <v>1209</v>
      </c>
      <c r="BB157" s="421" t="s">
        <v>1208</v>
      </c>
      <c r="BC157" s="421" t="s">
        <v>1210</v>
      </c>
      <c r="BD157" s="421" t="s">
        <v>1211</v>
      </c>
      <c r="BE157" s="421" t="s">
        <v>1212</v>
      </c>
      <c r="BF157" s="421" t="s">
        <v>2329</v>
      </c>
      <c r="BG157" s="421" t="s">
        <v>2322</v>
      </c>
      <c r="BH157" s="421" t="s">
        <v>2330</v>
      </c>
      <c r="BI157" s="421" t="s">
        <v>1142</v>
      </c>
      <c r="BJ157" s="421" t="s">
        <v>1243</v>
      </c>
      <c r="BK157" s="421" t="s">
        <v>2327</v>
      </c>
      <c r="BL157" s="421" t="s">
        <v>2331</v>
      </c>
      <c r="BM157" s="421" t="s">
        <v>2332</v>
      </c>
      <c r="BN157" s="421" t="s">
        <v>2333</v>
      </c>
      <c r="BO157" s="421">
        <v>0</v>
      </c>
      <c r="BR157" s="421">
        <v>0</v>
      </c>
      <c r="BS157" s="421">
        <v>0</v>
      </c>
      <c r="BT157" s="421">
        <v>0</v>
      </c>
      <c r="BU157" s="424">
        <v>42221</v>
      </c>
      <c r="BX157" s="421">
        <v>2945.97</v>
      </c>
      <c r="BY157" s="421" t="s">
        <v>1147</v>
      </c>
      <c r="BZ157" s="421">
        <v>81700</v>
      </c>
      <c r="CA157" s="421">
        <v>240685749</v>
      </c>
      <c r="CB157" s="421">
        <v>32.68</v>
      </c>
      <c r="CC157" s="421">
        <v>0</v>
      </c>
      <c r="CD157" s="421">
        <v>1895</v>
      </c>
      <c r="CE157" s="421">
        <v>1927.68</v>
      </c>
      <c r="CF157" s="421">
        <v>0</v>
      </c>
      <c r="CG157" s="421">
        <v>83627.679999999993</v>
      </c>
      <c r="CH157" s="421">
        <v>0</v>
      </c>
      <c r="CI157" s="421">
        <v>83627.679999999993</v>
      </c>
      <c r="CJ157" s="421">
        <v>246364636.44960001</v>
      </c>
      <c r="CK157" s="421">
        <v>0</v>
      </c>
      <c r="CL157" s="421">
        <v>246364636</v>
      </c>
      <c r="CM157" s="421">
        <v>0</v>
      </c>
      <c r="CN157" s="421">
        <v>0</v>
      </c>
      <c r="CO157" s="421">
        <v>0</v>
      </c>
      <c r="CP157" s="421">
        <v>0</v>
      </c>
      <c r="CQ157" s="421">
        <v>0</v>
      </c>
      <c r="CR157" s="421">
        <v>246364636</v>
      </c>
      <c r="CS157" s="421">
        <v>0</v>
      </c>
      <c r="CT157" s="421">
        <v>0</v>
      </c>
      <c r="CU157" s="421">
        <v>0</v>
      </c>
      <c r="CV157" s="421">
        <v>0</v>
      </c>
      <c r="CW157" s="421">
        <v>0</v>
      </c>
      <c r="CX157" s="421">
        <v>0</v>
      </c>
      <c r="CY157" s="421">
        <v>0</v>
      </c>
      <c r="CZ157" s="421">
        <v>0</v>
      </c>
      <c r="DA157" s="421">
        <v>0</v>
      </c>
      <c r="DB157" s="421">
        <v>0</v>
      </c>
      <c r="DC157" s="421">
        <v>0</v>
      </c>
      <c r="DD157" s="421">
        <v>0</v>
      </c>
      <c r="DE157" s="421">
        <v>0</v>
      </c>
      <c r="DF157" s="421">
        <v>0</v>
      </c>
      <c r="DG157" s="421">
        <v>0</v>
      </c>
      <c r="DH157" s="421">
        <v>0</v>
      </c>
      <c r="DI157" s="421">
        <v>0</v>
      </c>
      <c r="DJ157" s="421">
        <v>0</v>
      </c>
      <c r="DK157" s="421">
        <v>0</v>
      </c>
      <c r="DL157" s="421">
        <v>0</v>
      </c>
      <c r="DM157" s="421">
        <v>0</v>
      </c>
      <c r="DN157" s="421">
        <v>0</v>
      </c>
      <c r="DO157" s="421">
        <v>0</v>
      </c>
      <c r="DP157" s="421">
        <v>0</v>
      </c>
      <c r="DQ157" s="421">
        <v>0</v>
      </c>
      <c r="DR157" s="421">
        <v>0</v>
      </c>
      <c r="DS157" s="421">
        <v>0</v>
      </c>
      <c r="DT157" s="421">
        <v>0</v>
      </c>
      <c r="DU157" s="421">
        <v>0</v>
      </c>
      <c r="DV157" s="421">
        <v>0</v>
      </c>
      <c r="DW157" s="421">
        <v>0</v>
      </c>
      <c r="DX157" s="421">
        <v>0</v>
      </c>
      <c r="DY157" s="421">
        <v>0</v>
      </c>
      <c r="DZ157" s="421">
        <v>0</v>
      </c>
      <c r="EA157" s="421">
        <v>0</v>
      </c>
      <c r="EB157" s="421">
        <v>0</v>
      </c>
      <c r="EC157" s="421" t="s">
        <v>1148</v>
      </c>
      <c r="ED157" s="421" t="s">
        <v>1149</v>
      </c>
      <c r="EE157" s="421" t="s">
        <v>1149</v>
      </c>
    </row>
    <row r="158" spans="1:135" x14ac:dyDescent="0.25">
      <c r="A158" s="421">
        <v>155</v>
      </c>
      <c r="B158" s="421">
        <v>2015</v>
      </c>
      <c r="C158" s="421">
        <v>8</v>
      </c>
      <c r="D158" s="421">
        <v>14</v>
      </c>
      <c r="E158" s="424">
        <v>42230</v>
      </c>
      <c r="F158" s="421" t="s">
        <v>2334</v>
      </c>
      <c r="G158" s="421" t="s">
        <v>2335</v>
      </c>
      <c r="H158" s="421" t="s">
        <v>1106</v>
      </c>
      <c r="I158" s="421" t="s">
        <v>1107</v>
      </c>
      <c r="J158" s="421" t="s">
        <v>1108</v>
      </c>
      <c r="K158" s="421" t="s">
        <v>1202</v>
      </c>
      <c r="L158" s="421" t="s">
        <v>1110</v>
      </c>
      <c r="O158" s="421" t="s">
        <v>1111</v>
      </c>
      <c r="R158" s="421" t="s">
        <v>1111</v>
      </c>
      <c r="S158" s="421" t="s">
        <v>1112</v>
      </c>
      <c r="T158" s="421" t="s">
        <v>1113</v>
      </c>
      <c r="U158" s="421" t="s">
        <v>1114</v>
      </c>
      <c r="V158" s="421" t="s">
        <v>1115</v>
      </c>
      <c r="W158" s="421" t="s">
        <v>1116</v>
      </c>
      <c r="X158" s="421" t="s">
        <v>1117</v>
      </c>
      <c r="Y158" s="421" t="s">
        <v>1118</v>
      </c>
      <c r="Z158" s="421" t="s">
        <v>1119</v>
      </c>
      <c r="AA158" s="421" t="s">
        <v>1120</v>
      </c>
      <c r="AB158" s="421" t="s">
        <v>1121</v>
      </c>
      <c r="AC158" s="421" t="s">
        <v>1122</v>
      </c>
      <c r="AD158" s="421" t="s">
        <v>1479</v>
      </c>
      <c r="AE158" s="421" t="s">
        <v>1203</v>
      </c>
      <c r="AF158" s="421" t="s">
        <v>1204</v>
      </c>
      <c r="AG158" s="421" t="s">
        <v>2336</v>
      </c>
      <c r="AH158" s="421">
        <v>43000</v>
      </c>
      <c r="AI158" s="421" t="s">
        <v>1127</v>
      </c>
      <c r="AJ158" s="421">
        <v>2</v>
      </c>
      <c r="AK158" s="421">
        <v>1</v>
      </c>
      <c r="AL158" s="421" t="s">
        <v>1283</v>
      </c>
      <c r="AM158" s="421">
        <v>43000</v>
      </c>
      <c r="AN158" s="421">
        <v>43200</v>
      </c>
      <c r="AO158" s="421" t="s">
        <v>1120</v>
      </c>
      <c r="AP158" s="421" t="s">
        <v>1129</v>
      </c>
      <c r="AR158" s="421" t="s">
        <v>1130</v>
      </c>
      <c r="AT158" s="421" t="s">
        <v>1131</v>
      </c>
      <c r="AU158" s="421" t="s">
        <v>1132</v>
      </c>
      <c r="AV158" s="421" t="s">
        <v>1133</v>
      </c>
      <c r="AW158" s="421" t="s">
        <v>1207</v>
      </c>
      <c r="AX158" s="421" t="s">
        <v>1207</v>
      </c>
      <c r="AY158" s="421" t="s">
        <v>1208</v>
      </c>
      <c r="AZ158" s="421" t="s">
        <v>1121</v>
      </c>
      <c r="BA158" s="421" t="s">
        <v>1209</v>
      </c>
      <c r="BB158" s="421" t="s">
        <v>1208</v>
      </c>
      <c r="BC158" s="421" t="s">
        <v>1210</v>
      </c>
      <c r="BD158" s="421" t="s">
        <v>1211</v>
      </c>
      <c r="BE158" s="421" t="s">
        <v>1212</v>
      </c>
      <c r="BF158" s="421" t="s">
        <v>2337</v>
      </c>
      <c r="BG158" s="421" t="s">
        <v>2322</v>
      </c>
      <c r="BH158" s="421" t="s">
        <v>2338</v>
      </c>
      <c r="BI158" s="421" t="s">
        <v>1142</v>
      </c>
      <c r="BJ158" s="421" t="s">
        <v>1180</v>
      </c>
      <c r="BK158" s="421" t="s">
        <v>2335</v>
      </c>
      <c r="BL158" s="421" t="s">
        <v>2339</v>
      </c>
      <c r="BM158" s="421" t="s">
        <v>1216</v>
      </c>
      <c r="BN158" s="421" t="s">
        <v>2225</v>
      </c>
      <c r="BO158" s="421">
        <v>0</v>
      </c>
      <c r="BR158" s="421">
        <v>0</v>
      </c>
      <c r="BS158" s="421">
        <v>0</v>
      </c>
      <c r="BT158" s="421">
        <v>0</v>
      </c>
      <c r="BU158" s="424">
        <v>42208</v>
      </c>
      <c r="BX158" s="421">
        <v>2945.97</v>
      </c>
      <c r="BY158" s="421" t="s">
        <v>1147</v>
      </c>
      <c r="BZ158" s="421">
        <v>81700</v>
      </c>
      <c r="CA158" s="421">
        <v>240685749</v>
      </c>
      <c r="CB158" s="421">
        <v>32.68</v>
      </c>
      <c r="CC158" s="421">
        <v>0</v>
      </c>
      <c r="CD158" s="421">
        <v>1640.73</v>
      </c>
      <c r="CE158" s="421">
        <v>1673.41</v>
      </c>
      <c r="CF158" s="421">
        <v>0</v>
      </c>
      <c r="CG158" s="421">
        <v>83373.41</v>
      </c>
      <c r="CH158" s="421">
        <v>0</v>
      </c>
      <c r="CI158" s="421">
        <v>83373.41</v>
      </c>
      <c r="CJ158" s="421">
        <v>245615564.6577</v>
      </c>
      <c r="CK158" s="421">
        <v>0</v>
      </c>
      <c r="CL158" s="421">
        <v>245615565</v>
      </c>
      <c r="CM158" s="421">
        <v>0</v>
      </c>
      <c r="CN158" s="421">
        <v>0</v>
      </c>
      <c r="CO158" s="421">
        <v>0</v>
      </c>
      <c r="CP158" s="421">
        <v>0</v>
      </c>
      <c r="CQ158" s="421">
        <v>0</v>
      </c>
      <c r="CR158" s="421">
        <v>245615565</v>
      </c>
      <c r="CS158" s="421">
        <v>0</v>
      </c>
      <c r="CT158" s="421">
        <v>0</v>
      </c>
      <c r="CU158" s="421">
        <v>0</v>
      </c>
      <c r="CV158" s="421">
        <v>0</v>
      </c>
      <c r="CW158" s="421">
        <v>0</v>
      </c>
      <c r="CX158" s="421">
        <v>0</v>
      </c>
      <c r="CY158" s="421">
        <v>0</v>
      </c>
      <c r="CZ158" s="421">
        <v>0</v>
      </c>
      <c r="DA158" s="421">
        <v>0</v>
      </c>
      <c r="DB158" s="421">
        <v>0</v>
      </c>
      <c r="DC158" s="421">
        <v>0</v>
      </c>
      <c r="DD158" s="421">
        <v>0</v>
      </c>
      <c r="DE158" s="421">
        <v>0</v>
      </c>
      <c r="DF158" s="421">
        <v>0</v>
      </c>
      <c r="DG158" s="421">
        <v>0</v>
      </c>
      <c r="DH158" s="421">
        <v>0</v>
      </c>
      <c r="DI158" s="421">
        <v>0</v>
      </c>
      <c r="DJ158" s="421">
        <v>0</v>
      </c>
      <c r="DK158" s="421">
        <v>0</v>
      </c>
      <c r="DL158" s="421">
        <v>0</v>
      </c>
      <c r="DM158" s="421">
        <v>0</v>
      </c>
      <c r="DN158" s="421">
        <v>0</v>
      </c>
      <c r="DO158" s="421">
        <v>0</v>
      </c>
      <c r="DP158" s="421">
        <v>0</v>
      </c>
      <c r="DQ158" s="421">
        <v>0</v>
      </c>
      <c r="DR158" s="421">
        <v>0</v>
      </c>
      <c r="DS158" s="421">
        <v>0</v>
      </c>
      <c r="DT158" s="421">
        <v>0</v>
      </c>
      <c r="DU158" s="421">
        <v>0</v>
      </c>
      <c r="DV158" s="421">
        <v>0</v>
      </c>
      <c r="DW158" s="421">
        <v>0</v>
      </c>
      <c r="DX158" s="421">
        <v>0</v>
      </c>
      <c r="DY158" s="421">
        <v>0</v>
      </c>
      <c r="DZ158" s="421">
        <v>0</v>
      </c>
      <c r="EA158" s="421">
        <v>0</v>
      </c>
      <c r="EB158" s="421">
        <v>0</v>
      </c>
      <c r="EC158" s="421" t="s">
        <v>1148</v>
      </c>
      <c r="ED158" s="421" t="s">
        <v>1149</v>
      </c>
      <c r="EE158" s="421" t="s">
        <v>1149</v>
      </c>
    </row>
    <row r="159" spans="1:135" x14ac:dyDescent="0.25">
      <c r="A159" s="421">
        <v>156</v>
      </c>
      <c r="B159" s="421">
        <v>2015</v>
      </c>
      <c r="C159" s="421">
        <v>8</v>
      </c>
      <c r="D159" s="421">
        <v>14</v>
      </c>
      <c r="E159" s="424">
        <v>42230</v>
      </c>
      <c r="F159" s="421" t="s">
        <v>2340</v>
      </c>
      <c r="G159" s="421" t="s">
        <v>2341</v>
      </c>
      <c r="H159" s="421" t="s">
        <v>1106</v>
      </c>
      <c r="I159" s="421" t="s">
        <v>1107</v>
      </c>
      <c r="J159" s="421" t="s">
        <v>1108</v>
      </c>
      <c r="K159" s="421" t="s">
        <v>1109</v>
      </c>
      <c r="L159" s="421" t="s">
        <v>1110</v>
      </c>
      <c r="O159" s="421" t="s">
        <v>1111</v>
      </c>
      <c r="R159" s="421" t="s">
        <v>1111</v>
      </c>
      <c r="S159" s="421" t="s">
        <v>1112</v>
      </c>
      <c r="T159" s="421" t="s">
        <v>1113</v>
      </c>
      <c r="U159" s="421" t="s">
        <v>1114</v>
      </c>
      <c r="V159" s="421" t="s">
        <v>1115</v>
      </c>
      <c r="W159" s="421" t="s">
        <v>1116</v>
      </c>
      <c r="X159" s="421" t="s">
        <v>1117</v>
      </c>
      <c r="Y159" s="421" t="s">
        <v>1118</v>
      </c>
      <c r="Z159" s="421" t="s">
        <v>1119</v>
      </c>
      <c r="AA159" s="421" t="s">
        <v>1120</v>
      </c>
      <c r="AB159" s="421" t="s">
        <v>1121</v>
      </c>
      <c r="AC159" s="421" t="s">
        <v>1122</v>
      </c>
      <c r="AD159" s="421" t="s">
        <v>1479</v>
      </c>
      <c r="AE159" s="421" t="s">
        <v>1471</v>
      </c>
      <c r="AF159" s="421" t="s">
        <v>1472</v>
      </c>
      <c r="AG159" s="421" t="s">
        <v>2342</v>
      </c>
      <c r="AH159" s="421">
        <v>4536</v>
      </c>
      <c r="AI159" s="421" t="s">
        <v>1189</v>
      </c>
      <c r="AJ159" s="421">
        <v>40</v>
      </c>
      <c r="AK159" s="421">
        <v>1</v>
      </c>
      <c r="AL159" s="421" t="s">
        <v>1173</v>
      </c>
      <c r="AM159" s="421">
        <v>480.34</v>
      </c>
      <c r="AN159" s="421">
        <v>600</v>
      </c>
      <c r="AO159" s="421" t="s">
        <v>1120</v>
      </c>
      <c r="AP159" s="421" t="s">
        <v>2343</v>
      </c>
      <c r="AQ159" s="421" t="s">
        <v>1475</v>
      </c>
      <c r="AR159" s="421" t="s">
        <v>1476</v>
      </c>
      <c r="AT159" s="421" t="s">
        <v>1131</v>
      </c>
      <c r="AU159" s="421" t="s">
        <v>1303</v>
      </c>
      <c r="AV159" s="421" t="s">
        <v>1304</v>
      </c>
      <c r="AW159" s="421" t="s">
        <v>960</v>
      </c>
      <c r="AX159" s="421" t="s">
        <v>2135</v>
      </c>
      <c r="AY159" s="421" t="s">
        <v>2037</v>
      </c>
      <c r="AZ159" s="421" t="s">
        <v>1121</v>
      </c>
      <c r="BA159" s="421" t="s">
        <v>2038</v>
      </c>
      <c r="BB159" s="421" t="s">
        <v>2037</v>
      </c>
      <c r="BC159" s="421" t="s">
        <v>2039</v>
      </c>
      <c r="BD159" s="421" t="s">
        <v>2040</v>
      </c>
      <c r="BE159" s="421" t="s">
        <v>2041</v>
      </c>
      <c r="BF159" s="421" t="s">
        <v>2344</v>
      </c>
      <c r="BG159" s="421" t="s">
        <v>2166</v>
      </c>
      <c r="BH159" s="421" t="s">
        <v>2345</v>
      </c>
      <c r="BI159" s="421" t="s">
        <v>1142</v>
      </c>
      <c r="BJ159" s="421" t="s">
        <v>1180</v>
      </c>
      <c r="BK159" s="421" t="s">
        <v>2341</v>
      </c>
      <c r="BL159" s="421" t="s">
        <v>2339</v>
      </c>
      <c r="BM159" s="421" t="s">
        <v>2346</v>
      </c>
      <c r="BN159" s="421" t="s">
        <v>2010</v>
      </c>
      <c r="BO159" s="421">
        <v>0</v>
      </c>
      <c r="BR159" s="421">
        <v>0</v>
      </c>
      <c r="BS159" s="421">
        <v>0</v>
      </c>
      <c r="BT159" s="421">
        <v>0</v>
      </c>
      <c r="BU159" s="424">
        <v>42166</v>
      </c>
      <c r="BX159" s="421">
        <v>2945.97</v>
      </c>
      <c r="BY159" s="421" t="s">
        <v>1147</v>
      </c>
      <c r="BZ159" s="421">
        <v>12327.84</v>
      </c>
      <c r="CA159" s="421">
        <v>36317446.804799996</v>
      </c>
      <c r="CB159" s="421">
        <v>4.93</v>
      </c>
      <c r="CC159" s="421">
        <v>0</v>
      </c>
      <c r="CD159" s="421">
        <v>1052.6600000000001</v>
      </c>
      <c r="CE159" s="421">
        <v>1057.5899999999999</v>
      </c>
      <c r="CF159" s="421">
        <v>0</v>
      </c>
      <c r="CG159" s="421">
        <v>13385.43</v>
      </c>
      <c r="CH159" s="421">
        <v>0</v>
      </c>
      <c r="CI159" s="421">
        <v>13385.43</v>
      </c>
      <c r="CJ159" s="421">
        <v>39433075.217100002</v>
      </c>
      <c r="CK159" s="421">
        <v>15</v>
      </c>
      <c r="CL159" s="421">
        <v>39433075</v>
      </c>
      <c r="CM159" s="421">
        <v>5915000</v>
      </c>
      <c r="CN159" s="421">
        <v>5915000</v>
      </c>
      <c r="CO159" s="421">
        <v>0</v>
      </c>
      <c r="CP159" s="421">
        <v>0</v>
      </c>
      <c r="CQ159" s="421">
        <v>16</v>
      </c>
      <c r="CR159" s="421">
        <v>45348075</v>
      </c>
      <c r="CS159" s="421">
        <v>7256000</v>
      </c>
      <c r="CT159" s="421">
        <v>7256000</v>
      </c>
      <c r="CU159" s="421">
        <v>0</v>
      </c>
      <c r="CV159" s="421">
        <v>0</v>
      </c>
      <c r="CW159" s="421">
        <v>0</v>
      </c>
      <c r="CX159" s="421">
        <v>0</v>
      </c>
      <c r="CY159" s="421">
        <v>0</v>
      </c>
      <c r="CZ159" s="421">
        <v>0</v>
      </c>
      <c r="DA159" s="421">
        <v>0</v>
      </c>
      <c r="DB159" s="421">
        <v>0</v>
      </c>
      <c r="DC159" s="421">
        <v>0</v>
      </c>
      <c r="DD159" s="421">
        <v>0</v>
      </c>
      <c r="DE159" s="421">
        <v>0</v>
      </c>
      <c r="DF159" s="421">
        <v>0</v>
      </c>
      <c r="DG159" s="421">
        <v>0</v>
      </c>
      <c r="DH159" s="421">
        <v>0</v>
      </c>
      <c r="DI159" s="421">
        <v>0</v>
      </c>
      <c r="DJ159" s="421">
        <v>0</v>
      </c>
      <c r="DK159" s="421">
        <v>0</v>
      </c>
      <c r="DL159" s="421">
        <v>0</v>
      </c>
      <c r="DM159" s="421">
        <v>0</v>
      </c>
      <c r="DN159" s="421">
        <v>0</v>
      </c>
      <c r="DO159" s="421">
        <v>0</v>
      </c>
      <c r="DP159" s="421">
        <v>0</v>
      </c>
      <c r="DQ159" s="421">
        <v>0</v>
      </c>
      <c r="DR159" s="421">
        <v>0</v>
      </c>
      <c r="DS159" s="421">
        <v>0</v>
      </c>
      <c r="DT159" s="421">
        <v>0</v>
      </c>
      <c r="DU159" s="421">
        <v>0</v>
      </c>
      <c r="DV159" s="421">
        <v>0</v>
      </c>
      <c r="DW159" s="421">
        <v>0</v>
      </c>
      <c r="DX159" s="421">
        <v>0</v>
      </c>
      <c r="DY159" s="421">
        <v>13171000</v>
      </c>
      <c r="DZ159" s="421">
        <v>13171000</v>
      </c>
      <c r="EA159" s="421">
        <v>0</v>
      </c>
      <c r="EB159" s="421">
        <v>0</v>
      </c>
      <c r="EC159" s="421" t="s">
        <v>1148</v>
      </c>
      <c r="ED159" s="421" t="s">
        <v>1149</v>
      </c>
      <c r="EE159" s="421" t="s">
        <v>1167</v>
      </c>
    </row>
    <row r="160" spans="1:135" x14ac:dyDescent="0.25">
      <c r="A160" s="421">
        <v>157</v>
      </c>
      <c r="B160" s="421">
        <v>2015</v>
      </c>
      <c r="C160" s="421">
        <v>8</v>
      </c>
      <c r="D160" s="421">
        <v>15</v>
      </c>
      <c r="E160" s="424">
        <v>42231</v>
      </c>
      <c r="F160" s="421" t="s">
        <v>2347</v>
      </c>
      <c r="G160" s="421" t="s">
        <v>2348</v>
      </c>
      <c r="H160" s="421" t="s">
        <v>1152</v>
      </c>
      <c r="I160" s="421" t="s">
        <v>1107</v>
      </c>
      <c r="J160" s="421" t="s">
        <v>1108</v>
      </c>
      <c r="K160" s="421" t="s">
        <v>1109</v>
      </c>
      <c r="L160" s="421" t="s">
        <v>1110</v>
      </c>
      <c r="O160" s="421" t="s">
        <v>1111</v>
      </c>
      <c r="R160" s="421" t="s">
        <v>1111</v>
      </c>
      <c r="S160" s="421" t="s">
        <v>1112</v>
      </c>
      <c r="T160" s="421" t="s">
        <v>1113</v>
      </c>
      <c r="U160" s="421" t="s">
        <v>1114</v>
      </c>
      <c r="V160" s="421" t="s">
        <v>1115</v>
      </c>
      <c r="W160" s="421" t="s">
        <v>1116</v>
      </c>
      <c r="X160" s="421" t="s">
        <v>1117</v>
      </c>
      <c r="Y160" s="421" t="s">
        <v>1118</v>
      </c>
      <c r="Z160" s="421" t="s">
        <v>1119</v>
      </c>
      <c r="AA160" s="421" t="s">
        <v>1120</v>
      </c>
      <c r="AB160" s="421" t="s">
        <v>1121</v>
      </c>
      <c r="AC160" s="421" t="s">
        <v>1122</v>
      </c>
      <c r="AD160" s="421" t="s">
        <v>1479</v>
      </c>
      <c r="AE160" s="421" t="s">
        <v>1471</v>
      </c>
      <c r="AF160" s="421" t="s">
        <v>1472</v>
      </c>
      <c r="AG160" s="421" t="s">
        <v>2349</v>
      </c>
      <c r="AH160" s="421">
        <v>45672</v>
      </c>
      <c r="AI160" s="421" t="s">
        <v>1189</v>
      </c>
      <c r="AJ160" s="421">
        <v>526</v>
      </c>
      <c r="AK160" s="421">
        <v>1</v>
      </c>
      <c r="AL160" s="421" t="s">
        <v>1173</v>
      </c>
      <c r="AM160" s="421">
        <v>6690</v>
      </c>
      <c r="AN160" s="421">
        <v>6690</v>
      </c>
      <c r="AO160" s="421" t="s">
        <v>1120</v>
      </c>
      <c r="AP160" s="421" t="s">
        <v>2350</v>
      </c>
      <c r="AQ160" s="421" t="s">
        <v>1475</v>
      </c>
      <c r="AR160" s="421" t="s">
        <v>1476</v>
      </c>
      <c r="AT160" s="421" t="s">
        <v>1131</v>
      </c>
      <c r="AU160" s="421" t="s">
        <v>1303</v>
      </c>
      <c r="AV160" s="421" t="s">
        <v>1304</v>
      </c>
      <c r="AW160" s="421" t="s">
        <v>960</v>
      </c>
      <c r="AX160" s="421" t="s">
        <v>960</v>
      </c>
      <c r="AY160" s="421" t="s">
        <v>960</v>
      </c>
      <c r="AZ160" s="421" t="s">
        <v>1121</v>
      </c>
      <c r="BA160" s="421" t="s">
        <v>1604</v>
      </c>
      <c r="BB160" s="421" t="s">
        <v>960</v>
      </c>
      <c r="BC160" s="421" t="s">
        <v>1605</v>
      </c>
      <c r="BD160" s="421" t="s">
        <v>1606</v>
      </c>
      <c r="BE160" s="421" t="s">
        <v>1607</v>
      </c>
      <c r="BF160" s="421" t="s">
        <v>2351</v>
      </c>
      <c r="BG160" s="421" t="s">
        <v>2225</v>
      </c>
      <c r="BH160" s="421" t="s">
        <v>2352</v>
      </c>
      <c r="BI160" s="421" t="s">
        <v>1142</v>
      </c>
      <c r="BJ160" s="421" t="s">
        <v>1163</v>
      </c>
      <c r="BK160" s="421" t="s">
        <v>2348</v>
      </c>
      <c r="BL160" s="421" t="s">
        <v>2353</v>
      </c>
      <c r="BM160" s="421" t="s">
        <v>2354</v>
      </c>
      <c r="BN160" s="421" t="s">
        <v>2080</v>
      </c>
      <c r="BO160" s="421">
        <v>0</v>
      </c>
      <c r="BR160" s="421">
        <v>0</v>
      </c>
      <c r="BS160" s="421">
        <v>0</v>
      </c>
      <c r="BT160" s="421">
        <v>0</v>
      </c>
      <c r="BU160" s="424">
        <v>42179</v>
      </c>
      <c r="BX160" s="421">
        <v>2945.97</v>
      </c>
      <c r="BY160" s="421" t="s">
        <v>1183</v>
      </c>
      <c r="BZ160" s="421">
        <v>17601.12</v>
      </c>
      <c r="CA160" s="421">
        <v>51852371.486400001</v>
      </c>
      <c r="CB160" s="421">
        <v>7.04</v>
      </c>
      <c r="CC160" s="421">
        <v>0</v>
      </c>
      <c r="CD160" s="421">
        <v>1825</v>
      </c>
      <c r="CE160" s="421">
        <v>1832.04</v>
      </c>
      <c r="CF160" s="421">
        <v>0</v>
      </c>
      <c r="CG160" s="421">
        <v>19433.16</v>
      </c>
      <c r="CH160" s="421">
        <v>0</v>
      </c>
      <c r="CI160" s="421">
        <v>19433.16</v>
      </c>
      <c r="CJ160" s="421">
        <v>57249506.365199998</v>
      </c>
      <c r="CK160" s="421">
        <v>15</v>
      </c>
      <c r="CL160" s="421">
        <v>57249506</v>
      </c>
      <c r="CM160" s="421">
        <v>8587000</v>
      </c>
      <c r="CN160" s="421">
        <v>8587000</v>
      </c>
      <c r="CO160" s="421">
        <v>0</v>
      </c>
      <c r="CP160" s="421">
        <v>0</v>
      </c>
      <c r="CQ160" s="421">
        <v>16</v>
      </c>
      <c r="CR160" s="421">
        <v>65836506</v>
      </c>
      <c r="CS160" s="421">
        <v>10534000</v>
      </c>
      <c r="CT160" s="421">
        <v>10534000</v>
      </c>
      <c r="CU160" s="421">
        <v>0</v>
      </c>
      <c r="CV160" s="421">
        <v>0</v>
      </c>
      <c r="CW160" s="421">
        <v>0</v>
      </c>
      <c r="CX160" s="421">
        <v>0</v>
      </c>
      <c r="CY160" s="421">
        <v>0</v>
      </c>
      <c r="CZ160" s="421">
        <v>0</v>
      </c>
      <c r="DA160" s="421">
        <v>0</v>
      </c>
      <c r="DB160" s="421">
        <v>0</v>
      </c>
      <c r="DC160" s="421">
        <v>0</v>
      </c>
      <c r="DD160" s="421">
        <v>0</v>
      </c>
      <c r="DE160" s="421">
        <v>0</v>
      </c>
      <c r="DF160" s="421">
        <v>0</v>
      </c>
      <c r="DG160" s="421">
        <v>0</v>
      </c>
      <c r="DH160" s="421">
        <v>0</v>
      </c>
      <c r="DI160" s="421">
        <v>0</v>
      </c>
      <c r="DJ160" s="421">
        <v>0</v>
      </c>
      <c r="DK160" s="421">
        <v>0</v>
      </c>
      <c r="DL160" s="421">
        <v>0</v>
      </c>
      <c r="DM160" s="421">
        <v>0</v>
      </c>
      <c r="DN160" s="421">
        <v>0</v>
      </c>
      <c r="DO160" s="421">
        <v>0</v>
      </c>
      <c r="DP160" s="421">
        <v>0</v>
      </c>
      <c r="DQ160" s="421">
        <v>0</v>
      </c>
      <c r="DR160" s="421">
        <v>0</v>
      </c>
      <c r="DS160" s="421">
        <v>0</v>
      </c>
      <c r="DT160" s="421">
        <v>0</v>
      </c>
      <c r="DU160" s="421">
        <v>0</v>
      </c>
      <c r="DV160" s="421">
        <v>0</v>
      </c>
      <c r="DW160" s="421">
        <v>0</v>
      </c>
      <c r="DX160" s="421">
        <v>0</v>
      </c>
      <c r="DY160" s="421">
        <v>19121000</v>
      </c>
      <c r="DZ160" s="421">
        <v>19121000</v>
      </c>
      <c r="EA160" s="421">
        <v>0</v>
      </c>
      <c r="EB160" s="421">
        <v>0</v>
      </c>
      <c r="EC160" s="421" t="s">
        <v>1148</v>
      </c>
      <c r="ED160" s="421" t="s">
        <v>1167</v>
      </c>
      <c r="EE160" s="421" t="s">
        <v>1167</v>
      </c>
    </row>
    <row r="161" spans="1:135" x14ac:dyDescent="0.25">
      <c r="A161" s="421">
        <v>158</v>
      </c>
      <c r="B161" s="421">
        <v>2015</v>
      </c>
      <c r="C161" s="421">
        <v>8</v>
      </c>
      <c r="D161" s="421">
        <v>15</v>
      </c>
      <c r="E161" s="424">
        <v>42231</v>
      </c>
      <c r="F161" s="421" t="s">
        <v>2355</v>
      </c>
      <c r="G161" s="421" t="s">
        <v>2356</v>
      </c>
      <c r="H161" s="421" t="s">
        <v>1152</v>
      </c>
      <c r="I161" s="421" t="s">
        <v>1281</v>
      </c>
      <c r="J161" s="421" t="s">
        <v>1108</v>
      </c>
      <c r="K161" s="421" t="s">
        <v>1109</v>
      </c>
      <c r="L161" s="421" t="s">
        <v>1110</v>
      </c>
      <c r="O161" s="421" t="s">
        <v>1111</v>
      </c>
      <c r="R161" s="421" t="s">
        <v>1111</v>
      </c>
      <c r="S161" s="421" t="s">
        <v>1112</v>
      </c>
      <c r="T161" s="421" t="s">
        <v>1113</v>
      </c>
      <c r="U161" s="421" t="s">
        <v>1114</v>
      </c>
      <c r="V161" s="421" t="s">
        <v>1115</v>
      </c>
      <c r="W161" s="421" t="s">
        <v>1116</v>
      </c>
      <c r="X161" s="421" t="s">
        <v>1117</v>
      </c>
      <c r="Y161" s="421" t="s">
        <v>1118</v>
      </c>
      <c r="Z161" s="421" t="s">
        <v>1119</v>
      </c>
      <c r="AA161" s="421" t="s">
        <v>1120</v>
      </c>
      <c r="AB161" s="421" t="s">
        <v>1121</v>
      </c>
      <c r="AC161" s="421" t="s">
        <v>1122</v>
      </c>
      <c r="AD161" s="421" t="s">
        <v>1479</v>
      </c>
      <c r="AE161" s="421" t="s">
        <v>1517</v>
      </c>
      <c r="AF161" s="421" t="s">
        <v>1518</v>
      </c>
      <c r="AG161" s="421" t="s">
        <v>2357</v>
      </c>
      <c r="AH161" s="421">
        <v>1125</v>
      </c>
      <c r="AI161" s="421" t="s">
        <v>1127</v>
      </c>
      <c r="AJ161" s="421">
        <v>45</v>
      </c>
      <c r="AK161" s="421">
        <v>1</v>
      </c>
      <c r="AL161" s="421" t="s">
        <v>1173</v>
      </c>
      <c r="AM161" s="421">
        <v>1125</v>
      </c>
      <c r="AN161" s="421">
        <v>1215</v>
      </c>
      <c r="AO161" s="421" t="s">
        <v>1120</v>
      </c>
      <c r="AP161" s="421" t="s">
        <v>1129</v>
      </c>
      <c r="AR161" s="421" t="s">
        <v>1130</v>
      </c>
      <c r="AT161" s="421" t="s">
        <v>1131</v>
      </c>
      <c r="AU161" s="421" t="s">
        <v>1190</v>
      </c>
      <c r="AV161" s="421" t="s">
        <v>1191</v>
      </c>
      <c r="AW161" s="421" t="s">
        <v>960</v>
      </c>
      <c r="AX161" s="421" t="s">
        <v>960</v>
      </c>
      <c r="AY161" s="421" t="s">
        <v>960</v>
      </c>
      <c r="AZ161" s="421" t="s">
        <v>1121</v>
      </c>
      <c r="BA161" s="421" t="s">
        <v>1520</v>
      </c>
      <c r="BB161" s="421" t="s">
        <v>960</v>
      </c>
      <c r="BC161" s="421" t="s">
        <v>1521</v>
      </c>
      <c r="BD161" s="421" t="s">
        <v>1522</v>
      </c>
      <c r="BE161" s="421" t="s">
        <v>1523</v>
      </c>
      <c r="BI161" s="421" t="s">
        <v>1142</v>
      </c>
      <c r="BJ161" s="421" t="s">
        <v>1163</v>
      </c>
      <c r="BK161" s="421" t="s">
        <v>2356</v>
      </c>
      <c r="BL161" s="421" t="s">
        <v>2353</v>
      </c>
      <c r="BM161" s="421" t="s">
        <v>2358</v>
      </c>
      <c r="BN161" s="421" t="s">
        <v>2129</v>
      </c>
      <c r="BO161" s="421">
        <v>0</v>
      </c>
      <c r="BR161" s="421">
        <v>0</v>
      </c>
      <c r="BS161" s="421">
        <v>0</v>
      </c>
      <c r="BT161" s="421">
        <v>0</v>
      </c>
      <c r="BU161" s="424">
        <v>38718</v>
      </c>
      <c r="BX161" s="421">
        <v>2945.97</v>
      </c>
      <c r="BY161" s="421" t="s">
        <v>1183</v>
      </c>
      <c r="BZ161" s="421">
        <v>13528.25</v>
      </c>
      <c r="CA161" s="421">
        <v>39853818.652500004</v>
      </c>
      <c r="CB161" s="421">
        <v>5.41</v>
      </c>
      <c r="CC161" s="421">
        <v>0</v>
      </c>
      <c r="CD161" s="421">
        <v>538.55999999999995</v>
      </c>
      <c r="CE161" s="421">
        <v>543.97</v>
      </c>
      <c r="CF161" s="421">
        <v>0</v>
      </c>
      <c r="CG161" s="421">
        <v>14072.22</v>
      </c>
      <c r="CH161" s="421">
        <v>0</v>
      </c>
      <c r="CI161" s="421">
        <v>14072.22</v>
      </c>
      <c r="CJ161" s="421">
        <v>41456337.953400001</v>
      </c>
      <c r="CK161" s="421">
        <v>10</v>
      </c>
      <c r="CL161" s="421">
        <v>41456338</v>
      </c>
      <c r="CM161" s="421">
        <v>4146000</v>
      </c>
      <c r="CN161" s="421">
        <v>4146000</v>
      </c>
      <c r="CO161" s="421">
        <v>0</v>
      </c>
      <c r="CP161" s="421">
        <v>0</v>
      </c>
      <c r="CQ161" s="421">
        <v>16</v>
      </c>
      <c r="CR161" s="421">
        <v>45602338</v>
      </c>
      <c r="CS161" s="421">
        <v>7296000</v>
      </c>
      <c r="CT161" s="421">
        <v>7296000</v>
      </c>
      <c r="CU161" s="421">
        <v>0</v>
      </c>
      <c r="CV161" s="421">
        <v>0</v>
      </c>
      <c r="CW161" s="421">
        <v>0</v>
      </c>
      <c r="CX161" s="421">
        <v>0</v>
      </c>
      <c r="CY161" s="421">
        <v>0</v>
      </c>
      <c r="CZ161" s="421">
        <v>0</v>
      </c>
      <c r="DA161" s="421">
        <v>0</v>
      </c>
      <c r="DB161" s="421">
        <v>0</v>
      </c>
      <c r="DC161" s="421">
        <v>0</v>
      </c>
      <c r="DD161" s="421">
        <v>0</v>
      </c>
      <c r="DE161" s="421">
        <v>0</v>
      </c>
      <c r="DF161" s="421">
        <v>0</v>
      </c>
      <c r="DG161" s="421">
        <v>0</v>
      </c>
      <c r="DH161" s="421">
        <v>0</v>
      </c>
      <c r="DI161" s="421">
        <v>0</v>
      </c>
      <c r="DJ161" s="421">
        <v>0</v>
      </c>
      <c r="DK161" s="421">
        <v>0</v>
      </c>
      <c r="DL161" s="421">
        <v>0</v>
      </c>
      <c r="DM161" s="421">
        <v>0</v>
      </c>
      <c r="DN161" s="421">
        <v>0</v>
      </c>
      <c r="DO161" s="421">
        <v>0</v>
      </c>
      <c r="DP161" s="421">
        <v>0</v>
      </c>
      <c r="DQ161" s="421">
        <v>0</v>
      </c>
      <c r="DR161" s="421">
        <v>0</v>
      </c>
      <c r="DS161" s="421">
        <v>0</v>
      </c>
      <c r="DT161" s="421">
        <v>0</v>
      </c>
      <c r="DU161" s="421">
        <v>0</v>
      </c>
      <c r="DV161" s="421">
        <v>0</v>
      </c>
      <c r="DW161" s="421">
        <v>0</v>
      </c>
      <c r="DX161" s="421">
        <v>0</v>
      </c>
      <c r="DY161" s="421">
        <v>11442000</v>
      </c>
      <c r="DZ161" s="421">
        <v>11442000</v>
      </c>
      <c r="EA161" s="421">
        <v>0</v>
      </c>
      <c r="EB161" s="421">
        <v>0</v>
      </c>
      <c r="EC161" s="421" t="s">
        <v>1148</v>
      </c>
      <c r="ED161" s="421" t="s">
        <v>1167</v>
      </c>
      <c r="EE161" s="421" t="s">
        <v>1167</v>
      </c>
    </row>
    <row r="162" spans="1:135" x14ac:dyDescent="0.25">
      <c r="A162" s="421">
        <v>159</v>
      </c>
      <c r="B162" s="421">
        <v>2015</v>
      </c>
      <c r="C162" s="421">
        <v>8</v>
      </c>
      <c r="D162" s="421">
        <v>18</v>
      </c>
      <c r="E162" s="424">
        <v>42234</v>
      </c>
      <c r="F162" s="421" t="s">
        <v>2359</v>
      </c>
      <c r="G162" s="421" t="s">
        <v>2360</v>
      </c>
      <c r="H162" s="421" t="s">
        <v>1106</v>
      </c>
      <c r="I162" s="421" t="s">
        <v>1107</v>
      </c>
      <c r="J162" s="421" t="s">
        <v>1108</v>
      </c>
      <c r="K162" s="421" t="s">
        <v>1109</v>
      </c>
      <c r="L162" s="421" t="s">
        <v>1110</v>
      </c>
      <c r="O162" s="421" t="s">
        <v>1111</v>
      </c>
      <c r="R162" s="421" t="s">
        <v>1111</v>
      </c>
      <c r="S162" s="421" t="s">
        <v>1112</v>
      </c>
      <c r="T162" s="421" t="s">
        <v>1113</v>
      </c>
      <c r="U162" s="421" t="s">
        <v>1114</v>
      </c>
      <c r="V162" s="421" t="s">
        <v>1115</v>
      </c>
      <c r="W162" s="421" t="s">
        <v>1116</v>
      </c>
      <c r="X162" s="421" t="s">
        <v>1117</v>
      </c>
      <c r="Y162" s="421" t="s">
        <v>1118</v>
      </c>
      <c r="Z162" s="421" t="s">
        <v>1119</v>
      </c>
      <c r="AA162" s="421" t="s">
        <v>1120</v>
      </c>
      <c r="AB162" s="421" t="s">
        <v>1121</v>
      </c>
      <c r="AC162" s="421" t="s">
        <v>1122</v>
      </c>
      <c r="AD162" s="421" t="s">
        <v>1479</v>
      </c>
      <c r="AE162" s="421" t="s">
        <v>1407</v>
      </c>
      <c r="AF162" s="421" t="s">
        <v>1408</v>
      </c>
      <c r="AG162" s="421" t="s">
        <v>2361</v>
      </c>
      <c r="AH162" s="421">
        <v>16000</v>
      </c>
      <c r="AI162" s="421" t="s">
        <v>1127</v>
      </c>
      <c r="AJ162" s="421">
        <v>37</v>
      </c>
      <c r="AK162" s="421">
        <v>1</v>
      </c>
      <c r="AL162" s="421" t="s">
        <v>1206</v>
      </c>
      <c r="AM162" s="421">
        <v>16000</v>
      </c>
      <c r="AN162" s="421">
        <v>17279</v>
      </c>
      <c r="AO162" s="421" t="s">
        <v>1120</v>
      </c>
      <c r="AP162" s="421" t="s">
        <v>1129</v>
      </c>
      <c r="AR162" s="421" t="s">
        <v>1130</v>
      </c>
      <c r="AT162" s="421" t="s">
        <v>1131</v>
      </c>
      <c r="AU162" s="421" t="s">
        <v>1132</v>
      </c>
      <c r="AV162" s="421" t="s">
        <v>1133</v>
      </c>
      <c r="AW162" s="421" t="s">
        <v>962</v>
      </c>
      <c r="AX162" s="421" t="s">
        <v>962</v>
      </c>
      <c r="AY162" s="421" t="s">
        <v>962</v>
      </c>
      <c r="AZ162" s="421" t="s">
        <v>1121</v>
      </c>
      <c r="BA162" s="421" t="s">
        <v>1410</v>
      </c>
      <c r="BB162" s="421" t="s">
        <v>962</v>
      </c>
      <c r="BC162" s="421" t="s">
        <v>1411</v>
      </c>
      <c r="BD162" s="421" t="s">
        <v>1412</v>
      </c>
      <c r="BE162" s="421" t="s">
        <v>1413</v>
      </c>
      <c r="BF162" s="421" t="s">
        <v>2329</v>
      </c>
      <c r="BG162" s="421" t="s">
        <v>2322</v>
      </c>
      <c r="BH162" s="421" t="s">
        <v>2362</v>
      </c>
      <c r="BI162" s="421" t="s">
        <v>1142</v>
      </c>
      <c r="BJ162" s="421" t="s">
        <v>1243</v>
      </c>
      <c r="BK162" s="421" t="s">
        <v>2360</v>
      </c>
      <c r="BL162" s="421" t="s">
        <v>2339</v>
      </c>
      <c r="BM162" s="421" t="s">
        <v>2363</v>
      </c>
      <c r="BN162" s="421" t="s">
        <v>2145</v>
      </c>
      <c r="BO162" s="421">
        <v>0</v>
      </c>
      <c r="BR162" s="421">
        <v>0</v>
      </c>
      <c r="BS162" s="421">
        <v>0</v>
      </c>
      <c r="BT162" s="421">
        <v>0</v>
      </c>
      <c r="BU162" s="424">
        <v>42212</v>
      </c>
      <c r="BX162" s="421">
        <v>2945.97</v>
      </c>
      <c r="BY162" s="421" t="s">
        <v>1147</v>
      </c>
      <c r="BZ162" s="421">
        <v>74270</v>
      </c>
      <c r="CA162" s="421">
        <v>218797191.90000001</v>
      </c>
      <c r="CB162" s="421">
        <v>195</v>
      </c>
      <c r="CC162" s="421">
        <v>0</v>
      </c>
      <c r="CD162" s="421">
        <v>3275.35</v>
      </c>
      <c r="CE162" s="421">
        <v>3470.35</v>
      </c>
      <c r="CF162" s="421">
        <v>0</v>
      </c>
      <c r="CG162" s="421">
        <v>77740.350000000006</v>
      </c>
      <c r="CH162" s="421">
        <v>0</v>
      </c>
      <c r="CI162" s="421">
        <v>77740.350000000006</v>
      </c>
      <c r="CJ162" s="421">
        <v>229020738.88949999</v>
      </c>
      <c r="CK162" s="421">
        <v>0</v>
      </c>
      <c r="CL162" s="421">
        <v>229020739</v>
      </c>
      <c r="CM162" s="421">
        <v>0</v>
      </c>
      <c r="CN162" s="421">
        <v>0</v>
      </c>
      <c r="CO162" s="421">
        <v>0</v>
      </c>
      <c r="CP162" s="421">
        <v>0</v>
      </c>
      <c r="CQ162" s="421">
        <v>16</v>
      </c>
      <c r="CR162" s="421">
        <v>229020739</v>
      </c>
      <c r="CS162" s="421">
        <v>36643000</v>
      </c>
      <c r="CT162" s="421">
        <v>36643000</v>
      </c>
      <c r="CU162" s="421">
        <v>0</v>
      </c>
      <c r="CV162" s="421">
        <v>0</v>
      </c>
      <c r="CW162" s="421">
        <v>0</v>
      </c>
      <c r="CX162" s="421">
        <v>0</v>
      </c>
      <c r="CY162" s="421">
        <v>0</v>
      </c>
      <c r="CZ162" s="421">
        <v>0</v>
      </c>
      <c r="DA162" s="421">
        <v>0</v>
      </c>
      <c r="DB162" s="421">
        <v>0</v>
      </c>
      <c r="DC162" s="421">
        <v>0</v>
      </c>
      <c r="DD162" s="421">
        <v>0</v>
      </c>
      <c r="DE162" s="421">
        <v>0</v>
      </c>
      <c r="DF162" s="421">
        <v>0</v>
      </c>
      <c r="DG162" s="421">
        <v>0</v>
      </c>
      <c r="DH162" s="421">
        <v>0</v>
      </c>
      <c r="DI162" s="421">
        <v>0</v>
      </c>
      <c r="DJ162" s="421">
        <v>0</v>
      </c>
      <c r="DK162" s="421">
        <v>0</v>
      </c>
      <c r="DL162" s="421">
        <v>0</v>
      </c>
      <c r="DM162" s="421">
        <v>0</v>
      </c>
      <c r="DN162" s="421">
        <v>0</v>
      </c>
      <c r="DO162" s="421">
        <v>0</v>
      </c>
      <c r="DP162" s="421">
        <v>0</v>
      </c>
      <c r="DQ162" s="421">
        <v>0</v>
      </c>
      <c r="DR162" s="421">
        <v>0</v>
      </c>
      <c r="DS162" s="421">
        <v>0</v>
      </c>
      <c r="DT162" s="421">
        <v>0</v>
      </c>
      <c r="DU162" s="421">
        <v>0</v>
      </c>
      <c r="DV162" s="421">
        <v>0</v>
      </c>
      <c r="DW162" s="421">
        <v>0</v>
      </c>
      <c r="DX162" s="421">
        <v>0</v>
      </c>
      <c r="DY162" s="421">
        <v>36643000</v>
      </c>
      <c r="DZ162" s="421">
        <v>36643000</v>
      </c>
      <c r="EA162" s="421">
        <v>0</v>
      </c>
      <c r="EB162" s="421">
        <v>0</v>
      </c>
      <c r="EC162" s="421" t="s">
        <v>1148</v>
      </c>
      <c r="ED162" s="421" t="s">
        <v>1149</v>
      </c>
      <c r="EE162" s="421" t="s">
        <v>1149</v>
      </c>
    </row>
    <row r="163" spans="1:135" x14ac:dyDescent="0.25">
      <c r="A163" s="421">
        <v>160</v>
      </c>
      <c r="B163" s="421">
        <v>2015</v>
      </c>
      <c r="C163" s="421">
        <v>8</v>
      </c>
      <c r="D163" s="421">
        <v>18</v>
      </c>
      <c r="E163" s="424">
        <v>42234</v>
      </c>
      <c r="F163" s="421" t="s">
        <v>2364</v>
      </c>
      <c r="G163" s="421" t="s">
        <v>2365</v>
      </c>
      <c r="H163" s="421" t="s">
        <v>1106</v>
      </c>
      <c r="I163" s="421" t="s">
        <v>1107</v>
      </c>
      <c r="J163" s="421" t="s">
        <v>1108</v>
      </c>
      <c r="K163" s="421" t="s">
        <v>1109</v>
      </c>
      <c r="L163" s="421" t="s">
        <v>1110</v>
      </c>
      <c r="O163" s="421" t="s">
        <v>1111</v>
      </c>
      <c r="R163" s="421" t="s">
        <v>1111</v>
      </c>
      <c r="S163" s="421" t="s">
        <v>1112</v>
      </c>
      <c r="T163" s="421" t="s">
        <v>1113</v>
      </c>
      <c r="U163" s="421" t="s">
        <v>1114</v>
      </c>
      <c r="V163" s="421" t="s">
        <v>1115</v>
      </c>
      <c r="W163" s="421" t="s">
        <v>1116</v>
      </c>
      <c r="X163" s="421" t="s">
        <v>1117</v>
      </c>
      <c r="Y163" s="421" t="s">
        <v>1118</v>
      </c>
      <c r="Z163" s="421" t="s">
        <v>1119</v>
      </c>
      <c r="AA163" s="421" t="s">
        <v>1120</v>
      </c>
      <c r="AB163" s="421" t="s">
        <v>1121</v>
      </c>
      <c r="AC163" s="421" t="s">
        <v>1122</v>
      </c>
      <c r="AD163" s="421" t="s">
        <v>1479</v>
      </c>
      <c r="AE163" s="421" t="s">
        <v>1632</v>
      </c>
      <c r="AF163" s="421" t="s">
        <v>1633</v>
      </c>
      <c r="AG163" s="421" t="s">
        <v>2366</v>
      </c>
      <c r="AH163" s="421">
        <v>1340.4</v>
      </c>
      <c r="AI163" s="421" t="s">
        <v>1127</v>
      </c>
      <c r="AJ163" s="421">
        <v>509</v>
      </c>
      <c r="AK163" s="421">
        <v>3</v>
      </c>
      <c r="AL163" s="421" t="s">
        <v>1173</v>
      </c>
      <c r="AM163" s="421">
        <v>1340.4</v>
      </c>
      <c r="AN163" s="421">
        <v>1547.1</v>
      </c>
      <c r="AO163" s="421" t="s">
        <v>1120</v>
      </c>
      <c r="AP163" s="421" t="s">
        <v>1129</v>
      </c>
      <c r="AR163" s="421" t="s">
        <v>1130</v>
      </c>
      <c r="AT163" s="421" t="s">
        <v>1131</v>
      </c>
      <c r="AU163" s="421" t="s">
        <v>1303</v>
      </c>
      <c r="AV163" s="421" t="s">
        <v>1304</v>
      </c>
      <c r="AW163" s="421" t="s">
        <v>960</v>
      </c>
      <c r="AX163" s="421" t="s">
        <v>960</v>
      </c>
      <c r="AY163" s="421" t="s">
        <v>960</v>
      </c>
      <c r="AZ163" s="421" t="s">
        <v>1121</v>
      </c>
      <c r="BA163" s="421" t="s">
        <v>1305</v>
      </c>
      <c r="BB163" s="421" t="s">
        <v>960</v>
      </c>
      <c r="BC163" s="421" t="s">
        <v>1175</v>
      </c>
      <c r="BD163" s="421" t="s">
        <v>1306</v>
      </c>
      <c r="BE163" s="421" t="s">
        <v>1885</v>
      </c>
      <c r="BF163" s="421" t="s">
        <v>2367</v>
      </c>
      <c r="BG163" s="421" t="s">
        <v>2263</v>
      </c>
      <c r="BH163" s="421" t="s">
        <v>2368</v>
      </c>
      <c r="BI163" s="421" t="s">
        <v>1142</v>
      </c>
      <c r="BJ163" s="421" t="s">
        <v>1243</v>
      </c>
      <c r="BK163" s="421" t="s">
        <v>2365</v>
      </c>
      <c r="BL163" s="421" t="s">
        <v>2369</v>
      </c>
      <c r="BM163" s="421" t="s">
        <v>2370</v>
      </c>
      <c r="BN163" s="421" t="s">
        <v>2100</v>
      </c>
      <c r="BO163" s="421">
        <v>0</v>
      </c>
      <c r="BR163" s="421">
        <v>0</v>
      </c>
      <c r="BS163" s="421">
        <v>0</v>
      </c>
      <c r="BT163" s="421">
        <v>0</v>
      </c>
      <c r="BU163" s="424">
        <v>42179</v>
      </c>
      <c r="BX163" s="421">
        <v>2966.12</v>
      </c>
      <c r="BY163" s="421" t="s">
        <v>1183</v>
      </c>
      <c r="BZ163" s="421">
        <v>3797.01</v>
      </c>
      <c r="CA163" s="421">
        <v>11262387.301200001</v>
      </c>
      <c r="CB163" s="421">
        <v>1.51</v>
      </c>
      <c r="CC163" s="421">
        <v>0</v>
      </c>
      <c r="CD163" s="421">
        <v>550.12</v>
      </c>
      <c r="CE163" s="421">
        <v>551.63</v>
      </c>
      <c r="CF163" s="421">
        <v>0</v>
      </c>
      <c r="CG163" s="421">
        <v>4348.6400000000003</v>
      </c>
      <c r="CH163" s="421">
        <v>0</v>
      </c>
      <c r="CI163" s="421">
        <v>4348.6400000000003</v>
      </c>
      <c r="CJ163" s="421">
        <v>12898588.0768</v>
      </c>
      <c r="CK163" s="421">
        <v>15</v>
      </c>
      <c r="CL163" s="421">
        <v>12898588</v>
      </c>
      <c r="CM163" s="421">
        <v>1935000</v>
      </c>
      <c r="CN163" s="421">
        <v>1935000</v>
      </c>
      <c r="CO163" s="421">
        <v>0</v>
      </c>
      <c r="CP163" s="421">
        <v>0</v>
      </c>
      <c r="CQ163" s="421">
        <v>16</v>
      </c>
      <c r="CR163" s="421">
        <v>14833588</v>
      </c>
      <c r="CS163" s="421">
        <v>2373000</v>
      </c>
      <c r="CT163" s="421">
        <v>2373000</v>
      </c>
      <c r="CU163" s="421">
        <v>0</v>
      </c>
      <c r="CV163" s="421">
        <v>0</v>
      </c>
      <c r="CW163" s="421">
        <v>0</v>
      </c>
      <c r="CX163" s="421">
        <v>0</v>
      </c>
      <c r="CY163" s="421">
        <v>0</v>
      </c>
      <c r="CZ163" s="421">
        <v>0</v>
      </c>
      <c r="DA163" s="421">
        <v>0</v>
      </c>
      <c r="DB163" s="421">
        <v>0</v>
      </c>
      <c r="DC163" s="421">
        <v>0</v>
      </c>
      <c r="DD163" s="421">
        <v>0</v>
      </c>
      <c r="DE163" s="421">
        <v>0</v>
      </c>
      <c r="DF163" s="421">
        <v>0</v>
      </c>
      <c r="DG163" s="421">
        <v>0</v>
      </c>
      <c r="DH163" s="421">
        <v>0</v>
      </c>
      <c r="DI163" s="421">
        <v>0</v>
      </c>
      <c r="DJ163" s="421">
        <v>0</v>
      </c>
      <c r="DK163" s="421">
        <v>0</v>
      </c>
      <c r="DL163" s="421">
        <v>0</v>
      </c>
      <c r="DM163" s="421">
        <v>0</v>
      </c>
      <c r="DN163" s="421">
        <v>0</v>
      </c>
      <c r="DO163" s="421">
        <v>0</v>
      </c>
      <c r="DP163" s="421">
        <v>0</v>
      </c>
      <c r="DQ163" s="421">
        <v>0</v>
      </c>
      <c r="DR163" s="421">
        <v>0</v>
      </c>
      <c r="DS163" s="421">
        <v>0</v>
      </c>
      <c r="DT163" s="421">
        <v>0</v>
      </c>
      <c r="DU163" s="421">
        <v>0</v>
      </c>
      <c r="DV163" s="421">
        <v>0</v>
      </c>
      <c r="DW163" s="421">
        <v>0</v>
      </c>
      <c r="DX163" s="421">
        <v>0</v>
      </c>
      <c r="DY163" s="421">
        <v>4308000</v>
      </c>
      <c r="DZ163" s="421">
        <v>4308000</v>
      </c>
      <c r="EA163" s="421">
        <v>0</v>
      </c>
      <c r="EB163" s="421">
        <v>0</v>
      </c>
      <c r="EC163" s="421" t="s">
        <v>1148</v>
      </c>
      <c r="ED163" s="421" t="s">
        <v>1167</v>
      </c>
      <c r="EE163" s="421" t="s">
        <v>1167</v>
      </c>
    </row>
    <row r="164" spans="1:135" x14ac:dyDescent="0.25">
      <c r="A164" s="421">
        <v>161</v>
      </c>
      <c r="B164" s="421">
        <v>2015</v>
      </c>
      <c r="C164" s="421">
        <v>8</v>
      </c>
      <c r="D164" s="421">
        <v>18</v>
      </c>
      <c r="E164" s="424">
        <v>42234</v>
      </c>
      <c r="F164" s="421" t="s">
        <v>2371</v>
      </c>
      <c r="G164" s="421" t="s">
        <v>2372</v>
      </c>
      <c r="H164" s="421" t="s">
        <v>1106</v>
      </c>
      <c r="I164" s="421" t="s">
        <v>1107</v>
      </c>
      <c r="J164" s="421" t="s">
        <v>1108</v>
      </c>
      <c r="K164" s="421" t="s">
        <v>1109</v>
      </c>
      <c r="L164" s="421" t="s">
        <v>1110</v>
      </c>
      <c r="O164" s="421" t="s">
        <v>1111</v>
      </c>
      <c r="R164" s="421" t="s">
        <v>1111</v>
      </c>
      <c r="S164" s="421" t="s">
        <v>1112</v>
      </c>
      <c r="T164" s="421" t="s">
        <v>1113</v>
      </c>
      <c r="U164" s="421" t="s">
        <v>1114</v>
      </c>
      <c r="V164" s="421" t="s">
        <v>1115</v>
      </c>
      <c r="W164" s="421" t="s">
        <v>1116</v>
      </c>
      <c r="X164" s="421" t="s">
        <v>1117</v>
      </c>
      <c r="Y164" s="421" t="s">
        <v>1118</v>
      </c>
      <c r="Z164" s="421" t="s">
        <v>1119</v>
      </c>
      <c r="AA164" s="421" t="s">
        <v>1120</v>
      </c>
      <c r="AB164" s="421" t="s">
        <v>1121</v>
      </c>
      <c r="AC164" s="421" t="s">
        <v>1122</v>
      </c>
      <c r="AD164" s="421" t="s">
        <v>1479</v>
      </c>
      <c r="AE164" s="421" t="s">
        <v>1865</v>
      </c>
      <c r="AF164" s="421" t="s">
        <v>1866</v>
      </c>
      <c r="AG164" s="421" t="s">
        <v>2373</v>
      </c>
      <c r="AH164" s="421">
        <v>811.1</v>
      </c>
      <c r="AI164" s="421" t="s">
        <v>1127</v>
      </c>
      <c r="AJ164" s="421">
        <v>509</v>
      </c>
      <c r="AK164" s="421">
        <v>3</v>
      </c>
      <c r="AL164" s="421" t="s">
        <v>1173</v>
      </c>
      <c r="AM164" s="421">
        <v>811.1</v>
      </c>
      <c r="AN164" s="421">
        <v>916</v>
      </c>
      <c r="AO164" s="421" t="s">
        <v>1120</v>
      </c>
      <c r="AP164" s="421" t="s">
        <v>1129</v>
      </c>
      <c r="AR164" s="421" t="s">
        <v>1130</v>
      </c>
      <c r="AT164" s="421" t="s">
        <v>1131</v>
      </c>
      <c r="AU164" s="421" t="s">
        <v>1303</v>
      </c>
      <c r="AV164" s="421" t="s">
        <v>1304</v>
      </c>
      <c r="AW164" s="421" t="s">
        <v>960</v>
      </c>
      <c r="AX164" s="421" t="s">
        <v>960</v>
      </c>
      <c r="AY164" s="421" t="s">
        <v>960</v>
      </c>
      <c r="AZ164" s="421" t="s">
        <v>1121</v>
      </c>
      <c r="BA164" s="421" t="s">
        <v>1305</v>
      </c>
      <c r="BB164" s="421" t="s">
        <v>960</v>
      </c>
      <c r="BC164" s="421" t="s">
        <v>1175</v>
      </c>
      <c r="BD164" s="421" t="s">
        <v>1306</v>
      </c>
      <c r="BE164" s="421" t="s">
        <v>1885</v>
      </c>
      <c r="BF164" s="421" t="s">
        <v>2367</v>
      </c>
      <c r="BG164" s="421" t="s">
        <v>2263</v>
      </c>
      <c r="BH164" s="421" t="s">
        <v>2368</v>
      </c>
      <c r="BI164" s="421" t="s">
        <v>1142</v>
      </c>
      <c r="BJ164" s="421" t="s">
        <v>1243</v>
      </c>
      <c r="BK164" s="421" t="s">
        <v>2372</v>
      </c>
      <c r="BL164" s="421" t="s">
        <v>2369</v>
      </c>
      <c r="BM164" s="421" t="s">
        <v>2370</v>
      </c>
      <c r="BN164" s="421" t="s">
        <v>2100</v>
      </c>
      <c r="BO164" s="421">
        <v>0</v>
      </c>
      <c r="BR164" s="421">
        <v>0</v>
      </c>
      <c r="BS164" s="421">
        <v>0</v>
      </c>
      <c r="BT164" s="421">
        <v>0</v>
      </c>
      <c r="BU164" s="424">
        <v>42179</v>
      </c>
      <c r="BX164" s="421">
        <v>2966.12</v>
      </c>
      <c r="BY164" s="421" t="s">
        <v>1183</v>
      </c>
      <c r="BZ164" s="421">
        <v>3951.53</v>
      </c>
      <c r="CA164" s="421">
        <v>11720712.1636</v>
      </c>
      <c r="CB164" s="421">
        <v>1.58</v>
      </c>
      <c r="CC164" s="421">
        <v>0</v>
      </c>
      <c r="CD164" s="421">
        <v>325.73</v>
      </c>
      <c r="CE164" s="421">
        <v>327.31</v>
      </c>
      <c r="CF164" s="421">
        <v>0</v>
      </c>
      <c r="CG164" s="421">
        <v>4278.84</v>
      </c>
      <c r="CH164" s="421">
        <v>0</v>
      </c>
      <c r="CI164" s="421">
        <v>4278.84</v>
      </c>
      <c r="CJ164" s="421">
        <v>12691552.900800001</v>
      </c>
      <c r="CK164" s="421">
        <v>10</v>
      </c>
      <c r="CL164" s="421">
        <v>12691553</v>
      </c>
      <c r="CM164" s="421">
        <v>1269000</v>
      </c>
      <c r="CN164" s="421">
        <v>1269000</v>
      </c>
      <c r="CO164" s="421">
        <v>0</v>
      </c>
      <c r="CP164" s="421">
        <v>0</v>
      </c>
      <c r="CQ164" s="421">
        <v>16</v>
      </c>
      <c r="CR164" s="421">
        <v>13960553</v>
      </c>
      <c r="CS164" s="421">
        <v>2234000</v>
      </c>
      <c r="CT164" s="421">
        <v>2234000</v>
      </c>
      <c r="CU164" s="421">
        <v>0</v>
      </c>
      <c r="CV164" s="421">
        <v>0</v>
      </c>
      <c r="CW164" s="421">
        <v>0</v>
      </c>
      <c r="CX164" s="421">
        <v>0</v>
      </c>
      <c r="CY164" s="421">
        <v>0</v>
      </c>
      <c r="CZ164" s="421">
        <v>0</v>
      </c>
      <c r="DA164" s="421">
        <v>0</v>
      </c>
      <c r="DB164" s="421">
        <v>0</v>
      </c>
      <c r="DC164" s="421">
        <v>0</v>
      </c>
      <c r="DD164" s="421">
        <v>0</v>
      </c>
      <c r="DE164" s="421">
        <v>0</v>
      </c>
      <c r="DF164" s="421">
        <v>0</v>
      </c>
      <c r="DG164" s="421">
        <v>0</v>
      </c>
      <c r="DH164" s="421">
        <v>0</v>
      </c>
      <c r="DI164" s="421">
        <v>0</v>
      </c>
      <c r="DJ164" s="421">
        <v>0</v>
      </c>
      <c r="DK164" s="421">
        <v>0</v>
      </c>
      <c r="DL164" s="421">
        <v>0</v>
      </c>
      <c r="DM164" s="421">
        <v>0</v>
      </c>
      <c r="DN164" s="421">
        <v>0</v>
      </c>
      <c r="DO164" s="421">
        <v>0</v>
      </c>
      <c r="DP164" s="421">
        <v>0</v>
      </c>
      <c r="DQ164" s="421">
        <v>0</v>
      </c>
      <c r="DR164" s="421">
        <v>0</v>
      </c>
      <c r="DS164" s="421">
        <v>0</v>
      </c>
      <c r="DT164" s="421">
        <v>0</v>
      </c>
      <c r="DU164" s="421">
        <v>0</v>
      </c>
      <c r="DV164" s="421">
        <v>0</v>
      </c>
      <c r="DW164" s="421">
        <v>0</v>
      </c>
      <c r="DX164" s="421">
        <v>0</v>
      </c>
      <c r="DY164" s="421">
        <v>3503000</v>
      </c>
      <c r="DZ164" s="421">
        <v>3503000</v>
      </c>
      <c r="EA164" s="421">
        <v>0</v>
      </c>
      <c r="EB164" s="421">
        <v>0</v>
      </c>
      <c r="EC164" s="421" t="s">
        <v>1148</v>
      </c>
      <c r="ED164" s="421" t="s">
        <v>1167</v>
      </c>
      <c r="EE164" s="421" t="s">
        <v>1167</v>
      </c>
    </row>
    <row r="165" spans="1:135" x14ac:dyDescent="0.25">
      <c r="A165" s="421">
        <v>162</v>
      </c>
      <c r="B165" s="421">
        <v>2015</v>
      </c>
      <c r="C165" s="421">
        <v>8</v>
      </c>
      <c r="D165" s="421">
        <v>18</v>
      </c>
      <c r="E165" s="424">
        <v>42234</v>
      </c>
      <c r="F165" s="421" t="s">
        <v>2374</v>
      </c>
      <c r="G165" s="421" t="s">
        <v>2375</v>
      </c>
      <c r="H165" s="421" t="s">
        <v>1106</v>
      </c>
      <c r="I165" s="421" t="s">
        <v>1107</v>
      </c>
      <c r="J165" s="421" t="s">
        <v>1108</v>
      </c>
      <c r="K165" s="421" t="s">
        <v>1109</v>
      </c>
      <c r="L165" s="421" t="s">
        <v>1110</v>
      </c>
      <c r="O165" s="421" t="s">
        <v>1111</v>
      </c>
      <c r="R165" s="421" t="s">
        <v>1111</v>
      </c>
      <c r="S165" s="421" t="s">
        <v>1112</v>
      </c>
      <c r="T165" s="421" t="s">
        <v>1113</v>
      </c>
      <c r="U165" s="421" t="s">
        <v>1114</v>
      </c>
      <c r="V165" s="421" t="s">
        <v>1115</v>
      </c>
      <c r="W165" s="421" t="s">
        <v>1116</v>
      </c>
      <c r="X165" s="421" t="s">
        <v>1117</v>
      </c>
      <c r="Y165" s="421" t="s">
        <v>1118</v>
      </c>
      <c r="Z165" s="421" t="s">
        <v>1119</v>
      </c>
      <c r="AA165" s="421" t="s">
        <v>1120</v>
      </c>
      <c r="AB165" s="421" t="s">
        <v>1121</v>
      </c>
      <c r="AC165" s="421" t="s">
        <v>1122</v>
      </c>
      <c r="AD165" s="421" t="s">
        <v>1479</v>
      </c>
      <c r="AE165" s="421" t="s">
        <v>1300</v>
      </c>
      <c r="AF165" s="421" t="s">
        <v>1301</v>
      </c>
      <c r="AG165" s="421" t="s">
        <v>2376</v>
      </c>
      <c r="AH165" s="421">
        <v>1324.8</v>
      </c>
      <c r="AI165" s="421" t="s">
        <v>1127</v>
      </c>
      <c r="AJ165" s="421">
        <v>509</v>
      </c>
      <c r="AK165" s="421">
        <v>3</v>
      </c>
      <c r="AL165" s="421" t="s">
        <v>1173</v>
      </c>
      <c r="AM165" s="421">
        <v>1324.8</v>
      </c>
      <c r="AN165" s="421">
        <v>1467.6</v>
      </c>
      <c r="AO165" s="421" t="s">
        <v>1120</v>
      </c>
      <c r="AP165" s="421" t="s">
        <v>1129</v>
      </c>
      <c r="AR165" s="421" t="s">
        <v>1130</v>
      </c>
      <c r="AT165" s="421" t="s">
        <v>1131</v>
      </c>
      <c r="AU165" s="421" t="s">
        <v>1303</v>
      </c>
      <c r="AV165" s="421" t="s">
        <v>1304</v>
      </c>
      <c r="AW165" s="421" t="s">
        <v>960</v>
      </c>
      <c r="AX165" s="421" t="s">
        <v>960</v>
      </c>
      <c r="AY165" s="421" t="s">
        <v>960</v>
      </c>
      <c r="AZ165" s="421" t="s">
        <v>1121</v>
      </c>
      <c r="BA165" s="421" t="s">
        <v>1305</v>
      </c>
      <c r="BB165" s="421" t="s">
        <v>960</v>
      </c>
      <c r="BC165" s="421" t="s">
        <v>1175</v>
      </c>
      <c r="BD165" s="421" t="s">
        <v>1306</v>
      </c>
      <c r="BE165" s="421" t="s">
        <v>1885</v>
      </c>
      <c r="BF165" s="421" t="s">
        <v>2367</v>
      </c>
      <c r="BG165" s="421" t="s">
        <v>2263</v>
      </c>
      <c r="BH165" s="421" t="s">
        <v>2368</v>
      </c>
      <c r="BI165" s="421" t="s">
        <v>1142</v>
      </c>
      <c r="BJ165" s="421" t="s">
        <v>1243</v>
      </c>
      <c r="BK165" s="421" t="s">
        <v>2375</v>
      </c>
      <c r="BL165" s="421" t="s">
        <v>2369</v>
      </c>
      <c r="BM165" s="421" t="s">
        <v>2370</v>
      </c>
      <c r="BN165" s="421" t="s">
        <v>2100</v>
      </c>
      <c r="BO165" s="421">
        <v>0</v>
      </c>
      <c r="BR165" s="421">
        <v>0</v>
      </c>
      <c r="BS165" s="421">
        <v>0</v>
      </c>
      <c r="BT165" s="421">
        <v>0</v>
      </c>
      <c r="BU165" s="424">
        <v>42179</v>
      </c>
      <c r="BX165" s="421">
        <v>2966.12</v>
      </c>
      <c r="BY165" s="421" t="s">
        <v>1183</v>
      </c>
      <c r="BZ165" s="421">
        <v>17286.62</v>
      </c>
      <c r="CA165" s="421">
        <v>51274189.314400002</v>
      </c>
      <c r="CB165" s="421">
        <v>6.92</v>
      </c>
      <c r="CC165" s="421">
        <v>0</v>
      </c>
      <c r="CD165" s="421">
        <v>521.85</v>
      </c>
      <c r="CE165" s="421">
        <v>528.77</v>
      </c>
      <c r="CF165" s="421">
        <v>0</v>
      </c>
      <c r="CG165" s="421">
        <v>17815.39</v>
      </c>
      <c r="CH165" s="421">
        <v>0</v>
      </c>
      <c r="CI165" s="421">
        <v>17815.39</v>
      </c>
      <c r="CJ165" s="421">
        <v>52842584.586800002</v>
      </c>
      <c r="CK165" s="421">
        <v>15</v>
      </c>
      <c r="CL165" s="421">
        <v>52842585</v>
      </c>
      <c r="CM165" s="421">
        <v>7926000</v>
      </c>
      <c r="CN165" s="421">
        <v>7926000</v>
      </c>
      <c r="CO165" s="421">
        <v>0</v>
      </c>
      <c r="CP165" s="421">
        <v>0</v>
      </c>
      <c r="CQ165" s="421">
        <v>16</v>
      </c>
      <c r="CR165" s="421">
        <v>60768585</v>
      </c>
      <c r="CS165" s="421">
        <v>9723000</v>
      </c>
      <c r="CT165" s="421">
        <v>9723000</v>
      </c>
      <c r="CU165" s="421">
        <v>0</v>
      </c>
      <c r="CV165" s="421">
        <v>0</v>
      </c>
      <c r="CW165" s="421">
        <v>0</v>
      </c>
      <c r="CX165" s="421">
        <v>0</v>
      </c>
      <c r="CY165" s="421">
        <v>0</v>
      </c>
      <c r="CZ165" s="421">
        <v>0</v>
      </c>
      <c r="DA165" s="421">
        <v>0</v>
      </c>
      <c r="DB165" s="421">
        <v>0</v>
      </c>
      <c r="DC165" s="421">
        <v>0</v>
      </c>
      <c r="DD165" s="421">
        <v>0</v>
      </c>
      <c r="DE165" s="421">
        <v>0</v>
      </c>
      <c r="DF165" s="421">
        <v>0</v>
      </c>
      <c r="DG165" s="421">
        <v>0</v>
      </c>
      <c r="DH165" s="421">
        <v>0</v>
      </c>
      <c r="DI165" s="421">
        <v>0</v>
      </c>
      <c r="DJ165" s="421">
        <v>0</v>
      </c>
      <c r="DK165" s="421">
        <v>0</v>
      </c>
      <c r="DL165" s="421">
        <v>0</v>
      </c>
      <c r="DM165" s="421">
        <v>0</v>
      </c>
      <c r="DN165" s="421">
        <v>0</v>
      </c>
      <c r="DO165" s="421">
        <v>0</v>
      </c>
      <c r="DP165" s="421">
        <v>0</v>
      </c>
      <c r="DQ165" s="421">
        <v>0</v>
      </c>
      <c r="DR165" s="421">
        <v>0</v>
      </c>
      <c r="DS165" s="421">
        <v>0</v>
      </c>
      <c r="DT165" s="421">
        <v>0</v>
      </c>
      <c r="DU165" s="421">
        <v>0</v>
      </c>
      <c r="DV165" s="421">
        <v>0</v>
      </c>
      <c r="DW165" s="421">
        <v>0</v>
      </c>
      <c r="DX165" s="421">
        <v>0</v>
      </c>
      <c r="DY165" s="421">
        <v>17649000</v>
      </c>
      <c r="DZ165" s="421">
        <v>17649000</v>
      </c>
      <c r="EA165" s="421">
        <v>0</v>
      </c>
      <c r="EB165" s="421">
        <v>0</v>
      </c>
      <c r="EC165" s="421" t="s">
        <v>1148</v>
      </c>
      <c r="ED165" s="421" t="s">
        <v>1167</v>
      </c>
      <c r="EE165" s="421" t="s">
        <v>1167</v>
      </c>
    </row>
    <row r="166" spans="1:135" x14ac:dyDescent="0.25">
      <c r="A166" s="421">
        <v>163</v>
      </c>
      <c r="B166" s="421">
        <v>2015</v>
      </c>
      <c r="C166" s="421">
        <v>8</v>
      </c>
      <c r="D166" s="421">
        <v>18</v>
      </c>
      <c r="E166" s="424">
        <v>42234</v>
      </c>
      <c r="F166" s="421" t="s">
        <v>2377</v>
      </c>
      <c r="G166" s="421" t="s">
        <v>2378</v>
      </c>
      <c r="H166" s="421" t="s">
        <v>1106</v>
      </c>
      <c r="I166" s="421" t="s">
        <v>1281</v>
      </c>
      <c r="J166" s="421" t="s">
        <v>1108</v>
      </c>
      <c r="K166" s="421" t="s">
        <v>1109</v>
      </c>
      <c r="L166" s="421" t="s">
        <v>1110</v>
      </c>
      <c r="O166" s="421" t="s">
        <v>1111</v>
      </c>
      <c r="R166" s="421" t="s">
        <v>1111</v>
      </c>
      <c r="S166" s="421" t="s">
        <v>1112</v>
      </c>
      <c r="T166" s="421" t="s">
        <v>1113</v>
      </c>
      <c r="U166" s="421" t="s">
        <v>1114</v>
      </c>
      <c r="V166" s="421" t="s">
        <v>1115</v>
      </c>
      <c r="W166" s="421" t="s">
        <v>1116</v>
      </c>
      <c r="X166" s="421" t="s">
        <v>1117</v>
      </c>
      <c r="Y166" s="421" t="s">
        <v>1118</v>
      </c>
      <c r="Z166" s="421" t="s">
        <v>1119</v>
      </c>
      <c r="AA166" s="421" t="s">
        <v>1120</v>
      </c>
      <c r="AB166" s="421" t="s">
        <v>1121</v>
      </c>
      <c r="AC166" s="421" t="s">
        <v>1122</v>
      </c>
      <c r="AD166" s="421" t="s">
        <v>1479</v>
      </c>
      <c r="AE166" s="421" t="s">
        <v>1392</v>
      </c>
      <c r="AF166" s="421" t="s">
        <v>1393</v>
      </c>
      <c r="AG166" s="421" t="s">
        <v>2379</v>
      </c>
      <c r="AH166" s="421">
        <v>100</v>
      </c>
      <c r="AI166" s="421" t="s">
        <v>1189</v>
      </c>
      <c r="AJ166" s="421">
        <v>1</v>
      </c>
      <c r="AK166" s="421">
        <v>1</v>
      </c>
      <c r="AL166" s="421" t="s">
        <v>1335</v>
      </c>
      <c r="AM166" s="421">
        <v>186.98</v>
      </c>
      <c r="AN166" s="421">
        <v>207.75</v>
      </c>
      <c r="AO166" s="421" t="s">
        <v>1120</v>
      </c>
      <c r="AP166" s="421" t="s">
        <v>1129</v>
      </c>
      <c r="AR166" s="421" t="s">
        <v>1130</v>
      </c>
      <c r="AT166" s="421" t="s">
        <v>1131</v>
      </c>
      <c r="AU166" s="421" t="s">
        <v>1190</v>
      </c>
      <c r="AV166" s="421" t="s">
        <v>1191</v>
      </c>
      <c r="AW166" s="421" t="s">
        <v>962</v>
      </c>
      <c r="AX166" s="421" t="s">
        <v>962</v>
      </c>
      <c r="AY166" s="421" t="s">
        <v>962</v>
      </c>
      <c r="AZ166" s="421" t="s">
        <v>1121</v>
      </c>
      <c r="BA166" s="421" t="s">
        <v>2380</v>
      </c>
      <c r="BB166" s="421" t="s">
        <v>962</v>
      </c>
      <c r="BC166" s="421" t="s">
        <v>1665</v>
      </c>
      <c r="BD166" s="421" t="s">
        <v>1666</v>
      </c>
      <c r="BE166" s="421" t="s">
        <v>1667</v>
      </c>
      <c r="BF166" s="421" t="s">
        <v>2381</v>
      </c>
      <c r="BG166" s="421" t="s">
        <v>2353</v>
      </c>
      <c r="BH166" s="421" t="s">
        <v>2382</v>
      </c>
      <c r="BI166" s="421" t="s">
        <v>1341</v>
      </c>
      <c r="BJ166" s="421" t="s">
        <v>1342</v>
      </c>
      <c r="BK166" s="421" t="s">
        <v>2378</v>
      </c>
      <c r="BL166" s="421" t="s">
        <v>2339</v>
      </c>
      <c r="BM166" s="421" t="s">
        <v>2383</v>
      </c>
      <c r="BN166" s="421" t="s">
        <v>2246</v>
      </c>
      <c r="BO166" s="421">
        <v>0</v>
      </c>
      <c r="BR166" s="421">
        <v>0</v>
      </c>
      <c r="BS166" s="421">
        <v>0</v>
      </c>
      <c r="BT166" s="421">
        <v>0</v>
      </c>
      <c r="BU166" s="424">
        <v>42222</v>
      </c>
      <c r="BX166" s="421">
        <v>2945.97</v>
      </c>
      <c r="BY166" s="421" t="s">
        <v>1147</v>
      </c>
      <c r="BZ166" s="421">
        <v>6416.01</v>
      </c>
      <c r="CA166" s="421">
        <v>18901372.979699999</v>
      </c>
      <c r="CB166" s="421">
        <v>2.57</v>
      </c>
      <c r="CC166" s="421">
        <v>0</v>
      </c>
      <c r="CD166" s="421">
        <v>536.73</v>
      </c>
      <c r="CE166" s="421">
        <v>539.29999999999995</v>
      </c>
      <c r="CF166" s="421">
        <v>0</v>
      </c>
      <c r="CG166" s="421">
        <v>6955.31</v>
      </c>
      <c r="CH166" s="421">
        <v>0</v>
      </c>
      <c r="CI166" s="421">
        <v>6955.31</v>
      </c>
      <c r="CJ166" s="421">
        <v>20490134.600699998</v>
      </c>
      <c r="CK166" s="421">
        <v>0</v>
      </c>
      <c r="CL166" s="421">
        <v>20490135</v>
      </c>
      <c r="CM166" s="421">
        <v>0</v>
      </c>
      <c r="CN166" s="421">
        <v>0</v>
      </c>
      <c r="CO166" s="421">
        <v>0</v>
      </c>
      <c r="CP166" s="421">
        <v>0</v>
      </c>
      <c r="CQ166" s="421">
        <v>16</v>
      </c>
      <c r="CR166" s="421">
        <v>20490135</v>
      </c>
      <c r="CS166" s="421">
        <v>3278000</v>
      </c>
      <c r="CT166" s="421">
        <v>3278000</v>
      </c>
      <c r="CU166" s="421">
        <v>0</v>
      </c>
      <c r="CV166" s="421">
        <v>0</v>
      </c>
      <c r="CW166" s="421">
        <v>0</v>
      </c>
      <c r="CX166" s="421">
        <v>0</v>
      </c>
      <c r="CY166" s="421">
        <v>0</v>
      </c>
      <c r="CZ166" s="421">
        <v>0</v>
      </c>
      <c r="DA166" s="421">
        <v>0</v>
      </c>
      <c r="DB166" s="421">
        <v>0</v>
      </c>
      <c r="DC166" s="421">
        <v>0</v>
      </c>
      <c r="DD166" s="421">
        <v>0</v>
      </c>
      <c r="DE166" s="421">
        <v>0</v>
      </c>
      <c r="DF166" s="421">
        <v>0</v>
      </c>
      <c r="DG166" s="421">
        <v>0</v>
      </c>
      <c r="DH166" s="421">
        <v>0</v>
      </c>
      <c r="DI166" s="421">
        <v>0</v>
      </c>
      <c r="DJ166" s="421">
        <v>0</v>
      </c>
      <c r="DK166" s="421">
        <v>0</v>
      </c>
      <c r="DL166" s="421">
        <v>0</v>
      </c>
      <c r="DM166" s="421">
        <v>0</v>
      </c>
      <c r="DN166" s="421">
        <v>0</v>
      </c>
      <c r="DO166" s="421">
        <v>0</v>
      </c>
      <c r="DP166" s="421">
        <v>0</v>
      </c>
      <c r="DQ166" s="421">
        <v>0</v>
      </c>
      <c r="DR166" s="421">
        <v>0</v>
      </c>
      <c r="DS166" s="421">
        <v>0</v>
      </c>
      <c r="DT166" s="421">
        <v>0</v>
      </c>
      <c r="DU166" s="421">
        <v>0</v>
      </c>
      <c r="DV166" s="421">
        <v>0</v>
      </c>
      <c r="DW166" s="421">
        <v>0</v>
      </c>
      <c r="DX166" s="421">
        <v>0</v>
      </c>
      <c r="DY166" s="421">
        <v>3278000</v>
      </c>
      <c r="DZ166" s="421">
        <v>3278000</v>
      </c>
      <c r="EA166" s="421">
        <v>0</v>
      </c>
      <c r="EB166" s="421">
        <v>0</v>
      </c>
      <c r="EC166" s="421" t="s">
        <v>1148</v>
      </c>
      <c r="ED166" s="421" t="s">
        <v>1149</v>
      </c>
      <c r="EE166" s="421" t="s">
        <v>1149</v>
      </c>
    </row>
    <row r="167" spans="1:135" x14ac:dyDescent="0.25">
      <c r="A167" s="421">
        <v>164</v>
      </c>
      <c r="B167" s="421">
        <v>2015</v>
      </c>
      <c r="C167" s="421">
        <v>8</v>
      </c>
      <c r="D167" s="421">
        <v>18</v>
      </c>
      <c r="E167" s="424">
        <v>42234</v>
      </c>
      <c r="F167" s="421" t="s">
        <v>2384</v>
      </c>
      <c r="G167" s="421" t="s">
        <v>2385</v>
      </c>
      <c r="H167" s="421" t="s">
        <v>1106</v>
      </c>
      <c r="I167" s="421" t="s">
        <v>1107</v>
      </c>
      <c r="J167" s="421" t="s">
        <v>1108</v>
      </c>
      <c r="K167" s="421" t="s">
        <v>1109</v>
      </c>
      <c r="L167" s="421" t="s">
        <v>1110</v>
      </c>
      <c r="O167" s="421" t="s">
        <v>1111</v>
      </c>
      <c r="R167" s="421" t="s">
        <v>1111</v>
      </c>
      <c r="S167" s="421" t="s">
        <v>1112</v>
      </c>
      <c r="T167" s="421" t="s">
        <v>1113</v>
      </c>
      <c r="U167" s="421" t="s">
        <v>1114</v>
      </c>
      <c r="V167" s="421" t="s">
        <v>1115</v>
      </c>
      <c r="W167" s="421" t="s">
        <v>1116</v>
      </c>
      <c r="X167" s="421" t="s">
        <v>1117</v>
      </c>
      <c r="Y167" s="421" t="s">
        <v>1118</v>
      </c>
      <c r="Z167" s="421" t="s">
        <v>1119</v>
      </c>
      <c r="AA167" s="421" t="s">
        <v>1120</v>
      </c>
      <c r="AB167" s="421" t="s">
        <v>1121</v>
      </c>
      <c r="AC167" s="421" t="s">
        <v>1122</v>
      </c>
      <c r="AD167" s="421" t="s">
        <v>1479</v>
      </c>
      <c r="AE167" s="421" t="s">
        <v>2386</v>
      </c>
      <c r="AF167" s="421" t="s">
        <v>2387</v>
      </c>
      <c r="AG167" s="421" t="s">
        <v>2388</v>
      </c>
      <c r="AH167" s="421">
        <v>220</v>
      </c>
      <c r="AI167" s="421" t="s">
        <v>1189</v>
      </c>
      <c r="AJ167" s="421">
        <v>1</v>
      </c>
      <c r="AK167" s="421">
        <v>1</v>
      </c>
      <c r="AL167" s="421" t="s">
        <v>1335</v>
      </c>
      <c r="AM167" s="421">
        <v>179.62</v>
      </c>
      <c r="AN167" s="421">
        <v>199.58</v>
      </c>
      <c r="AO167" s="421" t="s">
        <v>1120</v>
      </c>
      <c r="AP167" s="421" t="s">
        <v>1129</v>
      </c>
      <c r="AR167" s="421" t="s">
        <v>1130</v>
      </c>
      <c r="AT167" s="421" t="s">
        <v>1131</v>
      </c>
      <c r="AU167" s="421" t="s">
        <v>1190</v>
      </c>
      <c r="AV167" s="421" t="s">
        <v>1191</v>
      </c>
      <c r="AW167" s="421" t="s">
        <v>962</v>
      </c>
      <c r="AX167" s="421" t="s">
        <v>962</v>
      </c>
      <c r="AY167" s="421" t="s">
        <v>962</v>
      </c>
      <c r="AZ167" s="421" t="s">
        <v>1121</v>
      </c>
      <c r="BA167" s="421" t="s">
        <v>2389</v>
      </c>
      <c r="BB167" s="421" t="s">
        <v>962</v>
      </c>
      <c r="BC167" s="421" t="s">
        <v>2390</v>
      </c>
      <c r="BD167" s="421" t="s">
        <v>2391</v>
      </c>
      <c r="BE167" s="421" t="s">
        <v>2392</v>
      </c>
      <c r="BF167" s="421" t="s">
        <v>2381</v>
      </c>
      <c r="BG167" s="421" t="s">
        <v>2353</v>
      </c>
      <c r="BH167" s="421" t="s">
        <v>2393</v>
      </c>
      <c r="BI167" s="421" t="s">
        <v>1341</v>
      </c>
      <c r="BJ167" s="421" t="s">
        <v>1342</v>
      </c>
      <c r="BK167" s="421" t="s">
        <v>2385</v>
      </c>
      <c r="BL167" s="421" t="s">
        <v>2369</v>
      </c>
      <c r="BM167" s="421" t="s">
        <v>2394</v>
      </c>
      <c r="BN167" s="421" t="s">
        <v>2258</v>
      </c>
      <c r="BO167" s="421">
        <v>0</v>
      </c>
      <c r="BR167" s="421">
        <v>0</v>
      </c>
      <c r="BS167" s="421">
        <v>0</v>
      </c>
      <c r="BT167" s="421">
        <v>0</v>
      </c>
      <c r="BU167" s="424">
        <v>42220</v>
      </c>
      <c r="BX167" s="421">
        <v>2966.12</v>
      </c>
      <c r="BY167" s="421" t="s">
        <v>1166</v>
      </c>
      <c r="BZ167" s="421">
        <v>4251</v>
      </c>
      <c r="CA167" s="421">
        <v>12608976.119999999</v>
      </c>
      <c r="CB167" s="421">
        <v>1.7</v>
      </c>
      <c r="CC167" s="421">
        <v>0</v>
      </c>
      <c r="CD167" s="421">
        <v>557.88</v>
      </c>
      <c r="CE167" s="421">
        <v>559.58000000000004</v>
      </c>
      <c r="CF167" s="421">
        <v>0</v>
      </c>
      <c r="CG167" s="421">
        <v>4810.58</v>
      </c>
      <c r="CH167" s="421">
        <v>0</v>
      </c>
      <c r="CI167" s="421">
        <v>4810.58</v>
      </c>
      <c r="CJ167" s="421">
        <v>14268757.5496</v>
      </c>
      <c r="CK167" s="421">
        <v>10</v>
      </c>
      <c r="CL167" s="421">
        <v>14268758</v>
      </c>
      <c r="CM167" s="421">
        <v>1427000</v>
      </c>
      <c r="CN167" s="421">
        <v>1427000</v>
      </c>
      <c r="CO167" s="421">
        <v>0</v>
      </c>
      <c r="CP167" s="421">
        <v>0</v>
      </c>
      <c r="CQ167" s="421">
        <v>16</v>
      </c>
      <c r="CR167" s="421">
        <v>15695758</v>
      </c>
      <c r="CS167" s="421">
        <v>2511000</v>
      </c>
      <c r="CT167" s="421">
        <v>2511000</v>
      </c>
      <c r="CU167" s="421">
        <v>0</v>
      </c>
      <c r="CV167" s="421">
        <v>0</v>
      </c>
      <c r="CW167" s="421">
        <v>0</v>
      </c>
      <c r="CX167" s="421">
        <v>0</v>
      </c>
      <c r="CY167" s="421">
        <v>0</v>
      </c>
      <c r="CZ167" s="421">
        <v>0</v>
      </c>
      <c r="DA167" s="421">
        <v>0</v>
      </c>
      <c r="DB167" s="421">
        <v>0</v>
      </c>
      <c r="DC167" s="421">
        <v>0</v>
      </c>
      <c r="DD167" s="421">
        <v>0</v>
      </c>
      <c r="DE167" s="421">
        <v>0</v>
      </c>
      <c r="DF167" s="421">
        <v>0</v>
      </c>
      <c r="DG167" s="421">
        <v>0</v>
      </c>
      <c r="DH167" s="421">
        <v>0</v>
      </c>
      <c r="DI167" s="421">
        <v>0</v>
      </c>
      <c r="DJ167" s="421">
        <v>0</v>
      </c>
      <c r="DK167" s="421">
        <v>0</v>
      </c>
      <c r="DL167" s="421">
        <v>0</v>
      </c>
      <c r="DM167" s="421">
        <v>0</v>
      </c>
      <c r="DN167" s="421">
        <v>0</v>
      </c>
      <c r="DO167" s="421">
        <v>0</v>
      </c>
      <c r="DP167" s="421">
        <v>0</v>
      </c>
      <c r="DQ167" s="421">
        <v>0</v>
      </c>
      <c r="DR167" s="421">
        <v>0</v>
      </c>
      <c r="DS167" s="421">
        <v>0</v>
      </c>
      <c r="DT167" s="421">
        <v>0</v>
      </c>
      <c r="DU167" s="421">
        <v>0</v>
      </c>
      <c r="DV167" s="421">
        <v>0</v>
      </c>
      <c r="DW167" s="421">
        <v>0</v>
      </c>
      <c r="DX167" s="421">
        <v>0</v>
      </c>
      <c r="DY167" s="421">
        <v>3938000</v>
      </c>
      <c r="DZ167" s="421">
        <v>3938000</v>
      </c>
      <c r="EA167" s="421">
        <v>0</v>
      </c>
      <c r="EB167" s="421">
        <v>0</v>
      </c>
      <c r="EC167" s="421" t="s">
        <v>1148</v>
      </c>
      <c r="ED167" s="421" t="s">
        <v>1149</v>
      </c>
      <c r="EE167" s="421" t="s">
        <v>1149</v>
      </c>
    </row>
    <row r="168" spans="1:135" x14ac:dyDescent="0.25">
      <c r="A168" s="421">
        <v>165</v>
      </c>
      <c r="B168" s="421">
        <v>2015</v>
      </c>
      <c r="C168" s="421">
        <v>8</v>
      </c>
      <c r="D168" s="421">
        <v>19</v>
      </c>
      <c r="E168" s="424">
        <v>42235</v>
      </c>
      <c r="F168" s="421" t="s">
        <v>2395</v>
      </c>
      <c r="G168" s="421" t="s">
        <v>2396</v>
      </c>
      <c r="H168" s="421" t="s">
        <v>1152</v>
      </c>
      <c r="I168" s="421" t="s">
        <v>1281</v>
      </c>
      <c r="J168" s="421" t="s">
        <v>1108</v>
      </c>
      <c r="K168" s="421" t="s">
        <v>1202</v>
      </c>
      <c r="L168" s="421" t="s">
        <v>1110</v>
      </c>
      <c r="O168" s="421" t="s">
        <v>1111</v>
      </c>
      <c r="R168" s="421" t="s">
        <v>1111</v>
      </c>
      <c r="S168" s="421" t="s">
        <v>1112</v>
      </c>
      <c r="T168" s="421" t="s">
        <v>1113</v>
      </c>
      <c r="U168" s="421" t="s">
        <v>1114</v>
      </c>
      <c r="V168" s="421" t="s">
        <v>1115</v>
      </c>
      <c r="W168" s="421" t="s">
        <v>1116</v>
      </c>
      <c r="X168" s="421" t="s">
        <v>1117</v>
      </c>
      <c r="Y168" s="421" t="s">
        <v>1118</v>
      </c>
      <c r="Z168" s="421" t="s">
        <v>1119</v>
      </c>
      <c r="AA168" s="421" t="s">
        <v>1120</v>
      </c>
      <c r="AB168" s="421" t="s">
        <v>1121</v>
      </c>
      <c r="AC168" s="421" t="s">
        <v>1122</v>
      </c>
      <c r="AD168" s="421" t="s">
        <v>1479</v>
      </c>
      <c r="AE168" s="421" t="s">
        <v>1203</v>
      </c>
      <c r="AF168" s="421" t="s">
        <v>1204</v>
      </c>
      <c r="AG168" s="421" t="s">
        <v>2397</v>
      </c>
      <c r="AH168" s="421">
        <v>43000</v>
      </c>
      <c r="AI168" s="421" t="s">
        <v>1127</v>
      </c>
      <c r="AJ168" s="421">
        <v>2</v>
      </c>
      <c r="AK168" s="421">
        <v>1</v>
      </c>
      <c r="AL168" s="421" t="s">
        <v>1283</v>
      </c>
      <c r="AM168" s="421">
        <v>43000</v>
      </c>
      <c r="AN168" s="421">
        <v>43485</v>
      </c>
      <c r="AO168" s="421" t="s">
        <v>1120</v>
      </c>
      <c r="AP168" s="421" t="s">
        <v>1129</v>
      </c>
      <c r="AR168" s="421" t="s">
        <v>1130</v>
      </c>
      <c r="AT168" s="421" t="s">
        <v>1131</v>
      </c>
      <c r="AU168" s="421" t="s">
        <v>1190</v>
      </c>
      <c r="AV168" s="421" t="s">
        <v>1191</v>
      </c>
      <c r="AW168" s="421" t="s">
        <v>1208</v>
      </c>
      <c r="AX168" s="421" t="s">
        <v>1207</v>
      </c>
      <c r="AY168" s="421" t="s">
        <v>1208</v>
      </c>
      <c r="AZ168" s="421" t="s">
        <v>1121</v>
      </c>
      <c r="BA168" s="421" t="s">
        <v>1209</v>
      </c>
      <c r="BB168" s="421" t="s">
        <v>1208</v>
      </c>
      <c r="BC168" s="421" t="s">
        <v>1210</v>
      </c>
      <c r="BD168" s="421" t="s">
        <v>1211</v>
      </c>
      <c r="BE168" s="421" t="s">
        <v>1212</v>
      </c>
      <c r="BI168" s="421" t="s">
        <v>1142</v>
      </c>
      <c r="BJ168" s="421" t="s">
        <v>2398</v>
      </c>
      <c r="BK168" s="421" t="s">
        <v>2396</v>
      </c>
      <c r="BL168" s="421" t="s">
        <v>2399</v>
      </c>
      <c r="BM168" s="421" t="s">
        <v>2400</v>
      </c>
      <c r="BN168" s="421" t="s">
        <v>2286</v>
      </c>
      <c r="BO168" s="421">
        <v>0</v>
      </c>
      <c r="BR168" s="421">
        <v>0</v>
      </c>
      <c r="BS168" s="421">
        <v>0</v>
      </c>
      <c r="BT168" s="421">
        <v>0</v>
      </c>
      <c r="BU168" s="424">
        <v>38718</v>
      </c>
      <c r="BX168" s="421">
        <v>2966.12</v>
      </c>
      <c r="BY168" s="421" t="s">
        <v>1147</v>
      </c>
      <c r="BZ168" s="421">
        <v>81700</v>
      </c>
      <c r="CA168" s="421">
        <v>242332004</v>
      </c>
      <c r="CB168" s="421">
        <v>32.68</v>
      </c>
      <c r="CC168" s="421">
        <v>0</v>
      </c>
      <c r="CD168" s="421">
        <v>2514</v>
      </c>
      <c r="CE168" s="421">
        <v>2546.6799999999998</v>
      </c>
      <c r="CF168" s="421">
        <v>0</v>
      </c>
      <c r="CG168" s="421">
        <v>84246.68</v>
      </c>
      <c r="CH168" s="421">
        <v>0</v>
      </c>
      <c r="CI168" s="421">
        <v>84246.68</v>
      </c>
      <c r="CJ168" s="421">
        <v>249885762.48159999</v>
      </c>
      <c r="CK168" s="421">
        <v>0</v>
      </c>
      <c r="CL168" s="421">
        <v>249885762</v>
      </c>
      <c r="CM168" s="421">
        <v>0</v>
      </c>
      <c r="CN168" s="421">
        <v>0</v>
      </c>
      <c r="CO168" s="421">
        <v>0</v>
      </c>
      <c r="CP168" s="421">
        <v>0</v>
      </c>
      <c r="CQ168" s="421">
        <v>0</v>
      </c>
      <c r="CR168" s="421">
        <v>249885762</v>
      </c>
      <c r="CS168" s="421">
        <v>0</v>
      </c>
      <c r="CT168" s="421">
        <v>0</v>
      </c>
      <c r="CU168" s="421">
        <v>0</v>
      </c>
      <c r="CV168" s="421">
        <v>0</v>
      </c>
      <c r="CW168" s="421">
        <v>0</v>
      </c>
      <c r="CX168" s="421">
        <v>0</v>
      </c>
      <c r="CY168" s="421">
        <v>0</v>
      </c>
      <c r="CZ168" s="421">
        <v>0</v>
      </c>
      <c r="DA168" s="421">
        <v>0</v>
      </c>
      <c r="DB168" s="421">
        <v>0</v>
      </c>
      <c r="DC168" s="421">
        <v>0</v>
      </c>
      <c r="DD168" s="421">
        <v>0</v>
      </c>
      <c r="DE168" s="421">
        <v>0</v>
      </c>
      <c r="DF168" s="421">
        <v>0</v>
      </c>
      <c r="DG168" s="421">
        <v>0</v>
      </c>
      <c r="DH168" s="421">
        <v>0</v>
      </c>
      <c r="DI168" s="421">
        <v>0</v>
      </c>
      <c r="DJ168" s="421">
        <v>0</v>
      </c>
      <c r="DK168" s="421">
        <v>0</v>
      </c>
      <c r="DL168" s="421">
        <v>0</v>
      </c>
      <c r="DM168" s="421">
        <v>0</v>
      </c>
      <c r="DN168" s="421">
        <v>0</v>
      </c>
      <c r="DO168" s="421">
        <v>0</v>
      </c>
      <c r="DP168" s="421">
        <v>0</v>
      </c>
      <c r="DQ168" s="421">
        <v>0</v>
      </c>
      <c r="DR168" s="421">
        <v>0</v>
      </c>
      <c r="DS168" s="421">
        <v>0</v>
      </c>
      <c r="DT168" s="421">
        <v>0</v>
      </c>
      <c r="DU168" s="421">
        <v>0</v>
      </c>
      <c r="DV168" s="421">
        <v>0</v>
      </c>
      <c r="DW168" s="421">
        <v>0</v>
      </c>
      <c r="DX168" s="421">
        <v>0</v>
      </c>
      <c r="DY168" s="421">
        <v>0</v>
      </c>
      <c r="DZ168" s="421">
        <v>0</v>
      </c>
      <c r="EA168" s="421">
        <v>0</v>
      </c>
      <c r="EB168" s="421">
        <v>0</v>
      </c>
      <c r="EC168" s="421" t="s">
        <v>1148</v>
      </c>
      <c r="ED168" s="421" t="s">
        <v>1149</v>
      </c>
      <c r="EE168" s="421" t="s">
        <v>1149</v>
      </c>
    </row>
    <row r="169" spans="1:135" x14ac:dyDescent="0.25">
      <c r="A169" s="421">
        <v>166</v>
      </c>
      <c r="B169" s="421">
        <v>2015</v>
      </c>
      <c r="C169" s="421">
        <v>8</v>
      </c>
      <c r="D169" s="421">
        <v>20</v>
      </c>
      <c r="E169" s="424">
        <v>42236</v>
      </c>
      <c r="F169" s="421" t="s">
        <v>2401</v>
      </c>
      <c r="G169" s="421" t="s">
        <v>2402</v>
      </c>
      <c r="H169" s="421" t="s">
        <v>1106</v>
      </c>
      <c r="I169" s="421" t="s">
        <v>1107</v>
      </c>
      <c r="J169" s="421" t="s">
        <v>1108</v>
      </c>
      <c r="K169" s="421" t="s">
        <v>1202</v>
      </c>
      <c r="L169" s="421" t="s">
        <v>1110</v>
      </c>
      <c r="O169" s="421" t="s">
        <v>1111</v>
      </c>
      <c r="R169" s="421" t="s">
        <v>1111</v>
      </c>
      <c r="S169" s="421" t="s">
        <v>1112</v>
      </c>
      <c r="T169" s="421" t="s">
        <v>1113</v>
      </c>
      <c r="U169" s="421" t="s">
        <v>1114</v>
      </c>
      <c r="V169" s="421" t="s">
        <v>1115</v>
      </c>
      <c r="W169" s="421" t="s">
        <v>1116</v>
      </c>
      <c r="X169" s="421" t="s">
        <v>1117</v>
      </c>
      <c r="Y169" s="421" t="s">
        <v>1118</v>
      </c>
      <c r="Z169" s="421" t="s">
        <v>1119</v>
      </c>
      <c r="AA169" s="421" t="s">
        <v>1120</v>
      </c>
      <c r="AB169" s="421" t="s">
        <v>1121</v>
      </c>
      <c r="AC169" s="421" t="s">
        <v>1122</v>
      </c>
      <c r="AD169" s="421" t="s">
        <v>1479</v>
      </c>
      <c r="AE169" s="421" t="s">
        <v>1203</v>
      </c>
      <c r="AF169" s="421" t="s">
        <v>1204</v>
      </c>
      <c r="AG169" s="421" t="s">
        <v>2403</v>
      </c>
      <c r="AH169" s="421">
        <v>43000</v>
      </c>
      <c r="AI169" s="421" t="s">
        <v>1127</v>
      </c>
      <c r="AJ169" s="421">
        <v>2</v>
      </c>
      <c r="AK169" s="421">
        <v>1</v>
      </c>
      <c r="AL169" s="421" t="s">
        <v>1283</v>
      </c>
      <c r="AM169" s="421">
        <v>43000</v>
      </c>
      <c r="AN169" s="421">
        <v>43200</v>
      </c>
      <c r="AO169" s="421" t="s">
        <v>1120</v>
      </c>
      <c r="AP169" s="421" t="s">
        <v>1129</v>
      </c>
      <c r="AR169" s="421" t="s">
        <v>1130</v>
      </c>
      <c r="AT169" s="421" t="s">
        <v>1131</v>
      </c>
      <c r="AU169" s="421" t="s">
        <v>1132</v>
      </c>
      <c r="AV169" s="421" t="s">
        <v>1133</v>
      </c>
      <c r="AW169" s="421" t="s">
        <v>1208</v>
      </c>
      <c r="AX169" s="421" t="s">
        <v>1207</v>
      </c>
      <c r="AY169" s="421" t="s">
        <v>1208</v>
      </c>
      <c r="AZ169" s="421" t="s">
        <v>1121</v>
      </c>
      <c r="BA169" s="421" t="s">
        <v>1209</v>
      </c>
      <c r="BB169" s="421" t="s">
        <v>1208</v>
      </c>
      <c r="BC169" s="421" t="s">
        <v>1210</v>
      </c>
      <c r="BD169" s="421" t="s">
        <v>1211</v>
      </c>
      <c r="BE169" s="421" t="s">
        <v>1212</v>
      </c>
      <c r="BF169" s="421" t="s">
        <v>2404</v>
      </c>
      <c r="BG169" s="421" t="s">
        <v>2369</v>
      </c>
      <c r="BH169" s="421" t="s">
        <v>2405</v>
      </c>
      <c r="BI169" s="421" t="s">
        <v>1142</v>
      </c>
      <c r="BJ169" s="421" t="s">
        <v>1180</v>
      </c>
      <c r="BK169" s="421" t="s">
        <v>2402</v>
      </c>
      <c r="BL169" s="421" t="s">
        <v>2406</v>
      </c>
      <c r="BM169" s="421" t="s">
        <v>1216</v>
      </c>
      <c r="BN169" s="421" t="s">
        <v>2407</v>
      </c>
      <c r="BO169" s="421">
        <v>0</v>
      </c>
      <c r="BR169" s="421">
        <v>0</v>
      </c>
      <c r="BS169" s="421">
        <v>0</v>
      </c>
      <c r="BT169" s="421">
        <v>0</v>
      </c>
      <c r="BU169" s="424">
        <v>42223</v>
      </c>
      <c r="BX169" s="421">
        <v>2966.12</v>
      </c>
      <c r="BY169" s="421" t="s">
        <v>1147</v>
      </c>
      <c r="BZ169" s="421">
        <v>81700</v>
      </c>
      <c r="CA169" s="421">
        <v>242332004</v>
      </c>
      <c r="CB169" s="421">
        <v>32.68</v>
      </c>
      <c r="CC169" s="421">
        <v>0</v>
      </c>
      <c r="CD169" s="421">
        <v>1640.46</v>
      </c>
      <c r="CE169" s="421">
        <v>1673.14</v>
      </c>
      <c r="CF169" s="421">
        <v>0</v>
      </c>
      <c r="CG169" s="421">
        <v>83373.14</v>
      </c>
      <c r="CH169" s="421">
        <v>0</v>
      </c>
      <c r="CI169" s="421">
        <v>83373.14</v>
      </c>
      <c r="CJ169" s="421">
        <v>247294738.01679999</v>
      </c>
      <c r="CK169" s="421">
        <v>0</v>
      </c>
      <c r="CL169" s="421">
        <v>247294738</v>
      </c>
      <c r="CM169" s="421">
        <v>0</v>
      </c>
      <c r="CN169" s="421">
        <v>0</v>
      </c>
      <c r="CO169" s="421">
        <v>0</v>
      </c>
      <c r="CP169" s="421">
        <v>0</v>
      </c>
      <c r="CQ169" s="421">
        <v>0</v>
      </c>
      <c r="CR169" s="421">
        <v>247294738</v>
      </c>
      <c r="CS169" s="421">
        <v>0</v>
      </c>
      <c r="CT169" s="421">
        <v>0</v>
      </c>
      <c r="CU169" s="421">
        <v>0</v>
      </c>
      <c r="CV169" s="421">
        <v>0</v>
      </c>
      <c r="CW169" s="421">
        <v>0</v>
      </c>
      <c r="CX169" s="421">
        <v>0</v>
      </c>
      <c r="CY169" s="421">
        <v>0</v>
      </c>
      <c r="CZ169" s="421">
        <v>0</v>
      </c>
      <c r="DA169" s="421">
        <v>0</v>
      </c>
      <c r="DB169" s="421">
        <v>0</v>
      </c>
      <c r="DC169" s="421">
        <v>0</v>
      </c>
      <c r="DD169" s="421">
        <v>0</v>
      </c>
      <c r="DE169" s="421">
        <v>0</v>
      </c>
      <c r="DF169" s="421">
        <v>0</v>
      </c>
      <c r="DG169" s="421">
        <v>0</v>
      </c>
      <c r="DH169" s="421">
        <v>0</v>
      </c>
      <c r="DI169" s="421">
        <v>0</v>
      </c>
      <c r="DJ169" s="421">
        <v>0</v>
      </c>
      <c r="DK169" s="421">
        <v>0</v>
      </c>
      <c r="DL169" s="421">
        <v>0</v>
      </c>
      <c r="DM169" s="421">
        <v>0</v>
      </c>
      <c r="DN169" s="421">
        <v>0</v>
      </c>
      <c r="DO169" s="421">
        <v>0</v>
      </c>
      <c r="DP169" s="421">
        <v>0</v>
      </c>
      <c r="DQ169" s="421">
        <v>0</v>
      </c>
      <c r="DR169" s="421">
        <v>0</v>
      </c>
      <c r="DS169" s="421">
        <v>0</v>
      </c>
      <c r="DT169" s="421">
        <v>0</v>
      </c>
      <c r="DU169" s="421">
        <v>0</v>
      </c>
      <c r="DV169" s="421">
        <v>0</v>
      </c>
      <c r="DW169" s="421">
        <v>0</v>
      </c>
      <c r="DX169" s="421">
        <v>0</v>
      </c>
      <c r="DY169" s="421">
        <v>0</v>
      </c>
      <c r="DZ169" s="421">
        <v>0</v>
      </c>
      <c r="EA169" s="421">
        <v>0</v>
      </c>
      <c r="EB169" s="421">
        <v>0</v>
      </c>
      <c r="EC169" s="421" t="s">
        <v>1148</v>
      </c>
      <c r="ED169" s="421" t="s">
        <v>1149</v>
      </c>
      <c r="EE169" s="421" t="s">
        <v>1149</v>
      </c>
    </row>
    <row r="170" spans="1:135" x14ac:dyDescent="0.25">
      <c r="A170" s="421">
        <v>167</v>
      </c>
      <c r="B170" s="421">
        <v>2015</v>
      </c>
      <c r="C170" s="421">
        <v>8</v>
      </c>
      <c r="D170" s="421">
        <v>20</v>
      </c>
      <c r="E170" s="424">
        <v>42236</v>
      </c>
      <c r="F170" s="421" t="s">
        <v>2408</v>
      </c>
      <c r="G170" s="421" t="s">
        <v>2409</v>
      </c>
      <c r="H170" s="421" t="s">
        <v>1106</v>
      </c>
      <c r="I170" s="421" t="s">
        <v>1107</v>
      </c>
      <c r="J170" s="421" t="s">
        <v>1108</v>
      </c>
      <c r="K170" s="421" t="s">
        <v>1109</v>
      </c>
      <c r="L170" s="421" t="s">
        <v>1110</v>
      </c>
      <c r="O170" s="421" t="s">
        <v>1111</v>
      </c>
      <c r="R170" s="421" t="s">
        <v>1111</v>
      </c>
      <c r="S170" s="421" t="s">
        <v>1112</v>
      </c>
      <c r="T170" s="421" t="s">
        <v>1113</v>
      </c>
      <c r="U170" s="421" t="s">
        <v>1114</v>
      </c>
      <c r="V170" s="421" t="s">
        <v>1115</v>
      </c>
      <c r="W170" s="421" t="s">
        <v>1116</v>
      </c>
      <c r="X170" s="421" t="s">
        <v>1117</v>
      </c>
      <c r="Y170" s="421" t="s">
        <v>1118</v>
      </c>
      <c r="Z170" s="421" t="s">
        <v>1119</v>
      </c>
      <c r="AA170" s="421" t="s">
        <v>1120</v>
      </c>
      <c r="AB170" s="421" t="s">
        <v>1121</v>
      </c>
      <c r="AC170" s="421" t="s">
        <v>1122</v>
      </c>
      <c r="AD170" s="421" t="s">
        <v>1479</v>
      </c>
      <c r="AE170" s="421" t="s">
        <v>1471</v>
      </c>
      <c r="AF170" s="421" t="s">
        <v>1472</v>
      </c>
      <c r="AG170" s="421" t="s">
        <v>2410</v>
      </c>
      <c r="AH170" s="421">
        <v>136536</v>
      </c>
      <c r="AI170" s="421" t="s">
        <v>1189</v>
      </c>
      <c r="AJ170" s="421">
        <v>467</v>
      </c>
      <c r="AK170" s="421">
        <v>1</v>
      </c>
      <c r="AL170" s="421" t="s">
        <v>1173</v>
      </c>
      <c r="AM170" s="421">
        <v>5169.92</v>
      </c>
      <c r="AN170" s="421">
        <v>5642.95</v>
      </c>
      <c r="AO170" s="421" t="s">
        <v>1120</v>
      </c>
      <c r="AP170" s="421" t="s">
        <v>2411</v>
      </c>
      <c r="AQ170" s="421" t="s">
        <v>1475</v>
      </c>
      <c r="AR170" s="421" t="s">
        <v>1476</v>
      </c>
      <c r="AT170" s="421" t="s">
        <v>1131</v>
      </c>
      <c r="AU170" s="421" t="s">
        <v>1303</v>
      </c>
      <c r="AV170" s="421" t="s">
        <v>1304</v>
      </c>
      <c r="AW170" s="421" t="s">
        <v>960</v>
      </c>
      <c r="AX170" s="421" t="s">
        <v>960</v>
      </c>
      <c r="AY170" s="421" t="s">
        <v>960</v>
      </c>
      <c r="AZ170" s="421" t="s">
        <v>1121</v>
      </c>
      <c r="BA170" s="421" t="s">
        <v>1305</v>
      </c>
      <c r="BB170" s="421" t="s">
        <v>960</v>
      </c>
      <c r="BC170" s="421" t="s">
        <v>1175</v>
      </c>
      <c r="BD170" s="421" t="s">
        <v>1306</v>
      </c>
      <c r="BE170" s="421" t="s">
        <v>1885</v>
      </c>
      <c r="BF170" s="421" t="s">
        <v>2230</v>
      </c>
      <c r="BG170" s="421" t="s">
        <v>2231</v>
      </c>
      <c r="BH170" s="421" t="s">
        <v>2298</v>
      </c>
      <c r="BI170" s="421" t="s">
        <v>1142</v>
      </c>
      <c r="BJ170" s="421" t="s">
        <v>1243</v>
      </c>
      <c r="BK170" s="421" t="s">
        <v>2409</v>
      </c>
      <c r="BL170" s="421" t="s">
        <v>2406</v>
      </c>
      <c r="BM170" s="421" t="s">
        <v>2300</v>
      </c>
      <c r="BN170" s="421" t="s">
        <v>2112</v>
      </c>
      <c r="BO170" s="421">
        <v>0</v>
      </c>
      <c r="BR170" s="421">
        <v>0</v>
      </c>
      <c r="BS170" s="421">
        <v>0</v>
      </c>
      <c r="BT170" s="421">
        <v>0</v>
      </c>
      <c r="BU170" s="424">
        <v>42172</v>
      </c>
      <c r="BX170" s="421">
        <v>2966.12</v>
      </c>
      <c r="BY170" s="421" t="s">
        <v>1183</v>
      </c>
      <c r="BZ170" s="421">
        <v>38560.17</v>
      </c>
      <c r="CA170" s="421">
        <v>114374091.4404</v>
      </c>
      <c r="CB170" s="421">
        <v>15.42</v>
      </c>
      <c r="CC170" s="421">
        <v>0</v>
      </c>
      <c r="CD170" s="421">
        <v>1859.17</v>
      </c>
      <c r="CE170" s="421">
        <v>1874.59</v>
      </c>
      <c r="CF170" s="421">
        <v>0</v>
      </c>
      <c r="CG170" s="421">
        <v>40434.76</v>
      </c>
      <c r="CH170" s="421">
        <v>0</v>
      </c>
      <c r="CI170" s="421">
        <v>40434.76</v>
      </c>
      <c r="CJ170" s="421">
        <v>119934350.3312</v>
      </c>
      <c r="CK170" s="421">
        <v>15</v>
      </c>
      <c r="CL170" s="421">
        <v>119934350</v>
      </c>
      <c r="CM170" s="421">
        <v>17990000</v>
      </c>
      <c r="CN170" s="421">
        <v>17990000</v>
      </c>
      <c r="CO170" s="421">
        <v>0</v>
      </c>
      <c r="CP170" s="421">
        <v>0</v>
      </c>
      <c r="CQ170" s="421">
        <v>16</v>
      </c>
      <c r="CR170" s="421">
        <v>137924350</v>
      </c>
      <c r="CS170" s="421">
        <v>22068000</v>
      </c>
      <c r="CT170" s="421">
        <v>22068000</v>
      </c>
      <c r="CU170" s="421">
        <v>0</v>
      </c>
      <c r="CV170" s="421">
        <v>0</v>
      </c>
      <c r="CW170" s="421">
        <v>0</v>
      </c>
      <c r="CX170" s="421">
        <v>0</v>
      </c>
      <c r="CY170" s="421">
        <v>0</v>
      </c>
      <c r="CZ170" s="421">
        <v>0</v>
      </c>
      <c r="DA170" s="421">
        <v>0</v>
      </c>
      <c r="DB170" s="421">
        <v>0</v>
      </c>
      <c r="DC170" s="421">
        <v>0</v>
      </c>
      <c r="DD170" s="421">
        <v>0</v>
      </c>
      <c r="DE170" s="421">
        <v>0</v>
      </c>
      <c r="DF170" s="421">
        <v>0</v>
      </c>
      <c r="DG170" s="421">
        <v>0</v>
      </c>
      <c r="DH170" s="421">
        <v>0</v>
      </c>
      <c r="DI170" s="421">
        <v>0</v>
      </c>
      <c r="DJ170" s="421">
        <v>0</v>
      </c>
      <c r="DK170" s="421">
        <v>0</v>
      </c>
      <c r="DL170" s="421">
        <v>0</v>
      </c>
      <c r="DM170" s="421">
        <v>0</v>
      </c>
      <c r="DN170" s="421">
        <v>0</v>
      </c>
      <c r="DO170" s="421">
        <v>0</v>
      </c>
      <c r="DP170" s="421">
        <v>0</v>
      </c>
      <c r="DQ170" s="421">
        <v>0</v>
      </c>
      <c r="DR170" s="421">
        <v>0</v>
      </c>
      <c r="DS170" s="421">
        <v>0</v>
      </c>
      <c r="DT170" s="421">
        <v>0</v>
      </c>
      <c r="DU170" s="421">
        <v>0</v>
      </c>
      <c r="DV170" s="421">
        <v>0</v>
      </c>
      <c r="DW170" s="421">
        <v>0</v>
      </c>
      <c r="DX170" s="421">
        <v>0</v>
      </c>
      <c r="DY170" s="421">
        <v>40058000</v>
      </c>
      <c r="DZ170" s="421">
        <v>40058000</v>
      </c>
      <c r="EA170" s="421">
        <v>0</v>
      </c>
      <c r="EB170" s="421">
        <v>0</v>
      </c>
      <c r="EC170" s="421" t="s">
        <v>1148</v>
      </c>
      <c r="ED170" s="421" t="s">
        <v>1167</v>
      </c>
      <c r="EE170" s="421" t="s">
        <v>1167</v>
      </c>
    </row>
    <row r="171" spans="1:135" x14ac:dyDescent="0.25">
      <c r="A171" s="421">
        <v>168</v>
      </c>
      <c r="B171" s="421">
        <v>2015</v>
      </c>
      <c r="C171" s="421">
        <v>8</v>
      </c>
      <c r="D171" s="421">
        <v>22</v>
      </c>
      <c r="E171" s="424">
        <v>42238</v>
      </c>
      <c r="F171" s="421" t="s">
        <v>2412</v>
      </c>
      <c r="G171" s="421" t="s">
        <v>2413</v>
      </c>
      <c r="H171" s="421" t="s">
        <v>1152</v>
      </c>
      <c r="I171" s="421" t="s">
        <v>1107</v>
      </c>
      <c r="J171" s="421" t="s">
        <v>1108</v>
      </c>
      <c r="K171" s="421" t="s">
        <v>1109</v>
      </c>
      <c r="L171" s="421" t="s">
        <v>1110</v>
      </c>
      <c r="O171" s="421" t="s">
        <v>1111</v>
      </c>
      <c r="R171" s="421" t="s">
        <v>1111</v>
      </c>
      <c r="S171" s="421" t="s">
        <v>1112</v>
      </c>
      <c r="T171" s="421" t="s">
        <v>1113</v>
      </c>
      <c r="U171" s="421" t="s">
        <v>1114</v>
      </c>
      <c r="V171" s="421" t="s">
        <v>1115</v>
      </c>
      <c r="W171" s="421" t="s">
        <v>1116</v>
      </c>
      <c r="X171" s="421" t="s">
        <v>1117</v>
      </c>
      <c r="Y171" s="421" t="s">
        <v>1118</v>
      </c>
      <c r="Z171" s="421" t="s">
        <v>1119</v>
      </c>
      <c r="AA171" s="421" t="s">
        <v>1120</v>
      </c>
      <c r="AB171" s="421" t="s">
        <v>1121</v>
      </c>
      <c r="AC171" s="421" t="s">
        <v>1122</v>
      </c>
      <c r="AD171" s="421" t="s">
        <v>1479</v>
      </c>
      <c r="AE171" s="421" t="s">
        <v>2414</v>
      </c>
      <c r="AF171" s="421" t="s">
        <v>2415</v>
      </c>
      <c r="AG171" s="421" t="s">
        <v>2416</v>
      </c>
      <c r="AH171" s="421">
        <v>258000</v>
      </c>
      <c r="AI171" s="421" t="s">
        <v>1189</v>
      </c>
      <c r="AJ171" s="421">
        <v>58</v>
      </c>
      <c r="AK171" s="421">
        <v>1</v>
      </c>
      <c r="AL171" s="421" t="s">
        <v>1335</v>
      </c>
      <c r="AM171" s="421">
        <v>688.4</v>
      </c>
      <c r="AN171" s="421">
        <v>738</v>
      </c>
      <c r="AO171" s="421" t="s">
        <v>1120</v>
      </c>
      <c r="AP171" s="421" t="s">
        <v>1129</v>
      </c>
      <c r="AR171" s="421" t="s">
        <v>1130</v>
      </c>
      <c r="AT171" s="421" t="s">
        <v>1131</v>
      </c>
      <c r="AU171" s="421" t="s">
        <v>1190</v>
      </c>
      <c r="AV171" s="421" t="s">
        <v>1191</v>
      </c>
      <c r="AW171" s="421" t="s">
        <v>960</v>
      </c>
      <c r="AX171" s="421" t="s">
        <v>960</v>
      </c>
      <c r="AY171" s="421" t="s">
        <v>2417</v>
      </c>
      <c r="AZ171" s="421" t="s">
        <v>1121</v>
      </c>
      <c r="BA171" s="421" t="s">
        <v>2418</v>
      </c>
      <c r="BB171" s="421" t="s">
        <v>2417</v>
      </c>
      <c r="BC171" s="421" t="s">
        <v>2419</v>
      </c>
      <c r="BD171" s="421" t="s">
        <v>2420</v>
      </c>
      <c r="BE171" s="421" t="s">
        <v>2421</v>
      </c>
      <c r="BF171" s="421" t="s">
        <v>2422</v>
      </c>
      <c r="BG171" s="421" t="s">
        <v>2406</v>
      </c>
      <c r="BH171" s="421" t="s">
        <v>2423</v>
      </c>
      <c r="BI171" s="421" t="s">
        <v>1142</v>
      </c>
      <c r="BJ171" s="421" t="s">
        <v>1342</v>
      </c>
      <c r="BK171" s="421" t="s">
        <v>2413</v>
      </c>
      <c r="BL171" s="421" t="s">
        <v>2424</v>
      </c>
      <c r="BM171" s="421" t="s">
        <v>2425</v>
      </c>
      <c r="BN171" s="421" t="s">
        <v>2278</v>
      </c>
      <c r="BO171" s="421">
        <v>0</v>
      </c>
      <c r="BR171" s="421">
        <v>0</v>
      </c>
      <c r="BS171" s="421">
        <v>0</v>
      </c>
      <c r="BT171" s="421">
        <v>0</v>
      </c>
      <c r="BU171" s="424">
        <v>42232</v>
      </c>
      <c r="BX171" s="421">
        <v>2966.12</v>
      </c>
      <c r="BY171" s="421" t="s">
        <v>1183</v>
      </c>
      <c r="BZ171" s="421">
        <v>41228.400000000001</v>
      </c>
      <c r="CA171" s="421">
        <v>122288381.808</v>
      </c>
      <c r="CB171" s="421">
        <v>16.489999999999998</v>
      </c>
      <c r="CC171" s="421">
        <v>0</v>
      </c>
      <c r="CD171" s="421">
        <v>4026.9</v>
      </c>
      <c r="CE171" s="421">
        <v>4043.39</v>
      </c>
      <c r="CF171" s="421">
        <v>0</v>
      </c>
      <c r="CG171" s="421">
        <v>45271.79</v>
      </c>
      <c r="CH171" s="421">
        <v>0</v>
      </c>
      <c r="CI171" s="421">
        <v>45271.79</v>
      </c>
      <c r="CJ171" s="421">
        <v>134281561.75479999</v>
      </c>
      <c r="CK171" s="421">
        <v>0</v>
      </c>
      <c r="CL171" s="421">
        <v>134281562</v>
      </c>
      <c r="CM171" s="421">
        <v>0</v>
      </c>
      <c r="CN171" s="421">
        <v>0</v>
      </c>
      <c r="CO171" s="421">
        <v>0</v>
      </c>
      <c r="CP171" s="421">
        <v>0</v>
      </c>
      <c r="CQ171" s="421">
        <v>16</v>
      </c>
      <c r="CR171" s="421">
        <v>134281562</v>
      </c>
      <c r="CS171" s="421">
        <v>21485000</v>
      </c>
      <c r="CT171" s="421">
        <v>21485000</v>
      </c>
      <c r="CU171" s="421">
        <v>0</v>
      </c>
      <c r="CV171" s="421">
        <v>0</v>
      </c>
      <c r="CW171" s="421">
        <v>0</v>
      </c>
      <c r="CX171" s="421">
        <v>0</v>
      </c>
      <c r="CY171" s="421">
        <v>0</v>
      </c>
      <c r="CZ171" s="421">
        <v>0</v>
      </c>
      <c r="DA171" s="421">
        <v>0</v>
      </c>
      <c r="DB171" s="421">
        <v>0</v>
      </c>
      <c r="DC171" s="421">
        <v>0</v>
      </c>
      <c r="DD171" s="421">
        <v>0</v>
      </c>
      <c r="DE171" s="421">
        <v>0</v>
      </c>
      <c r="DF171" s="421">
        <v>0</v>
      </c>
      <c r="DG171" s="421">
        <v>0</v>
      </c>
      <c r="DH171" s="421">
        <v>0</v>
      </c>
      <c r="DI171" s="421">
        <v>0</v>
      </c>
      <c r="DJ171" s="421">
        <v>0</v>
      </c>
      <c r="DK171" s="421">
        <v>0</v>
      </c>
      <c r="DL171" s="421">
        <v>0</v>
      </c>
      <c r="DM171" s="421">
        <v>0</v>
      </c>
      <c r="DN171" s="421">
        <v>0</v>
      </c>
      <c r="DO171" s="421">
        <v>0</v>
      </c>
      <c r="DP171" s="421">
        <v>0</v>
      </c>
      <c r="DQ171" s="421">
        <v>0</v>
      </c>
      <c r="DR171" s="421">
        <v>0</v>
      </c>
      <c r="DS171" s="421">
        <v>0</v>
      </c>
      <c r="DT171" s="421">
        <v>0</v>
      </c>
      <c r="DU171" s="421">
        <v>0</v>
      </c>
      <c r="DV171" s="421">
        <v>0</v>
      </c>
      <c r="DW171" s="421">
        <v>0</v>
      </c>
      <c r="DX171" s="421">
        <v>0</v>
      </c>
      <c r="DY171" s="421">
        <v>21485000</v>
      </c>
      <c r="DZ171" s="421">
        <v>21485000</v>
      </c>
      <c r="EA171" s="421">
        <v>0</v>
      </c>
      <c r="EB171" s="421">
        <v>0</v>
      </c>
      <c r="EC171" s="421" t="s">
        <v>1148</v>
      </c>
      <c r="ED171" s="421" t="s">
        <v>1331</v>
      </c>
      <c r="EE171" s="421" t="s">
        <v>1167</v>
      </c>
    </row>
    <row r="172" spans="1:135" x14ac:dyDescent="0.25">
      <c r="A172" s="421">
        <v>169</v>
      </c>
      <c r="B172" s="421">
        <v>2015</v>
      </c>
      <c r="C172" s="421">
        <v>8</v>
      </c>
      <c r="D172" s="421">
        <v>22</v>
      </c>
      <c r="E172" s="424">
        <v>42238</v>
      </c>
      <c r="F172" s="421" t="s">
        <v>2426</v>
      </c>
      <c r="G172" s="421" t="s">
        <v>2427</v>
      </c>
      <c r="H172" s="421" t="s">
        <v>1152</v>
      </c>
      <c r="I172" s="421" t="s">
        <v>1107</v>
      </c>
      <c r="J172" s="421" t="s">
        <v>1108</v>
      </c>
      <c r="K172" s="421" t="s">
        <v>1109</v>
      </c>
      <c r="L172" s="421" t="s">
        <v>1110</v>
      </c>
      <c r="O172" s="421" t="s">
        <v>1111</v>
      </c>
      <c r="R172" s="421" t="s">
        <v>1111</v>
      </c>
      <c r="S172" s="421" t="s">
        <v>1112</v>
      </c>
      <c r="T172" s="421" t="s">
        <v>1113</v>
      </c>
      <c r="U172" s="421" t="s">
        <v>1114</v>
      </c>
      <c r="V172" s="421" t="s">
        <v>1115</v>
      </c>
      <c r="W172" s="421" t="s">
        <v>1116</v>
      </c>
      <c r="X172" s="421" t="s">
        <v>1117</v>
      </c>
      <c r="Y172" s="421" t="s">
        <v>1118</v>
      </c>
      <c r="Z172" s="421" t="s">
        <v>1119</v>
      </c>
      <c r="AA172" s="421" t="s">
        <v>1120</v>
      </c>
      <c r="AB172" s="421" t="s">
        <v>1121</v>
      </c>
      <c r="AC172" s="421" t="s">
        <v>1122</v>
      </c>
      <c r="AD172" s="421" t="s">
        <v>1479</v>
      </c>
      <c r="AE172" s="421" t="s">
        <v>1557</v>
      </c>
      <c r="AF172" s="421" t="s">
        <v>1558</v>
      </c>
      <c r="AG172" s="421" t="s">
        <v>2428</v>
      </c>
      <c r="AH172" s="421">
        <v>2010</v>
      </c>
      <c r="AI172" s="421" t="s">
        <v>1127</v>
      </c>
      <c r="AJ172" s="421">
        <v>1206</v>
      </c>
      <c r="AK172" s="421">
        <v>2</v>
      </c>
      <c r="AL172" s="421" t="s">
        <v>1206</v>
      </c>
      <c r="AM172" s="421">
        <v>2010</v>
      </c>
      <c r="AN172" s="421">
        <v>2211</v>
      </c>
      <c r="AO172" s="421" t="s">
        <v>1120</v>
      </c>
      <c r="AP172" s="421" t="s">
        <v>1129</v>
      </c>
      <c r="AR172" s="421" t="s">
        <v>1130</v>
      </c>
      <c r="AT172" s="421" t="s">
        <v>1131</v>
      </c>
      <c r="AU172" s="421" t="s">
        <v>1132</v>
      </c>
      <c r="AV172" s="421" t="s">
        <v>1133</v>
      </c>
      <c r="AW172" s="421" t="s">
        <v>1547</v>
      </c>
      <c r="AX172" s="421" t="s">
        <v>2429</v>
      </c>
      <c r="AY172" s="421" t="s">
        <v>1547</v>
      </c>
      <c r="AZ172" s="421" t="s">
        <v>1121</v>
      </c>
      <c r="BA172" s="421" t="s">
        <v>1548</v>
      </c>
      <c r="BB172" s="421" t="s">
        <v>1547</v>
      </c>
      <c r="BC172" s="421" t="s">
        <v>1549</v>
      </c>
      <c r="BD172" s="421" t="s">
        <v>1550</v>
      </c>
      <c r="BE172" s="421" t="s">
        <v>1551</v>
      </c>
      <c r="BF172" s="421" t="s">
        <v>2430</v>
      </c>
      <c r="BG172" s="421" t="s">
        <v>2369</v>
      </c>
      <c r="BH172" s="421" t="s">
        <v>2431</v>
      </c>
      <c r="BI172" s="421" t="s">
        <v>1142</v>
      </c>
      <c r="BJ172" s="421" t="s">
        <v>1716</v>
      </c>
      <c r="BK172" s="421" t="s">
        <v>2427</v>
      </c>
      <c r="BL172" s="421" t="s">
        <v>2424</v>
      </c>
      <c r="BM172" s="421" t="s">
        <v>2432</v>
      </c>
      <c r="BN172" s="421" t="s">
        <v>2433</v>
      </c>
      <c r="BO172" s="421">
        <v>0</v>
      </c>
      <c r="BR172" s="421">
        <v>0</v>
      </c>
      <c r="BS172" s="421">
        <v>0</v>
      </c>
      <c r="BT172" s="421">
        <v>0</v>
      </c>
      <c r="BU172" s="424">
        <v>42215</v>
      </c>
      <c r="BX172" s="421">
        <v>2966.12</v>
      </c>
      <c r="BY172" s="421" t="s">
        <v>1183</v>
      </c>
      <c r="BZ172" s="421">
        <v>10172.370000000001</v>
      </c>
      <c r="CA172" s="421">
        <v>30172470.104400001</v>
      </c>
      <c r="CB172" s="421">
        <v>4.07</v>
      </c>
      <c r="CC172" s="421">
        <v>0</v>
      </c>
      <c r="CD172" s="421">
        <v>210.62</v>
      </c>
      <c r="CE172" s="421">
        <v>214.69</v>
      </c>
      <c r="CF172" s="421">
        <v>0</v>
      </c>
      <c r="CG172" s="421">
        <v>10387.06</v>
      </c>
      <c r="CH172" s="421">
        <v>0</v>
      </c>
      <c r="CI172" s="421">
        <v>10387.06</v>
      </c>
      <c r="CJ172" s="421">
        <v>30809266.407200001</v>
      </c>
      <c r="CK172" s="421">
        <v>0</v>
      </c>
      <c r="CL172" s="421">
        <v>30809266</v>
      </c>
      <c r="CM172" s="421">
        <v>0</v>
      </c>
      <c r="CN172" s="421">
        <v>0</v>
      </c>
      <c r="CO172" s="421">
        <v>0</v>
      </c>
      <c r="CP172" s="421">
        <v>0</v>
      </c>
      <c r="CQ172" s="421">
        <v>16</v>
      </c>
      <c r="CR172" s="421">
        <v>30809266</v>
      </c>
      <c r="CS172" s="421">
        <v>4929000</v>
      </c>
      <c r="CT172" s="421">
        <v>4929000</v>
      </c>
      <c r="CU172" s="421">
        <v>0</v>
      </c>
      <c r="CV172" s="421">
        <v>0</v>
      </c>
      <c r="CW172" s="421">
        <v>0</v>
      </c>
      <c r="CX172" s="421">
        <v>0</v>
      </c>
      <c r="CY172" s="421">
        <v>0</v>
      </c>
      <c r="CZ172" s="421">
        <v>0</v>
      </c>
      <c r="DA172" s="421">
        <v>0</v>
      </c>
      <c r="DB172" s="421">
        <v>0</v>
      </c>
      <c r="DC172" s="421">
        <v>0</v>
      </c>
      <c r="DD172" s="421">
        <v>0</v>
      </c>
      <c r="DE172" s="421">
        <v>0</v>
      </c>
      <c r="DF172" s="421">
        <v>0</v>
      </c>
      <c r="DG172" s="421">
        <v>0</v>
      </c>
      <c r="DH172" s="421">
        <v>0</v>
      </c>
      <c r="DI172" s="421">
        <v>0</v>
      </c>
      <c r="DJ172" s="421">
        <v>0</v>
      </c>
      <c r="DK172" s="421">
        <v>0</v>
      </c>
      <c r="DL172" s="421">
        <v>0</v>
      </c>
      <c r="DM172" s="421">
        <v>0</v>
      </c>
      <c r="DN172" s="421">
        <v>0</v>
      </c>
      <c r="DO172" s="421">
        <v>0</v>
      </c>
      <c r="DP172" s="421">
        <v>0</v>
      </c>
      <c r="DQ172" s="421">
        <v>0</v>
      </c>
      <c r="DR172" s="421">
        <v>0</v>
      </c>
      <c r="DS172" s="421">
        <v>0</v>
      </c>
      <c r="DT172" s="421">
        <v>0</v>
      </c>
      <c r="DU172" s="421">
        <v>0</v>
      </c>
      <c r="DV172" s="421">
        <v>0</v>
      </c>
      <c r="DW172" s="421">
        <v>0</v>
      </c>
      <c r="DX172" s="421">
        <v>0</v>
      </c>
      <c r="DY172" s="421">
        <v>4929000</v>
      </c>
      <c r="DZ172" s="421">
        <v>4929000</v>
      </c>
      <c r="EA172" s="421">
        <v>0</v>
      </c>
      <c r="EB172" s="421">
        <v>0</v>
      </c>
      <c r="EC172" s="421" t="s">
        <v>1148</v>
      </c>
      <c r="ED172" s="421" t="s">
        <v>1331</v>
      </c>
      <c r="EE172" s="421" t="s">
        <v>1331</v>
      </c>
    </row>
    <row r="173" spans="1:135" x14ac:dyDescent="0.25">
      <c r="A173" s="421">
        <v>170</v>
      </c>
      <c r="B173" s="421">
        <v>2015</v>
      </c>
      <c r="C173" s="421">
        <v>8</v>
      </c>
      <c r="D173" s="421">
        <v>22</v>
      </c>
      <c r="E173" s="424">
        <v>42238</v>
      </c>
      <c r="F173" s="421" t="s">
        <v>2434</v>
      </c>
      <c r="G173" s="421" t="s">
        <v>2435</v>
      </c>
      <c r="H173" s="421" t="s">
        <v>1152</v>
      </c>
      <c r="I173" s="421" t="s">
        <v>1107</v>
      </c>
      <c r="J173" s="421" t="s">
        <v>1108</v>
      </c>
      <c r="K173" s="421" t="s">
        <v>1109</v>
      </c>
      <c r="L173" s="421" t="s">
        <v>1110</v>
      </c>
      <c r="O173" s="421" t="s">
        <v>1111</v>
      </c>
      <c r="R173" s="421" t="s">
        <v>1111</v>
      </c>
      <c r="S173" s="421" t="s">
        <v>1112</v>
      </c>
      <c r="T173" s="421" t="s">
        <v>1113</v>
      </c>
      <c r="U173" s="421" t="s">
        <v>1114</v>
      </c>
      <c r="V173" s="421" t="s">
        <v>1115</v>
      </c>
      <c r="W173" s="421" t="s">
        <v>1116</v>
      </c>
      <c r="X173" s="421" t="s">
        <v>1117</v>
      </c>
      <c r="Y173" s="421" t="s">
        <v>1118</v>
      </c>
      <c r="Z173" s="421" t="s">
        <v>1119</v>
      </c>
      <c r="AA173" s="421" t="s">
        <v>1120</v>
      </c>
      <c r="AB173" s="421" t="s">
        <v>1121</v>
      </c>
      <c r="AC173" s="421" t="s">
        <v>1122</v>
      </c>
      <c r="AD173" s="421" t="s">
        <v>1479</v>
      </c>
      <c r="AE173" s="421" t="s">
        <v>1543</v>
      </c>
      <c r="AF173" s="421" t="s">
        <v>1544</v>
      </c>
      <c r="AG173" s="421" t="s">
        <v>2436</v>
      </c>
      <c r="AH173" s="421">
        <v>10050</v>
      </c>
      <c r="AI173" s="421" t="s">
        <v>1127</v>
      </c>
      <c r="AJ173" s="421">
        <v>1206</v>
      </c>
      <c r="AK173" s="421">
        <v>2</v>
      </c>
      <c r="AL173" s="421" t="s">
        <v>1206</v>
      </c>
      <c r="AM173" s="421">
        <v>10050</v>
      </c>
      <c r="AN173" s="421">
        <v>11055</v>
      </c>
      <c r="AO173" s="421" t="s">
        <v>1120</v>
      </c>
      <c r="AP173" s="421" t="s">
        <v>1129</v>
      </c>
      <c r="AR173" s="421" t="s">
        <v>1130</v>
      </c>
      <c r="AT173" s="421" t="s">
        <v>1131</v>
      </c>
      <c r="AU173" s="421" t="s">
        <v>1132</v>
      </c>
      <c r="AV173" s="421" t="s">
        <v>1133</v>
      </c>
      <c r="AW173" s="421" t="s">
        <v>1547</v>
      </c>
      <c r="AX173" s="421" t="s">
        <v>2429</v>
      </c>
      <c r="AY173" s="421" t="s">
        <v>1547</v>
      </c>
      <c r="AZ173" s="421" t="s">
        <v>1121</v>
      </c>
      <c r="BA173" s="421" t="s">
        <v>1548</v>
      </c>
      <c r="BB173" s="421" t="s">
        <v>1547</v>
      </c>
      <c r="BC173" s="421" t="s">
        <v>1549</v>
      </c>
      <c r="BD173" s="421" t="s">
        <v>1550</v>
      </c>
      <c r="BE173" s="421" t="s">
        <v>1551</v>
      </c>
      <c r="BF173" s="421" t="s">
        <v>2430</v>
      </c>
      <c r="BG173" s="421" t="s">
        <v>2369</v>
      </c>
      <c r="BH173" s="421" t="s">
        <v>2431</v>
      </c>
      <c r="BI173" s="421" t="s">
        <v>1142</v>
      </c>
      <c r="BJ173" s="421" t="s">
        <v>1716</v>
      </c>
      <c r="BK173" s="421" t="s">
        <v>2435</v>
      </c>
      <c r="BL173" s="421" t="s">
        <v>2424</v>
      </c>
      <c r="BM173" s="421" t="s">
        <v>2432</v>
      </c>
      <c r="BN173" s="421" t="s">
        <v>2433</v>
      </c>
      <c r="BO173" s="421">
        <v>0</v>
      </c>
      <c r="BR173" s="421">
        <v>0</v>
      </c>
      <c r="BS173" s="421">
        <v>0</v>
      </c>
      <c r="BT173" s="421">
        <v>0</v>
      </c>
      <c r="BU173" s="424">
        <v>42215</v>
      </c>
      <c r="BX173" s="421">
        <v>2966.12</v>
      </c>
      <c r="BY173" s="421" t="s">
        <v>1183</v>
      </c>
      <c r="BZ173" s="421">
        <v>70631.38</v>
      </c>
      <c r="CA173" s="421">
        <v>209501148.84560001</v>
      </c>
      <c r="CB173" s="421">
        <v>28.25</v>
      </c>
      <c r="CC173" s="421">
        <v>0</v>
      </c>
      <c r="CD173" s="421">
        <v>1053.1199999999999</v>
      </c>
      <c r="CE173" s="421">
        <v>1081.3699999999999</v>
      </c>
      <c r="CF173" s="421">
        <v>0</v>
      </c>
      <c r="CG173" s="421">
        <v>71712.75</v>
      </c>
      <c r="CH173" s="421">
        <v>0</v>
      </c>
      <c r="CI173" s="421">
        <v>71712.75</v>
      </c>
      <c r="CJ173" s="421">
        <v>212708622.03</v>
      </c>
      <c r="CK173" s="421">
        <v>10</v>
      </c>
      <c r="CL173" s="421">
        <v>212708622</v>
      </c>
      <c r="CM173" s="421">
        <v>21271000</v>
      </c>
      <c r="CN173" s="421">
        <v>21271000</v>
      </c>
      <c r="CO173" s="421">
        <v>0</v>
      </c>
      <c r="CP173" s="421">
        <v>0</v>
      </c>
      <c r="CQ173" s="421">
        <v>16</v>
      </c>
      <c r="CR173" s="421">
        <v>233979622</v>
      </c>
      <c r="CS173" s="421">
        <v>37437000</v>
      </c>
      <c r="CT173" s="421">
        <v>37437000</v>
      </c>
      <c r="CU173" s="421">
        <v>0</v>
      </c>
      <c r="CV173" s="421">
        <v>0</v>
      </c>
      <c r="CW173" s="421">
        <v>0</v>
      </c>
      <c r="CX173" s="421">
        <v>0</v>
      </c>
      <c r="CY173" s="421">
        <v>0</v>
      </c>
      <c r="CZ173" s="421">
        <v>0</v>
      </c>
      <c r="DA173" s="421">
        <v>0</v>
      </c>
      <c r="DB173" s="421">
        <v>0</v>
      </c>
      <c r="DC173" s="421">
        <v>0</v>
      </c>
      <c r="DD173" s="421">
        <v>0</v>
      </c>
      <c r="DE173" s="421">
        <v>0</v>
      </c>
      <c r="DF173" s="421">
        <v>0</v>
      </c>
      <c r="DG173" s="421">
        <v>0</v>
      </c>
      <c r="DH173" s="421">
        <v>0</v>
      </c>
      <c r="DI173" s="421">
        <v>0</v>
      </c>
      <c r="DJ173" s="421">
        <v>0</v>
      </c>
      <c r="DK173" s="421">
        <v>0</v>
      </c>
      <c r="DL173" s="421">
        <v>0</v>
      </c>
      <c r="DM173" s="421">
        <v>0</v>
      </c>
      <c r="DN173" s="421">
        <v>0</v>
      </c>
      <c r="DO173" s="421">
        <v>0</v>
      </c>
      <c r="DP173" s="421">
        <v>0</v>
      </c>
      <c r="DQ173" s="421">
        <v>0</v>
      </c>
      <c r="DR173" s="421">
        <v>0</v>
      </c>
      <c r="DS173" s="421">
        <v>0</v>
      </c>
      <c r="DT173" s="421">
        <v>0</v>
      </c>
      <c r="DU173" s="421">
        <v>0</v>
      </c>
      <c r="DV173" s="421">
        <v>0</v>
      </c>
      <c r="DW173" s="421">
        <v>0</v>
      </c>
      <c r="DX173" s="421">
        <v>0</v>
      </c>
      <c r="DY173" s="421">
        <v>58708000</v>
      </c>
      <c r="DZ173" s="421">
        <v>58708000</v>
      </c>
      <c r="EA173" s="421">
        <v>0</v>
      </c>
      <c r="EB173" s="421">
        <v>0</v>
      </c>
      <c r="EC173" s="421" t="s">
        <v>1148</v>
      </c>
      <c r="ED173" s="421" t="s">
        <v>1331</v>
      </c>
      <c r="EE173" s="421" t="s">
        <v>1331</v>
      </c>
    </row>
    <row r="174" spans="1:135" x14ac:dyDescent="0.25">
      <c r="A174" s="421">
        <v>171</v>
      </c>
      <c r="B174" s="421">
        <v>2015</v>
      </c>
      <c r="C174" s="421">
        <v>8</v>
      </c>
      <c r="D174" s="421">
        <v>24</v>
      </c>
      <c r="E174" s="424">
        <v>42240</v>
      </c>
      <c r="F174" s="421" t="s">
        <v>2437</v>
      </c>
      <c r="G174" s="421" t="s">
        <v>2438</v>
      </c>
      <c r="H174" s="421" t="s">
        <v>1152</v>
      </c>
      <c r="I174" s="421" t="s">
        <v>1107</v>
      </c>
      <c r="J174" s="421" t="s">
        <v>1108</v>
      </c>
      <c r="K174" s="421" t="s">
        <v>1109</v>
      </c>
      <c r="L174" s="421" t="s">
        <v>1110</v>
      </c>
      <c r="O174" s="421" t="s">
        <v>1111</v>
      </c>
      <c r="R174" s="421" t="s">
        <v>1111</v>
      </c>
      <c r="S174" s="421" t="s">
        <v>1112</v>
      </c>
      <c r="T174" s="421" t="s">
        <v>1113</v>
      </c>
      <c r="U174" s="421" t="s">
        <v>1114</v>
      </c>
      <c r="V174" s="421" t="s">
        <v>1115</v>
      </c>
      <c r="W174" s="421" t="s">
        <v>1116</v>
      </c>
      <c r="X174" s="421" t="s">
        <v>1117</v>
      </c>
      <c r="Y174" s="421" t="s">
        <v>1118</v>
      </c>
      <c r="Z174" s="421" t="s">
        <v>1119</v>
      </c>
      <c r="AA174" s="421" t="s">
        <v>1120</v>
      </c>
      <c r="AB174" s="421" t="s">
        <v>1121</v>
      </c>
      <c r="AC174" s="421" t="s">
        <v>1122</v>
      </c>
      <c r="AD174" s="421" t="s">
        <v>1479</v>
      </c>
      <c r="AE174" s="421" t="s">
        <v>1471</v>
      </c>
      <c r="AF174" s="421" t="s">
        <v>1472</v>
      </c>
      <c r="AG174" s="421" t="s">
        <v>2439</v>
      </c>
      <c r="AH174" s="421">
        <v>6384</v>
      </c>
      <c r="AI174" s="421" t="s">
        <v>1189</v>
      </c>
      <c r="AJ174" s="421">
        <v>133</v>
      </c>
      <c r="AK174" s="421">
        <v>1</v>
      </c>
      <c r="AL174" s="421" t="s">
        <v>1173</v>
      </c>
      <c r="AM174" s="421">
        <v>1234.8</v>
      </c>
      <c r="AN174" s="421">
        <v>1301.3</v>
      </c>
      <c r="AO174" s="421" t="s">
        <v>1120</v>
      </c>
      <c r="AP174" s="421" t="s">
        <v>2440</v>
      </c>
      <c r="AQ174" s="421" t="s">
        <v>1475</v>
      </c>
      <c r="AR174" s="421" t="s">
        <v>1476</v>
      </c>
      <c r="AT174" s="421" t="s">
        <v>1131</v>
      </c>
      <c r="AU174" s="421" t="s">
        <v>1190</v>
      </c>
      <c r="AV174" s="421" t="s">
        <v>1191</v>
      </c>
      <c r="AW174" s="421" t="s">
        <v>960</v>
      </c>
      <c r="AX174" s="421" t="s">
        <v>960</v>
      </c>
      <c r="AY174" s="421" t="s">
        <v>960</v>
      </c>
      <c r="AZ174" s="421" t="s">
        <v>1121</v>
      </c>
      <c r="BA174" s="421" t="s">
        <v>2441</v>
      </c>
      <c r="BB174" s="421" t="s">
        <v>960</v>
      </c>
      <c r="BC174" s="421" t="s">
        <v>1605</v>
      </c>
      <c r="BD174" s="421" t="s">
        <v>2442</v>
      </c>
      <c r="BE174" s="421" t="s">
        <v>2443</v>
      </c>
      <c r="BF174" s="421" t="s">
        <v>2404</v>
      </c>
      <c r="BG174" s="421" t="s">
        <v>2369</v>
      </c>
      <c r="BH174" s="421" t="s">
        <v>2444</v>
      </c>
      <c r="BI174" s="421" t="s">
        <v>1142</v>
      </c>
      <c r="BJ174" s="421" t="s">
        <v>1180</v>
      </c>
      <c r="BK174" s="421" t="s">
        <v>2438</v>
      </c>
      <c r="BL174" s="421" t="s">
        <v>2445</v>
      </c>
      <c r="BM174" s="421" t="s">
        <v>2446</v>
      </c>
      <c r="BN174" s="421" t="s">
        <v>2080</v>
      </c>
      <c r="BO174" s="421">
        <v>0</v>
      </c>
      <c r="BR174" s="421">
        <v>0</v>
      </c>
      <c r="BS174" s="421">
        <v>0</v>
      </c>
      <c r="BT174" s="421">
        <v>0</v>
      </c>
      <c r="BU174" s="424">
        <v>42185</v>
      </c>
      <c r="BX174" s="421">
        <v>3053.65</v>
      </c>
      <c r="BY174" s="421" t="s">
        <v>1183</v>
      </c>
      <c r="BZ174" s="421">
        <v>10886.96</v>
      </c>
      <c r="CA174" s="421">
        <v>33244965.403999999</v>
      </c>
      <c r="CB174" s="421">
        <v>4.3499999999999996</v>
      </c>
      <c r="CC174" s="421">
        <v>0</v>
      </c>
      <c r="CD174" s="421">
        <v>1089.75</v>
      </c>
      <c r="CE174" s="421">
        <v>1094.0999999999999</v>
      </c>
      <c r="CF174" s="421">
        <v>0</v>
      </c>
      <c r="CG174" s="421">
        <v>11981.06</v>
      </c>
      <c r="CH174" s="421">
        <v>0</v>
      </c>
      <c r="CI174" s="421">
        <v>11981.06</v>
      </c>
      <c r="CJ174" s="421">
        <v>36585963.869000003</v>
      </c>
      <c r="CK174" s="421">
        <v>15</v>
      </c>
      <c r="CL174" s="421">
        <v>36585964</v>
      </c>
      <c r="CM174" s="421">
        <v>5488000</v>
      </c>
      <c r="CN174" s="421">
        <v>5488000</v>
      </c>
      <c r="CO174" s="421">
        <v>0</v>
      </c>
      <c r="CP174" s="421">
        <v>0</v>
      </c>
      <c r="CQ174" s="421">
        <v>16</v>
      </c>
      <c r="CR174" s="421">
        <v>42073964</v>
      </c>
      <c r="CS174" s="421">
        <v>6732000</v>
      </c>
      <c r="CT174" s="421">
        <v>6732000</v>
      </c>
      <c r="CU174" s="421">
        <v>0</v>
      </c>
      <c r="CV174" s="421">
        <v>0</v>
      </c>
      <c r="CW174" s="421">
        <v>0</v>
      </c>
      <c r="CX174" s="421">
        <v>0</v>
      </c>
      <c r="CY174" s="421">
        <v>0</v>
      </c>
      <c r="CZ174" s="421">
        <v>0</v>
      </c>
      <c r="DA174" s="421">
        <v>0</v>
      </c>
      <c r="DB174" s="421">
        <v>0</v>
      </c>
      <c r="DC174" s="421">
        <v>0</v>
      </c>
      <c r="DD174" s="421">
        <v>0</v>
      </c>
      <c r="DE174" s="421">
        <v>0</v>
      </c>
      <c r="DF174" s="421">
        <v>0</v>
      </c>
      <c r="DG174" s="421">
        <v>0</v>
      </c>
      <c r="DH174" s="421">
        <v>0</v>
      </c>
      <c r="DI174" s="421">
        <v>0</v>
      </c>
      <c r="DJ174" s="421">
        <v>0</v>
      </c>
      <c r="DK174" s="421">
        <v>0</v>
      </c>
      <c r="DL174" s="421">
        <v>0</v>
      </c>
      <c r="DM174" s="421">
        <v>0</v>
      </c>
      <c r="DN174" s="421">
        <v>0</v>
      </c>
      <c r="DO174" s="421">
        <v>0</v>
      </c>
      <c r="DP174" s="421">
        <v>0</v>
      </c>
      <c r="DQ174" s="421">
        <v>0</v>
      </c>
      <c r="DR174" s="421">
        <v>0</v>
      </c>
      <c r="DS174" s="421">
        <v>0</v>
      </c>
      <c r="DT174" s="421">
        <v>0</v>
      </c>
      <c r="DU174" s="421">
        <v>0</v>
      </c>
      <c r="DV174" s="421">
        <v>0</v>
      </c>
      <c r="DW174" s="421">
        <v>0</v>
      </c>
      <c r="DX174" s="421">
        <v>0</v>
      </c>
      <c r="DY174" s="421">
        <v>12220000</v>
      </c>
      <c r="DZ174" s="421">
        <v>12220000</v>
      </c>
      <c r="EA174" s="421">
        <v>0</v>
      </c>
      <c r="EB174" s="421">
        <v>0</v>
      </c>
      <c r="EC174" s="421" t="s">
        <v>1148</v>
      </c>
      <c r="ED174" s="421" t="s">
        <v>1167</v>
      </c>
      <c r="EE174" s="421" t="s">
        <v>1167</v>
      </c>
    </row>
    <row r="175" spans="1:135" x14ac:dyDescent="0.25">
      <c r="A175" s="421">
        <v>172</v>
      </c>
      <c r="B175" s="421">
        <v>2015</v>
      </c>
      <c r="C175" s="421">
        <v>8</v>
      </c>
      <c r="D175" s="421">
        <v>25</v>
      </c>
      <c r="E175" s="424">
        <v>42241</v>
      </c>
      <c r="F175" s="421" t="s">
        <v>2447</v>
      </c>
      <c r="G175" s="421" t="s">
        <v>2448</v>
      </c>
      <c r="H175" s="421" t="s">
        <v>1106</v>
      </c>
      <c r="I175" s="421" t="s">
        <v>1107</v>
      </c>
      <c r="J175" s="421" t="s">
        <v>1108</v>
      </c>
      <c r="K175" s="421" t="s">
        <v>1109</v>
      </c>
      <c r="L175" s="421" t="s">
        <v>1110</v>
      </c>
      <c r="O175" s="421" t="s">
        <v>1111</v>
      </c>
      <c r="R175" s="421" t="s">
        <v>1111</v>
      </c>
      <c r="S175" s="421" t="s">
        <v>1112</v>
      </c>
      <c r="T175" s="421" t="s">
        <v>1113</v>
      </c>
      <c r="U175" s="421" t="s">
        <v>1114</v>
      </c>
      <c r="V175" s="421" t="s">
        <v>1115</v>
      </c>
      <c r="W175" s="421" t="s">
        <v>1116</v>
      </c>
      <c r="X175" s="421" t="s">
        <v>1117</v>
      </c>
      <c r="Y175" s="421" t="s">
        <v>1118</v>
      </c>
      <c r="Z175" s="421" t="s">
        <v>1119</v>
      </c>
      <c r="AA175" s="421" t="s">
        <v>1120</v>
      </c>
      <c r="AB175" s="421" t="s">
        <v>1121</v>
      </c>
      <c r="AC175" s="421" t="s">
        <v>1122</v>
      </c>
      <c r="AD175" s="421" t="s">
        <v>1479</v>
      </c>
      <c r="AE175" s="421" t="s">
        <v>1567</v>
      </c>
      <c r="AF175" s="421" t="s">
        <v>1568</v>
      </c>
      <c r="AG175" s="421" t="s">
        <v>2449</v>
      </c>
      <c r="AH175" s="421">
        <v>1605</v>
      </c>
      <c r="AI175" s="421" t="s">
        <v>1127</v>
      </c>
      <c r="AJ175" s="421">
        <v>300</v>
      </c>
      <c r="AK175" s="421">
        <v>2</v>
      </c>
      <c r="AL175" s="421" t="s">
        <v>1206</v>
      </c>
      <c r="AM175" s="421">
        <v>1605</v>
      </c>
      <c r="AN175" s="421">
        <v>1605</v>
      </c>
      <c r="AO175" s="421" t="s">
        <v>1120</v>
      </c>
      <c r="AP175" s="421" t="s">
        <v>1129</v>
      </c>
      <c r="AR175" s="421" t="s">
        <v>1130</v>
      </c>
      <c r="AT175" s="421" t="s">
        <v>1131</v>
      </c>
      <c r="AU175" s="421" t="s">
        <v>1132</v>
      </c>
      <c r="AV175" s="421" t="s">
        <v>1133</v>
      </c>
      <c r="AW175" s="421" t="s">
        <v>962</v>
      </c>
      <c r="AX175" s="421" t="s">
        <v>962</v>
      </c>
      <c r="AY175" s="421" t="s">
        <v>962</v>
      </c>
      <c r="AZ175" s="421" t="s">
        <v>1121</v>
      </c>
      <c r="BA175" s="421" t="s">
        <v>2450</v>
      </c>
      <c r="BB175" s="421" t="s">
        <v>962</v>
      </c>
      <c r="BC175" s="421" t="s">
        <v>1571</v>
      </c>
      <c r="BD175" s="421" t="s">
        <v>1572</v>
      </c>
      <c r="BE175" s="421" t="s">
        <v>2451</v>
      </c>
      <c r="BF175" s="421" t="s">
        <v>2452</v>
      </c>
      <c r="BG175" s="421" t="s">
        <v>2406</v>
      </c>
      <c r="BH175" s="421" t="s">
        <v>2453</v>
      </c>
      <c r="BI175" s="421" t="s">
        <v>1142</v>
      </c>
      <c r="BJ175" s="421" t="s">
        <v>1143</v>
      </c>
      <c r="BK175" s="421" t="s">
        <v>2448</v>
      </c>
      <c r="BL175" s="421" t="s">
        <v>2454</v>
      </c>
      <c r="BM175" s="421" t="s">
        <v>2455</v>
      </c>
      <c r="BN175" s="421" t="s">
        <v>2299</v>
      </c>
      <c r="BO175" s="421">
        <v>0</v>
      </c>
      <c r="BR175" s="421">
        <v>0</v>
      </c>
      <c r="BS175" s="421">
        <v>0</v>
      </c>
      <c r="BT175" s="421">
        <v>0</v>
      </c>
      <c r="BU175" s="424">
        <v>42231</v>
      </c>
      <c r="BX175" s="421">
        <v>3053.65</v>
      </c>
      <c r="BY175" s="421" t="s">
        <v>1166</v>
      </c>
      <c r="BZ175" s="421">
        <v>14316</v>
      </c>
      <c r="CA175" s="421">
        <v>43716053.399999999</v>
      </c>
      <c r="CB175" s="421">
        <v>5.73</v>
      </c>
      <c r="CC175" s="421">
        <v>0</v>
      </c>
      <c r="CD175" s="421">
        <v>818.28</v>
      </c>
      <c r="CE175" s="421">
        <v>824.01</v>
      </c>
      <c r="CF175" s="421">
        <v>0</v>
      </c>
      <c r="CG175" s="421">
        <v>15140.01</v>
      </c>
      <c r="CH175" s="421">
        <v>0</v>
      </c>
      <c r="CI175" s="421">
        <v>15140.01</v>
      </c>
      <c r="CJ175" s="421">
        <v>46232291.536499999</v>
      </c>
      <c r="CK175" s="421">
        <v>0</v>
      </c>
      <c r="CL175" s="421">
        <v>46232292</v>
      </c>
      <c r="CM175" s="421">
        <v>0</v>
      </c>
      <c r="CN175" s="421">
        <v>0</v>
      </c>
      <c r="CO175" s="421">
        <v>0</v>
      </c>
      <c r="CP175" s="421">
        <v>0</v>
      </c>
      <c r="CQ175" s="421">
        <v>16</v>
      </c>
      <c r="CR175" s="421">
        <v>46232292</v>
      </c>
      <c r="CS175" s="421">
        <v>7397000</v>
      </c>
      <c r="CT175" s="421">
        <v>7397000</v>
      </c>
      <c r="CU175" s="421">
        <v>0</v>
      </c>
      <c r="CV175" s="421">
        <v>0</v>
      </c>
      <c r="CW175" s="421">
        <v>0</v>
      </c>
      <c r="CX175" s="421">
        <v>0</v>
      </c>
      <c r="CY175" s="421">
        <v>0</v>
      </c>
      <c r="CZ175" s="421">
        <v>0</v>
      </c>
      <c r="DA175" s="421">
        <v>0</v>
      </c>
      <c r="DB175" s="421">
        <v>0</v>
      </c>
      <c r="DC175" s="421">
        <v>0</v>
      </c>
      <c r="DD175" s="421">
        <v>0</v>
      </c>
      <c r="DE175" s="421">
        <v>0</v>
      </c>
      <c r="DF175" s="421">
        <v>0</v>
      </c>
      <c r="DG175" s="421">
        <v>0</v>
      </c>
      <c r="DH175" s="421">
        <v>0</v>
      </c>
      <c r="DI175" s="421">
        <v>0</v>
      </c>
      <c r="DJ175" s="421">
        <v>0</v>
      </c>
      <c r="DK175" s="421">
        <v>0</v>
      </c>
      <c r="DL175" s="421">
        <v>0</v>
      </c>
      <c r="DM175" s="421">
        <v>0</v>
      </c>
      <c r="DN175" s="421">
        <v>0</v>
      </c>
      <c r="DO175" s="421">
        <v>0</v>
      </c>
      <c r="DP175" s="421">
        <v>0</v>
      </c>
      <c r="DQ175" s="421">
        <v>0</v>
      </c>
      <c r="DR175" s="421">
        <v>0</v>
      </c>
      <c r="DS175" s="421">
        <v>0</v>
      </c>
      <c r="DT175" s="421">
        <v>0</v>
      </c>
      <c r="DU175" s="421">
        <v>0</v>
      </c>
      <c r="DV175" s="421">
        <v>0</v>
      </c>
      <c r="DW175" s="421">
        <v>0</v>
      </c>
      <c r="DX175" s="421">
        <v>0</v>
      </c>
      <c r="DY175" s="421">
        <v>7397000</v>
      </c>
      <c r="DZ175" s="421">
        <v>7397000</v>
      </c>
      <c r="EA175" s="421">
        <v>0</v>
      </c>
      <c r="EB175" s="421">
        <v>0</v>
      </c>
      <c r="EC175" s="421" t="s">
        <v>1148</v>
      </c>
      <c r="ED175" s="421" t="s">
        <v>1149</v>
      </c>
      <c r="EE175" s="421" t="s">
        <v>1149</v>
      </c>
    </row>
    <row r="176" spans="1:135" x14ac:dyDescent="0.25">
      <c r="A176" s="421">
        <v>173</v>
      </c>
      <c r="B176" s="421">
        <v>2015</v>
      </c>
      <c r="C176" s="421">
        <v>8</v>
      </c>
      <c r="D176" s="421">
        <v>25</v>
      </c>
      <c r="E176" s="424">
        <v>42241</v>
      </c>
      <c r="F176" s="421" t="s">
        <v>2456</v>
      </c>
      <c r="G176" s="421" t="s">
        <v>2457</v>
      </c>
      <c r="H176" s="421" t="s">
        <v>1152</v>
      </c>
      <c r="I176" s="421" t="s">
        <v>1107</v>
      </c>
      <c r="J176" s="421" t="s">
        <v>1108</v>
      </c>
      <c r="K176" s="421" t="s">
        <v>1202</v>
      </c>
      <c r="L176" s="421" t="s">
        <v>1110</v>
      </c>
      <c r="O176" s="421" t="s">
        <v>1111</v>
      </c>
      <c r="R176" s="421" t="s">
        <v>1111</v>
      </c>
      <c r="S176" s="421" t="s">
        <v>1112</v>
      </c>
      <c r="T176" s="421" t="s">
        <v>1113</v>
      </c>
      <c r="U176" s="421" t="s">
        <v>1114</v>
      </c>
      <c r="V176" s="421" t="s">
        <v>1115</v>
      </c>
      <c r="W176" s="421" t="s">
        <v>1116</v>
      </c>
      <c r="X176" s="421" t="s">
        <v>1117</v>
      </c>
      <c r="Y176" s="421" t="s">
        <v>1118</v>
      </c>
      <c r="Z176" s="421" t="s">
        <v>1119</v>
      </c>
      <c r="AA176" s="421" t="s">
        <v>1120</v>
      </c>
      <c r="AB176" s="421" t="s">
        <v>1121</v>
      </c>
      <c r="AC176" s="421" t="s">
        <v>1122</v>
      </c>
      <c r="AD176" s="421" t="s">
        <v>1479</v>
      </c>
      <c r="AE176" s="421" t="s">
        <v>1203</v>
      </c>
      <c r="AF176" s="421" t="s">
        <v>1204</v>
      </c>
      <c r="AG176" s="421" t="s">
        <v>2458</v>
      </c>
      <c r="AH176" s="421">
        <v>86000</v>
      </c>
      <c r="AI176" s="421" t="s">
        <v>1127</v>
      </c>
      <c r="AJ176" s="421">
        <v>4</v>
      </c>
      <c r="AK176" s="421">
        <v>1</v>
      </c>
      <c r="AL176" s="421" t="s">
        <v>1283</v>
      </c>
      <c r="AM176" s="421">
        <v>86000</v>
      </c>
      <c r="AN176" s="421">
        <v>86971.01</v>
      </c>
      <c r="AO176" s="421" t="s">
        <v>1120</v>
      </c>
      <c r="AP176" s="421" t="s">
        <v>1129</v>
      </c>
      <c r="AR176" s="421" t="s">
        <v>1130</v>
      </c>
      <c r="AT176" s="421" t="s">
        <v>1131</v>
      </c>
      <c r="AU176" s="421" t="s">
        <v>1190</v>
      </c>
      <c r="AV176" s="421" t="s">
        <v>1191</v>
      </c>
      <c r="AW176" s="421" t="s">
        <v>1207</v>
      </c>
      <c r="AX176" s="421" t="s">
        <v>1207</v>
      </c>
      <c r="AY176" s="421" t="s">
        <v>1208</v>
      </c>
      <c r="AZ176" s="421" t="s">
        <v>1121</v>
      </c>
      <c r="BA176" s="421" t="s">
        <v>1209</v>
      </c>
      <c r="BB176" s="421" t="s">
        <v>1208</v>
      </c>
      <c r="BC176" s="421" t="s">
        <v>1210</v>
      </c>
      <c r="BD176" s="421" t="s">
        <v>1211</v>
      </c>
      <c r="BE176" s="421" t="s">
        <v>1212</v>
      </c>
      <c r="BF176" s="421" t="s">
        <v>2459</v>
      </c>
      <c r="BG176" s="421" t="s">
        <v>2424</v>
      </c>
      <c r="BH176" s="421" t="s">
        <v>2460</v>
      </c>
      <c r="BI176" s="421" t="s">
        <v>1142</v>
      </c>
      <c r="BJ176" s="421" t="s">
        <v>1275</v>
      </c>
      <c r="BK176" s="421" t="s">
        <v>2457</v>
      </c>
      <c r="BL176" s="421" t="s">
        <v>2445</v>
      </c>
      <c r="BM176" s="421" t="s">
        <v>2461</v>
      </c>
      <c r="BN176" s="421" t="s">
        <v>2299</v>
      </c>
      <c r="BO176" s="421">
        <v>0</v>
      </c>
      <c r="BR176" s="421">
        <v>0</v>
      </c>
      <c r="BS176" s="421">
        <v>0</v>
      </c>
      <c r="BT176" s="421">
        <v>0</v>
      </c>
      <c r="BU176" s="424">
        <v>42229</v>
      </c>
      <c r="BX176" s="421">
        <v>3053.65</v>
      </c>
      <c r="BY176" s="421" t="s">
        <v>1147</v>
      </c>
      <c r="BZ176" s="421">
        <v>163400</v>
      </c>
      <c r="CA176" s="421">
        <v>498966410</v>
      </c>
      <c r="CB176" s="421">
        <v>65.36</v>
      </c>
      <c r="CC176" s="421">
        <v>0</v>
      </c>
      <c r="CD176" s="421">
        <v>3845</v>
      </c>
      <c r="CE176" s="421">
        <v>3910.36</v>
      </c>
      <c r="CF176" s="421">
        <v>0</v>
      </c>
      <c r="CG176" s="421">
        <v>167310.35999999999</v>
      </c>
      <c r="CH176" s="421">
        <v>0</v>
      </c>
      <c r="CI176" s="421">
        <v>167310.35999999999</v>
      </c>
      <c r="CJ176" s="421">
        <v>510907280.81400001</v>
      </c>
      <c r="CK176" s="421">
        <v>0</v>
      </c>
      <c r="CL176" s="421">
        <v>510907281</v>
      </c>
      <c r="CM176" s="421">
        <v>0</v>
      </c>
      <c r="CN176" s="421">
        <v>0</v>
      </c>
      <c r="CO176" s="421">
        <v>0</v>
      </c>
      <c r="CP176" s="421">
        <v>0</v>
      </c>
      <c r="CQ176" s="421">
        <v>0</v>
      </c>
      <c r="CR176" s="421">
        <v>510907281</v>
      </c>
      <c r="CS176" s="421">
        <v>0</v>
      </c>
      <c r="CT176" s="421">
        <v>0</v>
      </c>
      <c r="CU176" s="421">
        <v>0</v>
      </c>
      <c r="CV176" s="421">
        <v>0</v>
      </c>
      <c r="CW176" s="421">
        <v>0</v>
      </c>
      <c r="CX176" s="421">
        <v>0</v>
      </c>
      <c r="CY176" s="421">
        <v>0</v>
      </c>
      <c r="CZ176" s="421">
        <v>0</v>
      </c>
      <c r="DA176" s="421">
        <v>0</v>
      </c>
      <c r="DB176" s="421">
        <v>0</v>
      </c>
      <c r="DC176" s="421">
        <v>0</v>
      </c>
      <c r="DD176" s="421">
        <v>0</v>
      </c>
      <c r="DE176" s="421">
        <v>0</v>
      </c>
      <c r="DF176" s="421">
        <v>0</v>
      </c>
      <c r="DG176" s="421">
        <v>0</v>
      </c>
      <c r="DH176" s="421">
        <v>0</v>
      </c>
      <c r="DI176" s="421">
        <v>0</v>
      </c>
      <c r="DJ176" s="421">
        <v>0</v>
      </c>
      <c r="DK176" s="421">
        <v>0</v>
      </c>
      <c r="DL176" s="421">
        <v>0</v>
      </c>
      <c r="DM176" s="421">
        <v>0</v>
      </c>
      <c r="DN176" s="421">
        <v>0</v>
      </c>
      <c r="DO176" s="421">
        <v>0</v>
      </c>
      <c r="DP176" s="421">
        <v>0</v>
      </c>
      <c r="DQ176" s="421">
        <v>0</v>
      </c>
      <c r="DR176" s="421">
        <v>0</v>
      </c>
      <c r="DS176" s="421">
        <v>0</v>
      </c>
      <c r="DT176" s="421">
        <v>0</v>
      </c>
      <c r="DU176" s="421">
        <v>0</v>
      </c>
      <c r="DV176" s="421">
        <v>0</v>
      </c>
      <c r="DW176" s="421">
        <v>0</v>
      </c>
      <c r="DX176" s="421">
        <v>0</v>
      </c>
      <c r="DY176" s="421">
        <v>0</v>
      </c>
      <c r="DZ176" s="421">
        <v>0</v>
      </c>
      <c r="EA176" s="421">
        <v>0</v>
      </c>
      <c r="EB176" s="421">
        <v>0</v>
      </c>
      <c r="EC176" s="421" t="s">
        <v>1148</v>
      </c>
      <c r="ED176" s="421" t="s">
        <v>1149</v>
      </c>
      <c r="EE176" s="421" t="s">
        <v>1149</v>
      </c>
    </row>
    <row r="177" spans="1:135" x14ac:dyDescent="0.25">
      <c r="A177" s="421">
        <v>174</v>
      </c>
      <c r="B177" s="421">
        <v>2015</v>
      </c>
      <c r="C177" s="421">
        <v>8</v>
      </c>
      <c r="D177" s="421">
        <v>26</v>
      </c>
      <c r="E177" s="424">
        <v>42242</v>
      </c>
      <c r="F177" s="421" t="s">
        <v>2462</v>
      </c>
      <c r="G177" s="421" t="s">
        <v>2463</v>
      </c>
      <c r="H177" s="421" t="s">
        <v>1106</v>
      </c>
      <c r="I177" s="421" t="s">
        <v>1281</v>
      </c>
      <c r="J177" s="421" t="s">
        <v>1108</v>
      </c>
      <c r="K177" s="421" t="s">
        <v>1109</v>
      </c>
      <c r="L177" s="421" t="s">
        <v>1110</v>
      </c>
      <c r="O177" s="421" t="s">
        <v>1111</v>
      </c>
      <c r="R177" s="421" t="s">
        <v>1111</v>
      </c>
      <c r="S177" s="421" t="s">
        <v>1112</v>
      </c>
      <c r="T177" s="421" t="s">
        <v>1113</v>
      </c>
      <c r="U177" s="421" t="s">
        <v>1114</v>
      </c>
      <c r="V177" s="421" t="s">
        <v>1115</v>
      </c>
      <c r="W177" s="421" t="s">
        <v>1116</v>
      </c>
      <c r="X177" s="421" t="s">
        <v>1117</v>
      </c>
      <c r="Y177" s="421" t="s">
        <v>1118</v>
      </c>
      <c r="Z177" s="421" t="s">
        <v>1119</v>
      </c>
      <c r="AA177" s="421" t="s">
        <v>1120</v>
      </c>
      <c r="AB177" s="421" t="s">
        <v>1121</v>
      </c>
      <c r="AC177" s="421" t="s">
        <v>1122</v>
      </c>
      <c r="AD177" s="421" t="s">
        <v>1479</v>
      </c>
      <c r="AE177" s="421" t="s">
        <v>1517</v>
      </c>
      <c r="AF177" s="421" t="s">
        <v>1518</v>
      </c>
      <c r="AG177" s="421" t="s">
        <v>2357</v>
      </c>
      <c r="AH177" s="421">
        <v>1125</v>
      </c>
      <c r="AI177" s="421" t="s">
        <v>1127</v>
      </c>
      <c r="AJ177" s="421">
        <v>45</v>
      </c>
      <c r="AK177" s="421">
        <v>1</v>
      </c>
      <c r="AL177" s="421" t="s">
        <v>1173</v>
      </c>
      <c r="AM177" s="421">
        <v>1125</v>
      </c>
      <c r="AN177" s="421">
        <v>1215</v>
      </c>
      <c r="AO177" s="421" t="s">
        <v>1120</v>
      </c>
      <c r="AP177" s="421" t="s">
        <v>1129</v>
      </c>
      <c r="AR177" s="421" t="s">
        <v>1130</v>
      </c>
      <c r="AT177" s="421" t="s">
        <v>1131</v>
      </c>
      <c r="AU177" s="421" t="s">
        <v>1190</v>
      </c>
      <c r="AV177" s="421" t="s">
        <v>1191</v>
      </c>
      <c r="AW177" s="421" t="s">
        <v>960</v>
      </c>
      <c r="AX177" s="421" t="s">
        <v>960</v>
      </c>
      <c r="AY177" s="421" t="s">
        <v>960</v>
      </c>
      <c r="AZ177" s="421" t="s">
        <v>1121</v>
      </c>
      <c r="BA177" s="421" t="s">
        <v>1520</v>
      </c>
      <c r="BB177" s="421" t="s">
        <v>960</v>
      </c>
      <c r="BC177" s="421" t="s">
        <v>1521</v>
      </c>
      <c r="BD177" s="421" t="s">
        <v>1522</v>
      </c>
      <c r="BE177" s="421" t="s">
        <v>1523</v>
      </c>
      <c r="BI177" s="421" t="s">
        <v>1142</v>
      </c>
      <c r="BJ177" s="421" t="s">
        <v>1143</v>
      </c>
      <c r="BK177" s="421" t="s">
        <v>2463</v>
      </c>
      <c r="BL177" s="421" t="s">
        <v>2464</v>
      </c>
      <c r="BM177" s="421" t="s">
        <v>2358</v>
      </c>
      <c r="BN177" s="421" t="s">
        <v>2129</v>
      </c>
      <c r="BO177" s="421">
        <v>0</v>
      </c>
      <c r="BR177" s="421">
        <v>0</v>
      </c>
      <c r="BS177" s="421">
        <v>0</v>
      </c>
      <c r="BT177" s="421">
        <v>0</v>
      </c>
      <c r="BU177" s="424">
        <v>38718</v>
      </c>
      <c r="BX177" s="421">
        <v>3053.65</v>
      </c>
      <c r="BY177" s="421" t="s">
        <v>1183</v>
      </c>
      <c r="BZ177" s="421">
        <v>13528.25</v>
      </c>
      <c r="CA177" s="421">
        <v>41310540.612499997</v>
      </c>
      <c r="CB177" s="421">
        <v>5.41</v>
      </c>
      <c r="CC177" s="421">
        <v>0</v>
      </c>
      <c r="CD177" s="421">
        <v>538.55999999999995</v>
      </c>
      <c r="CE177" s="421">
        <v>543.97</v>
      </c>
      <c r="CF177" s="421">
        <v>0</v>
      </c>
      <c r="CG177" s="421">
        <v>14072.22</v>
      </c>
      <c r="CH177" s="421">
        <v>0</v>
      </c>
      <c r="CI177" s="421">
        <v>14072.22</v>
      </c>
      <c r="CJ177" s="421">
        <v>42971634.603</v>
      </c>
      <c r="CK177" s="421">
        <v>10</v>
      </c>
      <c r="CL177" s="421">
        <v>42971635</v>
      </c>
      <c r="CM177" s="421">
        <v>4297000</v>
      </c>
      <c r="CN177" s="421">
        <v>4297000</v>
      </c>
      <c r="CO177" s="421">
        <v>0</v>
      </c>
      <c r="CP177" s="421">
        <v>0</v>
      </c>
      <c r="CQ177" s="421">
        <v>16</v>
      </c>
      <c r="CR177" s="421">
        <v>47268635</v>
      </c>
      <c r="CS177" s="421">
        <v>7563000</v>
      </c>
      <c r="CT177" s="421">
        <v>7563000</v>
      </c>
      <c r="CU177" s="421">
        <v>0</v>
      </c>
      <c r="CV177" s="421">
        <v>0</v>
      </c>
      <c r="CW177" s="421">
        <v>0</v>
      </c>
      <c r="CX177" s="421">
        <v>0</v>
      </c>
      <c r="CY177" s="421">
        <v>0</v>
      </c>
      <c r="CZ177" s="421">
        <v>0</v>
      </c>
      <c r="DA177" s="421">
        <v>0</v>
      </c>
      <c r="DB177" s="421">
        <v>0</v>
      </c>
      <c r="DC177" s="421">
        <v>0</v>
      </c>
      <c r="DD177" s="421">
        <v>0</v>
      </c>
      <c r="DE177" s="421">
        <v>0</v>
      </c>
      <c r="DF177" s="421">
        <v>0</v>
      </c>
      <c r="DG177" s="421">
        <v>0</v>
      </c>
      <c r="DH177" s="421">
        <v>0</v>
      </c>
      <c r="DI177" s="421">
        <v>0</v>
      </c>
      <c r="DJ177" s="421">
        <v>0</v>
      </c>
      <c r="DK177" s="421">
        <v>0</v>
      </c>
      <c r="DL177" s="421">
        <v>0</v>
      </c>
      <c r="DM177" s="421">
        <v>0</v>
      </c>
      <c r="DN177" s="421">
        <v>0</v>
      </c>
      <c r="DO177" s="421">
        <v>0</v>
      </c>
      <c r="DP177" s="421">
        <v>0</v>
      </c>
      <c r="DQ177" s="421">
        <v>0</v>
      </c>
      <c r="DR177" s="421">
        <v>0</v>
      </c>
      <c r="DS177" s="421">
        <v>0</v>
      </c>
      <c r="DT177" s="421">
        <v>0</v>
      </c>
      <c r="DU177" s="421">
        <v>0</v>
      </c>
      <c r="DV177" s="421">
        <v>0</v>
      </c>
      <c r="DW177" s="421">
        <v>0</v>
      </c>
      <c r="DX177" s="421">
        <v>0</v>
      </c>
      <c r="DY177" s="421">
        <v>11860000</v>
      </c>
      <c r="DZ177" s="421">
        <v>11860000</v>
      </c>
      <c r="EA177" s="421">
        <v>0</v>
      </c>
      <c r="EB177" s="421">
        <v>0</v>
      </c>
      <c r="EC177" s="421" t="s">
        <v>1148</v>
      </c>
      <c r="ED177" s="421" t="s">
        <v>1167</v>
      </c>
      <c r="EE177" s="421" t="s">
        <v>1167</v>
      </c>
    </row>
    <row r="178" spans="1:135" x14ac:dyDescent="0.25">
      <c r="A178" s="421">
        <v>175</v>
      </c>
      <c r="B178" s="421">
        <v>2015</v>
      </c>
      <c r="C178" s="421">
        <v>8</v>
      </c>
      <c r="D178" s="421">
        <v>28</v>
      </c>
      <c r="E178" s="424">
        <v>42244</v>
      </c>
      <c r="F178" s="421" t="s">
        <v>2465</v>
      </c>
      <c r="G178" s="421" t="s">
        <v>2466</v>
      </c>
      <c r="H178" s="421" t="s">
        <v>1152</v>
      </c>
      <c r="I178" s="421" t="s">
        <v>1107</v>
      </c>
      <c r="J178" s="421" t="s">
        <v>1108</v>
      </c>
      <c r="K178" s="421" t="s">
        <v>1109</v>
      </c>
      <c r="L178" s="421" t="s">
        <v>1110</v>
      </c>
      <c r="O178" s="421" t="s">
        <v>1111</v>
      </c>
      <c r="R178" s="421" t="s">
        <v>1111</v>
      </c>
      <c r="S178" s="421" t="s">
        <v>1112</v>
      </c>
      <c r="T178" s="421" t="s">
        <v>1113</v>
      </c>
      <c r="U178" s="421" t="s">
        <v>1114</v>
      </c>
      <c r="V178" s="421" t="s">
        <v>1115</v>
      </c>
      <c r="W178" s="421" t="s">
        <v>1116</v>
      </c>
      <c r="X178" s="421" t="s">
        <v>1117</v>
      </c>
      <c r="Y178" s="421" t="s">
        <v>1118</v>
      </c>
      <c r="Z178" s="421" t="s">
        <v>1119</v>
      </c>
      <c r="AA178" s="421" t="s">
        <v>1120</v>
      </c>
      <c r="AB178" s="421" t="s">
        <v>1121</v>
      </c>
      <c r="AC178" s="421" t="s">
        <v>1122</v>
      </c>
      <c r="AD178" s="421" t="s">
        <v>1479</v>
      </c>
      <c r="AE178" s="421" t="s">
        <v>1632</v>
      </c>
      <c r="AF178" s="421" t="s">
        <v>1633</v>
      </c>
      <c r="AG178" s="421" t="s">
        <v>2467</v>
      </c>
      <c r="AH178" s="421">
        <v>421.2</v>
      </c>
      <c r="AI178" s="421" t="s">
        <v>1127</v>
      </c>
      <c r="AJ178" s="421">
        <v>350</v>
      </c>
      <c r="AK178" s="421">
        <v>2</v>
      </c>
      <c r="AL178" s="421" t="s">
        <v>1173</v>
      </c>
      <c r="AM178" s="421">
        <v>421.2</v>
      </c>
      <c r="AN178" s="421">
        <v>475.2</v>
      </c>
      <c r="AO178" s="421" t="s">
        <v>1120</v>
      </c>
      <c r="AP178" s="421" t="s">
        <v>1129</v>
      </c>
      <c r="AR178" s="421" t="s">
        <v>1130</v>
      </c>
      <c r="AT178" s="421" t="s">
        <v>1131</v>
      </c>
      <c r="AU178" s="421" t="s">
        <v>1303</v>
      </c>
      <c r="AV178" s="421" t="s">
        <v>1304</v>
      </c>
      <c r="AW178" s="421" t="s">
        <v>960</v>
      </c>
      <c r="AX178" s="421" t="s">
        <v>960</v>
      </c>
      <c r="AY178" s="421" t="s">
        <v>960</v>
      </c>
      <c r="AZ178" s="421" t="s">
        <v>1121</v>
      </c>
      <c r="BA178" s="421" t="s">
        <v>1305</v>
      </c>
      <c r="BB178" s="421" t="s">
        <v>960</v>
      </c>
      <c r="BC178" s="421" t="s">
        <v>1175</v>
      </c>
      <c r="BD178" s="421" t="s">
        <v>1306</v>
      </c>
      <c r="BE178" s="421" t="s">
        <v>2162</v>
      </c>
      <c r="BF178" s="421" t="s">
        <v>2329</v>
      </c>
      <c r="BG178" s="421" t="s">
        <v>2322</v>
      </c>
      <c r="BH178" s="421" t="s">
        <v>2468</v>
      </c>
      <c r="BI178" s="421" t="s">
        <v>1142</v>
      </c>
      <c r="BJ178" s="421" t="s">
        <v>1243</v>
      </c>
      <c r="BK178" s="421" t="s">
        <v>2466</v>
      </c>
      <c r="BL178" s="421" t="s">
        <v>2469</v>
      </c>
      <c r="BM178" s="421" t="s">
        <v>2470</v>
      </c>
      <c r="BN178" s="421" t="s">
        <v>2471</v>
      </c>
      <c r="BO178" s="421">
        <v>0</v>
      </c>
      <c r="BR178" s="421">
        <v>0</v>
      </c>
      <c r="BS178" s="421">
        <v>0</v>
      </c>
      <c r="BT178" s="421">
        <v>0</v>
      </c>
      <c r="BU178" s="424">
        <v>42195</v>
      </c>
      <c r="BX178" s="421">
        <v>3053.65</v>
      </c>
      <c r="BY178" s="421" t="s">
        <v>1183</v>
      </c>
      <c r="BZ178" s="421">
        <v>1166.4000000000001</v>
      </c>
      <c r="CA178" s="421">
        <v>3561777.36</v>
      </c>
      <c r="CB178" s="421">
        <v>0.47</v>
      </c>
      <c r="CC178" s="421">
        <v>0</v>
      </c>
      <c r="CD178" s="421">
        <v>127.15</v>
      </c>
      <c r="CE178" s="421">
        <v>127.62</v>
      </c>
      <c r="CF178" s="421">
        <v>0</v>
      </c>
      <c r="CG178" s="421">
        <v>1294.02</v>
      </c>
      <c r="CH178" s="421">
        <v>0</v>
      </c>
      <c r="CI178" s="421">
        <v>1294.02</v>
      </c>
      <c r="CJ178" s="421">
        <v>3951484.173</v>
      </c>
      <c r="CK178" s="421">
        <v>15</v>
      </c>
      <c r="CL178" s="421">
        <v>3951484</v>
      </c>
      <c r="CM178" s="421">
        <v>593000</v>
      </c>
      <c r="CN178" s="421">
        <v>593000</v>
      </c>
      <c r="CO178" s="421">
        <v>0</v>
      </c>
      <c r="CP178" s="421">
        <v>0</v>
      </c>
      <c r="CQ178" s="421">
        <v>16</v>
      </c>
      <c r="CR178" s="421">
        <v>4544484</v>
      </c>
      <c r="CS178" s="421">
        <v>727000</v>
      </c>
      <c r="CT178" s="421">
        <v>727000</v>
      </c>
      <c r="CU178" s="421">
        <v>0</v>
      </c>
      <c r="CV178" s="421">
        <v>0</v>
      </c>
      <c r="CW178" s="421">
        <v>0</v>
      </c>
      <c r="CX178" s="421">
        <v>0</v>
      </c>
      <c r="CY178" s="421">
        <v>0</v>
      </c>
      <c r="CZ178" s="421">
        <v>0</v>
      </c>
      <c r="DA178" s="421">
        <v>0</v>
      </c>
      <c r="DB178" s="421">
        <v>0</v>
      </c>
      <c r="DC178" s="421">
        <v>0</v>
      </c>
      <c r="DD178" s="421">
        <v>0</v>
      </c>
      <c r="DE178" s="421">
        <v>0</v>
      </c>
      <c r="DF178" s="421">
        <v>0</v>
      </c>
      <c r="DG178" s="421">
        <v>0</v>
      </c>
      <c r="DH178" s="421">
        <v>0</v>
      </c>
      <c r="DI178" s="421">
        <v>0</v>
      </c>
      <c r="DJ178" s="421">
        <v>0</v>
      </c>
      <c r="DK178" s="421">
        <v>0</v>
      </c>
      <c r="DL178" s="421">
        <v>0</v>
      </c>
      <c r="DM178" s="421">
        <v>0</v>
      </c>
      <c r="DN178" s="421">
        <v>0</v>
      </c>
      <c r="DO178" s="421">
        <v>0</v>
      </c>
      <c r="DP178" s="421">
        <v>0</v>
      </c>
      <c r="DQ178" s="421">
        <v>0</v>
      </c>
      <c r="DR178" s="421">
        <v>0</v>
      </c>
      <c r="DS178" s="421">
        <v>0</v>
      </c>
      <c r="DT178" s="421">
        <v>0</v>
      </c>
      <c r="DU178" s="421">
        <v>0</v>
      </c>
      <c r="DV178" s="421">
        <v>0</v>
      </c>
      <c r="DW178" s="421">
        <v>0</v>
      </c>
      <c r="DX178" s="421">
        <v>0</v>
      </c>
      <c r="DY178" s="421">
        <v>1320000</v>
      </c>
      <c r="DZ178" s="421">
        <v>1320000</v>
      </c>
      <c r="EA178" s="421">
        <v>0</v>
      </c>
      <c r="EB178" s="421">
        <v>0</v>
      </c>
      <c r="EC178" s="421" t="s">
        <v>1148</v>
      </c>
      <c r="ED178" s="421" t="s">
        <v>1167</v>
      </c>
      <c r="EE178" s="421" t="s">
        <v>1167</v>
      </c>
    </row>
    <row r="179" spans="1:135" x14ac:dyDescent="0.25">
      <c r="A179" s="421">
        <v>176</v>
      </c>
      <c r="B179" s="421">
        <v>2015</v>
      </c>
      <c r="C179" s="421">
        <v>8</v>
      </c>
      <c r="D179" s="421">
        <v>28</v>
      </c>
      <c r="E179" s="424">
        <v>42244</v>
      </c>
      <c r="F179" s="421" t="s">
        <v>2472</v>
      </c>
      <c r="G179" s="421" t="s">
        <v>2473</v>
      </c>
      <c r="H179" s="421" t="s">
        <v>1152</v>
      </c>
      <c r="I179" s="421" t="s">
        <v>1107</v>
      </c>
      <c r="J179" s="421" t="s">
        <v>1108</v>
      </c>
      <c r="K179" s="421" t="s">
        <v>1109</v>
      </c>
      <c r="L179" s="421" t="s">
        <v>1110</v>
      </c>
      <c r="O179" s="421" t="s">
        <v>1111</v>
      </c>
      <c r="R179" s="421" t="s">
        <v>1111</v>
      </c>
      <c r="S179" s="421" t="s">
        <v>1112</v>
      </c>
      <c r="T179" s="421" t="s">
        <v>1113</v>
      </c>
      <c r="U179" s="421" t="s">
        <v>1114</v>
      </c>
      <c r="V179" s="421" t="s">
        <v>1115</v>
      </c>
      <c r="W179" s="421" t="s">
        <v>1116</v>
      </c>
      <c r="X179" s="421" t="s">
        <v>1117</v>
      </c>
      <c r="Y179" s="421" t="s">
        <v>1118</v>
      </c>
      <c r="Z179" s="421" t="s">
        <v>1119</v>
      </c>
      <c r="AA179" s="421" t="s">
        <v>1120</v>
      </c>
      <c r="AB179" s="421" t="s">
        <v>1121</v>
      </c>
      <c r="AC179" s="421" t="s">
        <v>1122</v>
      </c>
      <c r="AD179" s="421" t="s">
        <v>1479</v>
      </c>
      <c r="AE179" s="421" t="s">
        <v>1471</v>
      </c>
      <c r="AF179" s="421" t="s">
        <v>1472</v>
      </c>
      <c r="AG179" s="421" t="s">
        <v>2474</v>
      </c>
      <c r="AH179" s="421">
        <v>179472</v>
      </c>
      <c r="AI179" s="421" t="s">
        <v>1189</v>
      </c>
      <c r="AJ179" s="421">
        <v>918</v>
      </c>
      <c r="AK179" s="421">
        <v>1</v>
      </c>
      <c r="AL179" s="421" t="s">
        <v>1173</v>
      </c>
      <c r="AM179" s="421">
        <v>8217.86</v>
      </c>
      <c r="AN179" s="421">
        <v>8654.43</v>
      </c>
      <c r="AO179" s="421" t="s">
        <v>1120</v>
      </c>
      <c r="AP179" s="421" t="s">
        <v>2475</v>
      </c>
      <c r="AQ179" s="421" t="s">
        <v>1475</v>
      </c>
      <c r="AR179" s="421" t="s">
        <v>1476</v>
      </c>
      <c r="AT179" s="421" t="s">
        <v>1131</v>
      </c>
      <c r="AU179" s="421" t="s">
        <v>1303</v>
      </c>
      <c r="AV179" s="421" t="s">
        <v>1304</v>
      </c>
      <c r="AW179" s="421" t="s">
        <v>960</v>
      </c>
      <c r="AX179" s="421" t="s">
        <v>960</v>
      </c>
      <c r="AY179" s="421" t="s">
        <v>960</v>
      </c>
      <c r="AZ179" s="421" t="s">
        <v>1121</v>
      </c>
      <c r="BA179" s="421" t="s">
        <v>1305</v>
      </c>
      <c r="BB179" s="421" t="s">
        <v>960</v>
      </c>
      <c r="BC179" s="421" t="s">
        <v>1175</v>
      </c>
      <c r="BD179" s="421" t="s">
        <v>1306</v>
      </c>
      <c r="BE179" s="421" t="s">
        <v>2162</v>
      </c>
      <c r="BF179" s="421" t="s">
        <v>2367</v>
      </c>
      <c r="BG179" s="421" t="s">
        <v>2263</v>
      </c>
      <c r="BH179" s="421" t="s">
        <v>2368</v>
      </c>
      <c r="BI179" s="421" t="s">
        <v>1142</v>
      </c>
      <c r="BJ179" s="421" t="s">
        <v>1243</v>
      </c>
      <c r="BK179" s="421" t="s">
        <v>2473</v>
      </c>
      <c r="BL179" s="421" t="s">
        <v>2476</v>
      </c>
      <c r="BM179" s="421" t="s">
        <v>2370</v>
      </c>
      <c r="BN179" s="421" t="s">
        <v>2100</v>
      </c>
      <c r="BO179" s="421">
        <v>0</v>
      </c>
      <c r="BR179" s="421">
        <v>0</v>
      </c>
      <c r="BS179" s="421">
        <v>0</v>
      </c>
      <c r="BT179" s="421">
        <v>0</v>
      </c>
      <c r="BU179" s="424">
        <v>42179</v>
      </c>
      <c r="BX179" s="421">
        <v>3053.65</v>
      </c>
      <c r="BY179" s="421" t="s">
        <v>1183</v>
      </c>
      <c r="BZ179" s="421">
        <v>58180.47</v>
      </c>
      <c r="CA179" s="421">
        <v>177662792.2155</v>
      </c>
      <c r="CB179" s="421">
        <v>23.27</v>
      </c>
      <c r="CC179" s="421">
        <v>0</v>
      </c>
      <c r="CD179" s="421">
        <v>3077.4</v>
      </c>
      <c r="CE179" s="421">
        <v>3100.67</v>
      </c>
      <c r="CF179" s="421">
        <v>0</v>
      </c>
      <c r="CG179" s="421">
        <v>61281.14</v>
      </c>
      <c r="CH179" s="421">
        <v>0</v>
      </c>
      <c r="CI179" s="421">
        <v>61281.14</v>
      </c>
      <c r="CJ179" s="421">
        <v>187131153.16100001</v>
      </c>
      <c r="CK179" s="421">
        <v>15</v>
      </c>
      <c r="CL179" s="421">
        <v>187131153</v>
      </c>
      <c r="CM179" s="421">
        <v>28070000</v>
      </c>
      <c r="CN179" s="421">
        <v>28070000</v>
      </c>
      <c r="CO179" s="421">
        <v>0</v>
      </c>
      <c r="CP179" s="421">
        <v>0</v>
      </c>
      <c r="CQ179" s="421">
        <v>16</v>
      </c>
      <c r="CR179" s="421">
        <v>215201153</v>
      </c>
      <c r="CS179" s="421">
        <v>34432000</v>
      </c>
      <c r="CT179" s="421">
        <v>34432000</v>
      </c>
      <c r="CU179" s="421">
        <v>0</v>
      </c>
      <c r="CV179" s="421">
        <v>0</v>
      </c>
      <c r="CW179" s="421">
        <v>0</v>
      </c>
      <c r="CX179" s="421">
        <v>0</v>
      </c>
      <c r="CY179" s="421">
        <v>0</v>
      </c>
      <c r="CZ179" s="421">
        <v>0</v>
      </c>
      <c r="DA179" s="421">
        <v>0</v>
      </c>
      <c r="DB179" s="421">
        <v>0</v>
      </c>
      <c r="DC179" s="421">
        <v>0</v>
      </c>
      <c r="DD179" s="421">
        <v>0</v>
      </c>
      <c r="DE179" s="421">
        <v>0</v>
      </c>
      <c r="DF179" s="421">
        <v>0</v>
      </c>
      <c r="DG179" s="421">
        <v>0</v>
      </c>
      <c r="DH179" s="421">
        <v>0</v>
      </c>
      <c r="DI179" s="421">
        <v>0</v>
      </c>
      <c r="DJ179" s="421">
        <v>0</v>
      </c>
      <c r="DK179" s="421">
        <v>0</v>
      </c>
      <c r="DL179" s="421">
        <v>0</v>
      </c>
      <c r="DM179" s="421">
        <v>0</v>
      </c>
      <c r="DN179" s="421">
        <v>0</v>
      </c>
      <c r="DO179" s="421">
        <v>0</v>
      </c>
      <c r="DP179" s="421">
        <v>0</v>
      </c>
      <c r="DQ179" s="421">
        <v>0</v>
      </c>
      <c r="DR179" s="421">
        <v>0</v>
      </c>
      <c r="DS179" s="421">
        <v>0</v>
      </c>
      <c r="DT179" s="421">
        <v>0</v>
      </c>
      <c r="DU179" s="421">
        <v>0</v>
      </c>
      <c r="DV179" s="421">
        <v>0</v>
      </c>
      <c r="DW179" s="421">
        <v>0</v>
      </c>
      <c r="DX179" s="421">
        <v>0</v>
      </c>
      <c r="DY179" s="421">
        <v>62502000</v>
      </c>
      <c r="DZ179" s="421">
        <v>62502000</v>
      </c>
      <c r="EA179" s="421">
        <v>0</v>
      </c>
      <c r="EB179" s="421">
        <v>0</v>
      </c>
      <c r="EC179" s="421" t="s">
        <v>1148</v>
      </c>
      <c r="ED179" s="421" t="s">
        <v>1167</v>
      </c>
      <c r="EE179" s="421" t="s">
        <v>1167</v>
      </c>
    </row>
    <row r="180" spans="1:135" x14ac:dyDescent="0.25">
      <c r="A180" s="421">
        <v>177</v>
      </c>
      <c r="B180" s="421">
        <v>2015</v>
      </c>
      <c r="C180" s="421">
        <v>8</v>
      </c>
      <c r="D180" s="421">
        <v>28</v>
      </c>
      <c r="E180" s="424">
        <v>42244</v>
      </c>
      <c r="F180" s="421" t="s">
        <v>2477</v>
      </c>
      <c r="G180" s="421" t="s">
        <v>2478</v>
      </c>
      <c r="H180" s="421" t="s">
        <v>1152</v>
      </c>
      <c r="I180" s="421" t="s">
        <v>1107</v>
      </c>
      <c r="J180" s="421" t="s">
        <v>1108</v>
      </c>
      <c r="K180" s="421" t="s">
        <v>1109</v>
      </c>
      <c r="L180" s="421" t="s">
        <v>1110</v>
      </c>
      <c r="O180" s="421" t="s">
        <v>1111</v>
      </c>
      <c r="R180" s="421" t="s">
        <v>1111</v>
      </c>
      <c r="S180" s="421" t="s">
        <v>1112</v>
      </c>
      <c r="T180" s="421" t="s">
        <v>1113</v>
      </c>
      <c r="U180" s="421" t="s">
        <v>1114</v>
      </c>
      <c r="V180" s="421" t="s">
        <v>1115</v>
      </c>
      <c r="W180" s="421" t="s">
        <v>1116</v>
      </c>
      <c r="X180" s="421" t="s">
        <v>1117</v>
      </c>
      <c r="Y180" s="421" t="s">
        <v>1118</v>
      </c>
      <c r="Z180" s="421" t="s">
        <v>1119</v>
      </c>
      <c r="AA180" s="421" t="s">
        <v>1120</v>
      </c>
      <c r="AB180" s="421" t="s">
        <v>1121</v>
      </c>
      <c r="AC180" s="421" t="s">
        <v>1122</v>
      </c>
      <c r="AD180" s="421" t="s">
        <v>1479</v>
      </c>
      <c r="AE180" s="421" t="s">
        <v>1300</v>
      </c>
      <c r="AF180" s="421" t="s">
        <v>1301</v>
      </c>
      <c r="AG180" s="421" t="s">
        <v>2479</v>
      </c>
      <c r="AH180" s="421">
        <v>1207.8</v>
      </c>
      <c r="AI180" s="421" t="s">
        <v>1127</v>
      </c>
      <c r="AJ180" s="421">
        <v>350</v>
      </c>
      <c r="AK180" s="421">
        <v>2</v>
      </c>
      <c r="AL180" s="421" t="s">
        <v>1173</v>
      </c>
      <c r="AM180" s="421">
        <v>1207.8</v>
      </c>
      <c r="AN180" s="421">
        <v>1337</v>
      </c>
      <c r="AO180" s="421" t="s">
        <v>1120</v>
      </c>
      <c r="AP180" s="421" t="s">
        <v>1129</v>
      </c>
      <c r="AR180" s="421" t="s">
        <v>1130</v>
      </c>
      <c r="AT180" s="421" t="s">
        <v>1131</v>
      </c>
      <c r="AU180" s="421" t="s">
        <v>1303</v>
      </c>
      <c r="AV180" s="421" t="s">
        <v>1304</v>
      </c>
      <c r="AW180" s="421" t="s">
        <v>960</v>
      </c>
      <c r="AX180" s="421" t="s">
        <v>960</v>
      </c>
      <c r="AY180" s="421" t="s">
        <v>960</v>
      </c>
      <c r="AZ180" s="421" t="s">
        <v>1121</v>
      </c>
      <c r="BA180" s="421" t="s">
        <v>1305</v>
      </c>
      <c r="BB180" s="421" t="s">
        <v>960</v>
      </c>
      <c r="BC180" s="421" t="s">
        <v>1175</v>
      </c>
      <c r="BD180" s="421" t="s">
        <v>1306</v>
      </c>
      <c r="BE180" s="421" t="s">
        <v>2162</v>
      </c>
      <c r="BF180" s="421" t="s">
        <v>2329</v>
      </c>
      <c r="BG180" s="421" t="s">
        <v>2322</v>
      </c>
      <c r="BH180" s="421" t="s">
        <v>2468</v>
      </c>
      <c r="BI180" s="421" t="s">
        <v>1142</v>
      </c>
      <c r="BJ180" s="421" t="s">
        <v>1243</v>
      </c>
      <c r="BK180" s="421" t="s">
        <v>2478</v>
      </c>
      <c r="BL180" s="421" t="s">
        <v>2469</v>
      </c>
      <c r="BM180" s="421" t="s">
        <v>2470</v>
      </c>
      <c r="BN180" s="421" t="s">
        <v>2471</v>
      </c>
      <c r="BO180" s="421">
        <v>0</v>
      </c>
      <c r="BR180" s="421">
        <v>0</v>
      </c>
      <c r="BS180" s="421">
        <v>0</v>
      </c>
      <c r="BT180" s="421">
        <v>0</v>
      </c>
      <c r="BU180" s="424">
        <v>42195</v>
      </c>
      <c r="BX180" s="421">
        <v>3053.65</v>
      </c>
      <c r="BY180" s="421" t="s">
        <v>1183</v>
      </c>
      <c r="BZ180" s="421">
        <v>18688.32</v>
      </c>
      <c r="CA180" s="421">
        <v>57067588.368000001</v>
      </c>
      <c r="CB180" s="421">
        <v>7.47</v>
      </c>
      <c r="CC180" s="421">
        <v>0</v>
      </c>
      <c r="CD180" s="421">
        <v>357.76</v>
      </c>
      <c r="CE180" s="421">
        <v>365.23</v>
      </c>
      <c r="CF180" s="421">
        <v>0</v>
      </c>
      <c r="CG180" s="421">
        <v>19053.55</v>
      </c>
      <c r="CH180" s="421">
        <v>0</v>
      </c>
      <c r="CI180" s="421">
        <v>19053.55</v>
      </c>
      <c r="CJ180" s="421">
        <v>58182872.957500003</v>
      </c>
      <c r="CK180" s="421">
        <v>15</v>
      </c>
      <c r="CL180" s="421">
        <v>58182873</v>
      </c>
      <c r="CM180" s="421">
        <v>8727000</v>
      </c>
      <c r="CN180" s="421">
        <v>8727000</v>
      </c>
      <c r="CO180" s="421">
        <v>0</v>
      </c>
      <c r="CP180" s="421">
        <v>0</v>
      </c>
      <c r="CQ180" s="421">
        <v>16</v>
      </c>
      <c r="CR180" s="421">
        <v>66909873</v>
      </c>
      <c r="CS180" s="421">
        <v>10706000</v>
      </c>
      <c r="CT180" s="421">
        <v>10706000</v>
      </c>
      <c r="CU180" s="421">
        <v>0</v>
      </c>
      <c r="CV180" s="421">
        <v>0</v>
      </c>
      <c r="CW180" s="421">
        <v>0</v>
      </c>
      <c r="CX180" s="421">
        <v>0</v>
      </c>
      <c r="CY180" s="421">
        <v>0</v>
      </c>
      <c r="CZ180" s="421">
        <v>0</v>
      </c>
      <c r="DA180" s="421">
        <v>0</v>
      </c>
      <c r="DB180" s="421">
        <v>0</v>
      </c>
      <c r="DC180" s="421">
        <v>0</v>
      </c>
      <c r="DD180" s="421">
        <v>0</v>
      </c>
      <c r="DE180" s="421">
        <v>0</v>
      </c>
      <c r="DF180" s="421">
        <v>0</v>
      </c>
      <c r="DG180" s="421">
        <v>0</v>
      </c>
      <c r="DH180" s="421">
        <v>0</v>
      </c>
      <c r="DI180" s="421">
        <v>0</v>
      </c>
      <c r="DJ180" s="421">
        <v>0</v>
      </c>
      <c r="DK180" s="421">
        <v>0</v>
      </c>
      <c r="DL180" s="421">
        <v>0</v>
      </c>
      <c r="DM180" s="421">
        <v>0</v>
      </c>
      <c r="DN180" s="421">
        <v>0</v>
      </c>
      <c r="DO180" s="421">
        <v>0</v>
      </c>
      <c r="DP180" s="421">
        <v>0</v>
      </c>
      <c r="DQ180" s="421">
        <v>0</v>
      </c>
      <c r="DR180" s="421">
        <v>0</v>
      </c>
      <c r="DS180" s="421">
        <v>0</v>
      </c>
      <c r="DT180" s="421">
        <v>0</v>
      </c>
      <c r="DU180" s="421">
        <v>0</v>
      </c>
      <c r="DV180" s="421">
        <v>0</v>
      </c>
      <c r="DW180" s="421">
        <v>0</v>
      </c>
      <c r="DX180" s="421">
        <v>0</v>
      </c>
      <c r="DY180" s="421">
        <v>19433000</v>
      </c>
      <c r="DZ180" s="421">
        <v>19433000</v>
      </c>
      <c r="EA180" s="421">
        <v>0</v>
      </c>
      <c r="EB180" s="421">
        <v>0</v>
      </c>
      <c r="EC180" s="421" t="s">
        <v>1148</v>
      </c>
      <c r="ED180" s="421" t="s">
        <v>1167</v>
      </c>
      <c r="EE180" s="421" t="s">
        <v>1167</v>
      </c>
    </row>
    <row r="181" spans="1:135" x14ac:dyDescent="0.25">
      <c r="A181" s="421">
        <v>178</v>
      </c>
      <c r="B181" s="421">
        <v>2015</v>
      </c>
      <c r="C181" s="421">
        <v>8</v>
      </c>
      <c r="D181" s="421">
        <v>31</v>
      </c>
      <c r="E181" s="424">
        <v>42247</v>
      </c>
      <c r="F181" s="421" t="s">
        <v>2480</v>
      </c>
      <c r="G181" s="421" t="s">
        <v>2481</v>
      </c>
      <c r="H181" s="421" t="s">
        <v>1106</v>
      </c>
      <c r="I181" s="421" t="s">
        <v>1107</v>
      </c>
      <c r="J181" s="421" t="s">
        <v>1920</v>
      </c>
      <c r="K181" s="421" t="s">
        <v>1109</v>
      </c>
      <c r="L181" s="421" t="s">
        <v>1110</v>
      </c>
      <c r="O181" s="421" t="s">
        <v>1111</v>
      </c>
      <c r="R181" s="421" t="s">
        <v>1111</v>
      </c>
      <c r="S181" s="421" t="s">
        <v>1921</v>
      </c>
      <c r="T181" s="421" t="s">
        <v>1922</v>
      </c>
      <c r="U181" s="421" t="s">
        <v>1923</v>
      </c>
      <c r="V181" s="421" t="s">
        <v>1115</v>
      </c>
      <c r="W181" s="421" t="s">
        <v>1116</v>
      </c>
      <c r="X181" s="421" t="s">
        <v>1117</v>
      </c>
      <c r="Y181" s="421" t="s">
        <v>1118</v>
      </c>
      <c r="Z181" s="421" t="s">
        <v>1119</v>
      </c>
      <c r="AA181" s="421" t="s">
        <v>1120</v>
      </c>
      <c r="AB181" s="421" t="s">
        <v>1121</v>
      </c>
      <c r="AC181" s="421" t="s">
        <v>1122</v>
      </c>
      <c r="AE181" s="421" t="s">
        <v>2482</v>
      </c>
      <c r="AF181" s="421" t="s">
        <v>2483</v>
      </c>
      <c r="AG181" s="421" t="s">
        <v>2484</v>
      </c>
      <c r="AH181" s="421">
        <v>3</v>
      </c>
      <c r="AI181" s="421" t="s">
        <v>1189</v>
      </c>
      <c r="AJ181" s="421">
        <v>3</v>
      </c>
      <c r="AK181" s="421">
        <v>1</v>
      </c>
      <c r="AL181" s="421" t="s">
        <v>1928</v>
      </c>
      <c r="AM181" s="421">
        <v>27.74</v>
      </c>
      <c r="AN181" s="421">
        <v>30.82</v>
      </c>
      <c r="AO181" s="421" t="s">
        <v>1120</v>
      </c>
      <c r="AP181" s="421" t="s">
        <v>1129</v>
      </c>
      <c r="AR181" s="421" t="s">
        <v>1130</v>
      </c>
      <c r="AT181" s="421" t="s">
        <v>1929</v>
      </c>
      <c r="AU181" s="421" t="s">
        <v>1190</v>
      </c>
      <c r="AV181" s="421" t="s">
        <v>1191</v>
      </c>
      <c r="AW181" s="421" t="s">
        <v>962</v>
      </c>
      <c r="AX181" s="421" t="s">
        <v>962</v>
      </c>
      <c r="AY181" s="421" t="s">
        <v>962</v>
      </c>
      <c r="AZ181" s="421" t="s">
        <v>1121</v>
      </c>
      <c r="BA181" s="421" t="s">
        <v>2485</v>
      </c>
      <c r="BB181" s="421" t="s">
        <v>962</v>
      </c>
      <c r="BC181" s="421" t="s">
        <v>2486</v>
      </c>
      <c r="BD181" s="421" t="s">
        <v>2487</v>
      </c>
      <c r="BE181" s="421" t="s">
        <v>2488</v>
      </c>
      <c r="BF181" s="421" t="s">
        <v>2489</v>
      </c>
      <c r="BG181" s="421" t="s">
        <v>2476</v>
      </c>
      <c r="BH181" s="421" t="s">
        <v>2490</v>
      </c>
      <c r="BI181" s="421" t="s">
        <v>1341</v>
      </c>
      <c r="BJ181" s="421" t="s">
        <v>1940</v>
      </c>
      <c r="BK181" s="421" t="s">
        <v>2481</v>
      </c>
      <c r="BL181" s="421" t="s">
        <v>2491</v>
      </c>
      <c r="BM181" s="421" t="s">
        <v>2492</v>
      </c>
      <c r="BN181" s="421" t="s">
        <v>2469</v>
      </c>
      <c r="BO181" s="421">
        <v>0</v>
      </c>
      <c r="BR181" s="421">
        <v>0</v>
      </c>
      <c r="BS181" s="421">
        <v>0</v>
      </c>
      <c r="BT181" s="421">
        <v>0</v>
      </c>
      <c r="BU181" s="424">
        <v>42243</v>
      </c>
      <c r="BX181" s="421">
        <v>3195.47</v>
      </c>
      <c r="BY181" s="421" t="s">
        <v>1166</v>
      </c>
      <c r="BZ181" s="421">
        <v>3589.72</v>
      </c>
      <c r="CA181" s="421">
        <v>11470842.568399999</v>
      </c>
      <c r="CB181" s="421">
        <v>35.9</v>
      </c>
      <c r="CC181" s="421">
        <v>0</v>
      </c>
      <c r="CD181" s="421">
        <v>230.97</v>
      </c>
      <c r="CE181" s="421">
        <v>266.87</v>
      </c>
      <c r="CF181" s="421">
        <v>0</v>
      </c>
      <c r="CG181" s="421">
        <v>3856.59</v>
      </c>
      <c r="CH181" s="421">
        <v>1972000</v>
      </c>
      <c r="CI181" s="421">
        <v>3856.59</v>
      </c>
      <c r="CJ181" s="421">
        <v>12323617.647299999</v>
      </c>
      <c r="CK181" s="421">
        <v>0</v>
      </c>
      <c r="CL181" s="421">
        <v>12323618</v>
      </c>
      <c r="CM181" s="421">
        <v>0</v>
      </c>
      <c r="CN181" s="421">
        <v>0</v>
      </c>
      <c r="CO181" s="421">
        <v>0</v>
      </c>
      <c r="CP181" s="421">
        <v>0</v>
      </c>
      <c r="CQ181" s="421">
        <v>16</v>
      </c>
      <c r="CR181" s="421">
        <v>12323618</v>
      </c>
      <c r="CS181" s="421">
        <v>1972000</v>
      </c>
      <c r="CT181" s="421">
        <v>1972000</v>
      </c>
      <c r="CU181" s="421">
        <v>1972000</v>
      </c>
      <c r="CV181" s="421">
        <v>0</v>
      </c>
      <c r="CW181" s="421">
        <v>0</v>
      </c>
      <c r="CX181" s="421">
        <v>0</v>
      </c>
      <c r="CY181" s="421">
        <v>0</v>
      </c>
      <c r="CZ181" s="421">
        <v>0</v>
      </c>
      <c r="DA181" s="421">
        <v>0</v>
      </c>
      <c r="DB181" s="421">
        <v>0</v>
      </c>
      <c r="DC181" s="421">
        <v>0</v>
      </c>
      <c r="DD181" s="421">
        <v>0</v>
      </c>
      <c r="DE181" s="421">
        <v>0</v>
      </c>
      <c r="DF181" s="421">
        <v>0</v>
      </c>
      <c r="DG181" s="421">
        <v>0</v>
      </c>
      <c r="DH181" s="421">
        <v>0</v>
      </c>
      <c r="DI181" s="421">
        <v>0</v>
      </c>
      <c r="DJ181" s="421">
        <v>0</v>
      </c>
      <c r="DK181" s="421">
        <v>0</v>
      </c>
      <c r="DL181" s="421">
        <v>0</v>
      </c>
      <c r="DM181" s="421">
        <v>0</v>
      </c>
      <c r="DN181" s="421">
        <v>0</v>
      </c>
      <c r="DO181" s="421">
        <v>0</v>
      </c>
      <c r="DP181" s="421">
        <v>0</v>
      </c>
      <c r="DQ181" s="421">
        <v>0</v>
      </c>
      <c r="DR181" s="421">
        <v>0</v>
      </c>
      <c r="DS181" s="421">
        <v>0</v>
      </c>
      <c r="DT181" s="421">
        <v>0</v>
      </c>
      <c r="DU181" s="421">
        <v>0</v>
      </c>
      <c r="DV181" s="421">
        <v>0</v>
      </c>
      <c r="DW181" s="421">
        <v>0</v>
      </c>
      <c r="DX181" s="421">
        <v>0</v>
      </c>
      <c r="DY181" s="421">
        <v>1972000</v>
      </c>
      <c r="DZ181" s="421">
        <v>1972000</v>
      </c>
      <c r="EA181" s="421">
        <v>0</v>
      </c>
      <c r="EB181" s="421">
        <v>1972000</v>
      </c>
      <c r="EC181" s="421" t="s">
        <v>1148</v>
      </c>
      <c r="ED181" s="421" t="s">
        <v>1149</v>
      </c>
      <c r="EE181" s="421" t="s">
        <v>1149</v>
      </c>
    </row>
    <row r="182" spans="1:135" x14ac:dyDescent="0.25">
      <c r="A182" s="421">
        <v>179</v>
      </c>
      <c r="B182" s="421">
        <v>2015</v>
      </c>
      <c r="C182" s="421">
        <v>9</v>
      </c>
      <c r="D182" s="421">
        <v>1</v>
      </c>
      <c r="E182" s="424">
        <v>42248</v>
      </c>
      <c r="F182" s="421" t="s">
        <v>2493</v>
      </c>
      <c r="G182" s="421" t="s">
        <v>2494</v>
      </c>
      <c r="H182" s="421" t="s">
        <v>1106</v>
      </c>
      <c r="I182" s="421" t="s">
        <v>1107</v>
      </c>
      <c r="J182" s="421" t="s">
        <v>1108</v>
      </c>
      <c r="K182" s="421" t="s">
        <v>1109</v>
      </c>
      <c r="L182" s="421" t="s">
        <v>1110</v>
      </c>
      <c r="O182" s="421" t="s">
        <v>1111</v>
      </c>
      <c r="R182" s="421" t="s">
        <v>1111</v>
      </c>
      <c r="S182" s="421" t="s">
        <v>1112</v>
      </c>
      <c r="T182" s="421" t="s">
        <v>1113</v>
      </c>
      <c r="U182" s="421" t="s">
        <v>1114</v>
      </c>
      <c r="V182" s="421" t="s">
        <v>1115</v>
      </c>
      <c r="W182" s="421" t="s">
        <v>1116</v>
      </c>
      <c r="X182" s="421" t="s">
        <v>1117</v>
      </c>
      <c r="Y182" s="421" t="s">
        <v>1118</v>
      </c>
      <c r="Z182" s="421" t="s">
        <v>1119</v>
      </c>
      <c r="AA182" s="421" t="s">
        <v>1120</v>
      </c>
      <c r="AB182" s="421" t="s">
        <v>1121</v>
      </c>
      <c r="AC182" s="421" t="s">
        <v>1122</v>
      </c>
      <c r="AD182" s="421" t="s">
        <v>1479</v>
      </c>
      <c r="AE182" s="421" t="s">
        <v>1471</v>
      </c>
      <c r="AF182" s="421" t="s">
        <v>1472</v>
      </c>
      <c r="AG182" s="421" t="s">
        <v>2495</v>
      </c>
      <c r="AH182" s="421">
        <v>46368</v>
      </c>
      <c r="AI182" s="421" t="s">
        <v>1189</v>
      </c>
      <c r="AJ182" s="421">
        <v>197</v>
      </c>
      <c r="AK182" s="421">
        <v>1</v>
      </c>
      <c r="AL182" s="421" t="s">
        <v>1173</v>
      </c>
      <c r="AM182" s="421">
        <v>1511.92</v>
      </c>
      <c r="AN182" s="421">
        <v>1734.87</v>
      </c>
      <c r="AO182" s="421" t="s">
        <v>1120</v>
      </c>
      <c r="AP182" s="421" t="s">
        <v>2496</v>
      </c>
      <c r="AQ182" s="421" t="s">
        <v>1475</v>
      </c>
      <c r="AR182" s="421" t="s">
        <v>1476</v>
      </c>
      <c r="AT182" s="421" t="s">
        <v>1131</v>
      </c>
      <c r="AU182" s="421" t="s">
        <v>1303</v>
      </c>
      <c r="AV182" s="421" t="s">
        <v>1304</v>
      </c>
      <c r="AW182" s="421" t="s">
        <v>960</v>
      </c>
      <c r="AX182" s="421" t="s">
        <v>960</v>
      </c>
      <c r="AY182" s="421" t="s">
        <v>960</v>
      </c>
      <c r="AZ182" s="421" t="s">
        <v>1121</v>
      </c>
      <c r="BA182" s="421" t="s">
        <v>1305</v>
      </c>
      <c r="BB182" s="421" t="s">
        <v>960</v>
      </c>
      <c r="BC182" s="421" t="s">
        <v>1175</v>
      </c>
      <c r="BD182" s="421" t="s">
        <v>1306</v>
      </c>
      <c r="BE182" s="421" t="s">
        <v>2162</v>
      </c>
      <c r="BF182" s="421" t="s">
        <v>2367</v>
      </c>
      <c r="BG182" s="421" t="s">
        <v>2263</v>
      </c>
      <c r="BH182" s="421" t="s">
        <v>2368</v>
      </c>
      <c r="BI182" s="421" t="s">
        <v>1142</v>
      </c>
      <c r="BJ182" s="421" t="s">
        <v>1243</v>
      </c>
      <c r="BK182" s="421" t="s">
        <v>2494</v>
      </c>
      <c r="BL182" s="421" t="s">
        <v>2476</v>
      </c>
      <c r="BM182" s="421" t="s">
        <v>2370</v>
      </c>
      <c r="BN182" s="421" t="s">
        <v>2100</v>
      </c>
      <c r="BO182" s="421">
        <v>0</v>
      </c>
      <c r="BR182" s="421">
        <v>0</v>
      </c>
      <c r="BS182" s="421">
        <v>0</v>
      </c>
      <c r="BT182" s="421">
        <v>0</v>
      </c>
      <c r="BU182" s="424">
        <v>42179</v>
      </c>
      <c r="BX182" s="421">
        <v>3053.65</v>
      </c>
      <c r="BY182" s="421" t="s">
        <v>1183</v>
      </c>
      <c r="BZ182" s="421">
        <v>13963.49</v>
      </c>
      <c r="CA182" s="421">
        <v>42639611.238499999</v>
      </c>
      <c r="CB182" s="421">
        <v>5.59</v>
      </c>
      <c r="CC182" s="421">
        <v>0</v>
      </c>
      <c r="CD182" s="421">
        <v>616.9</v>
      </c>
      <c r="CE182" s="421">
        <v>622.49</v>
      </c>
      <c r="CF182" s="421">
        <v>0</v>
      </c>
      <c r="CG182" s="421">
        <v>14585.98</v>
      </c>
      <c r="CH182" s="421">
        <v>0</v>
      </c>
      <c r="CI182" s="421">
        <v>14585.98</v>
      </c>
      <c r="CJ182" s="421">
        <v>44540477.827</v>
      </c>
      <c r="CK182" s="421">
        <v>15</v>
      </c>
      <c r="CL182" s="421">
        <v>44540478</v>
      </c>
      <c r="CM182" s="421">
        <v>6681000</v>
      </c>
      <c r="CN182" s="421">
        <v>6681000</v>
      </c>
      <c r="CO182" s="421">
        <v>0</v>
      </c>
      <c r="CP182" s="421">
        <v>0</v>
      </c>
      <c r="CQ182" s="421">
        <v>16</v>
      </c>
      <c r="CR182" s="421">
        <v>51221478</v>
      </c>
      <c r="CS182" s="421">
        <v>8195000</v>
      </c>
      <c r="CT182" s="421">
        <v>8195000</v>
      </c>
      <c r="CU182" s="421">
        <v>0</v>
      </c>
      <c r="CV182" s="421">
        <v>0</v>
      </c>
      <c r="CW182" s="421">
        <v>0</v>
      </c>
      <c r="CX182" s="421">
        <v>0</v>
      </c>
      <c r="CY182" s="421">
        <v>0</v>
      </c>
      <c r="CZ182" s="421">
        <v>0</v>
      </c>
      <c r="DA182" s="421">
        <v>0</v>
      </c>
      <c r="DB182" s="421">
        <v>0</v>
      </c>
      <c r="DC182" s="421">
        <v>0</v>
      </c>
      <c r="DD182" s="421">
        <v>0</v>
      </c>
      <c r="DE182" s="421">
        <v>0</v>
      </c>
      <c r="DF182" s="421">
        <v>0</v>
      </c>
      <c r="DG182" s="421">
        <v>0</v>
      </c>
      <c r="DH182" s="421">
        <v>0</v>
      </c>
      <c r="DI182" s="421">
        <v>0</v>
      </c>
      <c r="DJ182" s="421">
        <v>0</v>
      </c>
      <c r="DK182" s="421">
        <v>0</v>
      </c>
      <c r="DL182" s="421">
        <v>0</v>
      </c>
      <c r="DM182" s="421">
        <v>0</v>
      </c>
      <c r="DN182" s="421">
        <v>0</v>
      </c>
      <c r="DO182" s="421">
        <v>0</v>
      </c>
      <c r="DP182" s="421">
        <v>0</v>
      </c>
      <c r="DQ182" s="421">
        <v>0</v>
      </c>
      <c r="DR182" s="421">
        <v>0</v>
      </c>
      <c r="DS182" s="421">
        <v>0</v>
      </c>
      <c r="DT182" s="421">
        <v>0</v>
      </c>
      <c r="DU182" s="421">
        <v>0</v>
      </c>
      <c r="DV182" s="421">
        <v>0</v>
      </c>
      <c r="DW182" s="421">
        <v>0</v>
      </c>
      <c r="DX182" s="421">
        <v>0</v>
      </c>
      <c r="DY182" s="421">
        <v>14876000</v>
      </c>
      <c r="DZ182" s="421">
        <v>14876000</v>
      </c>
      <c r="EA182" s="421">
        <v>0</v>
      </c>
      <c r="EB182" s="421">
        <v>0</v>
      </c>
      <c r="EC182" s="421" t="s">
        <v>1148</v>
      </c>
      <c r="ED182" s="421" t="s">
        <v>1167</v>
      </c>
      <c r="EE182" s="421" t="s">
        <v>1167</v>
      </c>
    </row>
    <row r="183" spans="1:135" x14ac:dyDescent="0.25">
      <c r="A183" s="421">
        <v>180</v>
      </c>
      <c r="B183" s="421">
        <v>2015</v>
      </c>
      <c r="C183" s="421">
        <v>9</v>
      </c>
      <c r="D183" s="421">
        <v>3</v>
      </c>
      <c r="E183" s="424">
        <v>42250</v>
      </c>
      <c r="F183" s="421" t="s">
        <v>2497</v>
      </c>
      <c r="G183" s="421" t="s">
        <v>2498</v>
      </c>
      <c r="H183" s="421" t="s">
        <v>1152</v>
      </c>
      <c r="I183" s="421" t="s">
        <v>1107</v>
      </c>
      <c r="J183" s="421" t="s">
        <v>1108</v>
      </c>
      <c r="K183" s="421" t="s">
        <v>1202</v>
      </c>
      <c r="L183" s="421" t="s">
        <v>1110</v>
      </c>
      <c r="O183" s="421" t="s">
        <v>1111</v>
      </c>
      <c r="R183" s="421" t="s">
        <v>1111</v>
      </c>
      <c r="S183" s="421" t="s">
        <v>1112</v>
      </c>
      <c r="T183" s="421" t="s">
        <v>1113</v>
      </c>
      <c r="U183" s="421" t="s">
        <v>1114</v>
      </c>
      <c r="V183" s="421" t="s">
        <v>1115</v>
      </c>
      <c r="W183" s="421" t="s">
        <v>1116</v>
      </c>
      <c r="X183" s="421" t="s">
        <v>1117</v>
      </c>
      <c r="Y183" s="421" t="s">
        <v>1118</v>
      </c>
      <c r="Z183" s="421" t="s">
        <v>1119</v>
      </c>
      <c r="AA183" s="421" t="s">
        <v>1120</v>
      </c>
      <c r="AB183" s="421" t="s">
        <v>1121</v>
      </c>
      <c r="AC183" s="421" t="s">
        <v>1122</v>
      </c>
      <c r="AD183" s="421" t="s">
        <v>1479</v>
      </c>
      <c r="AE183" s="421" t="s">
        <v>1203</v>
      </c>
      <c r="AF183" s="421" t="s">
        <v>1204</v>
      </c>
      <c r="AG183" s="421" t="s">
        <v>2499</v>
      </c>
      <c r="AH183" s="421">
        <v>64500</v>
      </c>
      <c r="AI183" s="421" t="s">
        <v>1127</v>
      </c>
      <c r="AJ183" s="421">
        <v>3</v>
      </c>
      <c r="AK183" s="421">
        <v>1</v>
      </c>
      <c r="AL183" s="421" t="s">
        <v>1283</v>
      </c>
      <c r="AM183" s="421">
        <v>64500</v>
      </c>
      <c r="AN183" s="421">
        <v>65228.01</v>
      </c>
      <c r="AO183" s="421" t="s">
        <v>1120</v>
      </c>
      <c r="AP183" s="421" t="s">
        <v>1129</v>
      </c>
      <c r="AR183" s="421" t="s">
        <v>1130</v>
      </c>
      <c r="AT183" s="421" t="s">
        <v>1131</v>
      </c>
      <c r="AU183" s="421" t="s">
        <v>1319</v>
      </c>
      <c r="AV183" s="421" t="s">
        <v>1320</v>
      </c>
      <c r="AW183" s="421" t="s">
        <v>1207</v>
      </c>
      <c r="AX183" s="421" t="s">
        <v>1207</v>
      </c>
      <c r="AY183" s="421" t="s">
        <v>1208</v>
      </c>
      <c r="AZ183" s="421" t="s">
        <v>1121</v>
      </c>
      <c r="BA183" s="421" t="s">
        <v>1209</v>
      </c>
      <c r="BB183" s="421" t="s">
        <v>1208</v>
      </c>
      <c r="BC183" s="421" t="s">
        <v>1210</v>
      </c>
      <c r="BD183" s="421" t="s">
        <v>1211</v>
      </c>
      <c r="BE183" s="421" t="s">
        <v>1212</v>
      </c>
      <c r="BF183" s="421" t="s">
        <v>2500</v>
      </c>
      <c r="BG183" s="421" t="s">
        <v>2501</v>
      </c>
      <c r="BH183" s="421" t="s">
        <v>2502</v>
      </c>
      <c r="BI183" s="421" t="s">
        <v>1142</v>
      </c>
      <c r="BJ183" s="421" t="s">
        <v>1163</v>
      </c>
      <c r="BK183" s="421" t="s">
        <v>2498</v>
      </c>
      <c r="BL183" s="421" t="s">
        <v>2503</v>
      </c>
      <c r="BM183" s="421" t="s">
        <v>2504</v>
      </c>
      <c r="BN183" s="421" t="s">
        <v>2331</v>
      </c>
      <c r="BO183" s="421">
        <v>0</v>
      </c>
      <c r="BR183" s="421">
        <v>0</v>
      </c>
      <c r="BS183" s="421">
        <v>0</v>
      </c>
      <c r="BT183" s="421">
        <v>0</v>
      </c>
      <c r="BU183" s="424">
        <v>42232</v>
      </c>
      <c r="BX183" s="421">
        <v>3195.47</v>
      </c>
      <c r="BY183" s="421" t="s">
        <v>1147</v>
      </c>
      <c r="BZ183" s="421">
        <v>122550</v>
      </c>
      <c r="CA183" s="421">
        <v>391604848.5</v>
      </c>
      <c r="CB183" s="421">
        <v>49.02</v>
      </c>
      <c r="CC183" s="421">
        <v>0</v>
      </c>
      <c r="CD183" s="421">
        <v>3771</v>
      </c>
      <c r="CE183" s="421">
        <v>3820.02</v>
      </c>
      <c r="CF183" s="421">
        <v>0</v>
      </c>
      <c r="CG183" s="421">
        <v>126370.02</v>
      </c>
      <c r="CH183" s="421">
        <v>0</v>
      </c>
      <c r="CI183" s="421">
        <v>126370.02</v>
      </c>
      <c r="CJ183" s="421">
        <v>403811607.80940002</v>
      </c>
      <c r="CK183" s="421">
        <v>0</v>
      </c>
      <c r="CL183" s="421">
        <v>403811608</v>
      </c>
      <c r="CM183" s="421">
        <v>0</v>
      </c>
      <c r="CN183" s="421">
        <v>0</v>
      </c>
      <c r="CO183" s="421">
        <v>0</v>
      </c>
      <c r="CP183" s="421">
        <v>0</v>
      </c>
      <c r="CQ183" s="421">
        <v>0</v>
      </c>
      <c r="CR183" s="421">
        <v>403811608</v>
      </c>
      <c r="CS183" s="421">
        <v>0</v>
      </c>
      <c r="CT183" s="421">
        <v>0</v>
      </c>
      <c r="CU183" s="421">
        <v>0</v>
      </c>
      <c r="CV183" s="421">
        <v>0</v>
      </c>
      <c r="CW183" s="421">
        <v>0</v>
      </c>
      <c r="CX183" s="421">
        <v>0</v>
      </c>
      <c r="CY183" s="421">
        <v>0</v>
      </c>
      <c r="CZ183" s="421">
        <v>0</v>
      </c>
      <c r="DA183" s="421">
        <v>0</v>
      </c>
      <c r="DB183" s="421">
        <v>0</v>
      </c>
      <c r="DC183" s="421">
        <v>0</v>
      </c>
      <c r="DD183" s="421">
        <v>0</v>
      </c>
      <c r="DE183" s="421">
        <v>0</v>
      </c>
      <c r="DF183" s="421">
        <v>0</v>
      </c>
      <c r="DG183" s="421">
        <v>0</v>
      </c>
      <c r="DH183" s="421">
        <v>0</v>
      </c>
      <c r="DI183" s="421">
        <v>0</v>
      </c>
      <c r="DJ183" s="421">
        <v>0</v>
      </c>
      <c r="DK183" s="421">
        <v>0</v>
      </c>
      <c r="DL183" s="421">
        <v>0</v>
      </c>
      <c r="DM183" s="421">
        <v>0</v>
      </c>
      <c r="DN183" s="421">
        <v>0</v>
      </c>
      <c r="DO183" s="421">
        <v>0</v>
      </c>
      <c r="DP183" s="421">
        <v>0</v>
      </c>
      <c r="DQ183" s="421">
        <v>0</v>
      </c>
      <c r="DR183" s="421">
        <v>0</v>
      </c>
      <c r="DS183" s="421">
        <v>0</v>
      </c>
      <c r="DT183" s="421">
        <v>0</v>
      </c>
      <c r="DU183" s="421">
        <v>0</v>
      </c>
      <c r="DV183" s="421">
        <v>0</v>
      </c>
      <c r="DW183" s="421">
        <v>0</v>
      </c>
      <c r="DX183" s="421">
        <v>0</v>
      </c>
      <c r="DY183" s="421">
        <v>0</v>
      </c>
      <c r="DZ183" s="421">
        <v>0</v>
      </c>
      <c r="EA183" s="421">
        <v>0</v>
      </c>
      <c r="EB183" s="421">
        <v>0</v>
      </c>
      <c r="EC183" s="421" t="s">
        <v>1148</v>
      </c>
      <c r="ED183" s="421" t="s">
        <v>1149</v>
      </c>
      <c r="EE183" s="421" t="s">
        <v>1149</v>
      </c>
    </row>
    <row r="184" spans="1:135" x14ac:dyDescent="0.25">
      <c r="A184" s="421">
        <v>181</v>
      </c>
      <c r="B184" s="421">
        <v>2015</v>
      </c>
      <c r="C184" s="421">
        <v>9</v>
      </c>
      <c r="D184" s="421">
        <v>3</v>
      </c>
      <c r="E184" s="424">
        <v>42250</v>
      </c>
      <c r="F184" s="421" t="s">
        <v>2505</v>
      </c>
      <c r="G184" s="421" t="s">
        <v>2506</v>
      </c>
      <c r="H184" s="421" t="s">
        <v>1152</v>
      </c>
      <c r="I184" s="421" t="s">
        <v>1107</v>
      </c>
      <c r="J184" s="421" t="s">
        <v>1108</v>
      </c>
      <c r="K184" s="421" t="s">
        <v>1109</v>
      </c>
      <c r="L184" s="421" t="s">
        <v>1110</v>
      </c>
      <c r="O184" s="421" t="s">
        <v>1111</v>
      </c>
      <c r="R184" s="421" t="s">
        <v>1111</v>
      </c>
      <c r="S184" s="421" t="s">
        <v>1112</v>
      </c>
      <c r="T184" s="421" t="s">
        <v>1113</v>
      </c>
      <c r="U184" s="421" t="s">
        <v>1114</v>
      </c>
      <c r="V184" s="421" t="s">
        <v>1115</v>
      </c>
      <c r="W184" s="421" t="s">
        <v>1116</v>
      </c>
      <c r="X184" s="421" t="s">
        <v>1117</v>
      </c>
      <c r="Y184" s="421" t="s">
        <v>1118</v>
      </c>
      <c r="Z184" s="421" t="s">
        <v>1119</v>
      </c>
      <c r="AA184" s="421" t="s">
        <v>1120</v>
      </c>
      <c r="AB184" s="421" t="s">
        <v>1121</v>
      </c>
      <c r="AC184" s="421" t="s">
        <v>1122</v>
      </c>
      <c r="AD184" s="421" t="s">
        <v>1479</v>
      </c>
      <c r="AE184" s="421" t="s">
        <v>2507</v>
      </c>
      <c r="AF184" s="421" t="s">
        <v>2508</v>
      </c>
      <c r="AG184" s="421" t="s">
        <v>2509</v>
      </c>
      <c r="AH184" s="421">
        <v>8640</v>
      </c>
      <c r="AI184" s="421" t="s">
        <v>1127</v>
      </c>
      <c r="AJ184" s="421">
        <v>48</v>
      </c>
      <c r="AK184" s="421">
        <v>1</v>
      </c>
      <c r="AL184" s="421" t="s">
        <v>1267</v>
      </c>
      <c r="AM184" s="421">
        <v>8640</v>
      </c>
      <c r="AN184" s="421">
        <v>9325</v>
      </c>
      <c r="AO184" s="421" t="s">
        <v>1120</v>
      </c>
      <c r="AP184" s="421" t="s">
        <v>1129</v>
      </c>
      <c r="AR184" s="421" t="s">
        <v>1130</v>
      </c>
      <c r="AT184" s="421" t="s">
        <v>1131</v>
      </c>
      <c r="AU184" s="421" t="s">
        <v>1190</v>
      </c>
      <c r="AV184" s="421" t="s">
        <v>1191</v>
      </c>
      <c r="AW184" s="421" t="s">
        <v>962</v>
      </c>
      <c r="AX184" s="421" t="s">
        <v>962</v>
      </c>
      <c r="AY184" s="421" t="s">
        <v>962</v>
      </c>
      <c r="AZ184" s="421" t="s">
        <v>1121</v>
      </c>
      <c r="BA184" s="421" t="s">
        <v>1410</v>
      </c>
      <c r="BB184" s="421" t="s">
        <v>962</v>
      </c>
      <c r="BC184" s="421" t="s">
        <v>1411</v>
      </c>
      <c r="BD184" s="421" t="s">
        <v>1412</v>
      </c>
      <c r="BE184" s="421" t="s">
        <v>1413</v>
      </c>
      <c r="BF184" s="421" t="s">
        <v>2510</v>
      </c>
      <c r="BG184" s="421" t="s">
        <v>2501</v>
      </c>
      <c r="BH184" s="421" t="s">
        <v>2511</v>
      </c>
      <c r="BI184" s="421" t="s">
        <v>1142</v>
      </c>
      <c r="BJ184" s="421" t="s">
        <v>1243</v>
      </c>
      <c r="BK184" s="421" t="s">
        <v>2506</v>
      </c>
      <c r="BL184" s="421" t="s">
        <v>2503</v>
      </c>
      <c r="BM184" s="421" t="s">
        <v>2512</v>
      </c>
      <c r="BN184" s="421" t="s">
        <v>2322</v>
      </c>
      <c r="BO184" s="421">
        <v>0</v>
      </c>
      <c r="BR184" s="421">
        <v>0</v>
      </c>
      <c r="BS184" s="421">
        <v>0</v>
      </c>
      <c r="BT184" s="421">
        <v>0</v>
      </c>
      <c r="BU184" s="424">
        <v>42236</v>
      </c>
      <c r="BX184" s="421">
        <v>3195.47</v>
      </c>
      <c r="BY184" s="421" t="s">
        <v>1147</v>
      </c>
      <c r="BZ184" s="421">
        <v>18599</v>
      </c>
      <c r="CA184" s="421">
        <v>59432546.530000001</v>
      </c>
      <c r="CB184" s="421">
        <v>54</v>
      </c>
      <c r="CC184" s="421">
        <v>0</v>
      </c>
      <c r="CD184" s="421">
        <v>3081</v>
      </c>
      <c r="CE184" s="421">
        <v>3135</v>
      </c>
      <c r="CF184" s="421">
        <v>0</v>
      </c>
      <c r="CG184" s="421">
        <v>21734</v>
      </c>
      <c r="CH184" s="421">
        <v>0</v>
      </c>
      <c r="CI184" s="421">
        <v>21734</v>
      </c>
      <c r="CJ184" s="421">
        <v>69450344.980000004</v>
      </c>
      <c r="CK184" s="421">
        <v>0</v>
      </c>
      <c r="CL184" s="421">
        <v>69450345</v>
      </c>
      <c r="CM184" s="421">
        <v>0</v>
      </c>
      <c r="CN184" s="421">
        <v>0</v>
      </c>
      <c r="CO184" s="421">
        <v>0</v>
      </c>
      <c r="CP184" s="421">
        <v>0</v>
      </c>
      <c r="CQ184" s="421">
        <v>16</v>
      </c>
      <c r="CR184" s="421">
        <v>69450345</v>
      </c>
      <c r="CS184" s="421">
        <v>11112000</v>
      </c>
      <c r="CT184" s="421">
        <v>11112000</v>
      </c>
      <c r="CU184" s="421">
        <v>0</v>
      </c>
      <c r="CV184" s="421">
        <v>0</v>
      </c>
      <c r="CW184" s="421">
        <v>0</v>
      </c>
      <c r="CX184" s="421">
        <v>0</v>
      </c>
      <c r="CY184" s="421">
        <v>0</v>
      </c>
      <c r="CZ184" s="421">
        <v>0</v>
      </c>
      <c r="DA184" s="421">
        <v>0</v>
      </c>
      <c r="DB184" s="421">
        <v>0</v>
      </c>
      <c r="DC184" s="421">
        <v>0</v>
      </c>
      <c r="DD184" s="421">
        <v>0</v>
      </c>
      <c r="DE184" s="421">
        <v>0</v>
      </c>
      <c r="DF184" s="421">
        <v>0</v>
      </c>
      <c r="DG184" s="421">
        <v>0</v>
      </c>
      <c r="DH184" s="421">
        <v>0</v>
      </c>
      <c r="DI184" s="421">
        <v>0</v>
      </c>
      <c r="DJ184" s="421">
        <v>0</v>
      </c>
      <c r="DK184" s="421">
        <v>0</v>
      </c>
      <c r="DL184" s="421">
        <v>0</v>
      </c>
      <c r="DM184" s="421">
        <v>0</v>
      </c>
      <c r="DN184" s="421">
        <v>0</v>
      </c>
      <c r="DO184" s="421">
        <v>0</v>
      </c>
      <c r="DP184" s="421">
        <v>0</v>
      </c>
      <c r="DQ184" s="421">
        <v>0</v>
      </c>
      <c r="DR184" s="421">
        <v>0</v>
      </c>
      <c r="DS184" s="421">
        <v>0</v>
      </c>
      <c r="DT184" s="421">
        <v>0</v>
      </c>
      <c r="DU184" s="421">
        <v>0</v>
      </c>
      <c r="DV184" s="421">
        <v>0</v>
      </c>
      <c r="DW184" s="421">
        <v>0</v>
      </c>
      <c r="DX184" s="421">
        <v>0</v>
      </c>
      <c r="DY184" s="421">
        <v>11112000</v>
      </c>
      <c r="DZ184" s="421">
        <v>11112000</v>
      </c>
      <c r="EA184" s="421">
        <v>0</v>
      </c>
      <c r="EB184" s="421">
        <v>0</v>
      </c>
      <c r="EC184" s="421" t="s">
        <v>1148</v>
      </c>
      <c r="ED184" s="421" t="s">
        <v>1149</v>
      </c>
      <c r="EE184" s="421" t="s">
        <v>1149</v>
      </c>
    </row>
    <row r="185" spans="1:135" x14ac:dyDescent="0.25">
      <c r="A185" s="421">
        <v>182</v>
      </c>
      <c r="B185" s="421">
        <v>2015</v>
      </c>
      <c r="C185" s="421">
        <v>9</v>
      </c>
      <c r="D185" s="421">
        <v>4</v>
      </c>
      <c r="E185" s="424">
        <v>42251</v>
      </c>
      <c r="F185" s="421" t="s">
        <v>2513</v>
      </c>
      <c r="G185" s="421" t="s">
        <v>2514</v>
      </c>
      <c r="H185" s="421" t="s">
        <v>1152</v>
      </c>
      <c r="I185" s="421" t="s">
        <v>1107</v>
      </c>
      <c r="J185" s="421" t="s">
        <v>1108</v>
      </c>
      <c r="K185" s="421" t="s">
        <v>1109</v>
      </c>
      <c r="L185" s="421" t="s">
        <v>1110</v>
      </c>
      <c r="O185" s="421" t="s">
        <v>1111</v>
      </c>
      <c r="R185" s="421" t="s">
        <v>1111</v>
      </c>
      <c r="S185" s="421" t="s">
        <v>1112</v>
      </c>
      <c r="T185" s="421" t="s">
        <v>1113</v>
      </c>
      <c r="U185" s="421" t="s">
        <v>1114</v>
      </c>
      <c r="V185" s="421" t="s">
        <v>1115</v>
      </c>
      <c r="W185" s="421" t="s">
        <v>1116</v>
      </c>
      <c r="X185" s="421" t="s">
        <v>1117</v>
      </c>
      <c r="Y185" s="421" t="s">
        <v>1118</v>
      </c>
      <c r="Z185" s="421" t="s">
        <v>1119</v>
      </c>
      <c r="AA185" s="421" t="s">
        <v>1120</v>
      </c>
      <c r="AB185" s="421" t="s">
        <v>1121</v>
      </c>
      <c r="AC185" s="421" t="s">
        <v>1122</v>
      </c>
      <c r="AD185" s="421" t="s">
        <v>1479</v>
      </c>
      <c r="AE185" s="421" t="s">
        <v>1471</v>
      </c>
      <c r="AF185" s="421" t="s">
        <v>1472</v>
      </c>
      <c r="AG185" s="421" t="s">
        <v>2515</v>
      </c>
      <c r="AH185" s="421">
        <v>19008</v>
      </c>
      <c r="AI185" s="421" t="s">
        <v>1189</v>
      </c>
      <c r="AJ185" s="421">
        <v>66</v>
      </c>
      <c r="AK185" s="421">
        <v>1</v>
      </c>
      <c r="AL185" s="421" t="s">
        <v>1173</v>
      </c>
      <c r="AM185" s="421">
        <v>585.6</v>
      </c>
      <c r="AN185" s="421">
        <v>661.53</v>
      </c>
      <c r="AO185" s="421" t="s">
        <v>1120</v>
      </c>
      <c r="AP185" s="421" t="s">
        <v>2516</v>
      </c>
      <c r="AQ185" s="421" t="s">
        <v>1475</v>
      </c>
      <c r="AR185" s="421" t="s">
        <v>1476</v>
      </c>
      <c r="AT185" s="421" t="s">
        <v>1131</v>
      </c>
      <c r="AU185" s="421" t="s">
        <v>1303</v>
      </c>
      <c r="AV185" s="421" t="s">
        <v>1304</v>
      </c>
      <c r="AW185" s="421" t="s">
        <v>960</v>
      </c>
      <c r="AX185" s="421" t="s">
        <v>960</v>
      </c>
      <c r="AY185" s="421" t="s">
        <v>960</v>
      </c>
      <c r="AZ185" s="421" t="s">
        <v>1121</v>
      </c>
      <c r="BA185" s="421" t="s">
        <v>1305</v>
      </c>
      <c r="BB185" s="421" t="s">
        <v>960</v>
      </c>
      <c r="BC185" s="421" t="s">
        <v>1175</v>
      </c>
      <c r="BD185" s="421" t="s">
        <v>1306</v>
      </c>
      <c r="BE185" s="421" t="s">
        <v>2162</v>
      </c>
      <c r="BF185" s="421" t="s">
        <v>2230</v>
      </c>
      <c r="BG185" s="421" t="s">
        <v>2231</v>
      </c>
      <c r="BH185" s="421" t="s">
        <v>2298</v>
      </c>
      <c r="BI185" s="421" t="s">
        <v>1142</v>
      </c>
      <c r="BJ185" s="421" t="s">
        <v>1243</v>
      </c>
      <c r="BK185" s="421" t="s">
        <v>2514</v>
      </c>
      <c r="BL185" s="421" t="s">
        <v>2503</v>
      </c>
      <c r="BM185" s="421" t="s">
        <v>2300</v>
      </c>
      <c r="BN185" s="421" t="s">
        <v>2112</v>
      </c>
      <c r="BO185" s="421">
        <v>0</v>
      </c>
      <c r="BR185" s="421">
        <v>0</v>
      </c>
      <c r="BS185" s="421">
        <v>0</v>
      </c>
      <c r="BT185" s="421">
        <v>0</v>
      </c>
      <c r="BU185" s="424">
        <v>42172</v>
      </c>
      <c r="BX185" s="421">
        <v>3195.47</v>
      </c>
      <c r="BY185" s="421" t="s">
        <v>1183</v>
      </c>
      <c r="BZ185" s="421">
        <v>5534.63</v>
      </c>
      <c r="CA185" s="421">
        <v>17685744.1261</v>
      </c>
      <c r="CB185" s="421">
        <v>2.21</v>
      </c>
      <c r="CC185" s="421">
        <v>0</v>
      </c>
      <c r="CD185" s="421">
        <v>217.94</v>
      </c>
      <c r="CE185" s="421">
        <v>220.15</v>
      </c>
      <c r="CF185" s="421">
        <v>0</v>
      </c>
      <c r="CG185" s="421">
        <v>5754.78</v>
      </c>
      <c r="CH185" s="421">
        <v>0</v>
      </c>
      <c r="CI185" s="421">
        <v>5754.78</v>
      </c>
      <c r="CJ185" s="421">
        <v>18389226.8466</v>
      </c>
      <c r="CK185" s="421">
        <v>15</v>
      </c>
      <c r="CL185" s="421">
        <v>18389227</v>
      </c>
      <c r="CM185" s="421">
        <v>2758000</v>
      </c>
      <c r="CN185" s="421">
        <v>2758000</v>
      </c>
      <c r="CO185" s="421">
        <v>0</v>
      </c>
      <c r="CP185" s="421">
        <v>0</v>
      </c>
      <c r="CQ185" s="421">
        <v>16</v>
      </c>
      <c r="CR185" s="421">
        <v>21147227</v>
      </c>
      <c r="CS185" s="421">
        <v>3384000</v>
      </c>
      <c r="CT185" s="421">
        <v>3384000</v>
      </c>
      <c r="CU185" s="421">
        <v>0</v>
      </c>
      <c r="CV185" s="421">
        <v>0</v>
      </c>
      <c r="CW185" s="421">
        <v>0</v>
      </c>
      <c r="CX185" s="421">
        <v>0</v>
      </c>
      <c r="CY185" s="421">
        <v>0</v>
      </c>
      <c r="CZ185" s="421">
        <v>0</v>
      </c>
      <c r="DA185" s="421">
        <v>0</v>
      </c>
      <c r="DB185" s="421">
        <v>0</v>
      </c>
      <c r="DC185" s="421">
        <v>0</v>
      </c>
      <c r="DD185" s="421">
        <v>0</v>
      </c>
      <c r="DE185" s="421">
        <v>0</v>
      </c>
      <c r="DF185" s="421">
        <v>0</v>
      </c>
      <c r="DG185" s="421">
        <v>0</v>
      </c>
      <c r="DH185" s="421">
        <v>0</v>
      </c>
      <c r="DI185" s="421">
        <v>0</v>
      </c>
      <c r="DJ185" s="421">
        <v>0</v>
      </c>
      <c r="DK185" s="421">
        <v>0</v>
      </c>
      <c r="DL185" s="421">
        <v>0</v>
      </c>
      <c r="DM185" s="421">
        <v>0</v>
      </c>
      <c r="DN185" s="421">
        <v>0</v>
      </c>
      <c r="DO185" s="421">
        <v>0</v>
      </c>
      <c r="DP185" s="421">
        <v>0</v>
      </c>
      <c r="DQ185" s="421">
        <v>0</v>
      </c>
      <c r="DR185" s="421">
        <v>0</v>
      </c>
      <c r="DS185" s="421">
        <v>0</v>
      </c>
      <c r="DT185" s="421">
        <v>0</v>
      </c>
      <c r="DU185" s="421">
        <v>0</v>
      </c>
      <c r="DV185" s="421">
        <v>0</v>
      </c>
      <c r="DW185" s="421">
        <v>0</v>
      </c>
      <c r="DX185" s="421">
        <v>0</v>
      </c>
      <c r="DY185" s="421">
        <v>6142000</v>
      </c>
      <c r="DZ185" s="421">
        <v>6142000</v>
      </c>
      <c r="EA185" s="421">
        <v>0</v>
      </c>
      <c r="EB185" s="421">
        <v>0</v>
      </c>
      <c r="EC185" s="421" t="s">
        <v>1148</v>
      </c>
      <c r="ED185" s="421" t="s">
        <v>1167</v>
      </c>
      <c r="EE185" s="421" t="s">
        <v>1167</v>
      </c>
    </row>
    <row r="186" spans="1:135" x14ac:dyDescent="0.25">
      <c r="A186" s="421">
        <v>183</v>
      </c>
      <c r="B186" s="421">
        <v>2015</v>
      </c>
      <c r="C186" s="421">
        <v>9</v>
      </c>
      <c r="D186" s="421">
        <v>4</v>
      </c>
      <c r="E186" s="424">
        <v>42251</v>
      </c>
      <c r="F186" s="421" t="s">
        <v>2517</v>
      </c>
      <c r="G186" s="421" t="s">
        <v>2518</v>
      </c>
      <c r="H186" s="421" t="s">
        <v>1106</v>
      </c>
      <c r="I186" s="421" t="s">
        <v>1107</v>
      </c>
      <c r="J186" s="421" t="s">
        <v>1108</v>
      </c>
      <c r="K186" s="421" t="s">
        <v>1109</v>
      </c>
      <c r="L186" s="421" t="s">
        <v>1110</v>
      </c>
      <c r="O186" s="421" t="s">
        <v>1111</v>
      </c>
      <c r="R186" s="421" t="s">
        <v>1111</v>
      </c>
      <c r="S186" s="421" t="s">
        <v>1112</v>
      </c>
      <c r="T186" s="421" t="s">
        <v>1113</v>
      </c>
      <c r="U186" s="421" t="s">
        <v>1114</v>
      </c>
      <c r="V186" s="421" t="s">
        <v>1115</v>
      </c>
      <c r="W186" s="421" t="s">
        <v>1116</v>
      </c>
      <c r="X186" s="421" t="s">
        <v>1117</v>
      </c>
      <c r="Y186" s="421" t="s">
        <v>1118</v>
      </c>
      <c r="Z186" s="421" t="s">
        <v>1119</v>
      </c>
      <c r="AA186" s="421" t="s">
        <v>1120</v>
      </c>
      <c r="AB186" s="421" t="s">
        <v>1121</v>
      </c>
      <c r="AC186" s="421" t="s">
        <v>1122</v>
      </c>
      <c r="AD186" s="421" t="s">
        <v>1479</v>
      </c>
      <c r="AE186" s="421" t="s">
        <v>1249</v>
      </c>
      <c r="AF186" s="421" t="s">
        <v>1250</v>
      </c>
      <c r="AG186" s="421" t="s">
        <v>2519</v>
      </c>
      <c r="AH186" s="421">
        <v>96072</v>
      </c>
      <c r="AI186" s="421" t="s">
        <v>1189</v>
      </c>
      <c r="AJ186" s="421">
        <v>1238</v>
      </c>
      <c r="AK186" s="421">
        <v>1</v>
      </c>
      <c r="AL186" s="421" t="s">
        <v>1173</v>
      </c>
      <c r="AM186" s="421">
        <v>14400</v>
      </c>
      <c r="AN186" s="421">
        <v>15226.5</v>
      </c>
      <c r="AO186" s="421" t="s">
        <v>1120</v>
      </c>
      <c r="AP186" s="421" t="s">
        <v>1129</v>
      </c>
      <c r="AR186" s="421" t="s">
        <v>1130</v>
      </c>
      <c r="AT186" s="421" t="s">
        <v>1131</v>
      </c>
      <c r="AU186" s="421" t="s">
        <v>1190</v>
      </c>
      <c r="AV186" s="421" t="s">
        <v>1191</v>
      </c>
      <c r="AW186" s="421" t="s">
        <v>960</v>
      </c>
      <c r="AX186" s="421" t="s">
        <v>2520</v>
      </c>
      <c r="AY186" s="421" t="s">
        <v>960</v>
      </c>
      <c r="AZ186" s="421" t="s">
        <v>1121</v>
      </c>
      <c r="BA186" s="421" t="s">
        <v>1252</v>
      </c>
      <c r="BB186" s="421" t="s">
        <v>960</v>
      </c>
      <c r="BC186" s="421" t="s">
        <v>1253</v>
      </c>
      <c r="BD186" s="421" t="s">
        <v>1254</v>
      </c>
      <c r="BE186" s="421" t="s">
        <v>2002</v>
      </c>
      <c r="BF186" s="421" t="s">
        <v>2510</v>
      </c>
      <c r="BG186" s="421" t="s">
        <v>2501</v>
      </c>
      <c r="BH186" s="421" t="s">
        <v>2521</v>
      </c>
      <c r="BI186" s="421" t="s">
        <v>1142</v>
      </c>
      <c r="BJ186" s="421" t="s">
        <v>1243</v>
      </c>
      <c r="BK186" s="421" t="s">
        <v>2518</v>
      </c>
      <c r="BL186" s="421" t="s">
        <v>2522</v>
      </c>
      <c r="BM186" s="421" t="s">
        <v>2523</v>
      </c>
      <c r="BN186" s="421" t="s">
        <v>2524</v>
      </c>
      <c r="BO186" s="421">
        <v>0</v>
      </c>
      <c r="BR186" s="421">
        <v>0</v>
      </c>
      <c r="BS186" s="421">
        <v>0</v>
      </c>
      <c r="BT186" s="421">
        <v>0</v>
      </c>
      <c r="BU186" s="424">
        <v>42216</v>
      </c>
      <c r="BX186" s="421">
        <v>3195.47</v>
      </c>
      <c r="BY186" s="421" t="s">
        <v>1183</v>
      </c>
      <c r="BZ186" s="421">
        <v>46032.04</v>
      </c>
      <c r="CA186" s="421">
        <v>147094002.85879999</v>
      </c>
      <c r="CB186" s="421">
        <v>18.41</v>
      </c>
      <c r="CC186" s="421">
        <v>0</v>
      </c>
      <c r="CD186" s="421">
        <v>2545</v>
      </c>
      <c r="CE186" s="421">
        <v>2563.41</v>
      </c>
      <c r="CF186" s="421">
        <v>0</v>
      </c>
      <c r="CG186" s="421">
        <v>48595.45</v>
      </c>
      <c r="CH186" s="421">
        <v>0</v>
      </c>
      <c r="CI186" s="421">
        <v>48595.45</v>
      </c>
      <c r="CJ186" s="421">
        <v>155285302.61149999</v>
      </c>
      <c r="CK186" s="421">
        <v>15</v>
      </c>
      <c r="CL186" s="421">
        <v>155285303</v>
      </c>
      <c r="CM186" s="421">
        <v>23293000</v>
      </c>
      <c r="CN186" s="421">
        <v>23293000</v>
      </c>
      <c r="CO186" s="421">
        <v>0</v>
      </c>
      <c r="CP186" s="421">
        <v>0</v>
      </c>
      <c r="CQ186" s="421">
        <v>16</v>
      </c>
      <c r="CR186" s="421">
        <v>178578303</v>
      </c>
      <c r="CS186" s="421">
        <v>28573000</v>
      </c>
      <c r="CT186" s="421">
        <v>28573000</v>
      </c>
      <c r="CU186" s="421">
        <v>0</v>
      </c>
      <c r="CV186" s="421">
        <v>0</v>
      </c>
      <c r="CW186" s="421">
        <v>0</v>
      </c>
      <c r="CX186" s="421">
        <v>0</v>
      </c>
      <c r="CY186" s="421">
        <v>0</v>
      </c>
      <c r="CZ186" s="421">
        <v>0</v>
      </c>
      <c r="DA186" s="421">
        <v>0</v>
      </c>
      <c r="DB186" s="421">
        <v>0</v>
      </c>
      <c r="DC186" s="421">
        <v>0</v>
      </c>
      <c r="DD186" s="421">
        <v>0</v>
      </c>
      <c r="DE186" s="421">
        <v>0</v>
      </c>
      <c r="DF186" s="421">
        <v>0</v>
      </c>
      <c r="DG186" s="421">
        <v>0</v>
      </c>
      <c r="DH186" s="421">
        <v>0</v>
      </c>
      <c r="DI186" s="421">
        <v>0</v>
      </c>
      <c r="DJ186" s="421">
        <v>0</v>
      </c>
      <c r="DK186" s="421">
        <v>0</v>
      </c>
      <c r="DL186" s="421">
        <v>0</v>
      </c>
      <c r="DM186" s="421">
        <v>0</v>
      </c>
      <c r="DN186" s="421">
        <v>0</v>
      </c>
      <c r="DO186" s="421">
        <v>0</v>
      </c>
      <c r="DP186" s="421">
        <v>0</v>
      </c>
      <c r="DQ186" s="421">
        <v>0</v>
      </c>
      <c r="DR186" s="421">
        <v>0</v>
      </c>
      <c r="DS186" s="421">
        <v>0</v>
      </c>
      <c r="DT186" s="421">
        <v>0</v>
      </c>
      <c r="DU186" s="421">
        <v>0</v>
      </c>
      <c r="DV186" s="421">
        <v>0</v>
      </c>
      <c r="DW186" s="421">
        <v>0</v>
      </c>
      <c r="DX186" s="421">
        <v>0</v>
      </c>
      <c r="DY186" s="421">
        <v>51866000</v>
      </c>
      <c r="DZ186" s="421">
        <v>51866000</v>
      </c>
      <c r="EA186" s="421">
        <v>0</v>
      </c>
      <c r="EB186" s="421">
        <v>0</v>
      </c>
      <c r="EC186" s="421" t="s">
        <v>1148</v>
      </c>
      <c r="ED186" s="421" t="s">
        <v>1167</v>
      </c>
      <c r="EE186" s="421" t="s">
        <v>1167</v>
      </c>
    </row>
    <row r="187" spans="1:135" x14ac:dyDescent="0.25">
      <c r="A187" s="421">
        <v>184</v>
      </c>
      <c r="B187" s="421">
        <v>2015</v>
      </c>
      <c r="C187" s="421">
        <v>9</v>
      </c>
      <c r="D187" s="421">
        <v>5</v>
      </c>
      <c r="E187" s="424">
        <v>42252</v>
      </c>
      <c r="F187" s="421" t="s">
        <v>2525</v>
      </c>
      <c r="G187" s="421" t="s">
        <v>2526</v>
      </c>
      <c r="H187" s="421" t="s">
        <v>1152</v>
      </c>
      <c r="I187" s="421" t="s">
        <v>1281</v>
      </c>
      <c r="J187" s="421" t="s">
        <v>1108</v>
      </c>
      <c r="K187" s="421" t="s">
        <v>1109</v>
      </c>
      <c r="L187" s="421" t="s">
        <v>1110</v>
      </c>
      <c r="O187" s="421" t="s">
        <v>1111</v>
      </c>
      <c r="R187" s="421" t="s">
        <v>1111</v>
      </c>
      <c r="S187" s="421" t="s">
        <v>1112</v>
      </c>
      <c r="T187" s="421" t="s">
        <v>1113</v>
      </c>
      <c r="U187" s="421" t="s">
        <v>1114</v>
      </c>
      <c r="V187" s="421" t="s">
        <v>1115</v>
      </c>
      <c r="W187" s="421" t="s">
        <v>1116</v>
      </c>
      <c r="X187" s="421" t="s">
        <v>1117</v>
      </c>
      <c r="Y187" s="421" t="s">
        <v>1118</v>
      </c>
      <c r="Z187" s="421" t="s">
        <v>1119</v>
      </c>
      <c r="AA187" s="421" t="s">
        <v>1120</v>
      </c>
      <c r="AB187" s="421" t="s">
        <v>1121</v>
      </c>
      <c r="AC187" s="421" t="s">
        <v>1122</v>
      </c>
      <c r="AD187" s="421" t="s">
        <v>1479</v>
      </c>
      <c r="AE187" s="421" t="s">
        <v>1170</v>
      </c>
      <c r="AF187" s="421" t="s">
        <v>1171</v>
      </c>
      <c r="AG187" s="421" t="s">
        <v>2527</v>
      </c>
      <c r="AH187" s="421">
        <v>6770.3</v>
      </c>
      <c r="AI187" s="421" t="s">
        <v>1127</v>
      </c>
      <c r="AJ187" s="421">
        <v>831</v>
      </c>
      <c r="AK187" s="421">
        <v>1</v>
      </c>
      <c r="AL187" s="421" t="s">
        <v>1173</v>
      </c>
      <c r="AM187" s="421">
        <v>6770.3</v>
      </c>
      <c r="AN187" s="421">
        <v>10726.2</v>
      </c>
      <c r="AO187" s="421" t="s">
        <v>1120</v>
      </c>
      <c r="AP187" s="421" t="s">
        <v>1129</v>
      </c>
      <c r="AR187" s="421" t="s">
        <v>1130</v>
      </c>
      <c r="AT187" s="421" t="s">
        <v>1131</v>
      </c>
      <c r="AU187" s="421" t="s">
        <v>1190</v>
      </c>
      <c r="AV187" s="421" t="s">
        <v>1191</v>
      </c>
      <c r="AW187" s="421" t="s">
        <v>960</v>
      </c>
      <c r="AX187" s="421" t="s">
        <v>960</v>
      </c>
      <c r="AY187" s="421" t="s">
        <v>960</v>
      </c>
      <c r="AZ187" s="421" t="s">
        <v>1121</v>
      </c>
      <c r="BA187" s="421" t="s">
        <v>1431</v>
      </c>
      <c r="BB187" s="421" t="s">
        <v>960</v>
      </c>
      <c r="BC187" s="421" t="s">
        <v>1752</v>
      </c>
      <c r="BD187" s="421" t="s">
        <v>1433</v>
      </c>
      <c r="BE187" s="421" t="s">
        <v>1434</v>
      </c>
      <c r="BI187" s="421" t="s">
        <v>1142</v>
      </c>
      <c r="BJ187" s="421" t="s">
        <v>1535</v>
      </c>
      <c r="BK187" s="421" t="s">
        <v>2526</v>
      </c>
      <c r="BL187" s="421" t="s">
        <v>2528</v>
      </c>
      <c r="BM187" s="421" t="s">
        <v>2529</v>
      </c>
      <c r="BN187" s="421" t="s">
        <v>2258</v>
      </c>
      <c r="BO187" s="421">
        <v>0</v>
      </c>
      <c r="BR187" s="421">
        <v>0</v>
      </c>
      <c r="BS187" s="421">
        <v>0</v>
      </c>
      <c r="BT187" s="421">
        <v>0</v>
      </c>
      <c r="BU187" s="424">
        <v>38718</v>
      </c>
      <c r="BX187" s="421">
        <v>3195.47</v>
      </c>
      <c r="BY187" s="421" t="s">
        <v>1183</v>
      </c>
      <c r="BZ187" s="421">
        <v>57427.63</v>
      </c>
      <c r="CA187" s="421">
        <v>183508268.83610001</v>
      </c>
      <c r="CB187" s="421">
        <v>22.97</v>
      </c>
      <c r="CC187" s="421">
        <v>0</v>
      </c>
      <c r="CD187" s="421">
        <v>2658</v>
      </c>
      <c r="CE187" s="421">
        <v>2680.97</v>
      </c>
      <c r="CF187" s="421">
        <v>0</v>
      </c>
      <c r="CG187" s="421">
        <v>60108.6</v>
      </c>
      <c r="CH187" s="421">
        <v>0</v>
      </c>
      <c r="CI187" s="421">
        <v>60108.6</v>
      </c>
      <c r="CJ187" s="421">
        <v>192075228.042</v>
      </c>
      <c r="CK187" s="421">
        <v>15</v>
      </c>
      <c r="CL187" s="421">
        <v>192075228</v>
      </c>
      <c r="CM187" s="421">
        <v>28811000</v>
      </c>
      <c r="CN187" s="421">
        <v>28811000</v>
      </c>
      <c r="CO187" s="421">
        <v>0</v>
      </c>
      <c r="CP187" s="421">
        <v>0</v>
      </c>
      <c r="CQ187" s="421">
        <v>16</v>
      </c>
      <c r="CR187" s="421">
        <v>220886228</v>
      </c>
      <c r="CS187" s="421">
        <v>35342000</v>
      </c>
      <c r="CT187" s="421">
        <v>35342000</v>
      </c>
      <c r="CU187" s="421">
        <v>0</v>
      </c>
      <c r="CV187" s="421">
        <v>0</v>
      </c>
      <c r="CW187" s="421">
        <v>0</v>
      </c>
      <c r="CX187" s="421">
        <v>0</v>
      </c>
      <c r="CY187" s="421">
        <v>0</v>
      </c>
      <c r="CZ187" s="421">
        <v>0</v>
      </c>
      <c r="DA187" s="421">
        <v>0</v>
      </c>
      <c r="DB187" s="421">
        <v>0</v>
      </c>
      <c r="DC187" s="421">
        <v>0</v>
      </c>
      <c r="DD187" s="421">
        <v>0</v>
      </c>
      <c r="DE187" s="421">
        <v>0</v>
      </c>
      <c r="DF187" s="421">
        <v>0</v>
      </c>
      <c r="DG187" s="421">
        <v>0</v>
      </c>
      <c r="DH187" s="421">
        <v>0</v>
      </c>
      <c r="DI187" s="421">
        <v>0</v>
      </c>
      <c r="DJ187" s="421">
        <v>0</v>
      </c>
      <c r="DK187" s="421">
        <v>0</v>
      </c>
      <c r="DL187" s="421">
        <v>0</v>
      </c>
      <c r="DM187" s="421">
        <v>0</v>
      </c>
      <c r="DN187" s="421">
        <v>0</v>
      </c>
      <c r="DO187" s="421">
        <v>0</v>
      </c>
      <c r="DP187" s="421">
        <v>0</v>
      </c>
      <c r="DQ187" s="421">
        <v>0</v>
      </c>
      <c r="DR187" s="421">
        <v>0</v>
      </c>
      <c r="DS187" s="421">
        <v>0</v>
      </c>
      <c r="DT187" s="421">
        <v>0</v>
      </c>
      <c r="DU187" s="421">
        <v>0</v>
      </c>
      <c r="DV187" s="421">
        <v>0</v>
      </c>
      <c r="DW187" s="421">
        <v>0</v>
      </c>
      <c r="DX187" s="421">
        <v>0</v>
      </c>
      <c r="DY187" s="421">
        <v>64153000</v>
      </c>
      <c r="DZ187" s="421">
        <v>64153000</v>
      </c>
      <c r="EA187" s="421">
        <v>0</v>
      </c>
      <c r="EB187" s="421">
        <v>0</v>
      </c>
      <c r="EC187" s="421" t="s">
        <v>1148</v>
      </c>
      <c r="ED187" s="421" t="s">
        <v>1167</v>
      </c>
      <c r="EE187" s="421" t="s">
        <v>1167</v>
      </c>
    </row>
    <row r="188" spans="1:135" x14ac:dyDescent="0.25">
      <c r="A188" s="421">
        <v>185</v>
      </c>
      <c r="B188" s="421">
        <v>2015</v>
      </c>
      <c r="C188" s="421">
        <v>9</v>
      </c>
      <c r="D188" s="421">
        <v>8</v>
      </c>
      <c r="E188" s="424">
        <v>42255</v>
      </c>
      <c r="F188" s="421" t="s">
        <v>2530</v>
      </c>
      <c r="G188" s="421" t="s">
        <v>2531</v>
      </c>
      <c r="H188" s="421" t="s">
        <v>1106</v>
      </c>
      <c r="I188" s="421" t="s">
        <v>1107</v>
      </c>
      <c r="J188" s="421" t="s">
        <v>1108</v>
      </c>
      <c r="K188" s="421" t="s">
        <v>1202</v>
      </c>
      <c r="L188" s="421" t="s">
        <v>1110</v>
      </c>
      <c r="O188" s="421" t="s">
        <v>1111</v>
      </c>
      <c r="R188" s="421" t="s">
        <v>1111</v>
      </c>
      <c r="S188" s="421" t="s">
        <v>1112</v>
      </c>
      <c r="T188" s="421" t="s">
        <v>1113</v>
      </c>
      <c r="U188" s="421" t="s">
        <v>1114</v>
      </c>
      <c r="V188" s="421" t="s">
        <v>1115</v>
      </c>
      <c r="W188" s="421" t="s">
        <v>1116</v>
      </c>
      <c r="X188" s="421" t="s">
        <v>1117</v>
      </c>
      <c r="Y188" s="421" t="s">
        <v>1118</v>
      </c>
      <c r="Z188" s="421" t="s">
        <v>1119</v>
      </c>
      <c r="AA188" s="421" t="s">
        <v>1120</v>
      </c>
      <c r="AB188" s="421" t="s">
        <v>1121</v>
      </c>
      <c r="AC188" s="421" t="s">
        <v>1122</v>
      </c>
      <c r="AD188" s="421" t="s">
        <v>1479</v>
      </c>
      <c r="AE188" s="421" t="s">
        <v>1203</v>
      </c>
      <c r="AF188" s="421" t="s">
        <v>1204</v>
      </c>
      <c r="AG188" s="421" t="s">
        <v>2532</v>
      </c>
      <c r="AH188" s="421">
        <v>43000</v>
      </c>
      <c r="AI188" s="421" t="s">
        <v>1127</v>
      </c>
      <c r="AJ188" s="421">
        <v>2</v>
      </c>
      <c r="AK188" s="421">
        <v>1</v>
      </c>
      <c r="AL188" s="421" t="s">
        <v>1283</v>
      </c>
      <c r="AM188" s="421">
        <v>43000</v>
      </c>
      <c r="AN188" s="421">
        <v>43485</v>
      </c>
      <c r="AO188" s="421" t="s">
        <v>1120</v>
      </c>
      <c r="AP188" s="421" t="s">
        <v>1129</v>
      </c>
      <c r="AR188" s="421" t="s">
        <v>1130</v>
      </c>
      <c r="AT188" s="421" t="s">
        <v>1131</v>
      </c>
      <c r="AU188" s="421" t="s">
        <v>1319</v>
      </c>
      <c r="AV188" s="421" t="s">
        <v>1320</v>
      </c>
      <c r="AW188" s="421" t="s">
        <v>1207</v>
      </c>
      <c r="AX188" s="421" t="s">
        <v>1207</v>
      </c>
      <c r="AY188" s="421" t="s">
        <v>1208</v>
      </c>
      <c r="AZ188" s="421" t="s">
        <v>1121</v>
      </c>
      <c r="BA188" s="421" t="s">
        <v>1209</v>
      </c>
      <c r="BB188" s="421" t="s">
        <v>1208</v>
      </c>
      <c r="BC188" s="421" t="s">
        <v>1210</v>
      </c>
      <c r="BD188" s="421" t="s">
        <v>1211</v>
      </c>
      <c r="BE188" s="421" t="s">
        <v>1212</v>
      </c>
      <c r="BF188" s="421" t="s">
        <v>2500</v>
      </c>
      <c r="BG188" s="421" t="s">
        <v>2501</v>
      </c>
      <c r="BH188" s="421" t="s">
        <v>2533</v>
      </c>
      <c r="BI188" s="421" t="s">
        <v>1142</v>
      </c>
      <c r="BJ188" s="421" t="s">
        <v>1163</v>
      </c>
      <c r="BK188" s="421" t="s">
        <v>2531</v>
      </c>
      <c r="BL188" s="421" t="s">
        <v>2534</v>
      </c>
      <c r="BM188" s="421" t="s">
        <v>2535</v>
      </c>
      <c r="BN188" s="421" t="s">
        <v>2369</v>
      </c>
      <c r="BO188" s="421">
        <v>0</v>
      </c>
      <c r="BR188" s="421">
        <v>0</v>
      </c>
      <c r="BS188" s="421">
        <v>0</v>
      </c>
      <c r="BT188" s="421">
        <v>0</v>
      </c>
      <c r="BU188" s="424">
        <v>42239</v>
      </c>
      <c r="BX188" s="421">
        <v>3119.93</v>
      </c>
      <c r="BY188" s="421" t="s">
        <v>1147</v>
      </c>
      <c r="BZ188" s="421">
        <v>81700</v>
      </c>
      <c r="CA188" s="421">
        <v>254898281</v>
      </c>
      <c r="CB188" s="421">
        <v>32.68</v>
      </c>
      <c r="CC188" s="421">
        <v>0</v>
      </c>
      <c r="CD188" s="421">
        <v>2420</v>
      </c>
      <c r="CE188" s="421">
        <v>2452.6799999999998</v>
      </c>
      <c r="CF188" s="421">
        <v>0</v>
      </c>
      <c r="CG188" s="421">
        <v>84152.68</v>
      </c>
      <c r="CH188" s="421">
        <v>0</v>
      </c>
      <c r="CI188" s="421">
        <v>84152.68</v>
      </c>
      <c r="CJ188" s="421">
        <v>262550470.91240001</v>
      </c>
      <c r="CK188" s="421">
        <v>0</v>
      </c>
      <c r="CL188" s="421">
        <v>262550471</v>
      </c>
      <c r="CM188" s="421">
        <v>0</v>
      </c>
      <c r="CN188" s="421">
        <v>0</v>
      </c>
      <c r="CO188" s="421">
        <v>0</v>
      </c>
      <c r="CP188" s="421">
        <v>0</v>
      </c>
      <c r="CQ188" s="421">
        <v>0</v>
      </c>
      <c r="CR188" s="421">
        <v>262550471</v>
      </c>
      <c r="CS188" s="421">
        <v>0</v>
      </c>
      <c r="CT188" s="421">
        <v>0</v>
      </c>
      <c r="CU188" s="421">
        <v>0</v>
      </c>
      <c r="CV188" s="421">
        <v>0</v>
      </c>
      <c r="CW188" s="421">
        <v>0</v>
      </c>
      <c r="CX188" s="421">
        <v>0</v>
      </c>
      <c r="CY188" s="421">
        <v>0</v>
      </c>
      <c r="CZ188" s="421">
        <v>0</v>
      </c>
      <c r="DA188" s="421">
        <v>0</v>
      </c>
      <c r="DB188" s="421">
        <v>0</v>
      </c>
      <c r="DC188" s="421">
        <v>0</v>
      </c>
      <c r="DD188" s="421">
        <v>0</v>
      </c>
      <c r="DE188" s="421">
        <v>0</v>
      </c>
      <c r="DF188" s="421">
        <v>0</v>
      </c>
      <c r="DG188" s="421">
        <v>0</v>
      </c>
      <c r="DH188" s="421">
        <v>0</v>
      </c>
      <c r="DI188" s="421">
        <v>0</v>
      </c>
      <c r="DJ188" s="421">
        <v>0</v>
      </c>
      <c r="DK188" s="421">
        <v>0</v>
      </c>
      <c r="DL188" s="421">
        <v>0</v>
      </c>
      <c r="DM188" s="421">
        <v>0</v>
      </c>
      <c r="DN188" s="421">
        <v>0</v>
      </c>
      <c r="DO188" s="421">
        <v>0</v>
      </c>
      <c r="DP188" s="421">
        <v>0</v>
      </c>
      <c r="DQ188" s="421">
        <v>0</v>
      </c>
      <c r="DR188" s="421">
        <v>0</v>
      </c>
      <c r="DS188" s="421">
        <v>0</v>
      </c>
      <c r="DT188" s="421">
        <v>0</v>
      </c>
      <c r="DU188" s="421">
        <v>0</v>
      </c>
      <c r="DV188" s="421">
        <v>0</v>
      </c>
      <c r="DW188" s="421">
        <v>0</v>
      </c>
      <c r="DX188" s="421">
        <v>0</v>
      </c>
      <c r="DY188" s="421">
        <v>0</v>
      </c>
      <c r="DZ188" s="421">
        <v>0</v>
      </c>
      <c r="EA188" s="421">
        <v>0</v>
      </c>
      <c r="EB188" s="421">
        <v>0</v>
      </c>
      <c r="EC188" s="421" t="s">
        <v>1148</v>
      </c>
      <c r="ED188" s="421" t="s">
        <v>1149</v>
      </c>
      <c r="EE188" s="421" t="s">
        <v>1149</v>
      </c>
    </row>
    <row r="189" spans="1:135" x14ac:dyDescent="0.25">
      <c r="A189" s="421">
        <v>186</v>
      </c>
      <c r="B189" s="421">
        <v>2015</v>
      </c>
      <c r="C189" s="421">
        <v>9</v>
      </c>
      <c r="D189" s="421">
        <v>8</v>
      </c>
      <c r="E189" s="424">
        <v>42255</v>
      </c>
      <c r="F189" s="421" t="s">
        <v>2536</v>
      </c>
      <c r="G189" s="421" t="s">
        <v>2537</v>
      </c>
      <c r="H189" s="421" t="s">
        <v>1106</v>
      </c>
      <c r="I189" s="421" t="s">
        <v>1107</v>
      </c>
      <c r="J189" s="421" t="s">
        <v>1108</v>
      </c>
      <c r="K189" s="421" t="s">
        <v>1109</v>
      </c>
      <c r="L189" s="421" t="s">
        <v>1110</v>
      </c>
      <c r="O189" s="421" t="s">
        <v>1111</v>
      </c>
      <c r="R189" s="421" t="s">
        <v>1111</v>
      </c>
      <c r="S189" s="421" t="s">
        <v>1112</v>
      </c>
      <c r="T189" s="421" t="s">
        <v>1113</v>
      </c>
      <c r="U189" s="421" t="s">
        <v>1114</v>
      </c>
      <c r="V189" s="421" t="s">
        <v>1115</v>
      </c>
      <c r="W189" s="421" t="s">
        <v>1116</v>
      </c>
      <c r="X189" s="421" t="s">
        <v>1117</v>
      </c>
      <c r="Y189" s="421" t="s">
        <v>1118</v>
      </c>
      <c r="Z189" s="421" t="s">
        <v>1119</v>
      </c>
      <c r="AA189" s="421" t="s">
        <v>1120</v>
      </c>
      <c r="AB189" s="421" t="s">
        <v>1121</v>
      </c>
      <c r="AC189" s="421" t="s">
        <v>1122</v>
      </c>
      <c r="AD189" s="421" t="s">
        <v>1479</v>
      </c>
      <c r="AE189" s="421" t="s">
        <v>1517</v>
      </c>
      <c r="AF189" s="421" t="s">
        <v>1518</v>
      </c>
      <c r="AG189" s="421" t="s">
        <v>2357</v>
      </c>
      <c r="AH189" s="421">
        <v>1125</v>
      </c>
      <c r="AI189" s="421" t="s">
        <v>1127</v>
      </c>
      <c r="AJ189" s="421">
        <v>2</v>
      </c>
      <c r="AK189" s="421">
        <v>1</v>
      </c>
      <c r="AL189" s="421" t="s">
        <v>1173</v>
      </c>
      <c r="AM189" s="421">
        <v>1125</v>
      </c>
      <c r="AN189" s="421">
        <v>1215</v>
      </c>
      <c r="AO189" s="421" t="s">
        <v>1120</v>
      </c>
      <c r="AP189" s="421" t="s">
        <v>1129</v>
      </c>
      <c r="AR189" s="421" t="s">
        <v>1130</v>
      </c>
      <c r="AT189" s="421" t="s">
        <v>1131</v>
      </c>
      <c r="AU189" s="421" t="s">
        <v>1132</v>
      </c>
      <c r="AV189" s="421" t="s">
        <v>1133</v>
      </c>
      <c r="AW189" s="421" t="s">
        <v>960</v>
      </c>
      <c r="AX189" s="421" t="s">
        <v>960</v>
      </c>
      <c r="AY189" s="421" t="s">
        <v>960</v>
      </c>
      <c r="AZ189" s="421" t="s">
        <v>1121</v>
      </c>
      <c r="BA189" s="421" t="s">
        <v>1520</v>
      </c>
      <c r="BB189" s="421" t="s">
        <v>960</v>
      </c>
      <c r="BC189" s="421" t="s">
        <v>1521</v>
      </c>
      <c r="BD189" s="421" t="s">
        <v>1522</v>
      </c>
      <c r="BE189" s="421" t="s">
        <v>1523</v>
      </c>
      <c r="BF189" s="421" t="s">
        <v>2538</v>
      </c>
      <c r="BG189" s="421" t="s">
        <v>2501</v>
      </c>
      <c r="BH189" s="421" t="s">
        <v>2539</v>
      </c>
      <c r="BI189" s="421" t="s">
        <v>1142</v>
      </c>
      <c r="BJ189" s="421" t="s">
        <v>1180</v>
      </c>
      <c r="BK189" s="421" t="s">
        <v>2537</v>
      </c>
      <c r="BL189" s="421" t="s">
        <v>2540</v>
      </c>
      <c r="BM189" s="421" t="s">
        <v>2358</v>
      </c>
      <c r="BN189" s="421" t="s">
        <v>2129</v>
      </c>
      <c r="BO189" s="421">
        <v>0</v>
      </c>
      <c r="BR189" s="421">
        <v>0</v>
      </c>
      <c r="BS189" s="421">
        <v>0</v>
      </c>
      <c r="BT189" s="421">
        <v>0</v>
      </c>
      <c r="BU189" s="424">
        <v>42183</v>
      </c>
      <c r="BX189" s="421">
        <v>3119.93</v>
      </c>
      <c r="BY189" s="421" t="s">
        <v>1183</v>
      </c>
      <c r="BZ189" s="421">
        <v>13528.25</v>
      </c>
      <c r="CA189" s="421">
        <v>42207193.022500001</v>
      </c>
      <c r="CB189" s="421">
        <v>5.41</v>
      </c>
      <c r="CC189" s="421">
        <v>0</v>
      </c>
      <c r="CD189" s="421">
        <v>727.78</v>
      </c>
      <c r="CE189" s="421">
        <v>733.19</v>
      </c>
      <c r="CF189" s="421">
        <v>0</v>
      </c>
      <c r="CG189" s="421">
        <v>14261.44</v>
      </c>
      <c r="CH189" s="421">
        <v>0</v>
      </c>
      <c r="CI189" s="421">
        <v>14261.44</v>
      </c>
      <c r="CJ189" s="421">
        <v>44494694.499200001</v>
      </c>
      <c r="CK189" s="421">
        <v>10</v>
      </c>
      <c r="CL189" s="421">
        <v>44494694</v>
      </c>
      <c r="CM189" s="421">
        <v>4449000</v>
      </c>
      <c r="CN189" s="421">
        <v>4449000</v>
      </c>
      <c r="CO189" s="421">
        <v>0</v>
      </c>
      <c r="CP189" s="421">
        <v>0</v>
      </c>
      <c r="CQ189" s="421">
        <v>16</v>
      </c>
      <c r="CR189" s="421">
        <v>48943694</v>
      </c>
      <c r="CS189" s="421">
        <v>7831000</v>
      </c>
      <c r="CT189" s="421">
        <v>7831000</v>
      </c>
      <c r="CU189" s="421">
        <v>0</v>
      </c>
      <c r="CV189" s="421">
        <v>0</v>
      </c>
      <c r="CW189" s="421">
        <v>0</v>
      </c>
      <c r="CX189" s="421">
        <v>0</v>
      </c>
      <c r="CY189" s="421">
        <v>0</v>
      </c>
      <c r="CZ189" s="421">
        <v>0</v>
      </c>
      <c r="DA189" s="421">
        <v>0</v>
      </c>
      <c r="DB189" s="421">
        <v>0</v>
      </c>
      <c r="DC189" s="421">
        <v>0</v>
      </c>
      <c r="DD189" s="421">
        <v>0</v>
      </c>
      <c r="DE189" s="421">
        <v>0</v>
      </c>
      <c r="DF189" s="421">
        <v>0</v>
      </c>
      <c r="DG189" s="421">
        <v>0</v>
      </c>
      <c r="DH189" s="421">
        <v>0</v>
      </c>
      <c r="DI189" s="421">
        <v>0</v>
      </c>
      <c r="DJ189" s="421">
        <v>0</v>
      </c>
      <c r="DK189" s="421">
        <v>0</v>
      </c>
      <c r="DL189" s="421">
        <v>0</v>
      </c>
      <c r="DM189" s="421">
        <v>0</v>
      </c>
      <c r="DN189" s="421">
        <v>0</v>
      </c>
      <c r="DO189" s="421">
        <v>0</v>
      </c>
      <c r="DP189" s="421">
        <v>0</v>
      </c>
      <c r="DQ189" s="421">
        <v>0</v>
      </c>
      <c r="DR189" s="421">
        <v>0</v>
      </c>
      <c r="DS189" s="421">
        <v>0</v>
      </c>
      <c r="DT189" s="421">
        <v>0</v>
      </c>
      <c r="DU189" s="421">
        <v>0</v>
      </c>
      <c r="DV189" s="421">
        <v>0</v>
      </c>
      <c r="DW189" s="421">
        <v>0</v>
      </c>
      <c r="DX189" s="421">
        <v>0</v>
      </c>
      <c r="DY189" s="421">
        <v>12280000</v>
      </c>
      <c r="DZ189" s="421">
        <v>12280000</v>
      </c>
      <c r="EA189" s="421">
        <v>0</v>
      </c>
      <c r="EB189" s="421">
        <v>0</v>
      </c>
      <c r="EC189" s="421" t="s">
        <v>1148</v>
      </c>
      <c r="ED189" s="421" t="s">
        <v>1167</v>
      </c>
      <c r="EE189" s="421" t="s">
        <v>1167</v>
      </c>
    </row>
    <row r="190" spans="1:135" x14ac:dyDescent="0.25">
      <c r="A190" s="421">
        <v>187</v>
      </c>
      <c r="B190" s="421">
        <v>2015</v>
      </c>
      <c r="C190" s="421">
        <v>9</v>
      </c>
      <c r="D190" s="421">
        <v>8</v>
      </c>
      <c r="E190" s="424">
        <v>42255</v>
      </c>
      <c r="F190" s="421" t="s">
        <v>2541</v>
      </c>
      <c r="G190" s="421" t="s">
        <v>2542</v>
      </c>
      <c r="H190" s="421" t="s">
        <v>1106</v>
      </c>
      <c r="I190" s="421" t="s">
        <v>1281</v>
      </c>
      <c r="J190" s="421" t="s">
        <v>1108</v>
      </c>
      <c r="K190" s="421" t="s">
        <v>1109</v>
      </c>
      <c r="L190" s="421" t="s">
        <v>1110</v>
      </c>
      <c r="O190" s="421" t="s">
        <v>1111</v>
      </c>
      <c r="R190" s="421" t="s">
        <v>1111</v>
      </c>
      <c r="S190" s="421" t="s">
        <v>1112</v>
      </c>
      <c r="T190" s="421" t="s">
        <v>1113</v>
      </c>
      <c r="U190" s="421" t="s">
        <v>1114</v>
      </c>
      <c r="V190" s="421" t="s">
        <v>1115</v>
      </c>
      <c r="W190" s="421" t="s">
        <v>1116</v>
      </c>
      <c r="X190" s="421" t="s">
        <v>1117</v>
      </c>
      <c r="Y190" s="421" t="s">
        <v>1118</v>
      </c>
      <c r="Z190" s="421" t="s">
        <v>1119</v>
      </c>
      <c r="AA190" s="421" t="s">
        <v>1120</v>
      </c>
      <c r="AB190" s="421" t="s">
        <v>1121</v>
      </c>
      <c r="AC190" s="421" t="s">
        <v>1122</v>
      </c>
      <c r="AD190" s="421" t="s">
        <v>1479</v>
      </c>
      <c r="AE190" s="421" t="s">
        <v>1517</v>
      </c>
      <c r="AF190" s="421" t="s">
        <v>1518</v>
      </c>
      <c r="AG190" s="421" t="s">
        <v>2543</v>
      </c>
      <c r="AH190" s="421">
        <v>2200</v>
      </c>
      <c r="AI190" s="421" t="s">
        <v>1127</v>
      </c>
      <c r="AJ190" s="421">
        <v>88</v>
      </c>
      <c r="AK190" s="421">
        <v>1</v>
      </c>
      <c r="AL190" s="421" t="s">
        <v>1173</v>
      </c>
      <c r="AM190" s="421">
        <v>2200</v>
      </c>
      <c r="AN190" s="421">
        <v>2376</v>
      </c>
      <c r="AO190" s="421" t="s">
        <v>1120</v>
      </c>
      <c r="AP190" s="421" t="s">
        <v>1129</v>
      </c>
      <c r="AR190" s="421" t="s">
        <v>1130</v>
      </c>
      <c r="AT190" s="421" t="s">
        <v>1131</v>
      </c>
      <c r="AU190" s="421" t="s">
        <v>1190</v>
      </c>
      <c r="AV190" s="421" t="s">
        <v>1191</v>
      </c>
      <c r="AW190" s="421" t="s">
        <v>960</v>
      </c>
      <c r="AX190" s="421" t="s">
        <v>960</v>
      </c>
      <c r="AY190" s="421" t="s">
        <v>960</v>
      </c>
      <c r="AZ190" s="421" t="s">
        <v>1121</v>
      </c>
      <c r="BA190" s="421" t="s">
        <v>1520</v>
      </c>
      <c r="BB190" s="421" t="s">
        <v>960</v>
      </c>
      <c r="BC190" s="421" t="s">
        <v>1521</v>
      </c>
      <c r="BD190" s="421" t="s">
        <v>1522</v>
      </c>
      <c r="BE190" s="421" t="s">
        <v>1523</v>
      </c>
      <c r="BF190" s="421" t="s">
        <v>2544</v>
      </c>
      <c r="BG190" s="421" t="s">
        <v>2534</v>
      </c>
      <c r="BH190" s="421" t="s">
        <v>2545</v>
      </c>
      <c r="BI190" s="421" t="s">
        <v>1142</v>
      </c>
      <c r="BJ190" s="421" t="s">
        <v>1163</v>
      </c>
      <c r="BK190" s="421" t="s">
        <v>2542</v>
      </c>
      <c r="BL190" s="421" t="s">
        <v>2534</v>
      </c>
      <c r="BM190" s="421" t="s">
        <v>2546</v>
      </c>
      <c r="BN190" s="421" t="s">
        <v>2331</v>
      </c>
      <c r="BO190" s="421">
        <v>0</v>
      </c>
      <c r="BR190" s="421">
        <v>0</v>
      </c>
      <c r="BS190" s="421">
        <v>0</v>
      </c>
      <c r="BT190" s="421">
        <v>0</v>
      </c>
      <c r="BU190" s="424">
        <v>42231</v>
      </c>
      <c r="BX190" s="421">
        <v>3119.93</v>
      </c>
      <c r="BY190" s="421" t="s">
        <v>1183</v>
      </c>
      <c r="BZ190" s="421">
        <v>26608</v>
      </c>
      <c r="CA190" s="421">
        <v>83015097.439999998</v>
      </c>
      <c r="CB190" s="421">
        <v>10.64</v>
      </c>
      <c r="CC190" s="421">
        <v>0</v>
      </c>
      <c r="CD190" s="421">
        <v>1575</v>
      </c>
      <c r="CE190" s="421">
        <v>1585.64</v>
      </c>
      <c r="CF190" s="421">
        <v>0</v>
      </c>
      <c r="CG190" s="421">
        <v>28193.64</v>
      </c>
      <c r="CH190" s="421">
        <v>0</v>
      </c>
      <c r="CI190" s="421">
        <v>28193.64</v>
      </c>
      <c r="CJ190" s="421">
        <v>87962183.245199993</v>
      </c>
      <c r="CK190" s="421">
        <v>10</v>
      </c>
      <c r="CL190" s="421">
        <v>87962183</v>
      </c>
      <c r="CM190" s="421">
        <v>8796000</v>
      </c>
      <c r="CN190" s="421">
        <v>8796000</v>
      </c>
      <c r="CO190" s="421">
        <v>0</v>
      </c>
      <c r="CP190" s="421">
        <v>0</v>
      </c>
      <c r="CQ190" s="421">
        <v>16</v>
      </c>
      <c r="CR190" s="421">
        <v>96758183</v>
      </c>
      <c r="CS190" s="421">
        <v>15481000</v>
      </c>
      <c r="CT190" s="421">
        <v>15481000</v>
      </c>
      <c r="CU190" s="421">
        <v>0</v>
      </c>
      <c r="CV190" s="421">
        <v>0</v>
      </c>
      <c r="CW190" s="421">
        <v>0</v>
      </c>
      <c r="CX190" s="421">
        <v>0</v>
      </c>
      <c r="CY190" s="421">
        <v>0</v>
      </c>
      <c r="CZ190" s="421">
        <v>0</v>
      </c>
      <c r="DA190" s="421">
        <v>0</v>
      </c>
      <c r="DB190" s="421">
        <v>0</v>
      </c>
      <c r="DC190" s="421">
        <v>0</v>
      </c>
      <c r="DD190" s="421">
        <v>0</v>
      </c>
      <c r="DE190" s="421">
        <v>0</v>
      </c>
      <c r="DF190" s="421">
        <v>0</v>
      </c>
      <c r="DG190" s="421">
        <v>0</v>
      </c>
      <c r="DH190" s="421">
        <v>0</v>
      </c>
      <c r="DI190" s="421">
        <v>0</v>
      </c>
      <c r="DJ190" s="421">
        <v>0</v>
      </c>
      <c r="DK190" s="421">
        <v>0</v>
      </c>
      <c r="DL190" s="421">
        <v>0</v>
      </c>
      <c r="DM190" s="421">
        <v>0</v>
      </c>
      <c r="DN190" s="421">
        <v>0</v>
      </c>
      <c r="DO190" s="421">
        <v>0</v>
      </c>
      <c r="DP190" s="421">
        <v>0</v>
      </c>
      <c r="DQ190" s="421">
        <v>0</v>
      </c>
      <c r="DR190" s="421">
        <v>0</v>
      </c>
      <c r="DS190" s="421">
        <v>0</v>
      </c>
      <c r="DT190" s="421">
        <v>0</v>
      </c>
      <c r="DU190" s="421">
        <v>0</v>
      </c>
      <c r="DV190" s="421">
        <v>0</v>
      </c>
      <c r="DW190" s="421">
        <v>0</v>
      </c>
      <c r="DX190" s="421">
        <v>0</v>
      </c>
      <c r="DY190" s="421">
        <v>24277000</v>
      </c>
      <c r="DZ190" s="421">
        <v>24277000</v>
      </c>
      <c r="EA190" s="421">
        <v>0</v>
      </c>
      <c r="EB190" s="421">
        <v>0</v>
      </c>
      <c r="EC190" s="421" t="s">
        <v>1148</v>
      </c>
      <c r="ED190" s="421" t="s">
        <v>1167</v>
      </c>
      <c r="EE190" s="421" t="s">
        <v>1167</v>
      </c>
    </row>
    <row r="191" spans="1:135" x14ac:dyDescent="0.25">
      <c r="A191" s="421">
        <v>188</v>
      </c>
      <c r="B191" s="421">
        <v>2015</v>
      </c>
      <c r="C191" s="421">
        <v>9</v>
      </c>
      <c r="D191" s="421">
        <v>10</v>
      </c>
      <c r="E191" s="424">
        <v>42257</v>
      </c>
      <c r="F191" s="421" t="s">
        <v>2547</v>
      </c>
      <c r="G191" s="421" t="s">
        <v>2548</v>
      </c>
      <c r="H191" s="421" t="s">
        <v>1152</v>
      </c>
      <c r="I191" s="421" t="s">
        <v>1107</v>
      </c>
      <c r="J191" s="421" t="s">
        <v>1108</v>
      </c>
      <c r="K191" s="421" t="s">
        <v>1202</v>
      </c>
      <c r="L191" s="421" t="s">
        <v>1110</v>
      </c>
      <c r="O191" s="421" t="s">
        <v>1111</v>
      </c>
      <c r="R191" s="421" t="s">
        <v>1111</v>
      </c>
      <c r="S191" s="421" t="s">
        <v>1112</v>
      </c>
      <c r="T191" s="421" t="s">
        <v>1113</v>
      </c>
      <c r="U191" s="421" t="s">
        <v>1114</v>
      </c>
      <c r="V191" s="421" t="s">
        <v>1115</v>
      </c>
      <c r="W191" s="421" t="s">
        <v>1116</v>
      </c>
      <c r="X191" s="421" t="s">
        <v>1117</v>
      </c>
      <c r="Y191" s="421" t="s">
        <v>1118</v>
      </c>
      <c r="Z191" s="421" t="s">
        <v>1119</v>
      </c>
      <c r="AA191" s="421" t="s">
        <v>1120</v>
      </c>
      <c r="AB191" s="421" t="s">
        <v>1121</v>
      </c>
      <c r="AC191" s="421" t="s">
        <v>1122</v>
      </c>
      <c r="AD191" s="421" t="s">
        <v>1479</v>
      </c>
      <c r="AE191" s="421" t="s">
        <v>1203</v>
      </c>
      <c r="AF191" s="421" t="s">
        <v>1204</v>
      </c>
      <c r="AG191" s="421" t="s">
        <v>2549</v>
      </c>
      <c r="AH191" s="421">
        <v>21500</v>
      </c>
      <c r="AI191" s="421" t="s">
        <v>1127</v>
      </c>
      <c r="AJ191" s="421">
        <v>1</v>
      </c>
      <c r="AK191" s="421">
        <v>1</v>
      </c>
      <c r="AL191" s="421" t="s">
        <v>1283</v>
      </c>
      <c r="AM191" s="421">
        <v>21500</v>
      </c>
      <c r="AN191" s="421">
        <v>21743</v>
      </c>
      <c r="AO191" s="421" t="s">
        <v>1120</v>
      </c>
      <c r="AP191" s="421" t="s">
        <v>1129</v>
      </c>
      <c r="AR191" s="421" t="s">
        <v>1130</v>
      </c>
      <c r="AT191" s="421" t="s">
        <v>1131</v>
      </c>
      <c r="AU191" s="421" t="s">
        <v>1132</v>
      </c>
      <c r="AV191" s="421" t="s">
        <v>1133</v>
      </c>
      <c r="AW191" s="421" t="s">
        <v>1207</v>
      </c>
      <c r="AX191" s="421" t="s">
        <v>1207</v>
      </c>
      <c r="AY191" s="421" t="s">
        <v>1208</v>
      </c>
      <c r="AZ191" s="421" t="s">
        <v>1121</v>
      </c>
      <c r="BA191" s="421" t="s">
        <v>1209</v>
      </c>
      <c r="BB191" s="421" t="s">
        <v>1208</v>
      </c>
      <c r="BC191" s="421" t="s">
        <v>1210</v>
      </c>
      <c r="BD191" s="421" t="s">
        <v>1211</v>
      </c>
      <c r="BE191" s="421" t="s">
        <v>1212</v>
      </c>
      <c r="BF191" s="421" t="s">
        <v>2550</v>
      </c>
      <c r="BG191" s="421" t="s">
        <v>2534</v>
      </c>
      <c r="BH191" s="421" t="s">
        <v>2551</v>
      </c>
      <c r="BI191" s="421" t="s">
        <v>1142</v>
      </c>
      <c r="BJ191" s="421" t="s">
        <v>1243</v>
      </c>
      <c r="BK191" s="421" t="s">
        <v>2548</v>
      </c>
      <c r="BL191" s="421" t="s">
        <v>2552</v>
      </c>
      <c r="BM191" s="421" t="s">
        <v>2553</v>
      </c>
      <c r="BN191" s="421" t="s">
        <v>2491</v>
      </c>
      <c r="BO191" s="421">
        <v>0</v>
      </c>
      <c r="BR191" s="421">
        <v>0</v>
      </c>
      <c r="BS191" s="421">
        <v>0</v>
      </c>
      <c r="BT191" s="421">
        <v>0</v>
      </c>
      <c r="BU191" s="424">
        <v>42249</v>
      </c>
      <c r="BX191" s="421">
        <v>3119.93</v>
      </c>
      <c r="BY191" s="421" t="s">
        <v>1147</v>
      </c>
      <c r="BZ191" s="421">
        <v>40850</v>
      </c>
      <c r="CA191" s="421">
        <v>127449140.5</v>
      </c>
      <c r="CB191" s="421">
        <v>16.34</v>
      </c>
      <c r="CC191" s="421">
        <v>0</v>
      </c>
      <c r="CD191" s="421">
        <v>1000</v>
      </c>
      <c r="CE191" s="421">
        <v>1016.34</v>
      </c>
      <c r="CF191" s="421">
        <v>0</v>
      </c>
      <c r="CG191" s="421">
        <v>41866.339999999997</v>
      </c>
      <c r="CH191" s="421">
        <v>0</v>
      </c>
      <c r="CI191" s="421">
        <v>41866.339999999997</v>
      </c>
      <c r="CJ191" s="421">
        <v>130620050.15620001</v>
      </c>
      <c r="CK191" s="421">
        <v>0</v>
      </c>
      <c r="CL191" s="421">
        <v>130620050</v>
      </c>
      <c r="CM191" s="421">
        <v>0</v>
      </c>
      <c r="CN191" s="421">
        <v>0</v>
      </c>
      <c r="CO191" s="421">
        <v>0</v>
      </c>
      <c r="CP191" s="421">
        <v>0</v>
      </c>
      <c r="CQ191" s="421">
        <v>0</v>
      </c>
      <c r="CR191" s="421">
        <v>130620050</v>
      </c>
      <c r="CS191" s="421">
        <v>0</v>
      </c>
      <c r="CT191" s="421">
        <v>0</v>
      </c>
      <c r="CU191" s="421">
        <v>0</v>
      </c>
      <c r="CV191" s="421">
        <v>0</v>
      </c>
      <c r="CW191" s="421">
        <v>0</v>
      </c>
      <c r="CX191" s="421">
        <v>0</v>
      </c>
      <c r="CY191" s="421">
        <v>0</v>
      </c>
      <c r="CZ191" s="421">
        <v>0</v>
      </c>
      <c r="DA191" s="421">
        <v>0</v>
      </c>
      <c r="DB191" s="421">
        <v>0</v>
      </c>
      <c r="DC191" s="421">
        <v>0</v>
      </c>
      <c r="DD191" s="421">
        <v>0</v>
      </c>
      <c r="DE191" s="421">
        <v>0</v>
      </c>
      <c r="DF191" s="421">
        <v>0</v>
      </c>
      <c r="DG191" s="421">
        <v>0</v>
      </c>
      <c r="DH191" s="421">
        <v>0</v>
      </c>
      <c r="DI191" s="421">
        <v>0</v>
      </c>
      <c r="DJ191" s="421">
        <v>0</v>
      </c>
      <c r="DK191" s="421">
        <v>0</v>
      </c>
      <c r="DL191" s="421">
        <v>0</v>
      </c>
      <c r="DM191" s="421">
        <v>0</v>
      </c>
      <c r="DN191" s="421">
        <v>0</v>
      </c>
      <c r="DO191" s="421">
        <v>0</v>
      </c>
      <c r="DP191" s="421">
        <v>0</v>
      </c>
      <c r="DQ191" s="421">
        <v>0</v>
      </c>
      <c r="DR191" s="421">
        <v>0</v>
      </c>
      <c r="DS191" s="421">
        <v>0</v>
      </c>
      <c r="DT191" s="421">
        <v>0</v>
      </c>
      <c r="DU191" s="421">
        <v>0</v>
      </c>
      <c r="DV191" s="421">
        <v>0</v>
      </c>
      <c r="DW191" s="421">
        <v>0</v>
      </c>
      <c r="DX191" s="421">
        <v>0</v>
      </c>
      <c r="DY191" s="421">
        <v>0</v>
      </c>
      <c r="DZ191" s="421">
        <v>0</v>
      </c>
      <c r="EA191" s="421">
        <v>0</v>
      </c>
      <c r="EB191" s="421">
        <v>0</v>
      </c>
      <c r="EC191" s="421" t="s">
        <v>1148</v>
      </c>
      <c r="ED191" s="421" t="s">
        <v>1149</v>
      </c>
      <c r="EE191" s="421" t="s">
        <v>1149</v>
      </c>
    </row>
    <row r="192" spans="1:135" x14ac:dyDescent="0.25">
      <c r="A192" s="421">
        <v>189</v>
      </c>
      <c r="B192" s="421">
        <v>2015</v>
      </c>
      <c r="C192" s="421">
        <v>9</v>
      </c>
      <c r="D192" s="421">
        <v>10</v>
      </c>
      <c r="E192" s="424">
        <v>42257</v>
      </c>
      <c r="F192" s="421" t="s">
        <v>2554</v>
      </c>
      <c r="G192" s="421" t="s">
        <v>2555</v>
      </c>
      <c r="H192" s="421" t="s">
        <v>1152</v>
      </c>
      <c r="I192" s="421" t="s">
        <v>1107</v>
      </c>
      <c r="J192" s="421" t="s">
        <v>1108</v>
      </c>
      <c r="K192" s="421" t="s">
        <v>1109</v>
      </c>
      <c r="L192" s="421" t="s">
        <v>1110</v>
      </c>
      <c r="O192" s="421" t="s">
        <v>1111</v>
      </c>
      <c r="R192" s="421" t="s">
        <v>1111</v>
      </c>
      <c r="S192" s="421" t="s">
        <v>1112</v>
      </c>
      <c r="T192" s="421" t="s">
        <v>1113</v>
      </c>
      <c r="U192" s="421" t="s">
        <v>1114</v>
      </c>
      <c r="V192" s="421" t="s">
        <v>1115</v>
      </c>
      <c r="W192" s="421" t="s">
        <v>1116</v>
      </c>
      <c r="X192" s="421" t="s">
        <v>1117</v>
      </c>
      <c r="Y192" s="421" t="s">
        <v>1118</v>
      </c>
      <c r="Z192" s="421" t="s">
        <v>1119</v>
      </c>
      <c r="AA192" s="421" t="s">
        <v>1120</v>
      </c>
      <c r="AB192" s="421" t="s">
        <v>1121</v>
      </c>
      <c r="AC192" s="421" t="s">
        <v>1122</v>
      </c>
      <c r="AD192" s="421" t="s">
        <v>1479</v>
      </c>
      <c r="AE192" s="421" t="s">
        <v>1471</v>
      </c>
      <c r="AF192" s="421" t="s">
        <v>1472</v>
      </c>
      <c r="AG192" s="421" t="s">
        <v>2556</v>
      </c>
      <c r="AH192" s="421">
        <v>30456</v>
      </c>
      <c r="AI192" s="421" t="s">
        <v>1189</v>
      </c>
      <c r="AJ192" s="421">
        <v>730</v>
      </c>
      <c r="AK192" s="421">
        <v>1</v>
      </c>
      <c r="AL192" s="421" t="s">
        <v>1173</v>
      </c>
      <c r="AM192" s="421">
        <v>1747.35</v>
      </c>
      <c r="AN192" s="421">
        <v>2160</v>
      </c>
      <c r="AO192" s="421" t="s">
        <v>1120</v>
      </c>
      <c r="AP192" s="421" t="s">
        <v>2557</v>
      </c>
      <c r="AQ192" s="421" t="s">
        <v>1475</v>
      </c>
      <c r="AR192" s="421" t="s">
        <v>1476</v>
      </c>
      <c r="AT192" s="421" t="s">
        <v>1131</v>
      </c>
      <c r="AU192" s="421" t="s">
        <v>1303</v>
      </c>
      <c r="AV192" s="421" t="s">
        <v>1304</v>
      </c>
      <c r="AW192" s="421" t="s">
        <v>960</v>
      </c>
      <c r="AX192" s="421" t="s">
        <v>960</v>
      </c>
      <c r="AY192" s="421" t="s">
        <v>960</v>
      </c>
      <c r="AZ192" s="421" t="s">
        <v>1121</v>
      </c>
      <c r="BA192" s="421" t="s">
        <v>2558</v>
      </c>
      <c r="BB192" s="421" t="s">
        <v>960</v>
      </c>
      <c r="BC192" s="421" t="s">
        <v>1605</v>
      </c>
      <c r="BD192" s="421" t="s">
        <v>2559</v>
      </c>
      <c r="BE192" s="421" t="s">
        <v>2560</v>
      </c>
      <c r="BF192" s="421" t="s">
        <v>2329</v>
      </c>
      <c r="BG192" s="421" t="s">
        <v>2322</v>
      </c>
      <c r="BH192" s="421" t="s">
        <v>2561</v>
      </c>
      <c r="BI192" s="421" t="s">
        <v>1142</v>
      </c>
      <c r="BJ192" s="421" t="s">
        <v>1243</v>
      </c>
      <c r="BK192" s="421" t="s">
        <v>2555</v>
      </c>
      <c r="BL192" s="421" t="s">
        <v>2552</v>
      </c>
      <c r="BM192" s="421" t="s">
        <v>2562</v>
      </c>
      <c r="BN192" s="421" t="s">
        <v>2208</v>
      </c>
      <c r="BO192" s="421">
        <v>0</v>
      </c>
      <c r="BR192" s="421">
        <v>0</v>
      </c>
      <c r="BS192" s="421">
        <v>0</v>
      </c>
      <c r="BT192" s="421">
        <v>0</v>
      </c>
      <c r="BU192" s="424">
        <v>42198</v>
      </c>
      <c r="BX192" s="421">
        <v>3119.93</v>
      </c>
      <c r="BY192" s="421" t="s">
        <v>1183</v>
      </c>
      <c r="BZ192" s="421">
        <v>11814.44</v>
      </c>
      <c r="CA192" s="421">
        <v>36860225.7892</v>
      </c>
      <c r="CB192" s="421">
        <v>4.7300000000000004</v>
      </c>
      <c r="CC192" s="421">
        <v>0</v>
      </c>
      <c r="CD192" s="421">
        <v>2340</v>
      </c>
      <c r="CE192" s="421">
        <v>2344.73</v>
      </c>
      <c r="CF192" s="421">
        <v>0</v>
      </c>
      <c r="CG192" s="421">
        <v>14159.17</v>
      </c>
      <c r="CH192" s="421">
        <v>0</v>
      </c>
      <c r="CI192" s="421">
        <v>14159.17</v>
      </c>
      <c r="CJ192" s="421">
        <v>44175619.258100003</v>
      </c>
      <c r="CK192" s="421">
        <v>15</v>
      </c>
      <c r="CL192" s="421">
        <v>44175619</v>
      </c>
      <c r="CM192" s="421">
        <v>6626000</v>
      </c>
      <c r="CN192" s="421">
        <v>6626000</v>
      </c>
      <c r="CO192" s="421">
        <v>0</v>
      </c>
      <c r="CP192" s="421">
        <v>0</v>
      </c>
      <c r="CQ192" s="421">
        <v>16</v>
      </c>
      <c r="CR192" s="421">
        <v>50801619</v>
      </c>
      <c r="CS192" s="421">
        <v>8128000</v>
      </c>
      <c r="CT192" s="421">
        <v>8128000</v>
      </c>
      <c r="CU192" s="421">
        <v>0</v>
      </c>
      <c r="CV192" s="421">
        <v>0</v>
      </c>
      <c r="CW192" s="421">
        <v>0</v>
      </c>
      <c r="CX192" s="421">
        <v>0</v>
      </c>
      <c r="CY192" s="421">
        <v>0</v>
      </c>
      <c r="CZ192" s="421">
        <v>0</v>
      </c>
      <c r="DA192" s="421">
        <v>0</v>
      </c>
      <c r="DB192" s="421">
        <v>0</v>
      </c>
      <c r="DC192" s="421">
        <v>0</v>
      </c>
      <c r="DD192" s="421">
        <v>0</v>
      </c>
      <c r="DE192" s="421">
        <v>0</v>
      </c>
      <c r="DF192" s="421">
        <v>0</v>
      </c>
      <c r="DG192" s="421">
        <v>0</v>
      </c>
      <c r="DH192" s="421">
        <v>0</v>
      </c>
      <c r="DI192" s="421">
        <v>0</v>
      </c>
      <c r="DJ192" s="421">
        <v>0</v>
      </c>
      <c r="DK192" s="421">
        <v>0</v>
      </c>
      <c r="DL192" s="421">
        <v>0</v>
      </c>
      <c r="DM192" s="421">
        <v>0</v>
      </c>
      <c r="DN192" s="421">
        <v>0</v>
      </c>
      <c r="DO192" s="421">
        <v>0</v>
      </c>
      <c r="DP192" s="421">
        <v>0</v>
      </c>
      <c r="DQ192" s="421">
        <v>0</v>
      </c>
      <c r="DR192" s="421">
        <v>0</v>
      </c>
      <c r="DS192" s="421">
        <v>0</v>
      </c>
      <c r="DT192" s="421">
        <v>0</v>
      </c>
      <c r="DU192" s="421">
        <v>0</v>
      </c>
      <c r="DV192" s="421">
        <v>0</v>
      </c>
      <c r="DW192" s="421">
        <v>0</v>
      </c>
      <c r="DX192" s="421">
        <v>0</v>
      </c>
      <c r="DY192" s="421">
        <v>14754000</v>
      </c>
      <c r="DZ192" s="421">
        <v>14754000</v>
      </c>
      <c r="EA192" s="421">
        <v>0</v>
      </c>
      <c r="EB192" s="421">
        <v>0</v>
      </c>
      <c r="EC192" s="421" t="s">
        <v>1148</v>
      </c>
      <c r="ED192" s="421" t="s">
        <v>1167</v>
      </c>
      <c r="EE192" s="421" t="s">
        <v>1167</v>
      </c>
    </row>
    <row r="193" spans="1:135" x14ac:dyDescent="0.25">
      <c r="A193" s="421">
        <v>190</v>
      </c>
      <c r="B193" s="421">
        <v>2015</v>
      </c>
      <c r="C193" s="421">
        <v>9</v>
      </c>
      <c r="D193" s="421">
        <v>11</v>
      </c>
      <c r="E193" s="424">
        <v>42258</v>
      </c>
      <c r="F193" s="421" t="s">
        <v>2563</v>
      </c>
      <c r="G193" s="421" t="s">
        <v>2564</v>
      </c>
      <c r="H193" s="421" t="s">
        <v>1362</v>
      </c>
      <c r="I193" s="421" t="s">
        <v>1107</v>
      </c>
      <c r="J193" s="421" t="s">
        <v>1920</v>
      </c>
      <c r="K193" s="421" t="s">
        <v>1109</v>
      </c>
      <c r="L193" s="421" t="s">
        <v>2565</v>
      </c>
      <c r="O193" s="421" t="s">
        <v>1111</v>
      </c>
      <c r="R193" s="421" t="s">
        <v>1111</v>
      </c>
      <c r="S193" s="421" t="s">
        <v>1112</v>
      </c>
      <c r="T193" s="421" t="s">
        <v>1113</v>
      </c>
      <c r="U193" s="421" t="s">
        <v>1114</v>
      </c>
      <c r="V193" s="421" t="s">
        <v>1115</v>
      </c>
      <c r="W193" s="421" t="s">
        <v>1116</v>
      </c>
      <c r="X193" s="421" t="s">
        <v>1117</v>
      </c>
      <c r="Y193" s="421" t="s">
        <v>1118</v>
      </c>
      <c r="Z193" s="421" t="s">
        <v>1119</v>
      </c>
      <c r="AA193" s="421" t="s">
        <v>1120</v>
      </c>
      <c r="AB193" s="421" t="s">
        <v>1121</v>
      </c>
      <c r="AC193" s="421" t="s">
        <v>1122</v>
      </c>
      <c r="AD193" s="421" t="s">
        <v>1479</v>
      </c>
      <c r="AE193" s="421" t="s">
        <v>1543</v>
      </c>
      <c r="AF193" s="421" t="s">
        <v>1544</v>
      </c>
      <c r="AG193" s="421" t="s">
        <v>2566</v>
      </c>
      <c r="AH193" s="421">
        <v>3</v>
      </c>
      <c r="AI193" s="421" t="s">
        <v>1127</v>
      </c>
      <c r="AJ193" s="421">
        <v>3</v>
      </c>
      <c r="AK193" s="421">
        <v>1</v>
      </c>
      <c r="AL193" s="421" t="s">
        <v>1206</v>
      </c>
      <c r="AM193" s="421">
        <v>3</v>
      </c>
      <c r="AN193" s="421">
        <v>3.01</v>
      </c>
      <c r="AO193" s="421" t="s">
        <v>1120</v>
      </c>
      <c r="AP193" s="421" t="s">
        <v>1129</v>
      </c>
      <c r="AR193" s="421" t="s">
        <v>1130</v>
      </c>
      <c r="AT193" s="421" t="s">
        <v>1929</v>
      </c>
      <c r="AU193" s="421" t="s">
        <v>2567</v>
      </c>
      <c r="AV193" s="421" t="s">
        <v>2568</v>
      </c>
      <c r="AW193" s="421" t="s">
        <v>962</v>
      </c>
      <c r="AX193" s="421" t="s">
        <v>962</v>
      </c>
      <c r="AY193" s="421" t="s">
        <v>962</v>
      </c>
      <c r="AZ193" s="421" t="s">
        <v>1121</v>
      </c>
      <c r="BA193" s="421" t="s">
        <v>2569</v>
      </c>
      <c r="BB193" s="421" t="s">
        <v>962</v>
      </c>
      <c r="BC193" s="421" t="s">
        <v>2570</v>
      </c>
      <c r="BD193" s="421" t="s">
        <v>2571</v>
      </c>
      <c r="BE193" s="421" t="s">
        <v>2572</v>
      </c>
      <c r="BF193" s="421" t="s">
        <v>2573</v>
      </c>
      <c r="BG193" s="421" t="s">
        <v>2534</v>
      </c>
      <c r="BH193" s="421" t="s">
        <v>2574</v>
      </c>
      <c r="BI193" s="421" t="s">
        <v>1341</v>
      </c>
      <c r="BJ193" s="421" t="s">
        <v>2575</v>
      </c>
      <c r="BK193" s="421" t="s">
        <v>2564</v>
      </c>
      <c r="BL193" s="421" t="s">
        <v>2576</v>
      </c>
      <c r="BM193" s="421" t="s">
        <v>2577</v>
      </c>
      <c r="BN193" s="421" t="s">
        <v>2501</v>
      </c>
      <c r="BO193" s="421">
        <v>0</v>
      </c>
      <c r="BR193" s="421">
        <v>0</v>
      </c>
      <c r="BS193" s="421">
        <v>0</v>
      </c>
      <c r="BT193" s="421">
        <v>0</v>
      </c>
      <c r="BU193" s="424">
        <v>42249</v>
      </c>
      <c r="BX193" s="421">
        <v>3119.93</v>
      </c>
      <c r="BY193" s="421" t="s">
        <v>2578</v>
      </c>
      <c r="BZ193" s="421">
        <v>28</v>
      </c>
      <c r="CA193" s="421">
        <v>87358.04</v>
      </c>
      <c r="CB193" s="421">
        <v>0.01</v>
      </c>
      <c r="CC193" s="421">
        <v>0</v>
      </c>
      <c r="CD193" s="421">
        <v>1023.56</v>
      </c>
      <c r="CE193" s="421">
        <v>1023.57</v>
      </c>
      <c r="CF193" s="421">
        <v>0</v>
      </c>
      <c r="CG193" s="421">
        <v>1051.57</v>
      </c>
      <c r="CH193" s="421">
        <v>905000</v>
      </c>
      <c r="CI193" s="421">
        <v>1051.57</v>
      </c>
      <c r="CJ193" s="421">
        <v>3280824.7900999999</v>
      </c>
      <c r="CK193" s="421">
        <v>10</v>
      </c>
      <c r="CL193" s="421">
        <v>3280825</v>
      </c>
      <c r="CM193" s="421">
        <v>328000</v>
      </c>
      <c r="CN193" s="421">
        <v>328000</v>
      </c>
      <c r="CO193" s="421">
        <v>328000</v>
      </c>
      <c r="CP193" s="421">
        <v>0</v>
      </c>
      <c r="CQ193" s="421">
        <v>16</v>
      </c>
      <c r="CR193" s="421">
        <v>3608825</v>
      </c>
      <c r="CS193" s="421">
        <v>577000</v>
      </c>
      <c r="CT193" s="421">
        <v>577000</v>
      </c>
      <c r="CU193" s="421">
        <v>577000</v>
      </c>
      <c r="CV193" s="421">
        <v>0</v>
      </c>
      <c r="CW193" s="421">
        <v>0</v>
      </c>
      <c r="CX193" s="421">
        <v>0</v>
      </c>
      <c r="CY193" s="421">
        <v>0</v>
      </c>
      <c r="CZ193" s="421">
        <v>0</v>
      </c>
      <c r="DA193" s="421">
        <v>0</v>
      </c>
      <c r="DB193" s="421">
        <v>0</v>
      </c>
      <c r="DC193" s="421">
        <v>0</v>
      </c>
      <c r="DD193" s="421">
        <v>0</v>
      </c>
      <c r="DE193" s="421">
        <v>0</v>
      </c>
      <c r="DF193" s="421">
        <v>0</v>
      </c>
      <c r="DG193" s="421">
        <v>0</v>
      </c>
      <c r="DH193" s="421">
        <v>0</v>
      </c>
      <c r="DI193" s="421">
        <v>0</v>
      </c>
      <c r="DJ193" s="421">
        <v>0</v>
      </c>
      <c r="DK193" s="421">
        <v>0</v>
      </c>
      <c r="DL193" s="421">
        <v>0</v>
      </c>
      <c r="DM193" s="421">
        <v>0</v>
      </c>
      <c r="DN193" s="421">
        <v>0</v>
      </c>
      <c r="DO193" s="421">
        <v>0</v>
      </c>
      <c r="DP193" s="421">
        <v>0</v>
      </c>
      <c r="DQ193" s="421">
        <v>0</v>
      </c>
      <c r="DR193" s="421">
        <v>0</v>
      </c>
      <c r="DS193" s="421">
        <v>0</v>
      </c>
      <c r="DT193" s="421">
        <v>0</v>
      </c>
      <c r="DU193" s="421">
        <v>0</v>
      </c>
      <c r="DV193" s="421">
        <v>0</v>
      </c>
      <c r="DW193" s="421">
        <v>0</v>
      </c>
      <c r="DX193" s="421">
        <v>0</v>
      </c>
      <c r="DY193" s="421">
        <v>905000</v>
      </c>
      <c r="DZ193" s="421">
        <v>905000</v>
      </c>
      <c r="EA193" s="421">
        <v>0</v>
      </c>
      <c r="EB193" s="421">
        <v>905000</v>
      </c>
      <c r="EC193" s="421" t="s">
        <v>1148</v>
      </c>
      <c r="ED193" s="421" t="s">
        <v>1149</v>
      </c>
      <c r="EE193" s="421" t="s">
        <v>1149</v>
      </c>
    </row>
    <row r="194" spans="1:135" x14ac:dyDescent="0.25">
      <c r="A194" s="421">
        <v>191</v>
      </c>
      <c r="B194" s="421">
        <v>2015</v>
      </c>
      <c r="C194" s="421">
        <v>9</v>
      </c>
      <c r="D194" s="421">
        <v>11</v>
      </c>
      <c r="E194" s="424">
        <v>42258</v>
      </c>
      <c r="F194" s="421" t="s">
        <v>2579</v>
      </c>
      <c r="G194" s="421" t="s">
        <v>2580</v>
      </c>
      <c r="H194" s="421" t="s">
        <v>1106</v>
      </c>
      <c r="I194" s="421" t="s">
        <v>1107</v>
      </c>
      <c r="J194" s="421" t="s">
        <v>1108</v>
      </c>
      <c r="K194" s="421" t="s">
        <v>1202</v>
      </c>
      <c r="L194" s="421" t="s">
        <v>1110</v>
      </c>
      <c r="O194" s="421" t="s">
        <v>1111</v>
      </c>
      <c r="R194" s="421" t="s">
        <v>1111</v>
      </c>
      <c r="S194" s="421" t="s">
        <v>1112</v>
      </c>
      <c r="T194" s="421" t="s">
        <v>1113</v>
      </c>
      <c r="U194" s="421" t="s">
        <v>1114</v>
      </c>
      <c r="V194" s="421" t="s">
        <v>1115</v>
      </c>
      <c r="W194" s="421" t="s">
        <v>1116</v>
      </c>
      <c r="X194" s="421" t="s">
        <v>1117</v>
      </c>
      <c r="Y194" s="421" t="s">
        <v>1118</v>
      </c>
      <c r="Z194" s="421" t="s">
        <v>1119</v>
      </c>
      <c r="AA194" s="421" t="s">
        <v>1120</v>
      </c>
      <c r="AB194" s="421" t="s">
        <v>1121</v>
      </c>
      <c r="AC194" s="421" t="s">
        <v>1122</v>
      </c>
      <c r="AD194" s="421" t="s">
        <v>1479</v>
      </c>
      <c r="AE194" s="421" t="s">
        <v>1203</v>
      </c>
      <c r="AF194" s="421" t="s">
        <v>1204</v>
      </c>
      <c r="AG194" s="421" t="s">
        <v>2581</v>
      </c>
      <c r="AH194" s="421">
        <v>21500</v>
      </c>
      <c r="AI194" s="421" t="s">
        <v>1127</v>
      </c>
      <c r="AJ194" s="421">
        <v>1</v>
      </c>
      <c r="AK194" s="421">
        <v>1</v>
      </c>
      <c r="AL194" s="421" t="s">
        <v>1283</v>
      </c>
      <c r="AM194" s="421">
        <v>21500</v>
      </c>
      <c r="AN194" s="421">
        <v>21743</v>
      </c>
      <c r="AO194" s="421" t="s">
        <v>1120</v>
      </c>
      <c r="AP194" s="421" t="s">
        <v>1129</v>
      </c>
      <c r="AR194" s="421" t="s">
        <v>1130</v>
      </c>
      <c r="AT194" s="421" t="s">
        <v>1131</v>
      </c>
      <c r="AU194" s="421" t="s">
        <v>1319</v>
      </c>
      <c r="AV194" s="421" t="s">
        <v>1320</v>
      </c>
      <c r="AW194" s="421" t="s">
        <v>1207</v>
      </c>
      <c r="AX194" s="421" t="s">
        <v>1207</v>
      </c>
      <c r="AY194" s="421" t="s">
        <v>1208</v>
      </c>
      <c r="AZ194" s="421" t="s">
        <v>1121</v>
      </c>
      <c r="BA194" s="421" t="s">
        <v>1209</v>
      </c>
      <c r="BB194" s="421" t="s">
        <v>1208</v>
      </c>
      <c r="BC194" s="421" t="s">
        <v>1210</v>
      </c>
      <c r="BD194" s="421" t="s">
        <v>1211</v>
      </c>
      <c r="BE194" s="421" t="s">
        <v>1212</v>
      </c>
      <c r="BF194" s="421" t="s">
        <v>2582</v>
      </c>
      <c r="BG194" s="421" t="s">
        <v>2540</v>
      </c>
      <c r="BH194" s="421" t="s">
        <v>2502</v>
      </c>
      <c r="BI194" s="421" t="s">
        <v>1142</v>
      </c>
      <c r="BJ194" s="421" t="s">
        <v>1163</v>
      </c>
      <c r="BK194" s="421" t="s">
        <v>2580</v>
      </c>
      <c r="BL194" s="421" t="s">
        <v>2576</v>
      </c>
      <c r="BM194" s="421" t="s">
        <v>2583</v>
      </c>
      <c r="BN194" s="421" t="s">
        <v>2464</v>
      </c>
      <c r="BO194" s="421">
        <v>0</v>
      </c>
      <c r="BR194" s="421">
        <v>0</v>
      </c>
      <c r="BS194" s="421">
        <v>0</v>
      </c>
      <c r="BT194" s="421">
        <v>0</v>
      </c>
      <c r="BU194" s="424">
        <v>42246</v>
      </c>
      <c r="BX194" s="421">
        <v>3119.93</v>
      </c>
      <c r="BY194" s="421" t="s">
        <v>1147</v>
      </c>
      <c r="BZ194" s="421">
        <v>40850</v>
      </c>
      <c r="CA194" s="421">
        <v>127449140.5</v>
      </c>
      <c r="CB194" s="421">
        <v>16.34</v>
      </c>
      <c r="CC194" s="421">
        <v>0</v>
      </c>
      <c r="CD194" s="421">
        <v>1257</v>
      </c>
      <c r="CE194" s="421">
        <v>1273.3399999999999</v>
      </c>
      <c r="CF194" s="421">
        <v>0</v>
      </c>
      <c r="CG194" s="421">
        <v>42123.34</v>
      </c>
      <c r="CH194" s="421">
        <v>0</v>
      </c>
      <c r="CI194" s="421">
        <v>42123.34</v>
      </c>
      <c r="CJ194" s="421">
        <v>131421872.1662</v>
      </c>
      <c r="CK194" s="421">
        <v>0</v>
      </c>
      <c r="CL194" s="421">
        <v>131421872</v>
      </c>
      <c r="CM194" s="421">
        <v>0</v>
      </c>
      <c r="CN194" s="421">
        <v>0</v>
      </c>
      <c r="CO194" s="421">
        <v>0</v>
      </c>
      <c r="CP194" s="421">
        <v>0</v>
      </c>
      <c r="CQ194" s="421">
        <v>0</v>
      </c>
      <c r="CR194" s="421">
        <v>131421872</v>
      </c>
      <c r="CS194" s="421">
        <v>0</v>
      </c>
      <c r="CT194" s="421">
        <v>0</v>
      </c>
      <c r="CU194" s="421">
        <v>0</v>
      </c>
      <c r="CV194" s="421">
        <v>0</v>
      </c>
      <c r="CW194" s="421">
        <v>0</v>
      </c>
      <c r="CX194" s="421">
        <v>0</v>
      </c>
      <c r="CY194" s="421">
        <v>0</v>
      </c>
      <c r="CZ194" s="421">
        <v>0</v>
      </c>
      <c r="DA194" s="421">
        <v>0</v>
      </c>
      <c r="DB194" s="421">
        <v>0</v>
      </c>
      <c r="DC194" s="421">
        <v>0</v>
      </c>
      <c r="DD194" s="421">
        <v>0</v>
      </c>
      <c r="DE194" s="421">
        <v>0</v>
      </c>
      <c r="DF194" s="421">
        <v>0</v>
      </c>
      <c r="DG194" s="421">
        <v>0</v>
      </c>
      <c r="DH194" s="421">
        <v>0</v>
      </c>
      <c r="DI194" s="421">
        <v>0</v>
      </c>
      <c r="DJ194" s="421">
        <v>0</v>
      </c>
      <c r="DK194" s="421">
        <v>0</v>
      </c>
      <c r="DL194" s="421">
        <v>0</v>
      </c>
      <c r="DM194" s="421">
        <v>0</v>
      </c>
      <c r="DN194" s="421">
        <v>0</v>
      </c>
      <c r="DO194" s="421">
        <v>0</v>
      </c>
      <c r="DP194" s="421">
        <v>0</v>
      </c>
      <c r="DQ194" s="421">
        <v>0</v>
      </c>
      <c r="DR194" s="421">
        <v>0</v>
      </c>
      <c r="DS194" s="421">
        <v>0</v>
      </c>
      <c r="DT194" s="421">
        <v>0</v>
      </c>
      <c r="DU194" s="421">
        <v>0</v>
      </c>
      <c r="DV194" s="421">
        <v>0</v>
      </c>
      <c r="DW194" s="421">
        <v>0</v>
      </c>
      <c r="DX194" s="421">
        <v>0</v>
      </c>
      <c r="DY194" s="421">
        <v>0</v>
      </c>
      <c r="DZ194" s="421">
        <v>0</v>
      </c>
      <c r="EA194" s="421">
        <v>0</v>
      </c>
      <c r="EB194" s="421">
        <v>0</v>
      </c>
      <c r="EC194" s="421" t="s">
        <v>1148</v>
      </c>
      <c r="ED194" s="421" t="s">
        <v>1149</v>
      </c>
      <c r="EE194" s="421" t="s">
        <v>1149</v>
      </c>
    </row>
    <row r="195" spans="1:135" x14ac:dyDescent="0.25">
      <c r="A195" s="421">
        <v>192</v>
      </c>
      <c r="B195" s="421">
        <v>2015</v>
      </c>
      <c r="C195" s="421">
        <v>9</v>
      </c>
      <c r="D195" s="421">
        <v>15</v>
      </c>
      <c r="E195" s="424">
        <v>42262</v>
      </c>
      <c r="F195" s="421" t="s">
        <v>2584</v>
      </c>
      <c r="G195" s="421" t="s">
        <v>2585</v>
      </c>
      <c r="H195" s="421" t="s">
        <v>1106</v>
      </c>
      <c r="I195" s="421" t="s">
        <v>1107</v>
      </c>
      <c r="J195" s="421" t="s">
        <v>1108</v>
      </c>
      <c r="K195" s="421" t="s">
        <v>1109</v>
      </c>
      <c r="L195" s="421" t="s">
        <v>1110</v>
      </c>
      <c r="O195" s="421" t="s">
        <v>1111</v>
      </c>
      <c r="R195" s="421" t="s">
        <v>1111</v>
      </c>
      <c r="S195" s="421" t="s">
        <v>1112</v>
      </c>
      <c r="T195" s="421" t="s">
        <v>1113</v>
      </c>
      <c r="U195" s="421" t="s">
        <v>1114</v>
      </c>
      <c r="V195" s="421" t="s">
        <v>1115</v>
      </c>
      <c r="W195" s="421" t="s">
        <v>1116</v>
      </c>
      <c r="X195" s="421" t="s">
        <v>1117</v>
      </c>
      <c r="Y195" s="421" t="s">
        <v>1118</v>
      </c>
      <c r="Z195" s="421" t="s">
        <v>1119</v>
      </c>
      <c r="AA195" s="421" t="s">
        <v>1120</v>
      </c>
      <c r="AB195" s="421" t="s">
        <v>1121</v>
      </c>
      <c r="AC195" s="421" t="s">
        <v>1122</v>
      </c>
      <c r="AD195" s="421" t="s">
        <v>1479</v>
      </c>
      <c r="AE195" s="421" t="s">
        <v>1249</v>
      </c>
      <c r="AF195" s="421" t="s">
        <v>1250</v>
      </c>
      <c r="AG195" s="421" t="s">
        <v>2586</v>
      </c>
      <c r="AH195" s="421">
        <v>12672</v>
      </c>
      <c r="AI195" s="421" t="s">
        <v>1189</v>
      </c>
      <c r="AJ195" s="421">
        <v>1451</v>
      </c>
      <c r="AK195" s="421">
        <v>8</v>
      </c>
      <c r="AL195" s="421" t="s">
        <v>1173</v>
      </c>
      <c r="AM195" s="421">
        <v>2216.7199999999998</v>
      </c>
      <c r="AN195" s="421">
        <v>2347.29</v>
      </c>
      <c r="AO195" s="421" t="s">
        <v>1120</v>
      </c>
      <c r="AP195" s="421" t="s">
        <v>1129</v>
      </c>
      <c r="AR195" s="421" t="s">
        <v>1130</v>
      </c>
      <c r="AT195" s="421" t="s">
        <v>1131</v>
      </c>
      <c r="AU195" s="421" t="s">
        <v>1303</v>
      </c>
      <c r="AV195" s="421" t="s">
        <v>1304</v>
      </c>
      <c r="AW195" s="421" t="s">
        <v>960</v>
      </c>
      <c r="AX195" s="421" t="s">
        <v>960</v>
      </c>
      <c r="AY195" s="421" t="s">
        <v>960</v>
      </c>
      <c r="AZ195" s="421" t="s">
        <v>1121</v>
      </c>
      <c r="BA195" s="421" t="s">
        <v>1305</v>
      </c>
      <c r="BB195" s="421" t="s">
        <v>960</v>
      </c>
      <c r="BC195" s="421" t="s">
        <v>1175</v>
      </c>
      <c r="BD195" s="421" t="s">
        <v>1306</v>
      </c>
      <c r="BE195" s="421" t="s">
        <v>2162</v>
      </c>
      <c r="BF195" s="421" t="s">
        <v>2587</v>
      </c>
      <c r="BG195" s="421" t="s">
        <v>2454</v>
      </c>
      <c r="BH195" s="421" t="s">
        <v>2588</v>
      </c>
      <c r="BI195" s="421" t="s">
        <v>1142</v>
      </c>
      <c r="BJ195" s="421" t="s">
        <v>1243</v>
      </c>
      <c r="BK195" s="421" t="s">
        <v>2585</v>
      </c>
      <c r="BL195" s="421" t="s">
        <v>2589</v>
      </c>
      <c r="BM195" s="421" t="s">
        <v>2590</v>
      </c>
      <c r="BN195" s="421" t="s">
        <v>2591</v>
      </c>
      <c r="BO195" s="421">
        <v>0</v>
      </c>
      <c r="BR195" s="421">
        <v>0</v>
      </c>
      <c r="BS195" s="421">
        <v>0</v>
      </c>
      <c r="BT195" s="421">
        <v>0</v>
      </c>
      <c r="BU195" s="424">
        <v>42208</v>
      </c>
      <c r="BX195" s="421">
        <v>3080.57</v>
      </c>
      <c r="BY195" s="421" t="s">
        <v>1183</v>
      </c>
      <c r="BZ195" s="421">
        <v>8997.1200000000008</v>
      </c>
      <c r="CA195" s="421">
        <v>27716257.9584</v>
      </c>
      <c r="CB195" s="421">
        <v>3.62</v>
      </c>
      <c r="CC195" s="421">
        <v>0</v>
      </c>
      <c r="CD195" s="421">
        <v>664.51</v>
      </c>
      <c r="CE195" s="421">
        <v>668.13</v>
      </c>
      <c r="CF195" s="421">
        <v>0</v>
      </c>
      <c r="CG195" s="421">
        <v>9665.25</v>
      </c>
      <c r="CH195" s="421">
        <v>0</v>
      </c>
      <c r="CI195" s="421">
        <v>9665.25</v>
      </c>
      <c r="CJ195" s="421">
        <v>29774479.192499999</v>
      </c>
      <c r="CK195" s="421">
        <v>15</v>
      </c>
      <c r="CL195" s="421">
        <v>29774479</v>
      </c>
      <c r="CM195" s="421">
        <v>4466000</v>
      </c>
      <c r="CN195" s="421">
        <v>4466000</v>
      </c>
      <c r="CO195" s="421">
        <v>0</v>
      </c>
      <c r="CP195" s="421">
        <v>0</v>
      </c>
      <c r="CQ195" s="421">
        <v>16</v>
      </c>
      <c r="CR195" s="421">
        <v>34240479</v>
      </c>
      <c r="CS195" s="421">
        <v>5478000</v>
      </c>
      <c r="CT195" s="421">
        <v>5478000</v>
      </c>
      <c r="CU195" s="421">
        <v>0</v>
      </c>
      <c r="CV195" s="421">
        <v>0</v>
      </c>
      <c r="CW195" s="421">
        <v>0</v>
      </c>
      <c r="CX195" s="421">
        <v>0</v>
      </c>
      <c r="CY195" s="421">
        <v>0</v>
      </c>
      <c r="CZ195" s="421">
        <v>0</v>
      </c>
      <c r="DA195" s="421">
        <v>0</v>
      </c>
      <c r="DB195" s="421">
        <v>0</v>
      </c>
      <c r="DC195" s="421">
        <v>0</v>
      </c>
      <c r="DD195" s="421">
        <v>0</v>
      </c>
      <c r="DE195" s="421">
        <v>0</v>
      </c>
      <c r="DF195" s="421">
        <v>0</v>
      </c>
      <c r="DG195" s="421">
        <v>0</v>
      </c>
      <c r="DH195" s="421">
        <v>0</v>
      </c>
      <c r="DI195" s="421">
        <v>0</v>
      </c>
      <c r="DJ195" s="421">
        <v>0</v>
      </c>
      <c r="DK195" s="421">
        <v>0</v>
      </c>
      <c r="DL195" s="421">
        <v>0</v>
      </c>
      <c r="DM195" s="421">
        <v>0</v>
      </c>
      <c r="DN195" s="421">
        <v>0</v>
      </c>
      <c r="DO195" s="421">
        <v>0</v>
      </c>
      <c r="DP195" s="421">
        <v>0</v>
      </c>
      <c r="DQ195" s="421">
        <v>0</v>
      </c>
      <c r="DR195" s="421">
        <v>0</v>
      </c>
      <c r="DS195" s="421">
        <v>0</v>
      </c>
      <c r="DT195" s="421">
        <v>0</v>
      </c>
      <c r="DU195" s="421">
        <v>0</v>
      </c>
      <c r="DV195" s="421">
        <v>0</v>
      </c>
      <c r="DW195" s="421">
        <v>0</v>
      </c>
      <c r="DX195" s="421">
        <v>0</v>
      </c>
      <c r="DY195" s="421">
        <v>9944000</v>
      </c>
      <c r="DZ195" s="421">
        <v>9944000</v>
      </c>
      <c r="EA195" s="421">
        <v>0</v>
      </c>
      <c r="EB195" s="421">
        <v>0</v>
      </c>
      <c r="EC195" s="421" t="s">
        <v>1148</v>
      </c>
      <c r="ED195" s="421" t="s">
        <v>1167</v>
      </c>
      <c r="EE195" s="421" t="s">
        <v>1167</v>
      </c>
    </row>
    <row r="196" spans="1:135" x14ac:dyDescent="0.25">
      <c r="A196" s="421">
        <v>193</v>
      </c>
      <c r="B196" s="421">
        <v>2015</v>
      </c>
      <c r="C196" s="421">
        <v>9</v>
      </c>
      <c r="D196" s="421">
        <v>15</v>
      </c>
      <c r="E196" s="424">
        <v>42262</v>
      </c>
      <c r="F196" s="421" t="s">
        <v>2592</v>
      </c>
      <c r="G196" s="421" t="s">
        <v>2593</v>
      </c>
      <c r="H196" s="421" t="s">
        <v>1106</v>
      </c>
      <c r="I196" s="421" t="s">
        <v>1107</v>
      </c>
      <c r="J196" s="421" t="s">
        <v>1108</v>
      </c>
      <c r="K196" s="421" t="s">
        <v>1109</v>
      </c>
      <c r="L196" s="421" t="s">
        <v>1110</v>
      </c>
      <c r="O196" s="421" t="s">
        <v>1111</v>
      </c>
      <c r="R196" s="421" t="s">
        <v>1111</v>
      </c>
      <c r="S196" s="421" t="s">
        <v>1112</v>
      </c>
      <c r="T196" s="421" t="s">
        <v>1113</v>
      </c>
      <c r="U196" s="421" t="s">
        <v>1114</v>
      </c>
      <c r="V196" s="421" t="s">
        <v>1115</v>
      </c>
      <c r="W196" s="421" t="s">
        <v>1116</v>
      </c>
      <c r="X196" s="421" t="s">
        <v>1117</v>
      </c>
      <c r="Y196" s="421" t="s">
        <v>1118</v>
      </c>
      <c r="Z196" s="421" t="s">
        <v>1119</v>
      </c>
      <c r="AA196" s="421" t="s">
        <v>1120</v>
      </c>
      <c r="AB196" s="421" t="s">
        <v>1121</v>
      </c>
      <c r="AC196" s="421" t="s">
        <v>1122</v>
      </c>
      <c r="AD196" s="421" t="s">
        <v>1479</v>
      </c>
      <c r="AE196" s="421" t="s">
        <v>1620</v>
      </c>
      <c r="AF196" s="421" t="s">
        <v>1621</v>
      </c>
      <c r="AG196" s="421" t="s">
        <v>2594</v>
      </c>
      <c r="AH196" s="421">
        <v>851.2</v>
      </c>
      <c r="AI196" s="421" t="s">
        <v>1127</v>
      </c>
      <c r="AJ196" s="421">
        <v>1451</v>
      </c>
      <c r="AK196" s="421">
        <v>8</v>
      </c>
      <c r="AL196" s="421" t="s">
        <v>1173</v>
      </c>
      <c r="AM196" s="421">
        <v>851.2</v>
      </c>
      <c r="AN196" s="421">
        <v>901.34</v>
      </c>
      <c r="AO196" s="421" t="s">
        <v>1120</v>
      </c>
      <c r="AP196" s="421" t="s">
        <v>1129</v>
      </c>
      <c r="AR196" s="421" t="s">
        <v>1130</v>
      </c>
      <c r="AT196" s="421" t="s">
        <v>1131</v>
      </c>
      <c r="AU196" s="421" t="s">
        <v>1303</v>
      </c>
      <c r="AV196" s="421" t="s">
        <v>1304</v>
      </c>
      <c r="AW196" s="421" t="s">
        <v>960</v>
      </c>
      <c r="AX196" s="421" t="s">
        <v>960</v>
      </c>
      <c r="AY196" s="421" t="s">
        <v>960</v>
      </c>
      <c r="AZ196" s="421" t="s">
        <v>1121</v>
      </c>
      <c r="BA196" s="421" t="s">
        <v>1305</v>
      </c>
      <c r="BB196" s="421" t="s">
        <v>960</v>
      </c>
      <c r="BC196" s="421" t="s">
        <v>1175</v>
      </c>
      <c r="BD196" s="421" t="s">
        <v>1306</v>
      </c>
      <c r="BE196" s="421" t="s">
        <v>2162</v>
      </c>
      <c r="BF196" s="421" t="s">
        <v>2587</v>
      </c>
      <c r="BG196" s="421" t="s">
        <v>2454</v>
      </c>
      <c r="BH196" s="421" t="s">
        <v>2588</v>
      </c>
      <c r="BI196" s="421" t="s">
        <v>1142</v>
      </c>
      <c r="BJ196" s="421" t="s">
        <v>1243</v>
      </c>
      <c r="BK196" s="421" t="s">
        <v>2593</v>
      </c>
      <c r="BL196" s="421" t="s">
        <v>2589</v>
      </c>
      <c r="BM196" s="421" t="s">
        <v>2590</v>
      </c>
      <c r="BN196" s="421" t="s">
        <v>2591</v>
      </c>
      <c r="BO196" s="421">
        <v>0</v>
      </c>
      <c r="BR196" s="421">
        <v>0</v>
      </c>
      <c r="BS196" s="421">
        <v>0</v>
      </c>
      <c r="BT196" s="421">
        <v>0</v>
      </c>
      <c r="BU196" s="424">
        <v>42208</v>
      </c>
      <c r="BX196" s="421">
        <v>3080.57</v>
      </c>
      <c r="BY196" s="421" t="s">
        <v>1183</v>
      </c>
      <c r="BZ196" s="421">
        <v>4788</v>
      </c>
      <c r="CA196" s="421">
        <v>14749769.16</v>
      </c>
      <c r="CB196" s="421">
        <v>1.92</v>
      </c>
      <c r="CC196" s="421">
        <v>0</v>
      </c>
      <c r="CD196" s="421">
        <v>255.16</v>
      </c>
      <c r="CE196" s="421">
        <v>257.08</v>
      </c>
      <c r="CF196" s="421">
        <v>0</v>
      </c>
      <c r="CG196" s="421">
        <v>5045.08</v>
      </c>
      <c r="CH196" s="421">
        <v>0</v>
      </c>
      <c r="CI196" s="421">
        <v>5045.08</v>
      </c>
      <c r="CJ196" s="421">
        <v>15541722.0956</v>
      </c>
      <c r="CK196" s="421">
        <v>15</v>
      </c>
      <c r="CL196" s="421">
        <v>15541722</v>
      </c>
      <c r="CM196" s="421">
        <v>2331000</v>
      </c>
      <c r="CN196" s="421">
        <v>2331000</v>
      </c>
      <c r="CO196" s="421">
        <v>0</v>
      </c>
      <c r="CP196" s="421">
        <v>0</v>
      </c>
      <c r="CQ196" s="421">
        <v>16</v>
      </c>
      <c r="CR196" s="421">
        <v>17872722</v>
      </c>
      <c r="CS196" s="421">
        <v>2860000</v>
      </c>
      <c r="CT196" s="421">
        <v>2860000</v>
      </c>
      <c r="CU196" s="421">
        <v>0</v>
      </c>
      <c r="CV196" s="421">
        <v>0</v>
      </c>
      <c r="CW196" s="421">
        <v>0</v>
      </c>
      <c r="CX196" s="421">
        <v>0</v>
      </c>
      <c r="CY196" s="421">
        <v>0</v>
      </c>
      <c r="CZ196" s="421">
        <v>0</v>
      </c>
      <c r="DA196" s="421">
        <v>0</v>
      </c>
      <c r="DB196" s="421">
        <v>0</v>
      </c>
      <c r="DC196" s="421">
        <v>0</v>
      </c>
      <c r="DD196" s="421">
        <v>0</v>
      </c>
      <c r="DE196" s="421">
        <v>0</v>
      </c>
      <c r="DF196" s="421">
        <v>0</v>
      </c>
      <c r="DG196" s="421">
        <v>0</v>
      </c>
      <c r="DH196" s="421">
        <v>0</v>
      </c>
      <c r="DI196" s="421">
        <v>0</v>
      </c>
      <c r="DJ196" s="421">
        <v>0</v>
      </c>
      <c r="DK196" s="421">
        <v>0</v>
      </c>
      <c r="DL196" s="421">
        <v>0</v>
      </c>
      <c r="DM196" s="421">
        <v>0</v>
      </c>
      <c r="DN196" s="421">
        <v>0</v>
      </c>
      <c r="DO196" s="421">
        <v>0</v>
      </c>
      <c r="DP196" s="421">
        <v>0</v>
      </c>
      <c r="DQ196" s="421">
        <v>0</v>
      </c>
      <c r="DR196" s="421">
        <v>0</v>
      </c>
      <c r="DS196" s="421">
        <v>0</v>
      </c>
      <c r="DT196" s="421">
        <v>0</v>
      </c>
      <c r="DU196" s="421">
        <v>0</v>
      </c>
      <c r="DV196" s="421">
        <v>0</v>
      </c>
      <c r="DW196" s="421">
        <v>0</v>
      </c>
      <c r="DX196" s="421">
        <v>0</v>
      </c>
      <c r="DY196" s="421">
        <v>5191000</v>
      </c>
      <c r="DZ196" s="421">
        <v>5191000</v>
      </c>
      <c r="EA196" s="421">
        <v>0</v>
      </c>
      <c r="EB196" s="421">
        <v>0</v>
      </c>
      <c r="EC196" s="421" t="s">
        <v>1148</v>
      </c>
      <c r="ED196" s="421" t="s">
        <v>1167</v>
      </c>
      <c r="EE196" s="421" t="s">
        <v>1167</v>
      </c>
    </row>
    <row r="197" spans="1:135" x14ac:dyDescent="0.25">
      <c r="A197" s="421">
        <v>194</v>
      </c>
      <c r="B197" s="421">
        <v>2015</v>
      </c>
      <c r="C197" s="421">
        <v>9</v>
      </c>
      <c r="D197" s="421">
        <v>15</v>
      </c>
      <c r="E197" s="424">
        <v>42262</v>
      </c>
      <c r="F197" s="421" t="s">
        <v>2595</v>
      </c>
      <c r="G197" s="421" t="s">
        <v>2596</v>
      </c>
      <c r="H197" s="421" t="s">
        <v>1106</v>
      </c>
      <c r="I197" s="421" t="s">
        <v>1107</v>
      </c>
      <c r="J197" s="421" t="s">
        <v>1108</v>
      </c>
      <c r="K197" s="421" t="s">
        <v>1109</v>
      </c>
      <c r="L197" s="421" t="s">
        <v>1110</v>
      </c>
      <c r="O197" s="421" t="s">
        <v>1111</v>
      </c>
      <c r="R197" s="421" t="s">
        <v>1111</v>
      </c>
      <c r="S197" s="421" t="s">
        <v>1112</v>
      </c>
      <c r="T197" s="421" t="s">
        <v>1113</v>
      </c>
      <c r="U197" s="421" t="s">
        <v>1114</v>
      </c>
      <c r="V197" s="421" t="s">
        <v>1115</v>
      </c>
      <c r="W197" s="421" t="s">
        <v>1116</v>
      </c>
      <c r="X197" s="421" t="s">
        <v>1117</v>
      </c>
      <c r="Y197" s="421" t="s">
        <v>1118</v>
      </c>
      <c r="Z197" s="421" t="s">
        <v>1119</v>
      </c>
      <c r="AA197" s="421" t="s">
        <v>1120</v>
      </c>
      <c r="AB197" s="421" t="s">
        <v>1121</v>
      </c>
      <c r="AC197" s="421" t="s">
        <v>1122</v>
      </c>
      <c r="AD197" s="421" t="s">
        <v>1479</v>
      </c>
      <c r="AE197" s="421" t="s">
        <v>2182</v>
      </c>
      <c r="AF197" s="421" t="s">
        <v>2183</v>
      </c>
      <c r="AG197" s="421" t="s">
        <v>2597</v>
      </c>
      <c r="AH197" s="421">
        <v>15936</v>
      </c>
      <c r="AI197" s="421" t="s">
        <v>1189</v>
      </c>
      <c r="AJ197" s="421">
        <v>1451</v>
      </c>
      <c r="AK197" s="421">
        <v>8</v>
      </c>
      <c r="AL197" s="421" t="s">
        <v>1173</v>
      </c>
      <c r="AM197" s="421">
        <v>1492.01</v>
      </c>
      <c r="AN197" s="421">
        <v>1579.89</v>
      </c>
      <c r="AO197" s="421" t="s">
        <v>1120</v>
      </c>
      <c r="AP197" s="421" t="s">
        <v>1129</v>
      </c>
      <c r="AR197" s="421" t="s">
        <v>1130</v>
      </c>
      <c r="AT197" s="421" t="s">
        <v>1131</v>
      </c>
      <c r="AU197" s="421" t="s">
        <v>1303</v>
      </c>
      <c r="AV197" s="421" t="s">
        <v>1304</v>
      </c>
      <c r="AW197" s="421" t="s">
        <v>960</v>
      </c>
      <c r="AX197" s="421" t="s">
        <v>960</v>
      </c>
      <c r="AY197" s="421" t="s">
        <v>960</v>
      </c>
      <c r="AZ197" s="421" t="s">
        <v>1121</v>
      </c>
      <c r="BA197" s="421" t="s">
        <v>1305</v>
      </c>
      <c r="BB197" s="421" t="s">
        <v>960</v>
      </c>
      <c r="BC197" s="421" t="s">
        <v>1175</v>
      </c>
      <c r="BD197" s="421" t="s">
        <v>1306</v>
      </c>
      <c r="BE197" s="421" t="s">
        <v>2162</v>
      </c>
      <c r="BF197" s="421" t="s">
        <v>2587</v>
      </c>
      <c r="BG197" s="421" t="s">
        <v>2454</v>
      </c>
      <c r="BH197" s="421" t="s">
        <v>2588</v>
      </c>
      <c r="BI197" s="421" t="s">
        <v>1142</v>
      </c>
      <c r="BJ197" s="421" t="s">
        <v>1243</v>
      </c>
      <c r="BK197" s="421" t="s">
        <v>2596</v>
      </c>
      <c r="BL197" s="421" t="s">
        <v>2589</v>
      </c>
      <c r="BM197" s="421" t="s">
        <v>2590</v>
      </c>
      <c r="BN197" s="421" t="s">
        <v>2591</v>
      </c>
      <c r="BO197" s="421">
        <v>0</v>
      </c>
      <c r="BR197" s="421">
        <v>0</v>
      </c>
      <c r="BS197" s="421">
        <v>0</v>
      </c>
      <c r="BT197" s="421">
        <v>0</v>
      </c>
      <c r="BU197" s="424">
        <v>42208</v>
      </c>
      <c r="BX197" s="421">
        <v>3080.57</v>
      </c>
      <c r="BY197" s="421" t="s">
        <v>1183</v>
      </c>
      <c r="BZ197" s="421">
        <v>6055.68</v>
      </c>
      <c r="CA197" s="421">
        <v>18654946.137600001</v>
      </c>
      <c r="CB197" s="421">
        <v>2.41</v>
      </c>
      <c r="CC197" s="421">
        <v>0</v>
      </c>
      <c r="CD197" s="421">
        <v>447.25</v>
      </c>
      <c r="CE197" s="421">
        <v>449.66</v>
      </c>
      <c r="CF197" s="421">
        <v>0</v>
      </c>
      <c r="CG197" s="421">
        <v>6505.34</v>
      </c>
      <c r="CH197" s="421">
        <v>0</v>
      </c>
      <c r="CI197" s="421">
        <v>6505.34</v>
      </c>
      <c r="CJ197" s="421">
        <v>20040155.243799999</v>
      </c>
      <c r="CK197" s="421">
        <v>10</v>
      </c>
      <c r="CL197" s="421">
        <v>20040155</v>
      </c>
      <c r="CM197" s="421">
        <v>2004000</v>
      </c>
      <c r="CN197" s="421">
        <v>2004000</v>
      </c>
      <c r="CO197" s="421">
        <v>0</v>
      </c>
      <c r="CP197" s="421">
        <v>0</v>
      </c>
      <c r="CQ197" s="421">
        <v>16</v>
      </c>
      <c r="CR197" s="421">
        <v>22044155</v>
      </c>
      <c r="CS197" s="421">
        <v>3527000</v>
      </c>
      <c r="CT197" s="421">
        <v>3527000</v>
      </c>
      <c r="CU197" s="421">
        <v>0</v>
      </c>
      <c r="CV197" s="421">
        <v>0</v>
      </c>
      <c r="CW197" s="421">
        <v>0</v>
      </c>
      <c r="CX197" s="421">
        <v>0</v>
      </c>
      <c r="CY197" s="421">
        <v>0</v>
      </c>
      <c r="CZ197" s="421">
        <v>0</v>
      </c>
      <c r="DA197" s="421">
        <v>0</v>
      </c>
      <c r="DB197" s="421">
        <v>0</v>
      </c>
      <c r="DC197" s="421">
        <v>0</v>
      </c>
      <c r="DD197" s="421">
        <v>0</v>
      </c>
      <c r="DE197" s="421">
        <v>0</v>
      </c>
      <c r="DF197" s="421">
        <v>0</v>
      </c>
      <c r="DG197" s="421">
        <v>0</v>
      </c>
      <c r="DH197" s="421">
        <v>0</v>
      </c>
      <c r="DI197" s="421">
        <v>0</v>
      </c>
      <c r="DJ197" s="421">
        <v>0</v>
      </c>
      <c r="DK197" s="421">
        <v>0</v>
      </c>
      <c r="DL197" s="421">
        <v>0</v>
      </c>
      <c r="DM197" s="421">
        <v>0</v>
      </c>
      <c r="DN197" s="421">
        <v>0</v>
      </c>
      <c r="DO197" s="421">
        <v>0</v>
      </c>
      <c r="DP197" s="421">
        <v>0</v>
      </c>
      <c r="DQ197" s="421">
        <v>0</v>
      </c>
      <c r="DR197" s="421">
        <v>0</v>
      </c>
      <c r="DS197" s="421">
        <v>0</v>
      </c>
      <c r="DT197" s="421">
        <v>0</v>
      </c>
      <c r="DU197" s="421">
        <v>0</v>
      </c>
      <c r="DV197" s="421">
        <v>0</v>
      </c>
      <c r="DW197" s="421">
        <v>0</v>
      </c>
      <c r="DX197" s="421">
        <v>0</v>
      </c>
      <c r="DY197" s="421">
        <v>5531000</v>
      </c>
      <c r="DZ197" s="421">
        <v>5531000</v>
      </c>
      <c r="EA197" s="421">
        <v>0</v>
      </c>
      <c r="EB197" s="421">
        <v>0</v>
      </c>
      <c r="EC197" s="421" t="s">
        <v>1148</v>
      </c>
      <c r="ED197" s="421" t="s">
        <v>1167</v>
      </c>
      <c r="EE197" s="421" t="s">
        <v>1167</v>
      </c>
    </row>
    <row r="198" spans="1:135" x14ac:dyDescent="0.25">
      <c r="A198" s="421">
        <v>195</v>
      </c>
      <c r="B198" s="421">
        <v>2015</v>
      </c>
      <c r="C198" s="421">
        <v>9</v>
      </c>
      <c r="D198" s="421">
        <v>15</v>
      </c>
      <c r="E198" s="424">
        <v>42262</v>
      </c>
      <c r="F198" s="421" t="s">
        <v>2598</v>
      </c>
      <c r="G198" s="421" t="s">
        <v>2599</v>
      </c>
      <c r="H198" s="421" t="s">
        <v>1106</v>
      </c>
      <c r="I198" s="421" t="s">
        <v>1107</v>
      </c>
      <c r="J198" s="421" t="s">
        <v>1108</v>
      </c>
      <c r="K198" s="421" t="s">
        <v>1109</v>
      </c>
      <c r="L198" s="421" t="s">
        <v>1110</v>
      </c>
      <c r="O198" s="421" t="s">
        <v>1111</v>
      </c>
      <c r="R198" s="421" t="s">
        <v>1111</v>
      </c>
      <c r="S198" s="421" t="s">
        <v>1112</v>
      </c>
      <c r="T198" s="421" t="s">
        <v>1113</v>
      </c>
      <c r="U198" s="421" t="s">
        <v>1114</v>
      </c>
      <c r="V198" s="421" t="s">
        <v>1115</v>
      </c>
      <c r="W198" s="421" t="s">
        <v>1116</v>
      </c>
      <c r="X198" s="421" t="s">
        <v>1117</v>
      </c>
      <c r="Y198" s="421" t="s">
        <v>1118</v>
      </c>
      <c r="Z198" s="421" t="s">
        <v>1119</v>
      </c>
      <c r="AA198" s="421" t="s">
        <v>1120</v>
      </c>
      <c r="AB198" s="421" t="s">
        <v>1121</v>
      </c>
      <c r="AC198" s="421" t="s">
        <v>1122</v>
      </c>
      <c r="AD198" s="421" t="s">
        <v>1479</v>
      </c>
      <c r="AE198" s="421" t="s">
        <v>1632</v>
      </c>
      <c r="AF198" s="421" t="s">
        <v>1633</v>
      </c>
      <c r="AG198" s="421" t="s">
        <v>2600</v>
      </c>
      <c r="AH198" s="421">
        <v>3200.56</v>
      </c>
      <c r="AI198" s="421" t="s">
        <v>1127</v>
      </c>
      <c r="AJ198" s="421">
        <v>1451</v>
      </c>
      <c r="AK198" s="421">
        <v>8</v>
      </c>
      <c r="AL198" s="421" t="s">
        <v>1173</v>
      </c>
      <c r="AM198" s="421">
        <v>3200.56</v>
      </c>
      <c r="AN198" s="421">
        <v>3389.08</v>
      </c>
      <c r="AO198" s="421" t="s">
        <v>1120</v>
      </c>
      <c r="AP198" s="421" t="s">
        <v>1129</v>
      </c>
      <c r="AR198" s="421" t="s">
        <v>1130</v>
      </c>
      <c r="AT198" s="421" t="s">
        <v>1131</v>
      </c>
      <c r="AU198" s="421" t="s">
        <v>1303</v>
      </c>
      <c r="AV198" s="421" t="s">
        <v>1304</v>
      </c>
      <c r="AW198" s="421" t="s">
        <v>960</v>
      </c>
      <c r="AX198" s="421" t="s">
        <v>960</v>
      </c>
      <c r="AY198" s="421" t="s">
        <v>960</v>
      </c>
      <c r="AZ198" s="421" t="s">
        <v>1121</v>
      </c>
      <c r="BA198" s="421" t="s">
        <v>1305</v>
      </c>
      <c r="BB198" s="421" t="s">
        <v>960</v>
      </c>
      <c r="BC198" s="421" t="s">
        <v>1175</v>
      </c>
      <c r="BD198" s="421" t="s">
        <v>1306</v>
      </c>
      <c r="BE198" s="421" t="s">
        <v>2162</v>
      </c>
      <c r="BF198" s="421" t="s">
        <v>2587</v>
      </c>
      <c r="BG198" s="421" t="s">
        <v>2454</v>
      </c>
      <c r="BH198" s="421" t="s">
        <v>2588</v>
      </c>
      <c r="BI198" s="421" t="s">
        <v>1142</v>
      </c>
      <c r="BJ198" s="421" t="s">
        <v>1243</v>
      </c>
      <c r="BK198" s="421" t="s">
        <v>2599</v>
      </c>
      <c r="BL198" s="421" t="s">
        <v>2589</v>
      </c>
      <c r="BM198" s="421" t="s">
        <v>2590</v>
      </c>
      <c r="BN198" s="421" t="s">
        <v>2591</v>
      </c>
      <c r="BO198" s="421">
        <v>0</v>
      </c>
      <c r="BR198" s="421">
        <v>0</v>
      </c>
      <c r="BS198" s="421">
        <v>0</v>
      </c>
      <c r="BT198" s="421">
        <v>0</v>
      </c>
      <c r="BU198" s="424">
        <v>42208</v>
      </c>
      <c r="BX198" s="421">
        <v>3080.57</v>
      </c>
      <c r="BY198" s="421" t="s">
        <v>1183</v>
      </c>
      <c r="BZ198" s="421">
        <v>11168.64</v>
      </c>
      <c r="CA198" s="421">
        <v>34405777.3248</v>
      </c>
      <c r="CB198" s="421">
        <v>4.46</v>
      </c>
      <c r="CC198" s="421">
        <v>0</v>
      </c>
      <c r="CD198" s="421">
        <v>959.44</v>
      </c>
      <c r="CE198" s="421">
        <v>963.9</v>
      </c>
      <c r="CF198" s="421">
        <v>0</v>
      </c>
      <c r="CG198" s="421">
        <v>12132.54</v>
      </c>
      <c r="CH198" s="421">
        <v>0</v>
      </c>
      <c r="CI198" s="421">
        <v>12132.54</v>
      </c>
      <c r="CJ198" s="421">
        <v>37375138.7478</v>
      </c>
      <c r="CK198" s="421">
        <v>15</v>
      </c>
      <c r="CL198" s="421">
        <v>37375139</v>
      </c>
      <c r="CM198" s="421">
        <v>5606000</v>
      </c>
      <c r="CN198" s="421">
        <v>5606000</v>
      </c>
      <c r="CO198" s="421">
        <v>0</v>
      </c>
      <c r="CP198" s="421">
        <v>0</v>
      </c>
      <c r="CQ198" s="421">
        <v>16</v>
      </c>
      <c r="CR198" s="421">
        <v>42981139</v>
      </c>
      <c r="CS198" s="421">
        <v>6877000</v>
      </c>
      <c r="CT198" s="421">
        <v>6877000</v>
      </c>
      <c r="CU198" s="421">
        <v>0</v>
      </c>
      <c r="CV198" s="421">
        <v>0</v>
      </c>
      <c r="CW198" s="421">
        <v>0</v>
      </c>
      <c r="CX198" s="421">
        <v>0</v>
      </c>
      <c r="CY198" s="421">
        <v>0</v>
      </c>
      <c r="CZ198" s="421">
        <v>0</v>
      </c>
      <c r="DA198" s="421">
        <v>0</v>
      </c>
      <c r="DB198" s="421">
        <v>0</v>
      </c>
      <c r="DC198" s="421">
        <v>0</v>
      </c>
      <c r="DD198" s="421">
        <v>0</v>
      </c>
      <c r="DE198" s="421">
        <v>0</v>
      </c>
      <c r="DF198" s="421">
        <v>0</v>
      </c>
      <c r="DG198" s="421">
        <v>0</v>
      </c>
      <c r="DH198" s="421">
        <v>0</v>
      </c>
      <c r="DI198" s="421">
        <v>0</v>
      </c>
      <c r="DJ198" s="421">
        <v>0</v>
      </c>
      <c r="DK198" s="421">
        <v>0</v>
      </c>
      <c r="DL198" s="421">
        <v>0</v>
      </c>
      <c r="DM198" s="421">
        <v>0</v>
      </c>
      <c r="DN198" s="421">
        <v>0</v>
      </c>
      <c r="DO198" s="421">
        <v>0</v>
      </c>
      <c r="DP198" s="421">
        <v>0</v>
      </c>
      <c r="DQ198" s="421">
        <v>0</v>
      </c>
      <c r="DR198" s="421">
        <v>0</v>
      </c>
      <c r="DS198" s="421">
        <v>0</v>
      </c>
      <c r="DT198" s="421">
        <v>0</v>
      </c>
      <c r="DU198" s="421">
        <v>0</v>
      </c>
      <c r="DV198" s="421">
        <v>0</v>
      </c>
      <c r="DW198" s="421">
        <v>0</v>
      </c>
      <c r="DX198" s="421">
        <v>0</v>
      </c>
      <c r="DY198" s="421">
        <v>12483000</v>
      </c>
      <c r="DZ198" s="421">
        <v>12483000</v>
      </c>
      <c r="EA198" s="421">
        <v>0</v>
      </c>
      <c r="EB198" s="421">
        <v>0</v>
      </c>
      <c r="EC198" s="421" t="s">
        <v>1148</v>
      </c>
      <c r="ED198" s="421" t="s">
        <v>1167</v>
      </c>
      <c r="EE198" s="421" t="s">
        <v>1167</v>
      </c>
    </row>
    <row r="199" spans="1:135" x14ac:dyDescent="0.25">
      <c r="A199" s="421">
        <v>196</v>
      </c>
      <c r="B199" s="421">
        <v>2015</v>
      </c>
      <c r="C199" s="421">
        <v>9</v>
      </c>
      <c r="D199" s="421">
        <v>15</v>
      </c>
      <c r="E199" s="424">
        <v>42262</v>
      </c>
      <c r="F199" s="421" t="s">
        <v>2601</v>
      </c>
      <c r="G199" s="421" t="s">
        <v>2602</v>
      </c>
      <c r="H199" s="421" t="s">
        <v>1106</v>
      </c>
      <c r="I199" s="421" t="s">
        <v>1107</v>
      </c>
      <c r="J199" s="421" t="s">
        <v>1108</v>
      </c>
      <c r="K199" s="421" t="s">
        <v>1109</v>
      </c>
      <c r="L199" s="421" t="s">
        <v>1110</v>
      </c>
      <c r="O199" s="421" t="s">
        <v>1111</v>
      </c>
      <c r="R199" s="421" t="s">
        <v>1111</v>
      </c>
      <c r="S199" s="421" t="s">
        <v>1112</v>
      </c>
      <c r="T199" s="421" t="s">
        <v>1113</v>
      </c>
      <c r="U199" s="421" t="s">
        <v>1114</v>
      </c>
      <c r="V199" s="421" t="s">
        <v>1115</v>
      </c>
      <c r="W199" s="421" t="s">
        <v>1116</v>
      </c>
      <c r="X199" s="421" t="s">
        <v>1117</v>
      </c>
      <c r="Y199" s="421" t="s">
        <v>1118</v>
      </c>
      <c r="Z199" s="421" t="s">
        <v>1119</v>
      </c>
      <c r="AA199" s="421" t="s">
        <v>1120</v>
      </c>
      <c r="AB199" s="421" t="s">
        <v>1121</v>
      </c>
      <c r="AC199" s="421" t="s">
        <v>1122</v>
      </c>
      <c r="AD199" s="421" t="s">
        <v>1479</v>
      </c>
      <c r="AE199" s="421" t="s">
        <v>1512</v>
      </c>
      <c r="AF199" s="421" t="s">
        <v>1513</v>
      </c>
      <c r="AG199" s="421" t="s">
        <v>2603</v>
      </c>
      <c r="AH199" s="421">
        <v>14472</v>
      </c>
      <c r="AI199" s="421" t="s">
        <v>1189</v>
      </c>
      <c r="AJ199" s="421">
        <v>1451</v>
      </c>
      <c r="AK199" s="421">
        <v>8</v>
      </c>
      <c r="AL199" s="421" t="s">
        <v>1173</v>
      </c>
      <c r="AM199" s="421">
        <v>606.16</v>
      </c>
      <c r="AN199" s="421">
        <v>641.86</v>
      </c>
      <c r="AO199" s="421" t="s">
        <v>1120</v>
      </c>
      <c r="AP199" s="421" t="s">
        <v>1129</v>
      </c>
      <c r="AR199" s="421" t="s">
        <v>1130</v>
      </c>
      <c r="AT199" s="421" t="s">
        <v>1131</v>
      </c>
      <c r="AU199" s="421" t="s">
        <v>1303</v>
      </c>
      <c r="AV199" s="421" t="s">
        <v>1304</v>
      </c>
      <c r="AW199" s="421" t="s">
        <v>960</v>
      </c>
      <c r="AX199" s="421" t="s">
        <v>960</v>
      </c>
      <c r="AY199" s="421" t="s">
        <v>960</v>
      </c>
      <c r="AZ199" s="421" t="s">
        <v>1121</v>
      </c>
      <c r="BA199" s="421" t="s">
        <v>1305</v>
      </c>
      <c r="BB199" s="421" t="s">
        <v>960</v>
      </c>
      <c r="BC199" s="421" t="s">
        <v>1175</v>
      </c>
      <c r="BD199" s="421" t="s">
        <v>1306</v>
      </c>
      <c r="BE199" s="421" t="s">
        <v>2162</v>
      </c>
      <c r="BF199" s="421" t="s">
        <v>2587</v>
      </c>
      <c r="BG199" s="421" t="s">
        <v>2454</v>
      </c>
      <c r="BH199" s="421" t="s">
        <v>2588</v>
      </c>
      <c r="BI199" s="421" t="s">
        <v>1142</v>
      </c>
      <c r="BJ199" s="421" t="s">
        <v>1243</v>
      </c>
      <c r="BK199" s="421" t="s">
        <v>2602</v>
      </c>
      <c r="BL199" s="421" t="s">
        <v>2589</v>
      </c>
      <c r="BM199" s="421" t="s">
        <v>2590</v>
      </c>
      <c r="BN199" s="421" t="s">
        <v>2591</v>
      </c>
      <c r="BO199" s="421">
        <v>0</v>
      </c>
      <c r="BR199" s="421">
        <v>0</v>
      </c>
      <c r="BS199" s="421">
        <v>0</v>
      </c>
      <c r="BT199" s="421">
        <v>0</v>
      </c>
      <c r="BU199" s="424">
        <v>42208</v>
      </c>
      <c r="BX199" s="421">
        <v>3080.57</v>
      </c>
      <c r="BY199" s="421" t="s">
        <v>1183</v>
      </c>
      <c r="BZ199" s="421">
        <v>2460.2399999999998</v>
      </c>
      <c r="CA199" s="421">
        <v>7578941.5367999999</v>
      </c>
      <c r="CB199" s="421">
        <v>0.99</v>
      </c>
      <c r="CC199" s="421">
        <v>0</v>
      </c>
      <c r="CD199" s="421">
        <v>181.72</v>
      </c>
      <c r="CE199" s="421">
        <v>182.71</v>
      </c>
      <c r="CF199" s="421">
        <v>0</v>
      </c>
      <c r="CG199" s="421">
        <v>2642.95</v>
      </c>
      <c r="CH199" s="421">
        <v>0</v>
      </c>
      <c r="CI199" s="421">
        <v>2642.95</v>
      </c>
      <c r="CJ199" s="421">
        <v>8141792.4814999998</v>
      </c>
      <c r="CK199" s="421">
        <v>15</v>
      </c>
      <c r="CL199" s="421">
        <v>8141792</v>
      </c>
      <c r="CM199" s="421">
        <v>1221000</v>
      </c>
      <c r="CN199" s="421">
        <v>1221000</v>
      </c>
      <c r="CO199" s="421">
        <v>0</v>
      </c>
      <c r="CP199" s="421">
        <v>0</v>
      </c>
      <c r="CQ199" s="421">
        <v>16</v>
      </c>
      <c r="CR199" s="421">
        <v>9362792</v>
      </c>
      <c r="CS199" s="421">
        <v>1498000</v>
      </c>
      <c r="CT199" s="421">
        <v>1498000</v>
      </c>
      <c r="CU199" s="421">
        <v>0</v>
      </c>
      <c r="CV199" s="421">
        <v>0</v>
      </c>
      <c r="CW199" s="421">
        <v>0</v>
      </c>
      <c r="CX199" s="421">
        <v>0</v>
      </c>
      <c r="CY199" s="421">
        <v>0</v>
      </c>
      <c r="CZ199" s="421">
        <v>0</v>
      </c>
      <c r="DA199" s="421">
        <v>0</v>
      </c>
      <c r="DB199" s="421">
        <v>0</v>
      </c>
      <c r="DC199" s="421">
        <v>0</v>
      </c>
      <c r="DD199" s="421">
        <v>0</v>
      </c>
      <c r="DE199" s="421">
        <v>0</v>
      </c>
      <c r="DF199" s="421">
        <v>0</v>
      </c>
      <c r="DG199" s="421">
        <v>0</v>
      </c>
      <c r="DH199" s="421">
        <v>0</v>
      </c>
      <c r="DI199" s="421">
        <v>0</v>
      </c>
      <c r="DJ199" s="421">
        <v>0</v>
      </c>
      <c r="DK199" s="421">
        <v>0</v>
      </c>
      <c r="DL199" s="421">
        <v>0</v>
      </c>
      <c r="DM199" s="421">
        <v>0</v>
      </c>
      <c r="DN199" s="421">
        <v>0</v>
      </c>
      <c r="DO199" s="421">
        <v>0</v>
      </c>
      <c r="DP199" s="421">
        <v>0</v>
      </c>
      <c r="DQ199" s="421">
        <v>0</v>
      </c>
      <c r="DR199" s="421">
        <v>0</v>
      </c>
      <c r="DS199" s="421">
        <v>0</v>
      </c>
      <c r="DT199" s="421">
        <v>0</v>
      </c>
      <c r="DU199" s="421">
        <v>0</v>
      </c>
      <c r="DV199" s="421">
        <v>0</v>
      </c>
      <c r="DW199" s="421">
        <v>0</v>
      </c>
      <c r="DX199" s="421">
        <v>0</v>
      </c>
      <c r="DY199" s="421">
        <v>2719000</v>
      </c>
      <c r="DZ199" s="421">
        <v>2719000</v>
      </c>
      <c r="EA199" s="421">
        <v>0</v>
      </c>
      <c r="EB199" s="421">
        <v>0</v>
      </c>
      <c r="EC199" s="421" t="s">
        <v>1148</v>
      </c>
      <c r="ED199" s="421" t="s">
        <v>1167</v>
      </c>
      <c r="EE199" s="421" t="s">
        <v>1167</v>
      </c>
    </row>
    <row r="200" spans="1:135" x14ac:dyDescent="0.25">
      <c r="A200" s="421">
        <v>197</v>
      </c>
      <c r="B200" s="421">
        <v>2015</v>
      </c>
      <c r="C200" s="421">
        <v>9</v>
      </c>
      <c r="D200" s="421">
        <v>15</v>
      </c>
      <c r="E200" s="424">
        <v>42262</v>
      </c>
      <c r="F200" s="421" t="s">
        <v>2604</v>
      </c>
      <c r="G200" s="421" t="s">
        <v>2605</v>
      </c>
      <c r="H200" s="421" t="s">
        <v>1106</v>
      </c>
      <c r="I200" s="421" t="s">
        <v>1107</v>
      </c>
      <c r="J200" s="421" t="s">
        <v>1108</v>
      </c>
      <c r="K200" s="421" t="s">
        <v>1109</v>
      </c>
      <c r="L200" s="421" t="s">
        <v>1110</v>
      </c>
      <c r="O200" s="421" t="s">
        <v>1111</v>
      </c>
      <c r="R200" s="421" t="s">
        <v>1111</v>
      </c>
      <c r="S200" s="421" t="s">
        <v>1112</v>
      </c>
      <c r="T200" s="421" t="s">
        <v>1113</v>
      </c>
      <c r="U200" s="421" t="s">
        <v>1114</v>
      </c>
      <c r="V200" s="421" t="s">
        <v>1115</v>
      </c>
      <c r="W200" s="421" t="s">
        <v>1116</v>
      </c>
      <c r="X200" s="421" t="s">
        <v>1117</v>
      </c>
      <c r="Y200" s="421" t="s">
        <v>1118</v>
      </c>
      <c r="Z200" s="421" t="s">
        <v>1119</v>
      </c>
      <c r="AA200" s="421" t="s">
        <v>1120</v>
      </c>
      <c r="AB200" s="421" t="s">
        <v>1121</v>
      </c>
      <c r="AC200" s="421" t="s">
        <v>1122</v>
      </c>
      <c r="AD200" s="421" t="s">
        <v>1479</v>
      </c>
      <c r="AE200" s="421" t="s">
        <v>1865</v>
      </c>
      <c r="AF200" s="421" t="s">
        <v>1866</v>
      </c>
      <c r="AG200" s="421" t="s">
        <v>2606</v>
      </c>
      <c r="AH200" s="421">
        <v>2549.1</v>
      </c>
      <c r="AI200" s="421" t="s">
        <v>1127</v>
      </c>
      <c r="AJ200" s="421">
        <v>1451</v>
      </c>
      <c r="AK200" s="421">
        <v>8</v>
      </c>
      <c r="AL200" s="421" t="s">
        <v>1173</v>
      </c>
      <c r="AM200" s="421">
        <v>2549.1</v>
      </c>
      <c r="AN200" s="421">
        <v>2699.24</v>
      </c>
      <c r="AO200" s="421" t="s">
        <v>1120</v>
      </c>
      <c r="AP200" s="421" t="s">
        <v>1129</v>
      </c>
      <c r="AR200" s="421" t="s">
        <v>1130</v>
      </c>
      <c r="AT200" s="421" t="s">
        <v>1131</v>
      </c>
      <c r="AU200" s="421" t="s">
        <v>1303</v>
      </c>
      <c r="AV200" s="421" t="s">
        <v>1304</v>
      </c>
      <c r="AW200" s="421" t="s">
        <v>960</v>
      </c>
      <c r="AX200" s="421" t="s">
        <v>960</v>
      </c>
      <c r="AY200" s="421" t="s">
        <v>960</v>
      </c>
      <c r="AZ200" s="421" t="s">
        <v>1121</v>
      </c>
      <c r="BA200" s="421" t="s">
        <v>1305</v>
      </c>
      <c r="BB200" s="421" t="s">
        <v>960</v>
      </c>
      <c r="BC200" s="421" t="s">
        <v>1175</v>
      </c>
      <c r="BD200" s="421" t="s">
        <v>1306</v>
      </c>
      <c r="BE200" s="421" t="s">
        <v>2162</v>
      </c>
      <c r="BF200" s="421" t="s">
        <v>2587</v>
      </c>
      <c r="BG200" s="421" t="s">
        <v>2454</v>
      </c>
      <c r="BH200" s="421" t="s">
        <v>2588</v>
      </c>
      <c r="BI200" s="421" t="s">
        <v>1142</v>
      </c>
      <c r="BJ200" s="421" t="s">
        <v>1243</v>
      </c>
      <c r="BK200" s="421" t="s">
        <v>2605</v>
      </c>
      <c r="BL200" s="421" t="s">
        <v>2589</v>
      </c>
      <c r="BM200" s="421" t="s">
        <v>2590</v>
      </c>
      <c r="BN200" s="421" t="s">
        <v>2591</v>
      </c>
      <c r="BO200" s="421">
        <v>0</v>
      </c>
      <c r="BR200" s="421">
        <v>0</v>
      </c>
      <c r="BS200" s="421">
        <v>0</v>
      </c>
      <c r="BT200" s="421">
        <v>0</v>
      </c>
      <c r="BU200" s="424">
        <v>42208</v>
      </c>
      <c r="BX200" s="421">
        <v>3080.57</v>
      </c>
      <c r="BY200" s="421" t="s">
        <v>1183</v>
      </c>
      <c r="BZ200" s="421">
        <v>10890.72</v>
      </c>
      <c r="CA200" s="421">
        <v>33549625.310400002</v>
      </c>
      <c r="CB200" s="421">
        <v>4.32</v>
      </c>
      <c r="CC200" s="421">
        <v>0</v>
      </c>
      <c r="CD200" s="421">
        <v>764.11</v>
      </c>
      <c r="CE200" s="421">
        <v>768.43</v>
      </c>
      <c r="CF200" s="421">
        <v>0</v>
      </c>
      <c r="CG200" s="421">
        <v>11659.15</v>
      </c>
      <c r="CH200" s="421">
        <v>0</v>
      </c>
      <c r="CI200" s="421">
        <v>11659.15</v>
      </c>
      <c r="CJ200" s="421">
        <v>35916827.715499997</v>
      </c>
      <c r="CK200" s="421">
        <v>10</v>
      </c>
      <c r="CL200" s="421">
        <v>35916828</v>
      </c>
      <c r="CM200" s="421">
        <v>3592000</v>
      </c>
      <c r="CN200" s="421">
        <v>3592000</v>
      </c>
      <c r="CO200" s="421">
        <v>0</v>
      </c>
      <c r="CP200" s="421">
        <v>0</v>
      </c>
      <c r="CQ200" s="421">
        <v>16</v>
      </c>
      <c r="CR200" s="421">
        <v>39508828</v>
      </c>
      <c r="CS200" s="421">
        <v>6321000</v>
      </c>
      <c r="CT200" s="421">
        <v>6321000</v>
      </c>
      <c r="CU200" s="421">
        <v>0</v>
      </c>
      <c r="CV200" s="421">
        <v>0</v>
      </c>
      <c r="CW200" s="421">
        <v>0</v>
      </c>
      <c r="CX200" s="421">
        <v>0</v>
      </c>
      <c r="CY200" s="421">
        <v>0</v>
      </c>
      <c r="CZ200" s="421">
        <v>0</v>
      </c>
      <c r="DA200" s="421">
        <v>0</v>
      </c>
      <c r="DB200" s="421">
        <v>0</v>
      </c>
      <c r="DC200" s="421">
        <v>0</v>
      </c>
      <c r="DD200" s="421">
        <v>0</v>
      </c>
      <c r="DE200" s="421">
        <v>0</v>
      </c>
      <c r="DF200" s="421">
        <v>0</v>
      </c>
      <c r="DG200" s="421">
        <v>0</v>
      </c>
      <c r="DH200" s="421">
        <v>0</v>
      </c>
      <c r="DI200" s="421">
        <v>0</v>
      </c>
      <c r="DJ200" s="421">
        <v>0</v>
      </c>
      <c r="DK200" s="421">
        <v>0</v>
      </c>
      <c r="DL200" s="421">
        <v>0</v>
      </c>
      <c r="DM200" s="421">
        <v>0</v>
      </c>
      <c r="DN200" s="421">
        <v>0</v>
      </c>
      <c r="DO200" s="421">
        <v>0</v>
      </c>
      <c r="DP200" s="421">
        <v>0</v>
      </c>
      <c r="DQ200" s="421">
        <v>0</v>
      </c>
      <c r="DR200" s="421">
        <v>0</v>
      </c>
      <c r="DS200" s="421">
        <v>0</v>
      </c>
      <c r="DT200" s="421">
        <v>0</v>
      </c>
      <c r="DU200" s="421">
        <v>0</v>
      </c>
      <c r="DV200" s="421">
        <v>0</v>
      </c>
      <c r="DW200" s="421">
        <v>0</v>
      </c>
      <c r="DX200" s="421">
        <v>0</v>
      </c>
      <c r="DY200" s="421">
        <v>9913000</v>
      </c>
      <c r="DZ200" s="421">
        <v>9913000</v>
      </c>
      <c r="EA200" s="421">
        <v>0</v>
      </c>
      <c r="EB200" s="421">
        <v>0</v>
      </c>
      <c r="EC200" s="421" t="s">
        <v>1148</v>
      </c>
      <c r="ED200" s="421" t="s">
        <v>1167</v>
      </c>
      <c r="EE200" s="421" t="s">
        <v>1167</v>
      </c>
    </row>
    <row r="201" spans="1:135" x14ac:dyDescent="0.25">
      <c r="A201" s="421">
        <v>198</v>
      </c>
      <c r="B201" s="421">
        <v>2015</v>
      </c>
      <c r="C201" s="421">
        <v>9</v>
      </c>
      <c r="D201" s="421">
        <v>15</v>
      </c>
      <c r="E201" s="424">
        <v>42262</v>
      </c>
      <c r="F201" s="421" t="s">
        <v>2607</v>
      </c>
      <c r="G201" s="421" t="s">
        <v>2608</v>
      </c>
      <c r="H201" s="421" t="s">
        <v>1106</v>
      </c>
      <c r="I201" s="421" t="s">
        <v>1107</v>
      </c>
      <c r="J201" s="421" t="s">
        <v>1108</v>
      </c>
      <c r="K201" s="421" t="s">
        <v>1109</v>
      </c>
      <c r="L201" s="421" t="s">
        <v>1110</v>
      </c>
      <c r="O201" s="421" t="s">
        <v>1111</v>
      </c>
      <c r="R201" s="421" t="s">
        <v>1111</v>
      </c>
      <c r="S201" s="421" t="s">
        <v>1112</v>
      </c>
      <c r="T201" s="421" t="s">
        <v>1113</v>
      </c>
      <c r="U201" s="421" t="s">
        <v>1114</v>
      </c>
      <c r="V201" s="421" t="s">
        <v>1115</v>
      </c>
      <c r="W201" s="421" t="s">
        <v>1116</v>
      </c>
      <c r="X201" s="421" t="s">
        <v>1117</v>
      </c>
      <c r="Y201" s="421" t="s">
        <v>1118</v>
      </c>
      <c r="Z201" s="421" t="s">
        <v>1119</v>
      </c>
      <c r="AA201" s="421" t="s">
        <v>1120</v>
      </c>
      <c r="AB201" s="421" t="s">
        <v>1121</v>
      </c>
      <c r="AC201" s="421" t="s">
        <v>1122</v>
      </c>
      <c r="AD201" s="421" t="s">
        <v>1479</v>
      </c>
      <c r="AE201" s="421" t="s">
        <v>1896</v>
      </c>
      <c r="AF201" s="421" t="s">
        <v>1897</v>
      </c>
      <c r="AG201" s="421" t="s">
        <v>2609</v>
      </c>
      <c r="AH201" s="421">
        <v>15480</v>
      </c>
      <c r="AI201" s="421" t="s">
        <v>1189</v>
      </c>
      <c r="AJ201" s="421">
        <v>1451</v>
      </c>
      <c r="AK201" s="421">
        <v>8</v>
      </c>
      <c r="AL201" s="421" t="s">
        <v>1173</v>
      </c>
      <c r="AM201" s="421">
        <v>1220.47</v>
      </c>
      <c r="AN201" s="421">
        <v>1292.3599999999999</v>
      </c>
      <c r="AO201" s="421" t="s">
        <v>1120</v>
      </c>
      <c r="AP201" s="421" t="s">
        <v>1129</v>
      </c>
      <c r="AR201" s="421" t="s">
        <v>1130</v>
      </c>
      <c r="AT201" s="421" t="s">
        <v>1131</v>
      </c>
      <c r="AU201" s="421" t="s">
        <v>1303</v>
      </c>
      <c r="AV201" s="421" t="s">
        <v>1304</v>
      </c>
      <c r="AW201" s="421" t="s">
        <v>960</v>
      </c>
      <c r="AX201" s="421" t="s">
        <v>960</v>
      </c>
      <c r="AY201" s="421" t="s">
        <v>960</v>
      </c>
      <c r="AZ201" s="421" t="s">
        <v>1121</v>
      </c>
      <c r="BA201" s="421" t="s">
        <v>1305</v>
      </c>
      <c r="BB201" s="421" t="s">
        <v>960</v>
      </c>
      <c r="BC201" s="421" t="s">
        <v>1175</v>
      </c>
      <c r="BD201" s="421" t="s">
        <v>1306</v>
      </c>
      <c r="BE201" s="421" t="s">
        <v>2162</v>
      </c>
      <c r="BF201" s="421" t="s">
        <v>2587</v>
      </c>
      <c r="BG201" s="421" t="s">
        <v>2454</v>
      </c>
      <c r="BH201" s="421" t="s">
        <v>2588</v>
      </c>
      <c r="BI201" s="421" t="s">
        <v>1142</v>
      </c>
      <c r="BJ201" s="421" t="s">
        <v>1243</v>
      </c>
      <c r="BK201" s="421" t="s">
        <v>2608</v>
      </c>
      <c r="BL201" s="421" t="s">
        <v>2589</v>
      </c>
      <c r="BM201" s="421" t="s">
        <v>2590</v>
      </c>
      <c r="BN201" s="421" t="s">
        <v>2591</v>
      </c>
      <c r="BO201" s="421">
        <v>0</v>
      </c>
      <c r="BR201" s="421">
        <v>0</v>
      </c>
      <c r="BS201" s="421">
        <v>0</v>
      </c>
      <c r="BT201" s="421">
        <v>0</v>
      </c>
      <c r="BU201" s="424">
        <v>42208</v>
      </c>
      <c r="BX201" s="421">
        <v>3080.57</v>
      </c>
      <c r="BY201" s="421" t="s">
        <v>1183</v>
      </c>
      <c r="BZ201" s="421">
        <v>4953.6000000000004</v>
      </c>
      <c r="CA201" s="421">
        <v>15259911.551999999</v>
      </c>
      <c r="CB201" s="421">
        <v>1.99</v>
      </c>
      <c r="CC201" s="421">
        <v>0</v>
      </c>
      <c r="CD201" s="421">
        <v>365.86</v>
      </c>
      <c r="CE201" s="421">
        <v>367.85</v>
      </c>
      <c r="CF201" s="421">
        <v>0</v>
      </c>
      <c r="CG201" s="421">
        <v>5321.45</v>
      </c>
      <c r="CH201" s="421">
        <v>0</v>
      </c>
      <c r="CI201" s="421">
        <v>5321.45</v>
      </c>
      <c r="CJ201" s="421">
        <v>16393099.226500001</v>
      </c>
      <c r="CK201" s="421">
        <v>15</v>
      </c>
      <c r="CL201" s="421">
        <v>16393099</v>
      </c>
      <c r="CM201" s="421">
        <v>2459000</v>
      </c>
      <c r="CN201" s="421">
        <v>2459000</v>
      </c>
      <c r="CO201" s="421">
        <v>0</v>
      </c>
      <c r="CP201" s="421">
        <v>0</v>
      </c>
      <c r="CQ201" s="421">
        <v>16</v>
      </c>
      <c r="CR201" s="421">
        <v>18852099</v>
      </c>
      <c r="CS201" s="421">
        <v>3016000</v>
      </c>
      <c r="CT201" s="421">
        <v>3016000</v>
      </c>
      <c r="CU201" s="421">
        <v>0</v>
      </c>
      <c r="CV201" s="421">
        <v>0</v>
      </c>
      <c r="CW201" s="421">
        <v>0</v>
      </c>
      <c r="CX201" s="421">
        <v>0</v>
      </c>
      <c r="CY201" s="421">
        <v>0</v>
      </c>
      <c r="CZ201" s="421">
        <v>0</v>
      </c>
      <c r="DA201" s="421">
        <v>0</v>
      </c>
      <c r="DB201" s="421">
        <v>0</v>
      </c>
      <c r="DC201" s="421">
        <v>0</v>
      </c>
      <c r="DD201" s="421">
        <v>0</v>
      </c>
      <c r="DE201" s="421">
        <v>0</v>
      </c>
      <c r="DF201" s="421">
        <v>0</v>
      </c>
      <c r="DG201" s="421">
        <v>0</v>
      </c>
      <c r="DH201" s="421">
        <v>0</v>
      </c>
      <c r="DI201" s="421">
        <v>0</v>
      </c>
      <c r="DJ201" s="421">
        <v>0</v>
      </c>
      <c r="DK201" s="421">
        <v>0</v>
      </c>
      <c r="DL201" s="421">
        <v>0</v>
      </c>
      <c r="DM201" s="421">
        <v>0</v>
      </c>
      <c r="DN201" s="421">
        <v>0</v>
      </c>
      <c r="DO201" s="421">
        <v>0</v>
      </c>
      <c r="DP201" s="421">
        <v>0</v>
      </c>
      <c r="DQ201" s="421">
        <v>0</v>
      </c>
      <c r="DR201" s="421">
        <v>0</v>
      </c>
      <c r="DS201" s="421">
        <v>0</v>
      </c>
      <c r="DT201" s="421">
        <v>0</v>
      </c>
      <c r="DU201" s="421">
        <v>0</v>
      </c>
      <c r="DV201" s="421">
        <v>0</v>
      </c>
      <c r="DW201" s="421">
        <v>0</v>
      </c>
      <c r="DX201" s="421">
        <v>0</v>
      </c>
      <c r="DY201" s="421">
        <v>5475000</v>
      </c>
      <c r="DZ201" s="421">
        <v>5475000</v>
      </c>
      <c r="EA201" s="421">
        <v>0</v>
      </c>
      <c r="EB201" s="421">
        <v>0</v>
      </c>
      <c r="EC201" s="421" t="s">
        <v>1148</v>
      </c>
      <c r="ED201" s="421" t="s">
        <v>1167</v>
      </c>
      <c r="EE201" s="421" t="s">
        <v>1167</v>
      </c>
    </row>
    <row r="202" spans="1:135" x14ac:dyDescent="0.25">
      <c r="A202" s="421">
        <v>199</v>
      </c>
      <c r="B202" s="421">
        <v>2015</v>
      </c>
      <c r="C202" s="421">
        <v>9</v>
      </c>
      <c r="D202" s="421">
        <v>15</v>
      </c>
      <c r="E202" s="424">
        <v>42262</v>
      </c>
      <c r="F202" s="421" t="s">
        <v>2610</v>
      </c>
      <c r="G202" s="421" t="s">
        <v>2611</v>
      </c>
      <c r="H202" s="421" t="s">
        <v>1106</v>
      </c>
      <c r="I202" s="421" t="s">
        <v>1107</v>
      </c>
      <c r="J202" s="421" t="s">
        <v>1108</v>
      </c>
      <c r="K202" s="421" t="s">
        <v>1109</v>
      </c>
      <c r="L202" s="421" t="s">
        <v>1110</v>
      </c>
      <c r="O202" s="421" t="s">
        <v>1111</v>
      </c>
      <c r="R202" s="421" t="s">
        <v>1111</v>
      </c>
      <c r="S202" s="421" t="s">
        <v>1112</v>
      </c>
      <c r="T202" s="421" t="s">
        <v>1113</v>
      </c>
      <c r="U202" s="421" t="s">
        <v>1114</v>
      </c>
      <c r="V202" s="421" t="s">
        <v>1115</v>
      </c>
      <c r="W202" s="421" t="s">
        <v>1116</v>
      </c>
      <c r="X202" s="421" t="s">
        <v>1117</v>
      </c>
      <c r="Y202" s="421" t="s">
        <v>1118</v>
      </c>
      <c r="Z202" s="421" t="s">
        <v>1119</v>
      </c>
      <c r="AA202" s="421" t="s">
        <v>1120</v>
      </c>
      <c r="AB202" s="421" t="s">
        <v>1121</v>
      </c>
      <c r="AC202" s="421" t="s">
        <v>1122</v>
      </c>
      <c r="AD202" s="421" t="s">
        <v>1479</v>
      </c>
      <c r="AE202" s="421" t="s">
        <v>1300</v>
      </c>
      <c r="AF202" s="421" t="s">
        <v>1301</v>
      </c>
      <c r="AG202" s="421" t="s">
        <v>2612</v>
      </c>
      <c r="AH202" s="421">
        <v>1538.24</v>
      </c>
      <c r="AI202" s="421" t="s">
        <v>1127</v>
      </c>
      <c r="AJ202" s="421">
        <v>1451</v>
      </c>
      <c r="AK202" s="421">
        <v>8</v>
      </c>
      <c r="AL202" s="421" t="s">
        <v>1173</v>
      </c>
      <c r="AM202" s="421">
        <v>1538.24</v>
      </c>
      <c r="AN202" s="421">
        <v>1628.84</v>
      </c>
      <c r="AO202" s="421" t="s">
        <v>1120</v>
      </c>
      <c r="AP202" s="421" t="s">
        <v>1129</v>
      </c>
      <c r="AR202" s="421" t="s">
        <v>1130</v>
      </c>
      <c r="AT202" s="421" t="s">
        <v>1131</v>
      </c>
      <c r="AU202" s="421" t="s">
        <v>1303</v>
      </c>
      <c r="AV202" s="421" t="s">
        <v>1304</v>
      </c>
      <c r="AW202" s="421" t="s">
        <v>960</v>
      </c>
      <c r="AX202" s="421" t="s">
        <v>960</v>
      </c>
      <c r="AY202" s="421" t="s">
        <v>960</v>
      </c>
      <c r="AZ202" s="421" t="s">
        <v>1121</v>
      </c>
      <c r="BA202" s="421" t="s">
        <v>1305</v>
      </c>
      <c r="BB202" s="421" t="s">
        <v>960</v>
      </c>
      <c r="BC202" s="421" t="s">
        <v>1175</v>
      </c>
      <c r="BD202" s="421" t="s">
        <v>1306</v>
      </c>
      <c r="BE202" s="421" t="s">
        <v>2162</v>
      </c>
      <c r="BF202" s="421" t="s">
        <v>2587</v>
      </c>
      <c r="BG202" s="421" t="s">
        <v>2454</v>
      </c>
      <c r="BH202" s="421" t="s">
        <v>2588</v>
      </c>
      <c r="BI202" s="421" t="s">
        <v>1142</v>
      </c>
      <c r="BJ202" s="421" t="s">
        <v>1243</v>
      </c>
      <c r="BK202" s="421" t="s">
        <v>2611</v>
      </c>
      <c r="BL202" s="421" t="s">
        <v>2589</v>
      </c>
      <c r="BM202" s="421" t="s">
        <v>2590</v>
      </c>
      <c r="BN202" s="421" t="s">
        <v>2591</v>
      </c>
      <c r="BO202" s="421">
        <v>0</v>
      </c>
      <c r="BR202" s="421">
        <v>0</v>
      </c>
      <c r="BS202" s="421">
        <v>0</v>
      </c>
      <c r="BT202" s="421">
        <v>0</v>
      </c>
      <c r="BU202" s="424">
        <v>42208</v>
      </c>
      <c r="BX202" s="421">
        <v>3080.57</v>
      </c>
      <c r="BY202" s="421" t="s">
        <v>1183</v>
      </c>
      <c r="BZ202" s="421">
        <v>10902.24</v>
      </c>
      <c r="CA202" s="421">
        <v>33585113.476800002</v>
      </c>
      <c r="CB202" s="421">
        <v>4.38</v>
      </c>
      <c r="CC202" s="421">
        <v>0</v>
      </c>
      <c r="CD202" s="421">
        <v>461.12</v>
      </c>
      <c r="CE202" s="421">
        <v>465.5</v>
      </c>
      <c r="CF202" s="421">
        <v>0</v>
      </c>
      <c r="CG202" s="421">
        <v>11367.74</v>
      </c>
      <c r="CH202" s="421">
        <v>0</v>
      </c>
      <c r="CI202" s="421">
        <v>11367.74</v>
      </c>
      <c r="CJ202" s="421">
        <v>35019118.811800003</v>
      </c>
      <c r="CK202" s="421">
        <v>15</v>
      </c>
      <c r="CL202" s="421">
        <v>35019119</v>
      </c>
      <c r="CM202" s="421">
        <v>5253000</v>
      </c>
      <c r="CN202" s="421">
        <v>5253000</v>
      </c>
      <c r="CO202" s="421">
        <v>0</v>
      </c>
      <c r="CP202" s="421">
        <v>0</v>
      </c>
      <c r="CQ202" s="421">
        <v>16</v>
      </c>
      <c r="CR202" s="421">
        <v>40272119</v>
      </c>
      <c r="CS202" s="421">
        <v>6444000</v>
      </c>
      <c r="CT202" s="421">
        <v>6444000</v>
      </c>
      <c r="CU202" s="421">
        <v>0</v>
      </c>
      <c r="CV202" s="421">
        <v>0</v>
      </c>
      <c r="CW202" s="421">
        <v>0</v>
      </c>
      <c r="CX202" s="421">
        <v>0</v>
      </c>
      <c r="CY202" s="421">
        <v>0</v>
      </c>
      <c r="CZ202" s="421">
        <v>0</v>
      </c>
      <c r="DA202" s="421">
        <v>0</v>
      </c>
      <c r="DB202" s="421">
        <v>0</v>
      </c>
      <c r="DC202" s="421">
        <v>0</v>
      </c>
      <c r="DD202" s="421">
        <v>0</v>
      </c>
      <c r="DE202" s="421">
        <v>0</v>
      </c>
      <c r="DF202" s="421">
        <v>0</v>
      </c>
      <c r="DG202" s="421">
        <v>0</v>
      </c>
      <c r="DH202" s="421">
        <v>0</v>
      </c>
      <c r="DI202" s="421">
        <v>0</v>
      </c>
      <c r="DJ202" s="421">
        <v>0</v>
      </c>
      <c r="DK202" s="421">
        <v>0</v>
      </c>
      <c r="DL202" s="421">
        <v>0</v>
      </c>
      <c r="DM202" s="421">
        <v>0</v>
      </c>
      <c r="DN202" s="421">
        <v>0</v>
      </c>
      <c r="DO202" s="421">
        <v>0</v>
      </c>
      <c r="DP202" s="421">
        <v>0</v>
      </c>
      <c r="DQ202" s="421">
        <v>0</v>
      </c>
      <c r="DR202" s="421">
        <v>0</v>
      </c>
      <c r="DS202" s="421">
        <v>0</v>
      </c>
      <c r="DT202" s="421">
        <v>0</v>
      </c>
      <c r="DU202" s="421">
        <v>0</v>
      </c>
      <c r="DV202" s="421">
        <v>0</v>
      </c>
      <c r="DW202" s="421">
        <v>0</v>
      </c>
      <c r="DX202" s="421">
        <v>0</v>
      </c>
      <c r="DY202" s="421">
        <v>11697000</v>
      </c>
      <c r="DZ202" s="421">
        <v>11697000</v>
      </c>
      <c r="EA202" s="421">
        <v>0</v>
      </c>
      <c r="EB202" s="421">
        <v>0</v>
      </c>
      <c r="EC202" s="421" t="s">
        <v>1148</v>
      </c>
      <c r="ED202" s="421" t="s">
        <v>1167</v>
      </c>
      <c r="EE202" s="421" t="s">
        <v>1167</v>
      </c>
    </row>
    <row r="203" spans="1:135" x14ac:dyDescent="0.25">
      <c r="A203" s="421">
        <v>200</v>
      </c>
      <c r="B203" s="421">
        <v>2015</v>
      </c>
      <c r="C203" s="421">
        <v>9</v>
      </c>
      <c r="D203" s="421">
        <v>16</v>
      </c>
      <c r="E203" s="424">
        <v>42263</v>
      </c>
      <c r="F203" s="421" t="s">
        <v>2613</v>
      </c>
      <c r="G203" s="421" t="s">
        <v>2614</v>
      </c>
      <c r="H203" s="421" t="s">
        <v>1152</v>
      </c>
      <c r="I203" s="421" t="s">
        <v>2615</v>
      </c>
      <c r="J203" s="421" t="s">
        <v>1108</v>
      </c>
      <c r="K203" s="421" t="s">
        <v>1109</v>
      </c>
      <c r="L203" s="421" t="s">
        <v>1110</v>
      </c>
      <c r="O203" s="421" t="s">
        <v>1111</v>
      </c>
      <c r="R203" s="421" t="s">
        <v>1111</v>
      </c>
      <c r="S203" s="421" t="s">
        <v>1112</v>
      </c>
      <c r="T203" s="421" t="s">
        <v>1113</v>
      </c>
      <c r="U203" s="421" t="s">
        <v>1114</v>
      </c>
      <c r="V203" s="421" t="s">
        <v>1115</v>
      </c>
      <c r="W203" s="421" t="s">
        <v>1116</v>
      </c>
      <c r="X203" s="421" t="s">
        <v>1117</v>
      </c>
      <c r="Y203" s="421" t="s">
        <v>1118</v>
      </c>
      <c r="Z203" s="421" t="s">
        <v>1119</v>
      </c>
      <c r="AA203" s="421" t="s">
        <v>1120</v>
      </c>
      <c r="AB203" s="421" t="s">
        <v>1121</v>
      </c>
      <c r="AC203" s="421" t="s">
        <v>1122</v>
      </c>
      <c r="AD203" s="421" t="s">
        <v>1479</v>
      </c>
      <c r="AE203" s="421" t="s">
        <v>1233</v>
      </c>
      <c r="AF203" s="421" t="s">
        <v>1234</v>
      </c>
      <c r="AG203" s="421" t="s">
        <v>2616</v>
      </c>
      <c r="AH203" s="421">
        <v>3312</v>
      </c>
      <c r="AI203" s="421" t="s">
        <v>1189</v>
      </c>
      <c r="AJ203" s="421">
        <v>64</v>
      </c>
      <c r="AK203" s="421">
        <v>3</v>
      </c>
      <c r="AL203" s="421" t="s">
        <v>1173</v>
      </c>
      <c r="AM203" s="421">
        <v>276</v>
      </c>
      <c r="AN203" s="421">
        <v>322</v>
      </c>
      <c r="AO203" s="421" t="s">
        <v>1120</v>
      </c>
      <c r="AP203" s="421" t="s">
        <v>1129</v>
      </c>
      <c r="AR203" s="421" t="s">
        <v>1130</v>
      </c>
      <c r="AT203" s="421" t="s">
        <v>1131</v>
      </c>
      <c r="AU203" s="421" t="s">
        <v>1303</v>
      </c>
      <c r="AV203" s="421" t="s">
        <v>1304</v>
      </c>
      <c r="AW203" s="421" t="s">
        <v>960</v>
      </c>
      <c r="AX203" s="421" t="s">
        <v>960</v>
      </c>
      <c r="AY203" s="421" t="s">
        <v>960</v>
      </c>
      <c r="AZ203" s="421" t="s">
        <v>1121</v>
      </c>
      <c r="BA203" s="421" t="s">
        <v>2617</v>
      </c>
      <c r="BB203" s="421" t="s">
        <v>960</v>
      </c>
      <c r="BC203" s="421" t="s">
        <v>1253</v>
      </c>
      <c r="BD203" s="421" t="s">
        <v>2618</v>
      </c>
      <c r="BE203" s="421" t="s">
        <v>2619</v>
      </c>
      <c r="BF203" s="421" t="s">
        <v>2587</v>
      </c>
      <c r="BG203" s="421" t="s">
        <v>2454</v>
      </c>
      <c r="BH203" s="421" t="s">
        <v>2620</v>
      </c>
      <c r="BI203" s="421" t="s">
        <v>1142</v>
      </c>
      <c r="BJ203" s="421" t="s">
        <v>1243</v>
      </c>
      <c r="BK203" s="421" t="s">
        <v>2614</v>
      </c>
      <c r="BL203" s="421" t="s">
        <v>2621</v>
      </c>
      <c r="BM203" s="421" t="s">
        <v>2622</v>
      </c>
      <c r="BN203" s="421" t="s">
        <v>2623</v>
      </c>
      <c r="BO203" s="421">
        <v>0</v>
      </c>
      <c r="BR203" s="421">
        <v>0</v>
      </c>
      <c r="BS203" s="421">
        <v>0</v>
      </c>
      <c r="BT203" s="421">
        <v>0</v>
      </c>
      <c r="BU203" s="424">
        <v>42210</v>
      </c>
      <c r="BX203" s="421">
        <v>3080.57</v>
      </c>
      <c r="BY203" s="421" t="s">
        <v>1166</v>
      </c>
      <c r="BZ203" s="421">
        <v>1324.8</v>
      </c>
      <c r="CA203" s="421">
        <v>4081139.1359999999</v>
      </c>
      <c r="CB203" s="421">
        <v>0.53</v>
      </c>
      <c r="CC203" s="421">
        <v>0</v>
      </c>
      <c r="CD203" s="421">
        <v>423.99</v>
      </c>
      <c r="CE203" s="421">
        <v>424.52</v>
      </c>
      <c r="CF203" s="421">
        <v>0</v>
      </c>
      <c r="CG203" s="421">
        <v>1749.32</v>
      </c>
      <c r="CH203" s="421">
        <v>0</v>
      </c>
      <c r="CI203" s="421">
        <v>1749.32</v>
      </c>
      <c r="CJ203" s="421">
        <v>5388902.7123999996</v>
      </c>
      <c r="CK203" s="421">
        <v>15</v>
      </c>
      <c r="CL203" s="421">
        <v>5388903</v>
      </c>
      <c r="CM203" s="421">
        <v>808000</v>
      </c>
      <c r="CN203" s="421">
        <v>808000</v>
      </c>
      <c r="CO203" s="421">
        <v>0</v>
      </c>
      <c r="CP203" s="421">
        <v>0</v>
      </c>
      <c r="CQ203" s="421">
        <v>16</v>
      </c>
      <c r="CR203" s="421">
        <v>6196903</v>
      </c>
      <c r="CS203" s="421">
        <v>992000</v>
      </c>
      <c r="CT203" s="421">
        <v>992000</v>
      </c>
      <c r="CU203" s="421">
        <v>0</v>
      </c>
      <c r="CV203" s="421">
        <v>0</v>
      </c>
      <c r="CW203" s="421">
        <v>0</v>
      </c>
      <c r="CX203" s="421">
        <v>0</v>
      </c>
      <c r="CY203" s="421">
        <v>0</v>
      </c>
      <c r="CZ203" s="421">
        <v>0</v>
      </c>
      <c r="DA203" s="421">
        <v>0</v>
      </c>
      <c r="DB203" s="421">
        <v>0</v>
      </c>
      <c r="DC203" s="421">
        <v>0</v>
      </c>
      <c r="DD203" s="421">
        <v>0</v>
      </c>
      <c r="DE203" s="421">
        <v>0</v>
      </c>
      <c r="DF203" s="421">
        <v>0</v>
      </c>
      <c r="DG203" s="421">
        <v>0</v>
      </c>
      <c r="DH203" s="421">
        <v>0</v>
      </c>
      <c r="DI203" s="421">
        <v>0</v>
      </c>
      <c r="DJ203" s="421">
        <v>0</v>
      </c>
      <c r="DK203" s="421">
        <v>0</v>
      </c>
      <c r="DL203" s="421">
        <v>0</v>
      </c>
      <c r="DM203" s="421">
        <v>0</v>
      </c>
      <c r="DN203" s="421">
        <v>0</v>
      </c>
      <c r="DO203" s="421">
        <v>0</v>
      </c>
      <c r="DP203" s="421">
        <v>0</v>
      </c>
      <c r="DQ203" s="421">
        <v>0</v>
      </c>
      <c r="DR203" s="421">
        <v>0</v>
      </c>
      <c r="DS203" s="421">
        <v>0</v>
      </c>
      <c r="DT203" s="421">
        <v>0</v>
      </c>
      <c r="DU203" s="421">
        <v>0</v>
      </c>
      <c r="DV203" s="421">
        <v>0</v>
      </c>
      <c r="DW203" s="421">
        <v>0</v>
      </c>
      <c r="DX203" s="421">
        <v>0</v>
      </c>
      <c r="DY203" s="421">
        <v>1800000</v>
      </c>
      <c r="DZ203" s="421">
        <v>1800000</v>
      </c>
      <c r="EA203" s="421">
        <v>0</v>
      </c>
      <c r="EB203" s="421">
        <v>0</v>
      </c>
      <c r="EC203" s="421" t="s">
        <v>1148</v>
      </c>
      <c r="ED203" s="421" t="s">
        <v>1167</v>
      </c>
      <c r="EE203" s="421" t="s">
        <v>1167</v>
      </c>
    </row>
    <row r="204" spans="1:135" x14ac:dyDescent="0.25">
      <c r="A204" s="421">
        <v>201</v>
      </c>
      <c r="B204" s="421">
        <v>2015</v>
      </c>
      <c r="C204" s="421">
        <v>9</v>
      </c>
      <c r="D204" s="421">
        <v>16</v>
      </c>
      <c r="E204" s="424">
        <v>42263</v>
      </c>
      <c r="F204" s="421" t="s">
        <v>2624</v>
      </c>
      <c r="G204" s="421" t="s">
        <v>2625</v>
      </c>
      <c r="H204" s="421" t="s">
        <v>1152</v>
      </c>
      <c r="I204" s="421" t="s">
        <v>2615</v>
      </c>
      <c r="J204" s="421" t="s">
        <v>1108</v>
      </c>
      <c r="K204" s="421" t="s">
        <v>1109</v>
      </c>
      <c r="L204" s="421" t="s">
        <v>1110</v>
      </c>
      <c r="O204" s="421" t="s">
        <v>1111</v>
      </c>
      <c r="R204" s="421" t="s">
        <v>1111</v>
      </c>
      <c r="S204" s="421" t="s">
        <v>1112</v>
      </c>
      <c r="T204" s="421" t="s">
        <v>1113</v>
      </c>
      <c r="U204" s="421" t="s">
        <v>1114</v>
      </c>
      <c r="V204" s="421" t="s">
        <v>1115</v>
      </c>
      <c r="W204" s="421" t="s">
        <v>1116</v>
      </c>
      <c r="X204" s="421" t="s">
        <v>1117</v>
      </c>
      <c r="Y204" s="421" t="s">
        <v>1118</v>
      </c>
      <c r="Z204" s="421" t="s">
        <v>1119</v>
      </c>
      <c r="AA204" s="421" t="s">
        <v>1120</v>
      </c>
      <c r="AB204" s="421" t="s">
        <v>1121</v>
      </c>
      <c r="AC204" s="421" t="s">
        <v>1122</v>
      </c>
      <c r="AD204" s="421" t="s">
        <v>1479</v>
      </c>
      <c r="AE204" s="421" t="s">
        <v>2626</v>
      </c>
      <c r="AF204" s="421" t="s">
        <v>2627</v>
      </c>
      <c r="AG204" s="421" t="s">
        <v>2628</v>
      </c>
      <c r="AH204" s="421">
        <v>170</v>
      </c>
      <c r="AI204" s="421" t="s">
        <v>1127</v>
      </c>
      <c r="AJ204" s="421">
        <v>64</v>
      </c>
      <c r="AK204" s="421">
        <v>3</v>
      </c>
      <c r="AL204" s="421" t="s">
        <v>1173</v>
      </c>
      <c r="AM204" s="421">
        <v>170</v>
      </c>
      <c r="AN204" s="421">
        <v>180</v>
      </c>
      <c r="AO204" s="421" t="s">
        <v>1120</v>
      </c>
      <c r="AP204" s="421" t="s">
        <v>1129</v>
      </c>
      <c r="AR204" s="421" t="s">
        <v>1130</v>
      </c>
      <c r="AT204" s="421" t="s">
        <v>1131</v>
      </c>
      <c r="AU204" s="421" t="s">
        <v>1303</v>
      </c>
      <c r="AV204" s="421" t="s">
        <v>1304</v>
      </c>
      <c r="AW204" s="421" t="s">
        <v>960</v>
      </c>
      <c r="AX204" s="421" t="s">
        <v>960</v>
      </c>
      <c r="AY204" s="421" t="s">
        <v>960</v>
      </c>
      <c r="AZ204" s="421" t="s">
        <v>1121</v>
      </c>
      <c r="BA204" s="421" t="s">
        <v>2617</v>
      </c>
      <c r="BB204" s="421" t="s">
        <v>960</v>
      </c>
      <c r="BC204" s="421" t="s">
        <v>1253</v>
      </c>
      <c r="BD204" s="421" t="s">
        <v>2618</v>
      </c>
      <c r="BE204" s="421" t="s">
        <v>2619</v>
      </c>
      <c r="BF204" s="421" t="s">
        <v>2587</v>
      </c>
      <c r="BG204" s="421" t="s">
        <v>2454</v>
      </c>
      <c r="BH204" s="421" t="s">
        <v>2620</v>
      </c>
      <c r="BI204" s="421" t="s">
        <v>1142</v>
      </c>
      <c r="BJ204" s="421" t="s">
        <v>1243</v>
      </c>
      <c r="BK204" s="421" t="s">
        <v>2625</v>
      </c>
      <c r="BL204" s="421" t="s">
        <v>2621</v>
      </c>
      <c r="BM204" s="421" t="s">
        <v>2622</v>
      </c>
      <c r="BN204" s="421" t="s">
        <v>2623</v>
      </c>
      <c r="BO204" s="421">
        <v>0</v>
      </c>
      <c r="BR204" s="421">
        <v>0</v>
      </c>
      <c r="BS204" s="421">
        <v>0</v>
      </c>
      <c r="BT204" s="421">
        <v>0</v>
      </c>
      <c r="BU204" s="424">
        <v>42210</v>
      </c>
      <c r="BX204" s="421">
        <v>3080.57</v>
      </c>
      <c r="BY204" s="421" t="s">
        <v>1166</v>
      </c>
      <c r="BZ204" s="421">
        <v>600</v>
      </c>
      <c r="CA204" s="421">
        <v>1848342</v>
      </c>
      <c r="CB204" s="421">
        <v>0.24</v>
      </c>
      <c r="CC204" s="421">
        <v>0</v>
      </c>
      <c r="CD204" s="421">
        <v>237.02</v>
      </c>
      <c r="CE204" s="421">
        <v>237.26</v>
      </c>
      <c r="CF204" s="421">
        <v>0</v>
      </c>
      <c r="CG204" s="421">
        <v>837.26</v>
      </c>
      <c r="CH204" s="421">
        <v>0</v>
      </c>
      <c r="CI204" s="421">
        <v>837.26</v>
      </c>
      <c r="CJ204" s="421">
        <v>2579238.0381999998</v>
      </c>
      <c r="CK204" s="421">
        <v>15</v>
      </c>
      <c r="CL204" s="421">
        <v>2579238</v>
      </c>
      <c r="CM204" s="421">
        <v>387000</v>
      </c>
      <c r="CN204" s="421">
        <v>387000</v>
      </c>
      <c r="CO204" s="421">
        <v>0</v>
      </c>
      <c r="CP204" s="421">
        <v>0</v>
      </c>
      <c r="CQ204" s="421">
        <v>16</v>
      </c>
      <c r="CR204" s="421">
        <v>2966238</v>
      </c>
      <c r="CS204" s="421">
        <v>475000</v>
      </c>
      <c r="CT204" s="421">
        <v>475000</v>
      </c>
      <c r="CU204" s="421">
        <v>0</v>
      </c>
      <c r="CV204" s="421">
        <v>0</v>
      </c>
      <c r="CW204" s="421">
        <v>0</v>
      </c>
      <c r="CX204" s="421">
        <v>0</v>
      </c>
      <c r="CY204" s="421">
        <v>0</v>
      </c>
      <c r="CZ204" s="421">
        <v>0</v>
      </c>
      <c r="DA204" s="421">
        <v>0</v>
      </c>
      <c r="DB204" s="421">
        <v>0</v>
      </c>
      <c r="DC204" s="421">
        <v>0</v>
      </c>
      <c r="DD204" s="421">
        <v>0</v>
      </c>
      <c r="DE204" s="421">
        <v>0</v>
      </c>
      <c r="DF204" s="421">
        <v>0</v>
      </c>
      <c r="DG204" s="421">
        <v>0</v>
      </c>
      <c r="DH204" s="421">
        <v>0</v>
      </c>
      <c r="DI204" s="421">
        <v>0</v>
      </c>
      <c r="DJ204" s="421">
        <v>0</v>
      </c>
      <c r="DK204" s="421">
        <v>0</v>
      </c>
      <c r="DL204" s="421">
        <v>0</v>
      </c>
      <c r="DM204" s="421">
        <v>0</v>
      </c>
      <c r="DN204" s="421">
        <v>0</v>
      </c>
      <c r="DO204" s="421">
        <v>0</v>
      </c>
      <c r="DP204" s="421">
        <v>0</v>
      </c>
      <c r="DQ204" s="421">
        <v>0</v>
      </c>
      <c r="DR204" s="421">
        <v>0</v>
      </c>
      <c r="DS204" s="421">
        <v>0</v>
      </c>
      <c r="DT204" s="421">
        <v>0</v>
      </c>
      <c r="DU204" s="421">
        <v>0</v>
      </c>
      <c r="DV204" s="421">
        <v>0</v>
      </c>
      <c r="DW204" s="421">
        <v>0</v>
      </c>
      <c r="DX204" s="421">
        <v>0</v>
      </c>
      <c r="DY204" s="421">
        <v>862000</v>
      </c>
      <c r="DZ204" s="421">
        <v>862000</v>
      </c>
      <c r="EA204" s="421">
        <v>0</v>
      </c>
      <c r="EB204" s="421">
        <v>0</v>
      </c>
      <c r="EC204" s="421" t="s">
        <v>1148</v>
      </c>
      <c r="ED204" s="421" t="s">
        <v>1167</v>
      </c>
      <c r="EE204" s="421" t="s">
        <v>1167</v>
      </c>
    </row>
    <row r="205" spans="1:135" x14ac:dyDescent="0.25">
      <c r="A205" s="421">
        <v>202</v>
      </c>
      <c r="B205" s="421">
        <v>2015</v>
      </c>
      <c r="C205" s="421">
        <v>9</v>
      </c>
      <c r="D205" s="421">
        <v>19</v>
      </c>
      <c r="E205" s="424">
        <v>42266</v>
      </c>
      <c r="F205" s="421" t="s">
        <v>2629</v>
      </c>
      <c r="G205" s="421" t="s">
        <v>2630</v>
      </c>
      <c r="H205" s="421" t="s">
        <v>1152</v>
      </c>
      <c r="I205" s="421" t="s">
        <v>1107</v>
      </c>
      <c r="J205" s="421" t="s">
        <v>1108</v>
      </c>
      <c r="K205" s="421" t="s">
        <v>1109</v>
      </c>
      <c r="L205" s="421" t="s">
        <v>2565</v>
      </c>
      <c r="O205" s="421" t="s">
        <v>1111</v>
      </c>
      <c r="R205" s="421" t="s">
        <v>1111</v>
      </c>
      <c r="S205" s="421" t="s">
        <v>1112</v>
      </c>
      <c r="T205" s="421" t="s">
        <v>1113</v>
      </c>
      <c r="U205" s="421" t="s">
        <v>1114</v>
      </c>
      <c r="V205" s="421" t="s">
        <v>1115</v>
      </c>
      <c r="W205" s="421" t="s">
        <v>1116</v>
      </c>
      <c r="X205" s="421" t="s">
        <v>1117</v>
      </c>
      <c r="Y205" s="421" t="s">
        <v>1118</v>
      </c>
      <c r="Z205" s="421" t="s">
        <v>1119</v>
      </c>
      <c r="AA205" s="421" t="s">
        <v>1120</v>
      </c>
      <c r="AB205" s="421" t="s">
        <v>1121</v>
      </c>
      <c r="AC205" s="421" t="s">
        <v>1122</v>
      </c>
      <c r="AD205" s="421" t="s">
        <v>1479</v>
      </c>
      <c r="AE205" s="421" t="s">
        <v>1392</v>
      </c>
      <c r="AF205" s="421" t="s">
        <v>1393</v>
      </c>
      <c r="AG205" s="421" t="s">
        <v>2631</v>
      </c>
      <c r="AH205" s="421">
        <v>1</v>
      </c>
      <c r="AI205" s="421" t="s">
        <v>1189</v>
      </c>
      <c r="AJ205" s="421">
        <v>492</v>
      </c>
      <c r="AK205" s="421">
        <v>3</v>
      </c>
      <c r="AL205" s="421" t="s">
        <v>1173</v>
      </c>
      <c r="AM205" s="421">
        <v>2.88</v>
      </c>
      <c r="AN205" s="421">
        <v>3.16</v>
      </c>
      <c r="AO205" s="421" t="s">
        <v>1120</v>
      </c>
      <c r="AP205" s="421" t="s">
        <v>1129</v>
      </c>
      <c r="AR205" s="421" t="s">
        <v>1130</v>
      </c>
      <c r="AT205" s="421" t="s">
        <v>1131</v>
      </c>
      <c r="AU205" s="421" t="s">
        <v>1190</v>
      </c>
      <c r="AV205" s="421" t="s">
        <v>1191</v>
      </c>
      <c r="AW205" s="421" t="s">
        <v>960</v>
      </c>
      <c r="AX205" s="421" t="s">
        <v>960</v>
      </c>
      <c r="AY205" s="421" t="s">
        <v>960</v>
      </c>
      <c r="AZ205" s="421" t="s">
        <v>1121</v>
      </c>
      <c r="BA205" s="421" t="s">
        <v>1376</v>
      </c>
      <c r="BB205" s="421" t="s">
        <v>960</v>
      </c>
      <c r="BC205" s="421" t="s">
        <v>1377</v>
      </c>
      <c r="BD205" s="421" t="s">
        <v>1378</v>
      </c>
      <c r="BE205" s="421" t="s">
        <v>1379</v>
      </c>
      <c r="BF205" s="421" t="s">
        <v>2632</v>
      </c>
      <c r="BG205" s="421" t="s">
        <v>2589</v>
      </c>
      <c r="BH205" s="421" t="s">
        <v>2633</v>
      </c>
      <c r="BI205" s="421" t="s">
        <v>1142</v>
      </c>
      <c r="BJ205" s="421" t="s">
        <v>1243</v>
      </c>
      <c r="BK205" s="421" t="s">
        <v>2630</v>
      </c>
      <c r="BL205" s="421" t="s">
        <v>2634</v>
      </c>
      <c r="BM205" s="421" t="s">
        <v>2635</v>
      </c>
      <c r="BN205" s="421" t="s">
        <v>2369</v>
      </c>
      <c r="BO205" s="421">
        <v>0</v>
      </c>
      <c r="BR205" s="421">
        <v>0</v>
      </c>
      <c r="BS205" s="421">
        <v>0</v>
      </c>
      <c r="BT205" s="421">
        <v>0</v>
      </c>
      <c r="BU205" s="424">
        <v>42235</v>
      </c>
      <c r="BX205" s="421">
        <v>3080.57</v>
      </c>
      <c r="BY205" s="421" t="s">
        <v>2578</v>
      </c>
      <c r="BZ205" s="421">
        <v>12.8</v>
      </c>
      <c r="CA205" s="421">
        <v>39431.296000000002</v>
      </c>
      <c r="CB205" s="421">
        <v>0.01</v>
      </c>
      <c r="CC205" s="421">
        <v>0</v>
      </c>
      <c r="CD205" s="421">
        <v>1.72</v>
      </c>
      <c r="CE205" s="421">
        <v>1.73</v>
      </c>
      <c r="CF205" s="421">
        <v>0</v>
      </c>
      <c r="CG205" s="421">
        <v>14.53</v>
      </c>
      <c r="CH205" s="421">
        <v>0</v>
      </c>
      <c r="CI205" s="421">
        <v>14.53</v>
      </c>
      <c r="CJ205" s="421">
        <v>44760.682099999998</v>
      </c>
      <c r="CK205" s="421">
        <v>0</v>
      </c>
      <c r="CL205" s="421">
        <v>44761</v>
      </c>
      <c r="CM205" s="421">
        <v>0</v>
      </c>
      <c r="CN205" s="421">
        <v>0</v>
      </c>
      <c r="CO205" s="421">
        <v>0</v>
      </c>
      <c r="CP205" s="421">
        <v>0</v>
      </c>
      <c r="CQ205" s="421">
        <v>16</v>
      </c>
      <c r="CR205" s="421">
        <v>44761</v>
      </c>
      <c r="CS205" s="421">
        <v>7000</v>
      </c>
      <c r="CT205" s="421">
        <v>7000</v>
      </c>
      <c r="CU205" s="421">
        <v>0</v>
      </c>
      <c r="CV205" s="421">
        <v>0</v>
      </c>
      <c r="CW205" s="421">
        <v>0</v>
      </c>
      <c r="CX205" s="421">
        <v>0</v>
      </c>
      <c r="CY205" s="421">
        <v>0</v>
      </c>
      <c r="CZ205" s="421">
        <v>0</v>
      </c>
      <c r="DA205" s="421">
        <v>0</v>
      </c>
      <c r="DB205" s="421">
        <v>0</v>
      </c>
      <c r="DC205" s="421">
        <v>0</v>
      </c>
      <c r="DD205" s="421">
        <v>0</v>
      </c>
      <c r="DE205" s="421">
        <v>0</v>
      </c>
      <c r="DF205" s="421">
        <v>0</v>
      </c>
      <c r="DG205" s="421">
        <v>0</v>
      </c>
      <c r="DH205" s="421">
        <v>0</v>
      </c>
      <c r="DI205" s="421">
        <v>0</v>
      </c>
      <c r="DJ205" s="421">
        <v>0</v>
      </c>
      <c r="DK205" s="421">
        <v>0</v>
      </c>
      <c r="DL205" s="421">
        <v>0</v>
      </c>
      <c r="DM205" s="421">
        <v>0</v>
      </c>
      <c r="DN205" s="421">
        <v>0</v>
      </c>
      <c r="DO205" s="421">
        <v>0</v>
      </c>
      <c r="DP205" s="421">
        <v>0</v>
      </c>
      <c r="DQ205" s="421">
        <v>0</v>
      </c>
      <c r="DR205" s="421">
        <v>0</v>
      </c>
      <c r="DS205" s="421">
        <v>0</v>
      </c>
      <c r="DT205" s="421">
        <v>0</v>
      </c>
      <c r="DU205" s="421">
        <v>0</v>
      </c>
      <c r="DV205" s="421">
        <v>0</v>
      </c>
      <c r="DW205" s="421">
        <v>0</v>
      </c>
      <c r="DX205" s="421">
        <v>0</v>
      </c>
      <c r="DY205" s="421">
        <v>7000</v>
      </c>
      <c r="DZ205" s="421">
        <v>7000</v>
      </c>
      <c r="EA205" s="421">
        <v>0</v>
      </c>
      <c r="EB205" s="421">
        <v>0</v>
      </c>
      <c r="EC205" s="421" t="s">
        <v>1148</v>
      </c>
      <c r="ED205" s="421" t="s">
        <v>1167</v>
      </c>
      <c r="EE205" s="421" t="s">
        <v>1167</v>
      </c>
    </row>
    <row r="206" spans="1:135" x14ac:dyDescent="0.25">
      <c r="A206" s="421">
        <v>203</v>
      </c>
      <c r="B206" s="421">
        <v>2015</v>
      </c>
      <c r="C206" s="421">
        <v>9</v>
      </c>
      <c r="D206" s="421">
        <v>19</v>
      </c>
      <c r="E206" s="424">
        <v>42266</v>
      </c>
      <c r="F206" s="421" t="s">
        <v>2636</v>
      </c>
      <c r="G206" s="421" t="s">
        <v>2637</v>
      </c>
      <c r="H206" s="421" t="s">
        <v>1152</v>
      </c>
      <c r="I206" s="421" t="s">
        <v>1107</v>
      </c>
      <c r="J206" s="421" t="s">
        <v>1108</v>
      </c>
      <c r="K206" s="421" t="s">
        <v>1109</v>
      </c>
      <c r="L206" s="421" t="s">
        <v>1110</v>
      </c>
      <c r="O206" s="421" t="s">
        <v>1111</v>
      </c>
      <c r="R206" s="421" t="s">
        <v>1111</v>
      </c>
      <c r="S206" s="421" t="s">
        <v>1112</v>
      </c>
      <c r="T206" s="421" t="s">
        <v>1113</v>
      </c>
      <c r="U206" s="421" t="s">
        <v>1114</v>
      </c>
      <c r="V206" s="421" t="s">
        <v>1115</v>
      </c>
      <c r="W206" s="421" t="s">
        <v>1116</v>
      </c>
      <c r="X206" s="421" t="s">
        <v>1117</v>
      </c>
      <c r="Y206" s="421" t="s">
        <v>1118</v>
      </c>
      <c r="Z206" s="421" t="s">
        <v>1119</v>
      </c>
      <c r="AA206" s="421" t="s">
        <v>1120</v>
      </c>
      <c r="AB206" s="421" t="s">
        <v>1121</v>
      </c>
      <c r="AC206" s="421" t="s">
        <v>1122</v>
      </c>
      <c r="AD206" s="421" t="s">
        <v>1479</v>
      </c>
      <c r="AE206" s="421" t="s">
        <v>1397</v>
      </c>
      <c r="AF206" s="421" t="s">
        <v>1398</v>
      </c>
      <c r="AG206" s="421" t="s">
        <v>2638</v>
      </c>
      <c r="AH206" s="421">
        <v>100</v>
      </c>
      <c r="AI206" s="421" t="s">
        <v>1189</v>
      </c>
      <c r="AJ206" s="421">
        <v>492</v>
      </c>
      <c r="AK206" s="421">
        <v>3</v>
      </c>
      <c r="AL206" s="421" t="s">
        <v>1173</v>
      </c>
      <c r="AM206" s="421">
        <v>193.71</v>
      </c>
      <c r="AN206" s="421">
        <v>212.12</v>
      </c>
      <c r="AO206" s="421" t="s">
        <v>1120</v>
      </c>
      <c r="AP206" s="421" t="s">
        <v>1129</v>
      </c>
      <c r="AR206" s="421" t="s">
        <v>1130</v>
      </c>
      <c r="AT206" s="421" t="s">
        <v>1131</v>
      </c>
      <c r="AU206" s="421" t="s">
        <v>1190</v>
      </c>
      <c r="AV206" s="421" t="s">
        <v>1191</v>
      </c>
      <c r="AW206" s="421" t="s">
        <v>960</v>
      </c>
      <c r="AX206" s="421" t="s">
        <v>960</v>
      </c>
      <c r="AY206" s="421" t="s">
        <v>960</v>
      </c>
      <c r="AZ206" s="421" t="s">
        <v>1121</v>
      </c>
      <c r="BA206" s="421" t="s">
        <v>1376</v>
      </c>
      <c r="BB206" s="421" t="s">
        <v>960</v>
      </c>
      <c r="BC206" s="421" t="s">
        <v>1377</v>
      </c>
      <c r="BD206" s="421" t="s">
        <v>1378</v>
      </c>
      <c r="BE206" s="421" t="s">
        <v>1379</v>
      </c>
      <c r="BF206" s="421" t="s">
        <v>2632</v>
      </c>
      <c r="BG206" s="421" t="s">
        <v>2589</v>
      </c>
      <c r="BH206" s="421" t="s">
        <v>2633</v>
      </c>
      <c r="BI206" s="421" t="s">
        <v>1142</v>
      </c>
      <c r="BJ206" s="421" t="s">
        <v>1243</v>
      </c>
      <c r="BK206" s="421" t="s">
        <v>2637</v>
      </c>
      <c r="BL206" s="421" t="s">
        <v>2634</v>
      </c>
      <c r="BM206" s="421" t="s">
        <v>2639</v>
      </c>
      <c r="BN206" s="421" t="s">
        <v>2369</v>
      </c>
      <c r="BO206" s="421">
        <v>0</v>
      </c>
      <c r="BR206" s="421">
        <v>0</v>
      </c>
      <c r="BS206" s="421">
        <v>0</v>
      </c>
      <c r="BT206" s="421">
        <v>0</v>
      </c>
      <c r="BU206" s="424">
        <v>42235</v>
      </c>
      <c r="BX206" s="421">
        <v>3080.57</v>
      </c>
      <c r="BY206" s="421" t="s">
        <v>1183</v>
      </c>
      <c r="BZ206" s="421">
        <v>860</v>
      </c>
      <c r="CA206" s="421">
        <v>2649290.2000000002</v>
      </c>
      <c r="CB206" s="421">
        <v>0.34</v>
      </c>
      <c r="CC206" s="421">
        <v>0</v>
      </c>
      <c r="CD206" s="421">
        <v>115.58</v>
      </c>
      <c r="CE206" s="421">
        <v>115.92</v>
      </c>
      <c r="CF206" s="421">
        <v>0</v>
      </c>
      <c r="CG206" s="421">
        <v>975.92</v>
      </c>
      <c r="CH206" s="421">
        <v>0</v>
      </c>
      <c r="CI206" s="421">
        <v>975.92</v>
      </c>
      <c r="CJ206" s="421">
        <v>3006389.8744000001</v>
      </c>
      <c r="CK206" s="421">
        <v>0</v>
      </c>
      <c r="CL206" s="421">
        <v>3006390</v>
      </c>
      <c r="CM206" s="421">
        <v>0</v>
      </c>
      <c r="CN206" s="421">
        <v>0</v>
      </c>
      <c r="CO206" s="421">
        <v>0</v>
      </c>
      <c r="CP206" s="421">
        <v>0</v>
      </c>
      <c r="CQ206" s="421">
        <v>16</v>
      </c>
      <c r="CR206" s="421">
        <v>3006390</v>
      </c>
      <c r="CS206" s="421">
        <v>481000</v>
      </c>
      <c r="CT206" s="421">
        <v>481000</v>
      </c>
      <c r="CU206" s="421">
        <v>0</v>
      </c>
      <c r="CV206" s="421">
        <v>0</v>
      </c>
      <c r="CW206" s="421">
        <v>0</v>
      </c>
      <c r="CX206" s="421">
        <v>0</v>
      </c>
      <c r="CY206" s="421">
        <v>0</v>
      </c>
      <c r="CZ206" s="421">
        <v>0</v>
      </c>
      <c r="DA206" s="421">
        <v>0</v>
      </c>
      <c r="DB206" s="421">
        <v>0</v>
      </c>
      <c r="DC206" s="421">
        <v>0</v>
      </c>
      <c r="DD206" s="421">
        <v>0</v>
      </c>
      <c r="DE206" s="421">
        <v>0</v>
      </c>
      <c r="DF206" s="421">
        <v>0</v>
      </c>
      <c r="DG206" s="421">
        <v>0</v>
      </c>
      <c r="DH206" s="421">
        <v>0</v>
      </c>
      <c r="DI206" s="421">
        <v>0</v>
      </c>
      <c r="DJ206" s="421">
        <v>0</v>
      </c>
      <c r="DK206" s="421">
        <v>0</v>
      </c>
      <c r="DL206" s="421">
        <v>0</v>
      </c>
      <c r="DM206" s="421">
        <v>0</v>
      </c>
      <c r="DN206" s="421">
        <v>0</v>
      </c>
      <c r="DO206" s="421">
        <v>0</v>
      </c>
      <c r="DP206" s="421">
        <v>0</v>
      </c>
      <c r="DQ206" s="421">
        <v>0</v>
      </c>
      <c r="DR206" s="421">
        <v>0</v>
      </c>
      <c r="DS206" s="421">
        <v>0</v>
      </c>
      <c r="DT206" s="421">
        <v>0</v>
      </c>
      <c r="DU206" s="421">
        <v>0</v>
      </c>
      <c r="DV206" s="421">
        <v>0</v>
      </c>
      <c r="DW206" s="421">
        <v>0</v>
      </c>
      <c r="DX206" s="421">
        <v>0</v>
      </c>
      <c r="DY206" s="421">
        <v>481000</v>
      </c>
      <c r="DZ206" s="421">
        <v>481000</v>
      </c>
      <c r="EA206" s="421">
        <v>0</v>
      </c>
      <c r="EB206" s="421">
        <v>0</v>
      </c>
      <c r="EC206" s="421" t="s">
        <v>1148</v>
      </c>
      <c r="ED206" s="421" t="s">
        <v>1167</v>
      </c>
      <c r="EE206" s="421" t="s">
        <v>1167</v>
      </c>
    </row>
    <row r="207" spans="1:135" x14ac:dyDescent="0.25">
      <c r="A207" s="421">
        <v>204</v>
      </c>
      <c r="B207" s="421">
        <v>2015</v>
      </c>
      <c r="C207" s="421">
        <v>9</v>
      </c>
      <c r="D207" s="421">
        <v>19</v>
      </c>
      <c r="E207" s="424">
        <v>42266</v>
      </c>
      <c r="F207" s="421" t="s">
        <v>2640</v>
      </c>
      <c r="G207" s="421" t="s">
        <v>2641</v>
      </c>
      <c r="H207" s="421" t="s">
        <v>1152</v>
      </c>
      <c r="I207" s="421" t="s">
        <v>1107</v>
      </c>
      <c r="J207" s="421" t="s">
        <v>1108</v>
      </c>
      <c r="K207" s="421" t="s">
        <v>1109</v>
      </c>
      <c r="L207" s="421" t="s">
        <v>1110</v>
      </c>
      <c r="O207" s="421" t="s">
        <v>1111</v>
      </c>
      <c r="R207" s="421" t="s">
        <v>1111</v>
      </c>
      <c r="S207" s="421" t="s">
        <v>1112</v>
      </c>
      <c r="T207" s="421" t="s">
        <v>1113</v>
      </c>
      <c r="U207" s="421" t="s">
        <v>1114</v>
      </c>
      <c r="V207" s="421" t="s">
        <v>1115</v>
      </c>
      <c r="W207" s="421" t="s">
        <v>1116</v>
      </c>
      <c r="X207" s="421" t="s">
        <v>1117</v>
      </c>
      <c r="Y207" s="421" t="s">
        <v>1118</v>
      </c>
      <c r="Z207" s="421" t="s">
        <v>1119</v>
      </c>
      <c r="AA207" s="421" t="s">
        <v>1120</v>
      </c>
      <c r="AB207" s="421" t="s">
        <v>1121</v>
      </c>
      <c r="AC207" s="421" t="s">
        <v>1122</v>
      </c>
      <c r="AD207" s="421" t="s">
        <v>1479</v>
      </c>
      <c r="AE207" s="421" t="s">
        <v>1706</v>
      </c>
      <c r="AF207" s="421" t="s">
        <v>1707</v>
      </c>
      <c r="AG207" s="421" t="s">
        <v>2642</v>
      </c>
      <c r="AH207" s="421">
        <v>7000</v>
      </c>
      <c r="AI207" s="421" t="s">
        <v>1127</v>
      </c>
      <c r="AJ207" s="421">
        <v>35</v>
      </c>
      <c r="AK207" s="421">
        <v>1</v>
      </c>
      <c r="AL207" s="421" t="s">
        <v>1267</v>
      </c>
      <c r="AM207" s="421">
        <v>7000</v>
      </c>
      <c r="AN207" s="421">
        <v>7297.5</v>
      </c>
      <c r="AO207" s="421" t="s">
        <v>1120</v>
      </c>
      <c r="AP207" s="421" t="s">
        <v>1129</v>
      </c>
      <c r="AR207" s="421" t="s">
        <v>1130</v>
      </c>
      <c r="AT207" s="421" t="s">
        <v>1131</v>
      </c>
      <c r="AU207" s="421" t="s">
        <v>1132</v>
      </c>
      <c r="AV207" s="421" t="s">
        <v>1133</v>
      </c>
      <c r="AW207" s="421" t="s">
        <v>1547</v>
      </c>
      <c r="AX207" s="421" t="s">
        <v>1547</v>
      </c>
      <c r="AY207" s="421" t="s">
        <v>1547</v>
      </c>
      <c r="AZ207" s="421" t="s">
        <v>1121</v>
      </c>
      <c r="BA207" s="421" t="s">
        <v>1709</v>
      </c>
      <c r="BB207" s="421" t="s">
        <v>1547</v>
      </c>
      <c r="BC207" s="421" t="s">
        <v>1710</v>
      </c>
      <c r="BD207" s="421" t="s">
        <v>1711</v>
      </c>
      <c r="BE207" s="421" t="s">
        <v>1712</v>
      </c>
      <c r="BF207" s="421" t="s">
        <v>2643</v>
      </c>
      <c r="BG207" s="421" t="s">
        <v>2621</v>
      </c>
      <c r="BH207" s="421" t="s">
        <v>2644</v>
      </c>
      <c r="BI207" s="421" t="s">
        <v>1142</v>
      </c>
      <c r="BJ207" s="421" t="s">
        <v>1180</v>
      </c>
      <c r="BK207" s="421" t="s">
        <v>2641</v>
      </c>
      <c r="BL207" s="421" t="s">
        <v>2634</v>
      </c>
      <c r="BM207" s="421" t="s">
        <v>2645</v>
      </c>
      <c r="BN207" s="421" t="s">
        <v>2406</v>
      </c>
      <c r="BO207" s="421">
        <v>0</v>
      </c>
      <c r="BR207" s="421">
        <v>0</v>
      </c>
      <c r="BS207" s="421">
        <v>0</v>
      </c>
      <c r="BT207" s="421">
        <v>0</v>
      </c>
      <c r="BU207" s="424">
        <v>42238</v>
      </c>
      <c r="BX207" s="421">
        <v>3080.57</v>
      </c>
      <c r="BY207" s="421" t="s">
        <v>1147</v>
      </c>
      <c r="BZ207" s="421">
        <v>23546.77</v>
      </c>
      <c r="CA207" s="421">
        <v>72537473.258900002</v>
      </c>
      <c r="CB207" s="421">
        <v>9.42</v>
      </c>
      <c r="CC207" s="421">
        <v>0</v>
      </c>
      <c r="CD207" s="421">
        <v>1621.03</v>
      </c>
      <c r="CE207" s="421">
        <v>1630.45</v>
      </c>
      <c r="CF207" s="421">
        <v>0</v>
      </c>
      <c r="CG207" s="421">
        <v>25177.22</v>
      </c>
      <c r="CH207" s="421">
        <v>0</v>
      </c>
      <c r="CI207" s="421">
        <v>25177.22</v>
      </c>
      <c r="CJ207" s="421">
        <v>77560188.615400001</v>
      </c>
      <c r="CK207" s="421">
        <v>10</v>
      </c>
      <c r="CL207" s="421">
        <v>77560189</v>
      </c>
      <c r="CM207" s="421">
        <v>7756000</v>
      </c>
      <c r="CN207" s="421">
        <v>7756000</v>
      </c>
      <c r="CO207" s="421">
        <v>0</v>
      </c>
      <c r="CP207" s="421">
        <v>0</v>
      </c>
      <c r="CQ207" s="421">
        <v>16</v>
      </c>
      <c r="CR207" s="421">
        <v>85316189</v>
      </c>
      <c r="CS207" s="421">
        <v>13651000</v>
      </c>
      <c r="CT207" s="421">
        <v>13651000</v>
      </c>
      <c r="CU207" s="421">
        <v>0</v>
      </c>
      <c r="CV207" s="421">
        <v>0</v>
      </c>
      <c r="CW207" s="421">
        <v>0</v>
      </c>
      <c r="CX207" s="421">
        <v>0</v>
      </c>
      <c r="CY207" s="421">
        <v>0</v>
      </c>
      <c r="CZ207" s="421">
        <v>0</v>
      </c>
      <c r="DA207" s="421">
        <v>0</v>
      </c>
      <c r="DB207" s="421">
        <v>0</v>
      </c>
      <c r="DC207" s="421">
        <v>0</v>
      </c>
      <c r="DD207" s="421">
        <v>0</v>
      </c>
      <c r="DE207" s="421">
        <v>0</v>
      </c>
      <c r="DF207" s="421">
        <v>0</v>
      </c>
      <c r="DG207" s="421">
        <v>0</v>
      </c>
      <c r="DH207" s="421">
        <v>0</v>
      </c>
      <c r="DI207" s="421">
        <v>0</v>
      </c>
      <c r="DJ207" s="421">
        <v>0</v>
      </c>
      <c r="DK207" s="421">
        <v>0</v>
      </c>
      <c r="DL207" s="421">
        <v>0</v>
      </c>
      <c r="DM207" s="421">
        <v>0</v>
      </c>
      <c r="DN207" s="421">
        <v>0</v>
      </c>
      <c r="DO207" s="421">
        <v>0</v>
      </c>
      <c r="DP207" s="421">
        <v>0</v>
      </c>
      <c r="DQ207" s="421">
        <v>0</v>
      </c>
      <c r="DR207" s="421">
        <v>0</v>
      </c>
      <c r="DS207" s="421">
        <v>0</v>
      </c>
      <c r="DT207" s="421">
        <v>0</v>
      </c>
      <c r="DU207" s="421">
        <v>0</v>
      </c>
      <c r="DV207" s="421">
        <v>0</v>
      </c>
      <c r="DW207" s="421">
        <v>0</v>
      </c>
      <c r="DX207" s="421">
        <v>0</v>
      </c>
      <c r="DY207" s="421">
        <v>21407000</v>
      </c>
      <c r="DZ207" s="421">
        <v>21407000</v>
      </c>
      <c r="EA207" s="421">
        <v>0</v>
      </c>
      <c r="EB207" s="421">
        <v>0</v>
      </c>
      <c r="EC207" s="421" t="s">
        <v>1148</v>
      </c>
      <c r="ED207" s="421" t="s">
        <v>1331</v>
      </c>
      <c r="EE207" s="421" t="s">
        <v>1331</v>
      </c>
    </row>
    <row r="208" spans="1:135" x14ac:dyDescent="0.25">
      <c r="A208" s="421">
        <v>205</v>
      </c>
      <c r="B208" s="421">
        <v>2015</v>
      </c>
      <c r="C208" s="421">
        <v>9</v>
      </c>
      <c r="D208" s="421">
        <v>19</v>
      </c>
      <c r="E208" s="424">
        <v>42266</v>
      </c>
      <c r="F208" s="421" t="s">
        <v>2646</v>
      </c>
      <c r="G208" s="421" t="s">
        <v>2647</v>
      </c>
      <c r="H208" s="421" t="s">
        <v>1152</v>
      </c>
      <c r="I208" s="421" t="s">
        <v>1107</v>
      </c>
      <c r="J208" s="421" t="s">
        <v>1108</v>
      </c>
      <c r="K208" s="421" t="s">
        <v>1109</v>
      </c>
      <c r="L208" s="421" t="s">
        <v>1110</v>
      </c>
      <c r="O208" s="421" t="s">
        <v>1111</v>
      </c>
      <c r="R208" s="421" t="s">
        <v>1111</v>
      </c>
      <c r="S208" s="421" t="s">
        <v>1112</v>
      </c>
      <c r="T208" s="421" t="s">
        <v>1113</v>
      </c>
      <c r="U208" s="421" t="s">
        <v>1114</v>
      </c>
      <c r="V208" s="421" t="s">
        <v>1115</v>
      </c>
      <c r="W208" s="421" t="s">
        <v>1116</v>
      </c>
      <c r="X208" s="421" t="s">
        <v>1117</v>
      </c>
      <c r="Y208" s="421" t="s">
        <v>1118</v>
      </c>
      <c r="Z208" s="421" t="s">
        <v>1119</v>
      </c>
      <c r="AA208" s="421" t="s">
        <v>1120</v>
      </c>
      <c r="AB208" s="421" t="s">
        <v>1121</v>
      </c>
      <c r="AC208" s="421" t="s">
        <v>1122</v>
      </c>
      <c r="AD208" s="421" t="s">
        <v>1479</v>
      </c>
      <c r="AE208" s="421" t="s">
        <v>1402</v>
      </c>
      <c r="AF208" s="421" t="s">
        <v>1403</v>
      </c>
      <c r="AG208" s="421" t="s">
        <v>2648</v>
      </c>
      <c r="AH208" s="421">
        <v>940400</v>
      </c>
      <c r="AI208" s="421" t="s">
        <v>1189</v>
      </c>
      <c r="AJ208" s="421">
        <v>492</v>
      </c>
      <c r="AK208" s="421">
        <v>3</v>
      </c>
      <c r="AL208" s="421" t="s">
        <v>1173</v>
      </c>
      <c r="AM208" s="421">
        <v>3490.51</v>
      </c>
      <c r="AN208" s="421">
        <v>3822.32</v>
      </c>
      <c r="AO208" s="421" t="s">
        <v>1120</v>
      </c>
      <c r="AP208" s="421" t="s">
        <v>1129</v>
      </c>
      <c r="AR208" s="421" t="s">
        <v>1130</v>
      </c>
      <c r="AT208" s="421" t="s">
        <v>1131</v>
      </c>
      <c r="AU208" s="421" t="s">
        <v>1190</v>
      </c>
      <c r="AV208" s="421" t="s">
        <v>1191</v>
      </c>
      <c r="AW208" s="421" t="s">
        <v>960</v>
      </c>
      <c r="AX208" s="421" t="s">
        <v>960</v>
      </c>
      <c r="AY208" s="421" t="s">
        <v>960</v>
      </c>
      <c r="AZ208" s="421" t="s">
        <v>1121</v>
      </c>
      <c r="BA208" s="421" t="s">
        <v>1376</v>
      </c>
      <c r="BB208" s="421" t="s">
        <v>960</v>
      </c>
      <c r="BC208" s="421" t="s">
        <v>1377</v>
      </c>
      <c r="BD208" s="421" t="s">
        <v>1378</v>
      </c>
      <c r="BE208" s="421" t="s">
        <v>1379</v>
      </c>
      <c r="BF208" s="421" t="s">
        <v>2632</v>
      </c>
      <c r="BG208" s="421" t="s">
        <v>2589</v>
      </c>
      <c r="BH208" s="421" t="s">
        <v>2633</v>
      </c>
      <c r="BI208" s="421" t="s">
        <v>1142</v>
      </c>
      <c r="BJ208" s="421" t="s">
        <v>1243</v>
      </c>
      <c r="BK208" s="421" t="s">
        <v>2647</v>
      </c>
      <c r="BL208" s="421" t="s">
        <v>2634</v>
      </c>
      <c r="BM208" s="421" t="s">
        <v>2639</v>
      </c>
      <c r="BN208" s="421" t="s">
        <v>2369</v>
      </c>
      <c r="BO208" s="421">
        <v>0</v>
      </c>
      <c r="BR208" s="421">
        <v>0</v>
      </c>
      <c r="BS208" s="421">
        <v>0</v>
      </c>
      <c r="BT208" s="421">
        <v>0</v>
      </c>
      <c r="BU208" s="424">
        <v>42235</v>
      </c>
      <c r="BX208" s="421">
        <v>3080.57</v>
      </c>
      <c r="BY208" s="421" t="s">
        <v>1183</v>
      </c>
      <c r="BZ208" s="421">
        <v>15496.8</v>
      </c>
      <c r="CA208" s="421">
        <v>47738977.175999999</v>
      </c>
      <c r="CB208" s="421">
        <v>6.2</v>
      </c>
      <c r="CC208" s="421">
        <v>0</v>
      </c>
      <c r="CD208" s="421">
        <v>2082.6999999999998</v>
      </c>
      <c r="CE208" s="421">
        <v>2088.9</v>
      </c>
      <c r="CF208" s="421">
        <v>0</v>
      </c>
      <c r="CG208" s="421">
        <v>17585.7</v>
      </c>
      <c r="CH208" s="421">
        <v>0</v>
      </c>
      <c r="CI208" s="421">
        <v>17585.7</v>
      </c>
      <c r="CJ208" s="421">
        <v>54173979.848999999</v>
      </c>
      <c r="CK208" s="421">
        <v>10</v>
      </c>
      <c r="CL208" s="421">
        <v>54173980</v>
      </c>
      <c r="CM208" s="421">
        <v>5417000</v>
      </c>
      <c r="CN208" s="421">
        <v>5417000</v>
      </c>
      <c r="CO208" s="421">
        <v>0</v>
      </c>
      <c r="CP208" s="421">
        <v>0</v>
      </c>
      <c r="CQ208" s="421">
        <v>16</v>
      </c>
      <c r="CR208" s="421">
        <v>59590980</v>
      </c>
      <c r="CS208" s="421">
        <v>9535000</v>
      </c>
      <c r="CT208" s="421">
        <v>9535000</v>
      </c>
      <c r="CU208" s="421">
        <v>0</v>
      </c>
      <c r="CV208" s="421">
        <v>0</v>
      </c>
      <c r="CW208" s="421">
        <v>0</v>
      </c>
      <c r="CX208" s="421">
        <v>0</v>
      </c>
      <c r="CY208" s="421">
        <v>0</v>
      </c>
      <c r="CZ208" s="421">
        <v>0</v>
      </c>
      <c r="DA208" s="421">
        <v>0</v>
      </c>
      <c r="DB208" s="421">
        <v>0</v>
      </c>
      <c r="DC208" s="421">
        <v>0</v>
      </c>
      <c r="DD208" s="421">
        <v>0</v>
      </c>
      <c r="DE208" s="421">
        <v>0</v>
      </c>
      <c r="DF208" s="421">
        <v>0</v>
      </c>
      <c r="DG208" s="421">
        <v>0</v>
      </c>
      <c r="DH208" s="421">
        <v>0</v>
      </c>
      <c r="DI208" s="421">
        <v>0</v>
      </c>
      <c r="DJ208" s="421">
        <v>0</v>
      </c>
      <c r="DK208" s="421">
        <v>0</v>
      </c>
      <c r="DL208" s="421">
        <v>0</v>
      </c>
      <c r="DM208" s="421">
        <v>0</v>
      </c>
      <c r="DN208" s="421">
        <v>0</v>
      </c>
      <c r="DO208" s="421">
        <v>0</v>
      </c>
      <c r="DP208" s="421">
        <v>0</v>
      </c>
      <c r="DQ208" s="421">
        <v>0</v>
      </c>
      <c r="DR208" s="421">
        <v>0</v>
      </c>
      <c r="DS208" s="421">
        <v>0</v>
      </c>
      <c r="DT208" s="421">
        <v>0</v>
      </c>
      <c r="DU208" s="421">
        <v>0</v>
      </c>
      <c r="DV208" s="421">
        <v>0</v>
      </c>
      <c r="DW208" s="421">
        <v>0</v>
      </c>
      <c r="DX208" s="421">
        <v>0</v>
      </c>
      <c r="DY208" s="421">
        <v>14952000</v>
      </c>
      <c r="DZ208" s="421">
        <v>14952000</v>
      </c>
      <c r="EA208" s="421">
        <v>0</v>
      </c>
      <c r="EB208" s="421">
        <v>0</v>
      </c>
      <c r="EC208" s="421" t="s">
        <v>1148</v>
      </c>
      <c r="ED208" s="421" t="s">
        <v>1167</v>
      </c>
      <c r="EE208" s="421" t="s">
        <v>1167</v>
      </c>
    </row>
    <row r="209" spans="1:135" x14ac:dyDescent="0.25">
      <c r="A209" s="421">
        <v>206</v>
      </c>
      <c r="B209" s="421">
        <v>2015</v>
      </c>
      <c r="C209" s="421">
        <v>9</v>
      </c>
      <c r="D209" s="421">
        <v>19</v>
      </c>
      <c r="E209" s="424">
        <v>42266</v>
      </c>
      <c r="F209" s="421" t="s">
        <v>2649</v>
      </c>
      <c r="G209" s="421" t="s">
        <v>2650</v>
      </c>
      <c r="H209" s="421" t="s">
        <v>1152</v>
      </c>
      <c r="I209" s="421" t="s">
        <v>1107</v>
      </c>
      <c r="J209" s="421" t="s">
        <v>1108</v>
      </c>
      <c r="K209" s="421" t="s">
        <v>1109</v>
      </c>
      <c r="L209" s="421" t="s">
        <v>1110</v>
      </c>
      <c r="O209" s="421" t="s">
        <v>1111</v>
      </c>
      <c r="R209" s="421" t="s">
        <v>1111</v>
      </c>
      <c r="S209" s="421" t="s">
        <v>1112</v>
      </c>
      <c r="T209" s="421" t="s">
        <v>1113</v>
      </c>
      <c r="U209" s="421" t="s">
        <v>1114</v>
      </c>
      <c r="V209" s="421" t="s">
        <v>1115</v>
      </c>
      <c r="W209" s="421" t="s">
        <v>1116</v>
      </c>
      <c r="X209" s="421" t="s">
        <v>1117</v>
      </c>
      <c r="Y209" s="421" t="s">
        <v>1118</v>
      </c>
      <c r="Z209" s="421" t="s">
        <v>1119</v>
      </c>
      <c r="AA209" s="421" t="s">
        <v>1120</v>
      </c>
      <c r="AB209" s="421" t="s">
        <v>1121</v>
      </c>
      <c r="AC209" s="421" t="s">
        <v>1122</v>
      </c>
      <c r="AD209" s="421" t="s">
        <v>1479</v>
      </c>
      <c r="AE209" s="421" t="s">
        <v>1264</v>
      </c>
      <c r="AF209" s="421" t="s">
        <v>1265</v>
      </c>
      <c r="AG209" s="421" t="s">
        <v>2651</v>
      </c>
      <c r="AH209" s="421">
        <v>4619.88</v>
      </c>
      <c r="AI209" s="421" t="s">
        <v>1127</v>
      </c>
      <c r="AJ209" s="421">
        <v>101</v>
      </c>
      <c r="AK209" s="421">
        <v>1</v>
      </c>
      <c r="AL209" s="421" t="s">
        <v>1206</v>
      </c>
      <c r="AM209" s="421">
        <v>4619.88</v>
      </c>
      <c r="AN209" s="421">
        <v>4850.87</v>
      </c>
      <c r="AO209" s="421" t="s">
        <v>1427</v>
      </c>
      <c r="AP209" s="421" t="s">
        <v>1129</v>
      </c>
      <c r="AR209" s="421" t="s">
        <v>1130</v>
      </c>
      <c r="AT209" s="421" t="s">
        <v>1131</v>
      </c>
      <c r="AU209" s="421" t="s">
        <v>1132</v>
      </c>
      <c r="AV209" s="421" t="s">
        <v>1133</v>
      </c>
      <c r="AW209" s="421" t="s">
        <v>962</v>
      </c>
      <c r="AX209" s="421" t="s">
        <v>962</v>
      </c>
      <c r="AY209" s="421" t="s">
        <v>962</v>
      </c>
      <c r="AZ209" s="421" t="s">
        <v>1121</v>
      </c>
      <c r="BA209" s="421" t="s">
        <v>1364</v>
      </c>
      <c r="BB209" s="421" t="s">
        <v>962</v>
      </c>
      <c r="BC209" s="421" t="s">
        <v>1365</v>
      </c>
      <c r="BD209" s="421" t="s">
        <v>1366</v>
      </c>
      <c r="BE209" s="421" t="s">
        <v>1696</v>
      </c>
      <c r="BF209" s="421" t="s">
        <v>2632</v>
      </c>
      <c r="BG209" s="421" t="s">
        <v>2589</v>
      </c>
      <c r="BH209" s="421" t="s">
        <v>2652</v>
      </c>
      <c r="BI209" s="421" t="s">
        <v>1142</v>
      </c>
      <c r="BJ209" s="421" t="s">
        <v>1243</v>
      </c>
      <c r="BK209" s="421" t="s">
        <v>2650</v>
      </c>
      <c r="BL209" s="421" t="s">
        <v>2653</v>
      </c>
      <c r="BM209" s="421" t="s">
        <v>2654</v>
      </c>
      <c r="BN209" s="421" t="s">
        <v>2464</v>
      </c>
      <c r="BO209" s="421">
        <v>0</v>
      </c>
      <c r="BR209" s="421">
        <v>0</v>
      </c>
      <c r="BS209" s="421">
        <v>0</v>
      </c>
      <c r="BT209" s="421">
        <v>0</v>
      </c>
      <c r="BU209" s="424">
        <v>42247</v>
      </c>
      <c r="BX209" s="421">
        <v>3080.57</v>
      </c>
      <c r="BY209" s="421" t="s">
        <v>1147</v>
      </c>
      <c r="BZ209" s="421">
        <v>26696.87</v>
      </c>
      <c r="CA209" s="421">
        <v>82241576.815899998</v>
      </c>
      <c r="CB209" s="421">
        <v>10.68</v>
      </c>
      <c r="CC209" s="421">
        <v>0</v>
      </c>
      <c r="CD209" s="421">
        <v>535</v>
      </c>
      <c r="CE209" s="421">
        <v>545.67999999999995</v>
      </c>
      <c r="CF209" s="421">
        <v>0</v>
      </c>
      <c r="CG209" s="421">
        <v>27242.55</v>
      </c>
      <c r="CH209" s="421">
        <v>0</v>
      </c>
      <c r="CI209" s="421">
        <v>27242.55</v>
      </c>
      <c r="CJ209" s="421">
        <v>83922582.2535</v>
      </c>
      <c r="CK209" s="421">
        <v>2</v>
      </c>
      <c r="CL209" s="421">
        <v>83922582</v>
      </c>
      <c r="CM209" s="421">
        <v>1678000</v>
      </c>
      <c r="CN209" s="421">
        <v>1678000</v>
      </c>
      <c r="CO209" s="421">
        <v>0</v>
      </c>
      <c r="CP209" s="421">
        <v>0</v>
      </c>
      <c r="CQ209" s="421">
        <v>16</v>
      </c>
      <c r="CR209" s="421">
        <v>85600582</v>
      </c>
      <c r="CS209" s="421">
        <v>13696000</v>
      </c>
      <c r="CT209" s="421">
        <v>13696000</v>
      </c>
      <c r="CU209" s="421">
        <v>0</v>
      </c>
      <c r="CV209" s="421">
        <v>0</v>
      </c>
      <c r="CW209" s="421">
        <v>0</v>
      </c>
      <c r="CX209" s="421">
        <v>0</v>
      </c>
      <c r="CY209" s="421">
        <v>0</v>
      </c>
      <c r="CZ209" s="421">
        <v>0</v>
      </c>
      <c r="DA209" s="421">
        <v>0</v>
      </c>
      <c r="DB209" s="421">
        <v>0</v>
      </c>
      <c r="DC209" s="421">
        <v>0</v>
      </c>
      <c r="DD209" s="421">
        <v>0</v>
      </c>
      <c r="DE209" s="421">
        <v>0</v>
      </c>
      <c r="DF209" s="421">
        <v>0</v>
      </c>
      <c r="DG209" s="421">
        <v>0</v>
      </c>
      <c r="DH209" s="421">
        <v>0</v>
      </c>
      <c r="DI209" s="421">
        <v>0</v>
      </c>
      <c r="DJ209" s="421">
        <v>0</v>
      </c>
      <c r="DK209" s="421">
        <v>0</v>
      </c>
      <c r="DL209" s="421">
        <v>0</v>
      </c>
      <c r="DM209" s="421">
        <v>0</v>
      </c>
      <c r="DN209" s="421">
        <v>0</v>
      </c>
      <c r="DO209" s="421">
        <v>0</v>
      </c>
      <c r="DP209" s="421">
        <v>0</v>
      </c>
      <c r="DQ209" s="421">
        <v>0</v>
      </c>
      <c r="DR209" s="421">
        <v>0</v>
      </c>
      <c r="DS209" s="421">
        <v>0</v>
      </c>
      <c r="DT209" s="421">
        <v>0</v>
      </c>
      <c r="DU209" s="421">
        <v>0</v>
      </c>
      <c r="DV209" s="421">
        <v>0</v>
      </c>
      <c r="DW209" s="421">
        <v>0</v>
      </c>
      <c r="DX209" s="421">
        <v>0</v>
      </c>
      <c r="DY209" s="421">
        <v>15374000</v>
      </c>
      <c r="DZ209" s="421">
        <v>15374000</v>
      </c>
      <c r="EA209" s="421">
        <v>0</v>
      </c>
      <c r="EB209" s="421">
        <v>0</v>
      </c>
      <c r="EC209" s="421" t="s">
        <v>1148</v>
      </c>
      <c r="ED209" s="421" t="s">
        <v>1149</v>
      </c>
      <c r="EE209" s="421" t="s">
        <v>1149</v>
      </c>
    </row>
    <row r="210" spans="1:135" x14ac:dyDescent="0.25">
      <c r="A210" s="421">
        <v>207</v>
      </c>
      <c r="B210" s="421">
        <v>2015</v>
      </c>
      <c r="C210" s="421">
        <v>9</v>
      </c>
      <c r="D210" s="421">
        <v>19</v>
      </c>
      <c r="E210" s="424">
        <v>42266</v>
      </c>
      <c r="F210" s="421" t="s">
        <v>2655</v>
      </c>
      <c r="G210" s="421" t="s">
        <v>2656</v>
      </c>
      <c r="H210" s="421" t="s">
        <v>1152</v>
      </c>
      <c r="I210" s="421" t="s">
        <v>1107</v>
      </c>
      <c r="J210" s="421" t="s">
        <v>1108</v>
      </c>
      <c r="K210" s="421" t="s">
        <v>1109</v>
      </c>
      <c r="L210" s="421" t="s">
        <v>1110</v>
      </c>
      <c r="O210" s="421" t="s">
        <v>1111</v>
      </c>
      <c r="R210" s="421" t="s">
        <v>1111</v>
      </c>
      <c r="S210" s="421" t="s">
        <v>1112</v>
      </c>
      <c r="T210" s="421" t="s">
        <v>1113</v>
      </c>
      <c r="U210" s="421" t="s">
        <v>1114</v>
      </c>
      <c r="V210" s="421" t="s">
        <v>1115</v>
      </c>
      <c r="W210" s="421" t="s">
        <v>1116</v>
      </c>
      <c r="X210" s="421" t="s">
        <v>1117</v>
      </c>
      <c r="Y210" s="421" t="s">
        <v>1118</v>
      </c>
      <c r="Z210" s="421" t="s">
        <v>1119</v>
      </c>
      <c r="AA210" s="421" t="s">
        <v>1120</v>
      </c>
      <c r="AB210" s="421" t="s">
        <v>1121</v>
      </c>
      <c r="AC210" s="421" t="s">
        <v>1122</v>
      </c>
      <c r="AD210" s="421" t="s">
        <v>1479</v>
      </c>
      <c r="AE210" s="421" t="s">
        <v>1264</v>
      </c>
      <c r="AF210" s="421" t="s">
        <v>1265</v>
      </c>
      <c r="AG210" s="421" t="s">
        <v>2657</v>
      </c>
      <c r="AH210" s="421">
        <v>14750.98</v>
      </c>
      <c r="AI210" s="421" t="s">
        <v>1127</v>
      </c>
      <c r="AJ210" s="421">
        <v>101</v>
      </c>
      <c r="AK210" s="421">
        <v>1</v>
      </c>
      <c r="AL210" s="421" t="s">
        <v>1206</v>
      </c>
      <c r="AM210" s="421">
        <v>14750.98</v>
      </c>
      <c r="AN210" s="421">
        <v>15564.44</v>
      </c>
      <c r="AO210" s="421" t="s">
        <v>1120</v>
      </c>
      <c r="AP210" s="421" t="s">
        <v>1129</v>
      </c>
      <c r="AR210" s="421" t="s">
        <v>1130</v>
      </c>
      <c r="AT210" s="421" t="s">
        <v>1131</v>
      </c>
      <c r="AU210" s="421" t="s">
        <v>1132</v>
      </c>
      <c r="AV210" s="421" t="s">
        <v>1133</v>
      </c>
      <c r="AW210" s="421" t="s">
        <v>962</v>
      </c>
      <c r="AX210" s="421" t="s">
        <v>962</v>
      </c>
      <c r="AY210" s="421" t="s">
        <v>962</v>
      </c>
      <c r="AZ210" s="421" t="s">
        <v>1121</v>
      </c>
      <c r="BA210" s="421" t="s">
        <v>1364</v>
      </c>
      <c r="BB210" s="421" t="s">
        <v>962</v>
      </c>
      <c r="BC210" s="421" t="s">
        <v>1365</v>
      </c>
      <c r="BD210" s="421" t="s">
        <v>1366</v>
      </c>
      <c r="BE210" s="421" t="s">
        <v>1696</v>
      </c>
      <c r="BF210" s="421" t="s">
        <v>2632</v>
      </c>
      <c r="BG210" s="421" t="s">
        <v>2589</v>
      </c>
      <c r="BH210" s="421" t="s">
        <v>2652</v>
      </c>
      <c r="BI210" s="421" t="s">
        <v>1142</v>
      </c>
      <c r="BJ210" s="421" t="s">
        <v>1243</v>
      </c>
      <c r="BK210" s="421" t="s">
        <v>2656</v>
      </c>
      <c r="BL210" s="421" t="s">
        <v>2653</v>
      </c>
      <c r="BM210" s="421" t="s">
        <v>2654</v>
      </c>
      <c r="BN210" s="421" t="s">
        <v>2464</v>
      </c>
      <c r="BO210" s="421">
        <v>0</v>
      </c>
      <c r="BR210" s="421">
        <v>0</v>
      </c>
      <c r="BS210" s="421">
        <v>0</v>
      </c>
      <c r="BT210" s="421">
        <v>0</v>
      </c>
      <c r="BU210" s="424">
        <v>42247</v>
      </c>
      <c r="BX210" s="421">
        <v>3080.57</v>
      </c>
      <c r="BY210" s="421" t="s">
        <v>1147</v>
      </c>
      <c r="BZ210" s="421">
        <v>170718.06</v>
      </c>
      <c r="CA210" s="421">
        <v>525908934.09420002</v>
      </c>
      <c r="CB210" s="421">
        <v>68.290000000000006</v>
      </c>
      <c r="CC210" s="421">
        <v>0</v>
      </c>
      <c r="CD210" s="421">
        <v>1716.6</v>
      </c>
      <c r="CE210" s="421">
        <v>1784.89</v>
      </c>
      <c r="CF210" s="421">
        <v>0</v>
      </c>
      <c r="CG210" s="421">
        <v>172502.95</v>
      </c>
      <c r="CH210" s="421">
        <v>0</v>
      </c>
      <c r="CI210" s="421">
        <v>172502.95</v>
      </c>
      <c r="CJ210" s="421">
        <v>531407412.68150002</v>
      </c>
      <c r="CK210" s="421">
        <v>5</v>
      </c>
      <c r="CL210" s="421">
        <v>531407413</v>
      </c>
      <c r="CM210" s="421">
        <v>26570000</v>
      </c>
      <c r="CN210" s="421">
        <v>26570000</v>
      </c>
      <c r="CO210" s="421">
        <v>0</v>
      </c>
      <c r="CP210" s="421">
        <v>0</v>
      </c>
      <c r="CQ210" s="421">
        <v>16</v>
      </c>
      <c r="CR210" s="421">
        <v>557977413</v>
      </c>
      <c r="CS210" s="421">
        <v>89276000</v>
      </c>
      <c r="CT210" s="421">
        <v>89276000</v>
      </c>
      <c r="CU210" s="421">
        <v>0</v>
      </c>
      <c r="CV210" s="421">
        <v>0</v>
      </c>
      <c r="CW210" s="421">
        <v>0</v>
      </c>
      <c r="CX210" s="421">
        <v>0</v>
      </c>
      <c r="CY210" s="421">
        <v>0</v>
      </c>
      <c r="CZ210" s="421">
        <v>0</v>
      </c>
      <c r="DA210" s="421">
        <v>0</v>
      </c>
      <c r="DB210" s="421">
        <v>0</v>
      </c>
      <c r="DC210" s="421">
        <v>0</v>
      </c>
      <c r="DD210" s="421">
        <v>0</v>
      </c>
      <c r="DE210" s="421">
        <v>0</v>
      </c>
      <c r="DF210" s="421">
        <v>0</v>
      </c>
      <c r="DG210" s="421">
        <v>0</v>
      </c>
      <c r="DH210" s="421">
        <v>0</v>
      </c>
      <c r="DI210" s="421">
        <v>0</v>
      </c>
      <c r="DJ210" s="421">
        <v>0</v>
      </c>
      <c r="DK210" s="421">
        <v>0</v>
      </c>
      <c r="DL210" s="421">
        <v>0</v>
      </c>
      <c r="DM210" s="421">
        <v>0</v>
      </c>
      <c r="DN210" s="421">
        <v>0</v>
      </c>
      <c r="DO210" s="421">
        <v>0</v>
      </c>
      <c r="DP210" s="421">
        <v>0</v>
      </c>
      <c r="DQ210" s="421">
        <v>0</v>
      </c>
      <c r="DR210" s="421">
        <v>0</v>
      </c>
      <c r="DS210" s="421">
        <v>0</v>
      </c>
      <c r="DT210" s="421">
        <v>0</v>
      </c>
      <c r="DU210" s="421">
        <v>0</v>
      </c>
      <c r="DV210" s="421">
        <v>0</v>
      </c>
      <c r="DW210" s="421">
        <v>0</v>
      </c>
      <c r="DX210" s="421">
        <v>0</v>
      </c>
      <c r="DY210" s="421">
        <v>115846000</v>
      </c>
      <c r="DZ210" s="421">
        <v>115846000</v>
      </c>
      <c r="EA210" s="421">
        <v>0</v>
      </c>
      <c r="EB210" s="421">
        <v>0</v>
      </c>
      <c r="EC210" s="421" t="s">
        <v>1148</v>
      </c>
      <c r="ED210" s="421" t="s">
        <v>1149</v>
      </c>
      <c r="EE210" s="421" t="s">
        <v>1149</v>
      </c>
    </row>
    <row r="211" spans="1:135" x14ac:dyDescent="0.25">
      <c r="A211" s="421">
        <v>208</v>
      </c>
      <c r="B211" s="421">
        <v>2015</v>
      </c>
      <c r="C211" s="421">
        <v>9</v>
      </c>
      <c r="D211" s="421">
        <v>22</v>
      </c>
      <c r="E211" s="424">
        <v>42269</v>
      </c>
      <c r="F211" s="421" t="s">
        <v>2658</v>
      </c>
      <c r="G211" s="421" t="s">
        <v>2659</v>
      </c>
      <c r="H211" s="421" t="s">
        <v>1106</v>
      </c>
      <c r="I211" s="421" t="s">
        <v>1107</v>
      </c>
      <c r="J211" s="421" t="s">
        <v>1108</v>
      </c>
      <c r="K211" s="421" t="s">
        <v>1109</v>
      </c>
      <c r="L211" s="421" t="s">
        <v>1110</v>
      </c>
      <c r="O211" s="421" t="s">
        <v>1111</v>
      </c>
      <c r="R211" s="421" t="s">
        <v>1111</v>
      </c>
      <c r="S211" s="421" t="s">
        <v>1112</v>
      </c>
      <c r="T211" s="421" t="s">
        <v>1113</v>
      </c>
      <c r="U211" s="421" t="s">
        <v>1114</v>
      </c>
      <c r="V211" s="421" t="s">
        <v>1115</v>
      </c>
      <c r="W211" s="421" t="s">
        <v>1116</v>
      </c>
      <c r="X211" s="421" t="s">
        <v>1117</v>
      </c>
      <c r="Y211" s="421" t="s">
        <v>1118</v>
      </c>
      <c r="Z211" s="421" t="s">
        <v>1119</v>
      </c>
      <c r="AA211" s="421" t="s">
        <v>1120</v>
      </c>
      <c r="AB211" s="421" t="s">
        <v>1121</v>
      </c>
      <c r="AC211" s="421" t="s">
        <v>1122</v>
      </c>
      <c r="AD211" s="421" t="s">
        <v>1479</v>
      </c>
      <c r="AE211" s="421" t="s">
        <v>1315</v>
      </c>
      <c r="AF211" s="421" t="s">
        <v>1316</v>
      </c>
      <c r="AG211" s="421" t="s">
        <v>2660</v>
      </c>
      <c r="AH211" s="421">
        <v>5000</v>
      </c>
      <c r="AI211" s="421" t="s">
        <v>1127</v>
      </c>
      <c r="AJ211" s="421">
        <v>10</v>
      </c>
      <c r="AK211" s="421">
        <v>1</v>
      </c>
      <c r="AL211" s="421" t="s">
        <v>1206</v>
      </c>
      <c r="AM211" s="421">
        <v>5000</v>
      </c>
      <c r="AN211" s="421">
        <v>5500</v>
      </c>
      <c r="AO211" s="421" t="s">
        <v>1120</v>
      </c>
      <c r="AP211" s="421" t="s">
        <v>1129</v>
      </c>
      <c r="AR211" s="421" t="s">
        <v>1130</v>
      </c>
      <c r="AT211" s="421" t="s">
        <v>1131</v>
      </c>
      <c r="AU211" s="421" t="s">
        <v>1132</v>
      </c>
      <c r="AV211" s="421" t="s">
        <v>1133</v>
      </c>
      <c r="AW211" s="421" t="s">
        <v>1321</v>
      </c>
      <c r="AX211" s="421" t="s">
        <v>1321</v>
      </c>
      <c r="AY211" s="421" t="s">
        <v>1321</v>
      </c>
      <c r="AZ211" s="421" t="s">
        <v>1121</v>
      </c>
      <c r="BA211" s="421" t="s">
        <v>1811</v>
      </c>
      <c r="BB211" s="421" t="s">
        <v>1321</v>
      </c>
      <c r="BC211" s="421" t="s">
        <v>1812</v>
      </c>
      <c r="BD211" s="421" t="s">
        <v>1813</v>
      </c>
      <c r="BE211" s="421" t="s">
        <v>1814</v>
      </c>
      <c r="BF211" s="421" t="s">
        <v>2661</v>
      </c>
      <c r="BG211" s="421" t="s">
        <v>2634</v>
      </c>
      <c r="BH211" s="421" t="s">
        <v>2662</v>
      </c>
      <c r="BI211" s="421" t="s">
        <v>1142</v>
      </c>
      <c r="BJ211" s="421" t="s">
        <v>1275</v>
      </c>
      <c r="BK211" s="421" t="s">
        <v>2659</v>
      </c>
      <c r="BL211" s="421" t="s">
        <v>2663</v>
      </c>
      <c r="BM211" s="421" t="s">
        <v>2664</v>
      </c>
      <c r="BN211" s="421" t="s">
        <v>2286</v>
      </c>
      <c r="BO211" s="421">
        <v>0</v>
      </c>
      <c r="BR211" s="421">
        <v>0</v>
      </c>
      <c r="BS211" s="421">
        <v>0</v>
      </c>
      <c r="BT211" s="421">
        <v>0</v>
      </c>
      <c r="BU211" s="424">
        <v>42225</v>
      </c>
      <c r="BX211" s="421">
        <v>2975.13</v>
      </c>
      <c r="BY211" s="421" t="s">
        <v>1147</v>
      </c>
      <c r="BZ211" s="421">
        <v>127727.16</v>
      </c>
      <c r="CA211" s="421">
        <v>380004905.53079998</v>
      </c>
      <c r="CB211" s="421">
        <v>51.09</v>
      </c>
      <c r="CC211" s="421">
        <v>0</v>
      </c>
      <c r="CD211" s="421">
        <v>1789.84</v>
      </c>
      <c r="CE211" s="421">
        <v>1840.93</v>
      </c>
      <c r="CF211" s="421">
        <v>0</v>
      </c>
      <c r="CG211" s="421">
        <v>129568.09</v>
      </c>
      <c r="CH211" s="421">
        <v>0</v>
      </c>
      <c r="CI211" s="421">
        <v>129568.09</v>
      </c>
      <c r="CJ211" s="421">
        <v>385481911.60170001</v>
      </c>
      <c r="CK211" s="421">
        <v>0</v>
      </c>
      <c r="CL211" s="421">
        <v>385481912</v>
      </c>
      <c r="CM211" s="421">
        <v>0</v>
      </c>
      <c r="CN211" s="421">
        <v>0</v>
      </c>
      <c r="CO211" s="421">
        <v>0</v>
      </c>
      <c r="CP211" s="421">
        <v>0</v>
      </c>
      <c r="CQ211" s="421">
        <v>16</v>
      </c>
      <c r="CR211" s="421">
        <v>385481912</v>
      </c>
      <c r="CS211" s="421">
        <v>61677000</v>
      </c>
      <c r="CT211" s="421">
        <v>61677000</v>
      </c>
      <c r="CU211" s="421">
        <v>0</v>
      </c>
      <c r="CV211" s="421">
        <v>0</v>
      </c>
      <c r="CW211" s="421">
        <v>0</v>
      </c>
      <c r="CX211" s="421">
        <v>0</v>
      </c>
      <c r="CY211" s="421">
        <v>0</v>
      </c>
      <c r="CZ211" s="421">
        <v>0</v>
      </c>
      <c r="DA211" s="421">
        <v>0</v>
      </c>
      <c r="DB211" s="421">
        <v>0</v>
      </c>
      <c r="DC211" s="421">
        <v>0</v>
      </c>
      <c r="DD211" s="421">
        <v>0</v>
      </c>
      <c r="DE211" s="421">
        <v>0</v>
      </c>
      <c r="DF211" s="421">
        <v>0</v>
      </c>
      <c r="DG211" s="421">
        <v>0</v>
      </c>
      <c r="DH211" s="421">
        <v>0</v>
      </c>
      <c r="DI211" s="421">
        <v>0</v>
      </c>
      <c r="DJ211" s="421">
        <v>0</v>
      </c>
      <c r="DK211" s="421">
        <v>0</v>
      </c>
      <c r="DL211" s="421">
        <v>0</v>
      </c>
      <c r="DM211" s="421">
        <v>0</v>
      </c>
      <c r="DN211" s="421">
        <v>0</v>
      </c>
      <c r="DO211" s="421">
        <v>0</v>
      </c>
      <c r="DP211" s="421">
        <v>0</v>
      </c>
      <c r="DQ211" s="421">
        <v>0</v>
      </c>
      <c r="DR211" s="421">
        <v>0</v>
      </c>
      <c r="DS211" s="421">
        <v>0</v>
      </c>
      <c r="DT211" s="421">
        <v>0</v>
      </c>
      <c r="DU211" s="421">
        <v>0</v>
      </c>
      <c r="DV211" s="421">
        <v>0</v>
      </c>
      <c r="DW211" s="421">
        <v>0</v>
      </c>
      <c r="DX211" s="421">
        <v>0</v>
      </c>
      <c r="DY211" s="421">
        <v>61677000</v>
      </c>
      <c r="DZ211" s="421">
        <v>61677000</v>
      </c>
      <c r="EA211" s="421">
        <v>0</v>
      </c>
      <c r="EB211" s="421">
        <v>0</v>
      </c>
      <c r="EC211" s="421" t="s">
        <v>1148</v>
      </c>
      <c r="ED211" s="421" t="s">
        <v>1331</v>
      </c>
      <c r="EE211" s="421" t="s">
        <v>1331</v>
      </c>
    </row>
    <row r="212" spans="1:135" x14ac:dyDescent="0.25">
      <c r="A212" s="421">
        <v>209</v>
      </c>
      <c r="B212" s="421">
        <v>2015</v>
      </c>
      <c r="C212" s="421">
        <v>9</v>
      </c>
      <c r="D212" s="421">
        <v>22</v>
      </c>
      <c r="E212" s="424">
        <v>42269</v>
      </c>
      <c r="F212" s="421" t="s">
        <v>2665</v>
      </c>
      <c r="G212" s="421" t="s">
        <v>2666</v>
      </c>
      <c r="H212" s="421" t="s">
        <v>1106</v>
      </c>
      <c r="I212" s="421" t="s">
        <v>2615</v>
      </c>
      <c r="J212" s="421" t="s">
        <v>1108</v>
      </c>
      <c r="K212" s="421" t="s">
        <v>2667</v>
      </c>
      <c r="L212" s="421" t="s">
        <v>1110</v>
      </c>
      <c r="M212" s="421" t="s">
        <v>2621</v>
      </c>
      <c r="N212" s="421" t="s">
        <v>2668</v>
      </c>
      <c r="O212" s="421" t="s">
        <v>1108</v>
      </c>
      <c r="R212" s="421" t="s">
        <v>1111</v>
      </c>
      <c r="S212" s="421" t="s">
        <v>1112</v>
      </c>
      <c r="T212" s="421" t="s">
        <v>1113</v>
      </c>
      <c r="U212" s="421" t="s">
        <v>1114</v>
      </c>
      <c r="V212" s="421" t="s">
        <v>1115</v>
      </c>
      <c r="W212" s="421" t="s">
        <v>1116</v>
      </c>
      <c r="X212" s="421" t="s">
        <v>1117</v>
      </c>
      <c r="Y212" s="421" t="s">
        <v>1118</v>
      </c>
      <c r="Z212" s="421" t="s">
        <v>1119</v>
      </c>
      <c r="AA212" s="421" t="s">
        <v>1120</v>
      </c>
      <c r="AB212" s="421" t="s">
        <v>1121</v>
      </c>
      <c r="AC212" s="421" t="s">
        <v>1122</v>
      </c>
      <c r="AD212" s="421" t="s">
        <v>1479</v>
      </c>
      <c r="AE212" s="421" t="s">
        <v>2669</v>
      </c>
      <c r="AF212" s="421" t="s">
        <v>2670</v>
      </c>
      <c r="AG212" s="421" t="s">
        <v>2671</v>
      </c>
      <c r="AH212" s="421">
        <v>1920</v>
      </c>
      <c r="AI212" s="421" t="s">
        <v>1189</v>
      </c>
      <c r="AJ212" s="421">
        <v>64</v>
      </c>
      <c r="AK212" s="421">
        <v>3</v>
      </c>
      <c r="AL212" s="421" t="s">
        <v>1173</v>
      </c>
      <c r="AM212" s="421">
        <v>48</v>
      </c>
      <c r="AN212" s="421">
        <v>56</v>
      </c>
      <c r="AO212" s="421" t="s">
        <v>1120</v>
      </c>
      <c r="AP212" s="421" t="s">
        <v>1129</v>
      </c>
      <c r="AR212" s="421" t="s">
        <v>1130</v>
      </c>
      <c r="AT212" s="421" t="s">
        <v>1131</v>
      </c>
      <c r="AU212" s="421" t="s">
        <v>1303</v>
      </c>
      <c r="AV212" s="421" t="s">
        <v>1304</v>
      </c>
      <c r="AW212" s="421" t="s">
        <v>960</v>
      </c>
      <c r="AX212" s="421" t="s">
        <v>960</v>
      </c>
      <c r="AY212" s="421" t="s">
        <v>960</v>
      </c>
      <c r="AZ212" s="421" t="s">
        <v>1121</v>
      </c>
      <c r="BA212" s="421" t="s">
        <v>2617</v>
      </c>
      <c r="BB212" s="421" t="s">
        <v>960</v>
      </c>
      <c r="BC212" s="421" t="s">
        <v>1253</v>
      </c>
      <c r="BD212" s="421" t="s">
        <v>2618</v>
      </c>
      <c r="BE212" s="421" t="s">
        <v>2619</v>
      </c>
      <c r="BF212" s="421" t="s">
        <v>2587</v>
      </c>
      <c r="BG212" s="421" t="s">
        <v>2454</v>
      </c>
      <c r="BH212" s="421" t="s">
        <v>2620</v>
      </c>
      <c r="BI212" s="421" t="s">
        <v>1142</v>
      </c>
      <c r="BJ212" s="421" t="s">
        <v>1243</v>
      </c>
      <c r="BK212" s="421" t="s">
        <v>2666</v>
      </c>
      <c r="BL212" s="421" t="s">
        <v>2672</v>
      </c>
      <c r="BM212" s="421" t="s">
        <v>2622</v>
      </c>
      <c r="BN212" s="421" t="s">
        <v>2623</v>
      </c>
      <c r="BO212" s="421">
        <v>0</v>
      </c>
      <c r="BR212" s="421">
        <v>0</v>
      </c>
      <c r="BS212" s="421">
        <v>0</v>
      </c>
      <c r="BT212" s="421">
        <v>0</v>
      </c>
      <c r="BU212" s="424">
        <v>42210</v>
      </c>
      <c r="BX212" s="421">
        <v>3080.57</v>
      </c>
      <c r="BY212" s="421" t="s">
        <v>1166</v>
      </c>
      <c r="BZ212" s="421">
        <v>921.6</v>
      </c>
      <c r="CA212" s="421">
        <v>2839053.3119999999</v>
      </c>
      <c r="CB212" s="421">
        <v>0.37</v>
      </c>
      <c r="CC212" s="421">
        <v>0</v>
      </c>
      <c r="CD212" s="421">
        <v>73.739999999999995</v>
      </c>
      <c r="CE212" s="421">
        <v>74.11</v>
      </c>
      <c r="CF212" s="421">
        <v>0</v>
      </c>
      <c r="CG212" s="421">
        <v>995.71</v>
      </c>
      <c r="CH212" s="421">
        <v>0</v>
      </c>
      <c r="CI212" s="421">
        <v>995.71</v>
      </c>
      <c r="CJ212" s="421">
        <v>3067354.3547</v>
      </c>
      <c r="CK212" s="421">
        <v>26.86</v>
      </c>
      <c r="CL212" s="421">
        <v>3067354</v>
      </c>
      <c r="CM212" s="421">
        <v>824000</v>
      </c>
      <c r="CN212" s="421">
        <v>824000</v>
      </c>
      <c r="CO212" s="421">
        <v>0</v>
      </c>
      <c r="CP212" s="421">
        <v>0</v>
      </c>
      <c r="CQ212" s="421">
        <v>16</v>
      </c>
      <c r="CR212" s="421">
        <v>3891354</v>
      </c>
      <c r="CS212" s="421">
        <v>623000</v>
      </c>
      <c r="CT212" s="421">
        <v>623000</v>
      </c>
      <c r="CU212" s="421">
        <v>0</v>
      </c>
      <c r="CV212" s="421">
        <v>0</v>
      </c>
      <c r="CW212" s="421">
        <v>0</v>
      </c>
      <c r="CX212" s="421">
        <v>0</v>
      </c>
      <c r="CY212" s="421">
        <v>0</v>
      </c>
      <c r="CZ212" s="421">
        <v>0</v>
      </c>
      <c r="DA212" s="421">
        <v>0</v>
      </c>
      <c r="DB212" s="421">
        <v>0</v>
      </c>
      <c r="DC212" s="421">
        <v>0</v>
      </c>
      <c r="DD212" s="421">
        <v>0</v>
      </c>
      <c r="DE212" s="421">
        <v>0</v>
      </c>
      <c r="DF212" s="421">
        <v>0</v>
      </c>
      <c r="DG212" s="421">
        <v>0</v>
      </c>
      <c r="DH212" s="421">
        <v>0</v>
      </c>
      <c r="DI212" s="421">
        <v>0</v>
      </c>
      <c r="DJ212" s="421">
        <v>0</v>
      </c>
      <c r="DK212" s="421">
        <v>0</v>
      </c>
      <c r="DL212" s="421">
        <v>0</v>
      </c>
      <c r="DM212" s="421">
        <v>0</v>
      </c>
      <c r="DN212" s="421">
        <v>0</v>
      </c>
      <c r="DO212" s="421">
        <v>0</v>
      </c>
      <c r="DP212" s="421">
        <v>0</v>
      </c>
      <c r="DQ212" s="421">
        <v>0</v>
      </c>
      <c r="DR212" s="421">
        <v>0</v>
      </c>
      <c r="DS212" s="421">
        <v>0</v>
      </c>
      <c r="DT212" s="421">
        <v>0</v>
      </c>
      <c r="DU212" s="421">
        <v>0</v>
      </c>
      <c r="DV212" s="421">
        <v>0</v>
      </c>
      <c r="DW212" s="421">
        <v>0</v>
      </c>
      <c r="DX212" s="421">
        <v>0</v>
      </c>
      <c r="DY212" s="421">
        <v>1447000</v>
      </c>
      <c r="DZ212" s="421">
        <v>1447000</v>
      </c>
      <c r="EA212" s="421">
        <v>0</v>
      </c>
      <c r="EB212" s="421">
        <v>0</v>
      </c>
      <c r="EC212" s="421" t="s">
        <v>1148</v>
      </c>
      <c r="ED212" s="421" t="s">
        <v>1167</v>
      </c>
      <c r="EE212" s="421" t="s">
        <v>1167</v>
      </c>
    </row>
    <row r="213" spans="1:135" x14ac:dyDescent="0.25">
      <c r="A213" s="421">
        <v>210</v>
      </c>
      <c r="B213" s="421">
        <v>2015</v>
      </c>
      <c r="C213" s="421">
        <v>9</v>
      </c>
      <c r="D213" s="421">
        <v>23</v>
      </c>
      <c r="E213" s="424">
        <v>42270</v>
      </c>
      <c r="F213" s="421" t="s">
        <v>2673</v>
      </c>
      <c r="G213" s="421" t="s">
        <v>2674</v>
      </c>
      <c r="H213" s="421" t="s">
        <v>1152</v>
      </c>
      <c r="I213" s="421" t="s">
        <v>1107</v>
      </c>
      <c r="J213" s="421" t="s">
        <v>1108</v>
      </c>
      <c r="K213" s="421" t="s">
        <v>1109</v>
      </c>
      <c r="L213" s="421" t="s">
        <v>1110</v>
      </c>
      <c r="O213" s="421" t="s">
        <v>1111</v>
      </c>
      <c r="R213" s="421" t="s">
        <v>1111</v>
      </c>
      <c r="S213" s="421" t="s">
        <v>1112</v>
      </c>
      <c r="T213" s="421" t="s">
        <v>1113</v>
      </c>
      <c r="U213" s="421" t="s">
        <v>1114</v>
      </c>
      <c r="V213" s="421" t="s">
        <v>1115</v>
      </c>
      <c r="W213" s="421" t="s">
        <v>1116</v>
      </c>
      <c r="X213" s="421" t="s">
        <v>1117</v>
      </c>
      <c r="Y213" s="421" t="s">
        <v>1118</v>
      </c>
      <c r="Z213" s="421" t="s">
        <v>1119</v>
      </c>
      <c r="AA213" s="421" t="s">
        <v>1120</v>
      </c>
      <c r="AB213" s="421" t="s">
        <v>1121</v>
      </c>
      <c r="AC213" s="421" t="s">
        <v>1122</v>
      </c>
      <c r="AD213" s="421" t="s">
        <v>1479</v>
      </c>
      <c r="AE213" s="421" t="s">
        <v>1300</v>
      </c>
      <c r="AF213" s="421" t="s">
        <v>1301</v>
      </c>
      <c r="AG213" s="421" t="s">
        <v>2675</v>
      </c>
      <c r="AH213" s="421">
        <v>1422</v>
      </c>
      <c r="AI213" s="421" t="s">
        <v>1127</v>
      </c>
      <c r="AJ213" s="421">
        <v>237</v>
      </c>
      <c r="AK213" s="421">
        <v>1</v>
      </c>
      <c r="AL213" s="421" t="s">
        <v>1173</v>
      </c>
      <c r="AM213" s="421">
        <v>1422</v>
      </c>
      <c r="AN213" s="421">
        <v>1659</v>
      </c>
      <c r="AO213" s="421" t="s">
        <v>1120</v>
      </c>
      <c r="AP213" s="421" t="s">
        <v>1129</v>
      </c>
      <c r="AR213" s="421" t="s">
        <v>1130</v>
      </c>
      <c r="AT213" s="421" t="s">
        <v>1131</v>
      </c>
      <c r="AU213" s="421" t="s">
        <v>1190</v>
      </c>
      <c r="AV213" s="421" t="s">
        <v>1191</v>
      </c>
      <c r="AW213" s="421" t="s">
        <v>960</v>
      </c>
      <c r="AX213" s="421" t="s">
        <v>960</v>
      </c>
      <c r="AY213" s="421" t="s">
        <v>960</v>
      </c>
      <c r="AZ213" s="421" t="s">
        <v>1121</v>
      </c>
      <c r="BA213" s="421" t="s">
        <v>2676</v>
      </c>
      <c r="BB213" s="421" t="s">
        <v>960</v>
      </c>
      <c r="BC213" s="421" t="s">
        <v>2677</v>
      </c>
      <c r="BD213" s="421" t="s">
        <v>2678</v>
      </c>
      <c r="BE213" s="421" t="s">
        <v>2679</v>
      </c>
      <c r="BF213" s="421" t="s">
        <v>2680</v>
      </c>
      <c r="BG213" s="421" t="s">
        <v>2589</v>
      </c>
      <c r="BH213" s="421" t="s">
        <v>2681</v>
      </c>
      <c r="BI213" s="421" t="s">
        <v>1142</v>
      </c>
      <c r="BJ213" s="421" t="s">
        <v>1180</v>
      </c>
      <c r="BK213" s="421" t="s">
        <v>2674</v>
      </c>
      <c r="BL213" s="421" t="s">
        <v>2663</v>
      </c>
      <c r="BM213" s="421" t="s">
        <v>2682</v>
      </c>
      <c r="BN213" s="421" t="s">
        <v>2273</v>
      </c>
      <c r="BO213" s="421">
        <v>0</v>
      </c>
      <c r="BR213" s="421">
        <v>0</v>
      </c>
      <c r="BS213" s="421">
        <v>0</v>
      </c>
      <c r="BT213" s="421">
        <v>0</v>
      </c>
      <c r="BU213" s="424">
        <v>42214</v>
      </c>
      <c r="BX213" s="421">
        <v>2975.13</v>
      </c>
      <c r="BY213" s="421" t="s">
        <v>1183</v>
      </c>
      <c r="BZ213" s="421">
        <v>15634.04</v>
      </c>
      <c r="CA213" s="421">
        <v>46513301.4252</v>
      </c>
      <c r="CB213" s="421">
        <v>6.25</v>
      </c>
      <c r="CC213" s="421">
        <v>0</v>
      </c>
      <c r="CD213" s="421">
        <v>738.5</v>
      </c>
      <c r="CE213" s="421">
        <v>744.75</v>
      </c>
      <c r="CF213" s="421">
        <v>0</v>
      </c>
      <c r="CG213" s="421">
        <v>16378.79</v>
      </c>
      <c r="CH213" s="421">
        <v>0</v>
      </c>
      <c r="CI213" s="421">
        <v>16378.79</v>
      </c>
      <c r="CJ213" s="421">
        <v>48729029.492700003</v>
      </c>
      <c r="CK213" s="421">
        <v>15</v>
      </c>
      <c r="CL213" s="421">
        <v>48729029</v>
      </c>
      <c r="CM213" s="421">
        <v>7309000</v>
      </c>
      <c r="CN213" s="421">
        <v>7309000</v>
      </c>
      <c r="CO213" s="421">
        <v>0</v>
      </c>
      <c r="CP213" s="421">
        <v>0</v>
      </c>
      <c r="CQ213" s="421">
        <v>16</v>
      </c>
      <c r="CR213" s="421">
        <v>56038029</v>
      </c>
      <c r="CS213" s="421">
        <v>8966000</v>
      </c>
      <c r="CT213" s="421">
        <v>8966000</v>
      </c>
      <c r="CU213" s="421">
        <v>0</v>
      </c>
      <c r="CV213" s="421">
        <v>0</v>
      </c>
      <c r="CW213" s="421">
        <v>0</v>
      </c>
      <c r="CX213" s="421">
        <v>0</v>
      </c>
      <c r="CY213" s="421">
        <v>0</v>
      </c>
      <c r="CZ213" s="421">
        <v>0</v>
      </c>
      <c r="DA213" s="421">
        <v>0</v>
      </c>
      <c r="DB213" s="421">
        <v>0</v>
      </c>
      <c r="DC213" s="421">
        <v>0</v>
      </c>
      <c r="DD213" s="421">
        <v>0</v>
      </c>
      <c r="DE213" s="421">
        <v>0</v>
      </c>
      <c r="DF213" s="421">
        <v>0</v>
      </c>
      <c r="DG213" s="421">
        <v>0</v>
      </c>
      <c r="DH213" s="421">
        <v>0</v>
      </c>
      <c r="DI213" s="421">
        <v>0</v>
      </c>
      <c r="DJ213" s="421">
        <v>0</v>
      </c>
      <c r="DK213" s="421">
        <v>0</v>
      </c>
      <c r="DL213" s="421">
        <v>0</v>
      </c>
      <c r="DM213" s="421">
        <v>0</v>
      </c>
      <c r="DN213" s="421">
        <v>0</v>
      </c>
      <c r="DO213" s="421">
        <v>0</v>
      </c>
      <c r="DP213" s="421">
        <v>0</v>
      </c>
      <c r="DQ213" s="421">
        <v>0</v>
      </c>
      <c r="DR213" s="421">
        <v>0</v>
      </c>
      <c r="DS213" s="421">
        <v>0</v>
      </c>
      <c r="DT213" s="421">
        <v>0</v>
      </c>
      <c r="DU213" s="421">
        <v>0</v>
      </c>
      <c r="DV213" s="421">
        <v>0</v>
      </c>
      <c r="DW213" s="421">
        <v>0</v>
      </c>
      <c r="DX213" s="421">
        <v>0</v>
      </c>
      <c r="DY213" s="421">
        <v>16275000</v>
      </c>
      <c r="DZ213" s="421">
        <v>16275000</v>
      </c>
      <c r="EA213" s="421">
        <v>0</v>
      </c>
      <c r="EB213" s="421">
        <v>0</v>
      </c>
      <c r="EC213" s="421" t="s">
        <v>1148</v>
      </c>
      <c r="ED213" s="421" t="s">
        <v>1167</v>
      </c>
      <c r="EE213" s="421" t="s">
        <v>1167</v>
      </c>
    </row>
    <row r="214" spans="1:135" x14ac:dyDescent="0.25">
      <c r="A214" s="421">
        <v>211</v>
      </c>
      <c r="B214" s="421">
        <v>2015</v>
      </c>
      <c r="C214" s="421">
        <v>9</v>
      </c>
      <c r="D214" s="421">
        <v>24</v>
      </c>
      <c r="E214" s="424">
        <v>42271</v>
      </c>
      <c r="F214" s="421" t="s">
        <v>2683</v>
      </c>
      <c r="G214" s="421" t="s">
        <v>2684</v>
      </c>
      <c r="H214" s="421" t="s">
        <v>1152</v>
      </c>
      <c r="I214" s="421" t="s">
        <v>1107</v>
      </c>
      <c r="J214" s="421" t="s">
        <v>1108</v>
      </c>
      <c r="K214" s="421" t="s">
        <v>1202</v>
      </c>
      <c r="L214" s="421" t="s">
        <v>1110</v>
      </c>
      <c r="O214" s="421" t="s">
        <v>1111</v>
      </c>
      <c r="R214" s="421" t="s">
        <v>1111</v>
      </c>
      <c r="S214" s="421" t="s">
        <v>1112</v>
      </c>
      <c r="T214" s="421" t="s">
        <v>1113</v>
      </c>
      <c r="U214" s="421" t="s">
        <v>1114</v>
      </c>
      <c r="V214" s="421" t="s">
        <v>1115</v>
      </c>
      <c r="W214" s="421" t="s">
        <v>1116</v>
      </c>
      <c r="X214" s="421" t="s">
        <v>1117</v>
      </c>
      <c r="Y214" s="421" t="s">
        <v>1118</v>
      </c>
      <c r="Z214" s="421" t="s">
        <v>1119</v>
      </c>
      <c r="AA214" s="421" t="s">
        <v>1120</v>
      </c>
      <c r="AB214" s="421" t="s">
        <v>1121</v>
      </c>
      <c r="AC214" s="421" t="s">
        <v>1122</v>
      </c>
      <c r="AD214" s="421" t="s">
        <v>1479</v>
      </c>
      <c r="AE214" s="421" t="s">
        <v>1203</v>
      </c>
      <c r="AF214" s="421" t="s">
        <v>1204</v>
      </c>
      <c r="AG214" s="421" t="s">
        <v>2685</v>
      </c>
      <c r="AH214" s="421">
        <v>64500</v>
      </c>
      <c r="AI214" s="421" t="s">
        <v>1127</v>
      </c>
      <c r="AJ214" s="421">
        <v>3</v>
      </c>
      <c r="AK214" s="421">
        <v>1</v>
      </c>
      <c r="AL214" s="421" t="s">
        <v>1283</v>
      </c>
      <c r="AM214" s="421">
        <v>64500</v>
      </c>
      <c r="AN214" s="421">
        <v>65228</v>
      </c>
      <c r="AO214" s="421" t="s">
        <v>1120</v>
      </c>
      <c r="AP214" s="421" t="s">
        <v>1129</v>
      </c>
      <c r="AR214" s="421" t="s">
        <v>1130</v>
      </c>
      <c r="AT214" s="421" t="s">
        <v>1131</v>
      </c>
      <c r="AU214" s="421" t="s">
        <v>1132</v>
      </c>
      <c r="AV214" s="421" t="s">
        <v>1133</v>
      </c>
      <c r="AW214" s="421" t="s">
        <v>1207</v>
      </c>
      <c r="AX214" s="421" t="s">
        <v>1207</v>
      </c>
      <c r="AY214" s="421" t="s">
        <v>1208</v>
      </c>
      <c r="AZ214" s="421" t="s">
        <v>1121</v>
      </c>
      <c r="BA214" s="421" t="s">
        <v>1209</v>
      </c>
      <c r="BB214" s="421" t="s">
        <v>1208</v>
      </c>
      <c r="BC214" s="421" t="s">
        <v>1210</v>
      </c>
      <c r="BD214" s="421" t="s">
        <v>1211</v>
      </c>
      <c r="BE214" s="421" t="s">
        <v>1212</v>
      </c>
      <c r="BF214" s="421" t="s">
        <v>2632</v>
      </c>
      <c r="BG214" s="421" t="s">
        <v>2589</v>
      </c>
      <c r="BH214" s="421" t="s">
        <v>2686</v>
      </c>
      <c r="BI214" s="421" t="s">
        <v>1142</v>
      </c>
      <c r="BJ214" s="421" t="s">
        <v>1243</v>
      </c>
      <c r="BK214" s="421" t="s">
        <v>2684</v>
      </c>
      <c r="BL214" s="421" t="s">
        <v>2687</v>
      </c>
      <c r="BM214" s="421" t="s">
        <v>2688</v>
      </c>
      <c r="BN214" s="421" t="s">
        <v>2689</v>
      </c>
      <c r="BO214" s="421">
        <v>0</v>
      </c>
      <c r="BR214" s="421">
        <v>0</v>
      </c>
      <c r="BS214" s="421">
        <v>0</v>
      </c>
      <c r="BT214" s="421">
        <v>0</v>
      </c>
      <c r="BU214" s="424">
        <v>42256</v>
      </c>
      <c r="BX214" s="421">
        <v>2975.13</v>
      </c>
      <c r="BY214" s="421" t="s">
        <v>1147</v>
      </c>
      <c r="BZ214" s="421">
        <v>122550</v>
      </c>
      <c r="CA214" s="421">
        <v>364602181.5</v>
      </c>
      <c r="CB214" s="421">
        <v>49.02</v>
      </c>
      <c r="CC214" s="421">
        <v>0</v>
      </c>
      <c r="CD214" s="421">
        <v>2790</v>
      </c>
      <c r="CE214" s="421">
        <v>2839.02</v>
      </c>
      <c r="CF214" s="421">
        <v>0</v>
      </c>
      <c r="CG214" s="421">
        <v>125389.02</v>
      </c>
      <c r="CH214" s="421">
        <v>0</v>
      </c>
      <c r="CI214" s="421">
        <v>125389.02</v>
      </c>
      <c r="CJ214" s="421">
        <v>373048635.07260001</v>
      </c>
      <c r="CK214" s="421">
        <v>0</v>
      </c>
      <c r="CL214" s="421">
        <v>373048635</v>
      </c>
      <c r="CM214" s="421">
        <v>0</v>
      </c>
      <c r="CN214" s="421">
        <v>0</v>
      </c>
      <c r="CO214" s="421">
        <v>0</v>
      </c>
      <c r="CP214" s="421">
        <v>0</v>
      </c>
      <c r="CQ214" s="421">
        <v>0</v>
      </c>
      <c r="CR214" s="421">
        <v>373048635</v>
      </c>
      <c r="CS214" s="421">
        <v>0</v>
      </c>
      <c r="CT214" s="421">
        <v>0</v>
      </c>
      <c r="CU214" s="421">
        <v>0</v>
      </c>
      <c r="CV214" s="421">
        <v>0</v>
      </c>
      <c r="CW214" s="421">
        <v>0</v>
      </c>
      <c r="CX214" s="421">
        <v>0</v>
      </c>
      <c r="CY214" s="421">
        <v>0</v>
      </c>
      <c r="CZ214" s="421">
        <v>0</v>
      </c>
      <c r="DA214" s="421">
        <v>0</v>
      </c>
      <c r="DB214" s="421">
        <v>0</v>
      </c>
      <c r="DC214" s="421">
        <v>0</v>
      </c>
      <c r="DD214" s="421">
        <v>0</v>
      </c>
      <c r="DE214" s="421">
        <v>0</v>
      </c>
      <c r="DF214" s="421">
        <v>0</v>
      </c>
      <c r="DG214" s="421">
        <v>0</v>
      </c>
      <c r="DH214" s="421">
        <v>0</v>
      </c>
      <c r="DI214" s="421">
        <v>0</v>
      </c>
      <c r="DJ214" s="421">
        <v>0</v>
      </c>
      <c r="DK214" s="421">
        <v>0</v>
      </c>
      <c r="DL214" s="421">
        <v>0</v>
      </c>
      <c r="DM214" s="421">
        <v>0</v>
      </c>
      <c r="DN214" s="421">
        <v>0</v>
      </c>
      <c r="DO214" s="421">
        <v>0</v>
      </c>
      <c r="DP214" s="421">
        <v>0</v>
      </c>
      <c r="DQ214" s="421">
        <v>0</v>
      </c>
      <c r="DR214" s="421">
        <v>0</v>
      </c>
      <c r="DS214" s="421">
        <v>0</v>
      </c>
      <c r="DT214" s="421">
        <v>0</v>
      </c>
      <c r="DU214" s="421">
        <v>0</v>
      </c>
      <c r="DV214" s="421">
        <v>0</v>
      </c>
      <c r="DW214" s="421">
        <v>0</v>
      </c>
      <c r="DX214" s="421">
        <v>0</v>
      </c>
      <c r="DY214" s="421">
        <v>0</v>
      </c>
      <c r="DZ214" s="421">
        <v>0</v>
      </c>
      <c r="EA214" s="421">
        <v>0</v>
      </c>
      <c r="EB214" s="421">
        <v>0</v>
      </c>
      <c r="EC214" s="421" t="s">
        <v>1148</v>
      </c>
      <c r="ED214" s="421" t="s">
        <v>1149</v>
      </c>
      <c r="EE214" s="421" t="s">
        <v>1149</v>
      </c>
    </row>
    <row r="215" spans="1:135" x14ac:dyDescent="0.25">
      <c r="A215" s="421">
        <v>212</v>
      </c>
      <c r="B215" s="421">
        <v>2015</v>
      </c>
      <c r="C215" s="421">
        <v>9</v>
      </c>
      <c r="D215" s="421">
        <v>25</v>
      </c>
      <c r="E215" s="424">
        <v>42272</v>
      </c>
      <c r="F215" s="421" t="s">
        <v>2690</v>
      </c>
      <c r="G215" s="421" t="s">
        <v>2691</v>
      </c>
      <c r="H215" s="421" t="s">
        <v>1106</v>
      </c>
      <c r="I215" s="421" t="s">
        <v>1107</v>
      </c>
      <c r="J215" s="421" t="s">
        <v>1108</v>
      </c>
      <c r="K215" s="421" t="s">
        <v>1109</v>
      </c>
      <c r="L215" s="421" t="s">
        <v>1110</v>
      </c>
      <c r="O215" s="421" t="s">
        <v>1111</v>
      </c>
      <c r="R215" s="421" t="s">
        <v>1111</v>
      </c>
      <c r="S215" s="421" t="s">
        <v>1112</v>
      </c>
      <c r="T215" s="421" t="s">
        <v>1113</v>
      </c>
      <c r="U215" s="421" t="s">
        <v>1114</v>
      </c>
      <c r="V215" s="421" t="s">
        <v>1115</v>
      </c>
      <c r="W215" s="421" t="s">
        <v>1116</v>
      </c>
      <c r="X215" s="421" t="s">
        <v>1117</v>
      </c>
      <c r="Y215" s="421" t="s">
        <v>1118</v>
      </c>
      <c r="Z215" s="421" t="s">
        <v>1119</v>
      </c>
      <c r="AA215" s="421" t="s">
        <v>1120</v>
      </c>
      <c r="AB215" s="421" t="s">
        <v>1121</v>
      </c>
      <c r="AC215" s="421" t="s">
        <v>1122</v>
      </c>
      <c r="AD215" s="421" t="s">
        <v>1479</v>
      </c>
      <c r="AE215" s="421" t="s">
        <v>1480</v>
      </c>
      <c r="AF215" s="421" t="s">
        <v>1481</v>
      </c>
      <c r="AG215" s="421" t="s">
        <v>2692</v>
      </c>
      <c r="AH215" s="421">
        <v>23228</v>
      </c>
      <c r="AI215" s="421" t="s">
        <v>1189</v>
      </c>
      <c r="AJ215" s="421">
        <v>1</v>
      </c>
      <c r="AK215" s="421">
        <v>1</v>
      </c>
      <c r="AL215" s="421" t="s">
        <v>1335</v>
      </c>
      <c r="AM215" s="421">
        <v>274.5</v>
      </c>
      <c r="AN215" s="421">
        <v>305</v>
      </c>
      <c r="AO215" s="421" t="s">
        <v>1120</v>
      </c>
      <c r="AP215" s="421" t="s">
        <v>2693</v>
      </c>
      <c r="AQ215" s="421" t="s">
        <v>1475</v>
      </c>
      <c r="AR215" s="421" t="s">
        <v>1476</v>
      </c>
      <c r="AT215" s="421" t="s">
        <v>1131</v>
      </c>
      <c r="AU215" s="421" t="s">
        <v>1336</v>
      </c>
      <c r="AV215" s="421" t="s">
        <v>1337</v>
      </c>
      <c r="AW215" s="421" t="s">
        <v>962</v>
      </c>
      <c r="AX215" s="421" t="s">
        <v>962</v>
      </c>
      <c r="AY215" s="421" t="s">
        <v>962</v>
      </c>
      <c r="AZ215" s="421" t="s">
        <v>1121</v>
      </c>
      <c r="BA215" s="421" t="s">
        <v>1484</v>
      </c>
      <c r="BB215" s="421" t="s">
        <v>962</v>
      </c>
      <c r="BC215" s="421" t="s">
        <v>1485</v>
      </c>
      <c r="BD215" s="421" t="s">
        <v>1486</v>
      </c>
      <c r="BE215" s="421" t="s">
        <v>1487</v>
      </c>
      <c r="BF215" s="421" t="s">
        <v>2381</v>
      </c>
      <c r="BG215" s="421" t="s">
        <v>2353</v>
      </c>
      <c r="BH215" s="421" t="s">
        <v>2694</v>
      </c>
      <c r="BI215" s="421" t="s">
        <v>1341</v>
      </c>
      <c r="BJ215" s="421" t="s">
        <v>1342</v>
      </c>
      <c r="BK215" s="421" t="s">
        <v>2691</v>
      </c>
      <c r="BL215" s="421" t="s">
        <v>2687</v>
      </c>
      <c r="BM215" s="421" t="s">
        <v>2695</v>
      </c>
      <c r="BN215" s="421" t="s">
        <v>2333</v>
      </c>
      <c r="BO215" s="421">
        <v>0</v>
      </c>
      <c r="BR215" s="421">
        <v>0</v>
      </c>
      <c r="BS215" s="421">
        <v>0</v>
      </c>
      <c r="BT215" s="421">
        <v>0</v>
      </c>
      <c r="BU215" s="424">
        <v>42222</v>
      </c>
      <c r="BX215" s="421">
        <v>2975.13</v>
      </c>
      <c r="BY215" s="421" t="s">
        <v>1147</v>
      </c>
      <c r="BZ215" s="421">
        <v>11064.44</v>
      </c>
      <c r="CA215" s="421">
        <v>32918147.3772</v>
      </c>
      <c r="CB215" s="421">
        <v>4.43</v>
      </c>
      <c r="CC215" s="421">
        <v>0</v>
      </c>
      <c r="CD215" s="421">
        <v>637.41999999999996</v>
      </c>
      <c r="CE215" s="421">
        <v>641.85</v>
      </c>
      <c r="CF215" s="421">
        <v>0</v>
      </c>
      <c r="CG215" s="421">
        <v>11706.29</v>
      </c>
      <c r="CH215" s="421">
        <v>0</v>
      </c>
      <c r="CI215" s="421">
        <v>11706.29</v>
      </c>
      <c r="CJ215" s="421">
        <v>34827734.567699999</v>
      </c>
      <c r="CK215" s="421">
        <v>15</v>
      </c>
      <c r="CL215" s="421">
        <v>34827735</v>
      </c>
      <c r="CM215" s="421">
        <v>5224000</v>
      </c>
      <c r="CN215" s="421">
        <v>5224000</v>
      </c>
      <c r="CO215" s="421">
        <v>0</v>
      </c>
      <c r="CP215" s="421">
        <v>0</v>
      </c>
      <c r="CQ215" s="421">
        <v>16</v>
      </c>
      <c r="CR215" s="421">
        <v>40051735</v>
      </c>
      <c r="CS215" s="421">
        <v>6408000</v>
      </c>
      <c r="CT215" s="421">
        <v>6408000</v>
      </c>
      <c r="CU215" s="421">
        <v>0</v>
      </c>
      <c r="CV215" s="421">
        <v>0</v>
      </c>
      <c r="CW215" s="421">
        <v>0</v>
      </c>
      <c r="CX215" s="421">
        <v>0</v>
      </c>
      <c r="CY215" s="421">
        <v>0</v>
      </c>
      <c r="CZ215" s="421">
        <v>0</v>
      </c>
      <c r="DA215" s="421">
        <v>0</v>
      </c>
      <c r="DB215" s="421">
        <v>0</v>
      </c>
      <c r="DC215" s="421">
        <v>0</v>
      </c>
      <c r="DD215" s="421">
        <v>0</v>
      </c>
      <c r="DE215" s="421">
        <v>0</v>
      </c>
      <c r="DF215" s="421">
        <v>0</v>
      </c>
      <c r="DG215" s="421">
        <v>0</v>
      </c>
      <c r="DH215" s="421">
        <v>0</v>
      </c>
      <c r="DI215" s="421">
        <v>0</v>
      </c>
      <c r="DJ215" s="421">
        <v>0</v>
      </c>
      <c r="DK215" s="421">
        <v>0</v>
      </c>
      <c r="DL215" s="421">
        <v>0</v>
      </c>
      <c r="DM215" s="421">
        <v>0</v>
      </c>
      <c r="DN215" s="421">
        <v>0</v>
      </c>
      <c r="DO215" s="421">
        <v>0</v>
      </c>
      <c r="DP215" s="421">
        <v>0</v>
      </c>
      <c r="DQ215" s="421">
        <v>0</v>
      </c>
      <c r="DR215" s="421">
        <v>0</v>
      </c>
      <c r="DS215" s="421">
        <v>0</v>
      </c>
      <c r="DT215" s="421">
        <v>0</v>
      </c>
      <c r="DU215" s="421">
        <v>0</v>
      </c>
      <c r="DV215" s="421">
        <v>0</v>
      </c>
      <c r="DW215" s="421">
        <v>0</v>
      </c>
      <c r="DX215" s="421">
        <v>0</v>
      </c>
      <c r="DY215" s="421">
        <v>11632000</v>
      </c>
      <c r="DZ215" s="421">
        <v>11632000</v>
      </c>
      <c r="EA215" s="421">
        <v>0</v>
      </c>
      <c r="EB215" s="421">
        <v>0</v>
      </c>
      <c r="EC215" s="421" t="s">
        <v>1148</v>
      </c>
      <c r="ED215" s="421" t="s">
        <v>1149</v>
      </c>
      <c r="EE215" s="421" t="s">
        <v>1149</v>
      </c>
    </row>
    <row r="216" spans="1:135" x14ac:dyDescent="0.25">
      <c r="A216" s="421">
        <v>213</v>
      </c>
      <c r="B216" s="421">
        <v>2015</v>
      </c>
      <c r="C216" s="421">
        <v>9</v>
      </c>
      <c r="D216" s="421">
        <v>25</v>
      </c>
      <c r="E216" s="424">
        <v>42272</v>
      </c>
      <c r="F216" s="421" t="s">
        <v>2696</v>
      </c>
      <c r="G216" s="421" t="s">
        <v>2697</v>
      </c>
      <c r="H216" s="421" t="s">
        <v>1106</v>
      </c>
      <c r="I216" s="421" t="s">
        <v>1107</v>
      </c>
      <c r="J216" s="421" t="s">
        <v>1108</v>
      </c>
      <c r="K216" s="421" t="s">
        <v>1109</v>
      </c>
      <c r="L216" s="421" t="s">
        <v>1110</v>
      </c>
      <c r="O216" s="421" t="s">
        <v>1111</v>
      </c>
      <c r="R216" s="421" t="s">
        <v>1111</v>
      </c>
      <c r="S216" s="421" t="s">
        <v>1112</v>
      </c>
      <c r="T216" s="421" t="s">
        <v>1113</v>
      </c>
      <c r="U216" s="421" t="s">
        <v>1114</v>
      </c>
      <c r="V216" s="421" t="s">
        <v>1115</v>
      </c>
      <c r="W216" s="421" t="s">
        <v>1116</v>
      </c>
      <c r="X216" s="421" t="s">
        <v>1117</v>
      </c>
      <c r="Y216" s="421" t="s">
        <v>1118</v>
      </c>
      <c r="Z216" s="421" t="s">
        <v>1119</v>
      </c>
      <c r="AA216" s="421" t="s">
        <v>1120</v>
      </c>
      <c r="AB216" s="421" t="s">
        <v>1121</v>
      </c>
      <c r="AC216" s="421" t="s">
        <v>1122</v>
      </c>
      <c r="AD216" s="421" t="s">
        <v>1479</v>
      </c>
      <c r="AE216" s="421" t="s">
        <v>1471</v>
      </c>
      <c r="AF216" s="421" t="s">
        <v>1472</v>
      </c>
      <c r="AG216" s="421" t="s">
        <v>2698</v>
      </c>
      <c r="AH216" s="421">
        <v>41616</v>
      </c>
      <c r="AI216" s="421" t="s">
        <v>1189</v>
      </c>
      <c r="AJ216" s="421">
        <v>336</v>
      </c>
      <c r="AK216" s="421">
        <v>1</v>
      </c>
      <c r="AL216" s="421" t="s">
        <v>1173</v>
      </c>
      <c r="AM216" s="421">
        <v>1332.5</v>
      </c>
      <c r="AN216" s="421">
        <v>1466.1</v>
      </c>
      <c r="AO216" s="421" t="s">
        <v>1120</v>
      </c>
      <c r="AP216" s="421" t="s">
        <v>2699</v>
      </c>
      <c r="AQ216" s="421" t="s">
        <v>1475</v>
      </c>
      <c r="AR216" s="421" t="s">
        <v>1476</v>
      </c>
      <c r="AT216" s="421" t="s">
        <v>1131</v>
      </c>
      <c r="AU216" s="421" t="s">
        <v>1303</v>
      </c>
      <c r="AV216" s="421" t="s">
        <v>1304</v>
      </c>
      <c r="AW216" s="421" t="s">
        <v>960</v>
      </c>
      <c r="AX216" s="421" t="s">
        <v>960</v>
      </c>
      <c r="AY216" s="421" t="s">
        <v>960</v>
      </c>
      <c r="AZ216" s="421" t="s">
        <v>1121</v>
      </c>
      <c r="BA216" s="421" t="s">
        <v>1305</v>
      </c>
      <c r="BB216" s="421" t="s">
        <v>960</v>
      </c>
      <c r="BC216" s="421" t="s">
        <v>1175</v>
      </c>
      <c r="BD216" s="421" t="s">
        <v>1306</v>
      </c>
      <c r="BE216" s="421" t="s">
        <v>2162</v>
      </c>
      <c r="BF216" s="421" t="s">
        <v>2587</v>
      </c>
      <c r="BG216" s="421" t="s">
        <v>2454</v>
      </c>
      <c r="BH216" s="421" t="s">
        <v>2588</v>
      </c>
      <c r="BI216" s="421" t="s">
        <v>1142</v>
      </c>
      <c r="BJ216" s="421" t="s">
        <v>1243</v>
      </c>
      <c r="BK216" s="421" t="s">
        <v>2697</v>
      </c>
      <c r="BL216" s="421" t="s">
        <v>2687</v>
      </c>
      <c r="BM216" s="421" t="s">
        <v>2590</v>
      </c>
      <c r="BN216" s="421" t="s">
        <v>2591</v>
      </c>
      <c r="BO216" s="421">
        <v>0</v>
      </c>
      <c r="BR216" s="421">
        <v>0</v>
      </c>
      <c r="BS216" s="421">
        <v>0</v>
      </c>
      <c r="BT216" s="421">
        <v>0</v>
      </c>
      <c r="BU216" s="424">
        <v>42208</v>
      </c>
      <c r="BX216" s="421">
        <v>2975.13</v>
      </c>
      <c r="BY216" s="421" t="s">
        <v>1183</v>
      </c>
      <c r="BZ216" s="421">
        <v>15369.12</v>
      </c>
      <c r="CA216" s="421">
        <v>45725129.985600002</v>
      </c>
      <c r="CB216" s="421">
        <v>6.15</v>
      </c>
      <c r="CC216" s="421">
        <v>0</v>
      </c>
      <c r="CD216" s="421">
        <v>415.04</v>
      </c>
      <c r="CE216" s="421">
        <v>421.19</v>
      </c>
      <c r="CF216" s="421">
        <v>0</v>
      </c>
      <c r="CG216" s="421">
        <v>15790.31</v>
      </c>
      <c r="CH216" s="421">
        <v>0</v>
      </c>
      <c r="CI216" s="421">
        <v>15790.31</v>
      </c>
      <c r="CJ216" s="421">
        <v>46978224.9903</v>
      </c>
      <c r="CK216" s="421">
        <v>15</v>
      </c>
      <c r="CL216" s="421">
        <v>46978225</v>
      </c>
      <c r="CM216" s="421">
        <v>7047000</v>
      </c>
      <c r="CN216" s="421">
        <v>7047000</v>
      </c>
      <c r="CO216" s="421">
        <v>0</v>
      </c>
      <c r="CP216" s="421">
        <v>0</v>
      </c>
      <c r="CQ216" s="421">
        <v>16</v>
      </c>
      <c r="CR216" s="421">
        <v>54025225</v>
      </c>
      <c r="CS216" s="421">
        <v>8644000</v>
      </c>
      <c r="CT216" s="421">
        <v>8644000</v>
      </c>
      <c r="CU216" s="421">
        <v>0</v>
      </c>
      <c r="CV216" s="421">
        <v>0</v>
      </c>
      <c r="CW216" s="421">
        <v>0</v>
      </c>
      <c r="CX216" s="421">
        <v>0</v>
      </c>
      <c r="CY216" s="421">
        <v>0</v>
      </c>
      <c r="CZ216" s="421">
        <v>0</v>
      </c>
      <c r="DA216" s="421">
        <v>0</v>
      </c>
      <c r="DB216" s="421">
        <v>0</v>
      </c>
      <c r="DC216" s="421">
        <v>0</v>
      </c>
      <c r="DD216" s="421">
        <v>0</v>
      </c>
      <c r="DE216" s="421">
        <v>0</v>
      </c>
      <c r="DF216" s="421">
        <v>0</v>
      </c>
      <c r="DG216" s="421">
        <v>0</v>
      </c>
      <c r="DH216" s="421">
        <v>0</v>
      </c>
      <c r="DI216" s="421">
        <v>0</v>
      </c>
      <c r="DJ216" s="421">
        <v>0</v>
      </c>
      <c r="DK216" s="421">
        <v>0</v>
      </c>
      <c r="DL216" s="421">
        <v>0</v>
      </c>
      <c r="DM216" s="421">
        <v>0</v>
      </c>
      <c r="DN216" s="421">
        <v>0</v>
      </c>
      <c r="DO216" s="421">
        <v>0</v>
      </c>
      <c r="DP216" s="421">
        <v>0</v>
      </c>
      <c r="DQ216" s="421">
        <v>0</v>
      </c>
      <c r="DR216" s="421">
        <v>0</v>
      </c>
      <c r="DS216" s="421">
        <v>0</v>
      </c>
      <c r="DT216" s="421">
        <v>0</v>
      </c>
      <c r="DU216" s="421">
        <v>0</v>
      </c>
      <c r="DV216" s="421">
        <v>0</v>
      </c>
      <c r="DW216" s="421">
        <v>0</v>
      </c>
      <c r="DX216" s="421">
        <v>0</v>
      </c>
      <c r="DY216" s="421">
        <v>15691000</v>
      </c>
      <c r="DZ216" s="421">
        <v>15691000</v>
      </c>
      <c r="EA216" s="421">
        <v>0</v>
      </c>
      <c r="EB216" s="421">
        <v>0</v>
      </c>
      <c r="EC216" s="421" t="s">
        <v>1148</v>
      </c>
      <c r="ED216" s="421" t="s">
        <v>1167</v>
      </c>
      <c r="EE216" s="421" t="s">
        <v>1167</v>
      </c>
    </row>
    <row r="217" spans="1:135" x14ac:dyDescent="0.25">
      <c r="A217" s="421">
        <v>214</v>
      </c>
      <c r="B217" s="421">
        <v>2015</v>
      </c>
      <c r="C217" s="421">
        <v>9</v>
      </c>
      <c r="D217" s="421">
        <v>28</v>
      </c>
      <c r="E217" s="424">
        <v>42275</v>
      </c>
      <c r="F217" s="421" t="s">
        <v>2700</v>
      </c>
      <c r="G217" s="421" t="s">
        <v>2701</v>
      </c>
      <c r="H217" s="421" t="s">
        <v>1106</v>
      </c>
      <c r="I217" s="421" t="s">
        <v>1107</v>
      </c>
      <c r="J217" s="421" t="s">
        <v>1108</v>
      </c>
      <c r="K217" s="421" t="s">
        <v>1109</v>
      </c>
      <c r="L217" s="421" t="s">
        <v>1110</v>
      </c>
      <c r="O217" s="421" t="s">
        <v>1111</v>
      </c>
      <c r="R217" s="421" t="s">
        <v>1111</v>
      </c>
      <c r="S217" s="421" t="s">
        <v>1112</v>
      </c>
      <c r="T217" s="421" t="s">
        <v>1113</v>
      </c>
      <c r="U217" s="421" t="s">
        <v>1114</v>
      </c>
      <c r="V217" s="421" t="s">
        <v>1115</v>
      </c>
      <c r="W217" s="421" t="s">
        <v>1116</v>
      </c>
      <c r="X217" s="421" t="s">
        <v>1117</v>
      </c>
      <c r="Y217" s="421" t="s">
        <v>1118</v>
      </c>
      <c r="Z217" s="421" t="s">
        <v>1119</v>
      </c>
      <c r="AA217" s="421" t="s">
        <v>1120</v>
      </c>
      <c r="AB217" s="421" t="s">
        <v>1121</v>
      </c>
      <c r="AC217" s="421" t="s">
        <v>1122</v>
      </c>
      <c r="AD217" s="421" t="s">
        <v>1479</v>
      </c>
      <c r="AE217" s="421" t="s">
        <v>1471</v>
      </c>
      <c r="AF217" s="421" t="s">
        <v>1472</v>
      </c>
      <c r="AG217" s="421" t="s">
        <v>2702</v>
      </c>
      <c r="AH217" s="421">
        <v>132392</v>
      </c>
      <c r="AI217" s="421" t="s">
        <v>1189</v>
      </c>
      <c r="AJ217" s="421">
        <v>587</v>
      </c>
      <c r="AK217" s="421">
        <v>2</v>
      </c>
      <c r="AL217" s="421" t="s">
        <v>1173</v>
      </c>
      <c r="AM217" s="421">
        <v>6108.17</v>
      </c>
      <c r="AN217" s="421">
        <v>6787.07</v>
      </c>
      <c r="AO217" s="421" t="s">
        <v>1120</v>
      </c>
      <c r="AP217" s="421" t="s">
        <v>2703</v>
      </c>
      <c r="AQ217" s="421" t="s">
        <v>1475</v>
      </c>
      <c r="AR217" s="421" t="s">
        <v>1476</v>
      </c>
      <c r="AT217" s="421" t="s">
        <v>1131</v>
      </c>
      <c r="AU217" s="421" t="s">
        <v>1303</v>
      </c>
      <c r="AV217" s="421" t="s">
        <v>1304</v>
      </c>
      <c r="AW217" s="421" t="s">
        <v>960</v>
      </c>
      <c r="AX217" s="421" t="s">
        <v>960</v>
      </c>
      <c r="AY217" s="421" t="s">
        <v>960</v>
      </c>
      <c r="AZ217" s="421" t="s">
        <v>1121</v>
      </c>
      <c r="BA217" s="421" t="s">
        <v>1305</v>
      </c>
      <c r="BB217" s="421" t="s">
        <v>960</v>
      </c>
      <c r="BC217" s="421" t="s">
        <v>1175</v>
      </c>
      <c r="BD217" s="421" t="s">
        <v>1306</v>
      </c>
      <c r="BE217" s="421" t="s">
        <v>2162</v>
      </c>
      <c r="BF217" s="421" t="s">
        <v>2329</v>
      </c>
      <c r="BG217" s="421" t="s">
        <v>2322</v>
      </c>
      <c r="BH217" s="421" t="s">
        <v>2468</v>
      </c>
      <c r="BI217" s="421" t="s">
        <v>1142</v>
      </c>
      <c r="BJ217" s="421" t="s">
        <v>2704</v>
      </c>
      <c r="BK217" s="421" t="s">
        <v>2701</v>
      </c>
      <c r="BL217" s="421" t="s">
        <v>2705</v>
      </c>
      <c r="BM217" s="421" t="s">
        <v>2470</v>
      </c>
      <c r="BN217" s="421" t="s">
        <v>2471</v>
      </c>
      <c r="BO217" s="421">
        <v>0</v>
      </c>
      <c r="BR217" s="421">
        <v>0</v>
      </c>
      <c r="BS217" s="421">
        <v>0</v>
      </c>
      <c r="BT217" s="421">
        <v>0</v>
      </c>
      <c r="BU217" s="424">
        <v>42195</v>
      </c>
      <c r="BX217" s="421">
        <v>2975.13</v>
      </c>
      <c r="BY217" s="421" t="s">
        <v>1183</v>
      </c>
      <c r="BZ217" s="421">
        <v>41589.919999999998</v>
      </c>
      <c r="CA217" s="421">
        <v>123735418.68960001</v>
      </c>
      <c r="CB217" s="421">
        <v>16.64</v>
      </c>
      <c r="CC217" s="421">
        <v>0</v>
      </c>
      <c r="CD217" s="421">
        <v>1816.08</v>
      </c>
      <c r="CE217" s="421">
        <v>1832.72</v>
      </c>
      <c r="CF217" s="421">
        <v>0</v>
      </c>
      <c r="CG217" s="421">
        <v>43422.64</v>
      </c>
      <c r="CH217" s="421">
        <v>0</v>
      </c>
      <c r="CI217" s="421">
        <v>43422.64</v>
      </c>
      <c r="CJ217" s="421">
        <v>129187998.94320001</v>
      </c>
      <c r="CK217" s="421">
        <v>15</v>
      </c>
      <c r="CL217" s="421">
        <v>129187999</v>
      </c>
      <c r="CM217" s="421">
        <v>19378000</v>
      </c>
      <c r="CN217" s="421">
        <v>19378000</v>
      </c>
      <c r="CO217" s="421">
        <v>0</v>
      </c>
      <c r="CP217" s="421">
        <v>0</v>
      </c>
      <c r="CQ217" s="421">
        <v>16</v>
      </c>
      <c r="CR217" s="421">
        <v>148565999</v>
      </c>
      <c r="CS217" s="421">
        <v>23771000</v>
      </c>
      <c r="CT217" s="421">
        <v>23771000</v>
      </c>
      <c r="CU217" s="421">
        <v>0</v>
      </c>
      <c r="CV217" s="421">
        <v>0</v>
      </c>
      <c r="CW217" s="421">
        <v>0</v>
      </c>
      <c r="CX217" s="421">
        <v>0</v>
      </c>
      <c r="CY217" s="421">
        <v>0</v>
      </c>
      <c r="CZ217" s="421">
        <v>0</v>
      </c>
      <c r="DA217" s="421">
        <v>0</v>
      </c>
      <c r="DB217" s="421">
        <v>0</v>
      </c>
      <c r="DC217" s="421">
        <v>0</v>
      </c>
      <c r="DD217" s="421">
        <v>0</v>
      </c>
      <c r="DE217" s="421">
        <v>0</v>
      </c>
      <c r="DF217" s="421">
        <v>0</v>
      </c>
      <c r="DG217" s="421">
        <v>0</v>
      </c>
      <c r="DH217" s="421">
        <v>0</v>
      </c>
      <c r="DI217" s="421">
        <v>0</v>
      </c>
      <c r="DJ217" s="421">
        <v>0</v>
      </c>
      <c r="DK217" s="421">
        <v>0</v>
      </c>
      <c r="DL217" s="421">
        <v>0</v>
      </c>
      <c r="DM217" s="421">
        <v>0</v>
      </c>
      <c r="DN217" s="421">
        <v>0</v>
      </c>
      <c r="DO217" s="421">
        <v>0</v>
      </c>
      <c r="DP217" s="421">
        <v>0</v>
      </c>
      <c r="DQ217" s="421">
        <v>0</v>
      </c>
      <c r="DR217" s="421">
        <v>0</v>
      </c>
      <c r="DS217" s="421">
        <v>0</v>
      </c>
      <c r="DT217" s="421">
        <v>0</v>
      </c>
      <c r="DU217" s="421">
        <v>0</v>
      </c>
      <c r="DV217" s="421">
        <v>0</v>
      </c>
      <c r="DW217" s="421">
        <v>0</v>
      </c>
      <c r="DX217" s="421">
        <v>0</v>
      </c>
      <c r="DY217" s="421">
        <v>43149000</v>
      </c>
      <c r="DZ217" s="421">
        <v>43149000</v>
      </c>
      <c r="EA217" s="421">
        <v>0</v>
      </c>
      <c r="EB217" s="421">
        <v>0</v>
      </c>
      <c r="EC217" s="421" t="s">
        <v>1148</v>
      </c>
      <c r="ED217" s="421" t="s">
        <v>1167</v>
      </c>
      <c r="EE217" s="421" t="s">
        <v>1167</v>
      </c>
    </row>
    <row r="218" spans="1:135" x14ac:dyDescent="0.25">
      <c r="A218" s="421">
        <v>215</v>
      </c>
      <c r="B218" s="421">
        <v>2015</v>
      </c>
      <c r="C218" s="421">
        <v>9</v>
      </c>
      <c r="D218" s="421">
        <v>28</v>
      </c>
      <c r="E218" s="424">
        <v>42275</v>
      </c>
      <c r="F218" s="421" t="s">
        <v>2706</v>
      </c>
      <c r="G218" s="421" t="s">
        <v>2707</v>
      </c>
      <c r="H218" s="421" t="s">
        <v>1106</v>
      </c>
      <c r="I218" s="421" t="s">
        <v>1107</v>
      </c>
      <c r="J218" s="421" t="s">
        <v>1108</v>
      </c>
      <c r="K218" s="421" t="s">
        <v>1109</v>
      </c>
      <c r="L218" s="421" t="s">
        <v>1110</v>
      </c>
      <c r="O218" s="421" t="s">
        <v>1111</v>
      </c>
      <c r="R218" s="421" t="s">
        <v>1111</v>
      </c>
      <c r="S218" s="421" t="s">
        <v>1112</v>
      </c>
      <c r="T218" s="421" t="s">
        <v>1113</v>
      </c>
      <c r="U218" s="421" t="s">
        <v>1114</v>
      </c>
      <c r="V218" s="421" t="s">
        <v>1115</v>
      </c>
      <c r="W218" s="421" t="s">
        <v>1116</v>
      </c>
      <c r="X218" s="421" t="s">
        <v>1117</v>
      </c>
      <c r="Y218" s="421" t="s">
        <v>1118</v>
      </c>
      <c r="Z218" s="421" t="s">
        <v>1119</v>
      </c>
      <c r="AA218" s="421" t="s">
        <v>1120</v>
      </c>
      <c r="AB218" s="421" t="s">
        <v>1121</v>
      </c>
      <c r="AC218" s="421" t="s">
        <v>1122</v>
      </c>
      <c r="AD218" s="421" t="s">
        <v>1479</v>
      </c>
      <c r="AE218" s="421" t="s">
        <v>1882</v>
      </c>
      <c r="AF218" s="421" t="s">
        <v>1883</v>
      </c>
      <c r="AG218" s="421" t="s">
        <v>2708</v>
      </c>
      <c r="AH218" s="421">
        <v>30.6</v>
      </c>
      <c r="AI218" s="421" t="s">
        <v>1127</v>
      </c>
      <c r="AJ218" s="421">
        <v>587</v>
      </c>
      <c r="AK218" s="421">
        <v>2</v>
      </c>
      <c r="AL218" s="421" t="s">
        <v>1173</v>
      </c>
      <c r="AM218" s="421">
        <v>30.6</v>
      </c>
      <c r="AN218" s="421">
        <v>34.68</v>
      </c>
      <c r="AO218" s="421" t="s">
        <v>1120</v>
      </c>
      <c r="AP218" s="421" t="s">
        <v>1129</v>
      </c>
      <c r="AR218" s="421" t="s">
        <v>1130</v>
      </c>
      <c r="AT218" s="421" t="s">
        <v>1131</v>
      </c>
      <c r="AU218" s="421" t="s">
        <v>1303</v>
      </c>
      <c r="AV218" s="421" t="s">
        <v>1304</v>
      </c>
      <c r="AW218" s="421" t="s">
        <v>960</v>
      </c>
      <c r="AX218" s="421" t="s">
        <v>960</v>
      </c>
      <c r="AY218" s="421" t="s">
        <v>960</v>
      </c>
      <c r="AZ218" s="421" t="s">
        <v>1121</v>
      </c>
      <c r="BA218" s="421" t="s">
        <v>1305</v>
      </c>
      <c r="BB218" s="421" t="s">
        <v>960</v>
      </c>
      <c r="BC218" s="421" t="s">
        <v>1175</v>
      </c>
      <c r="BD218" s="421" t="s">
        <v>1306</v>
      </c>
      <c r="BE218" s="421" t="s">
        <v>2162</v>
      </c>
      <c r="BF218" s="421" t="s">
        <v>2329</v>
      </c>
      <c r="BG218" s="421" t="s">
        <v>2322</v>
      </c>
      <c r="BH218" s="421" t="s">
        <v>2468</v>
      </c>
      <c r="BI218" s="421" t="s">
        <v>1142</v>
      </c>
      <c r="BJ218" s="421" t="s">
        <v>2704</v>
      </c>
      <c r="BK218" s="421" t="s">
        <v>2707</v>
      </c>
      <c r="BL218" s="421" t="s">
        <v>2705</v>
      </c>
      <c r="BM218" s="421" t="s">
        <v>2470</v>
      </c>
      <c r="BN218" s="421" t="s">
        <v>2471</v>
      </c>
      <c r="BO218" s="421">
        <v>0</v>
      </c>
      <c r="BR218" s="421">
        <v>0</v>
      </c>
      <c r="BS218" s="421">
        <v>0</v>
      </c>
      <c r="BT218" s="421">
        <v>0</v>
      </c>
      <c r="BU218" s="424">
        <v>42195</v>
      </c>
      <c r="BX218" s="421">
        <v>2975.13</v>
      </c>
      <c r="BY218" s="421" t="s">
        <v>1183</v>
      </c>
      <c r="BZ218" s="421">
        <v>483.84</v>
      </c>
      <c r="CA218" s="421">
        <v>1439486.8992000001</v>
      </c>
      <c r="CB218" s="421">
        <v>0.19</v>
      </c>
      <c r="CC218" s="421">
        <v>0</v>
      </c>
      <c r="CD218" s="421">
        <v>9.2799999999999994</v>
      </c>
      <c r="CE218" s="421">
        <v>9.4700000000000006</v>
      </c>
      <c r="CF218" s="421">
        <v>0</v>
      </c>
      <c r="CG218" s="421">
        <v>493.31</v>
      </c>
      <c r="CH218" s="421">
        <v>0</v>
      </c>
      <c r="CI218" s="421">
        <v>493.31</v>
      </c>
      <c r="CJ218" s="421">
        <v>1467661.3803000001</v>
      </c>
      <c r="CK218" s="421">
        <v>10</v>
      </c>
      <c r="CL218" s="421">
        <v>1467661</v>
      </c>
      <c r="CM218" s="421">
        <v>147000</v>
      </c>
      <c r="CN218" s="421">
        <v>147000</v>
      </c>
      <c r="CO218" s="421">
        <v>0</v>
      </c>
      <c r="CP218" s="421">
        <v>0</v>
      </c>
      <c r="CQ218" s="421">
        <v>16</v>
      </c>
      <c r="CR218" s="421">
        <v>1614661</v>
      </c>
      <c r="CS218" s="421">
        <v>258000</v>
      </c>
      <c r="CT218" s="421">
        <v>258000</v>
      </c>
      <c r="CU218" s="421">
        <v>0</v>
      </c>
      <c r="CV218" s="421">
        <v>0</v>
      </c>
      <c r="CW218" s="421">
        <v>0</v>
      </c>
      <c r="CX218" s="421">
        <v>0</v>
      </c>
      <c r="CY218" s="421">
        <v>0</v>
      </c>
      <c r="CZ218" s="421">
        <v>0</v>
      </c>
      <c r="DA218" s="421">
        <v>0</v>
      </c>
      <c r="DB218" s="421">
        <v>0</v>
      </c>
      <c r="DC218" s="421">
        <v>0</v>
      </c>
      <c r="DD218" s="421">
        <v>0</v>
      </c>
      <c r="DE218" s="421">
        <v>0</v>
      </c>
      <c r="DF218" s="421">
        <v>0</v>
      </c>
      <c r="DG218" s="421">
        <v>0</v>
      </c>
      <c r="DH218" s="421">
        <v>0</v>
      </c>
      <c r="DI218" s="421">
        <v>0</v>
      </c>
      <c r="DJ218" s="421">
        <v>0</v>
      </c>
      <c r="DK218" s="421">
        <v>0</v>
      </c>
      <c r="DL218" s="421">
        <v>0</v>
      </c>
      <c r="DM218" s="421">
        <v>0</v>
      </c>
      <c r="DN218" s="421">
        <v>0</v>
      </c>
      <c r="DO218" s="421">
        <v>0</v>
      </c>
      <c r="DP218" s="421">
        <v>0</v>
      </c>
      <c r="DQ218" s="421">
        <v>0</v>
      </c>
      <c r="DR218" s="421">
        <v>0</v>
      </c>
      <c r="DS218" s="421">
        <v>0</v>
      </c>
      <c r="DT218" s="421">
        <v>0</v>
      </c>
      <c r="DU218" s="421">
        <v>0</v>
      </c>
      <c r="DV218" s="421">
        <v>0</v>
      </c>
      <c r="DW218" s="421">
        <v>0</v>
      </c>
      <c r="DX218" s="421">
        <v>0</v>
      </c>
      <c r="DY218" s="421">
        <v>405000</v>
      </c>
      <c r="DZ218" s="421">
        <v>405000</v>
      </c>
      <c r="EA218" s="421">
        <v>0</v>
      </c>
      <c r="EB218" s="421">
        <v>0</v>
      </c>
      <c r="EC218" s="421" t="s">
        <v>1148</v>
      </c>
      <c r="ED218" s="421" t="s">
        <v>1167</v>
      </c>
      <c r="EE218" s="421" t="s">
        <v>1167</v>
      </c>
    </row>
    <row r="219" spans="1:135" x14ac:dyDescent="0.25">
      <c r="A219" s="421">
        <v>216</v>
      </c>
      <c r="B219" s="421">
        <v>2015</v>
      </c>
      <c r="C219" s="421">
        <v>9</v>
      </c>
      <c r="D219" s="421">
        <v>29</v>
      </c>
      <c r="E219" s="424">
        <v>42276</v>
      </c>
      <c r="F219" s="421" t="s">
        <v>2709</v>
      </c>
      <c r="G219" s="421" t="s">
        <v>2710</v>
      </c>
      <c r="H219" s="421" t="s">
        <v>1152</v>
      </c>
      <c r="I219" s="421" t="s">
        <v>1281</v>
      </c>
      <c r="J219" s="421" t="s">
        <v>1108</v>
      </c>
      <c r="K219" s="421" t="s">
        <v>1109</v>
      </c>
      <c r="L219" s="421" t="s">
        <v>1110</v>
      </c>
      <c r="O219" s="421" t="s">
        <v>1111</v>
      </c>
      <c r="R219" s="421" t="s">
        <v>1111</v>
      </c>
      <c r="S219" s="421" t="s">
        <v>1112</v>
      </c>
      <c r="T219" s="421" t="s">
        <v>1113</v>
      </c>
      <c r="U219" s="421" t="s">
        <v>1114</v>
      </c>
      <c r="V219" s="421" t="s">
        <v>1115</v>
      </c>
      <c r="W219" s="421" t="s">
        <v>1116</v>
      </c>
      <c r="X219" s="421" t="s">
        <v>1117</v>
      </c>
      <c r="Y219" s="421" t="s">
        <v>1118</v>
      </c>
      <c r="Z219" s="421" t="s">
        <v>1119</v>
      </c>
      <c r="AA219" s="421" t="s">
        <v>1120</v>
      </c>
      <c r="AB219" s="421" t="s">
        <v>1121</v>
      </c>
      <c r="AC219" s="421" t="s">
        <v>1122</v>
      </c>
      <c r="AD219" s="421" t="s">
        <v>1479</v>
      </c>
      <c r="AE219" s="421" t="s">
        <v>2414</v>
      </c>
      <c r="AF219" s="421" t="s">
        <v>2415</v>
      </c>
      <c r="AG219" s="421" t="s">
        <v>2711</v>
      </c>
      <c r="AH219" s="421">
        <v>258000</v>
      </c>
      <c r="AI219" s="421" t="s">
        <v>1189</v>
      </c>
      <c r="AJ219" s="421">
        <v>58</v>
      </c>
      <c r="AK219" s="421">
        <v>1</v>
      </c>
      <c r="AL219" s="421" t="s">
        <v>1173</v>
      </c>
      <c r="AM219" s="421">
        <v>688.4</v>
      </c>
      <c r="AN219" s="421">
        <v>733.8</v>
      </c>
      <c r="AO219" s="421" t="s">
        <v>1120</v>
      </c>
      <c r="AP219" s="421" t="s">
        <v>1129</v>
      </c>
      <c r="AR219" s="421" t="s">
        <v>1130</v>
      </c>
      <c r="AT219" s="421" t="s">
        <v>1131</v>
      </c>
      <c r="AU219" s="421" t="s">
        <v>1190</v>
      </c>
      <c r="AV219" s="421" t="s">
        <v>1191</v>
      </c>
      <c r="AW219" s="421" t="s">
        <v>960</v>
      </c>
      <c r="AX219" s="421" t="s">
        <v>2135</v>
      </c>
      <c r="AY219" s="421" t="s">
        <v>2417</v>
      </c>
      <c r="AZ219" s="421" t="s">
        <v>1121</v>
      </c>
      <c r="BA219" s="421" t="s">
        <v>2418</v>
      </c>
      <c r="BB219" s="421" t="s">
        <v>2417</v>
      </c>
      <c r="BC219" s="421" t="s">
        <v>2419</v>
      </c>
      <c r="BD219" s="421" t="s">
        <v>2420</v>
      </c>
      <c r="BE219" s="421" t="s">
        <v>2421</v>
      </c>
      <c r="BI219" s="421" t="s">
        <v>1142</v>
      </c>
      <c r="BJ219" s="421" t="s">
        <v>1342</v>
      </c>
      <c r="BK219" s="421" t="s">
        <v>2710</v>
      </c>
      <c r="BL219" s="421" t="s">
        <v>2712</v>
      </c>
      <c r="BM219" s="421" t="s">
        <v>2713</v>
      </c>
      <c r="BN219" s="421" t="s">
        <v>2278</v>
      </c>
      <c r="BO219" s="421">
        <v>0</v>
      </c>
      <c r="BR219" s="421">
        <v>0</v>
      </c>
      <c r="BS219" s="421">
        <v>0</v>
      </c>
      <c r="BT219" s="421">
        <v>0</v>
      </c>
      <c r="BU219" s="424">
        <v>38718</v>
      </c>
      <c r="BX219" s="421">
        <v>3135.17</v>
      </c>
      <c r="BY219" s="421" t="s">
        <v>1166</v>
      </c>
      <c r="BZ219" s="421">
        <v>41228.400000000001</v>
      </c>
      <c r="CA219" s="421">
        <v>129258042.82799999</v>
      </c>
      <c r="CB219" s="421">
        <v>16.489999999999998</v>
      </c>
      <c r="CC219" s="421">
        <v>0</v>
      </c>
      <c r="CD219" s="421">
        <v>496.05</v>
      </c>
      <c r="CE219" s="421">
        <v>512.54</v>
      </c>
      <c r="CF219" s="421">
        <v>0</v>
      </c>
      <c r="CG219" s="421">
        <v>41740.94</v>
      </c>
      <c r="CH219" s="421">
        <v>0</v>
      </c>
      <c r="CI219" s="421">
        <v>41740.94</v>
      </c>
      <c r="CJ219" s="421">
        <v>130864942.8598</v>
      </c>
      <c r="CK219" s="421">
        <v>0</v>
      </c>
      <c r="CL219" s="421">
        <v>130864943</v>
      </c>
      <c r="CM219" s="421">
        <v>0</v>
      </c>
      <c r="CN219" s="421">
        <v>0</v>
      </c>
      <c r="CO219" s="421">
        <v>0</v>
      </c>
      <c r="CP219" s="421">
        <v>0</v>
      </c>
      <c r="CQ219" s="421">
        <v>16</v>
      </c>
      <c r="CR219" s="421">
        <v>130864943</v>
      </c>
      <c r="CS219" s="421">
        <v>20938000</v>
      </c>
      <c r="CT219" s="421">
        <v>20938000</v>
      </c>
      <c r="CU219" s="421">
        <v>0</v>
      </c>
      <c r="CV219" s="421">
        <v>0</v>
      </c>
      <c r="CW219" s="421">
        <v>0</v>
      </c>
      <c r="CX219" s="421">
        <v>0</v>
      </c>
      <c r="CY219" s="421">
        <v>0</v>
      </c>
      <c r="CZ219" s="421">
        <v>0</v>
      </c>
      <c r="DA219" s="421">
        <v>0</v>
      </c>
      <c r="DB219" s="421">
        <v>0</v>
      </c>
      <c r="DC219" s="421">
        <v>0</v>
      </c>
      <c r="DD219" s="421">
        <v>0</v>
      </c>
      <c r="DE219" s="421">
        <v>0</v>
      </c>
      <c r="DF219" s="421">
        <v>0</v>
      </c>
      <c r="DG219" s="421">
        <v>0</v>
      </c>
      <c r="DH219" s="421">
        <v>0</v>
      </c>
      <c r="DI219" s="421">
        <v>0</v>
      </c>
      <c r="DJ219" s="421">
        <v>0</v>
      </c>
      <c r="DK219" s="421">
        <v>0</v>
      </c>
      <c r="DL219" s="421">
        <v>0</v>
      </c>
      <c r="DM219" s="421">
        <v>0</v>
      </c>
      <c r="DN219" s="421">
        <v>0</v>
      </c>
      <c r="DO219" s="421">
        <v>0</v>
      </c>
      <c r="DP219" s="421">
        <v>0</v>
      </c>
      <c r="DQ219" s="421">
        <v>0</v>
      </c>
      <c r="DR219" s="421">
        <v>0</v>
      </c>
      <c r="DS219" s="421">
        <v>0</v>
      </c>
      <c r="DT219" s="421">
        <v>0</v>
      </c>
      <c r="DU219" s="421">
        <v>0</v>
      </c>
      <c r="DV219" s="421">
        <v>0</v>
      </c>
      <c r="DW219" s="421">
        <v>0</v>
      </c>
      <c r="DX219" s="421">
        <v>0</v>
      </c>
      <c r="DY219" s="421">
        <v>20938000</v>
      </c>
      <c r="DZ219" s="421">
        <v>20938000</v>
      </c>
      <c r="EA219" s="421">
        <v>0</v>
      </c>
      <c r="EB219" s="421">
        <v>0</v>
      </c>
      <c r="EC219" s="421" t="s">
        <v>1148</v>
      </c>
      <c r="ED219" s="421" t="s">
        <v>1331</v>
      </c>
      <c r="EE219" s="421" t="s">
        <v>1167</v>
      </c>
    </row>
    <row r="220" spans="1:135" x14ac:dyDescent="0.25">
      <c r="A220" s="421">
        <v>217</v>
      </c>
      <c r="B220" s="421">
        <v>2015</v>
      </c>
      <c r="C220" s="421">
        <v>9</v>
      </c>
      <c r="D220" s="421">
        <v>30</v>
      </c>
      <c r="E220" s="424">
        <v>42277</v>
      </c>
      <c r="F220" s="421" t="s">
        <v>2714</v>
      </c>
      <c r="G220" s="421" t="s">
        <v>2715</v>
      </c>
      <c r="H220" s="421" t="s">
        <v>1152</v>
      </c>
      <c r="I220" s="421" t="s">
        <v>1281</v>
      </c>
      <c r="J220" s="421" t="s">
        <v>1108</v>
      </c>
      <c r="K220" s="421" t="s">
        <v>1109</v>
      </c>
      <c r="L220" s="421" t="s">
        <v>1110</v>
      </c>
      <c r="O220" s="421" t="s">
        <v>1111</v>
      </c>
      <c r="R220" s="421" t="s">
        <v>1111</v>
      </c>
      <c r="S220" s="421" t="s">
        <v>1112</v>
      </c>
      <c r="T220" s="421" t="s">
        <v>1113</v>
      </c>
      <c r="U220" s="421" t="s">
        <v>1114</v>
      </c>
      <c r="V220" s="421" t="s">
        <v>1115</v>
      </c>
      <c r="W220" s="421" t="s">
        <v>1116</v>
      </c>
      <c r="X220" s="421" t="s">
        <v>1117</v>
      </c>
      <c r="Y220" s="421" t="s">
        <v>1118</v>
      </c>
      <c r="Z220" s="421" t="s">
        <v>1119</v>
      </c>
      <c r="AA220" s="421" t="s">
        <v>1120</v>
      </c>
      <c r="AB220" s="421" t="s">
        <v>1121</v>
      </c>
      <c r="AC220" s="421" t="s">
        <v>1122</v>
      </c>
      <c r="AD220" s="421" t="s">
        <v>1479</v>
      </c>
      <c r="AE220" s="421" t="s">
        <v>2215</v>
      </c>
      <c r="AF220" s="421" t="s">
        <v>2216</v>
      </c>
      <c r="AG220" s="421" t="s">
        <v>2716</v>
      </c>
      <c r="AH220" s="421">
        <v>38.380000000000003</v>
      </c>
      <c r="AI220" s="421" t="s">
        <v>1127</v>
      </c>
      <c r="AJ220" s="421">
        <v>2</v>
      </c>
      <c r="AK220" s="421">
        <v>1</v>
      </c>
      <c r="AL220" s="421" t="s">
        <v>1335</v>
      </c>
      <c r="AM220" s="421">
        <v>38.380000000000003</v>
      </c>
      <c r="AN220" s="421">
        <v>42.64</v>
      </c>
      <c r="AO220" s="421" t="s">
        <v>1120</v>
      </c>
      <c r="AP220" s="421" t="s">
        <v>1129</v>
      </c>
      <c r="AR220" s="421" t="s">
        <v>1130</v>
      </c>
      <c r="AT220" s="421" t="s">
        <v>1131</v>
      </c>
      <c r="AU220" s="421" t="s">
        <v>1190</v>
      </c>
      <c r="AV220" s="421" t="s">
        <v>1191</v>
      </c>
      <c r="AW220" s="421" t="s">
        <v>962</v>
      </c>
      <c r="AX220" s="421" t="s">
        <v>962</v>
      </c>
      <c r="AY220" s="421" t="s">
        <v>962</v>
      </c>
      <c r="AZ220" s="421" t="s">
        <v>1121</v>
      </c>
      <c r="BA220" s="421" t="s">
        <v>2218</v>
      </c>
      <c r="BB220" s="421" t="s">
        <v>962</v>
      </c>
      <c r="BC220" s="421" t="s">
        <v>2219</v>
      </c>
      <c r="BD220" s="421" t="s">
        <v>2220</v>
      </c>
      <c r="BE220" s="421" t="s">
        <v>2221</v>
      </c>
      <c r="BF220" s="421" t="s">
        <v>2717</v>
      </c>
      <c r="BG220" s="421" t="s">
        <v>2718</v>
      </c>
      <c r="BH220" s="421" t="s">
        <v>2719</v>
      </c>
      <c r="BI220" s="421" t="s">
        <v>1341</v>
      </c>
      <c r="BJ220" s="421" t="s">
        <v>1342</v>
      </c>
      <c r="BK220" s="421" t="s">
        <v>2715</v>
      </c>
      <c r="BL220" s="421" t="s">
        <v>2720</v>
      </c>
      <c r="BM220" s="421" t="s">
        <v>2721</v>
      </c>
      <c r="BN220" s="421" t="s">
        <v>2705</v>
      </c>
      <c r="BO220" s="421">
        <v>0</v>
      </c>
      <c r="BR220" s="421">
        <v>0</v>
      </c>
      <c r="BS220" s="421">
        <v>0</v>
      </c>
      <c r="BT220" s="421">
        <v>0</v>
      </c>
      <c r="BU220" s="424">
        <v>42276</v>
      </c>
      <c r="BX220" s="421">
        <v>3135.17</v>
      </c>
      <c r="BY220" s="421" t="s">
        <v>1147</v>
      </c>
      <c r="BZ220" s="421">
        <v>2523.6</v>
      </c>
      <c r="CA220" s="421">
        <v>7911915.0120000001</v>
      </c>
      <c r="CB220" s="421">
        <v>1.01</v>
      </c>
      <c r="CC220" s="421">
        <v>0</v>
      </c>
      <c r="CD220" s="421">
        <v>310.60000000000002</v>
      </c>
      <c r="CE220" s="421">
        <v>311.61</v>
      </c>
      <c r="CF220" s="421">
        <v>0</v>
      </c>
      <c r="CG220" s="421">
        <v>2835.21</v>
      </c>
      <c r="CH220" s="421">
        <v>0</v>
      </c>
      <c r="CI220" s="421">
        <v>2835.21</v>
      </c>
      <c r="CJ220" s="421">
        <v>8888865.3356999997</v>
      </c>
      <c r="CK220" s="421">
        <v>10</v>
      </c>
      <c r="CL220" s="421">
        <v>8888865</v>
      </c>
      <c r="CM220" s="421">
        <v>889000</v>
      </c>
      <c r="CN220" s="421">
        <v>889000</v>
      </c>
      <c r="CO220" s="421">
        <v>0</v>
      </c>
      <c r="CP220" s="421">
        <v>0</v>
      </c>
      <c r="CQ220" s="421">
        <v>16</v>
      </c>
      <c r="CR220" s="421">
        <v>9777865</v>
      </c>
      <c r="CS220" s="421">
        <v>1564000</v>
      </c>
      <c r="CT220" s="421">
        <v>1564000</v>
      </c>
      <c r="CU220" s="421">
        <v>0</v>
      </c>
      <c r="CV220" s="421">
        <v>0</v>
      </c>
      <c r="CW220" s="421">
        <v>0</v>
      </c>
      <c r="CX220" s="421">
        <v>0</v>
      </c>
      <c r="CY220" s="421">
        <v>0</v>
      </c>
      <c r="CZ220" s="421">
        <v>0</v>
      </c>
      <c r="DA220" s="421">
        <v>0</v>
      </c>
      <c r="DB220" s="421">
        <v>0</v>
      </c>
      <c r="DC220" s="421">
        <v>0</v>
      </c>
      <c r="DD220" s="421">
        <v>0</v>
      </c>
      <c r="DE220" s="421">
        <v>0</v>
      </c>
      <c r="DF220" s="421">
        <v>0</v>
      </c>
      <c r="DG220" s="421">
        <v>0</v>
      </c>
      <c r="DH220" s="421">
        <v>0</v>
      </c>
      <c r="DI220" s="421">
        <v>0</v>
      </c>
      <c r="DJ220" s="421">
        <v>0</v>
      </c>
      <c r="DK220" s="421">
        <v>0</v>
      </c>
      <c r="DL220" s="421">
        <v>0</v>
      </c>
      <c r="DM220" s="421">
        <v>0</v>
      </c>
      <c r="DN220" s="421">
        <v>0</v>
      </c>
      <c r="DO220" s="421">
        <v>0</v>
      </c>
      <c r="DP220" s="421">
        <v>0</v>
      </c>
      <c r="DQ220" s="421">
        <v>0</v>
      </c>
      <c r="DR220" s="421">
        <v>0</v>
      </c>
      <c r="DS220" s="421">
        <v>0</v>
      </c>
      <c r="DT220" s="421">
        <v>0</v>
      </c>
      <c r="DU220" s="421">
        <v>0</v>
      </c>
      <c r="DV220" s="421">
        <v>0</v>
      </c>
      <c r="DW220" s="421">
        <v>0</v>
      </c>
      <c r="DX220" s="421">
        <v>0</v>
      </c>
      <c r="DY220" s="421">
        <v>2453000</v>
      </c>
      <c r="DZ220" s="421">
        <v>2453000</v>
      </c>
      <c r="EA220" s="421">
        <v>0</v>
      </c>
      <c r="EB220" s="421">
        <v>0</v>
      </c>
      <c r="EC220" s="421" t="s">
        <v>1148</v>
      </c>
      <c r="ED220" s="421" t="s">
        <v>1149</v>
      </c>
      <c r="EE220" s="421" t="s">
        <v>1149</v>
      </c>
    </row>
    <row r="221" spans="1:135" x14ac:dyDescent="0.25">
      <c r="A221" s="421">
        <v>218</v>
      </c>
      <c r="B221" s="421">
        <v>2015</v>
      </c>
      <c r="C221" s="421">
        <v>10</v>
      </c>
      <c r="D221" s="421">
        <v>1</v>
      </c>
      <c r="E221" s="424">
        <v>42278</v>
      </c>
      <c r="F221" s="421" t="s">
        <v>2722</v>
      </c>
      <c r="G221" s="421" t="s">
        <v>2723</v>
      </c>
      <c r="H221" s="421" t="s">
        <v>1152</v>
      </c>
      <c r="I221" s="421" t="s">
        <v>1107</v>
      </c>
      <c r="J221" s="421" t="s">
        <v>1108</v>
      </c>
      <c r="K221" s="421" t="s">
        <v>1109</v>
      </c>
      <c r="L221" s="421" t="s">
        <v>1110</v>
      </c>
      <c r="O221" s="421" t="s">
        <v>1111</v>
      </c>
      <c r="R221" s="421" t="s">
        <v>1111</v>
      </c>
      <c r="S221" s="421" t="s">
        <v>1112</v>
      </c>
      <c r="T221" s="421" t="s">
        <v>1113</v>
      </c>
      <c r="U221" s="421" t="s">
        <v>1114</v>
      </c>
      <c r="V221" s="421" t="s">
        <v>1115</v>
      </c>
      <c r="W221" s="421" t="s">
        <v>1116</v>
      </c>
      <c r="X221" s="421" t="s">
        <v>1117</v>
      </c>
      <c r="Y221" s="421" t="s">
        <v>1118</v>
      </c>
      <c r="Z221" s="421" t="s">
        <v>1119</v>
      </c>
      <c r="AA221" s="421" t="s">
        <v>1120</v>
      </c>
      <c r="AB221" s="421" t="s">
        <v>1121</v>
      </c>
      <c r="AC221" s="421" t="s">
        <v>1122</v>
      </c>
      <c r="AD221" s="421" t="s">
        <v>1479</v>
      </c>
      <c r="AE221" s="421" t="s">
        <v>2724</v>
      </c>
      <c r="AF221" s="421" t="s">
        <v>2725</v>
      </c>
      <c r="AG221" s="421" t="s">
        <v>2726</v>
      </c>
      <c r="AH221" s="421">
        <v>18143.7</v>
      </c>
      <c r="AI221" s="421" t="s">
        <v>1127</v>
      </c>
      <c r="AJ221" s="421">
        <v>20</v>
      </c>
      <c r="AK221" s="421">
        <v>1</v>
      </c>
      <c r="AL221" s="421" t="s">
        <v>1128</v>
      </c>
      <c r="AM221" s="421">
        <v>18143.7</v>
      </c>
      <c r="AN221" s="421">
        <v>18143.88</v>
      </c>
      <c r="AO221" s="421" t="s">
        <v>1120</v>
      </c>
      <c r="AP221" s="421" t="s">
        <v>1129</v>
      </c>
      <c r="AR221" s="421" t="s">
        <v>1130</v>
      </c>
      <c r="AT221" s="421" t="s">
        <v>1131</v>
      </c>
      <c r="AU221" s="421" t="s">
        <v>1132</v>
      </c>
      <c r="AV221" s="421" t="s">
        <v>1133</v>
      </c>
      <c r="AW221" s="421" t="s">
        <v>962</v>
      </c>
      <c r="AX221" s="421" t="s">
        <v>962</v>
      </c>
      <c r="AY221" s="421" t="s">
        <v>962</v>
      </c>
      <c r="AZ221" s="421" t="s">
        <v>1121</v>
      </c>
      <c r="BA221" s="421" t="s">
        <v>2727</v>
      </c>
      <c r="BB221" s="421" t="s">
        <v>962</v>
      </c>
      <c r="BC221" s="421" t="s">
        <v>2728</v>
      </c>
      <c r="BD221" s="421" t="s">
        <v>2729</v>
      </c>
      <c r="BE221" s="421" t="s">
        <v>2730</v>
      </c>
      <c r="BF221" s="421" t="s">
        <v>2731</v>
      </c>
      <c r="BG221" s="421" t="s">
        <v>2732</v>
      </c>
      <c r="BH221" s="421" t="s">
        <v>2733</v>
      </c>
      <c r="BI221" s="421" t="s">
        <v>1142</v>
      </c>
      <c r="BJ221" s="421" t="s">
        <v>1143</v>
      </c>
      <c r="BK221" s="421" t="s">
        <v>2723</v>
      </c>
      <c r="BL221" s="421" t="s">
        <v>2720</v>
      </c>
      <c r="BM221" s="421" t="s">
        <v>2734</v>
      </c>
      <c r="BN221" s="421" t="s">
        <v>2522</v>
      </c>
      <c r="BO221" s="421">
        <v>0</v>
      </c>
      <c r="BR221" s="421">
        <v>0</v>
      </c>
      <c r="BS221" s="421">
        <v>0</v>
      </c>
      <c r="BT221" s="421">
        <v>0</v>
      </c>
      <c r="BU221" s="424">
        <v>42269</v>
      </c>
      <c r="BX221" s="421">
        <v>3135.17</v>
      </c>
      <c r="BY221" s="421" t="s">
        <v>1147</v>
      </c>
      <c r="BZ221" s="421">
        <v>18463.72</v>
      </c>
      <c r="CA221" s="421">
        <v>57886901.032399997</v>
      </c>
      <c r="CB221" s="421">
        <v>7.39</v>
      </c>
      <c r="CC221" s="421">
        <v>0</v>
      </c>
      <c r="CD221" s="421">
        <v>1866</v>
      </c>
      <c r="CE221" s="421">
        <v>1873.39</v>
      </c>
      <c r="CF221" s="421">
        <v>0</v>
      </c>
      <c r="CG221" s="421">
        <v>20337.11</v>
      </c>
      <c r="CH221" s="421">
        <v>0</v>
      </c>
      <c r="CI221" s="421">
        <v>20337.11</v>
      </c>
      <c r="CJ221" s="421">
        <v>63760297.158699997</v>
      </c>
      <c r="CK221" s="421">
        <v>5</v>
      </c>
      <c r="CL221" s="421">
        <v>63760297</v>
      </c>
      <c r="CM221" s="421">
        <v>3188000</v>
      </c>
      <c r="CN221" s="421">
        <v>3188000</v>
      </c>
      <c r="CO221" s="421">
        <v>0</v>
      </c>
      <c r="CP221" s="421">
        <v>0</v>
      </c>
      <c r="CQ221" s="421">
        <v>16</v>
      </c>
      <c r="CR221" s="421">
        <v>66948297</v>
      </c>
      <c r="CS221" s="421">
        <v>10712000</v>
      </c>
      <c r="CT221" s="421">
        <v>10712000</v>
      </c>
      <c r="CU221" s="421">
        <v>0</v>
      </c>
      <c r="CV221" s="421">
        <v>0</v>
      </c>
      <c r="CW221" s="421">
        <v>0</v>
      </c>
      <c r="CX221" s="421">
        <v>0</v>
      </c>
      <c r="CY221" s="421">
        <v>0</v>
      </c>
      <c r="CZ221" s="421">
        <v>0</v>
      </c>
      <c r="DA221" s="421">
        <v>0</v>
      </c>
      <c r="DB221" s="421">
        <v>0</v>
      </c>
      <c r="DC221" s="421">
        <v>0</v>
      </c>
      <c r="DD221" s="421">
        <v>0</v>
      </c>
      <c r="DE221" s="421">
        <v>0</v>
      </c>
      <c r="DF221" s="421">
        <v>0</v>
      </c>
      <c r="DG221" s="421">
        <v>0</v>
      </c>
      <c r="DH221" s="421">
        <v>0</v>
      </c>
      <c r="DI221" s="421">
        <v>0</v>
      </c>
      <c r="DJ221" s="421">
        <v>0</v>
      </c>
      <c r="DK221" s="421">
        <v>0</v>
      </c>
      <c r="DL221" s="421">
        <v>0</v>
      </c>
      <c r="DM221" s="421">
        <v>0</v>
      </c>
      <c r="DN221" s="421">
        <v>0</v>
      </c>
      <c r="DO221" s="421">
        <v>0</v>
      </c>
      <c r="DP221" s="421">
        <v>0</v>
      </c>
      <c r="DQ221" s="421">
        <v>0</v>
      </c>
      <c r="DR221" s="421">
        <v>0</v>
      </c>
      <c r="DS221" s="421">
        <v>0</v>
      </c>
      <c r="DT221" s="421">
        <v>0</v>
      </c>
      <c r="DU221" s="421">
        <v>0</v>
      </c>
      <c r="DV221" s="421">
        <v>0</v>
      </c>
      <c r="DW221" s="421">
        <v>0</v>
      </c>
      <c r="DX221" s="421">
        <v>0</v>
      </c>
      <c r="DY221" s="421">
        <v>13900000</v>
      </c>
      <c r="DZ221" s="421">
        <v>13900000</v>
      </c>
      <c r="EA221" s="421">
        <v>0</v>
      </c>
      <c r="EB221" s="421">
        <v>0</v>
      </c>
      <c r="EC221" s="421" t="s">
        <v>1148</v>
      </c>
      <c r="ED221" s="421" t="s">
        <v>1149</v>
      </c>
      <c r="EE221" s="421" t="s">
        <v>1149</v>
      </c>
    </row>
    <row r="222" spans="1:135" x14ac:dyDescent="0.25">
      <c r="A222" s="421">
        <v>219</v>
      </c>
      <c r="B222" s="421">
        <v>2015</v>
      </c>
      <c r="C222" s="421">
        <v>10</v>
      </c>
      <c r="D222" s="421">
        <v>2</v>
      </c>
      <c r="E222" s="424">
        <v>42279</v>
      </c>
      <c r="F222" s="421" t="s">
        <v>2735</v>
      </c>
      <c r="G222" s="421" t="s">
        <v>2736</v>
      </c>
      <c r="H222" s="421" t="s">
        <v>1106</v>
      </c>
      <c r="I222" s="421" t="s">
        <v>1107</v>
      </c>
      <c r="J222" s="421" t="s">
        <v>1108</v>
      </c>
      <c r="K222" s="421" t="s">
        <v>1109</v>
      </c>
      <c r="L222" s="421" t="s">
        <v>1110</v>
      </c>
      <c r="O222" s="421" t="s">
        <v>1111</v>
      </c>
      <c r="R222" s="421" t="s">
        <v>1111</v>
      </c>
      <c r="S222" s="421" t="s">
        <v>1112</v>
      </c>
      <c r="T222" s="421" t="s">
        <v>1113</v>
      </c>
      <c r="U222" s="421" t="s">
        <v>1114</v>
      </c>
      <c r="V222" s="421" t="s">
        <v>1115</v>
      </c>
      <c r="W222" s="421" t="s">
        <v>1116</v>
      </c>
      <c r="X222" s="421" t="s">
        <v>1117</v>
      </c>
      <c r="Y222" s="421" t="s">
        <v>1118</v>
      </c>
      <c r="Z222" s="421" t="s">
        <v>1119</v>
      </c>
      <c r="AA222" s="421" t="s">
        <v>1120</v>
      </c>
      <c r="AB222" s="421" t="s">
        <v>1121</v>
      </c>
      <c r="AC222" s="421" t="s">
        <v>1122</v>
      </c>
      <c r="AD222" s="421" t="s">
        <v>1479</v>
      </c>
      <c r="AE222" s="421" t="s">
        <v>1471</v>
      </c>
      <c r="AF222" s="421" t="s">
        <v>1472</v>
      </c>
      <c r="AG222" s="421" t="s">
        <v>2737</v>
      </c>
      <c r="AH222" s="421">
        <v>19032</v>
      </c>
      <c r="AI222" s="421" t="s">
        <v>1189</v>
      </c>
      <c r="AJ222" s="421">
        <v>229</v>
      </c>
      <c r="AK222" s="421">
        <v>1</v>
      </c>
      <c r="AL222" s="421" t="s">
        <v>1173</v>
      </c>
      <c r="AM222" s="421">
        <v>767.4</v>
      </c>
      <c r="AN222" s="421">
        <v>907</v>
      </c>
      <c r="AO222" s="421" t="s">
        <v>1120</v>
      </c>
      <c r="AP222" s="421" t="s">
        <v>2738</v>
      </c>
      <c r="AQ222" s="421" t="s">
        <v>1475</v>
      </c>
      <c r="AR222" s="421" t="s">
        <v>1476</v>
      </c>
      <c r="AT222" s="421" t="s">
        <v>1131</v>
      </c>
      <c r="AU222" s="421" t="s">
        <v>1303</v>
      </c>
      <c r="AV222" s="421" t="s">
        <v>1304</v>
      </c>
      <c r="AW222" s="421" t="s">
        <v>960</v>
      </c>
      <c r="AX222" s="421" t="s">
        <v>960</v>
      </c>
      <c r="AY222" s="421" t="s">
        <v>960</v>
      </c>
      <c r="AZ222" s="421" t="s">
        <v>1121</v>
      </c>
      <c r="BA222" s="421" t="s">
        <v>2617</v>
      </c>
      <c r="BB222" s="421" t="s">
        <v>960</v>
      </c>
      <c r="BC222" s="421" t="s">
        <v>1253</v>
      </c>
      <c r="BD222" s="421" t="s">
        <v>2618</v>
      </c>
      <c r="BE222" s="421" t="s">
        <v>2619</v>
      </c>
      <c r="BF222" s="421" t="s">
        <v>2587</v>
      </c>
      <c r="BG222" s="421" t="s">
        <v>2454</v>
      </c>
      <c r="BH222" s="421" t="s">
        <v>2620</v>
      </c>
      <c r="BI222" s="421" t="s">
        <v>1142</v>
      </c>
      <c r="BJ222" s="421" t="s">
        <v>2739</v>
      </c>
      <c r="BK222" s="421" t="s">
        <v>2736</v>
      </c>
      <c r="BL222" s="421" t="s">
        <v>2740</v>
      </c>
      <c r="BM222" s="421" t="s">
        <v>2622</v>
      </c>
      <c r="BN222" s="421" t="s">
        <v>2623</v>
      </c>
      <c r="BO222" s="421">
        <v>0</v>
      </c>
      <c r="BR222" s="421">
        <v>0</v>
      </c>
      <c r="BS222" s="421">
        <v>0</v>
      </c>
      <c r="BT222" s="421">
        <v>0</v>
      </c>
      <c r="BU222" s="424">
        <v>42210</v>
      </c>
      <c r="BX222" s="421">
        <v>3135.17</v>
      </c>
      <c r="BY222" s="421" t="s">
        <v>1166</v>
      </c>
      <c r="BZ222" s="421">
        <v>10389.84</v>
      </c>
      <c r="CA222" s="421">
        <v>32573914.672800001</v>
      </c>
      <c r="CB222" s="421">
        <v>4.16</v>
      </c>
      <c r="CC222" s="421">
        <v>0</v>
      </c>
      <c r="CD222" s="421">
        <v>1194.3</v>
      </c>
      <c r="CE222" s="421">
        <v>1198.46</v>
      </c>
      <c r="CF222" s="421">
        <v>0</v>
      </c>
      <c r="CG222" s="421">
        <v>11588.3</v>
      </c>
      <c r="CH222" s="421">
        <v>0</v>
      </c>
      <c r="CI222" s="421">
        <v>11588.3</v>
      </c>
      <c r="CJ222" s="421">
        <v>36331290.511</v>
      </c>
      <c r="CK222" s="421">
        <v>15</v>
      </c>
      <c r="CL222" s="421">
        <v>36331291</v>
      </c>
      <c r="CM222" s="421">
        <v>5450000</v>
      </c>
      <c r="CN222" s="421">
        <v>5450000</v>
      </c>
      <c r="CO222" s="421">
        <v>0</v>
      </c>
      <c r="CP222" s="421">
        <v>0</v>
      </c>
      <c r="CQ222" s="421">
        <v>16</v>
      </c>
      <c r="CR222" s="421">
        <v>41781291</v>
      </c>
      <c r="CS222" s="421">
        <v>6685000</v>
      </c>
      <c r="CT222" s="421">
        <v>6685000</v>
      </c>
      <c r="CU222" s="421">
        <v>0</v>
      </c>
      <c r="CV222" s="421">
        <v>0</v>
      </c>
      <c r="CW222" s="421">
        <v>0</v>
      </c>
      <c r="CX222" s="421">
        <v>0</v>
      </c>
      <c r="CY222" s="421">
        <v>0</v>
      </c>
      <c r="CZ222" s="421">
        <v>0</v>
      </c>
      <c r="DA222" s="421">
        <v>0</v>
      </c>
      <c r="DB222" s="421">
        <v>0</v>
      </c>
      <c r="DC222" s="421">
        <v>0</v>
      </c>
      <c r="DD222" s="421">
        <v>0</v>
      </c>
      <c r="DE222" s="421">
        <v>0</v>
      </c>
      <c r="DF222" s="421">
        <v>0</v>
      </c>
      <c r="DG222" s="421">
        <v>0</v>
      </c>
      <c r="DH222" s="421">
        <v>0</v>
      </c>
      <c r="DI222" s="421">
        <v>0</v>
      </c>
      <c r="DJ222" s="421">
        <v>0</v>
      </c>
      <c r="DK222" s="421">
        <v>0</v>
      </c>
      <c r="DL222" s="421">
        <v>0</v>
      </c>
      <c r="DM222" s="421">
        <v>0</v>
      </c>
      <c r="DN222" s="421">
        <v>0</v>
      </c>
      <c r="DO222" s="421">
        <v>0</v>
      </c>
      <c r="DP222" s="421">
        <v>0</v>
      </c>
      <c r="DQ222" s="421">
        <v>0</v>
      </c>
      <c r="DR222" s="421">
        <v>0</v>
      </c>
      <c r="DS222" s="421">
        <v>0</v>
      </c>
      <c r="DT222" s="421">
        <v>0</v>
      </c>
      <c r="DU222" s="421">
        <v>0</v>
      </c>
      <c r="DV222" s="421">
        <v>0</v>
      </c>
      <c r="DW222" s="421">
        <v>0</v>
      </c>
      <c r="DX222" s="421">
        <v>0</v>
      </c>
      <c r="DY222" s="421">
        <v>12135000</v>
      </c>
      <c r="DZ222" s="421">
        <v>12135000</v>
      </c>
      <c r="EA222" s="421">
        <v>0</v>
      </c>
      <c r="EB222" s="421">
        <v>0</v>
      </c>
      <c r="EC222" s="421" t="s">
        <v>1148</v>
      </c>
      <c r="ED222" s="421" t="s">
        <v>1167</v>
      </c>
      <c r="EE222" s="421" t="s">
        <v>1167</v>
      </c>
    </row>
    <row r="223" spans="1:135" x14ac:dyDescent="0.25">
      <c r="A223" s="421">
        <v>220</v>
      </c>
      <c r="B223" s="421">
        <v>2015</v>
      </c>
      <c r="C223" s="421">
        <v>10</v>
      </c>
      <c r="D223" s="421">
        <v>2</v>
      </c>
      <c r="E223" s="424">
        <v>42279</v>
      </c>
      <c r="F223" s="421" t="s">
        <v>2741</v>
      </c>
      <c r="G223" s="421" t="s">
        <v>2742</v>
      </c>
      <c r="H223" s="421" t="s">
        <v>1106</v>
      </c>
      <c r="I223" s="421" t="s">
        <v>2615</v>
      </c>
      <c r="J223" s="421" t="s">
        <v>1108</v>
      </c>
      <c r="K223" s="421" t="s">
        <v>1109</v>
      </c>
      <c r="L223" s="421" t="s">
        <v>1110</v>
      </c>
      <c r="O223" s="421" t="s">
        <v>1111</v>
      </c>
      <c r="R223" s="421" t="s">
        <v>1111</v>
      </c>
      <c r="S223" s="421" t="s">
        <v>1112</v>
      </c>
      <c r="T223" s="421" t="s">
        <v>1113</v>
      </c>
      <c r="U223" s="421" t="s">
        <v>1114</v>
      </c>
      <c r="V223" s="421" t="s">
        <v>1115</v>
      </c>
      <c r="W223" s="421" t="s">
        <v>1116</v>
      </c>
      <c r="X223" s="421" t="s">
        <v>1117</v>
      </c>
      <c r="Y223" s="421" t="s">
        <v>1118</v>
      </c>
      <c r="Z223" s="421" t="s">
        <v>1119</v>
      </c>
      <c r="AA223" s="421" t="s">
        <v>1120</v>
      </c>
      <c r="AB223" s="421" t="s">
        <v>1121</v>
      </c>
      <c r="AC223" s="421" t="s">
        <v>1122</v>
      </c>
      <c r="AD223" s="421" t="s">
        <v>1479</v>
      </c>
      <c r="AE223" s="421" t="s">
        <v>1471</v>
      </c>
      <c r="AF223" s="421" t="s">
        <v>1472</v>
      </c>
      <c r="AG223" s="421" t="s">
        <v>2743</v>
      </c>
      <c r="AH223" s="421">
        <v>9432</v>
      </c>
      <c r="AI223" s="421" t="s">
        <v>1189</v>
      </c>
      <c r="AJ223" s="421">
        <v>229</v>
      </c>
      <c r="AK223" s="421">
        <v>1</v>
      </c>
      <c r="AL223" s="421" t="s">
        <v>1173</v>
      </c>
      <c r="AM223" s="421">
        <v>181</v>
      </c>
      <c r="AN223" s="421">
        <v>229</v>
      </c>
      <c r="AO223" s="421" t="s">
        <v>1120</v>
      </c>
      <c r="AP223" s="421" t="s">
        <v>2738</v>
      </c>
      <c r="AQ223" s="421" t="s">
        <v>1475</v>
      </c>
      <c r="AR223" s="421" t="s">
        <v>1476</v>
      </c>
      <c r="AT223" s="421" t="s">
        <v>1131</v>
      </c>
      <c r="AU223" s="421" t="s">
        <v>1303</v>
      </c>
      <c r="AV223" s="421" t="s">
        <v>1304</v>
      </c>
      <c r="AW223" s="421" t="s">
        <v>960</v>
      </c>
      <c r="AX223" s="421" t="s">
        <v>960</v>
      </c>
      <c r="AY223" s="421" t="s">
        <v>960</v>
      </c>
      <c r="AZ223" s="421" t="s">
        <v>1121</v>
      </c>
      <c r="BA223" s="421" t="s">
        <v>2617</v>
      </c>
      <c r="BB223" s="421" t="s">
        <v>960</v>
      </c>
      <c r="BC223" s="421" t="s">
        <v>1253</v>
      </c>
      <c r="BD223" s="421" t="s">
        <v>2618</v>
      </c>
      <c r="BE223" s="421" t="s">
        <v>2619</v>
      </c>
      <c r="BF223" s="421" t="s">
        <v>2587</v>
      </c>
      <c r="BG223" s="421" t="s">
        <v>2454</v>
      </c>
      <c r="BH223" s="421" t="s">
        <v>2620</v>
      </c>
      <c r="BI223" s="421" t="s">
        <v>1142</v>
      </c>
      <c r="BJ223" s="421" t="s">
        <v>2704</v>
      </c>
      <c r="BK223" s="421" t="s">
        <v>2742</v>
      </c>
      <c r="BL223" s="421" t="s">
        <v>2740</v>
      </c>
      <c r="BM223" s="421" t="s">
        <v>2622</v>
      </c>
      <c r="BN223" s="421" t="s">
        <v>2623</v>
      </c>
      <c r="BO223" s="421">
        <v>0</v>
      </c>
      <c r="BR223" s="421">
        <v>0</v>
      </c>
      <c r="BS223" s="421">
        <v>0</v>
      </c>
      <c r="BT223" s="421">
        <v>0</v>
      </c>
      <c r="BU223" s="424">
        <v>42210</v>
      </c>
      <c r="BX223" s="421">
        <v>3135.17</v>
      </c>
      <c r="BY223" s="421" t="s">
        <v>1166</v>
      </c>
      <c r="BZ223" s="421">
        <v>3303.6</v>
      </c>
      <c r="CA223" s="421">
        <v>10357347.612</v>
      </c>
      <c r="CB223" s="421">
        <v>1.32</v>
      </c>
      <c r="CC223" s="421">
        <v>0</v>
      </c>
      <c r="CD223" s="421">
        <v>301.54000000000002</v>
      </c>
      <c r="CE223" s="421">
        <v>302.86</v>
      </c>
      <c r="CF223" s="421">
        <v>0</v>
      </c>
      <c r="CG223" s="421">
        <v>3606.46</v>
      </c>
      <c r="CH223" s="421">
        <v>0</v>
      </c>
      <c r="CI223" s="421">
        <v>3606.46</v>
      </c>
      <c r="CJ223" s="421">
        <v>11306865.1982</v>
      </c>
      <c r="CK223" s="421">
        <v>15</v>
      </c>
      <c r="CL223" s="421">
        <v>11306865</v>
      </c>
      <c r="CM223" s="421">
        <v>1696000</v>
      </c>
      <c r="CN223" s="421">
        <v>1696000</v>
      </c>
      <c r="CO223" s="421">
        <v>0</v>
      </c>
      <c r="CP223" s="421">
        <v>0</v>
      </c>
      <c r="CQ223" s="421">
        <v>16</v>
      </c>
      <c r="CR223" s="421">
        <v>13002865</v>
      </c>
      <c r="CS223" s="421">
        <v>2080000</v>
      </c>
      <c r="CT223" s="421">
        <v>2080000</v>
      </c>
      <c r="CU223" s="421">
        <v>0</v>
      </c>
      <c r="CV223" s="421">
        <v>0</v>
      </c>
      <c r="CW223" s="421">
        <v>0</v>
      </c>
      <c r="CX223" s="421">
        <v>0</v>
      </c>
      <c r="CY223" s="421">
        <v>0</v>
      </c>
      <c r="CZ223" s="421">
        <v>0</v>
      </c>
      <c r="DA223" s="421">
        <v>0</v>
      </c>
      <c r="DB223" s="421">
        <v>0</v>
      </c>
      <c r="DC223" s="421">
        <v>0</v>
      </c>
      <c r="DD223" s="421">
        <v>0</v>
      </c>
      <c r="DE223" s="421">
        <v>0</v>
      </c>
      <c r="DF223" s="421">
        <v>0</v>
      </c>
      <c r="DG223" s="421">
        <v>0</v>
      </c>
      <c r="DH223" s="421">
        <v>0</v>
      </c>
      <c r="DI223" s="421">
        <v>0</v>
      </c>
      <c r="DJ223" s="421">
        <v>0</v>
      </c>
      <c r="DK223" s="421">
        <v>0</v>
      </c>
      <c r="DL223" s="421">
        <v>0</v>
      </c>
      <c r="DM223" s="421">
        <v>0</v>
      </c>
      <c r="DN223" s="421">
        <v>0</v>
      </c>
      <c r="DO223" s="421">
        <v>0</v>
      </c>
      <c r="DP223" s="421">
        <v>0</v>
      </c>
      <c r="DQ223" s="421">
        <v>0</v>
      </c>
      <c r="DR223" s="421">
        <v>0</v>
      </c>
      <c r="DS223" s="421">
        <v>0</v>
      </c>
      <c r="DT223" s="421">
        <v>0</v>
      </c>
      <c r="DU223" s="421">
        <v>0</v>
      </c>
      <c r="DV223" s="421">
        <v>0</v>
      </c>
      <c r="DW223" s="421">
        <v>0</v>
      </c>
      <c r="DX223" s="421">
        <v>0</v>
      </c>
      <c r="DY223" s="421">
        <v>3776000</v>
      </c>
      <c r="DZ223" s="421">
        <v>3776000</v>
      </c>
      <c r="EA223" s="421">
        <v>0</v>
      </c>
      <c r="EB223" s="421">
        <v>0</v>
      </c>
      <c r="EC223" s="421" t="s">
        <v>1148</v>
      </c>
      <c r="ED223" s="421" t="s">
        <v>1167</v>
      </c>
      <c r="EE223" s="421" t="s">
        <v>1167</v>
      </c>
    </row>
    <row r="224" spans="1:135" x14ac:dyDescent="0.25">
      <c r="A224" s="421">
        <v>221</v>
      </c>
      <c r="B224" s="421">
        <v>2015</v>
      </c>
      <c r="C224" s="421">
        <v>10</v>
      </c>
      <c r="D224" s="421">
        <v>5</v>
      </c>
      <c r="E224" s="424">
        <v>42282</v>
      </c>
      <c r="F224" s="421" t="s">
        <v>2744</v>
      </c>
      <c r="G224" s="421" t="s">
        <v>2745</v>
      </c>
      <c r="H224" s="421" t="s">
        <v>1152</v>
      </c>
      <c r="I224" s="421" t="s">
        <v>1107</v>
      </c>
      <c r="J224" s="421" t="s">
        <v>1108</v>
      </c>
      <c r="K224" s="421" t="s">
        <v>1109</v>
      </c>
      <c r="L224" s="421" t="s">
        <v>1110</v>
      </c>
      <c r="O224" s="421" t="s">
        <v>1111</v>
      </c>
      <c r="R224" s="421" t="s">
        <v>1111</v>
      </c>
      <c r="S224" s="421" t="s">
        <v>1112</v>
      </c>
      <c r="T224" s="421" t="s">
        <v>1113</v>
      </c>
      <c r="U224" s="421" t="s">
        <v>1114</v>
      </c>
      <c r="V224" s="421" t="s">
        <v>1115</v>
      </c>
      <c r="W224" s="421" t="s">
        <v>1116</v>
      </c>
      <c r="X224" s="421" t="s">
        <v>1117</v>
      </c>
      <c r="Y224" s="421" t="s">
        <v>1118</v>
      </c>
      <c r="Z224" s="421" t="s">
        <v>1119</v>
      </c>
      <c r="AA224" s="421" t="s">
        <v>1120</v>
      </c>
      <c r="AB224" s="421" t="s">
        <v>1121</v>
      </c>
      <c r="AC224" s="421" t="s">
        <v>1122</v>
      </c>
      <c r="AD224" s="421" t="s">
        <v>1479</v>
      </c>
      <c r="AE224" s="421" t="s">
        <v>1170</v>
      </c>
      <c r="AF224" s="421" t="s">
        <v>1171</v>
      </c>
      <c r="AG224" s="421" t="s">
        <v>2746</v>
      </c>
      <c r="AH224" s="421">
        <v>3782.3</v>
      </c>
      <c r="AI224" s="421" t="s">
        <v>1127</v>
      </c>
      <c r="AJ224" s="421">
        <v>401</v>
      </c>
      <c r="AK224" s="421">
        <v>1</v>
      </c>
      <c r="AL224" s="421" t="s">
        <v>1173</v>
      </c>
      <c r="AM224" s="421">
        <v>3782.3</v>
      </c>
      <c r="AN224" s="421">
        <v>4814.33</v>
      </c>
      <c r="AO224" s="421" t="s">
        <v>1120</v>
      </c>
      <c r="AP224" s="421" t="s">
        <v>1129</v>
      </c>
      <c r="AR224" s="421" t="s">
        <v>1130</v>
      </c>
      <c r="AT224" s="421" t="s">
        <v>1131</v>
      </c>
      <c r="AU224" s="421" t="s">
        <v>1190</v>
      </c>
      <c r="AV224" s="421" t="s">
        <v>1191</v>
      </c>
      <c r="AW224" s="421" t="s">
        <v>960</v>
      </c>
      <c r="AX224" s="421" t="s">
        <v>960</v>
      </c>
      <c r="AY224" s="421" t="s">
        <v>960</v>
      </c>
      <c r="AZ224" s="421" t="s">
        <v>1121</v>
      </c>
      <c r="BA224" s="421" t="s">
        <v>1174</v>
      </c>
      <c r="BB224" s="421" t="s">
        <v>960</v>
      </c>
      <c r="BC224" s="421" t="s">
        <v>1175</v>
      </c>
      <c r="BD224" s="421" t="s">
        <v>1176</v>
      </c>
      <c r="BE224" s="421" t="s">
        <v>1177</v>
      </c>
      <c r="BF224" s="421" t="s">
        <v>2747</v>
      </c>
      <c r="BG224" s="421" t="s">
        <v>2720</v>
      </c>
      <c r="BH224" s="421" t="s">
        <v>2748</v>
      </c>
      <c r="BI224" s="421" t="s">
        <v>1142</v>
      </c>
      <c r="BJ224" s="421" t="s">
        <v>1243</v>
      </c>
      <c r="BK224" s="421" t="s">
        <v>2745</v>
      </c>
      <c r="BL224" s="421" t="s">
        <v>2749</v>
      </c>
      <c r="BM224" s="421" t="s">
        <v>2750</v>
      </c>
      <c r="BN224" s="421" t="s">
        <v>2406</v>
      </c>
      <c r="BO224" s="421">
        <v>0</v>
      </c>
      <c r="BR224" s="421">
        <v>0</v>
      </c>
      <c r="BS224" s="421">
        <v>0</v>
      </c>
      <c r="BT224" s="421">
        <v>0</v>
      </c>
      <c r="BU224" s="424">
        <v>42236</v>
      </c>
      <c r="BX224" s="421">
        <v>3061.85</v>
      </c>
      <c r="BY224" s="421" t="s">
        <v>1183</v>
      </c>
      <c r="BZ224" s="421">
        <v>22974.89</v>
      </c>
      <c r="CA224" s="421">
        <v>70345666.946500003</v>
      </c>
      <c r="CB224" s="421">
        <v>9.18</v>
      </c>
      <c r="CC224" s="421">
        <v>0</v>
      </c>
      <c r="CD224" s="421">
        <v>2149.21</v>
      </c>
      <c r="CE224" s="421">
        <v>2158.39</v>
      </c>
      <c r="CF224" s="421">
        <v>0</v>
      </c>
      <c r="CG224" s="421">
        <v>25133.279999999999</v>
      </c>
      <c r="CH224" s="421">
        <v>0</v>
      </c>
      <c r="CI224" s="421">
        <v>25133.279999999999</v>
      </c>
      <c r="CJ224" s="421">
        <v>76954333.368000001</v>
      </c>
      <c r="CK224" s="421">
        <v>15</v>
      </c>
      <c r="CL224" s="421">
        <v>76954333</v>
      </c>
      <c r="CM224" s="421">
        <v>11543000</v>
      </c>
      <c r="CN224" s="421">
        <v>11543000</v>
      </c>
      <c r="CO224" s="421">
        <v>0</v>
      </c>
      <c r="CP224" s="421">
        <v>0</v>
      </c>
      <c r="CQ224" s="421">
        <v>16</v>
      </c>
      <c r="CR224" s="421">
        <v>88497333</v>
      </c>
      <c r="CS224" s="421">
        <v>14160000</v>
      </c>
      <c r="CT224" s="421">
        <v>14160000</v>
      </c>
      <c r="CU224" s="421">
        <v>0</v>
      </c>
      <c r="CV224" s="421">
        <v>0</v>
      </c>
      <c r="CW224" s="421">
        <v>0</v>
      </c>
      <c r="CX224" s="421">
        <v>0</v>
      </c>
      <c r="CY224" s="421">
        <v>0</v>
      </c>
      <c r="CZ224" s="421">
        <v>0</v>
      </c>
      <c r="DA224" s="421">
        <v>0</v>
      </c>
      <c r="DB224" s="421">
        <v>0</v>
      </c>
      <c r="DC224" s="421">
        <v>0</v>
      </c>
      <c r="DD224" s="421">
        <v>0</v>
      </c>
      <c r="DE224" s="421">
        <v>0</v>
      </c>
      <c r="DF224" s="421">
        <v>0</v>
      </c>
      <c r="DG224" s="421">
        <v>0</v>
      </c>
      <c r="DH224" s="421">
        <v>0</v>
      </c>
      <c r="DI224" s="421">
        <v>0</v>
      </c>
      <c r="DJ224" s="421">
        <v>0</v>
      </c>
      <c r="DK224" s="421">
        <v>0</v>
      </c>
      <c r="DL224" s="421">
        <v>0</v>
      </c>
      <c r="DM224" s="421">
        <v>0</v>
      </c>
      <c r="DN224" s="421">
        <v>0</v>
      </c>
      <c r="DO224" s="421">
        <v>0</v>
      </c>
      <c r="DP224" s="421">
        <v>0</v>
      </c>
      <c r="DQ224" s="421">
        <v>0</v>
      </c>
      <c r="DR224" s="421">
        <v>0</v>
      </c>
      <c r="DS224" s="421">
        <v>0</v>
      </c>
      <c r="DT224" s="421">
        <v>0</v>
      </c>
      <c r="DU224" s="421">
        <v>0</v>
      </c>
      <c r="DV224" s="421">
        <v>0</v>
      </c>
      <c r="DW224" s="421">
        <v>0</v>
      </c>
      <c r="DX224" s="421">
        <v>0</v>
      </c>
      <c r="DY224" s="421">
        <v>25703000</v>
      </c>
      <c r="DZ224" s="421">
        <v>25703000</v>
      </c>
      <c r="EA224" s="421">
        <v>0</v>
      </c>
      <c r="EB224" s="421">
        <v>0</v>
      </c>
      <c r="EC224" s="421" t="s">
        <v>1148</v>
      </c>
      <c r="ED224" s="421" t="s">
        <v>1167</v>
      </c>
      <c r="EE224" s="421" t="s">
        <v>1167</v>
      </c>
    </row>
    <row r="225" spans="1:135" x14ac:dyDescent="0.25">
      <c r="A225" s="421">
        <v>222</v>
      </c>
      <c r="B225" s="421">
        <v>2015</v>
      </c>
      <c r="C225" s="421">
        <v>10</v>
      </c>
      <c r="D225" s="421">
        <v>5</v>
      </c>
      <c r="E225" s="424">
        <v>42282</v>
      </c>
      <c r="F225" s="421" t="s">
        <v>2751</v>
      </c>
      <c r="G225" s="421" t="s">
        <v>2752</v>
      </c>
      <c r="H225" s="421" t="s">
        <v>1152</v>
      </c>
      <c r="I225" s="421" t="s">
        <v>1107</v>
      </c>
      <c r="J225" s="421" t="s">
        <v>1108</v>
      </c>
      <c r="K225" s="421" t="s">
        <v>1109</v>
      </c>
      <c r="L225" s="421" t="s">
        <v>2565</v>
      </c>
      <c r="O225" s="421" t="s">
        <v>1111</v>
      </c>
      <c r="R225" s="421" t="s">
        <v>1111</v>
      </c>
      <c r="S225" s="421" t="s">
        <v>1112</v>
      </c>
      <c r="T225" s="421" t="s">
        <v>1113</v>
      </c>
      <c r="U225" s="421" t="s">
        <v>1114</v>
      </c>
      <c r="V225" s="421" t="s">
        <v>1115</v>
      </c>
      <c r="W225" s="421" t="s">
        <v>1116</v>
      </c>
      <c r="X225" s="421" t="s">
        <v>1117</v>
      </c>
      <c r="Y225" s="421" t="s">
        <v>1118</v>
      </c>
      <c r="Z225" s="421" t="s">
        <v>1119</v>
      </c>
      <c r="AA225" s="421" t="s">
        <v>1120</v>
      </c>
      <c r="AB225" s="421" t="s">
        <v>1121</v>
      </c>
      <c r="AC225" s="421" t="s">
        <v>1122</v>
      </c>
      <c r="AD225" s="421" t="s">
        <v>1479</v>
      </c>
      <c r="AE225" s="421" t="s">
        <v>1170</v>
      </c>
      <c r="AF225" s="421" t="s">
        <v>1171</v>
      </c>
      <c r="AG225" s="421" t="s">
        <v>2753</v>
      </c>
      <c r="AH225" s="421">
        <v>1.39</v>
      </c>
      <c r="AI225" s="421" t="s">
        <v>1127</v>
      </c>
      <c r="AJ225" s="421">
        <v>401</v>
      </c>
      <c r="AK225" s="421">
        <v>1</v>
      </c>
      <c r="AL225" s="421" t="s">
        <v>1173</v>
      </c>
      <c r="AM225" s="421">
        <v>1.39</v>
      </c>
      <c r="AN225" s="421">
        <v>1.77</v>
      </c>
      <c r="AO225" s="421" t="s">
        <v>1120</v>
      </c>
      <c r="AP225" s="421" t="s">
        <v>1129</v>
      </c>
      <c r="AR225" s="421" t="s">
        <v>1130</v>
      </c>
      <c r="AT225" s="421" t="s">
        <v>1131</v>
      </c>
      <c r="AU225" s="421" t="s">
        <v>1190</v>
      </c>
      <c r="AV225" s="421" t="s">
        <v>1191</v>
      </c>
      <c r="AW225" s="421" t="s">
        <v>960</v>
      </c>
      <c r="AX225" s="421" t="s">
        <v>960</v>
      </c>
      <c r="AY225" s="421" t="s">
        <v>960</v>
      </c>
      <c r="AZ225" s="421" t="s">
        <v>1121</v>
      </c>
      <c r="BA225" s="421" t="s">
        <v>1174</v>
      </c>
      <c r="BB225" s="421" t="s">
        <v>960</v>
      </c>
      <c r="BC225" s="421" t="s">
        <v>1175</v>
      </c>
      <c r="BD225" s="421" t="s">
        <v>1176</v>
      </c>
      <c r="BE225" s="421" t="s">
        <v>1177</v>
      </c>
      <c r="BF225" s="421" t="s">
        <v>2747</v>
      </c>
      <c r="BG225" s="421" t="s">
        <v>2720</v>
      </c>
      <c r="BH225" s="421" t="s">
        <v>2748</v>
      </c>
      <c r="BI225" s="421" t="s">
        <v>1142</v>
      </c>
      <c r="BJ225" s="421" t="s">
        <v>2754</v>
      </c>
      <c r="BK225" s="421" t="s">
        <v>2752</v>
      </c>
      <c r="BL225" s="421" t="s">
        <v>2749</v>
      </c>
      <c r="BM225" s="421" t="s">
        <v>2755</v>
      </c>
      <c r="BN225" s="421" t="s">
        <v>2406</v>
      </c>
      <c r="BO225" s="421">
        <v>0</v>
      </c>
      <c r="BR225" s="421">
        <v>0</v>
      </c>
      <c r="BS225" s="421">
        <v>0</v>
      </c>
      <c r="BT225" s="421">
        <v>0</v>
      </c>
      <c r="BU225" s="424">
        <v>42236</v>
      </c>
      <c r="BX225" s="421">
        <v>3061.85</v>
      </c>
      <c r="BY225" s="421" t="s">
        <v>2578</v>
      </c>
      <c r="BZ225" s="421">
        <v>4.3099999999999996</v>
      </c>
      <c r="CA225" s="421">
        <v>13196.5735</v>
      </c>
      <c r="CB225" s="421">
        <v>0.01</v>
      </c>
      <c r="CC225" s="421">
        <v>0</v>
      </c>
      <c r="CD225" s="421">
        <v>0.79</v>
      </c>
      <c r="CE225" s="421">
        <v>0.8</v>
      </c>
      <c r="CF225" s="421">
        <v>0</v>
      </c>
      <c r="CG225" s="421">
        <v>5.1100000000000003</v>
      </c>
      <c r="CH225" s="421">
        <v>0</v>
      </c>
      <c r="CI225" s="421">
        <v>5.1100000000000003</v>
      </c>
      <c r="CJ225" s="421">
        <v>15646.0535</v>
      </c>
      <c r="CK225" s="421">
        <v>15</v>
      </c>
      <c r="CL225" s="421">
        <v>15646</v>
      </c>
      <c r="CM225" s="421">
        <v>2000</v>
      </c>
      <c r="CN225" s="421">
        <v>2000</v>
      </c>
      <c r="CO225" s="421">
        <v>0</v>
      </c>
      <c r="CP225" s="421">
        <v>0</v>
      </c>
      <c r="CQ225" s="421">
        <v>16</v>
      </c>
      <c r="CR225" s="421">
        <v>17646</v>
      </c>
      <c r="CS225" s="421">
        <v>3000</v>
      </c>
      <c r="CT225" s="421">
        <v>3000</v>
      </c>
      <c r="CU225" s="421">
        <v>0</v>
      </c>
      <c r="CV225" s="421">
        <v>0</v>
      </c>
      <c r="CW225" s="421">
        <v>0</v>
      </c>
      <c r="CX225" s="421">
        <v>0</v>
      </c>
      <c r="CY225" s="421">
        <v>0</v>
      </c>
      <c r="CZ225" s="421">
        <v>0</v>
      </c>
      <c r="DA225" s="421">
        <v>0</v>
      </c>
      <c r="DB225" s="421">
        <v>0</v>
      </c>
      <c r="DC225" s="421">
        <v>0</v>
      </c>
      <c r="DD225" s="421">
        <v>0</v>
      </c>
      <c r="DE225" s="421">
        <v>0</v>
      </c>
      <c r="DF225" s="421">
        <v>0</v>
      </c>
      <c r="DG225" s="421">
        <v>0</v>
      </c>
      <c r="DH225" s="421">
        <v>0</v>
      </c>
      <c r="DI225" s="421">
        <v>0</v>
      </c>
      <c r="DJ225" s="421">
        <v>0</v>
      </c>
      <c r="DK225" s="421">
        <v>0</v>
      </c>
      <c r="DL225" s="421">
        <v>0</v>
      </c>
      <c r="DM225" s="421">
        <v>0</v>
      </c>
      <c r="DN225" s="421">
        <v>0</v>
      </c>
      <c r="DO225" s="421">
        <v>0</v>
      </c>
      <c r="DP225" s="421">
        <v>0</v>
      </c>
      <c r="DQ225" s="421">
        <v>0</v>
      </c>
      <c r="DR225" s="421">
        <v>0</v>
      </c>
      <c r="DS225" s="421">
        <v>0</v>
      </c>
      <c r="DT225" s="421">
        <v>0</v>
      </c>
      <c r="DU225" s="421">
        <v>0</v>
      </c>
      <c r="DV225" s="421">
        <v>0</v>
      </c>
      <c r="DW225" s="421">
        <v>0</v>
      </c>
      <c r="DX225" s="421">
        <v>0</v>
      </c>
      <c r="DY225" s="421">
        <v>5000</v>
      </c>
      <c r="DZ225" s="421">
        <v>5000</v>
      </c>
      <c r="EA225" s="421">
        <v>0</v>
      </c>
      <c r="EB225" s="421">
        <v>0</v>
      </c>
      <c r="EC225" s="421" t="s">
        <v>1148</v>
      </c>
      <c r="ED225" s="421" t="s">
        <v>1167</v>
      </c>
      <c r="EE225" s="421" t="s">
        <v>1167</v>
      </c>
    </row>
    <row r="226" spans="1:135" x14ac:dyDescent="0.25">
      <c r="A226" s="421">
        <v>223</v>
      </c>
      <c r="B226" s="421">
        <v>2015</v>
      </c>
      <c r="C226" s="421">
        <v>10</v>
      </c>
      <c r="D226" s="421">
        <v>6</v>
      </c>
      <c r="E226" s="424">
        <v>42283</v>
      </c>
      <c r="F226" s="421" t="s">
        <v>2756</v>
      </c>
      <c r="G226" s="421" t="s">
        <v>2757</v>
      </c>
      <c r="H226" s="421" t="s">
        <v>1152</v>
      </c>
      <c r="I226" s="421" t="s">
        <v>1107</v>
      </c>
      <c r="J226" s="421" t="s">
        <v>1108</v>
      </c>
      <c r="K226" s="421" t="s">
        <v>1109</v>
      </c>
      <c r="L226" s="421" t="s">
        <v>1110</v>
      </c>
      <c r="O226" s="421" t="s">
        <v>1111</v>
      </c>
      <c r="R226" s="421" t="s">
        <v>1111</v>
      </c>
      <c r="S226" s="421" t="s">
        <v>1112</v>
      </c>
      <c r="T226" s="421" t="s">
        <v>1113</v>
      </c>
      <c r="U226" s="421" t="s">
        <v>1114</v>
      </c>
      <c r="V226" s="421" t="s">
        <v>1115</v>
      </c>
      <c r="W226" s="421" t="s">
        <v>1116</v>
      </c>
      <c r="X226" s="421" t="s">
        <v>1117</v>
      </c>
      <c r="Y226" s="421" t="s">
        <v>1118</v>
      </c>
      <c r="Z226" s="421" t="s">
        <v>1119</v>
      </c>
      <c r="AA226" s="421" t="s">
        <v>1120</v>
      </c>
      <c r="AB226" s="421" t="s">
        <v>1121</v>
      </c>
      <c r="AC226" s="421" t="s">
        <v>1122</v>
      </c>
      <c r="AD226" s="421" t="s">
        <v>1479</v>
      </c>
      <c r="AE226" s="421" t="s">
        <v>1233</v>
      </c>
      <c r="AF226" s="421" t="s">
        <v>1234</v>
      </c>
      <c r="AG226" s="421" t="s">
        <v>2758</v>
      </c>
      <c r="AH226" s="421">
        <v>115332</v>
      </c>
      <c r="AI226" s="421" t="s">
        <v>1189</v>
      </c>
      <c r="AJ226" s="421">
        <v>1089</v>
      </c>
      <c r="AK226" s="421">
        <v>1</v>
      </c>
      <c r="AL226" s="421" t="s">
        <v>1173</v>
      </c>
      <c r="AM226" s="421">
        <v>10525.96</v>
      </c>
      <c r="AN226" s="421">
        <v>10803.72</v>
      </c>
      <c r="AO226" s="421" t="s">
        <v>1120</v>
      </c>
      <c r="AP226" s="421" t="s">
        <v>1129</v>
      </c>
      <c r="AR226" s="421" t="s">
        <v>1130</v>
      </c>
      <c r="AT226" s="421" t="s">
        <v>1131</v>
      </c>
      <c r="AU226" s="421" t="s">
        <v>1190</v>
      </c>
      <c r="AV226" s="421" t="s">
        <v>1191</v>
      </c>
      <c r="AW226" s="421" t="s">
        <v>960</v>
      </c>
      <c r="AX226" s="421" t="s">
        <v>960</v>
      </c>
      <c r="AY226" s="421" t="s">
        <v>960</v>
      </c>
      <c r="AZ226" s="421" t="s">
        <v>1121</v>
      </c>
      <c r="BA226" s="421" t="s">
        <v>1236</v>
      </c>
      <c r="BB226" s="421" t="s">
        <v>960</v>
      </c>
      <c r="BC226" s="421" t="s">
        <v>1237</v>
      </c>
      <c r="BD226" s="421" t="s">
        <v>1238</v>
      </c>
      <c r="BE226" s="421" t="s">
        <v>1239</v>
      </c>
      <c r="BF226" s="421" t="s">
        <v>2747</v>
      </c>
      <c r="BG226" s="421" t="s">
        <v>2720</v>
      </c>
      <c r="BH226" s="421" t="s">
        <v>2759</v>
      </c>
      <c r="BI226" s="421" t="s">
        <v>1142</v>
      </c>
      <c r="BJ226" s="421" t="s">
        <v>2760</v>
      </c>
      <c r="BK226" s="421" t="s">
        <v>2757</v>
      </c>
      <c r="BL226" s="421" t="s">
        <v>2761</v>
      </c>
      <c r="BM226" s="421" t="s">
        <v>2762</v>
      </c>
      <c r="BN226" s="421" t="s">
        <v>2100</v>
      </c>
      <c r="BO226" s="421">
        <v>0</v>
      </c>
      <c r="BR226" s="421">
        <v>0</v>
      </c>
      <c r="BS226" s="421">
        <v>0</v>
      </c>
      <c r="BT226" s="421">
        <v>0</v>
      </c>
      <c r="BU226" s="424">
        <v>42237</v>
      </c>
      <c r="BX226" s="421">
        <v>3061.85</v>
      </c>
      <c r="BY226" s="421" t="s">
        <v>1166</v>
      </c>
      <c r="BZ226" s="421">
        <v>36754.199999999997</v>
      </c>
      <c r="CA226" s="421">
        <v>112535847.27</v>
      </c>
      <c r="CB226" s="421">
        <v>14.7</v>
      </c>
      <c r="CC226" s="421">
        <v>0</v>
      </c>
      <c r="CD226" s="421">
        <v>2353.3200000000002</v>
      </c>
      <c r="CE226" s="421">
        <v>2368.02</v>
      </c>
      <c r="CF226" s="421">
        <v>0</v>
      </c>
      <c r="CG226" s="421">
        <v>39122.22</v>
      </c>
      <c r="CH226" s="421">
        <v>0</v>
      </c>
      <c r="CI226" s="421">
        <v>39122.22</v>
      </c>
      <c r="CJ226" s="421">
        <v>119786369.307</v>
      </c>
      <c r="CK226" s="421">
        <v>15</v>
      </c>
      <c r="CL226" s="421">
        <v>119786369</v>
      </c>
      <c r="CM226" s="421">
        <v>17968000</v>
      </c>
      <c r="CN226" s="421">
        <v>17968000</v>
      </c>
      <c r="CO226" s="421">
        <v>0</v>
      </c>
      <c r="CP226" s="421">
        <v>0</v>
      </c>
      <c r="CQ226" s="421">
        <v>16</v>
      </c>
      <c r="CR226" s="421">
        <v>137754369</v>
      </c>
      <c r="CS226" s="421">
        <v>22041000</v>
      </c>
      <c r="CT226" s="421">
        <v>22041000</v>
      </c>
      <c r="CU226" s="421">
        <v>0</v>
      </c>
      <c r="CV226" s="421">
        <v>0</v>
      </c>
      <c r="CW226" s="421">
        <v>0</v>
      </c>
      <c r="CX226" s="421">
        <v>0</v>
      </c>
      <c r="CY226" s="421">
        <v>0</v>
      </c>
      <c r="CZ226" s="421">
        <v>0</v>
      </c>
      <c r="DA226" s="421">
        <v>0</v>
      </c>
      <c r="DB226" s="421">
        <v>0</v>
      </c>
      <c r="DC226" s="421">
        <v>0</v>
      </c>
      <c r="DD226" s="421">
        <v>0</v>
      </c>
      <c r="DE226" s="421">
        <v>0</v>
      </c>
      <c r="DF226" s="421">
        <v>0</v>
      </c>
      <c r="DG226" s="421">
        <v>0</v>
      </c>
      <c r="DH226" s="421">
        <v>0</v>
      </c>
      <c r="DI226" s="421">
        <v>0</v>
      </c>
      <c r="DJ226" s="421">
        <v>0</v>
      </c>
      <c r="DK226" s="421">
        <v>0</v>
      </c>
      <c r="DL226" s="421">
        <v>0</v>
      </c>
      <c r="DM226" s="421">
        <v>0</v>
      </c>
      <c r="DN226" s="421">
        <v>0</v>
      </c>
      <c r="DO226" s="421">
        <v>0</v>
      </c>
      <c r="DP226" s="421">
        <v>0</v>
      </c>
      <c r="DQ226" s="421">
        <v>0</v>
      </c>
      <c r="DR226" s="421">
        <v>0</v>
      </c>
      <c r="DS226" s="421">
        <v>0</v>
      </c>
      <c r="DT226" s="421">
        <v>0</v>
      </c>
      <c r="DU226" s="421">
        <v>0</v>
      </c>
      <c r="DV226" s="421">
        <v>0</v>
      </c>
      <c r="DW226" s="421">
        <v>0</v>
      </c>
      <c r="DX226" s="421">
        <v>0</v>
      </c>
      <c r="DY226" s="421">
        <v>40009000</v>
      </c>
      <c r="DZ226" s="421">
        <v>40009000</v>
      </c>
      <c r="EA226" s="421">
        <v>0</v>
      </c>
      <c r="EB226" s="421">
        <v>0</v>
      </c>
      <c r="EC226" s="421" t="s">
        <v>1148</v>
      </c>
      <c r="ED226" s="421" t="s">
        <v>1167</v>
      </c>
      <c r="EE226" s="421" t="s">
        <v>1167</v>
      </c>
    </row>
    <row r="227" spans="1:135" x14ac:dyDescent="0.25">
      <c r="A227" s="421">
        <v>224</v>
      </c>
      <c r="B227" s="421">
        <v>2015</v>
      </c>
      <c r="C227" s="421">
        <v>10</v>
      </c>
      <c r="D227" s="421">
        <v>6</v>
      </c>
      <c r="E227" s="424">
        <v>42283</v>
      </c>
      <c r="F227" s="421" t="s">
        <v>2763</v>
      </c>
      <c r="G227" s="421" t="s">
        <v>2764</v>
      </c>
      <c r="H227" s="421" t="s">
        <v>1152</v>
      </c>
      <c r="I227" s="421" t="s">
        <v>1107</v>
      </c>
      <c r="J227" s="421" t="s">
        <v>1108</v>
      </c>
      <c r="K227" s="421" t="s">
        <v>1109</v>
      </c>
      <c r="L227" s="421" t="s">
        <v>2565</v>
      </c>
      <c r="O227" s="421" t="s">
        <v>1111</v>
      </c>
      <c r="R227" s="421" t="s">
        <v>1111</v>
      </c>
      <c r="S227" s="421" t="s">
        <v>1112</v>
      </c>
      <c r="T227" s="421" t="s">
        <v>1113</v>
      </c>
      <c r="U227" s="421" t="s">
        <v>1114</v>
      </c>
      <c r="V227" s="421" t="s">
        <v>1115</v>
      </c>
      <c r="W227" s="421" t="s">
        <v>1116</v>
      </c>
      <c r="X227" s="421" t="s">
        <v>1117</v>
      </c>
      <c r="Y227" s="421" t="s">
        <v>1118</v>
      </c>
      <c r="Z227" s="421" t="s">
        <v>1119</v>
      </c>
      <c r="AA227" s="421" t="s">
        <v>1120</v>
      </c>
      <c r="AB227" s="421" t="s">
        <v>1121</v>
      </c>
      <c r="AC227" s="421" t="s">
        <v>1122</v>
      </c>
      <c r="AD227" s="421" t="s">
        <v>1479</v>
      </c>
      <c r="AE227" s="421" t="s">
        <v>1233</v>
      </c>
      <c r="AF227" s="421" t="s">
        <v>1234</v>
      </c>
      <c r="AG227" s="421" t="s">
        <v>2765</v>
      </c>
      <c r="AH227" s="421">
        <v>2040</v>
      </c>
      <c r="AI227" s="421" t="s">
        <v>1189</v>
      </c>
      <c r="AJ227" s="421">
        <v>1089</v>
      </c>
      <c r="AK227" s="421">
        <v>1</v>
      </c>
      <c r="AL227" s="421" t="s">
        <v>1173</v>
      </c>
      <c r="AM227" s="421">
        <v>201.96</v>
      </c>
      <c r="AN227" s="421">
        <v>214.32</v>
      </c>
      <c r="AO227" s="421" t="s">
        <v>1120</v>
      </c>
      <c r="AP227" s="421" t="s">
        <v>1129</v>
      </c>
      <c r="AR227" s="421" t="s">
        <v>1130</v>
      </c>
      <c r="AT227" s="421" t="s">
        <v>1131</v>
      </c>
      <c r="AU227" s="421" t="s">
        <v>1190</v>
      </c>
      <c r="AV227" s="421" t="s">
        <v>1191</v>
      </c>
      <c r="AW227" s="421" t="s">
        <v>960</v>
      </c>
      <c r="AX227" s="421" t="s">
        <v>960</v>
      </c>
      <c r="AY227" s="421" t="s">
        <v>960</v>
      </c>
      <c r="AZ227" s="421" t="s">
        <v>1121</v>
      </c>
      <c r="BA227" s="421" t="s">
        <v>1236</v>
      </c>
      <c r="BB227" s="421" t="s">
        <v>960</v>
      </c>
      <c r="BC227" s="421" t="s">
        <v>1237</v>
      </c>
      <c r="BD227" s="421" t="s">
        <v>1238</v>
      </c>
      <c r="BE227" s="421" t="s">
        <v>1239</v>
      </c>
      <c r="BF227" s="421" t="s">
        <v>2747</v>
      </c>
      <c r="BG227" s="421" t="s">
        <v>2720</v>
      </c>
      <c r="BH227" s="421" t="s">
        <v>2759</v>
      </c>
      <c r="BI227" s="421" t="s">
        <v>1142</v>
      </c>
      <c r="BJ227" s="421" t="s">
        <v>2754</v>
      </c>
      <c r="BK227" s="421" t="s">
        <v>2764</v>
      </c>
      <c r="BL227" s="421" t="s">
        <v>2761</v>
      </c>
      <c r="BM227" s="421" t="s">
        <v>2766</v>
      </c>
      <c r="BN227" s="421" t="s">
        <v>2767</v>
      </c>
      <c r="BO227" s="421">
        <v>0</v>
      </c>
      <c r="BR227" s="421">
        <v>0</v>
      </c>
      <c r="BS227" s="421">
        <v>0</v>
      </c>
      <c r="BT227" s="421">
        <v>0</v>
      </c>
      <c r="BU227" s="424">
        <v>42237</v>
      </c>
      <c r="BX227" s="421">
        <v>3061.85</v>
      </c>
      <c r="BY227" s="421" t="s">
        <v>2578</v>
      </c>
      <c r="BZ227" s="421">
        <v>828.24</v>
      </c>
      <c r="CA227" s="421">
        <v>2535946.6439999999</v>
      </c>
      <c r="CB227" s="421">
        <v>0.33</v>
      </c>
      <c r="CC227" s="421">
        <v>0</v>
      </c>
      <c r="CD227" s="421">
        <v>46.68</v>
      </c>
      <c r="CE227" s="421">
        <v>47.01</v>
      </c>
      <c r="CF227" s="421">
        <v>0</v>
      </c>
      <c r="CG227" s="421">
        <v>875.25</v>
      </c>
      <c r="CH227" s="421">
        <v>0</v>
      </c>
      <c r="CI227" s="421">
        <v>875.25</v>
      </c>
      <c r="CJ227" s="421">
        <v>2679884.2124999999</v>
      </c>
      <c r="CK227" s="421">
        <v>15</v>
      </c>
      <c r="CL227" s="421">
        <v>2679884</v>
      </c>
      <c r="CM227" s="421">
        <v>402000</v>
      </c>
      <c r="CN227" s="421">
        <v>402000</v>
      </c>
      <c r="CO227" s="421">
        <v>0</v>
      </c>
      <c r="CP227" s="421">
        <v>0</v>
      </c>
      <c r="CQ227" s="421">
        <v>16</v>
      </c>
      <c r="CR227" s="421">
        <v>3081884</v>
      </c>
      <c r="CS227" s="421">
        <v>493000</v>
      </c>
      <c r="CT227" s="421">
        <v>493000</v>
      </c>
      <c r="CU227" s="421">
        <v>0</v>
      </c>
      <c r="CV227" s="421">
        <v>0</v>
      </c>
      <c r="CW227" s="421">
        <v>0</v>
      </c>
      <c r="CX227" s="421">
        <v>0</v>
      </c>
      <c r="CY227" s="421">
        <v>0</v>
      </c>
      <c r="CZ227" s="421">
        <v>0</v>
      </c>
      <c r="DA227" s="421">
        <v>0</v>
      </c>
      <c r="DB227" s="421">
        <v>0</v>
      </c>
      <c r="DC227" s="421">
        <v>0</v>
      </c>
      <c r="DD227" s="421">
        <v>0</v>
      </c>
      <c r="DE227" s="421">
        <v>0</v>
      </c>
      <c r="DF227" s="421">
        <v>0</v>
      </c>
      <c r="DG227" s="421">
        <v>0</v>
      </c>
      <c r="DH227" s="421">
        <v>0</v>
      </c>
      <c r="DI227" s="421">
        <v>0</v>
      </c>
      <c r="DJ227" s="421">
        <v>0</v>
      </c>
      <c r="DK227" s="421">
        <v>0</v>
      </c>
      <c r="DL227" s="421">
        <v>0</v>
      </c>
      <c r="DM227" s="421">
        <v>0</v>
      </c>
      <c r="DN227" s="421">
        <v>0</v>
      </c>
      <c r="DO227" s="421">
        <v>0</v>
      </c>
      <c r="DP227" s="421">
        <v>0</v>
      </c>
      <c r="DQ227" s="421">
        <v>0</v>
      </c>
      <c r="DR227" s="421">
        <v>0</v>
      </c>
      <c r="DS227" s="421">
        <v>0</v>
      </c>
      <c r="DT227" s="421">
        <v>0</v>
      </c>
      <c r="DU227" s="421">
        <v>0</v>
      </c>
      <c r="DV227" s="421">
        <v>0</v>
      </c>
      <c r="DW227" s="421">
        <v>0</v>
      </c>
      <c r="DX227" s="421">
        <v>0</v>
      </c>
      <c r="DY227" s="421">
        <v>895000</v>
      </c>
      <c r="DZ227" s="421">
        <v>895000</v>
      </c>
      <c r="EA227" s="421">
        <v>0</v>
      </c>
      <c r="EB227" s="421">
        <v>0</v>
      </c>
      <c r="EC227" s="421" t="s">
        <v>1148</v>
      </c>
      <c r="ED227" s="421" t="s">
        <v>1167</v>
      </c>
      <c r="EE227" s="421" t="s">
        <v>1167</v>
      </c>
    </row>
    <row r="228" spans="1:135" x14ac:dyDescent="0.25">
      <c r="A228" s="421">
        <v>225</v>
      </c>
      <c r="B228" s="421">
        <v>2015</v>
      </c>
      <c r="C228" s="421">
        <v>10</v>
      </c>
      <c r="D228" s="421">
        <v>7</v>
      </c>
      <c r="E228" s="424">
        <v>42284</v>
      </c>
      <c r="F228" s="421" t="s">
        <v>2768</v>
      </c>
      <c r="G228" s="421" t="s">
        <v>2769</v>
      </c>
      <c r="H228" s="421" t="s">
        <v>1106</v>
      </c>
      <c r="I228" s="421" t="s">
        <v>1107</v>
      </c>
      <c r="J228" s="421" t="s">
        <v>1108</v>
      </c>
      <c r="K228" s="421" t="s">
        <v>1109</v>
      </c>
      <c r="L228" s="421" t="s">
        <v>2565</v>
      </c>
      <c r="O228" s="421" t="s">
        <v>1111</v>
      </c>
      <c r="R228" s="421" t="s">
        <v>1111</v>
      </c>
      <c r="S228" s="421" t="s">
        <v>1112</v>
      </c>
      <c r="T228" s="421" t="s">
        <v>1113</v>
      </c>
      <c r="U228" s="421" t="s">
        <v>1114</v>
      </c>
      <c r="V228" s="421" t="s">
        <v>1115</v>
      </c>
      <c r="W228" s="421" t="s">
        <v>1116</v>
      </c>
      <c r="X228" s="421" t="s">
        <v>1117</v>
      </c>
      <c r="Y228" s="421" t="s">
        <v>1118</v>
      </c>
      <c r="Z228" s="421" t="s">
        <v>1119</v>
      </c>
      <c r="AA228" s="421" t="s">
        <v>1120</v>
      </c>
      <c r="AB228" s="421" t="s">
        <v>1121</v>
      </c>
      <c r="AC228" s="421" t="s">
        <v>1122</v>
      </c>
      <c r="AD228" s="421" t="s">
        <v>1479</v>
      </c>
      <c r="AE228" s="421" t="s">
        <v>1471</v>
      </c>
      <c r="AF228" s="421" t="s">
        <v>1472</v>
      </c>
      <c r="AG228" s="421" t="s">
        <v>2770</v>
      </c>
      <c r="AH228" s="421">
        <v>3888</v>
      </c>
      <c r="AI228" s="421" t="s">
        <v>1189</v>
      </c>
      <c r="AJ228" s="421">
        <v>107</v>
      </c>
      <c r="AK228" s="421">
        <v>1</v>
      </c>
      <c r="AL228" s="421" t="s">
        <v>1173</v>
      </c>
      <c r="AM228" s="421">
        <v>159.30000000000001</v>
      </c>
      <c r="AN228" s="421">
        <v>189</v>
      </c>
      <c r="AO228" s="421" t="s">
        <v>1120</v>
      </c>
      <c r="AP228" s="421" t="s">
        <v>2771</v>
      </c>
      <c r="AQ228" s="421" t="s">
        <v>1475</v>
      </c>
      <c r="AR228" s="421" t="s">
        <v>1476</v>
      </c>
      <c r="AT228" s="421" t="s">
        <v>1131</v>
      </c>
      <c r="AU228" s="421" t="s">
        <v>1303</v>
      </c>
      <c r="AV228" s="421" t="s">
        <v>1304</v>
      </c>
      <c r="AW228" s="421" t="s">
        <v>960</v>
      </c>
      <c r="AX228" s="421" t="s">
        <v>960</v>
      </c>
      <c r="AY228" s="421" t="s">
        <v>960</v>
      </c>
      <c r="AZ228" s="421" t="s">
        <v>1121</v>
      </c>
      <c r="BA228" s="421" t="s">
        <v>1305</v>
      </c>
      <c r="BB228" s="421" t="s">
        <v>960</v>
      </c>
      <c r="BC228" s="421" t="s">
        <v>1175</v>
      </c>
      <c r="BD228" s="421" t="s">
        <v>1306</v>
      </c>
      <c r="BE228" s="421" t="s">
        <v>2162</v>
      </c>
      <c r="BF228" s="421" t="s">
        <v>2587</v>
      </c>
      <c r="BG228" s="421" t="s">
        <v>2454</v>
      </c>
      <c r="BH228" s="421" t="s">
        <v>2588</v>
      </c>
      <c r="BI228" s="421" t="s">
        <v>1142</v>
      </c>
      <c r="BJ228" s="421" t="s">
        <v>1243</v>
      </c>
      <c r="BK228" s="421" t="s">
        <v>2769</v>
      </c>
      <c r="BL228" s="421" t="s">
        <v>2772</v>
      </c>
      <c r="BM228" s="421" t="s">
        <v>2773</v>
      </c>
      <c r="BN228" s="421" t="s">
        <v>2591</v>
      </c>
      <c r="BO228" s="421">
        <v>0</v>
      </c>
      <c r="BR228" s="421">
        <v>0</v>
      </c>
      <c r="BS228" s="421">
        <v>0</v>
      </c>
      <c r="BT228" s="421">
        <v>0</v>
      </c>
      <c r="BU228" s="424">
        <v>42208</v>
      </c>
      <c r="BX228" s="421">
        <v>3061.85</v>
      </c>
      <c r="BY228" s="421" t="s">
        <v>2578</v>
      </c>
      <c r="BZ228" s="421">
        <v>7776</v>
      </c>
      <c r="CA228" s="421">
        <v>23808945.600000001</v>
      </c>
      <c r="CB228" s="421">
        <v>2.79</v>
      </c>
      <c r="CC228" s="421">
        <v>0</v>
      </c>
      <c r="CD228" s="421">
        <v>53.51</v>
      </c>
      <c r="CE228" s="421">
        <v>56.3</v>
      </c>
      <c r="CF228" s="421">
        <v>0</v>
      </c>
      <c r="CG228" s="421">
        <v>7832.3</v>
      </c>
      <c r="CH228" s="421">
        <v>0</v>
      </c>
      <c r="CI228" s="421">
        <v>7832.3</v>
      </c>
      <c r="CJ228" s="421">
        <v>23981327.754999999</v>
      </c>
      <c r="CK228" s="421">
        <v>15</v>
      </c>
      <c r="CL228" s="421">
        <v>23981328</v>
      </c>
      <c r="CM228" s="421">
        <v>3597000</v>
      </c>
      <c r="CN228" s="421">
        <v>3597000</v>
      </c>
      <c r="CO228" s="421">
        <v>0</v>
      </c>
      <c r="CP228" s="421">
        <v>0</v>
      </c>
      <c r="CQ228" s="421">
        <v>16</v>
      </c>
      <c r="CR228" s="421">
        <v>27578328</v>
      </c>
      <c r="CS228" s="421">
        <v>4413000</v>
      </c>
      <c r="CT228" s="421">
        <v>4413000</v>
      </c>
      <c r="CU228" s="421">
        <v>0</v>
      </c>
      <c r="CV228" s="421">
        <v>0</v>
      </c>
      <c r="CW228" s="421">
        <v>0</v>
      </c>
      <c r="CX228" s="421">
        <v>0</v>
      </c>
      <c r="CY228" s="421">
        <v>0</v>
      </c>
      <c r="CZ228" s="421">
        <v>0</v>
      </c>
      <c r="DA228" s="421">
        <v>0</v>
      </c>
      <c r="DB228" s="421">
        <v>0</v>
      </c>
      <c r="DC228" s="421">
        <v>0</v>
      </c>
      <c r="DD228" s="421">
        <v>0</v>
      </c>
      <c r="DE228" s="421">
        <v>0</v>
      </c>
      <c r="DF228" s="421">
        <v>0</v>
      </c>
      <c r="DG228" s="421">
        <v>0</v>
      </c>
      <c r="DH228" s="421">
        <v>0</v>
      </c>
      <c r="DI228" s="421">
        <v>0</v>
      </c>
      <c r="DJ228" s="421">
        <v>0</v>
      </c>
      <c r="DK228" s="421">
        <v>0</v>
      </c>
      <c r="DL228" s="421">
        <v>0</v>
      </c>
      <c r="DM228" s="421">
        <v>0</v>
      </c>
      <c r="DN228" s="421">
        <v>0</v>
      </c>
      <c r="DO228" s="421">
        <v>0</v>
      </c>
      <c r="DP228" s="421">
        <v>0</v>
      </c>
      <c r="DQ228" s="421">
        <v>0</v>
      </c>
      <c r="DR228" s="421">
        <v>0</v>
      </c>
      <c r="DS228" s="421">
        <v>0</v>
      </c>
      <c r="DT228" s="421">
        <v>0</v>
      </c>
      <c r="DU228" s="421">
        <v>0</v>
      </c>
      <c r="DV228" s="421">
        <v>0</v>
      </c>
      <c r="DW228" s="421">
        <v>0</v>
      </c>
      <c r="DX228" s="421">
        <v>0</v>
      </c>
      <c r="DY228" s="421">
        <v>8010000</v>
      </c>
      <c r="DZ228" s="421">
        <v>8010000</v>
      </c>
      <c r="EA228" s="421">
        <v>0</v>
      </c>
      <c r="EB228" s="421">
        <v>0</v>
      </c>
      <c r="EC228" s="421" t="s">
        <v>1148</v>
      </c>
      <c r="ED228" s="421" t="s">
        <v>1167</v>
      </c>
      <c r="EE228" s="421" t="s">
        <v>1167</v>
      </c>
    </row>
    <row r="229" spans="1:135" x14ac:dyDescent="0.25">
      <c r="A229" s="421">
        <v>226</v>
      </c>
      <c r="B229" s="421">
        <v>2015</v>
      </c>
      <c r="C229" s="421">
        <v>10</v>
      </c>
      <c r="D229" s="421">
        <v>7</v>
      </c>
      <c r="E229" s="424">
        <v>42284</v>
      </c>
      <c r="F229" s="421" t="s">
        <v>2774</v>
      </c>
      <c r="G229" s="421" t="s">
        <v>2775</v>
      </c>
      <c r="H229" s="421" t="s">
        <v>1106</v>
      </c>
      <c r="I229" s="421" t="s">
        <v>1107</v>
      </c>
      <c r="J229" s="421" t="s">
        <v>1108</v>
      </c>
      <c r="K229" s="421" t="s">
        <v>1109</v>
      </c>
      <c r="L229" s="421" t="s">
        <v>1110</v>
      </c>
      <c r="O229" s="421" t="s">
        <v>1111</v>
      </c>
      <c r="R229" s="421" t="s">
        <v>1111</v>
      </c>
      <c r="S229" s="421" t="s">
        <v>1112</v>
      </c>
      <c r="T229" s="421" t="s">
        <v>1113</v>
      </c>
      <c r="U229" s="421" t="s">
        <v>1114</v>
      </c>
      <c r="V229" s="421" t="s">
        <v>1115</v>
      </c>
      <c r="W229" s="421" t="s">
        <v>1116</v>
      </c>
      <c r="X229" s="421" t="s">
        <v>1117</v>
      </c>
      <c r="Y229" s="421" t="s">
        <v>1118</v>
      </c>
      <c r="Z229" s="421" t="s">
        <v>1119</v>
      </c>
      <c r="AA229" s="421" t="s">
        <v>1120</v>
      </c>
      <c r="AB229" s="421" t="s">
        <v>1121</v>
      </c>
      <c r="AC229" s="421" t="s">
        <v>1122</v>
      </c>
      <c r="AD229" s="421" t="s">
        <v>1479</v>
      </c>
      <c r="AE229" s="421" t="s">
        <v>1471</v>
      </c>
      <c r="AF229" s="421" t="s">
        <v>1472</v>
      </c>
      <c r="AG229" s="421" t="s">
        <v>2776</v>
      </c>
      <c r="AH229" s="421">
        <v>11520</v>
      </c>
      <c r="AI229" s="421" t="s">
        <v>1189</v>
      </c>
      <c r="AJ229" s="421">
        <v>107</v>
      </c>
      <c r="AK229" s="421">
        <v>1</v>
      </c>
      <c r="AL229" s="421" t="s">
        <v>1173</v>
      </c>
      <c r="AM229" s="421">
        <v>457</v>
      </c>
      <c r="AN229" s="421">
        <v>545</v>
      </c>
      <c r="AO229" s="421" t="s">
        <v>1120</v>
      </c>
      <c r="AP229" s="421" t="s">
        <v>2777</v>
      </c>
      <c r="AQ229" s="421" t="s">
        <v>1475</v>
      </c>
      <c r="AR229" s="421" t="s">
        <v>1476</v>
      </c>
      <c r="AT229" s="421" t="s">
        <v>1131</v>
      </c>
      <c r="AU229" s="421" t="s">
        <v>1303</v>
      </c>
      <c r="AV229" s="421" t="s">
        <v>1304</v>
      </c>
      <c r="AW229" s="421" t="s">
        <v>960</v>
      </c>
      <c r="AX229" s="421" t="s">
        <v>960</v>
      </c>
      <c r="AY229" s="421" t="s">
        <v>960</v>
      </c>
      <c r="AZ229" s="421" t="s">
        <v>1121</v>
      </c>
      <c r="BA229" s="421" t="s">
        <v>1305</v>
      </c>
      <c r="BB229" s="421" t="s">
        <v>960</v>
      </c>
      <c r="BC229" s="421" t="s">
        <v>1175</v>
      </c>
      <c r="BD229" s="421" t="s">
        <v>1306</v>
      </c>
      <c r="BE229" s="421" t="s">
        <v>2162</v>
      </c>
      <c r="BF229" s="421" t="s">
        <v>2587</v>
      </c>
      <c r="BG229" s="421" t="s">
        <v>2454</v>
      </c>
      <c r="BH229" s="421" t="s">
        <v>2588</v>
      </c>
      <c r="BI229" s="421" t="s">
        <v>1142</v>
      </c>
      <c r="BJ229" s="421" t="s">
        <v>2760</v>
      </c>
      <c r="BK229" s="421" t="s">
        <v>2775</v>
      </c>
      <c r="BL229" s="421" t="s">
        <v>2772</v>
      </c>
      <c r="BM229" s="421" t="s">
        <v>2590</v>
      </c>
      <c r="BN229" s="421" t="s">
        <v>2591</v>
      </c>
      <c r="BO229" s="421">
        <v>0</v>
      </c>
      <c r="BR229" s="421">
        <v>0</v>
      </c>
      <c r="BS229" s="421">
        <v>0</v>
      </c>
      <c r="BT229" s="421">
        <v>0</v>
      </c>
      <c r="BU229" s="424">
        <v>42208</v>
      </c>
      <c r="BX229" s="421">
        <v>3061.85</v>
      </c>
      <c r="BY229" s="421" t="s">
        <v>1183</v>
      </c>
      <c r="BZ229" s="421">
        <v>3816</v>
      </c>
      <c r="CA229" s="421">
        <v>11684019.6</v>
      </c>
      <c r="CB229" s="421">
        <v>1.37</v>
      </c>
      <c r="CC229" s="421">
        <v>0</v>
      </c>
      <c r="CD229" s="421">
        <v>154.28</v>
      </c>
      <c r="CE229" s="421">
        <v>155.65</v>
      </c>
      <c r="CF229" s="421">
        <v>0</v>
      </c>
      <c r="CG229" s="421">
        <v>3971.65</v>
      </c>
      <c r="CH229" s="421">
        <v>0</v>
      </c>
      <c r="CI229" s="421">
        <v>3971.65</v>
      </c>
      <c r="CJ229" s="421">
        <v>12160596.5525</v>
      </c>
      <c r="CK229" s="421">
        <v>15</v>
      </c>
      <c r="CL229" s="421">
        <v>12160597</v>
      </c>
      <c r="CM229" s="421">
        <v>1824000</v>
      </c>
      <c r="CN229" s="421">
        <v>1824000</v>
      </c>
      <c r="CO229" s="421">
        <v>0</v>
      </c>
      <c r="CP229" s="421">
        <v>0</v>
      </c>
      <c r="CQ229" s="421">
        <v>16</v>
      </c>
      <c r="CR229" s="421">
        <v>13984597</v>
      </c>
      <c r="CS229" s="421">
        <v>2238000</v>
      </c>
      <c r="CT229" s="421">
        <v>2238000</v>
      </c>
      <c r="CU229" s="421">
        <v>0</v>
      </c>
      <c r="CV229" s="421">
        <v>0</v>
      </c>
      <c r="CW229" s="421">
        <v>0</v>
      </c>
      <c r="CX229" s="421">
        <v>0</v>
      </c>
      <c r="CY229" s="421">
        <v>0</v>
      </c>
      <c r="CZ229" s="421">
        <v>0</v>
      </c>
      <c r="DA229" s="421">
        <v>0</v>
      </c>
      <c r="DB229" s="421">
        <v>0</v>
      </c>
      <c r="DC229" s="421">
        <v>0</v>
      </c>
      <c r="DD229" s="421">
        <v>0</v>
      </c>
      <c r="DE229" s="421">
        <v>0</v>
      </c>
      <c r="DF229" s="421">
        <v>0</v>
      </c>
      <c r="DG229" s="421">
        <v>0</v>
      </c>
      <c r="DH229" s="421">
        <v>0</v>
      </c>
      <c r="DI229" s="421">
        <v>0</v>
      </c>
      <c r="DJ229" s="421">
        <v>0</v>
      </c>
      <c r="DK229" s="421">
        <v>0</v>
      </c>
      <c r="DL229" s="421">
        <v>0</v>
      </c>
      <c r="DM229" s="421">
        <v>0</v>
      </c>
      <c r="DN229" s="421">
        <v>0</v>
      </c>
      <c r="DO229" s="421">
        <v>0</v>
      </c>
      <c r="DP229" s="421">
        <v>0</v>
      </c>
      <c r="DQ229" s="421">
        <v>0</v>
      </c>
      <c r="DR229" s="421">
        <v>0</v>
      </c>
      <c r="DS229" s="421">
        <v>0</v>
      </c>
      <c r="DT229" s="421">
        <v>0</v>
      </c>
      <c r="DU229" s="421">
        <v>0</v>
      </c>
      <c r="DV229" s="421">
        <v>0</v>
      </c>
      <c r="DW229" s="421">
        <v>0</v>
      </c>
      <c r="DX229" s="421">
        <v>0</v>
      </c>
      <c r="DY229" s="421">
        <v>4062000</v>
      </c>
      <c r="DZ229" s="421">
        <v>4062000</v>
      </c>
      <c r="EA229" s="421">
        <v>0</v>
      </c>
      <c r="EB229" s="421">
        <v>0</v>
      </c>
      <c r="EC229" s="421" t="s">
        <v>1148</v>
      </c>
      <c r="ED229" s="421" t="s">
        <v>1167</v>
      </c>
      <c r="EE229" s="421" t="s">
        <v>1167</v>
      </c>
    </row>
    <row r="230" spans="1:135" x14ac:dyDescent="0.25">
      <c r="A230" s="421">
        <v>227</v>
      </c>
      <c r="B230" s="421">
        <v>2015</v>
      </c>
      <c r="C230" s="421">
        <v>10</v>
      </c>
      <c r="D230" s="421">
        <v>8</v>
      </c>
      <c r="E230" s="424">
        <v>42285</v>
      </c>
      <c r="F230" s="421" t="s">
        <v>2778</v>
      </c>
      <c r="G230" s="421" t="s">
        <v>2779</v>
      </c>
      <c r="H230" s="421" t="s">
        <v>1152</v>
      </c>
      <c r="I230" s="421" t="s">
        <v>1107</v>
      </c>
      <c r="J230" s="421" t="s">
        <v>1108</v>
      </c>
      <c r="K230" s="421" t="s">
        <v>1109</v>
      </c>
      <c r="L230" s="421" t="s">
        <v>1110</v>
      </c>
      <c r="O230" s="421" t="s">
        <v>1111</v>
      </c>
      <c r="R230" s="421" t="s">
        <v>1111</v>
      </c>
      <c r="S230" s="421" t="s">
        <v>1112</v>
      </c>
      <c r="T230" s="421" t="s">
        <v>1113</v>
      </c>
      <c r="U230" s="421" t="s">
        <v>1114</v>
      </c>
      <c r="V230" s="421" t="s">
        <v>1115</v>
      </c>
      <c r="W230" s="421" t="s">
        <v>1116</v>
      </c>
      <c r="X230" s="421" t="s">
        <v>1117</v>
      </c>
      <c r="Y230" s="421" t="s">
        <v>1118</v>
      </c>
      <c r="Z230" s="421" t="s">
        <v>1119</v>
      </c>
      <c r="AA230" s="421" t="s">
        <v>1120</v>
      </c>
      <c r="AB230" s="421" t="s">
        <v>1121</v>
      </c>
      <c r="AC230" s="421" t="s">
        <v>1122</v>
      </c>
      <c r="AD230" s="421" t="s">
        <v>1479</v>
      </c>
      <c r="AE230" s="421" t="s">
        <v>1203</v>
      </c>
      <c r="AF230" s="421" t="s">
        <v>1204</v>
      </c>
      <c r="AG230" s="421" t="s">
        <v>2780</v>
      </c>
      <c r="AH230" s="421">
        <v>64500</v>
      </c>
      <c r="AI230" s="421" t="s">
        <v>1127</v>
      </c>
      <c r="AJ230" s="421">
        <v>3</v>
      </c>
      <c r="AK230" s="421">
        <v>1</v>
      </c>
      <c r="AL230" s="421" t="s">
        <v>1128</v>
      </c>
      <c r="AM230" s="421">
        <v>64500</v>
      </c>
      <c r="AN230" s="421">
        <v>65228</v>
      </c>
      <c r="AO230" s="421" t="s">
        <v>1120</v>
      </c>
      <c r="AP230" s="421" t="s">
        <v>1129</v>
      </c>
      <c r="AR230" s="421" t="s">
        <v>1130</v>
      </c>
      <c r="AT230" s="421" t="s">
        <v>1131</v>
      </c>
      <c r="AU230" s="421" t="s">
        <v>1319</v>
      </c>
      <c r="AV230" s="421" t="s">
        <v>1320</v>
      </c>
      <c r="AW230" s="421" t="s">
        <v>1207</v>
      </c>
      <c r="AX230" s="421" t="s">
        <v>1207</v>
      </c>
      <c r="AY230" s="421" t="s">
        <v>1208</v>
      </c>
      <c r="AZ230" s="421" t="s">
        <v>1121</v>
      </c>
      <c r="BA230" s="421" t="s">
        <v>1209</v>
      </c>
      <c r="BB230" s="421" t="s">
        <v>1208</v>
      </c>
      <c r="BC230" s="421" t="s">
        <v>1210</v>
      </c>
      <c r="BD230" s="421" t="s">
        <v>1211</v>
      </c>
      <c r="BE230" s="421" t="s">
        <v>1212</v>
      </c>
      <c r="BF230" s="421" t="s">
        <v>2781</v>
      </c>
      <c r="BG230" s="421" t="s">
        <v>2761</v>
      </c>
      <c r="BH230" s="421" t="s">
        <v>2782</v>
      </c>
      <c r="BI230" s="421" t="s">
        <v>1142</v>
      </c>
      <c r="BJ230" s="421" t="s">
        <v>1163</v>
      </c>
      <c r="BK230" s="421" t="s">
        <v>2779</v>
      </c>
      <c r="BL230" s="421" t="s">
        <v>2783</v>
      </c>
      <c r="BM230" s="421" t="s">
        <v>2784</v>
      </c>
      <c r="BN230" s="421" t="s">
        <v>2687</v>
      </c>
      <c r="BO230" s="421">
        <v>0</v>
      </c>
      <c r="BR230" s="421">
        <v>0</v>
      </c>
      <c r="BS230" s="421">
        <v>0</v>
      </c>
      <c r="BT230" s="421">
        <v>0</v>
      </c>
      <c r="BU230" s="424">
        <v>42275</v>
      </c>
      <c r="BX230" s="421">
        <v>3061.85</v>
      </c>
      <c r="BY230" s="421" t="s">
        <v>1147</v>
      </c>
      <c r="BZ230" s="421">
        <v>122550</v>
      </c>
      <c r="CA230" s="421">
        <v>375229717.5</v>
      </c>
      <c r="CB230" s="421">
        <v>49.02</v>
      </c>
      <c r="CC230" s="421">
        <v>0</v>
      </c>
      <c r="CD230" s="421">
        <v>3771</v>
      </c>
      <c r="CE230" s="421">
        <v>3820.02</v>
      </c>
      <c r="CF230" s="421">
        <v>0</v>
      </c>
      <c r="CG230" s="421">
        <v>126370.02</v>
      </c>
      <c r="CH230" s="421">
        <v>0</v>
      </c>
      <c r="CI230" s="421">
        <v>126370.02</v>
      </c>
      <c r="CJ230" s="421">
        <v>386926045.73699999</v>
      </c>
      <c r="CK230" s="421">
        <v>0</v>
      </c>
      <c r="CL230" s="421">
        <v>386926046</v>
      </c>
      <c r="CM230" s="421">
        <v>0</v>
      </c>
      <c r="CN230" s="421">
        <v>0</v>
      </c>
      <c r="CO230" s="421">
        <v>0</v>
      </c>
      <c r="CP230" s="421">
        <v>0</v>
      </c>
      <c r="CQ230" s="421">
        <v>0</v>
      </c>
      <c r="CR230" s="421">
        <v>386926046</v>
      </c>
      <c r="CS230" s="421">
        <v>0</v>
      </c>
      <c r="CT230" s="421">
        <v>0</v>
      </c>
      <c r="CU230" s="421">
        <v>0</v>
      </c>
      <c r="CV230" s="421">
        <v>0</v>
      </c>
      <c r="CW230" s="421">
        <v>0</v>
      </c>
      <c r="CX230" s="421">
        <v>0</v>
      </c>
      <c r="CY230" s="421">
        <v>0</v>
      </c>
      <c r="CZ230" s="421">
        <v>0</v>
      </c>
      <c r="DA230" s="421">
        <v>0</v>
      </c>
      <c r="DB230" s="421">
        <v>0</v>
      </c>
      <c r="DC230" s="421">
        <v>0</v>
      </c>
      <c r="DD230" s="421">
        <v>0</v>
      </c>
      <c r="DE230" s="421">
        <v>0</v>
      </c>
      <c r="DF230" s="421">
        <v>0</v>
      </c>
      <c r="DG230" s="421">
        <v>0</v>
      </c>
      <c r="DH230" s="421">
        <v>0</v>
      </c>
      <c r="DI230" s="421">
        <v>0</v>
      </c>
      <c r="DJ230" s="421">
        <v>0</v>
      </c>
      <c r="DK230" s="421">
        <v>0</v>
      </c>
      <c r="DL230" s="421">
        <v>0</v>
      </c>
      <c r="DM230" s="421">
        <v>0</v>
      </c>
      <c r="DN230" s="421">
        <v>0</v>
      </c>
      <c r="DO230" s="421">
        <v>0</v>
      </c>
      <c r="DP230" s="421">
        <v>0</v>
      </c>
      <c r="DQ230" s="421">
        <v>0</v>
      </c>
      <c r="DR230" s="421">
        <v>0</v>
      </c>
      <c r="DS230" s="421">
        <v>0</v>
      </c>
      <c r="DT230" s="421">
        <v>0</v>
      </c>
      <c r="DU230" s="421">
        <v>0</v>
      </c>
      <c r="DV230" s="421">
        <v>0</v>
      </c>
      <c r="DW230" s="421">
        <v>0</v>
      </c>
      <c r="DX230" s="421">
        <v>0</v>
      </c>
      <c r="DY230" s="421">
        <v>0</v>
      </c>
      <c r="DZ230" s="421">
        <v>0</v>
      </c>
      <c r="EA230" s="421">
        <v>0</v>
      </c>
      <c r="EB230" s="421">
        <v>0</v>
      </c>
      <c r="EC230" s="421" t="s">
        <v>1148</v>
      </c>
      <c r="ED230" s="421" t="s">
        <v>1149</v>
      </c>
      <c r="EE230" s="421" t="s">
        <v>1149</v>
      </c>
    </row>
    <row r="231" spans="1:135" x14ac:dyDescent="0.25">
      <c r="A231" s="421">
        <v>228</v>
      </c>
      <c r="B231" s="421">
        <v>2015</v>
      </c>
      <c r="C231" s="421">
        <v>10</v>
      </c>
      <c r="D231" s="421">
        <v>10</v>
      </c>
      <c r="E231" s="424">
        <v>42287</v>
      </c>
      <c r="F231" s="421" t="s">
        <v>2785</v>
      </c>
      <c r="G231" s="421" t="s">
        <v>2786</v>
      </c>
      <c r="H231" s="421" t="s">
        <v>1152</v>
      </c>
      <c r="I231" s="421" t="s">
        <v>1107</v>
      </c>
      <c r="J231" s="421" t="s">
        <v>1108</v>
      </c>
      <c r="K231" s="421" t="s">
        <v>1109</v>
      </c>
      <c r="L231" s="421" t="s">
        <v>1110</v>
      </c>
      <c r="O231" s="421" t="s">
        <v>1111</v>
      </c>
      <c r="R231" s="421" t="s">
        <v>1111</v>
      </c>
      <c r="S231" s="421" t="s">
        <v>1112</v>
      </c>
      <c r="T231" s="421" t="s">
        <v>1113</v>
      </c>
      <c r="U231" s="421" t="s">
        <v>1114</v>
      </c>
      <c r="V231" s="421" t="s">
        <v>1115</v>
      </c>
      <c r="W231" s="421" t="s">
        <v>1116</v>
      </c>
      <c r="X231" s="421" t="s">
        <v>1117</v>
      </c>
      <c r="Y231" s="421" t="s">
        <v>1118</v>
      </c>
      <c r="Z231" s="421" t="s">
        <v>1119</v>
      </c>
      <c r="AA231" s="421" t="s">
        <v>1120</v>
      </c>
      <c r="AB231" s="421" t="s">
        <v>1121</v>
      </c>
      <c r="AC231" s="421" t="s">
        <v>1122</v>
      </c>
      <c r="AD231" s="421" t="s">
        <v>1479</v>
      </c>
      <c r="AE231" s="421" t="s">
        <v>1124</v>
      </c>
      <c r="AF231" s="421" t="s">
        <v>1125</v>
      </c>
      <c r="AG231" s="421" t="s">
        <v>2787</v>
      </c>
      <c r="AH231" s="421">
        <v>6804</v>
      </c>
      <c r="AI231" s="421" t="s">
        <v>1127</v>
      </c>
      <c r="AJ231" s="421">
        <v>378</v>
      </c>
      <c r="AK231" s="421">
        <v>1</v>
      </c>
      <c r="AL231" s="421" t="s">
        <v>2085</v>
      </c>
      <c r="AM231" s="421">
        <v>6804</v>
      </c>
      <c r="AN231" s="421">
        <v>6917.4</v>
      </c>
      <c r="AO231" s="421" t="s">
        <v>1120</v>
      </c>
      <c r="AP231" s="421" t="s">
        <v>1129</v>
      </c>
      <c r="AR231" s="421" t="s">
        <v>1130</v>
      </c>
      <c r="AT231" s="421" t="s">
        <v>1131</v>
      </c>
      <c r="AU231" s="421" t="s">
        <v>1132</v>
      </c>
      <c r="AV231" s="421" t="s">
        <v>1133</v>
      </c>
      <c r="AW231" s="421" t="s">
        <v>1134</v>
      </c>
      <c r="AX231" s="421" t="s">
        <v>1134</v>
      </c>
      <c r="AY231" s="421" t="s">
        <v>1134</v>
      </c>
      <c r="AZ231" s="421" t="s">
        <v>1121</v>
      </c>
      <c r="BA231" s="421" t="s">
        <v>1135</v>
      </c>
      <c r="BB231" s="421" t="s">
        <v>1134</v>
      </c>
      <c r="BC231" s="421" t="s">
        <v>1136</v>
      </c>
      <c r="BD231" s="421" t="s">
        <v>1137</v>
      </c>
      <c r="BE231" s="421" t="s">
        <v>1138</v>
      </c>
      <c r="BF231" s="421" t="s">
        <v>2788</v>
      </c>
      <c r="BG231" s="421" t="s">
        <v>2772</v>
      </c>
      <c r="BH231" s="421" t="s">
        <v>2789</v>
      </c>
      <c r="BI231" s="421" t="s">
        <v>1142</v>
      </c>
      <c r="BJ231" s="421" t="s">
        <v>1143</v>
      </c>
      <c r="BK231" s="421" t="s">
        <v>2786</v>
      </c>
      <c r="BL231" s="421" t="s">
        <v>2790</v>
      </c>
      <c r="BM231" s="421" t="s">
        <v>2791</v>
      </c>
      <c r="BN231" s="421" t="s">
        <v>2663</v>
      </c>
      <c r="BO231" s="421">
        <v>0</v>
      </c>
      <c r="BR231" s="421">
        <v>0</v>
      </c>
      <c r="BS231" s="421">
        <v>0</v>
      </c>
      <c r="BT231" s="421">
        <v>0</v>
      </c>
      <c r="BU231" s="424">
        <v>42283</v>
      </c>
      <c r="BX231" s="421">
        <v>3061.85</v>
      </c>
      <c r="BY231" s="421" t="s">
        <v>1147</v>
      </c>
      <c r="BZ231" s="421">
        <v>13716.18</v>
      </c>
      <c r="CA231" s="421">
        <v>41996885.733000003</v>
      </c>
      <c r="CB231" s="421">
        <v>5.49</v>
      </c>
      <c r="CC231" s="421">
        <v>0</v>
      </c>
      <c r="CD231" s="421">
        <v>1300</v>
      </c>
      <c r="CE231" s="421">
        <v>1305.49</v>
      </c>
      <c r="CF231" s="421">
        <v>0</v>
      </c>
      <c r="CG231" s="421">
        <v>15021.67</v>
      </c>
      <c r="CH231" s="421">
        <v>0</v>
      </c>
      <c r="CI231" s="421">
        <v>15021.67</v>
      </c>
      <c r="CJ231" s="421">
        <v>45994100.289499998</v>
      </c>
      <c r="CK231" s="421">
        <v>0</v>
      </c>
      <c r="CL231" s="421">
        <v>45994100</v>
      </c>
      <c r="CM231" s="421">
        <v>0</v>
      </c>
      <c r="CN231" s="421">
        <v>0</v>
      </c>
      <c r="CO231" s="421">
        <v>0</v>
      </c>
      <c r="CP231" s="421">
        <v>0</v>
      </c>
      <c r="CQ231" s="421">
        <v>16</v>
      </c>
      <c r="CR231" s="421">
        <v>45994100</v>
      </c>
      <c r="CS231" s="421">
        <v>7359000</v>
      </c>
      <c r="CT231" s="421">
        <v>7359000</v>
      </c>
      <c r="CU231" s="421">
        <v>0</v>
      </c>
      <c r="CV231" s="421">
        <v>0</v>
      </c>
      <c r="CW231" s="421">
        <v>0</v>
      </c>
      <c r="CX231" s="421">
        <v>0</v>
      </c>
      <c r="CY231" s="421">
        <v>0</v>
      </c>
      <c r="CZ231" s="421">
        <v>0</v>
      </c>
      <c r="DA231" s="421">
        <v>0</v>
      </c>
      <c r="DB231" s="421">
        <v>0</v>
      </c>
      <c r="DC231" s="421">
        <v>0</v>
      </c>
      <c r="DD231" s="421">
        <v>0</v>
      </c>
      <c r="DE231" s="421">
        <v>0</v>
      </c>
      <c r="DF231" s="421">
        <v>0</v>
      </c>
      <c r="DG231" s="421">
        <v>0</v>
      </c>
      <c r="DH231" s="421">
        <v>0</v>
      </c>
      <c r="DI231" s="421">
        <v>0</v>
      </c>
      <c r="DJ231" s="421">
        <v>0</v>
      </c>
      <c r="DK231" s="421">
        <v>0</v>
      </c>
      <c r="DL231" s="421">
        <v>0</v>
      </c>
      <c r="DM231" s="421">
        <v>0</v>
      </c>
      <c r="DN231" s="421">
        <v>0</v>
      </c>
      <c r="DO231" s="421">
        <v>0</v>
      </c>
      <c r="DP231" s="421">
        <v>0</v>
      </c>
      <c r="DQ231" s="421">
        <v>0</v>
      </c>
      <c r="DR231" s="421">
        <v>0</v>
      </c>
      <c r="DS231" s="421">
        <v>0</v>
      </c>
      <c r="DT231" s="421">
        <v>0</v>
      </c>
      <c r="DU231" s="421">
        <v>0</v>
      </c>
      <c r="DV231" s="421">
        <v>0</v>
      </c>
      <c r="DW231" s="421">
        <v>0</v>
      </c>
      <c r="DX231" s="421">
        <v>0</v>
      </c>
      <c r="DY231" s="421">
        <v>7359000</v>
      </c>
      <c r="DZ231" s="421">
        <v>7359000</v>
      </c>
      <c r="EA231" s="421">
        <v>0</v>
      </c>
      <c r="EB231" s="421">
        <v>0</v>
      </c>
      <c r="EC231" s="421" t="s">
        <v>1148</v>
      </c>
      <c r="ED231" s="421" t="s">
        <v>1149</v>
      </c>
      <c r="EE231" s="421" t="s">
        <v>1149</v>
      </c>
    </row>
    <row r="232" spans="1:135" x14ac:dyDescent="0.25">
      <c r="A232" s="421">
        <v>229</v>
      </c>
      <c r="B232" s="421">
        <v>2015</v>
      </c>
      <c r="C232" s="421">
        <v>10</v>
      </c>
      <c r="D232" s="421">
        <v>14</v>
      </c>
      <c r="E232" s="424">
        <v>42291</v>
      </c>
      <c r="F232" s="421" t="s">
        <v>2792</v>
      </c>
      <c r="G232" s="421" t="s">
        <v>2793</v>
      </c>
      <c r="H232" s="421" t="s">
        <v>1106</v>
      </c>
      <c r="I232" s="421" t="s">
        <v>2615</v>
      </c>
      <c r="J232" s="421" t="s">
        <v>1108</v>
      </c>
      <c r="K232" s="421" t="s">
        <v>1109</v>
      </c>
      <c r="L232" s="421" t="s">
        <v>1110</v>
      </c>
      <c r="O232" s="421" t="s">
        <v>1111</v>
      </c>
      <c r="R232" s="421" t="s">
        <v>1111</v>
      </c>
      <c r="S232" s="421" t="s">
        <v>1112</v>
      </c>
      <c r="T232" s="421" t="s">
        <v>1113</v>
      </c>
      <c r="U232" s="421" t="s">
        <v>1114</v>
      </c>
      <c r="V232" s="421" t="s">
        <v>1115</v>
      </c>
      <c r="W232" s="421" t="s">
        <v>1116</v>
      </c>
      <c r="X232" s="421" t="s">
        <v>1117</v>
      </c>
      <c r="Y232" s="421" t="s">
        <v>1118</v>
      </c>
      <c r="Z232" s="421" t="s">
        <v>1119</v>
      </c>
      <c r="AA232" s="421" t="s">
        <v>1120</v>
      </c>
      <c r="AB232" s="421" t="s">
        <v>1121</v>
      </c>
      <c r="AC232" s="421" t="s">
        <v>1122</v>
      </c>
      <c r="AD232" s="421" t="s">
        <v>1479</v>
      </c>
      <c r="AE232" s="421" t="s">
        <v>1471</v>
      </c>
      <c r="AF232" s="421" t="s">
        <v>1472</v>
      </c>
      <c r="AG232" s="421" t="s">
        <v>2794</v>
      </c>
      <c r="AH232" s="421">
        <v>1728</v>
      </c>
      <c r="AI232" s="421" t="s">
        <v>1189</v>
      </c>
      <c r="AJ232" s="421">
        <v>12</v>
      </c>
      <c r="AK232" s="421">
        <v>1</v>
      </c>
      <c r="AL232" s="421" t="s">
        <v>1173</v>
      </c>
      <c r="AM232" s="421">
        <v>84</v>
      </c>
      <c r="AN232" s="421">
        <v>96</v>
      </c>
      <c r="AO232" s="421" t="s">
        <v>1120</v>
      </c>
      <c r="AP232" s="421" t="s">
        <v>2738</v>
      </c>
      <c r="AQ232" s="421" t="s">
        <v>1475</v>
      </c>
      <c r="AR232" s="421" t="s">
        <v>1476</v>
      </c>
      <c r="AT232" s="421" t="s">
        <v>1131</v>
      </c>
      <c r="AU232" s="421" t="s">
        <v>1303</v>
      </c>
      <c r="AV232" s="421" t="s">
        <v>1304</v>
      </c>
      <c r="AW232" s="421" t="s">
        <v>960</v>
      </c>
      <c r="AX232" s="421" t="s">
        <v>960</v>
      </c>
      <c r="AY232" s="421" t="s">
        <v>960</v>
      </c>
      <c r="AZ232" s="421" t="s">
        <v>1121</v>
      </c>
      <c r="BA232" s="421" t="s">
        <v>2617</v>
      </c>
      <c r="BB232" s="421" t="s">
        <v>960</v>
      </c>
      <c r="BC232" s="421" t="s">
        <v>1253</v>
      </c>
      <c r="BD232" s="421" t="s">
        <v>2618</v>
      </c>
      <c r="BE232" s="421" t="s">
        <v>2619</v>
      </c>
      <c r="BF232" s="421" t="s">
        <v>2587</v>
      </c>
      <c r="BG232" s="421" t="s">
        <v>2454</v>
      </c>
      <c r="BH232" s="421" t="s">
        <v>2620</v>
      </c>
      <c r="BI232" s="421" t="s">
        <v>1142</v>
      </c>
      <c r="BJ232" s="421" t="s">
        <v>2704</v>
      </c>
      <c r="BK232" s="421" t="s">
        <v>2793</v>
      </c>
      <c r="BL232" s="421" t="s">
        <v>2795</v>
      </c>
      <c r="BM232" s="421" t="s">
        <v>2622</v>
      </c>
      <c r="BN232" s="421" t="s">
        <v>2623</v>
      </c>
      <c r="BO232" s="421">
        <v>0</v>
      </c>
      <c r="BR232" s="421">
        <v>0</v>
      </c>
      <c r="BS232" s="421">
        <v>0</v>
      </c>
      <c r="BT232" s="421">
        <v>0</v>
      </c>
      <c r="BU232" s="424">
        <v>42210</v>
      </c>
      <c r="BX232" s="421">
        <v>2887.21</v>
      </c>
      <c r="BY232" s="421" t="s">
        <v>1166</v>
      </c>
      <c r="BZ232" s="421">
        <v>2419.1999999999998</v>
      </c>
      <c r="CA232" s="421">
        <v>6984738.432</v>
      </c>
      <c r="CB232" s="421">
        <v>0.97</v>
      </c>
      <c r="CC232" s="421">
        <v>0</v>
      </c>
      <c r="CD232" s="421">
        <v>126.41</v>
      </c>
      <c r="CE232" s="421">
        <v>127.38</v>
      </c>
      <c r="CF232" s="421">
        <v>0</v>
      </c>
      <c r="CG232" s="421">
        <v>2546.58</v>
      </c>
      <c r="CH232" s="421">
        <v>0</v>
      </c>
      <c r="CI232" s="421">
        <v>2546.58</v>
      </c>
      <c r="CJ232" s="421">
        <v>7352511.2418</v>
      </c>
      <c r="CK232" s="421">
        <v>15</v>
      </c>
      <c r="CL232" s="421">
        <v>7352511</v>
      </c>
      <c r="CM232" s="421">
        <v>1103000</v>
      </c>
      <c r="CN232" s="421">
        <v>1103000</v>
      </c>
      <c r="CO232" s="421">
        <v>0</v>
      </c>
      <c r="CP232" s="421">
        <v>0</v>
      </c>
      <c r="CQ232" s="421">
        <v>16</v>
      </c>
      <c r="CR232" s="421">
        <v>8455511</v>
      </c>
      <c r="CS232" s="421">
        <v>1353000</v>
      </c>
      <c r="CT232" s="421">
        <v>1353000</v>
      </c>
      <c r="CU232" s="421">
        <v>0</v>
      </c>
      <c r="CV232" s="421">
        <v>0</v>
      </c>
      <c r="CW232" s="421">
        <v>0</v>
      </c>
      <c r="CX232" s="421">
        <v>0</v>
      </c>
      <c r="CY232" s="421">
        <v>0</v>
      </c>
      <c r="CZ232" s="421">
        <v>0</v>
      </c>
      <c r="DA232" s="421">
        <v>0</v>
      </c>
      <c r="DB232" s="421">
        <v>0</v>
      </c>
      <c r="DC232" s="421">
        <v>0</v>
      </c>
      <c r="DD232" s="421">
        <v>0</v>
      </c>
      <c r="DE232" s="421">
        <v>0</v>
      </c>
      <c r="DF232" s="421">
        <v>0</v>
      </c>
      <c r="DG232" s="421">
        <v>0</v>
      </c>
      <c r="DH232" s="421">
        <v>0</v>
      </c>
      <c r="DI232" s="421">
        <v>0</v>
      </c>
      <c r="DJ232" s="421">
        <v>0</v>
      </c>
      <c r="DK232" s="421">
        <v>0</v>
      </c>
      <c r="DL232" s="421">
        <v>0</v>
      </c>
      <c r="DM232" s="421">
        <v>0</v>
      </c>
      <c r="DN232" s="421">
        <v>0</v>
      </c>
      <c r="DO232" s="421">
        <v>0</v>
      </c>
      <c r="DP232" s="421">
        <v>0</v>
      </c>
      <c r="DQ232" s="421">
        <v>0</v>
      </c>
      <c r="DR232" s="421">
        <v>0</v>
      </c>
      <c r="DS232" s="421">
        <v>0</v>
      </c>
      <c r="DT232" s="421">
        <v>0</v>
      </c>
      <c r="DU232" s="421">
        <v>0</v>
      </c>
      <c r="DV232" s="421">
        <v>0</v>
      </c>
      <c r="DW232" s="421">
        <v>0</v>
      </c>
      <c r="DX232" s="421">
        <v>0</v>
      </c>
      <c r="DY232" s="421">
        <v>2456000</v>
      </c>
      <c r="DZ232" s="421">
        <v>2456000</v>
      </c>
      <c r="EA232" s="421">
        <v>0</v>
      </c>
      <c r="EB232" s="421">
        <v>0</v>
      </c>
      <c r="EC232" s="421" t="s">
        <v>1148</v>
      </c>
      <c r="ED232" s="421" t="s">
        <v>1167</v>
      </c>
      <c r="EE232" s="421" t="s">
        <v>1167</v>
      </c>
    </row>
    <row r="233" spans="1:135" x14ac:dyDescent="0.25">
      <c r="A233" s="421">
        <v>230</v>
      </c>
      <c r="B233" s="421">
        <v>2015</v>
      </c>
      <c r="C233" s="421">
        <v>10</v>
      </c>
      <c r="D233" s="421">
        <v>15</v>
      </c>
      <c r="E233" s="424">
        <v>42292</v>
      </c>
      <c r="F233" s="421" t="s">
        <v>2796</v>
      </c>
      <c r="G233" s="421" t="s">
        <v>2797</v>
      </c>
      <c r="H233" s="421" t="s">
        <v>1152</v>
      </c>
      <c r="I233" s="421" t="s">
        <v>1107</v>
      </c>
      <c r="J233" s="421" t="s">
        <v>1108</v>
      </c>
      <c r="K233" s="421" t="s">
        <v>1109</v>
      </c>
      <c r="L233" s="421" t="s">
        <v>1110</v>
      </c>
      <c r="O233" s="421" t="s">
        <v>1111</v>
      </c>
      <c r="R233" s="421" t="s">
        <v>1111</v>
      </c>
      <c r="S233" s="421" t="s">
        <v>1112</v>
      </c>
      <c r="T233" s="421" t="s">
        <v>1113</v>
      </c>
      <c r="U233" s="421" t="s">
        <v>1114</v>
      </c>
      <c r="V233" s="421" t="s">
        <v>1115</v>
      </c>
      <c r="W233" s="421" t="s">
        <v>1116</v>
      </c>
      <c r="X233" s="421" t="s">
        <v>1117</v>
      </c>
      <c r="Y233" s="421" t="s">
        <v>1118</v>
      </c>
      <c r="Z233" s="421" t="s">
        <v>1119</v>
      </c>
      <c r="AA233" s="421" t="s">
        <v>1120</v>
      </c>
      <c r="AB233" s="421" t="s">
        <v>1121</v>
      </c>
      <c r="AC233" s="421" t="s">
        <v>1122</v>
      </c>
      <c r="AD233" s="421" t="s">
        <v>1479</v>
      </c>
      <c r="AE233" s="421" t="s">
        <v>1471</v>
      </c>
      <c r="AF233" s="421" t="s">
        <v>1472</v>
      </c>
      <c r="AG233" s="421" t="s">
        <v>2798</v>
      </c>
      <c r="AH233" s="421">
        <v>22320</v>
      </c>
      <c r="AI233" s="421" t="s">
        <v>1189</v>
      </c>
      <c r="AJ233" s="421">
        <v>100</v>
      </c>
      <c r="AK233" s="421">
        <v>1</v>
      </c>
      <c r="AL233" s="421" t="s">
        <v>1206</v>
      </c>
      <c r="AM233" s="421">
        <v>866.05</v>
      </c>
      <c r="AN233" s="421">
        <v>866.05</v>
      </c>
      <c r="AO233" s="421" t="s">
        <v>1120</v>
      </c>
      <c r="AP233" s="421" t="s">
        <v>2799</v>
      </c>
      <c r="AQ233" s="421" t="s">
        <v>1475</v>
      </c>
      <c r="AR233" s="421" t="s">
        <v>1476</v>
      </c>
      <c r="AT233" s="421" t="s">
        <v>1131</v>
      </c>
      <c r="AU233" s="421" t="s">
        <v>1303</v>
      </c>
      <c r="AV233" s="421" t="s">
        <v>1304</v>
      </c>
      <c r="AW233" s="421" t="s">
        <v>960</v>
      </c>
      <c r="AX233" s="421" t="s">
        <v>960</v>
      </c>
      <c r="AY233" s="421" t="s">
        <v>960</v>
      </c>
      <c r="AZ233" s="421" t="s">
        <v>1121</v>
      </c>
      <c r="BA233" s="421" t="s">
        <v>1305</v>
      </c>
      <c r="BB233" s="421" t="s">
        <v>960</v>
      </c>
      <c r="BC233" s="421" t="s">
        <v>1175</v>
      </c>
      <c r="BD233" s="421" t="s">
        <v>1306</v>
      </c>
      <c r="BE233" s="421" t="s">
        <v>2162</v>
      </c>
      <c r="BF233" s="421" t="s">
        <v>2329</v>
      </c>
      <c r="BG233" s="421" t="s">
        <v>2322</v>
      </c>
      <c r="BH233" s="421" t="s">
        <v>2468</v>
      </c>
      <c r="BI233" s="421" t="s">
        <v>1142</v>
      </c>
      <c r="BJ233" s="421" t="s">
        <v>2704</v>
      </c>
      <c r="BK233" s="421" t="s">
        <v>2797</v>
      </c>
      <c r="BL233" s="421" t="s">
        <v>2800</v>
      </c>
      <c r="BM233" s="421" t="s">
        <v>2470</v>
      </c>
      <c r="BN233" s="421" t="s">
        <v>2471</v>
      </c>
      <c r="BO233" s="421">
        <v>0</v>
      </c>
      <c r="BR233" s="421">
        <v>0</v>
      </c>
      <c r="BS233" s="421">
        <v>0</v>
      </c>
      <c r="BT233" s="421">
        <v>0</v>
      </c>
      <c r="BU233" s="424">
        <v>42195</v>
      </c>
      <c r="BX233" s="421">
        <v>2887.21</v>
      </c>
      <c r="BY233" s="421" t="s">
        <v>1183</v>
      </c>
      <c r="BZ233" s="421">
        <v>6932.16</v>
      </c>
      <c r="CA233" s="421">
        <v>20014601.673599999</v>
      </c>
      <c r="CB233" s="421">
        <v>2.77</v>
      </c>
      <c r="CC233" s="421">
        <v>0</v>
      </c>
      <c r="CD233" s="421">
        <v>231.74</v>
      </c>
      <c r="CE233" s="421">
        <v>234.51</v>
      </c>
      <c r="CF233" s="421">
        <v>0</v>
      </c>
      <c r="CG233" s="421">
        <v>7166.67</v>
      </c>
      <c r="CH233" s="421">
        <v>0</v>
      </c>
      <c r="CI233" s="421">
        <v>7166.67</v>
      </c>
      <c r="CJ233" s="421">
        <v>20691681.2907</v>
      </c>
      <c r="CK233" s="421">
        <v>15</v>
      </c>
      <c r="CL233" s="421">
        <v>20691681</v>
      </c>
      <c r="CM233" s="421">
        <v>3104000</v>
      </c>
      <c r="CN233" s="421">
        <v>3104000</v>
      </c>
      <c r="CO233" s="421">
        <v>0</v>
      </c>
      <c r="CP233" s="421">
        <v>0</v>
      </c>
      <c r="CQ233" s="421">
        <v>16</v>
      </c>
      <c r="CR233" s="421">
        <v>23795681</v>
      </c>
      <c r="CS233" s="421">
        <v>3807000</v>
      </c>
      <c r="CT233" s="421">
        <v>3807000</v>
      </c>
      <c r="CU233" s="421">
        <v>0</v>
      </c>
      <c r="CV233" s="421">
        <v>0</v>
      </c>
      <c r="CW233" s="421">
        <v>0</v>
      </c>
      <c r="CX233" s="421">
        <v>0</v>
      </c>
      <c r="CY233" s="421">
        <v>0</v>
      </c>
      <c r="CZ233" s="421">
        <v>0</v>
      </c>
      <c r="DA233" s="421">
        <v>0</v>
      </c>
      <c r="DB233" s="421">
        <v>0</v>
      </c>
      <c r="DC233" s="421">
        <v>0</v>
      </c>
      <c r="DD233" s="421">
        <v>0</v>
      </c>
      <c r="DE233" s="421">
        <v>0</v>
      </c>
      <c r="DF233" s="421">
        <v>0</v>
      </c>
      <c r="DG233" s="421">
        <v>0</v>
      </c>
      <c r="DH233" s="421">
        <v>0</v>
      </c>
      <c r="DI233" s="421">
        <v>0</v>
      </c>
      <c r="DJ233" s="421">
        <v>0</v>
      </c>
      <c r="DK233" s="421">
        <v>0</v>
      </c>
      <c r="DL233" s="421">
        <v>0</v>
      </c>
      <c r="DM233" s="421">
        <v>0</v>
      </c>
      <c r="DN233" s="421">
        <v>0</v>
      </c>
      <c r="DO233" s="421">
        <v>0</v>
      </c>
      <c r="DP233" s="421">
        <v>0</v>
      </c>
      <c r="DQ233" s="421">
        <v>0</v>
      </c>
      <c r="DR233" s="421">
        <v>0</v>
      </c>
      <c r="DS233" s="421">
        <v>0</v>
      </c>
      <c r="DT233" s="421">
        <v>0</v>
      </c>
      <c r="DU233" s="421">
        <v>0</v>
      </c>
      <c r="DV233" s="421">
        <v>0</v>
      </c>
      <c r="DW233" s="421">
        <v>0</v>
      </c>
      <c r="DX233" s="421">
        <v>0</v>
      </c>
      <c r="DY233" s="421">
        <v>6911000</v>
      </c>
      <c r="DZ233" s="421">
        <v>6911000</v>
      </c>
      <c r="EA233" s="421">
        <v>0</v>
      </c>
      <c r="EB233" s="421">
        <v>0</v>
      </c>
      <c r="EC233" s="421" t="s">
        <v>1148</v>
      </c>
      <c r="ED233" s="421" t="s">
        <v>1167</v>
      </c>
      <c r="EE233" s="421" t="s">
        <v>1167</v>
      </c>
    </row>
    <row r="234" spans="1:135" x14ac:dyDescent="0.25">
      <c r="A234" s="421">
        <v>231</v>
      </c>
      <c r="B234" s="421">
        <v>2015</v>
      </c>
      <c r="C234" s="421">
        <v>10</v>
      </c>
      <c r="D234" s="421">
        <v>16</v>
      </c>
      <c r="E234" s="424">
        <v>42293</v>
      </c>
      <c r="F234" s="421" t="s">
        <v>2801</v>
      </c>
      <c r="G234" s="421" t="s">
        <v>2802</v>
      </c>
      <c r="H234" s="421" t="s">
        <v>1106</v>
      </c>
      <c r="I234" s="421" t="s">
        <v>1107</v>
      </c>
      <c r="J234" s="421" t="s">
        <v>1108</v>
      </c>
      <c r="K234" s="421" t="s">
        <v>1202</v>
      </c>
      <c r="L234" s="421" t="s">
        <v>1110</v>
      </c>
      <c r="O234" s="421" t="s">
        <v>1111</v>
      </c>
      <c r="R234" s="421" t="s">
        <v>1111</v>
      </c>
      <c r="S234" s="421" t="s">
        <v>1112</v>
      </c>
      <c r="T234" s="421" t="s">
        <v>1113</v>
      </c>
      <c r="U234" s="421" t="s">
        <v>1114</v>
      </c>
      <c r="V234" s="421" t="s">
        <v>1115</v>
      </c>
      <c r="W234" s="421" t="s">
        <v>1116</v>
      </c>
      <c r="X234" s="421" t="s">
        <v>1117</v>
      </c>
      <c r="Y234" s="421" t="s">
        <v>1118</v>
      </c>
      <c r="Z234" s="421" t="s">
        <v>1119</v>
      </c>
      <c r="AA234" s="421" t="s">
        <v>1120</v>
      </c>
      <c r="AB234" s="421" t="s">
        <v>1121</v>
      </c>
      <c r="AC234" s="421" t="s">
        <v>1122</v>
      </c>
      <c r="AD234" s="421" t="s">
        <v>1479</v>
      </c>
      <c r="AE234" s="421" t="s">
        <v>1203</v>
      </c>
      <c r="AF234" s="421" t="s">
        <v>1204</v>
      </c>
      <c r="AG234" s="421" t="s">
        <v>2803</v>
      </c>
      <c r="AH234" s="421">
        <v>43000</v>
      </c>
      <c r="AI234" s="421" t="s">
        <v>1127</v>
      </c>
      <c r="AJ234" s="421">
        <v>2</v>
      </c>
      <c r="AK234" s="421">
        <v>1</v>
      </c>
      <c r="AL234" s="421" t="s">
        <v>1283</v>
      </c>
      <c r="AM234" s="421">
        <v>43000</v>
      </c>
      <c r="AN234" s="421">
        <v>43485</v>
      </c>
      <c r="AO234" s="421" t="s">
        <v>1120</v>
      </c>
      <c r="AP234" s="421" t="s">
        <v>1129</v>
      </c>
      <c r="AR234" s="421" t="s">
        <v>1130</v>
      </c>
      <c r="AT234" s="421" t="s">
        <v>1131</v>
      </c>
      <c r="AU234" s="421" t="s">
        <v>1319</v>
      </c>
      <c r="AV234" s="421" t="s">
        <v>1320</v>
      </c>
      <c r="AW234" s="421" t="s">
        <v>1207</v>
      </c>
      <c r="AX234" s="421" t="s">
        <v>1207</v>
      </c>
      <c r="AY234" s="421" t="s">
        <v>1208</v>
      </c>
      <c r="AZ234" s="421" t="s">
        <v>1121</v>
      </c>
      <c r="BA234" s="421" t="s">
        <v>1209</v>
      </c>
      <c r="BB234" s="421" t="s">
        <v>1208</v>
      </c>
      <c r="BC234" s="421" t="s">
        <v>1210</v>
      </c>
      <c r="BD234" s="421" t="s">
        <v>1211</v>
      </c>
      <c r="BE234" s="421" t="s">
        <v>1212</v>
      </c>
      <c r="BF234" s="421" t="s">
        <v>2804</v>
      </c>
      <c r="BG234" s="421" t="s">
        <v>2805</v>
      </c>
      <c r="BH234" s="421" t="s">
        <v>2806</v>
      </c>
      <c r="BI234" s="421" t="s">
        <v>1142</v>
      </c>
      <c r="BJ234" s="421" t="s">
        <v>1163</v>
      </c>
      <c r="BK234" s="421" t="s">
        <v>2802</v>
      </c>
      <c r="BL234" s="421" t="s">
        <v>2807</v>
      </c>
      <c r="BM234" s="421" t="s">
        <v>2808</v>
      </c>
      <c r="BN234" s="421" t="s">
        <v>2720</v>
      </c>
      <c r="BO234" s="421">
        <v>0</v>
      </c>
      <c r="BR234" s="421">
        <v>0</v>
      </c>
      <c r="BS234" s="421">
        <v>0</v>
      </c>
      <c r="BT234" s="421">
        <v>0</v>
      </c>
      <c r="BU234" s="424">
        <v>42281</v>
      </c>
      <c r="BX234" s="421">
        <v>2887.21</v>
      </c>
      <c r="BY234" s="421" t="s">
        <v>1147</v>
      </c>
      <c r="BZ234" s="421">
        <v>81700</v>
      </c>
      <c r="CA234" s="421">
        <v>235885057</v>
      </c>
      <c r="CB234" s="421">
        <v>32.68</v>
      </c>
      <c r="CC234" s="421">
        <v>0</v>
      </c>
      <c r="CD234" s="421">
        <v>2520</v>
      </c>
      <c r="CE234" s="421">
        <v>2552.6799999999998</v>
      </c>
      <c r="CF234" s="421">
        <v>0</v>
      </c>
      <c r="CG234" s="421">
        <v>84252.68</v>
      </c>
      <c r="CH234" s="421">
        <v>0</v>
      </c>
      <c r="CI234" s="421">
        <v>84252.68</v>
      </c>
      <c r="CJ234" s="421">
        <v>243255180.22279999</v>
      </c>
      <c r="CK234" s="421">
        <v>0</v>
      </c>
      <c r="CL234" s="421">
        <v>243255180</v>
      </c>
      <c r="CM234" s="421">
        <v>0</v>
      </c>
      <c r="CN234" s="421">
        <v>0</v>
      </c>
      <c r="CO234" s="421">
        <v>0</v>
      </c>
      <c r="CP234" s="421">
        <v>0</v>
      </c>
      <c r="CQ234" s="421">
        <v>0</v>
      </c>
      <c r="CR234" s="421">
        <v>243255180</v>
      </c>
      <c r="CS234" s="421">
        <v>0</v>
      </c>
      <c r="CT234" s="421">
        <v>0</v>
      </c>
      <c r="CU234" s="421">
        <v>0</v>
      </c>
      <c r="CV234" s="421">
        <v>0</v>
      </c>
      <c r="CW234" s="421">
        <v>0</v>
      </c>
      <c r="CX234" s="421">
        <v>0</v>
      </c>
      <c r="CY234" s="421">
        <v>0</v>
      </c>
      <c r="CZ234" s="421">
        <v>0</v>
      </c>
      <c r="DA234" s="421">
        <v>0</v>
      </c>
      <c r="DB234" s="421">
        <v>0</v>
      </c>
      <c r="DC234" s="421">
        <v>0</v>
      </c>
      <c r="DD234" s="421">
        <v>0</v>
      </c>
      <c r="DE234" s="421">
        <v>0</v>
      </c>
      <c r="DF234" s="421">
        <v>0</v>
      </c>
      <c r="DG234" s="421">
        <v>0</v>
      </c>
      <c r="DH234" s="421">
        <v>0</v>
      </c>
      <c r="DI234" s="421">
        <v>0</v>
      </c>
      <c r="DJ234" s="421">
        <v>0</v>
      </c>
      <c r="DK234" s="421">
        <v>0</v>
      </c>
      <c r="DL234" s="421">
        <v>0</v>
      </c>
      <c r="DM234" s="421">
        <v>0</v>
      </c>
      <c r="DN234" s="421">
        <v>0</v>
      </c>
      <c r="DO234" s="421">
        <v>0</v>
      </c>
      <c r="DP234" s="421">
        <v>0</v>
      </c>
      <c r="DQ234" s="421">
        <v>0</v>
      </c>
      <c r="DR234" s="421">
        <v>0</v>
      </c>
      <c r="DS234" s="421">
        <v>0</v>
      </c>
      <c r="DT234" s="421">
        <v>0</v>
      </c>
      <c r="DU234" s="421">
        <v>0</v>
      </c>
      <c r="DV234" s="421">
        <v>0</v>
      </c>
      <c r="DW234" s="421">
        <v>0</v>
      </c>
      <c r="DX234" s="421">
        <v>0</v>
      </c>
      <c r="DY234" s="421">
        <v>0</v>
      </c>
      <c r="DZ234" s="421">
        <v>0</v>
      </c>
      <c r="EA234" s="421">
        <v>0</v>
      </c>
      <c r="EB234" s="421">
        <v>0</v>
      </c>
      <c r="EC234" s="421" t="s">
        <v>1148</v>
      </c>
      <c r="ED234" s="421" t="s">
        <v>1149</v>
      </c>
      <c r="EE234" s="421" t="s">
        <v>1149</v>
      </c>
    </row>
    <row r="235" spans="1:135" x14ac:dyDescent="0.25">
      <c r="A235" s="421">
        <v>232</v>
      </c>
      <c r="B235" s="421">
        <v>2015</v>
      </c>
      <c r="C235" s="421">
        <v>10</v>
      </c>
      <c r="D235" s="421">
        <v>16</v>
      </c>
      <c r="E235" s="424">
        <v>42293</v>
      </c>
      <c r="F235" s="421" t="s">
        <v>2809</v>
      </c>
      <c r="G235" s="421" t="s">
        <v>2810</v>
      </c>
      <c r="H235" s="421" t="s">
        <v>1106</v>
      </c>
      <c r="I235" s="421" t="s">
        <v>1281</v>
      </c>
      <c r="J235" s="421" t="s">
        <v>1108</v>
      </c>
      <c r="K235" s="421" t="s">
        <v>1109</v>
      </c>
      <c r="L235" s="421" t="s">
        <v>1110</v>
      </c>
      <c r="O235" s="421" t="s">
        <v>1111</v>
      </c>
      <c r="R235" s="421" t="s">
        <v>1111</v>
      </c>
      <c r="S235" s="421" t="s">
        <v>1112</v>
      </c>
      <c r="T235" s="421" t="s">
        <v>1113</v>
      </c>
      <c r="U235" s="421" t="s">
        <v>1114</v>
      </c>
      <c r="V235" s="421" t="s">
        <v>1115</v>
      </c>
      <c r="W235" s="421" t="s">
        <v>1116</v>
      </c>
      <c r="X235" s="421" t="s">
        <v>1117</v>
      </c>
      <c r="Y235" s="421" t="s">
        <v>1118</v>
      </c>
      <c r="Z235" s="421" t="s">
        <v>1119</v>
      </c>
      <c r="AA235" s="421" t="s">
        <v>1120</v>
      </c>
      <c r="AB235" s="421" t="s">
        <v>1121</v>
      </c>
      <c r="AC235" s="421" t="s">
        <v>1122</v>
      </c>
      <c r="AD235" s="421" t="s">
        <v>1479</v>
      </c>
      <c r="AE235" s="421" t="s">
        <v>1721</v>
      </c>
      <c r="AF235" s="421" t="s">
        <v>1722</v>
      </c>
      <c r="AG235" s="421" t="s">
        <v>2811</v>
      </c>
      <c r="AH235" s="421">
        <v>15921</v>
      </c>
      <c r="AI235" s="421" t="s">
        <v>1127</v>
      </c>
      <c r="AJ235" s="421">
        <v>16</v>
      </c>
      <c r="AK235" s="421">
        <v>1</v>
      </c>
      <c r="AL235" s="421" t="s">
        <v>1128</v>
      </c>
      <c r="AM235" s="421">
        <v>15921</v>
      </c>
      <c r="AN235" s="421">
        <v>15921</v>
      </c>
      <c r="AO235" s="421" t="s">
        <v>1427</v>
      </c>
      <c r="AP235" s="421" t="s">
        <v>2812</v>
      </c>
      <c r="AQ235" s="421" t="s">
        <v>1475</v>
      </c>
      <c r="AR235" s="421" t="s">
        <v>1476</v>
      </c>
      <c r="AT235" s="421" t="s">
        <v>1131</v>
      </c>
      <c r="AU235" s="421" t="s">
        <v>1132</v>
      </c>
      <c r="AV235" s="421" t="s">
        <v>1133</v>
      </c>
      <c r="AW235" s="421" t="s">
        <v>962</v>
      </c>
      <c r="AX235" s="421" t="s">
        <v>962</v>
      </c>
      <c r="AY235" s="421" t="s">
        <v>962</v>
      </c>
      <c r="AZ235" s="421" t="s">
        <v>1121</v>
      </c>
      <c r="BA235" s="421" t="s">
        <v>1725</v>
      </c>
      <c r="BB235" s="421" t="s">
        <v>962</v>
      </c>
      <c r="BC235" s="421" t="s">
        <v>1726</v>
      </c>
      <c r="BD235" s="421" t="s">
        <v>1727</v>
      </c>
      <c r="BE235" s="421" t="s">
        <v>1728</v>
      </c>
      <c r="BF235" s="421" t="s">
        <v>2813</v>
      </c>
      <c r="BG235" s="421" t="s">
        <v>2795</v>
      </c>
      <c r="BH235" s="421" t="s">
        <v>2814</v>
      </c>
      <c r="BI235" s="421" t="s">
        <v>1142</v>
      </c>
      <c r="BJ235" s="421" t="s">
        <v>1180</v>
      </c>
      <c r="BK235" s="421" t="s">
        <v>2810</v>
      </c>
      <c r="BL235" s="421" t="s">
        <v>2805</v>
      </c>
      <c r="BM235" s="421" t="s">
        <v>2815</v>
      </c>
      <c r="BN235" s="421" t="s">
        <v>2621</v>
      </c>
      <c r="BO235" s="421">
        <v>0</v>
      </c>
      <c r="BR235" s="421">
        <v>0</v>
      </c>
      <c r="BS235" s="421">
        <v>0</v>
      </c>
      <c r="BT235" s="421">
        <v>0</v>
      </c>
      <c r="BU235" s="424">
        <v>42275</v>
      </c>
      <c r="BX235" s="421">
        <v>2887.21</v>
      </c>
      <c r="BY235" s="421" t="s">
        <v>1147</v>
      </c>
      <c r="BZ235" s="421">
        <v>12017.5</v>
      </c>
      <c r="CA235" s="421">
        <v>34697046.174999997</v>
      </c>
      <c r="CB235" s="421">
        <v>4.8099999999999996</v>
      </c>
      <c r="CC235" s="421">
        <v>0</v>
      </c>
      <c r="CD235" s="421">
        <v>1475</v>
      </c>
      <c r="CE235" s="421">
        <v>1479.81</v>
      </c>
      <c r="CF235" s="421">
        <v>0</v>
      </c>
      <c r="CG235" s="421">
        <v>13497.31</v>
      </c>
      <c r="CH235" s="421">
        <v>0</v>
      </c>
      <c r="CI235" s="421">
        <v>13497.31</v>
      </c>
      <c r="CJ235" s="421">
        <v>38969568.405100003</v>
      </c>
      <c r="CK235" s="421">
        <v>0</v>
      </c>
      <c r="CL235" s="421">
        <v>38969568</v>
      </c>
      <c r="CM235" s="421">
        <v>0</v>
      </c>
      <c r="CN235" s="421">
        <v>0</v>
      </c>
      <c r="CO235" s="421">
        <v>0</v>
      </c>
      <c r="CP235" s="421">
        <v>0</v>
      </c>
      <c r="CQ235" s="421">
        <v>16</v>
      </c>
      <c r="CR235" s="421">
        <v>38969568</v>
      </c>
      <c r="CS235" s="421">
        <v>6235000</v>
      </c>
      <c r="CT235" s="421">
        <v>6235000</v>
      </c>
      <c r="CU235" s="421">
        <v>0</v>
      </c>
      <c r="CV235" s="421">
        <v>0</v>
      </c>
      <c r="CW235" s="421">
        <v>0</v>
      </c>
      <c r="CX235" s="421">
        <v>0</v>
      </c>
      <c r="CY235" s="421">
        <v>0</v>
      </c>
      <c r="CZ235" s="421">
        <v>0</v>
      </c>
      <c r="DA235" s="421">
        <v>0</v>
      </c>
      <c r="DB235" s="421">
        <v>0</v>
      </c>
      <c r="DC235" s="421">
        <v>0</v>
      </c>
      <c r="DD235" s="421">
        <v>0</v>
      </c>
      <c r="DE235" s="421">
        <v>0</v>
      </c>
      <c r="DF235" s="421">
        <v>0</v>
      </c>
      <c r="DG235" s="421">
        <v>0</v>
      </c>
      <c r="DH235" s="421">
        <v>0</v>
      </c>
      <c r="DI235" s="421">
        <v>0</v>
      </c>
      <c r="DJ235" s="421">
        <v>0</v>
      </c>
      <c r="DK235" s="421">
        <v>0</v>
      </c>
      <c r="DL235" s="421">
        <v>0</v>
      </c>
      <c r="DM235" s="421">
        <v>0</v>
      </c>
      <c r="DN235" s="421">
        <v>0</v>
      </c>
      <c r="DO235" s="421">
        <v>0</v>
      </c>
      <c r="DP235" s="421">
        <v>0</v>
      </c>
      <c r="DQ235" s="421">
        <v>0</v>
      </c>
      <c r="DR235" s="421">
        <v>0</v>
      </c>
      <c r="DS235" s="421">
        <v>0</v>
      </c>
      <c r="DT235" s="421">
        <v>0</v>
      </c>
      <c r="DU235" s="421">
        <v>0</v>
      </c>
      <c r="DV235" s="421">
        <v>0</v>
      </c>
      <c r="DW235" s="421">
        <v>0</v>
      </c>
      <c r="DX235" s="421">
        <v>0</v>
      </c>
      <c r="DY235" s="421">
        <v>6235000</v>
      </c>
      <c r="DZ235" s="421">
        <v>6235000</v>
      </c>
      <c r="EA235" s="421">
        <v>0</v>
      </c>
      <c r="EB235" s="421">
        <v>0</v>
      </c>
      <c r="EC235" s="421" t="s">
        <v>1148</v>
      </c>
      <c r="ED235" s="421" t="s">
        <v>1149</v>
      </c>
      <c r="EE235" s="421" t="s">
        <v>1149</v>
      </c>
    </row>
    <row r="236" spans="1:135" x14ac:dyDescent="0.25">
      <c r="A236" s="421">
        <v>233</v>
      </c>
      <c r="B236" s="421">
        <v>2015</v>
      </c>
      <c r="C236" s="421">
        <v>10</v>
      </c>
      <c r="D236" s="421">
        <v>16</v>
      </c>
      <c r="E236" s="424">
        <v>42293</v>
      </c>
      <c r="F236" s="421" t="s">
        <v>2816</v>
      </c>
      <c r="G236" s="421" t="s">
        <v>2817</v>
      </c>
      <c r="H236" s="421" t="s">
        <v>1152</v>
      </c>
      <c r="I236" s="421" t="s">
        <v>1107</v>
      </c>
      <c r="J236" s="421" t="s">
        <v>1108</v>
      </c>
      <c r="K236" s="421" t="s">
        <v>1109</v>
      </c>
      <c r="L236" s="421" t="s">
        <v>1110</v>
      </c>
      <c r="O236" s="421" t="s">
        <v>1111</v>
      </c>
      <c r="R236" s="421" t="s">
        <v>1111</v>
      </c>
      <c r="S236" s="421" t="s">
        <v>1112</v>
      </c>
      <c r="T236" s="421" t="s">
        <v>1113</v>
      </c>
      <c r="U236" s="421" t="s">
        <v>1114</v>
      </c>
      <c r="V236" s="421" t="s">
        <v>1115</v>
      </c>
      <c r="W236" s="421" t="s">
        <v>1116</v>
      </c>
      <c r="X236" s="421" t="s">
        <v>1117</v>
      </c>
      <c r="Y236" s="421" t="s">
        <v>1118</v>
      </c>
      <c r="Z236" s="421" t="s">
        <v>1119</v>
      </c>
      <c r="AA236" s="421" t="s">
        <v>1120</v>
      </c>
      <c r="AB236" s="421" t="s">
        <v>1121</v>
      </c>
      <c r="AC236" s="421" t="s">
        <v>1122</v>
      </c>
      <c r="AD236" s="421" t="s">
        <v>1479</v>
      </c>
      <c r="AE236" s="421" t="s">
        <v>1170</v>
      </c>
      <c r="AF236" s="421" t="s">
        <v>1171</v>
      </c>
      <c r="AG236" s="421" t="s">
        <v>2818</v>
      </c>
      <c r="AH236" s="421">
        <v>5872.5</v>
      </c>
      <c r="AI236" s="421" t="s">
        <v>1127</v>
      </c>
      <c r="AJ236" s="421">
        <v>789</v>
      </c>
      <c r="AK236" s="421">
        <v>1</v>
      </c>
      <c r="AL236" s="421" t="s">
        <v>1173</v>
      </c>
      <c r="AM236" s="421">
        <v>5872.5</v>
      </c>
      <c r="AN236" s="421">
        <v>9608.1</v>
      </c>
      <c r="AO236" s="421" t="s">
        <v>1120</v>
      </c>
      <c r="AP236" s="421" t="s">
        <v>1129</v>
      </c>
      <c r="AR236" s="421" t="s">
        <v>1130</v>
      </c>
      <c r="AT236" s="421" t="s">
        <v>1131</v>
      </c>
      <c r="AU236" s="421" t="s">
        <v>1190</v>
      </c>
      <c r="AV236" s="421" t="s">
        <v>1191</v>
      </c>
      <c r="AW236" s="421" t="s">
        <v>960</v>
      </c>
      <c r="AX236" s="421" t="s">
        <v>960</v>
      </c>
      <c r="AY236" s="421" t="s">
        <v>960</v>
      </c>
      <c r="AZ236" s="421" t="s">
        <v>1121</v>
      </c>
      <c r="BA236" s="421" t="s">
        <v>1431</v>
      </c>
      <c r="BB236" s="421" t="s">
        <v>960</v>
      </c>
      <c r="BC236" s="421" t="s">
        <v>1752</v>
      </c>
      <c r="BD236" s="421" t="s">
        <v>1433</v>
      </c>
      <c r="BE236" s="421" t="s">
        <v>1434</v>
      </c>
      <c r="BF236" s="421" t="s">
        <v>2813</v>
      </c>
      <c r="BG236" s="421" t="s">
        <v>2795</v>
      </c>
      <c r="BH236" s="421" t="s">
        <v>2819</v>
      </c>
      <c r="BI236" s="421" t="s">
        <v>1142</v>
      </c>
      <c r="BJ236" s="421" t="s">
        <v>1180</v>
      </c>
      <c r="BK236" s="421" t="s">
        <v>2817</v>
      </c>
      <c r="BL236" s="421" t="s">
        <v>2807</v>
      </c>
      <c r="BM236" s="421" t="s">
        <v>2820</v>
      </c>
      <c r="BN236" s="421" t="s">
        <v>2501</v>
      </c>
      <c r="BO236" s="421">
        <v>0</v>
      </c>
      <c r="BR236" s="421">
        <v>0</v>
      </c>
      <c r="BS236" s="421">
        <v>0</v>
      </c>
      <c r="BT236" s="421">
        <v>0</v>
      </c>
      <c r="BU236" s="424">
        <v>42256</v>
      </c>
      <c r="BX236" s="421">
        <v>2887.21</v>
      </c>
      <c r="BY236" s="421" t="s">
        <v>1183</v>
      </c>
      <c r="BZ236" s="421">
        <v>55295.57</v>
      </c>
      <c r="CA236" s="421">
        <v>159649922.65970001</v>
      </c>
      <c r="CB236" s="421">
        <v>22.12</v>
      </c>
      <c r="CC236" s="421">
        <v>0</v>
      </c>
      <c r="CD236" s="421">
        <v>2150</v>
      </c>
      <c r="CE236" s="421">
        <v>2172.12</v>
      </c>
      <c r="CF236" s="421">
        <v>0</v>
      </c>
      <c r="CG236" s="421">
        <v>57467.69</v>
      </c>
      <c r="CH236" s="421">
        <v>0</v>
      </c>
      <c r="CI236" s="421">
        <v>57467.69</v>
      </c>
      <c r="CJ236" s="421">
        <v>165921289.24489999</v>
      </c>
      <c r="CK236" s="421">
        <v>15</v>
      </c>
      <c r="CL236" s="421">
        <v>165921289</v>
      </c>
      <c r="CM236" s="421">
        <v>24888000</v>
      </c>
      <c r="CN236" s="421">
        <v>24888000</v>
      </c>
      <c r="CO236" s="421">
        <v>0</v>
      </c>
      <c r="CP236" s="421">
        <v>0</v>
      </c>
      <c r="CQ236" s="421">
        <v>16</v>
      </c>
      <c r="CR236" s="421">
        <v>190809289</v>
      </c>
      <c r="CS236" s="421">
        <v>30529000</v>
      </c>
      <c r="CT236" s="421">
        <v>30529000</v>
      </c>
      <c r="CU236" s="421">
        <v>0</v>
      </c>
      <c r="CV236" s="421">
        <v>0</v>
      </c>
      <c r="CW236" s="421">
        <v>0</v>
      </c>
      <c r="CX236" s="421">
        <v>0</v>
      </c>
      <c r="CY236" s="421">
        <v>0</v>
      </c>
      <c r="CZ236" s="421">
        <v>0</v>
      </c>
      <c r="DA236" s="421">
        <v>0</v>
      </c>
      <c r="DB236" s="421">
        <v>0</v>
      </c>
      <c r="DC236" s="421">
        <v>0</v>
      </c>
      <c r="DD236" s="421">
        <v>0</v>
      </c>
      <c r="DE236" s="421">
        <v>0</v>
      </c>
      <c r="DF236" s="421">
        <v>0</v>
      </c>
      <c r="DG236" s="421">
        <v>0</v>
      </c>
      <c r="DH236" s="421">
        <v>0</v>
      </c>
      <c r="DI236" s="421">
        <v>0</v>
      </c>
      <c r="DJ236" s="421">
        <v>0</v>
      </c>
      <c r="DK236" s="421">
        <v>0</v>
      </c>
      <c r="DL236" s="421">
        <v>0</v>
      </c>
      <c r="DM236" s="421">
        <v>0</v>
      </c>
      <c r="DN236" s="421">
        <v>0</v>
      </c>
      <c r="DO236" s="421">
        <v>0</v>
      </c>
      <c r="DP236" s="421">
        <v>0</v>
      </c>
      <c r="DQ236" s="421">
        <v>0</v>
      </c>
      <c r="DR236" s="421">
        <v>0</v>
      </c>
      <c r="DS236" s="421">
        <v>0</v>
      </c>
      <c r="DT236" s="421">
        <v>0</v>
      </c>
      <c r="DU236" s="421">
        <v>0</v>
      </c>
      <c r="DV236" s="421">
        <v>0</v>
      </c>
      <c r="DW236" s="421">
        <v>0</v>
      </c>
      <c r="DX236" s="421">
        <v>0</v>
      </c>
      <c r="DY236" s="421">
        <v>55417000</v>
      </c>
      <c r="DZ236" s="421">
        <v>55417000</v>
      </c>
      <c r="EA236" s="421">
        <v>0</v>
      </c>
      <c r="EB236" s="421">
        <v>0</v>
      </c>
      <c r="EC236" s="421" t="s">
        <v>1148</v>
      </c>
      <c r="ED236" s="421" t="s">
        <v>1167</v>
      </c>
      <c r="EE236" s="421" t="s">
        <v>1167</v>
      </c>
    </row>
    <row r="237" spans="1:135" x14ac:dyDescent="0.25">
      <c r="A237" s="421">
        <v>234</v>
      </c>
      <c r="B237" s="421">
        <v>2015</v>
      </c>
      <c r="C237" s="421">
        <v>10</v>
      </c>
      <c r="D237" s="421">
        <v>19</v>
      </c>
      <c r="E237" s="424">
        <v>42296</v>
      </c>
      <c r="F237" s="421" t="s">
        <v>2821</v>
      </c>
      <c r="G237" s="421" t="s">
        <v>2822</v>
      </c>
      <c r="H237" s="421" t="s">
        <v>1106</v>
      </c>
      <c r="I237" s="421" t="s">
        <v>1107</v>
      </c>
      <c r="J237" s="421" t="s">
        <v>1108</v>
      </c>
      <c r="K237" s="421" t="s">
        <v>1109</v>
      </c>
      <c r="L237" s="421" t="s">
        <v>1110</v>
      </c>
      <c r="O237" s="421" t="s">
        <v>1111</v>
      </c>
      <c r="R237" s="421" t="s">
        <v>1111</v>
      </c>
      <c r="S237" s="421" t="s">
        <v>1112</v>
      </c>
      <c r="T237" s="421" t="s">
        <v>1113</v>
      </c>
      <c r="U237" s="421" t="s">
        <v>1114</v>
      </c>
      <c r="V237" s="421" t="s">
        <v>1115</v>
      </c>
      <c r="W237" s="421" t="s">
        <v>1116</v>
      </c>
      <c r="X237" s="421" t="s">
        <v>1117</v>
      </c>
      <c r="Y237" s="421" t="s">
        <v>1118</v>
      </c>
      <c r="Z237" s="421" t="s">
        <v>1119</v>
      </c>
      <c r="AA237" s="421" t="s">
        <v>1120</v>
      </c>
      <c r="AB237" s="421" t="s">
        <v>1121</v>
      </c>
      <c r="AC237" s="421" t="s">
        <v>1122</v>
      </c>
      <c r="AD237" s="421" t="s">
        <v>1479</v>
      </c>
      <c r="AE237" s="421" t="s">
        <v>1471</v>
      </c>
      <c r="AF237" s="421" t="s">
        <v>1472</v>
      </c>
      <c r="AG237" s="421" t="s">
        <v>2823</v>
      </c>
      <c r="AH237" s="421">
        <v>155808</v>
      </c>
      <c r="AI237" s="421" t="s">
        <v>1189</v>
      </c>
      <c r="AJ237" s="421">
        <v>858</v>
      </c>
      <c r="AK237" s="421">
        <v>2</v>
      </c>
      <c r="AL237" s="421" t="s">
        <v>1173</v>
      </c>
      <c r="AM237" s="421">
        <v>6334.46</v>
      </c>
      <c r="AN237" s="421">
        <v>7728.04</v>
      </c>
      <c r="AO237" s="421" t="s">
        <v>1120</v>
      </c>
      <c r="AP237" s="421" t="s">
        <v>2824</v>
      </c>
      <c r="AQ237" s="421" t="s">
        <v>1475</v>
      </c>
      <c r="AR237" s="421" t="s">
        <v>1476</v>
      </c>
      <c r="AT237" s="421" t="s">
        <v>1131</v>
      </c>
      <c r="AU237" s="421" t="s">
        <v>1132</v>
      </c>
      <c r="AV237" s="421" t="s">
        <v>1133</v>
      </c>
      <c r="AW237" s="421" t="s">
        <v>960</v>
      </c>
      <c r="AX237" s="421" t="s">
        <v>960</v>
      </c>
      <c r="AY237" s="421" t="s">
        <v>960</v>
      </c>
      <c r="AZ237" s="421" t="s">
        <v>1121</v>
      </c>
      <c r="BA237" s="421" t="s">
        <v>1305</v>
      </c>
      <c r="BB237" s="421" t="s">
        <v>960</v>
      </c>
      <c r="BC237" s="421" t="s">
        <v>1175</v>
      </c>
      <c r="BD237" s="421" t="s">
        <v>1306</v>
      </c>
      <c r="BE237" s="421" t="s">
        <v>2162</v>
      </c>
      <c r="BF237" s="421" t="s">
        <v>2825</v>
      </c>
      <c r="BG237" s="421" t="s">
        <v>2795</v>
      </c>
      <c r="BH237" s="421" t="s">
        <v>2826</v>
      </c>
      <c r="BI237" s="421" t="s">
        <v>1142</v>
      </c>
      <c r="BJ237" s="421" t="s">
        <v>1243</v>
      </c>
      <c r="BK237" s="421" t="s">
        <v>2822</v>
      </c>
      <c r="BL237" s="421" t="s">
        <v>2827</v>
      </c>
      <c r="BM237" s="421" t="s">
        <v>2828</v>
      </c>
      <c r="BN237" s="421" t="s">
        <v>2576</v>
      </c>
      <c r="BO237" s="421">
        <v>0</v>
      </c>
      <c r="BR237" s="421">
        <v>0</v>
      </c>
      <c r="BS237" s="421">
        <v>0</v>
      </c>
      <c r="BT237" s="421">
        <v>0</v>
      </c>
      <c r="BU237" s="424">
        <v>42263</v>
      </c>
      <c r="BX237" s="421">
        <v>2908.87</v>
      </c>
      <c r="BY237" s="421" t="s">
        <v>1183</v>
      </c>
      <c r="BZ237" s="421">
        <v>41446.1</v>
      </c>
      <c r="CA237" s="421">
        <v>120561316.90700001</v>
      </c>
      <c r="CB237" s="421">
        <v>16.579999999999998</v>
      </c>
      <c r="CC237" s="421">
        <v>0</v>
      </c>
      <c r="CD237" s="421">
        <v>2208.23</v>
      </c>
      <c r="CE237" s="421">
        <v>2224.81</v>
      </c>
      <c r="CF237" s="421">
        <v>0</v>
      </c>
      <c r="CG237" s="421">
        <v>43670.91</v>
      </c>
      <c r="CH237" s="421">
        <v>0</v>
      </c>
      <c r="CI237" s="421">
        <v>43670.91</v>
      </c>
      <c r="CJ237" s="421">
        <v>127032999.9717</v>
      </c>
      <c r="CK237" s="421">
        <v>15</v>
      </c>
      <c r="CL237" s="421">
        <v>127033000</v>
      </c>
      <c r="CM237" s="421">
        <v>19055000</v>
      </c>
      <c r="CN237" s="421">
        <v>19055000</v>
      </c>
      <c r="CO237" s="421">
        <v>0</v>
      </c>
      <c r="CP237" s="421">
        <v>0</v>
      </c>
      <c r="CQ237" s="421">
        <v>16</v>
      </c>
      <c r="CR237" s="421">
        <v>146088000</v>
      </c>
      <c r="CS237" s="421">
        <v>23374000</v>
      </c>
      <c r="CT237" s="421">
        <v>23374000</v>
      </c>
      <c r="CU237" s="421">
        <v>0</v>
      </c>
      <c r="CV237" s="421">
        <v>0</v>
      </c>
      <c r="CW237" s="421">
        <v>0</v>
      </c>
      <c r="CX237" s="421">
        <v>0</v>
      </c>
      <c r="CY237" s="421">
        <v>0</v>
      </c>
      <c r="CZ237" s="421">
        <v>0</v>
      </c>
      <c r="DA237" s="421">
        <v>0</v>
      </c>
      <c r="DB237" s="421">
        <v>0</v>
      </c>
      <c r="DC237" s="421">
        <v>0</v>
      </c>
      <c r="DD237" s="421">
        <v>0</v>
      </c>
      <c r="DE237" s="421">
        <v>0</v>
      </c>
      <c r="DF237" s="421">
        <v>0</v>
      </c>
      <c r="DG237" s="421">
        <v>0</v>
      </c>
      <c r="DH237" s="421">
        <v>0</v>
      </c>
      <c r="DI237" s="421">
        <v>0</v>
      </c>
      <c r="DJ237" s="421">
        <v>0</v>
      </c>
      <c r="DK237" s="421">
        <v>0</v>
      </c>
      <c r="DL237" s="421">
        <v>0</v>
      </c>
      <c r="DM237" s="421">
        <v>0</v>
      </c>
      <c r="DN237" s="421">
        <v>0</v>
      </c>
      <c r="DO237" s="421">
        <v>0</v>
      </c>
      <c r="DP237" s="421">
        <v>0</v>
      </c>
      <c r="DQ237" s="421">
        <v>0</v>
      </c>
      <c r="DR237" s="421">
        <v>0</v>
      </c>
      <c r="DS237" s="421">
        <v>0</v>
      </c>
      <c r="DT237" s="421">
        <v>0</v>
      </c>
      <c r="DU237" s="421">
        <v>0</v>
      </c>
      <c r="DV237" s="421">
        <v>0</v>
      </c>
      <c r="DW237" s="421">
        <v>0</v>
      </c>
      <c r="DX237" s="421">
        <v>0</v>
      </c>
      <c r="DY237" s="421">
        <v>42429000</v>
      </c>
      <c r="DZ237" s="421">
        <v>42429000</v>
      </c>
      <c r="EA237" s="421">
        <v>0</v>
      </c>
      <c r="EB237" s="421">
        <v>0</v>
      </c>
      <c r="EC237" s="421" t="s">
        <v>1148</v>
      </c>
      <c r="ED237" s="421" t="s">
        <v>1167</v>
      </c>
      <c r="EE237" s="421" t="s">
        <v>1167</v>
      </c>
    </row>
    <row r="238" spans="1:135" x14ac:dyDescent="0.25">
      <c r="A238" s="421">
        <v>235</v>
      </c>
      <c r="B238" s="421">
        <v>2015</v>
      </c>
      <c r="C238" s="421">
        <v>10</v>
      </c>
      <c r="D238" s="421">
        <v>19</v>
      </c>
      <c r="E238" s="424">
        <v>42296</v>
      </c>
      <c r="F238" s="421" t="s">
        <v>2829</v>
      </c>
      <c r="G238" s="421" t="s">
        <v>2830</v>
      </c>
      <c r="H238" s="421" t="s">
        <v>1106</v>
      </c>
      <c r="I238" s="421" t="s">
        <v>1107</v>
      </c>
      <c r="J238" s="421" t="s">
        <v>1108</v>
      </c>
      <c r="K238" s="421" t="s">
        <v>1109</v>
      </c>
      <c r="L238" s="421" t="s">
        <v>1110</v>
      </c>
      <c r="O238" s="421" t="s">
        <v>1111</v>
      </c>
      <c r="R238" s="421" t="s">
        <v>1111</v>
      </c>
      <c r="S238" s="421" t="s">
        <v>1112</v>
      </c>
      <c r="T238" s="421" t="s">
        <v>1113</v>
      </c>
      <c r="U238" s="421" t="s">
        <v>1114</v>
      </c>
      <c r="V238" s="421" t="s">
        <v>1115</v>
      </c>
      <c r="W238" s="421" t="s">
        <v>1116</v>
      </c>
      <c r="X238" s="421" t="s">
        <v>1117</v>
      </c>
      <c r="Y238" s="421" t="s">
        <v>1118</v>
      </c>
      <c r="Z238" s="421" t="s">
        <v>1119</v>
      </c>
      <c r="AA238" s="421" t="s">
        <v>1120</v>
      </c>
      <c r="AB238" s="421" t="s">
        <v>1121</v>
      </c>
      <c r="AC238" s="421" t="s">
        <v>1122</v>
      </c>
      <c r="AD238" s="421" t="s">
        <v>1479</v>
      </c>
      <c r="AE238" s="421" t="s">
        <v>1300</v>
      </c>
      <c r="AF238" s="421" t="s">
        <v>1301</v>
      </c>
      <c r="AG238" s="421" t="s">
        <v>2831</v>
      </c>
      <c r="AH238" s="421">
        <v>1153</v>
      </c>
      <c r="AI238" s="421" t="s">
        <v>1127</v>
      </c>
      <c r="AJ238" s="421">
        <v>858</v>
      </c>
      <c r="AK238" s="421">
        <v>2</v>
      </c>
      <c r="AL238" s="421" t="s">
        <v>1173</v>
      </c>
      <c r="AM238" s="421">
        <v>1153</v>
      </c>
      <c r="AN238" s="421">
        <v>1430.58</v>
      </c>
      <c r="AO238" s="421" t="s">
        <v>1120</v>
      </c>
      <c r="AP238" s="421" t="s">
        <v>1129</v>
      </c>
      <c r="AR238" s="421" t="s">
        <v>1130</v>
      </c>
      <c r="AT238" s="421" t="s">
        <v>1131</v>
      </c>
      <c r="AU238" s="421" t="s">
        <v>1132</v>
      </c>
      <c r="AV238" s="421" t="s">
        <v>1133</v>
      </c>
      <c r="AW238" s="421" t="s">
        <v>960</v>
      </c>
      <c r="AX238" s="421" t="s">
        <v>960</v>
      </c>
      <c r="AY238" s="421" t="s">
        <v>960</v>
      </c>
      <c r="AZ238" s="421" t="s">
        <v>1121</v>
      </c>
      <c r="BA238" s="421" t="s">
        <v>1305</v>
      </c>
      <c r="BB238" s="421" t="s">
        <v>960</v>
      </c>
      <c r="BC238" s="421" t="s">
        <v>1175</v>
      </c>
      <c r="BD238" s="421" t="s">
        <v>1306</v>
      </c>
      <c r="BE238" s="421" t="s">
        <v>2162</v>
      </c>
      <c r="BF238" s="421" t="s">
        <v>2825</v>
      </c>
      <c r="BG238" s="421" t="s">
        <v>2795</v>
      </c>
      <c r="BH238" s="421" t="s">
        <v>2826</v>
      </c>
      <c r="BI238" s="421" t="s">
        <v>1142</v>
      </c>
      <c r="BJ238" s="421" t="s">
        <v>1243</v>
      </c>
      <c r="BK238" s="421" t="s">
        <v>2830</v>
      </c>
      <c r="BL238" s="421" t="s">
        <v>2827</v>
      </c>
      <c r="BM238" s="421" t="s">
        <v>2828</v>
      </c>
      <c r="BN238" s="421" t="s">
        <v>2576</v>
      </c>
      <c r="BO238" s="421">
        <v>0</v>
      </c>
      <c r="BR238" s="421">
        <v>0</v>
      </c>
      <c r="BS238" s="421">
        <v>0</v>
      </c>
      <c r="BT238" s="421">
        <v>0</v>
      </c>
      <c r="BU238" s="424">
        <v>42263</v>
      </c>
      <c r="BX238" s="421">
        <v>2908.87</v>
      </c>
      <c r="BY238" s="421" t="s">
        <v>1183</v>
      </c>
      <c r="BZ238" s="421">
        <v>17957.34</v>
      </c>
      <c r="CA238" s="421">
        <v>52235567.605800003</v>
      </c>
      <c r="CB238" s="421">
        <v>7.18</v>
      </c>
      <c r="CC238" s="421">
        <v>0</v>
      </c>
      <c r="CD238" s="421">
        <v>408.77</v>
      </c>
      <c r="CE238" s="421">
        <v>415.95</v>
      </c>
      <c r="CF238" s="421">
        <v>0</v>
      </c>
      <c r="CG238" s="421">
        <v>18373.29</v>
      </c>
      <c r="CH238" s="421">
        <v>0</v>
      </c>
      <c r="CI238" s="421">
        <v>18373.29</v>
      </c>
      <c r="CJ238" s="421">
        <v>53445512.0823</v>
      </c>
      <c r="CK238" s="421">
        <v>15</v>
      </c>
      <c r="CL238" s="421">
        <v>53445512</v>
      </c>
      <c r="CM238" s="421">
        <v>8017000</v>
      </c>
      <c r="CN238" s="421">
        <v>8017000</v>
      </c>
      <c r="CO238" s="421">
        <v>0</v>
      </c>
      <c r="CP238" s="421">
        <v>0</v>
      </c>
      <c r="CQ238" s="421">
        <v>16</v>
      </c>
      <c r="CR238" s="421">
        <v>61462512</v>
      </c>
      <c r="CS238" s="421">
        <v>9834000</v>
      </c>
      <c r="CT238" s="421">
        <v>9834000</v>
      </c>
      <c r="CU238" s="421">
        <v>0</v>
      </c>
      <c r="CV238" s="421">
        <v>0</v>
      </c>
      <c r="CW238" s="421">
        <v>0</v>
      </c>
      <c r="CX238" s="421">
        <v>0</v>
      </c>
      <c r="CY238" s="421">
        <v>0</v>
      </c>
      <c r="CZ238" s="421">
        <v>0</v>
      </c>
      <c r="DA238" s="421">
        <v>0</v>
      </c>
      <c r="DB238" s="421">
        <v>0</v>
      </c>
      <c r="DC238" s="421">
        <v>0</v>
      </c>
      <c r="DD238" s="421">
        <v>0</v>
      </c>
      <c r="DE238" s="421">
        <v>0</v>
      </c>
      <c r="DF238" s="421">
        <v>0</v>
      </c>
      <c r="DG238" s="421">
        <v>0</v>
      </c>
      <c r="DH238" s="421">
        <v>0</v>
      </c>
      <c r="DI238" s="421">
        <v>0</v>
      </c>
      <c r="DJ238" s="421">
        <v>0</v>
      </c>
      <c r="DK238" s="421">
        <v>0</v>
      </c>
      <c r="DL238" s="421">
        <v>0</v>
      </c>
      <c r="DM238" s="421">
        <v>0</v>
      </c>
      <c r="DN238" s="421">
        <v>0</v>
      </c>
      <c r="DO238" s="421">
        <v>0</v>
      </c>
      <c r="DP238" s="421">
        <v>0</v>
      </c>
      <c r="DQ238" s="421">
        <v>0</v>
      </c>
      <c r="DR238" s="421">
        <v>0</v>
      </c>
      <c r="DS238" s="421">
        <v>0</v>
      </c>
      <c r="DT238" s="421">
        <v>0</v>
      </c>
      <c r="DU238" s="421">
        <v>0</v>
      </c>
      <c r="DV238" s="421">
        <v>0</v>
      </c>
      <c r="DW238" s="421">
        <v>0</v>
      </c>
      <c r="DX238" s="421">
        <v>0</v>
      </c>
      <c r="DY238" s="421">
        <v>17851000</v>
      </c>
      <c r="DZ238" s="421">
        <v>17851000</v>
      </c>
      <c r="EA238" s="421">
        <v>0</v>
      </c>
      <c r="EB238" s="421">
        <v>0</v>
      </c>
      <c r="EC238" s="421" t="s">
        <v>1148</v>
      </c>
      <c r="ED238" s="421" t="s">
        <v>1167</v>
      </c>
      <c r="EE238" s="421" t="s">
        <v>1167</v>
      </c>
    </row>
    <row r="239" spans="1:135" x14ac:dyDescent="0.25">
      <c r="A239" s="421">
        <v>236</v>
      </c>
      <c r="B239" s="421">
        <v>2015</v>
      </c>
      <c r="C239" s="421">
        <v>10</v>
      </c>
      <c r="D239" s="421">
        <v>20</v>
      </c>
      <c r="E239" s="424">
        <v>42297</v>
      </c>
      <c r="F239" s="421" t="s">
        <v>2832</v>
      </c>
      <c r="G239" s="421" t="s">
        <v>2833</v>
      </c>
      <c r="H239" s="421" t="s">
        <v>1152</v>
      </c>
      <c r="I239" s="421" t="s">
        <v>1107</v>
      </c>
      <c r="J239" s="421" t="s">
        <v>1108</v>
      </c>
      <c r="K239" s="421" t="s">
        <v>1109</v>
      </c>
      <c r="L239" s="421" t="s">
        <v>1110</v>
      </c>
      <c r="O239" s="421" t="s">
        <v>1111</v>
      </c>
      <c r="R239" s="421" t="s">
        <v>1111</v>
      </c>
      <c r="S239" s="421" t="s">
        <v>1112</v>
      </c>
      <c r="T239" s="421" t="s">
        <v>1113</v>
      </c>
      <c r="U239" s="421" t="s">
        <v>1114</v>
      </c>
      <c r="V239" s="421" t="s">
        <v>1115</v>
      </c>
      <c r="W239" s="421" t="s">
        <v>1116</v>
      </c>
      <c r="X239" s="421" t="s">
        <v>1117</v>
      </c>
      <c r="Y239" s="421" t="s">
        <v>1118</v>
      </c>
      <c r="Z239" s="421" t="s">
        <v>1119</v>
      </c>
      <c r="AA239" s="421" t="s">
        <v>1120</v>
      </c>
      <c r="AB239" s="421" t="s">
        <v>1121</v>
      </c>
      <c r="AC239" s="421" t="s">
        <v>1122</v>
      </c>
      <c r="AD239" s="421" t="s">
        <v>1479</v>
      </c>
      <c r="AE239" s="421" t="s">
        <v>1264</v>
      </c>
      <c r="AF239" s="421" t="s">
        <v>1265</v>
      </c>
      <c r="AG239" s="421" t="s">
        <v>2834</v>
      </c>
      <c r="AH239" s="421">
        <v>4000</v>
      </c>
      <c r="AI239" s="421" t="s">
        <v>1127</v>
      </c>
      <c r="AJ239" s="421">
        <v>9</v>
      </c>
      <c r="AK239" s="421">
        <v>1</v>
      </c>
      <c r="AL239" s="421" t="s">
        <v>1206</v>
      </c>
      <c r="AM239" s="421">
        <v>4000</v>
      </c>
      <c r="AN239" s="421">
        <v>4470</v>
      </c>
      <c r="AO239" s="421" t="s">
        <v>1120</v>
      </c>
      <c r="AP239" s="421" t="s">
        <v>1129</v>
      </c>
      <c r="AR239" s="421" t="s">
        <v>1130</v>
      </c>
      <c r="AT239" s="421" t="s">
        <v>1131</v>
      </c>
      <c r="AU239" s="421" t="s">
        <v>1319</v>
      </c>
      <c r="AV239" s="421" t="s">
        <v>1320</v>
      </c>
      <c r="AW239" s="421" t="s">
        <v>964</v>
      </c>
      <c r="AX239" s="421" t="s">
        <v>964</v>
      </c>
      <c r="AY239" s="421" t="s">
        <v>964</v>
      </c>
      <c r="AZ239" s="421" t="s">
        <v>1121</v>
      </c>
      <c r="BA239" s="421" t="s">
        <v>1268</v>
      </c>
      <c r="BB239" s="421" t="s">
        <v>964</v>
      </c>
      <c r="BC239" s="421" t="s">
        <v>1269</v>
      </c>
      <c r="BD239" s="421" t="s">
        <v>1270</v>
      </c>
      <c r="BE239" s="421" t="s">
        <v>1271</v>
      </c>
      <c r="BF239" s="421" t="s">
        <v>2804</v>
      </c>
      <c r="BG239" s="421" t="s">
        <v>2805</v>
      </c>
      <c r="BH239" s="421" t="s">
        <v>2835</v>
      </c>
      <c r="BI239" s="421" t="s">
        <v>1142</v>
      </c>
      <c r="BJ239" s="421" t="s">
        <v>1163</v>
      </c>
      <c r="BK239" s="421" t="s">
        <v>2833</v>
      </c>
      <c r="BL239" s="421" t="s">
        <v>2827</v>
      </c>
      <c r="BM239" s="421" t="s">
        <v>2836</v>
      </c>
      <c r="BN239" s="421" t="s">
        <v>2503</v>
      </c>
      <c r="BO239" s="421">
        <v>0</v>
      </c>
      <c r="BR239" s="421">
        <v>0</v>
      </c>
      <c r="BS239" s="421">
        <v>0</v>
      </c>
      <c r="BT239" s="421">
        <v>0</v>
      </c>
      <c r="BU239" s="424">
        <v>42255</v>
      </c>
      <c r="BX239" s="421">
        <v>2908.87</v>
      </c>
      <c r="BY239" s="421" t="s">
        <v>1147</v>
      </c>
      <c r="BZ239" s="421">
        <v>26600</v>
      </c>
      <c r="CA239" s="421">
        <v>77375942</v>
      </c>
      <c r="CB239" s="421">
        <v>10.64</v>
      </c>
      <c r="CC239" s="421">
        <v>0</v>
      </c>
      <c r="CD239" s="421">
        <v>1800</v>
      </c>
      <c r="CE239" s="421">
        <v>1810.64</v>
      </c>
      <c r="CF239" s="421">
        <v>0</v>
      </c>
      <c r="CG239" s="421">
        <v>28410.639999999999</v>
      </c>
      <c r="CH239" s="421">
        <v>0</v>
      </c>
      <c r="CI239" s="421">
        <v>28410.639999999999</v>
      </c>
      <c r="CJ239" s="421">
        <v>82642858.376800001</v>
      </c>
      <c r="CK239" s="421">
        <v>5</v>
      </c>
      <c r="CL239" s="421">
        <v>82642858</v>
      </c>
      <c r="CM239" s="421">
        <v>4132000</v>
      </c>
      <c r="CN239" s="421">
        <v>4132000</v>
      </c>
      <c r="CO239" s="421">
        <v>0</v>
      </c>
      <c r="CP239" s="421">
        <v>0</v>
      </c>
      <c r="CQ239" s="421">
        <v>16</v>
      </c>
      <c r="CR239" s="421">
        <v>86774858</v>
      </c>
      <c r="CS239" s="421">
        <v>13884000</v>
      </c>
      <c r="CT239" s="421">
        <v>13884000</v>
      </c>
      <c r="CU239" s="421">
        <v>0</v>
      </c>
      <c r="CV239" s="421">
        <v>0</v>
      </c>
      <c r="CW239" s="421">
        <v>0</v>
      </c>
      <c r="CX239" s="421">
        <v>0</v>
      </c>
      <c r="CY239" s="421">
        <v>0</v>
      </c>
      <c r="CZ239" s="421">
        <v>0</v>
      </c>
      <c r="DA239" s="421">
        <v>0</v>
      </c>
      <c r="DB239" s="421">
        <v>0</v>
      </c>
      <c r="DC239" s="421">
        <v>0</v>
      </c>
      <c r="DD239" s="421">
        <v>0</v>
      </c>
      <c r="DE239" s="421">
        <v>0</v>
      </c>
      <c r="DF239" s="421">
        <v>0</v>
      </c>
      <c r="DG239" s="421">
        <v>0</v>
      </c>
      <c r="DH239" s="421">
        <v>0</v>
      </c>
      <c r="DI239" s="421">
        <v>0</v>
      </c>
      <c r="DJ239" s="421">
        <v>0</v>
      </c>
      <c r="DK239" s="421">
        <v>0</v>
      </c>
      <c r="DL239" s="421">
        <v>0</v>
      </c>
      <c r="DM239" s="421">
        <v>0</v>
      </c>
      <c r="DN239" s="421">
        <v>0</v>
      </c>
      <c r="DO239" s="421">
        <v>0</v>
      </c>
      <c r="DP239" s="421">
        <v>0</v>
      </c>
      <c r="DQ239" s="421">
        <v>0</v>
      </c>
      <c r="DR239" s="421">
        <v>0</v>
      </c>
      <c r="DS239" s="421">
        <v>0</v>
      </c>
      <c r="DT239" s="421">
        <v>0</v>
      </c>
      <c r="DU239" s="421">
        <v>0</v>
      </c>
      <c r="DV239" s="421">
        <v>0</v>
      </c>
      <c r="DW239" s="421">
        <v>0</v>
      </c>
      <c r="DX239" s="421">
        <v>0</v>
      </c>
      <c r="DY239" s="421">
        <v>18016000</v>
      </c>
      <c r="DZ239" s="421">
        <v>18016000</v>
      </c>
      <c r="EA239" s="421">
        <v>0</v>
      </c>
      <c r="EB239" s="421">
        <v>0</v>
      </c>
      <c r="EC239" s="421" t="s">
        <v>1148</v>
      </c>
      <c r="ED239" s="421" t="s">
        <v>1278</v>
      </c>
      <c r="EE239" s="421" t="s">
        <v>1278</v>
      </c>
    </row>
    <row r="240" spans="1:135" x14ac:dyDescent="0.25">
      <c r="A240" s="421">
        <v>237</v>
      </c>
      <c r="B240" s="421">
        <v>2015</v>
      </c>
      <c r="C240" s="421">
        <v>10</v>
      </c>
      <c r="D240" s="421">
        <v>23</v>
      </c>
      <c r="E240" s="424">
        <v>42300</v>
      </c>
      <c r="F240" s="421" t="s">
        <v>2837</v>
      </c>
      <c r="G240" s="421" t="s">
        <v>2838</v>
      </c>
      <c r="H240" s="421" t="s">
        <v>1106</v>
      </c>
      <c r="I240" s="421" t="s">
        <v>1107</v>
      </c>
      <c r="J240" s="421" t="s">
        <v>1108</v>
      </c>
      <c r="K240" s="421" t="s">
        <v>1202</v>
      </c>
      <c r="L240" s="421" t="s">
        <v>1110</v>
      </c>
      <c r="O240" s="421" t="s">
        <v>1111</v>
      </c>
      <c r="R240" s="421" t="s">
        <v>1111</v>
      </c>
      <c r="S240" s="421" t="s">
        <v>1112</v>
      </c>
      <c r="T240" s="421" t="s">
        <v>1113</v>
      </c>
      <c r="U240" s="421" t="s">
        <v>1114</v>
      </c>
      <c r="V240" s="421" t="s">
        <v>1115</v>
      </c>
      <c r="W240" s="421" t="s">
        <v>1116</v>
      </c>
      <c r="X240" s="421" t="s">
        <v>1117</v>
      </c>
      <c r="Y240" s="421" t="s">
        <v>1118</v>
      </c>
      <c r="Z240" s="421" t="s">
        <v>1119</v>
      </c>
      <c r="AA240" s="421" t="s">
        <v>1120</v>
      </c>
      <c r="AB240" s="421" t="s">
        <v>1121</v>
      </c>
      <c r="AC240" s="421" t="s">
        <v>1122</v>
      </c>
      <c r="AD240" s="421" t="s">
        <v>1479</v>
      </c>
      <c r="AE240" s="421" t="s">
        <v>1203</v>
      </c>
      <c r="AF240" s="421" t="s">
        <v>1204</v>
      </c>
      <c r="AG240" s="421" t="s">
        <v>2839</v>
      </c>
      <c r="AH240" s="421">
        <v>43000</v>
      </c>
      <c r="AI240" s="421" t="s">
        <v>1127</v>
      </c>
      <c r="AJ240" s="421">
        <v>2</v>
      </c>
      <c r="AK240" s="421">
        <v>1</v>
      </c>
      <c r="AL240" s="421" t="s">
        <v>1283</v>
      </c>
      <c r="AM240" s="421">
        <v>43000</v>
      </c>
      <c r="AN240" s="421">
        <v>43485</v>
      </c>
      <c r="AO240" s="421" t="s">
        <v>1120</v>
      </c>
      <c r="AP240" s="421" t="s">
        <v>1129</v>
      </c>
      <c r="AR240" s="421" t="s">
        <v>1130</v>
      </c>
      <c r="AT240" s="421" t="s">
        <v>1131</v>
      </c>
      <c r="AU240" s="421" t="s">
        <v>1319</v>
      </c>
      <c r="AV240" s="421" t="s">
        <v>1320</v>
      </c>
      <c r="AW240" s="421" t="s">
        <v>1207</v>
      </c>
      <c r="AX240" s="421" t="s">
        <v>1207</v>
      </c>
      <c r="AY240" s="421" t="s">
        <v>1208</v>
      </c>
      <c r="AZ240" s="421" t="s">
        <v>1121</v>
      </c>
      <c r="BA240" s="421" t="s">
        <v>1209</v>
      </c>
      <c r="BB240" s="421" t="s">
        <v>1208</v>
      </c>
      <c r="BC240" s="421" t="s">
        <v>1210</v>
      </c>
      <c r="BD240" s="421" t="s">
        <v>1211</v>
      </c>
      <c r="BE240" s="421" t="s">
        <v>1212</v>
      </c>
      <c r="BF240" s="421" t="s">
        <v>2840</v>
      </c>
      <c r="BG240" s="421" t="s">
        <v>2841</v>
      </c>
      <c r="BH240" s="421" t="s">
        <v>2842</v>
      </c>
      <c r="BI240" s="421" t="s">
        <v>1142</v>
      </c>
      <c r="BJ240" s="421" t="s">
        <v>1163</v>
      </c>
      <c r="BK240" s="421" t="s">
        <v>2838</v>
      </c>
      <c r="BL240" s="421" t="s">
        <v>2843</v>
      </c>
      <c r="BM240" s="421" t="s">
        <v>2844</v>
      </c>
      <c r="BN240" s="421" t="s">
        <v>2783</v>
      </c>
      <c r="BO240" s="421">
        <v>0</v>
      </c>
      <c r="BR240" s="421">
        <v>0</v>
      </c>
      <c r="BS240" s="421">
        <v>0</v>
      </c>
      <c r="BT240" s="421">
        <v>0</v>
      </c>
      <c r="BU240" s="424">
        <v>42288</v>
      </c>
      <c r="BX240" s="421">
        <v>2908.87</v>
      </c>
      <c r="BY240" s="421" t="s">
        <v>1147</v>
      </c>
      <c r="BZ240" s="421">
        <v>81700</v>
      </c>
      <c r="CA240" s="421">
        <v>237654679</v>
      </c>
      <c r="CB240" s="421">
        <v>32.68</v>
      </c>
      <c r="CC240" s="421">
        <v>0</v>
      </c>
      <c r="CD240" s="421">
        <v>2520</v>
      </c>
      <c r="CE240" s="421">
        <v>2552.6799999999998</v>
      </c>
      <c r="CF240" s="421">
        <v>0</v>
      </c>
      <c r="CG240" s="421">
        <v>84252.68</v>
      </c>
      <c r="CH240" s="421">
        <v>0</v>
      </c>
      <c r="CI240" s="421">
        <v>84252.68</v>
      </c>
      <c r="CJ240" s="421">
        <v>245080093.27160001</v>
      </c>
      <c r="CK240" s="421">
        <v>0</v>
      </c>
      <c r="CL240" s="421">
        <v>245080093</v>
      </c>
      <c r="CM240" s="421">
        <v>0</v>
      </c>
      <c r="CN240" s="421">
        <v>0</v>
      </c>
      <c r="CO240" s="421">
        <v>0</v>
      </c>
      <c r="CP240" s="421">
        <v>0</v>
      </c>
      <c r="CQ240" s="421">
        <v>0</v>
      </c>
      <c r="CR240" s="421">
        <v>245080093</v>
      </c>
      <c r="CS240" s="421">
        <v>0</v>
      </c>
      <c r="CT240" s="421">
        <v>0</v>
      </c>
      <c r="CU240" s="421">
        <v>0</v>
      </c>
      <c r="CV240" s="421">
        <v>0</v>
      </c>
      <c r="CW240" s="421">
        <v>0</v>
      </c>
      <c r="CX240" s="421">
        <v>0</v>
      </c>
      <c r="CY240" s="421">
        <v>0</v>
      </c>
      <c r="CZ240" s="421">
        <v>0</v>
      </c>
      <c r="DA240" s="421">
        <v>0</v>
      </c>
      <c r="DB240" s="421">
        <v>0</v>
      </c>
      <c r="DC240" s="421">
        <v>0</v>
      </c>
      <c r="DD240" s="421">
        <v>0</v>
      </c>
      <c r="DE240" s="421">
        <v>0</v>
      </c>
      <c r="DF240" s="421">
        <v>0</v>
      </c>
      <c r="DG240" s="421">
        <v>0</v>
      </c>
      <c r="DH240" s="421">
        <v>0</v>
      </c>
      <c r="DI240" s="421">
        <v>0</v>
      </c>
      <c r="DJ240" s="421">
        <v>0</v>
      </c>
      <c r="DK240" s="421">
        <v>0</v>
      </c>
      <c r="DL240" s="421">
        <v>0</v>
      </c>
      <c r="DM240" s="421">
        <v>0</v>
      </c>
      <c r="DN240" s="421">
        <v>0</v>
      </c>
      <c r="DO240" s="421">
        <v>0</v>
      </c>
      <c r="DP240" s="421">
        <v>0</v>
      </c>
      <c r="DQ240" s="421">
        <v>0</v>
      </c>
      <c r="DR240" s="421">
        <v>0</v>
      </c>
      <c r="DS240" s="421">
        <v>0</v>
      </c>
      <c r="DT240" s="421">
        <v>0</v>
      </c>
      <c r="DU240" s="421">
        <v>0</v>
      </c>
      <c r="DV240" s="421">
        <v>0</v>
      </c>
      <c r="DW240" s="421">
        <v>0</v>
      </c>
      <c r="DX240" s="421">
        <v>0</v>
      </c>
      <c r="DY240" s="421">
        <v>0</v>
      </c>
      <c r="DZ240" s="421">
        <v>0</v>
      </c>
      <c r="EA240" s="421">
        <v>0</v>
      </c>
      <c r="EB240" s="421">
        <v>0</v>
      </c>
      <c r="EC240" s="421" t="s">
        <v>1148</v>
      </c>
      <c r="ED240" s="421" t="s">
        <v>1149</v>
      </c>
      <c r="EE240" s="421" t="s">
        <v>1149</v>
      </c>
    </row>
    <row r="241" spans="1:135" x14ac:dyDescent="0.25">
      <c r="A241" s="421">
        <v>238</v>
      </c>
      <c r="B241" s="421">
        <v>2015</v>
      </c>
      <c r="C241" s="421">
        <v>10</v>
      </c>
      <c r="D241" s="421">
        <v>26</v>
      </c>
      <c r="E241" s="424">
        <v>42303</v>
      </c>
      <c r="F241" s="421" t="s">
        <v>2845</v>
      </c>
      <c r="G241" s="421" t="s">
        <v>2846</v>
      </c>
      <c r="H241" s="421" t="s">
        <v>1152</v>
      </c>
      <c r="I241" s="421" t="s">
        <v>1281</v>
      </c>
      <c r="J241" s="421" t="s">
        <v>1108</v>
      </c>
      <c r="K241" s="421" t="s">
        <v>1202</v>
      </c>
      <c r="L241" s="421" t="s">
        <v>1110</v>
      </c>
      <c r="O241" s="421" t="s">
        <v>1111</v>
      </c>
      <c r="R241" s="421" t="s">
        <v>1111</v>
      </c>
      <c r="S241" s="421" t="s">
        <v>1112</v>
      </c>
      <c r="T241" s="421" t="s">
        <v>1113</v>
      </c>
      <c r="U241" s="421" t="s">
        <v>1114</v>
      </c>
      <c r="V241" s="421" t="s">
        <v>1115</v>
      </c>
      <c r="W241" s="421" t="s">
        <v>1116</v>
      </c>
      <c r="X241" s="421" t="s">
        <v>1117</v>
      </c>
      <c r="Y241" s="421" t="s">
        <v>1118</v>
      </c>
      <c r="Z241" s="421" t="s">
        <v>1119</v>
      </c>
      <c r="AA241" s="421" t="s">
        <v>1120</v>
      </c>
      <c r="AB241" s="421" t="s">
        <v>1121</v>
      </c>
      <c r="AC241" s="421" t="s">
        <v>1122</v>
      </c>
      <c r="AD241" s="421" t="s">
        <v>1479</v>
      </c>
      <c r="AE241" s="421" t="s">
        <v>1203</v>
      </c>
      <c r="AF241" s="421" t="s">
        <v>1204</v>
      </c>
      <c r="AG241" s="421" t="s">
        <v>2847</v>
      </c>
      <c r="AH241" s="421">
        <v>64500</v>
      </c>
      <c r="AI241" s="421" t="s">
        <v>1127</v>
      </c>
      <c r="AJ241" s="421">
        <v>3</v>
      </c>
      <c r="AK241" s="421">
        <v>1</v>
      </c>
      <c r="AL241" s="421" t="s">
        <v>1283</v>
      </c>
      <c r="AM241" s="421">
        <v>64500</v>
      </c>
      <c r="AN241" s="421">
        <v>65228</v>
      </c>
      <c r="AO241" s="421" t="s">
        <v>1120</v>
      </c>
      <c r="AP241" s="421" t="s">
        <v>1129</v>
      </c>
      <c r="AR241" s="421" t="s">
        <v>1130</v>
      </c>
      <c r="AT241" s="421" t="s">
        <v>1131</v>
      </c>
      <c r="AU241" s="421" t="s">
        <v>1319</v>
      </c>
      <c r="AV241" s="421" t="s">
        <v>1320</v>
      </c>
      <c r="AW241" s="421" t="s">
        <v>1207</v>
      </c>
      <c r="AX241" s="421" t="s">
        <v>1207</v>
      </c>
      <c r="AY241" s="421" t="s">
        <v>1208</v>
      </c>
      <c r="AZ241" s="421" t="s">
        <v>1121</v>
      </c>
      <c r="BA241" s="421" t="s">
        <v>1209</v>
      </c>
      <c r="BB241" s="421" t="s">
        <v>1208</v>
      </c>
      <c r="BC241" s="421" t="s">
        <v>1210</v>
      </c>
      <c r="BD241" s="421" t="s">
        <v>1211</v>
      </c>
      <c r="BE241" s="421" t="s">
        <v>1212</v>
      </c>
      <c r="BF241" s="421" t="s">
        <v>2848</v>
      </c>
      <c r="BG241" s="421" t="s">
        <v>2849</v>
      </c>
      <c r="BH241" s="421" t="s">
        <v>2850</v>
      </c>
      <c r="BI241" s="421" t="s">
        <v>1142</v>
      </c>
      <c r="BJ241" s="421" t="s">
        <v>1163</v>
      </c>
      <c r="BK241" s="421" t="s">
        <v>2846</v>
      </c>
      <c r="BL241" s="421" t="s">
        <v>2851</v>
      </c>
      <c r="BM241" s="421" t="s">
        <v>2852</v>
      </c>
      <c r="BN241" s="421" t="s">
        <v>2805</v>
      </c>
      <c r="BO241" s="421">
        <v>0</v>
      </c>
      <c r="BR241" s="421">
        <v>0</v>
      </c>
      <c r="BS241" s="421">
        <v>0</v>
      </c>
      <c r="BT241" s="421">
        <v>0</v>
      </c>
      <c r="BU241" s="424">
        <v>42295</v>
      </c>
      <c r="BX241" s="421">
        <v>2925.36</v>
      </c>
      <c r="BY241" s="421" t="s">
        <v>1147</v>
      </c>
      <c r="BZ241" s="421">
        <v>122550</v>
      </c>
      <c r="CA241" s="421">
        <v>358502868</v>
      </c>
      <c r="CB241" s="421">
        <v>49.02</v>
      </c>
      <c r="CC241" s="421">
        <v>0</v>
      </c>
      <c r="CD241" s="421">
        <v>3780</v>
      </c>
      <c r="CE241" s="421">
        <v>3829.02</v>
      </c>
      <c r="CF241" s="421">
        <v>0</v>
      </c>
      <c r="CG241" s="421">
        <v>126379.02</v>
      </c>
      <c r="CH241" s="421">
        <v>0</v>
      </c>
      <c r="CI241" s="421">
        <v>126379.02</v>
      </c>
      <c r="CJ241" s="421">
        <v>369704129.9472</v>
      </c>
      <c r="CK241" s="421">
        <v>0</v>
      </c>
      <c r="CL241" s="421">
        <v>369704130</v>
      </c>
      <c r="CM241" s="421">
        <v>0</v>
      </c>
      <c r="CN241" s="421">
        <v>0</v>
      </c>
      <c r="CO241" s="421">
        <v>0</v>
      </c>
      <c r="CP241" s="421">
        <v>0</v>
      </c>
      <c r="CQ241" s="421">
        <v>0</v>
      </c>
      <c r="CR241" s="421">
        <v>369704130</v>
      </c>
      <c r="CS241" s="421">
        <v>0</v>
      </c>
      <c r="CT241" s="421">
        <v>0</v>
      </c>
      <c r="CU241" s="421">
        <v>0</v>
      </c>
      <c r="CV241" s="421">
        <v>0</v>
      </c>
      <c r="CW241" s="421">
        <v>0</v>
      </c>
      <c r="CX241" s="421">
        <v>0</v>
      </c>
      <c r="CY241" s="421">
        <v>0</v>
      </c>
      <c r="CZ241" s="421">
        <v>0</v>
      </c>
      <c r="DA241" s="421">
        <v>0</v>
      </c>
      <c r="DB241" s="421">
        <v>0</v>
      </c>
      <c r="DC241" s="421">
        <v>0</v>
      </c>
      <c r="DD241" s="421">
        <v>0</v>
      </c>
      <c r="DE241" s="421">
        <v>0</v>
      </c>
      <c r="DF241" s="421">
        <v>0</v>
      </c>
      <c r="DG241" s="421">
        <v>0</v>
      </c>
      <c r="DH241" s="421">
        <v>0</v>
      </c>
      <c r="DI241" s="421">
        <v>0</v>
      </c>
      <c r="DJ241" s="421">
        <v>0</v>
      </c>
      <c r="DK241" s="421">
        <v>0</v>
      </c>
      <c r="DL241" s="421">
        <v>0</v>
      </c>
      <c r="DM241" s="421">
        <v>0</v>
      </c>
      <c r="DN241" s="421">
        <v>0</v>
      </c>
      <c r="DO241" s="421">
        <v>0</v>
      </c>
      <c r="DP241" s="421">
        <v>0</v>
      </c>
      <c r="DQ241" s="421">
        <v>0</v>
      </c>
      <c r="DR241" s="421">
        <v>0</v>
      </c>
      <c r="DS241" s="421">
        <v>0</v>
      </c>
      <c r="DT241" s="421">
        <v>0</v>
      </c>
      <c r="DU241" s="421">
        <v>0</v>
      </c>
      <c r="DV241" s="421">
        <v>0</v>
      </c>
      <c r="DW241" s="421">
        <v>0</v>
      </c>
      <c r="DX241" s="421">
        <v>0</v>
      </c>
      <c r="DY241" s="421">
        <v>0</v>
      </c>
      <c r="DZ241" s="421">
        <v>0</v>
      </c>
      <c r="EA241" s="421">
        <v>0</v>
      </c>
      <c r="EB241" s="421">
        <v>0</v>
      </c>
      <c r="EC241" s="421" t="s">
        <v>1148</v>
      </c>
      <c r="ED241" s="421" t="s">
        <v>1149</v>
      </c>
      <c r="EE241" s="421" t="s">
        <v>1149</v>
      </c>
    </row>
    <row r="242" spans="1:135" x14ac:dyDescent="0.25">
      <c r="A242" s="421">
        <v>239</v>
      </c>
      <c r="B242" s="421">
        <v>2015</v>
      </c>
      <c r="C242" s="421">
        <v>10</v>
      </c>
      <c r="D242" s="421">
        <v>26</v>
      </c>
      <c r="E242" s="424">
        <v>42303</v>
      </c>
      <c r="F242" s="421" t="s">
        <v>2853</v>
      </c>
      <c r="G242" s="421" t="s">
        <v>2854</v>
      </c>
      <c r="H242" s="421" t="s">
        <v>1152</v>
      </c>
      <c r="I242" s="421" t="s">
        <v>1107</v>
      </c>
      <c r="J242" s="421" t="s">
        <v>1108</v>
      </c>
      <c r="K242" s="421" t="s">
        <v>1109</v>
      </c>
      <c r="L242" s="421" t="s">
        <v>1110</v>
      </c>
      <c r="O242" s="421" t="s">
        <v>1111</v>
      </c>
      <c r="R242" s="421" t="s">
        <v>1111</v>
      </c>
      <c r="S242" s="421" t="s">
        <v>1112</v>
      </c>
      <c r="T242" s="421" t="s">
        <v>1113</v>
      </c>
      <c r="U242" s="421" t="s">
        <v>1114</v>
      </c>
      <c r="V242" s="421" t="s">
        <v>1115</v>
      </c>
      <c r="W242" s="421" t="s">
        <v>1116</v>
      </c>
      <c r="X242" s="421" t="s">
        <v>1117</v>
      </c>
      <c r="Y242" s="421" t="s">
        <v>1118</v>
      </c>
      <c r="Z242" s="421" t="s">
        <v>1119</v>
      </c>
      <c r="AA242" s="421" t="s">
        <v>1120</v>
      </c>
      <c r="AB242" s="421" t="s">
        <v>1121</v>
      </c>
      <c r="AC242" s="421" t="s">
        <v>1122</v>
      </c>
      <c r="AD242" s="421" t="s">
        <v>1479</v>
      </c>
      <c r="AE242" s="421" t="s">
        <v>1249</v>
      </c>
      <c r="AF242" s="421" t="s">
        <v>1250</v>
      </c>
      <c r="AG242" s="421" t="s">
        <v>2855</v>
      </c>
      <c r="AH242" s="421">
        <v>82272</v>
      </c>
      <c r="AI242" s="421" t="s">
        <v>1189</v>
      </c>
      <c r="AJ242" s="421">
        <v>1139</v>
      </c>
      <c r="AK242" s="421">
        <v>1</v>
      </c>
      <c r="AL242" s="421" t="s">
        <v>1173</v>
      </c>
      <c r="AM242" s="421">
        <v>12932</v>
      </c>
      <c r="AN242" s="421">
        <v>13645</v>
      </c>
      <c r="AO242" s="421" t="s">
        <v>1120</v>
      </c>
      <c r="AP242" s="421" t="s">
        <v>1129</v>
      </c>
      <c r="AR242" s="421" t="s">
        <v>1130</v>
      </c>
      <c r="AT242" s="421" t="s">
        <v>1131</v>
      </c>
      <c r="AU242" s="421" t="s">
        <v>1190</v>
      </c>
      <c r="AV242" s="421" t="s">
        <v>1191</v>
      </c>
      <c r="AW242" s="421" t="s">
        <v>960</v>
      </c>
      <c r="AX242" s="421" t="s">
        <v>960</v>
      </c>
      <c r="AY242" s="421" t="s">
        <v>960</v>
      </c>
      <c r="AZ242" s="421" t="s">
        <v>1121</v>
      </c>
      <c r="BA242" s="421" t="s">
        <v>1252</v>
      </c>
      <c r="BB242" s="421" t="s">
        <v>960</v>
      </c>
      <c r="BC242" s="421" t="s">
        <v>1253</v>
      </c>
      <c r="BD242" s="421" t="s">
        <v>1254</v>
      </c>
      <c r="BE242" s="421" t="s">
        <v>2002</v>
      </c>
      <c r="BF242" s="421" t="s">
        <v>2856</v>
      </c>
      <c r="BG242" s="421" t="s">
        <v>2843</v>
      </c>
      <c r="BH242" s="421" t="s">
        <v>2857</v>
      </c>
      <c r="BI242" s="421" t="s">
        <v>1142</v>
      </c>
      <c r="BJ242" s="421" t="s">
        <v>1275</v>
      </c>
      <c r="BK242" s="421" t="s">
        <v>2854</v>
      </c>
      <c r="BL242" s="421" t="s">
        <v>2851</v>
      </c>
      <c r="BM242" s="421" t="s">
        <v>2858</v>
      </c>
      <c r="BN242" s="421" t="s">
        <v>2859</v>
      </c>
      <c r="BO242" s="421">
        <v>0</v>
      </c>
      <c r="BR242" s="421">
        <v>0</v>
      </c>
      <c r="BS242" s="421">
        <v>0</v>
      </c>
      <c r="BT242" s="421">
        <v>0</v>
      </c>
      <c r="BU242" s="424">
        <v>42263</v>
      </c>
      <c r="BX242" s="421">
        <v>2925.36</v>
      </c>
      <c r="BY242" s="421" t="s">
        <v>1183</v>
      </c>
      <c r="BZ242" s="421">
        <v>42581.99</v>
      </c>
      <c r="CA242" s="421">
        <v>124567650.26639999</v>
      </c>
      <c r="CB242" s="421">
        <v>17.03</v>
      </c>
      <c r="CC242" s="421">
        <v>0</v>
      </c>
      <c r="CD242" s="421">
        <v>1841.16</v>
      </c>
      <c r="CE242" s="421">
        <v>1858.19</v>
      </c>
      <c r="CF242" s="421">
        <v>0</v>
      </c>
      <c r="CG242" s="421">
        <v>44440.18</v>
      </c>
      <c r="CH242" s="421">
        <v>0</v>
      </c>
      <c r="CI242" s="421">
        <v>44440.18</v>
      </c>
      <c r="CJ242" s="421">
        <v>130003524.9648</v>
      </c>
      <c r="CK242" s="421">
        <v>15</v>
      </c>
      <c r="CL242" s="421">
        <v>130003525</v>
      </c>
      <c r="CM242" s="421">
        <v>19501000</v>
      </c>
      <c r="CN242" s="421">
        <v>19501000</v>
      </c>
      <c r="CO242" s="421">
        <v>0</v>
      </c>
      <c r="CP242" s="421">
        <v>0</v>
      </c>
      <c r="CQ242" s="421">
        <v>16</v>
      </c>
      <c r="CR242" s="421">
        <v>149504525</v>
      </c>
      <c r="CS242" s="421">
        <v>23921000</v>
      </c>
      <c r="CT242" s="421">
        <v>23921000</v>
      </c>
      <c r="CU242" s="421">
        <v>0</v>
      </c>
      <c r="CV242" s="421">
        <v>0</v>
      </c>
      <c r="CW242" s="421">
        <v>0</v>
      </c>
      <c r="CX242" s="421">
        <v>0</v>
      </c>
      <c r="CY242" s="421">
        <v>0</v>
      </c>
      <c r="CZ242" s="421">
        <v>0</v>
      </c>
      <c r="DA242" s="421">
        <v>0</v>
      </c>
      <c r="DB242" s="421">
        <v>0</v>
      </c>
      <c r="DC242" s="421">
        <v>0</v>
      </c>
      <c r="DD242" s="421">
        <v>0</v>
      </c>
      <c r="DE242" s="421">
        <v>0</v>
      </c>
      <c r="DF242" s="421">
        <v>0</v>
      </c>
      <c r="DG242" s="421">
        <v>0</v>
      </c>
      <c r="DH242" s="421">
        <v>0</v>
      </c>
      <c r="DI242" s="421">
        <v>0</v>
      </c>
      <c r="DJ242" s="421">
        <v>0</v>
      </c>
      <c r="DK242" s="421">
        <v>0</v>
      </c>
      <c r="DL242" s="421">
        <v>0</v>
      </c>
      <c r="DM242" s="421">
        <v>0</v>
      </c>
      <c r="DN242" s="421">
        <v>0</v>
      </c>
      <c r="DO242" s="421">
        <v>0</v>
      </c>
      <c r="DP242" s="421">
        <v>0</v>
      </c>
      <c r="DQ242" s="421">
        <v>0</v>
      </c>
      <c r="DR242" s="421">
        <v>0</v>
      </c>
      <c r="DS242" s="421">
        <v>0</v>
      </c>
      <c r="DT242" s="421">
        <v>0</v>
      </c>
      <c r="DU242" s="421">
        <v>0</v>
      </c>
      <c r="DV242" s="421">
        <v>0</v>
      </c>
      <c r="DW242" s="421">
        <v>0</v>
      </c>
      <c r="DX242" s="421">
        <v>0</v>
      </c>
      <c r="DY242" s="421">
        <v>43422000</v>
      </c>
      <c r="DZ242" s="421">
        <v>43422000</v>
      </c>
      <c r="EA242" s="421">
        <v>0</v>
      </c>
      <c r="EB242" s="421">
        <v>0</v>
      </c>
      <c r="EC242" s="421" t="s">
        <v>1148</v>
      </c>
      <c r="ED242" s="421" t="s">
        <v>1167</v>
      </c>
      <c r="EE242" s="421" t="s">
        <v>1167</v>
      </c>
    </row>
    <row r="243" spans="1:135" x14ac:dyDescent="0.25">
      <c r="A243" s="421">
        <v>240</v>
      </c>
      <c r="B243" s="421">
        <v>2015</v>
      </c>
      <c r="C243" s="421">
        <v>10</v>
      </c>
      <c r="D243" s="421">
        <v>26</v>
      </c>
      <c r="E243" s="424">
        <v>42303</v>
      </c>
      <c r="F243" s="421" t="s">
        <v>2860</v>
      </c>
      <c r="G243" s="421" t="s">
        <v>2861</v>
      </c>
      <c r="H243" s="421" t="s">
        <v>1152</v>
      </c>
      <c r="I243" s="421" t="s">
        <v>1281</v>
      </c>
      <c r="J243" s="421" t="s">
        <v>1108</v>
      </c>
      <c r="K243" s="421" t="s">
        <v>1109</v>
      </c>
      <c r="L243" s="421" t="s">
        <v>1110</v>
      </c>
      <c r="O243" s="421" t="s">
        <v>1111</v>
      </c>
      <c r="R243" s="421" t="s">
        <v>1111</v>
      </c>
      <c r="S243" s="421" t="s">
        <v>1112</v>
      </c>
      <c r="T243" s="421" t="s">
        <v>1113</v>
      </c>
      <c r="U243" s="421" t="s">
        <v>1114</v>
      </c>
      <c r="V243" s="421" t="s">
        <v>1115</v>
      </c>
      <c r="W243" s="421" t="s">
        <v>1116</v>
      </c>
      <c r="X243" s="421" t="s">
        <v>1117</v>
      </c>
      <c r="Y243" s="421" t="s">
        <v>1118</v>
      </c>
      <c r="Z243" s="421" t="s">
        <v>1119</v>
      </c>
      <c r="AA243" s="421" t="s">
        <v>1120</v>
      </c>
      <c r="AB243" s="421" t="s">
        <v>1121</v>
      </c>
      <c r="AC243" s="421" t="s">
        <v>1122</v>
      </c>
      <c r="AD243" s="421" t="s">
        <v>1479</v>
      </c>
      <c r="AE243" s="421" t="s">
        <v>1407</v>
      </c>
      <c r="AF243" s="421" t="s">
        <v>1408</v>
      </c>
      <c r="AG243" s="421" t="s">
        <v>2862</v>
      </c>
      <c r="AH243" s="421">
        <v>16000</v>
      </c>
      <c r="AI243" s="421" t="s">
        <v>1127</v>
      </c>
      <c r="AJ243" s="421">
        <v>20</v>
      </c>
      <c r="AK243" s="421">
        <v>1</v>
      </c>
      <c r="AL243" s="421" t="s">
        <v>1267</v>
      </c>
      <c r="AM243" s="421">
        <v>16000</v>
      </c>
      <c r="AN243" s="421">
        <v>17279</v>
      </c>
      <c r="AO243" s="421" t="s">
        <v>1120</v>
      </c>
      <c r="AP243" s="421" t="s">
        <v>1129</v>
      </c>
      <c r="AR243" s="421" t="s">
        <v>1130</v>
      </c>
      <c r="AT243" s="421" t="s">
        <v>1131</v>
      </c>
      <c r="AU243" s="421" t="s">
        <v>1132</v>
      </c>
      <c r="AV243" s="421" t="s">
        <v>1133</v>
      </c>
      <c r="AW243" s="421" t="s">
        <v>962</v>
      </c>
      <c r="AX243" s="421" t="s">
        <v>962</v>
      </c>
      <c r="AY243" s="421" t="s">
        <v>962</v>
      </c>
      <c r="AZ243" s="421" t="s">
        <v>1121</v>
      </c>
      <c r="BA243" s="421" t="s">
        <v>1410</v>
      </c>
      <c r="BB243" s="421" t="s">
        <v>962</v>
      </c>
      <c r="BC243" s="421" t="s">
        <v>1411</v>
      </c>
      <c r="BD243" s="421" t="s">
        <v>1412</v>
      </c>
      <c r="BE243" s="421" t="s">
        <v>1413</v>
      </c>
      <c r="BI243" s="421" t="s">
        <v>1142</v>
      </c>
      <c r="BJ243" s="421" t="s">
        <v>1163</v>
      </c>
      <c r="BK243" s="421" t="s">
        <v>2861</v>
      </c>
      <c r="BL243" s="421" t="s">
        <v>2851</v>
      </c>
      <c r="BM243" s="421" t="s">
        <v>2863</v>
      </c>
      <c r="BN243" s="421" t="s">
        <v>2718</v>
      </c>
      <c r="BO243" s="421">
        <v>0</v>
      </c>
      <c r="BR243" s="421">
        <v>0</v>
      </c>
      <c r="BS243" s="421">
        <v>0</v>
      </c>
      <c r="BT243" s="421">
        <v>0</v>
      </c>
      <c r="BU243" s="424">
        <v>38718</v>
      </c>
      <c r="BX243" s="421">
        <v>2925.36</v>
      </c>
      <c r="BY243" s="421" t="s">
        <v>1147</v>
      </c>
      <c r="BZ243" s="421">
        <v>74993.8</v>
      </c>
      <c r="CA243" s="421">
        <v>219383862.76800001</v>
      </c>
      <c r="CB243" s="421">
        <v>30</v>
      </c>
      <c r="CC243" s="421">
        <v>0</v>
      </c>
      <c r="CD243" s="421">
        <v>2605.8000000000002</v>
      </c>
      <c r="CE243" s="421">
        <v>2635.8</v>
      </c>
      <c r="CF243" s="421">
        <v>0</v>
      </c>
      <c r="CG243" s="421">
        <v>77629.600000000006</v>
      </c>
      <c r="CH243" s="421">
        <v>0</v>
      </c>
      <c r="CI243" s="421">
        <v>77629.600000000006</v>
      </c>
      <c r="CJ243" s="421">
        <v>227094526.65599999</v>
      </c>
      <c r="CK243" s="421">
        <v>0</v>
      </c>
      <c r="CL243" s="421">
        <v>227094527</v>
      </c>
      <c r="CM243" s="421">
        <v>0</v>
      </c>
      <c r="CN243" s="421">
        <v>0</v>
      </c>
      <c r="CO243" s="421">
        <v>0</v>
      </c>
      <c r="CP243" s="421">
        <v>0</v>
      </c>
      <c r="CQ243" s="421">
        <v>16</v>
      </c>
      <c r="CR243" s="421">
        <v>227094527</v>
      </c>
      <c r="CS243" s="421">
        <v>36335000</v>
      </c>
      <c r="CT243" s="421">
        <v>36335000</v>
      </c>
      <c r="CU243" s="421">
        <v>0</v>
      </c>
      <c r="CV243" s="421">
        <v>0</v>
      </c>
      <c r="CW243" s="421">
        <v>0</v>
      </c>
      <c r="CX243" s="421">
        <v>0</v>
      </c>
      <c r="CY243" s="421">
        <v>0</v>
      </c>
      <c r="CZ243" s="421">
        <v>0</v>
      </c>
      <c r="DA243" s="421">
        <v>0</v>
      </c>
      <c r="DB243" s="421">
        <v>0</v>
      </c>
      <c r="DC243" s="421">
        <v>0</v>
      </c>
      <c r="DD243" s="421">
        <v>0</v>
      </c>
      <c r="DE243" s="421">
        <v>0</v>
      </c>
      <c r="DF243" s="421">
        <v>0</v>
      </c>
      <c r="DG243" s="421">
        <v>0</v>
      </c>
      <c r="DH243" s="421">
        <v>0</v>
      </c>
      <c r="DI243" s="421">
        <v>0</v>
      </c>
      <c r="DJ243" s="421">
        <v>0</v>
      </c>
      <c r="DK243" s="421">
        <v>0</v>
      </c>
      <c r="DL243" s="421">
        <v>0</v>
      </c>
      <c r="DM243" s="421">
        <v>0</v>
      </c>
      <c r="DN243" s="421">
        <v>0</v>
      </c>
      <c r="DO243" s="421">
        <v>0</v>
      </c>
      <c r="DP243" s="421">
        <v>0</v>
      </c>
      <c r="DQ243" s="421">
        <v>0</v>
      </c>
      <c r="DR243" s="421">
        <v>0</v>
      </c>
      <c r="DS243" s="421">
        <v>0</v>
      </c>
      <c r="DT243" s="421">
        <v>0</v>
      </c>
      <c r="DU243" s="421">
        <v>0</v>
      </c>
      <c r="DV243" s="421">
        <v>0</v>
      </c>
      <c r="DW243" s="421">
        <v>0</v>
      </c>
      <c r="DX243" s="421">
        <v>0</v>
      </c>
      <c r="DY243" s="421">
        <v>36335000</v>
      </c>
      <c r="DZ243" s="421">
        <v>36335000</v>
      </c>
      <c r="EA243" s="421">
        <v>0</v>
      </c>
      <c r="EB243" s="421">
        <v>0</v>
      </c>
      <c r="EC243" s="421" t="s">
        <v>1148</v>
      </c>
      <c r="ED243" s="421" t="s">
        <v>1149</v>
      </c>
      <c r="EE243" s="421" t="s">
        <v>1149</v>
      </c>
    </row>
    <row r="244" spans="1:135" x14ac:dyDescent="0.25">
      <c r="A244" s="421">
        <v>241</v>
      </c>
      <c r="B244" s="421">
        <v>2015</v>
      </c>
      <c r="C244" s="421">
        <v>11</v>
      </c>
      <c r="D244" s="421">
        <v>3</v>
      </c>
      <c r="E244" s="424">
        <v>42311</v>
      </c>
      <c r="F244" s="421" t="s">
        <v>2864</v>
      </c>
      <c r="G244" s="421" t="s">
        <v>2865</v>
      </c>
      <c r="H244" s="421" t="s">
        <v>1106</v>
      </c>
      <c r="I244" s="421" t="s">
        <v>1107</v>
      </c>
      <c r="J244" s="421" t="s">
        <v>1108</v>
      </c>
      <c r="K244" s="421" t="s">
        <v>1109</v>
      </c>
      <c r="L244" s="421" t="s">
        <v>1110</v>
      </c>
      <c r="M244" s="421" t="s">
        <v>2866</v>
      </c>
      <c r="O244" s="421" t="s">
        <v>1111</v>
      </c>
      <c r="Q244" s="421" t="s">
        <v>2866</v>
      </c>
      <c r="R244" s="421" t="s">
        <v>1111</v>
      </c>
      <c r="S244" s="421" t="s">
        <v>1112</v>
      </c>
      <c r="T244" s="421" t="s">
        <v>1113</v>
      </c>
      <c r="U244" s="421" t="s">
        <v>1114</v>
      </c>
      <c r="V244" s="421" t="s">
        <v>1120</v>
      </c>
      <c r="X244" s="421" t="s">
        <v>1117</v>
      </c>
      <c r="Y244" s="421" t="s">
        <v>1118</v>
      </c>
      <c r="Z244" s="421" t="s">
        <v>1119</v>
      </c>
      <c r="AA244" s="421" t="s">
        <v>1120</v>
      </c>
      <c r="AB244" s="421" t="s">
        <v>1121</v>
      </c>
      <c r="AC244" s="421" t="s">
        <v>1122</v>
      </c>
      <c r="AD244" s="421" t="s">
        <v>1479</v>
      </c>
      <c r="AE244" s="421" t="s">
        <v>1387</v>
      </c>
      <c r="AF244" s="421" t="s">
        <v>1388</v>
      </c>
      <c r="AG244" s="421" t="s">
        <v>2867</v>
      </c>
      <c r="AH244" s="421">
        <v>36270</v>
      </c>
      <c r="AI244" s="421" t="s">
        <v>1189</v>
      </c>
      <c r="AJ244" s="421">
        <v>403</v>
      </c>
      <c r="AK244" s="421">
        <v>1</v>
      </c>
      <c r="AL244" s="421" t="s">
        <v>1173</v>
      </c>
      <c r="AM244" s="421">
        <v>3385.2</v>
      </c>
      <c r="AN244" s="421">
        <v>4231.5</v>
      </c>
      <c r="AO244" s="421" t="s">
        <v>1120</v>
      </c>
      <c r="AR244" s="421" t="s">
        <v>2868</v>
      </c>
      <c r="AT244" s="421" t="s">
        <v>1131</v>
      </c>
      <c r="AU244" s="421" t="s">
        <v>1190</v>
      </c>
      <c r="AV244" s="421" t="s">
        <v>1191</v>
      </c>
      <c r="AW244" s="421" t="s">
        <v>960</v>
      </c>
      <c r="AX244" s="421" t="s">
        <v>960</v>
      </c>
      <c r="AY244" s="421" t="s">
        <v>960</v>
      </c>
      <c r="AZ244" s="421" t="s">
        <v>1121</v>
      </c>
      <c r="BA244" s="421" t="s">
        <v>1652</v>
      </c>
      <c r="BB244" s="421" t="s">
        <v>960</v>
      </c>
      <c r="BC244" s="421" t="s">
        <v>1377</v>
      </c>
      <c r="BD244" s="421" t="s">
        <v>1653</v>
      </c>
      <c r="BE244" s="421" t="s">
        <v>1654</v>
      </c>
      <c r="BF244" s="421" t="s">
        <v>2869</v>
      </c>
      <c r="BG244" s="421" t="s">
        <v>2870</v>
      </c>
      <c r="BH244" s="421" t="s">
        <v>2871</v>
      </c>
      <c r="BI244" s="421" t="s">
        <v>1142</v>
      </c>
      <c r="BJ244" s="421" t="s">
        <v>2739</v>
      </c>
      <c r="BK244" s="421" t="s">
        <v>2865</v>
      </c>
      <c r="BL244" s="421" t="s">
        <v>2872</v>
      </c>
      <c r="BM244" s="421" t="s">
        <v>2873</v>
      </c>
      <c r="BN244" s="421" t="s">
        <v>2552</v>
      </c>
      <c r="BO244" s="421">
        <v>0</v>
      </c>
      <c r="BQ244" s="421" t="s">
        <v>2866</v>
      </c>
      <c r="BR244" s="421">
        <v>0</v>
      </c>
      <c r="BS244" s="421">
        <v>0</v>
      </c>
      <c r="BT244" s="421">
        <v>0</v>
      </c>
      <c r="BU244" s="424">
        <v>42271</v>
      </c>
      <c r="BW244" s="421" t="s">
        <v>2866</v>
      </c>
      <c r="BX244" s="421">
        <v>2921.32</v>
      </c>
      <c r="BY244" s="421" t="s">
        <v>1183</v>
      </c>
      <c r="BZ244" s="421">
        <v>18497.7</v>
      </c>
      <c r="CA244" s="421">
        <v>54037700.964000002</v>
      </c>
      <c r="CB244" s="421">
        <v>7.4</v>
      </c>
      <c r="CC244" s="421">
        <v>0</v>
      </c>
      <c r="CD244" s="421">
        <v>1450.3</v>
      </c>
      <c r="CE244" s="421">
        <v>1457.7</v>
      </c>
      <c r="CF244" s="421">
        <v>0</v>
      </c>
      <c r="CG244" s="421">
        <v>19955.400000000001</v>
      </c>
      <c r="CH244" s="421">
        <v>0</v>
      </c>
      <c r="CI244" s="421">
        <v>19955.400000000001</v>
      </c>
      <c r="CJ244" s="421">
        <v>58296109.127999999</v>
      </c>
      <c r="CK244" s="421">
        <v>0</v>
      </c>
      <c r="CL244" s="421">
        <v>58296109</v>
      </c>
      <c r="CM244" s="421">
        <v>0</v>
      </c>
      <c r="CN244" s="421">
        <v>0</v>
      </c>
      <c r="CO244" s="421">
        <v>0</v>
      </c>
      <c r="CP244" s="421">
        <v>0</v>
      </c>
      <c r="CQ244" s="421">
        <v>16</v>
      </c>
      <c r="CR244" s="421">
        <v>58296109</v>
      </c>
      <c r="CS244" s="421">
        <v>9327000</v>
      </c>
      <c r="CT244" s="421">
        <v>9327000</v>
      </c>
      <c r="CU244" s="421">
        <v>0</v>
      </c>
      <c r="CV244" s="421">
        <v>0</v>
      </c>
      <c r="CW244" s="421">
        <v>0</v>
      </c>
      <c r="CX244" s="421">
        <v>0</v>
      </c>
      <c r="CY244" s="421">
        <v>0</v>
      </c>
      <c r="CZ244" s="421">
        <v>0</v>
      </c>
      <c r="DA244" s="421">
        <v>0</v>
      </c>
      <c r="DB244" s="421">
        <v>0</v>
      </c>
      <c r="DC244" s="421">
        <v>0</v>
      </c>
      <c r="DD244" s="421">
        <v>0</v>
      </c>
      <c r="DE244" s="421">
        <v>0</v>
      </c>
      <c r="DF244" s="421">
        <v>0</v>
      </c>
      <c r="DG244" s="421">
        <v>0</v>
      </c>
      <c r="DH244" s="421">
        <v>0</v>
      </c>
      <c r="DI244" s="421">
        <v>0</v>
      </c>
      <c r="DJ244" s="421">
        <v>0</v>
      </c>
      <c r="DK244" s="421">
        <v>0</v>
      </c>
      <c r="DL244" s="421">
        <v>0</v>
      </c>
      <c r="DM244" s="421">
        <v>0</v>
      </c>
      <c r="DN244" s="421">
        <v>0</v>
      </c>
      <c r="DO244" s="421">
        <v>0</v>
      </c>
      <c r="DP244" s="421">
        <v>0</v>
      </c>
      <c r="DQ244" s="421">
        <v>0</v>
      </c>
      <c r="DR244" s="421">
        <v>0</v>
      </c>
      <c r="DS244" s="421">
        <v>0</v>
      </c>
      <c r="DT244" s="421">
        <v>0</v>
      </c>
      <c r="DU244" s="421">
        <v>0</v>
      </c>
      <c r="DV244" s="421">
        <v>0</v>
      </c>
      <c r="DW244" s="421">
        <v>0</v>
      </c>
      <c r="DX244" s="421">
        <v>0</v>
      </c>
      <c r="DY244" s="421">
        <v>9327000</v>
      </c>
      <c r="DZ244" s="421">
        <v>9327000</v>
      </c>
      <c r="EA244" s="421">
        <v>0</v>
      </c>
      <c r="EB244" s="421">
        <v>0</v>
      </c>
      <c r="EC244" s="421" t="s">
        <v>1148</v>
      </c>
      <c r="ED244" s="421" t="s">
        <v>1167</v>
      </c>
      <c r="EE244" s="421" t="s">
        <v>1167</v>
      </c>
    </row>
    <row r="245" spans="1:135" x14ac:dyDescent="0.25">
      <c r="A245" s="421">
        <v>242</v>
      </c>
      <c r="B245" s="421">
        <v>2015</v>
      </c>
      <c r="C245" s="421">
        <v>11</v>
      </c>
      <c r="D245" s="421">
        <v>4</v>
      </c>
      <c r="E245" s="424">
        <v>42312</v>
      </c>
      <c r="F245" s="421" t="s">
        <v>2874</v>
      </c>
      <c r="G245" s="421" t="s">
        <v>2875</v>
      </c>
      <c r="H245" s="421" t="s">
        <v>1152</v>
      </c>
      <c r="I245" s="421" t="s">
        <v>1107</v>
      </c>
      <c r="J245" s="421" t="s">
        <v>1108</v>
      </c>
      <c r="K245" s="421" t="s">
        <v>1109</v>
      </c>
      <c r="L245" s="421" t="s">
        <v>1110</v>
      </c>
      <c r="M245" s="421" t="s">
        <v>2866</v>
      </c>
      <c r="O245" s="421" t="s">
        <v>1111</v>
      </c>
      <c r="Q245" s="421" t="s">
        <v>2866</v>
      </c>
      <c r="R245" s="421" t="s">
        <v>1111</v>
      </c>
      <c r="S245" s="421" t="s">
        <v>1112</v>
      </c>
      <c r="T245" s="421" t="s">
        <v>1113</v>
      </c>
      <c r="U245" s="421" t="s">
        <v>1114</v>
      </c>
      <c r="V245" s="421" t="s">
        <v>1120</v>
      </c>
      <c r="X245" s="421" t="s">
        <v>1117</v>
      </c>
      <c r="Y245" s="421" t="s">
        <v>1118</v>
      </c>
      <c r="Z245" s="421" t="s">
        <v>1119</v>
      </c>
      <c r="AA245" s="421" t="s">
        <v>1120</v>
      </c>
      <c r="AB245" s="421" t="s">
        <v>1121</v>
      </c>
      <c r="AC245" s="421" t="s">
        <v>1122</v>
      </c>
      <c r="AD245" s="421" t="s">
        <v>1479</v>
      </c>
      <c r="AE245" s="421" t="s">
        <v>1407</v>
      </c>
      <c r="AF245" s="421" t="s">
        <v>1408</v>
      </c>
      <c r="AG245" s="421" t="s">
        <v>2862</v>
      </c>
      <c r="AH245" s="421">
        <v>16000</v>
      </c>
      <c r="AI245" s="421" t="s">
        <v>1127</v>
      </c>
      <c r="AJ245" s="421">
        <v>77</v>
      </c>
      <c r="AK245" s="421">
        <v>1</v>
      </c>
      <c r="AL245" s="421" t="s">
        <v>1267</v>
      </c>
      <c r="AM245" s="421">
        <v>16000</v>
      </c>
      <c r="AN245" s="421">
        <v>17279</v>
      </c>
      <c r="AO245" s="421" t="s">
        <v>1120</v>
      </c>
      <c r="AR245" s="421" t="s">
        <v>2868</v>
      </c>
      <c r="AT245" s="421" t="s">
        <v>1131</v>
      </c>
      <c r="AU245" s="421" t="s">
        <v>1132</v>
      </c>
      <c r="AV245" s="421" t="s">
        <v>1133</v>
      </c>
      <c r="AW245" s="421" t="s">
        <v>962</v>
      </c>
      <c r="AX245" s="421" t="s">
        <v>962</v>
      </c>
      <c r="AY245" s="421" t="s">
        <v>962</v>
      </c>
      <c r="AZ245" s="421" t="s">
        <v>1121</v>
      </c>
      <c r="BA245" s="421" t="s">
        <v>1410</v>
      </c>
      <c r="BB245" s="421" t="s">
        <v>962</v>
      </c>
      <c r="BC245" s="421" t="s">
        <v>1411</v>
      </c>
      <c r="BD245" s="421" t="s">
        <v>1412</v>
      </c>
      <c r="BE245" s="421" t="s">
        <v>1413</v>
      </c>
      <c r="BF245" s="421" t="s">
        <v>2876</v>
      </c>
      <c r="BG245" s="421" t="s">
        <v>2877</v>
      </c>
      <c r="BH245" s="421" t="s">
        <v>2878</v>
      </c>
      <c r="BI245" s="421" t="s">
        <v>1142</v>
      </c>
      <c r="BJ245" s="421" t="s">
        <v>2739</v>
      </c>
      <c r="BK245" s="421" t="s">
        <v>2875</v>
      </c>
      <c r="BL245" s="421" t="s">
        <v>2879</v>
      </c>
      <c r="BM245" s="421" t="s">
        <v>2863</v>
      </c>
      <c r="BN245" s="421" t="s">
        <v>2718</v>
      </c>
      <c r="BO245" s="421">
        <v>0</v>
      </c>
      <c r="BQ245" s="421" t="s">
        <v>2866</v>
      </c>
      <c r="BR245" s="421">
        <v>0</v>
      </c>
      <c r="BS245" s="421">
        <v>0</v>
      </c>
      <c r="BT245" s="421">
        <v>0</v>
      </c>
      <c r="BU245" s="424">
        <v>42290</v>
      </c>
      <c r="BW245" s="421" t="s">
        <v>2866</v>
      </c>
      <c r="BX245" s="421">
        <v>2921.32</v>
      </c>
      <c r="BY245" s="421" t="s">
        <v>1147</v>
      </c>
      <c r="BZ245" s="421">
        <v>74993.8</v>
      </c>
      <c r="CA245" s="421">
        <v>219080887.81600001</v>
      </c>
      <c r="CB245" s="421">
        <v>30</v>
      </c>
      <c r="CC245" s="421">
        <v>0</v>
      </c>
      <c r="CD245" s="421">
        <v>2605.8000000000002</v>
      </c>
      <c r="CE245" s="421">
        <v>2635.8</v>
      </c>
      <c r="CF245" s="421">
        <v>0</v>
      </c>
      <c r="CG245" s="421">
        <v>77629.600000000006</v>
      </c>
      <c r="CH245" s="421">
        <v>0</v>
      </c>
      <c r="CI245" s="421">
        <v>77629.600000000006</v>
      </c>
      <c r="CJ245" s="421">
        <v>226780903.072</v>
      </c>
      <c r="CK245" s="421">
        <v>0</v>
      </c>
      <c r="CL245" s="421">
        <v>226780903</v>
      </c>
      <c r="CM245" s="421">
        <v>0</v>
      </c>
      <c r="CN245" s="421">
        <v>0</v>
      </c>
      <c r="CO245" s="421">
        <v>0</v>
      </c>
      <c r="CP245" s="421">
        <v>0</v>
      </c>
      <c r="CQ245" s="421">
        <v>16</v>
      </c>
      <c r="CR245" s="421">
        <v>226780903</v>
      </c>
      <c r="CS245" s="421">
        <v>36285000</v>
      </c>
      <c r="CT245" s="421">
        <v>36285000</v>
      </c>
      <c r="CU245" s="421">
        <v>0</v>
      </c>
      <c r="CV245" s="421">
        <v>0</v>
      </c>
      <c r="CW245" s="421">
        <v>0</v>
      </c>
      <c r="CX245" s="421">
        <v>0</v>
      </c>
      <c r="CY245" s="421">
        <v>0</v>
      </c>
      <c r="CZ245" s="421">
        <v>0</v>
      </c>
      <c r="DA245" s="421">
        <v>0</v>
      </c>
      <c r="DB245" s="421">
        <v>0</v>
      </c>
      <c r="DC245" s="421">
        <v>0</v>
      </c>
      <c r="DD245" s="421">
        <v>0</v>
      </c>
      <c r="DE245" s="421">
        <v>0</v>
      </c>
      <c r="DF245" s="421">
        <v>0</v>
      </c>
      <c r="DG245" s="421">
        <v>0</v>
      </c>
      <c r="DH245" s="421">
        <v>0</v>
      </c>
      <c r="DI245" s="421">
        <v>0</v>
      </c>
      <c r="DJ245" s="421">
        <v>0</v>
      </c>
      <c r="DK245" s="421">
        <v>0</v>
      </c>
      <c r="DL245" s="421">
        <v>0</v>
      </c>
      <c r="DM245" s="421">
        <v>0</v>
      </c>
      <c r="DN245" s="421">
        <v>0</v>
      </c>
      <c r="DO245" s="421">
        <v>0</v>
      </c>
      <c r="DP245" s="421">
        <v>0</v>
      </c>
      <c r="DQ245" s="421">
        <v>0</v>
      </c>
      <c r="DR245" s="421">
        <v>0</v>
      </c>
      <c r="DS245" s="421">
        <v>0</v>
      </c>
      <c r="DT245" s="421">
        <v>0</v>
      </c>
      <c r="DU245" s="421">
        <v>0</v>
      </c>
      <c r="DV245" s="421">
        <v>0</v>
      </c>
      <c r="DW245" s="421">
        <v>0</v>
      </c>
      <c r="DX245" s="421">
        <v>0</v>
      </c>
      <c r="DY245" s="421">
        <v>36285000</v>
      </c>
      <c r="DZ245" s="421">
        <v>36285000</v>
      </c>
      <c r="EA245" s="421">
        <v>0</v>
      </c>
      <c r="EB245" s="421">
        <v>0</v>
      </c>
      <c r="EC245" s="421" t="s">
        <v>1148</v>
      </c>
      <c r="ED245" s="421" t="s">
        <v>1149</v>
      </c>
      <c r="EE245" s="421" t="s">
        <v>1149</v>
      </c>
    </row>
    <row r="246" spans="1:135" x14ac:dyDescent="0.25">
      <c r="A246" s="421">
        <v>243</v>
      </c>
      <c r="B246" s="421">
        <v>2015</v>
      </c>
      <c r="C246" s="421">
        <v>11</v>
      </c>
      <c r="D246" s="421">
        <v>6</v>
      </c>
      <c r="E246" s="424">
        <v>42314</v>
      </c>
      <c r="F246" s="421" t="s">
        <v>2880</v>
      </c>
      <c r="G246" s="421" t="s">
        <v>2881</v>
      </c>
      <c r="H246" s="421" t="s">
        <v>1152</v>
      </c>
      <c r="I246" s="421" t="s">
        <v>1107</v>
      </c>
      <c r="J246" s="421" t="s">
        <v>1108</v>
      </c>
      <c r="K246" s="421" t="s">
        <v>1109</v>
      </c>
      <c r="L246" s="421" t="s">
        <v>1110</v>
      </c>
      <c r="M246" s="421" t="s">
        <v>2866</v>
      </c>
      <c r="O246" s="421" t="s">
        <v>1111</v>
      </c>
      <c r="Q246" s="421" t="s">
        <v>2866</v>
      </c>
      <c r="R246" s="421" t="s">
        <v>1111</v>
      </c>
      <c r="S246" s="421" t="s">
        <v>1112</v>
      </c>
      <c r="T246" s="421" t="s">
        <v>1113</v>
      </c>
      <c r="U246" s="421" t="s">
        <v>1114</v>
      </c>
      <c r="V246" s="421" t="s">
        <v>1120</v>
      </c>
      <c r="X246" s="421" t="s">
        <v>1117</v>
      </c>
      <c r="Y246" s="421" t="s">
        <v>1118</v>
      </c>
      <c r="Z246" s="421" t="s">
        <v>1119</v>
      </c>
      <c r="AA246" s="421" t="s">
        <v>1120</v>
      </c>
      <c r="AB246" s="421" t="s">
        <v>1121</v>
      </c>
      <c r="AC246" s="421" t="s">
        <v>1122</v>
      </c>
      <c r="AD246" s="421" t="s">
        <v>1479</v>
      </c>
      <c r="AE246" s="421" t="s">
        <v>1186</v>
      </c>
      <c r="AF246" s="421" t="s">
        <v>1187</v>
      </c>
      <c r="AG246" s="421" t="s">
        <v>2882</v>
      </c>
      <c r="AH246" s="421">
        <v>3400</v>
      </c>
      <c r="AI246" s="421" t="s">
        <v>1189</v>
      </c>
      <c r="AJ246" s="421">
        <v>34</v>
      </c>
      <c r="AK246" s="421">
        <v>1</v>
      </c>
      <c r="AL246" s="421" t="s">
        <v>1173</v>
      </c>
      <c r="AM246" s="421">
        <v>186.8</v>
      </c>
      <c r="AN246" s="421">
        <v>220.8</v>
      </c>
      <c r="AO246" s="421" t="s">
        <v>1120</v>
      </c>
      <c r="AR246" s="421" t="s">
        <v>2868</v>
      </c>
      <c r="AT246" s="421" t="s">
        <v>1131</v>
      </c>
      <c r="AU246" s="421" t="s">
        <v>1190</v>
      </c>
      <c r="AV246" s="421" t="s">
        <v>1191</v>
      </c>
      <c r="AW246" s="421" t="s">
        <v>960</v>
      </c>
      <c r="AX246" s="421" t="s">
        <v>960</v>
      </c>
      <c r="AY246" s="421" t="s">
        <v>960</v>
      </c>
      <c r="AZ246" s="421" t="s">
        <v>1121</v>
      </c>
      <c r="BA246" s="421" t="s">
        <v>1192</v>
      </c>
      <c r="BB246" s="421" t="s">
        <v>960</v>
      </c>
      <c r="BC246" s="421" t="s">
        <v>1193</v>
      </c>
      <c r="BD246" s="421" t="s">
        <v>2883</v>
      </c>
      <c r="BE246" s="421" t="s">
        <v>1195</v>
      </c>
      <c r="BF246" s="421" t="s">
        <v>2884</v>
      </c>
      <c r="BG246" s="421" t="s">
        <v>2877</v>
      </c>
      <c r="BH246" s="421" t="s">
        <v>2885</v>
      </c>
      <c r="BI246" s="421" t="s">
        <v>1142</v>
      </c>
      <c r="BJ246" s="421" t="s">
        <v>1180</v>
      </c>
      <c r="BK246" s="421" t="s">
        <v>2881</v>
      </c>
      <c r="BL246" s="421" t="s">
        <v>2886</v>
      </c>
      <c r="BM246" s="421" t="s">
        <v>2528</v>
      </c>
      <c r="BN246" s="421" t="s">
        <v>2528</v>
      </c>
      <c r="BO246" s="421">
        <v>0</v>
      </c>
      <c r="BQ246" s="421" t="s">
        <v>2866</v>
      </c>
      <c r="BR246" s="421">
        <v>0</v>
      </c>
      <c r="BS246" s="421">
        <v>0</v>
      </c>
      <c r="BT246" s="421">
        <v>0</v>
      </c>
      <c r="BU246" s="424">
        <v>42258</v>
      </c>
      <c r="BW246" s="421" t="s">
        <v>2866</v>
      </c>
      <c r="BX246" s="421">
        <v>2921.32</v>
      </c>
      <c r="BY246" s="421" t="s">
        <v>1183</v>
      </c>
      <c r="BZ246" s="421">
        <v>5203.2</v>
      </c>
      <c r="CA246" s="421">
        <v>15200212.223999999</v>
      </c>
      <c r="CB246" s="421">
        <v>2.08</v>
      </c>
      <c r="CC246" s="421">
        <v>0</v>
      </c>
      <c r="CD246" s="421">
        <v>700</v>
      </c>
      <c r="CE246" s="421">
        <v>702.08</v>
      </c>
      <c r="CF246" s="421">
        <v>0</v>
      </c>
      <c r="CG246" s="421">
        <v>5905.28</v>
      </c>
      <c r="CH246" s="421">
        <v>0</v>
      </c>
      <c r="CI246" s="421">
        <v>5905.28</v>
      </c>
      <c r="CJ246" s="421">
        <v>17251212.569600001</v>
      </c>
      <c r="CK246" s="421">
        <v>15</v>
      </c>
      <c r="CL246" s="421">
        <v>17251213</v>
      </c>
      <c r="CM246" s="421">
        <v>2588000</v>
      </c>
      <c r="CN246" s="421">
        <v>2588000</v>
      </c>
      <c r="CO246" s="421">
        <v>0</v>
      </c>
      <c r="CP246" s="421">
        <v>0</v>
      </c>
      <c r="CQ246" s="421">
        <v>16</v>
      </c>
      <c r="CR246" s="421">
        <v>19839213</v>
      </c>
      <c r="CS246" s="421">
        <v>3174000</v>
      </c>
      <c r="CT246" s="421">
        <v>3174000</v>
      </c>
      <c r="CU246" s="421">
        <v>0</v>
      </c>
      <c r="CV246" s="421">
        <v>0</v>
      </c>
      <c r="CW246" s="421">
        <v>0</v>
      </c>
      <c r="CX246" s="421">
        <v>0</v>
      </c>
      <c r="CY246" s="421">
        <v>0</v>
      </c>
      <c r="CZ246" s="421">
        <v>0</v>
      </c>
      <c r="DA246" s="421">
        <v>0</v>
      </c>
      <c r="DB246" s="421">
        <v>0</v>
      </c>
      <c r="DC246" s="421">
        <v>0</v>
      </c>
      <c r="DD246" s="421">
        <v>0</v>
      </c>
      <c r="DE246" s="421">
        <v>0</v>
      </c>
      <c r="DF246" s="421">
        <v>0</v>
      </c>
      <c r="DG246" s="421">
        <v>0</v>
      </c>
      <c r="DH246" s="421">
        <v>0</v>
      </c>
      <c r="DI246" s="421">
        <v>0</v>
      </c>
      <c r="DJ246" s="421">
        <v>0</v>
      </c>
      <c r="DK246" s="421">
        <v>0</v>
      </c>
      <c r="DL246" s="421">
        <v>0</v>
      </c>
      <c r="DM246" s="421">
        <v>0</v>
      </c>
      <c r="DN246" s="421">
        <v>0</v>
      </c>
      <c r="DO246" s="421">
        <v>0</v>
      </c>
      <c r="DP246" s="421">
        <v>0</v>
      </c>
      <c r="DQ246" s="421">
        <v>0</v>
      </c>
      <c r="DR246" s="421">
        <v>0</v>
      </c>
      <c r="DS246" s="421">
        <v>0</v>
      </c>
      <c r="DT246" s="421">
        <v>0</v>
      </c>
      <c r="DU246" s="421">
        <v>0</v>
      </c>
      <c r="DV246" s="421">
        <v>0</v>
      </c>
      <c r="DW246" s="421">
        <v>0</v>
      </c>
      <c r="DX246" s="421">
        <v>0</v>
      </c>
      <c r="DY246" s="421">
        <v>5762000</v>
      </c>
      <c r="DZ246" s="421">
        <v>5762000</v>
      </c>
      <c r="EA246" s="421">
        <v>0</v>
      </c>
      <c r="EB246" s="421">
        <v>0</v>
      </c>
      <c r="EC246" s="421" t="s">
        <v>1148</v>
      </c>
      <c r="ED246" s="421" t="s">
        <v>1167</v>
      </c>
      <c r="EE246" s="421" t="s">
        <v>1167</v>
      </c>
    </row>
    <row r="247" spans="1:135" x14ac:dyDescent="0.25">
      <c r="A247" s="421">
        <v>244</v>
      </c>
      <c r="B247" s="421">
        <v>2015</v>
      </c>
      <c r="C247" s="421">
        <v>11</v>
      </c>
      <c r="D247" s="421">
        <v>11</v>
      </c>
      <c r="E247" s="424">
        <v>42319</v>
      </c>
      <c r="F247" s="421" t="s">
        <v>2887</v>
      </c>
      <c r="G247" s="421" t="s">
        <v>2888</v>
      </c>
      <c r="H247" s="421" t="s">
        <v>1152</v>
      </c>
      <c r="I247" s="421" t="s">
        <v>1107</v>
      </c>
      <c r="J247" s="421" t="s">
        <v>1108</v>
      </c>
      <c r="K247" s="421" t="s">
        <v>1202</v>
      </c>
      <c r="L247" s="421" t="s">
        <v>1110</v>
      </c>
      <c r="M247" s="421" t="s">
        <v>2866</v>
      </c>
      <c r="O247" s="421" t="s">
        <v>1111</v>
      </c>
      <c r="Q247" s="421" t="s">
        <v>2866</v>
      </c>
      <c r="R247" s="421" t="s">
        <v>1111</v>
      </c>
      <c r="S247" s="421" t="s">
        <v>1112</v>
      </c>
      <c r="T247" s="421" t="s">
        <v>1113</v>
      </c>
      <c r="U247" s="421" t="s">
        <v>1114</v>
      </c>
      <c r="V247" s="421" t="s">
        <v>1120</v>
      </c>
      <c r="X247" s="421" t="s">
        <v>1117</v>
      </c>
      <c r="Y247" s="421" t="s">
        <v>1118</v>
      </c>
      <c r="Z247" s="421" t="s">
        <v>1119</v>
      </c>
      <c r="AA247" s="421" t="s">
        <v>1120</v>
      </c>
      <c r="AB247" s="421" t="s">
        <v>1121</v>
      </c>
      <c r="AC247" s="421" t="s">
        <v>1122</v>
      </c>
      <c r="AD247" s="421" t="s">
        <v>1479</v>
      </c>
      <c r="AE247" s="421" t="s">
        <v>1203</v>
      </c>
      <c r="AF247" s="421" t="s">
        <v>1204</v>
      </c>
      <c r="AG247" s="421" t="s">
        <v>2889</v>
      </c>
      <c r="AH247" s="421">
        <v>64500</v>
      </c>
      <c r="AI247" s="421" t="s">
        <v>1127</v>
      </c>
      <c r="AJ247" s="421">
        <v>3</v>
      </c>
      <c r="AK247" s="421">
        <v>1</v>
      </c>
      <c r="AL247" s="421" t="s">
        <v>1283</v>
      </c>
      <c r="AM247" s="421">
        <v>64500</v>
      </c>
      <c r="AN247" s="421">
        <v>65228</v>
      </c>
      <c r="AO247" s="421" t="s">
        <v>1120</v>
      </c>
      <c r="AR247" s="421" t="s">
        <v>2868</v>
      </c>
      <c r="AT247" s="421" t="s">
        <v>1131</v>
      </c>
      <c r="AU247" s="421" t="s">
        <v>1319</v>
      </c>
      <c r="AV247" s="421" t="s">
        <v>1320</v>
      </c>
      <c r="AW247" s="421" t="s">
        <v>1207</v>
      </c>
      <c r="AX247" s="421" t="s">
        <v>1207</v>
      </c>
      <c r="AY247" s="421" t="s">
        <v>1208</v>
      </c>
      <c r="AZ247" s="421" t="s">
        <v>1121</v>
      </c>
      <c r="BA247" s="421" t="s">
        <v>1209</v>
      </c>
      <c r="BB247" s="421" t="s">
        <v>1208</v>
      </c>
      <c r="BC247" s="421" t="s">
        <v>1210</v>
      </c>
      <c r="BD247" s="421" t="s">
        <v>1211</v>
      </c>
      <c r="BE247" s="421" t="s">
        <v>1212</v>
      </c>
      <c r="BF247" s="421" t="s">
        <v>2890</v>
      </c>
      <c r="BG247" s="421" t="s">
        <v>2891</v>
      </c>
      <c r="BH247" s="421" t="s">
        <v>2892</v>
      </c>
      <c r="BI247" s="421" t="s">
        <v>1142</v>
      </c>
      <c r="BJ247" s="421" t="s">
        <v>1163</v>
      </c>
      <c r="BK247" s="421" t="s">
        <v>2888</v>
      </c>
      <c r="BL247" s="421" t="s">
        <v>2893</v>
      </c>
      <c r="BM247" s="421" t="s">
        <v>2894</v>
      </c>
      <c r="BN247" s="421" t="s">
        <v>2895</v>
      </c>
      <c r="BO247" s="421">
        <v>0</v>
      </c>
      <c r="BQ247" s="421" t="s">
        <v>2866</v>
      </c>
      <c r="BR247" s="421">
        <v>0</v>
      </c>
      <c r="BS247" s="421">
        <v>0</v>
      </c>
      <c r="BT247" s="421">
        <v>0</v>
      </c>
      <c r="BU247" s="424">
        <v>42306</v>
      </c>
      <c r="BW247" s="421" t="s">
        <v>2866</v>
      </c>
      <c r="BX247" s="421">
        <v>2853.32</v>
      </c>
      <c r="BY247" s="421" t="s">
        <v>1147</v>
      </c>
      <c r="BZ247" s="421">
        <v>122550</v>
      </c>
      <c r="CA247" s="421">
        <v>349674366</v>
      </c>
      <c r="CB247" s="421">
        <v>49.02</v>
      </c>
      <c r="CC247" s="421">
        <v>0</v>
      </c>
      <c r="CD247" s="421">
        <v>3930</v>
      </c>
      <c r="CE247" s="421">
        <v>3979.02</v>
      </c>
      <c r="CF247" s="421">
        <v>0</v>
      </c>
      <c r="CG247" s="421">
        <v>126529.02</v>
      </c>
      <c r="CH247" s="421">
        <v>0</v>
      </c>
      <c r="CI247" s="421">
        <v>126529.02</v>
      </c>
      <c r="CJ247" s="421">
        <v>361027783.34640002</v>
      </c>
      <c r="CK247" s="421">
        <v>0</v>
      </c>
      <c r="CL247" s="421">
        <v>361027783</v>
      </c>
      <c r="CM247" s="421">
        <v>0</v>
      </c>
      <c r="CN247" s="421">
        <v>0</v>
      </c>
      <c r="CO247" s="421">
        <v>0</v>
      </c>
      <c r="CP247" s="421">
        <v>0</v>
      </c>
      <c r="CQ247" s="421">
        <v>0</v>
      </c>
      <c r="CR247" s="421">
        <v>361027783</v>
      </c>
      <c r="CS247" s="421">
        <v>0</v>
      </c>
      <c r="CT247" s="421">
        <v>0</v>
      </c>
      <c r="CU247" s="421">
        <v>0</v>
      </c>
      <c r="CV247" s="421">
        <v>0</v>
      </c>
      <c r="CW247" s="421">
        <v>0</v>
      </c>
      <c r="CX247" s="421">
        <v>0</v>
      </c>
      <c r="CY247" s="421">
        <v>0</v>
      </c>
      <c r="CZ247" s="421">
        <v>0</v>
      </c>
      <c r="DA247" s="421">
        <v>0</v>
      </c>
      <c r="DB247" s="421">
        <v>0</v>
      </c>
      <c r="DC247" s="421">
        <v>0</v>
      </c>
      <c r="DD247" s="421">
        <v>0</v>
      </c>
      <c r="DE247" s="421">
        <v>0</v>
      </c>
      <c r="DF247" s="421">
        <v>0</v>
      </c>
      <c r="DG247" s="421">
        <v>0</v>
      </c>
      <c r="DH247" s="421">
        <v>0</v>
      </c>
      <c r="DI247" s="421">
        <v>0</v>
      </c>
      <c r="DJ247" s="421">
        <v>0</v>
      </c>
      <c r="DK247" s="421">
        <v>0</v>
      </c>
      <c r="DL247" s="421">
        <v>0</v>
      </c>
      <c r="DM247" s="421">
        <v>0</v>
      </c>
      <c r="DN247" s="421">
        <v>0</v>
      </c>
      <c r="DO247" s="421">
        <v>0</v>
      </c>
      <c r="DP247" s="421">
        <v>0</v>
      </c>
      <c r="DQ247" s="421">
        <v>0</v>
      </c>
      <c r="DR247" s="421">
        <v>0</v>
      </c>
      <c r="DS247" s="421">
        <v>0</v>
      </c>
      <c r="DT247" s="421">
        <v>0</v>
      </c>
      <c r="DU247" s="421">
        <v>0</v>
      </c>
      <c r="DV247" s="421">
        <v>0</v>
      </c>
      <c r="DW247" s="421">
        <v>0</v>
      </c>
      <c r="DX247" s="421">
        <v>0</v>
      </c>
      <c r="DY247" s="421">
        <v>0</v>
      </c>
      <c r="DZ247" s="421">
        <v>0</v>
      </c>
      <c r="EA247" s="421">
        <v>0</v>
      </c>
      <c r="EB247" s="421">
        <v>0</v>
      </c>
      <c r="EC247" s="421" t="s">
        <v>1148</v>
      </c>
      <c r="ED247" s="421" t="s">
        <v>1149</v>
      </c>
      <c r="EE247" s="421" t="s">
        <v>1149</v>
      </c>
    </row>
    <row r="248" spans="1:135" x14ac:dyDescent="0.25">
      <c r="A248" s="421">
        <v>245</v>
      </c>
      <c r="B248" s="421">
        <v>2015</v>
      </c>
      <c r="C248" s="421">
        <v>11</v>
      </c>
      <c r="D248" s="421">
        <v>13</v>
      </c>
      <c r="E248" s="424">
        <v>42321</v>
      </c>
      <c r="F248" s="421" t="s">
        <v>2896</v>
      </c>
      <c r="G248" s="421" t="s">
        <v>2897</v>
      </c>
      <c r="H248" s="421" t="s">
        <v>1106</v>
      </c>
      <c r="I248" s="421" t="s">
        <v>1107</v>
      </c>
      <c r="J248" s="421" t="s">
        <v>1108</v>
      </c>
      <c r="K248" s="421" t="s">
        <v>1109</v>
      </c>
      <c r="L248" s="421" t="s">
        <v>1110</v>
      </c>
      <c r="M248" s="421" t="s">
        <v>2866</v>
      </c>
      <c r="O248" s="421" t="s">
        <v>1111</v>
      </c>
      <c r="Q248" s="421" t="s">
        <v>2866</v>
      </c>
      <c r="R248" s="421" t="s">
        <v>1111</v>
      </c>
      <c r="S248" s="421" t="s">
        <v>1112</v>
      </c>
      <c r="T248" s="421" t="s">
        <v>1113</v>
      </c>
      <c r="U248" s="421" t="s">
        <v>1114</v>
      </c>
      <c r="V248" s="421" t="s">
        <v>1120</v>
      </c>
      <c r="X248" s="421" t="s">
        <v>1117</v>
      </c>
      <c r="Y248" s="421" t="s">
        <v>1118</v>
      </c>
      <c r="Z248" s="421" t="s">
        <v>1119</v>
      </c>
      <c r="AA248" s="421" t="s">
        <v>1120</v>
      </c>
      <c r="AB248" s="421" t="s">
        <v>1121</v>
      </c>
      <c r="AC248" s="421" t="s">
        <v>1122</v>
      </c>
      <c r="AD248" s="421" t="s">
        <v>1479</v>
      </c>
      <c r="AE248" s="421" t="s">
        <v>1632</v>
      </c>
      <c r="AF248" s="421" t="s">
        <v>1633</v>
      </c>
      <c r="AG248" s="421" t="s">
        <v>2898</v>
      </c>
      <c r="AH248" s="421">
        <v>6144.6</v>
      </c>
      <c r="AI248" s="421" t="s">
        <v>1127</v>
      </c>
      <c r="AJ248" s="421">
        <v>209</v>
      </c>
      <c r="AK248" s="421">
        <v>1</v>
      </c>
      <c r="AL248" s="421" t="s">
        <v>1173</v>
      </c>
      <c r="AM248" s="421">
        <v>6144.6</v>
      </c>
      <c r="AN248" s="421">
        <v>6501.99</v>
      </c>
      <c r="AO248" s="421" t="s">
        <v>1120</v>
      </c>
      <c r="AR248" s="421" t="s">
        <v>2868</v>
      </c>
      <c r="AT248" s="421" t="s">
        <v>1131</v>
      </c>
      <c r="AU248" s="421" t="s">
        <v>1190</v>
      </c>
      <c r="AV248" s="421" t="s">
        <v>1191</v>
      </c>
      <c r="AW248" s="421" t="s">
        <v>960</v>
      </c>
      <c r="AX248" s="421" t="s">
        <v>960</v>
      </c>
      <c r="AY248" s="421" t="s">
        <v>960</v>
      </c>
      <c r="AZ248" s="421" t="s">
        <v>1121</v>
      </c>
      <c r="BA248" s="421" t="s">
        <v>2899</v>
      </c>
      <c r="BB248" s="421" t="s">
        <v>960</v>
      </c>
      <c r="BC248" s="421" t="s">
        <v>1521</v>
      </c>
      <c r="BD248" s="421" t="s">
        <v>2900</v>
      </c>
      <c r="BE248" s="421" t="s">
        <v>2901</v>
      </c>
      <c r="BF248" s="421" t="s">
        <v>2902</v>
      </c>
      <c r="BG248" s="421" t="s">
        <v>2879</v>
      </c>
      <c r="BH248" s="421" t="s">
        <v>2903</v>
      </c>
      <c r="BI248" s="421" t="s">
        <v>1142</v>
      </c>
      <c r="BJ248" s="421" t="s">
        <v>2739</v>
      </c>
      <c r="BK248" s="421" t="s">
        <v>2897</v>
      </c>
      <c r="BL248" s="421" t="s">
        <v>2904</v>
      </c>
      <c r="BM248" s="421" t="s">
        <v>2905</v>
      </c>
      <c r="BN248" s="421" t="s">
        <v>2807</v>
      </c>
      <c r="BO248" s="421">
        <v>0</v>
      </c>
      <c r="BQ248" s="421" t="s">
        <v>2866</v>
      </c>
      <c r="BR248" s="421">
        <v>0</v>
      </c>
      <c r="BS248" s="421">
        <v>0</v>
      </c>
      <c r="BT248" s="421">
        <v>0</v>
      </c>
      <c r="BU248" s="424">
        <v>42287</v>
      </c>
      <c r="BW248" s="421" t="s">
        <v>2866</v>
      </c>
      <c r="BX248" s="421">
        <v>2853.32</v>
      </c>
      <c r="BY248" s="421" t="s">
        <v>1183</v>
      </c>
      <c r="BZ248" s="421">
        <v>15140.4</v>
      </c>
      <c r="CA248" s="421">
        <v>43200406.127999999</v>
      </c>
      <c r="CB248" s="421">
        <v>6.06</v>
      </c>
      <c r="CC248" s="421">
        <v>0</v>
      </c>
      <c r="CD248" s="421">
        <v>1575</v>
      </c>
      <c r="CE248" s="421">
        <v>1581.06</v>
      </c>
      <c r="CF248" s="421">
        <v>0</v>
      </c>
      <c r="CG248" s="421">
        <v>16721.46</v>
      </c>
      <c r="CH248" s="421">
        <v>0</v>
      </c>
      <c r="CI248" s="421">
        <v>16721.46</v>
      </c>
      <c r="CJ248" s="421">
        <v>47711676.247199997</v>
      </c>
      <c r="CK248" s="421">
        <v>15</v>
      </c>
      <c r="CL248" s="421">
        <v>47711676</v>
      </c>
      <c r="CM248" s="421">
        <v>7157000</v>
      </c>
      <c r="CN248" s="421">
        <v>7157000</v>
      </c>
      <c r="CO248" s="421">
        <v>0</v>
      </c>
      <c r="CP248" s="421">
        <v>0</v>
      </c>
      <c r="CQ248" s="421">
        <v>16</v>
      </c>
      <c r="CR248" s="421">
        <v>54868676</v>
      </c>
      <c r="CS248" s="421">
        <v>8779000</v>
      </c>
      <c r="CT248" s="421">
        <v>8779000</v>
      </c>
      <c r="CU248" s="421">
        <v>0</v>
      </c>
      <c r="CV248" s="421">
        <v>0</v>
      </c>
      <c r="CW248" s="421">
        <v>0</v>
      </c>
      <c r="CX248" s="421">
        <v>0</v>
      </c>
      <c r="CY248" s="421">
        <v>0</v>
      </c>
      <c r="CZ248" s="421">
        <v>0</v>
      </c>
      <c r="DA248" s="421">
        <v>0</v>
      </c>
      <c r="DB248" s="421">
        <v>0</v>
      </c>
      <c r="DC248" s="421">
        <v>0</v>
      </c>
      <c r="DD248" s="421">
        <v>0</v>
      </c>
      <c r="DE248" s="421">
        <v>0</v>
      </c>
      <c r="DF248" s="421">
        <v>0</v>
      </c>
      <c r="DG248" s="421">
        <v>0</v>
      </c>
      <c r="DH248" s="421">
        <v>0</v>
      </c>
      <c r="DI248" s="421">
        <v>0</v>
      </c>
      <c r="DJ248" s="421">
        <v>0</v>
      </c>
      <c r="DK248" s="421">
        <v>0</v>
      </c>
      <c r="DL248" s="421">
        <v>0</v>
      </c>
      <c r="DM248" s="421">
        <v>0</v>
      </c>
      <c r="DN248" s="421">
        <v>0</v>
      </c>
      <c r="DO248" s="421">
        <v>0</v>
      </c>
      <c r="DP248" s="421">
        <v>0</v>
      </c>
      <c r="DQ248" s="421">
        <v>0</v>
      </c>
      <c r="DR248" s="421">
        <v>0</v>
      </c>
      <c r="DS248" s="421">
        <v>0</v>
      </c>
      <c r="DT248" s="421">
        <v>0</v>
      </c>
      <c r="DU248" s="421">
        <v>0</v>
      </c>
      <c r="DV248" s="421">
        <v>0</v>
      </c>
      <c r="DW248" s="421">
        <v>0</v>
      </c>
      <c r="DX248" s="421">
        <v>0</v>
      </c>
      <c r="DY248" s="421">
        <v>15936000</v>
      </c>
      <c r="DZ248" s="421">
        <v>15936000</v>
      </c>
      <c r="EA248" s="421">
        <v>0</v>
      </c>
      <c r="EB248" s="421">
        <v>0</v>
      </c>
      <c r="EC248" s="421" t="s">
        <v>1148</v>
      </c>
      <c r="ED248" s="421" t="s">
        <v>1167</v>
      </c>
      <c r="EE248" s="421" t="s">
        <v>1167</v>
      </c>
    </row>
    <row r="249" spans="1:135" x14ac:dyDescent="0.25">
      <c r="A249" s="421">
        <v>246</v>
      </c>
      <c r="B249" s="421">
        <v>2015</v>
      </c>
      <c r="C249" s="421">
        <v>11</v>
      </c>
      <c r="D249" s="421">
        <v>13</v>
      </c>
      <c r="E249" s="424">
        <v>42321</v>
      </c>
      <c r="F249" s="421" t="s">
        <v>2906</v>
      </c>
      <c r="G249" s="421" t="s">
        <v>2907</v>
      </c>
      <c r="H249" s="421" t="s">
        <v>1106</v>
      </c>
      <c r="I249" s="421" t="s">
        <v>1107</v>
      </c>
      <c r="J249" s="421" t="s">
        <v>1108</v>
      </c>
      <c r="K249" s="421" t="s">
        <v>1109</v>
      </c>
      <c r="L249" s="421" t="s">
        <v>1110</v>
      </c>
      <c r="M249" s="421" t="s">
        <v>2866</v>
      </c>
      <c r="O249" s="421" t="s">
        <v>1111</v>
      </c>
      <c r="Q249" s="421" t="s">
        <v>2866</v>
      </c>
      <c r="R249" s="421" t="s">
        <v>1111</v>
      </c>
      <c r="S249" s="421" t="s">
        <v>1112</v>
      </c>
      <c r="T249" s="421" t="s">
        <v>1113</v>
      </c>
      <c r="U249" s="421" t="s">
        <v>1114</v>
      </c>
      <c r="V249" s="421" t="s">
        <v>1120</v>
      </c>
      <c r="X249" s="421" t="s">
        <v>1117</v>
      </c>
      <c r="Y249" s="421" t="s">
        <v>1118</v>
      </c>
      <c r="Z249" s="421" t="s">
        <v>1119</v>
      </c>
      <c r="AA249" s="421" t="s">
        <v>1120</v>
      </c>
      <c r="AB249" s="421" t="s">
        <v>1121</v>
      </c>
      <c r="AC249" s="421" t="s">
        <v>1122</v>
      </c>
      <c r="AD249" s="421" t="s">
        <v>1479</v>
      </c>
      <c r="AE249" s="421" t="s">
        <v>1452</v>
      </c>
      <c r="AF249" s="421" t="s">
        <v>1453</v>
      </c>
      <c r="AG249" s="421" t="s">
        <v>2908</v>
      </c>
      <c r="AH249" s="421">
        <v>228.61</v>
      </c>
      <c r="AI249" s="421" t="s">
        <v>1127</v>
      </c>
      <c r="AJ249" s="421">
        <v>1</v>
      </c>
      <c r="AK249" s="421">
        <v>1</v>
      </c>
      <c r="AL249" s="421" t="s">
        <v>1335</v>
      </c>
      <c r="AM249" s="421">
        <v>228.61</v>
      </c>
      <c r="AN249" s="421">
        <v>316</v>
      </c>
      <c r="AO249" s="421" t="s">
        <v>1120</v>
      </c>
      <c r="AR249" s="421" t="s">
        <v>2868</v>
      </c>
      <c r="AT249" s="421" t="s">
        <v>1131</v>
      </c>
      <c r="AU249" s="421" t="s">
        <v>1190</v>
      </c>
      <c r="AV249" s="421" t="s">
        <v>1191</v>
      </c>
      <c r="AW249" s="421" t="s">
        <v>962</v>
      </c>
      <c r="AX249" s="421" t="s">
        <v>962</v>
      </c>
      <c r="AY249" s="421" t="s">
        <v>962</v>
      </c>
      <c r="AZ249" s="421" t="s">
        <v>1121</v>
      </c>
      <c r="BA249" s="421" t="s">
        <v>2282</v>
      </c>
      <c r="BB249" s="421" t="s">
        <v>962</v>
      </c>
      <c r="BC249" s="421" t="s">
        <v>1456</v>
      </c>
      <c r="BD249" s="421" t="s">
        <v>1457</v>
      </c>
      <c r="BE249" s="421" t="s">
        <v>1458</v>
      </c>
      <c r="BF249" s="421" t="s">
        <v>2909</v>
      </c>
      <c r="BG249" s="421" t="s">
        <v>2910</v>
      </c>
      <c r="BH249" s="421" t="s">
        <v>2911</v>
      </c>
      <c r="BI249" s="421" t="s">
        <v>1341</v>
      </c>
      <c r="BJ249" s="421" t="s">
        <v>2912</v>
      </c>
      <c r="BK249" s="421" t="s">
        <v>2907</v>
      </c>
      <c r="BL249" s="421" t="s">
        <v>2910</v>
      </c>
      <c r="BM249" s="421" t="s">
        <v>2913</v>
      </c>
      <c r="BN249" s="421" t="s">
        <v>2914</v>
      </c>
      <c r="BO249" s="421">
        <v>0</v>
      </c>
      <c r="BQ249" s="421" t="s">
        <v>2866</v>
      </c>
      <c r="BR249" s="421">
        <v>0</v>
      </c>
      <c r="BS249" s="421">
        <v>0</v>
      </c>
      <c r="BT249" s="421">
        <v>0</v>
      </c>
      <c r="BU249" s="424">
        <v>42318</v>
      </c>
      <c r="BW249" s="421" t="s">
        <v>2866</v>
      </c>
      <c r="BX249" s="421">
        <v>2853.32</v>
      </c>
      <c r="BY249" s="421" t="s">
        <v>1147</v>
      </c>
      <c r="BZ249" s="421">
        <v>2264.04</v>
      </c>
      <c r="CA249" s="421">
        <v>6460030.6128000002</v>
      </c>
      <c r="CB249" s="421">
        <v>0.91</v>
      </c>
      <c r="CC249" s="421">
        <v>0</v>
      </c>
      <c r="CD249" s="421">
        <v>660.6</v>
      </c>
      <c r="CE249" s="421">
        <v>661.51</v>
      </c>
      <c r="CF249" s="421">
        <v>0</v>
      </c>
      <c r="CG249" s="421">
        <v>2925.55</v>
      </c>
      <c r="CH249" s="421">
        <v>0</v>
      </c>
      <c r="CI249" s="421">
        <v>2925.55</v>
      </c>
      <c r="CJ249" s="421">
        <v>8347530.3260000004</v>
      </c>
      <c r="CK249" s="421">
        <v>0</v>
      </c>
      <c r="CL249" s="421">
        <v>8347530</v>
      </c>
      <c r="CM249" s="421">
        <v>0</v>
      </c>
      <c r="CN249" s="421">
        <v>0</v>
      </c>
      <c r="CO249" s="421">
        <v>0</v>
      </c>
      <c r="CP249" s="421">
        <v>0</v>
      </c>
      <c r="CQ249" s="421">
        <v>16</v>
      </c>
      <c r="CR249" s="421">
        <v>8347530</v>
      </c>
      <c r="CS249" s="421">
        <v>1336000</v>
      </c>
      <c r="CT249" s="421">
        <v>1336000</v>
      </c>
      <c r="CU249" s="421">
        <v>0</v>
      </c>
      <c r="CV249" s="421">
        <v>0</v>
      </c>
      <c r="CW249" s="421">
        <v>0</v>
      </c>
      <c r="CX249" s="421">
        <v>0</v>
      </c>
      <c r="CY249" s="421">
        <v>0</v>
      </c>
      <c r="CZ249" s="421">
        <v>0</v>
      </c>
      <c r="DA249" s="421">
        <v>0</v>
      </c>
      <c r="DB249" s="421">
        <v>0</v>
      </c>
      <c r="DC249" s="421">
        <v>0</v>
      </c>
      <c r="DD249" s="421">
        <v>0</v>
      </c>
      <c r="DE249" s="421">
        <v>0</v>
      </c>
      <c r="DF249" s="421">
        <v>0</v>
      </c>
      <c r="DG249" s="421">
        <v>0</v>
      </c>
      <c r="DH249" s="421">
        <v>0</v>
      </c>
      <c r="DI249" s="421">
        <v>0</v>
      </c>
      <c r="DJ249" s="421">
        <v>0</v>
      </c>
      <c r="DK249" s="421">
        <v>0</v>
      </c>
      <c r="DL249" s="421">
        <v>0</v>
      </c>
      <c r="DM249" s="421">
        <v>0</v>
      </c>
      <c r="DN249" s="421">
        <v>0</v>
      </c>
      <c r="DO249" s="421">
        <v>0</v>
      </c>
      <c r="DP249" s="421">
        <v>0</v>
      </c>
      <c r="DQ249" s="421">
        <v>0</v>
      </c>
      <c r="DR249" s="421">
        <v>0</v>
      </c>
      <c r="DS249" s="421">
        <v>0</v>
      </c>
      <c r="DT249" s="421">
        <v>0</v>
      </c>
      <c r="DU249" s="421">
        <v>0</v>
      </c>
      <c r="DV249" s="421">
        <v>0</v>
      </c>
      <c r="DW249" s="421">
        <v>0</v>
      </c>
      <c r="DX249" s="421">
        <v>0</v>
      </c>
      <c r="DY249" s="421">
        <v>1336000</v>
      </c>
      <c r="DZ249" s="421">
        <v>1336000</v>
      </c>
      <c r="EA249" s="421">
        <v>0</v>
      </c>
      <c r="EB249" s="421">
        <v>0</v>
      </c>
      <c r="EC249" s="421" t="s">
        <v>1148</v>
      </c>
      <c r="ED249" s="421" t="s">
        <v>1149</v>
      </c>
      <c r="EE249" s="421" t="s">
        <v>1149</v>
      </c>
    </row>
    <row r="250" spans="1:135" x14ac:dyDescent="0.25">
      <c r="A250" s="421">
        <v>247</v>
      </c>
      <c r="B250" s="421">
        <v>2015</v>
      </c>
      <c r="C250" s="421">
        <v>11</v>
      </c>
      <c r="D250" s="421">
        <v>14</v>
      </c>
      <c r="E250" s="424">
        <v>42322</v>
      </c>
      <c r="F250" s="421" t="s">
        <v>2915</v>
      </c>
      <c r="G250" s="421" t="s">
        <v>2916</v>
      </c>
      <c r="H250" s="421" t="s">
        <v>2917</v>
      </c>
      <c r="I250" s="421" t="s">
        <v>1281</v>
      </c>
      <c r="J250" s="421" t="s">
        <v>1108</v>
      </c>
      <c r="K250" s="421" t="s">
        <v>1109</v>
      </c>
      <c r="L250" s="421" t="s">
        <v>1110</v>
      </c>
      <c r="M250" s="421" t="s">
        <v>2866</v>
      </c>
      <c r="O250" s="421" t="s">
        <v>1111</v>
      </c>
      <c r="Q250" s="421" t="s">
        <v>2866</v>
      </c>
      <c r="R250" s="421" t="s">
        <v>1111</v>
      </c>
      <c r="S250" s="421" t="s">
        <v>1112</v>
      </c>
      <c r="T250" s="421" t="s">
        <v>1113</v>
      </c>
      <c r="U250" s="421" t="s">
        <v>1114</v>
      </c>
      <c r="V250" s="421" t="s">
        <v>1120</v>
      </c>
      <c r="X250" s="421" t="s">
        <v>1117</v>
      </c>
      <c r="Y250" s="421" t="s">
        <v>1118</v>
      </c>
      <c r="Z250" s="421" t="s">
        <v>1119</v>
      </c>
      <c r="AA250" s="421" t="s">
        <v>1120</v>
      </c>
      <c r="AB250" s="421" t="s">
        <v>1121</v>
      </c>
      <c r="AC250" s="421" t="s">
        <v>1122</v>
      </c>
      <c r="AD250" s="421" t="s">
        <v>1479</v>
      </c>
      <c r="AE250" s="421" t="s">
        <v>1882</v>
      </c>
      <c r="AF250" s="421" t="s">
        <v>1883</v>
      </c>
      <c r="AG250" s="421" t="s">
        <v>2918</v>
      </c>
      <c r="AH250" s="421">
        <v>45</v>
      </c>
      <c r="AI250" s="421" t="s">
        <v>1127</v>
      </c>
      <c r="AJ250" s="421">
        <v>1477</v>
      </c>
      <c r="AK250" s="421">
        <v>5</v>
      </c>
      <c r="AL250" s="421" t="s">
        <v>1173</v>
      </c>
      <c r="AM250" s="421">
        <v>45</v>
      </c>
      <c r="AN250" s="421">
        <v>78.569999999999993</v>
      </c>
      <c r="AO250" s="421" t="s">
        <v>1120</v>
      </c>
      <c r="AR250" s="421" t="s">
        <v>2868</v>
      </c>
      <c r="AT250" s="421" t="s">
        <v>1131</v>
      </c>
      <c r="AU250" s="421" t="s">
        <v>1190</v>
      </c>
      <c r="AV250" s="421" t="s">
        <v>1191</v>
      </c>
      <c r="AW250" s="421" t="s">
        <v>960</v>
      </c>
      <c r="AX250" s="421" t="s">
        <v>960</v>
      </c>
      <c r="AY250" s="421" t="s">
        <v>960</v>
      </c>
      <c r="AZ250" s="421" t="s">
        <v>1121</v>
      </c>
      <c r="BA250" s="421" t="s">
        <v>1305</v>
      </c>
      <c r="BB250" s="421" t="s">
        <v>960</v>
      </c>
      <c r="BC250" s="421" t="s">
        <v>1175</v>
      </c>
      <c r="BD250" s="421" t="s">
        <v>1306</v>
      </c>
      <c r="BE250" s="421" t="s">
        <v>2162</v>
      </c>
      <c r="BG250" s="421" t="s">
        <v>2866</v>
      </c>
      <c r="BI250" s="421" t="s">
        <v>1142</v>
      </c>
      <c r="BJ250" s="421" t="s">
        <v>2739</v>
      </c>
      <c r="BK250" s="421" t="s">
        <v>2916</v>
      </c>
      <c r="BL250" s="421" t="s">
        <v>2904</v>
      </c>
      <c r="BM250" s="421" t="s">
        <v>2919</v>
      </c>
      <c r="BN250" s="421" t="s">
        <v>2920</v>
      </c>
      <c r="BO250" s="421">
        <v>0</v>
      </c>
      <c r="BQ250" s="421" t="s">
        <v>2866</v>
      </c>
      <c r="BR250" s="421">
        <v>0</v>
      </c>
      <c r="BS250" s="421">
        <v>0</v>
      </c>
      <c r="BT250" s="421">
        <v>0</v>
      </c>
      <c r="BU250" s="424">
        <v>38718</v>
      </c>
      <c r="BW250" s="421" t="s">
        <v>2866</v>
      </c>
      <c r="BX250" s="421">
        <v>2853.32</v>
      </c>
      <c r="BY250" s="421" t="s">
        <v>1183</v>
      </c>
      <c r="BZ250" s="421">
        <v>748.81</v>
      </c>
      <c r="CA250" s="421">
        <v>2136594.5491999998</v>
      </c>
      <c r="CB250" s="421">
        <v>0.3</v>
      </c>
      <c r="CC250" s="421">
        <v>0</v>
      </c>
      <c r="CD250" s="421">
        <v>20.85</v>
      </c>
      <c r="CE250" s="421">
        <v>21.15</v>
      </c>
      <c r="CF250" s="421">
        <v>0</v>
      </c>
      <c r="CG250" s="421">
        <v>769.96</v>
      </c>
      <c r="CH250" s="421">
        <v>0</v>
      </c>
      <c r="CI250" s="421">
        <v>769.96</v>
      </c>
      <c r="CJ250" s="421">
        <v>2196942.2672000001</v>
      </c>
      <c r="CK250" s="421">
        <v>10</v>
      </c>
      <c r="CL250" s="421">
        <v>2196942</v>
      </c>
      <c r="CM250" s="421">
        <v>220000</v>
      </c>
      <c r="CN250" s="421">
        <v>220000</v>
      </c>
      <c r="CO250" s="421">
        <v>0</v>
      </c>
      <c r="CP250" s="421">
        <v>0</v>
      </c>
      <c r="CQ250" s="421">
        <v>16</v>
      </c>
      <c r="CR250" s="421">
        <v>2416942</v>
      </c>
      <c r="CS250" s="421">
        <v>387000</v>
      </c>
      <c r="CT250" s="421">
        <v>387000</v>
      </c>
      <c r="CU250" s="421">
        <v>0</v>
      </c>
      <c r="CV250" s="421">
        <v>0</v>
      </c>
      <c r="CW250" s="421">
        <v>0</v>
      </c>
      <c r="CX250" s="421">
        <v>0</v>
      </c>
      <c r="CY250" s="421">
        <v>0</v>
      </c>
      <c r="CZ250" s="421">
        <v>0</v>
      </c>
      <c r="DA250" s="421">
        <v>0</v>
      </c>
      <c r="DB250" s="421">
        <v>0</v>
      </c>
      <c r="DC250" s="421">
        <v>0</v>
      </c>
      <c r="DD250" s="421">
        <v>0</v>
      </c>
      <c r="DE250" s="421">
        <v>0</v>
      </c>
      <c r="DF250" s="421">
        <v>0</v>
      </c>
      <c r="DG250" s="421">
        <v>0</v>
      </c>
      <c r="DH250" s="421">
        <v>0</v>
      </c>
      <c r="DI250" s="421">
        <v>0</v>
      </c>
      <c r="DJ250" s="421">
        <v>0</v>
      </c>
      <c r="DK250" s="421">
        <v>0</v>
      </c>
      <c r="DL250" s="421">
        <v>0</v>
      </c>
      <c r="DM250" s="421">
        <v>0</v>
      </c>
      <c r="DN250" s="421">
        <v>0</v>
      </c>
      <c r="DO250" s="421">
        <v>0</v>
      </c>
      <c r="DP250" s="421">
        <v>0</v>
      </c>
      <c r="DQ250" s="421">
        <v>0</v>
      </c>
      <c r="DR250" s="421">
        <v>0</v>
      </c>
      <c r="DS250" s="421">
        <v>0</v>
      </c>
      <c r="DT250" s="421">
        <v>0</v>
      </c>
      <c r="DU250" s="421">
        <v>0</v>
      </c>
      <c r="DV250" s="421">
        <v>0</v>
      </c>
      <c r="DW250" s="421">
        <v>0</v>
      </c>
      <c r="DX250" s="421">
        <v>0</v>
      </c>
      <c r="DY250" s="421">
        <v>607000</v>
      </c>
      <c r="DZ250" s="421">
        <v>607000</v>
      </c>
      <c r="EA250" s="421">
        <v>0</v>
      </c>
      <c r="EB250" s="421">
        <v>0</v>
      </c>
      <c r="EC250" s="421" t="s">
        <v>1148</v>
      </c>
      <c r="ED250" s="421" t="s">
        <v>1167</v>
      </c>
      <c r="EE250" s="421" t="s">
        <v>1167</v>
      </c>
    </row>
    <row r="251" spans="1:135" x14ac:dyDescent="0.25">
      <c r="A251" s="421">
        <v>248</v>
      </c>
      <c r="B251" s="421">
        <v>2015</v>
      </c>
      <c r="C251" s="421">
        <v>11</v>
      </c>
      <c r="D251" s="421">
        <v>14</v>
      </c>
      <c r="E251" s="424">
        <v>42322</v>
      </c>
      <c r="F251" s="421" t="s">
        <v>2921</v>
      </c>
      <c r="G251" s="421" t="s">
        <v>2922</v>
      </c>
      <c r="H251" s="421" t="s">
        <v>2917</v>
      </c>
      <c r="I251" s="421" t="s">
        <v>1281</v>
      </c>
      <c r="J251" s="421" t="s">
        <v>1108</v>
      </c>
      <c r="K251" s="421" t="s">
        <v>1109</v>
      </c>
      <c r="L251" s="421" t="s">
        <v>1110</v>
      </c>
      <c r="M251" s="421" t="s">
        <v>2866</v>
      </c>
      <c r="O251" s="421" t="s">
        <v>1111</v>
      </c>
      <c r="Q251" s="421" t="s">
        <v>2866</v>
      </c>
      <c r="R251" s="421" t="s">
        <v>1111</v>
      </c>
      <c r="S251" s="421" t="s">
        <v>1112</v>
      </c>
      <c r="T251" s="421" t="s">
        <v>1113</v>
      </c>
      <c r="U251" s="421" t="s">
        <v>1114</v>
      </c>
      <c r="V251" s="421" t="s">
        <v>1120</v>
      </c>
      <c r="X251" s="421" t="s">
        <v>1117</v>
      </c>
      <c r="Y251" s="421" t="s">
        <v>1118</v>
      </c>
      <c r="Z251" s="421" t="s">
        <v>1119</v>
      </c>
      <c r="AA251" s="421" t="s">
        <v>1120</v>
      </c>
      <c r="AB251" s="421" t="s">
        <v>1121</v>
      </c>
      <c r="AC251" s="421" t="s">
        <v>1122</v>
      </c>
      <c r="AD251" s="421" t="s">
        <v>1479</v>
      </c>
      <c r="AE251" s="421" t="s">
        <v>1896</v>
      </c>
      <c r="AF251" s="421" t="s">
        <v>1897</v>
      </c>
      <c r="AG251" s="421" t="s">
        <v>2923</v>
      </c>
      <c r="AH251" s="421">
        <v>10800</v>
      </c>
      <c r="AI251" s="421" t="s">
        <v>1189</v>
      </c>
      <c r="AJ251" s="421">
        <v>1477</v>
      </c>
      <c r="AK251" s="421">
        <v>5</v>
      </c>
      <c r="AL251" s="421" t="s">
        <v>1173</v>
      </c>
      <c r="AM251" s="421">
        <v>687.8</v>
      </c>
      <c r="AN251" s="421">
        <v>788</v>
      </c>
      <c r="AO251" s="421" t="s">
        <v>1120</v>
      </c>
      <c r="AR251" s="421" t="s">
        <v>2868</v>
      </c>
      <c r="AT251" s="421" t="s">
        <v>1131</v>
      </c>
      <c r="AU251" s="421" t="s">
        <v>1190</v>
      </c>
      <c r="AV251" s="421" t="s">
        <v>1191</v>
      </c>
      <c r="AW251" s="421" t="s">
        <v>960</v>
      </c>
      <c r="AX251" s="421" t="s">
        <v>960</v>
      </c>
      <c r="AY251" s="421" t="s">
        <v>960</v>
      </c>
      <c r="AZ251" s="421" t="s">
        <v>1121</v>
      </c>
      <c r="BA251" s="421" t="s">
        <v>1305</v>
      </c>
      <c r="BB251" s="421" t="s">
        <v>960</v>
      </c>
      <c r="BC251" s="421" t="s">
        <v>1175</v>
      </c>
      <c r="BD251" s="421" t="s">
        <v>1306</v>
      </c>
      <c r="BE251" s="421" t="s">
        <v>2162</v>
      </c>
      <c r="BG251" s="421" t="s">
        <v>2866</v>
      </c>
      <c r="BI251" s="421" t="s">
        <v>1142</v>
      </c>
      <c r="BJ251" s="421" t="s">
        <v>2739</v>
      </c>
      <c r="BK251" s="421" t="s">
        <v>2922</v>
      </c>
      <c r="BL251" s="421" t="s">
        <v>2904</v>
      </c>
      <c r="BM251" s="421" t="s">
        <v>2919</v>
      </c>
      <c r="BN251" s="421" t="s">
        <v>2920</v>
      </c>
      <c r="BO251" s="421">
        <v>0</v>
      </c>
      <c r="BQ251" s="421" t="s">
        <v>2866</v>
      </c>
      <c r="BR251" s="421">
        <v>0</v>
      </c>
      <c r="BS251" s="421">
        <v>0</v>
      </c>
      <c r="BT251" s="421">
        <v>0</v>
      </c>
      <c r="BU251" s="424">
        <v>38718</v>
      </c>
      <c r="BW251" s="421" t="s">
        <v>2866</v>
      </c>
      <c r="BX251" s="421">
        <v>2853.32</v>
      </c>
      <c r="BY251" s="421" t="s">
        <v>1183</v>
      </c>
      <c r="BZ251" s="421">
        <v>3017.54</v>
      </c>
      <c r="CA251" s="421">
        <v>8610007.2327999994</v>
      </c>
      <c r="CB251" s="421">
        <v>1.21</v>
      </c>
      <c r="CC251" s="421">
        <v>0</v>
      </c>
      <c r="CD251" s="421">
        <v>209.12</v>
      </c>
      <c r="CE251" s="421">
        <v>210.33</v>
      </c>
      <c r="CF251" s="421">
        <v>0</v>
      </c>
      <c r="CG251" s="421">
        <v>3227.87</v>
      </c>
      <c r="CH251" s="421">
        <v>0</v>
      </c>
      <c r="CI251" s="421">
        <v>3227.87</v>
      </c>
      <c r="CJ251" s="421">
        <v>9210146.0284000002</v>
      </c>
      <c r="CK251" s="421">
        <v>15</v>
      </c>
      <c r="CL251" s="421">
        <v>9210146</v>
      </c>
      <c r="CM251" s="421">
        <v>1382000</v>
      </c>
      <c r="CN251" s="421">
        <v>1382000</v>
      </c>
      <c r="CO251" s="421">
        <v>0</v>
      </c>
      <c r="CP251" s="421">
        <v>0</v>
      </c>
      <c r="CQ251" s="421">
        <v>16</v>
      </c>
      <c r="CR251" s="421">
        <v>10592146</v>
      </c>
      <c r="CS251" s="421">
        <v>1695000</v>
      </c>
      <c r="CT251" s="421">
        <v>1695000</v>
      </c>
      <c r="CU251" s="421">
        <v>0</v>
      </c>
      <c r="CV251" s="421">
        <v>0</v>
      </c>
      <c r="CW251" s="421">
        <v>0</v>
      </c>
      <c r="CX251" s="421">
        <v>0</v>
      </c>
      <c r="CY251" s="421">
        <v>0</v>
      </c>
      <c r="CZ251" s="421">
        <v>0</v>
      </c>
      <c r="DA251" s="421">
        <v>0</v>
      </c>
      <c r="DB251" s="421">
        <v>0</v>
      </c>
      <c r="DC251" s="421">
        <v>0</v>
      </c>
      <c r="DD251" s="421">
        <v>0</v>
      </c>
      <c r="DE251" s="421">
        <v>0</v>
      </c>
      <c r="DF251" s="421">
        <v>0</v>
      </c>
      <c r="DG251" s="421">
        <v>0</v>
      </c>
      <c r="DH251" s="421">
        <v>0</v>
      </c>
      <c r="DI251" s="421">
        <v>0</v>
      </c>
      <c r="DJ251" s="421">
        <v>0</v>
      </c>
      <c r="DK251" s="421">
        <v>0</v>
      </c>
      <c r="DL251" s="421">
        <v>0</v>
      </c>
      <c r="DM251" s="421">
        <v>0</v>
      </c>
      <c r="DN251" s="421">
        <v>0</v>
      </c>
      <c r="DO251" s="421">
        <v>0</v>
      </c>
      <c r="DP251" s="421">
        <v>0</v>
      </c>
      <c r="DQ251" s="421">
        <v>0</v>
      </c>
      <c r="DR251" s="421">
        <v>0</v>
      </c>
      <c r="DS251" s="421">
        <v>0</v>
      </c>
      <c r="DT251" s="421">
        <v>0</v>
      </c>
      <c r="DU251" s="421">
        <v>0</v>
      </c>
      <c r="DV251" s="421">
        <v>0</v>
      </c>
      <c r="DW251" s="421">
        <v>0</v>
      </c>
      <c r="DX251" s="421">
        <v>0</v>
      </c>
      <c r="DY251" s="421">
        <v>3077000</v>
      </c>
      <c r="DZ251" s="421">
        <v>3077000</v>
      </c>
      <c r="EA251" s="421">
        <v>0</v>
      </c>
      <c r="EB251" s="421">
        <v>0</v>
      </c>
      <c r="EC251" s="421" t="s">
        <v>1148</v>
      </c>
      <c r="ED251" s="421" t="s">
        <v>1167</v>
      </c>
      <c r="EE251" s="421" t="s">
        <v>1167</v>
      </c>
    </row>
    <row r="252" spans="1:135" x14ac:dyDescent="0.25">
      <c r="A252" s="421">
        <v>249</v>
      </c>
      <c r="B252" s="421">
        <v>2015</v>
      </c>
      <c r="C252" s="421">
        <v>11</v>
      </c>
      <c r="D252" s="421">
        <v>14</v>
      </c>
      <c r="E252" s="424">
        <v>42322</v>
      </c>
      <c r="F252" s="421" t="s">
        <v>2924</v>
      </c>
      <c r="G252" s="421" t="s">
        <v>2925</v>
      </c>
      <c r="H252" s="421" t="s">
        <v>2917</v>
      </c>
      <c r="I252" s="421" t="s">
        <v>1281</v>
      </c>
      <c r="J252" s="421" t="s">
        <v>1108</v>
      </c>
      <c r="K252" s="421" t="s">
        <v>1109</v>
      </c>
      <c r="L252" s="421" t="s">
        <v>1110</v>
      </c>
      <c r="M252" s="421" t="s">
        <v>2866</v>
      </c>
      <c r="O252" s="421" t="s">
        <v>1111</v>
      </c>
      <c r="Q252" s="421" t="s">
        <v>2866</v>
      </c>
      <c r="R252" s="421" t="s">
        <v>1111</v>
      </c>
      <c r="S252" s="421" t="s">
        <v>1112</v>
      </c>
      <c r="T252" s="421" t="s">
        <v>1113</v>
      </c>
      <c r="U252" s="421" t="s">
        <v>1114</v>
      </c>
      <c r="V252" s="421" t="s">
        <v>1120</v>
      </c>
      <c r="X252" s="421" t="s">
        <v>1117</v>
      </c>
      <c r="Y252" s="421" t="s">
        <v>1118</v>
      </c>
      <c r="Z252" s="421" t="s">
        <v>1119</v>
      </c>
      <c r="AA252" s="421" t="s">
        <v>1120</v>
      </c>
      <c r="AB252" s="421" t="s">
        <v>1121</v>
      </c>
      <c r="AC252" s="421" t="s">
        <v>1122</v>
      </c>
      <c r="AD252" s="421" t="s">
        <v>1479</v>
      </c>
      <c r="AE252" s="421" t="s">
        <v>1300</v>
      </c>
      <c r="AF252" s="421" t="s">
        <v>1301</v>
      </c>
      <c r="AG252" s="421" t="s">
        <v>2926</v>
      </c>
      <c r="AH252" s="421">
        <v>1846.6</v>
      </c>
      <c r="AI252" s="421" t="s">
        <v>1127</v>
      </c>
      <c r="AJ252" s="421">
        <v>1477</v>
      </c>
      <c r="AK252" s="421">
        <v>5</v>
      </c>
      <c r="AL252" s="421" t="s">
        <v>1173</v>
      </c>
      <c r="AM252" s="421">
        <v>1846.6</v>
      </c>
      <c r="AN252" s="421">
        <v>2119.4</v>
      </c>
      <c r="AO252" s="421" t="s">
        <v>1120</v>
      </c>
      <c r="AR252" s="421" t="s">
        <v>2868</v>
      </c>
      <c r="AT252" s="421" t="s">
        <v>1131</v>
      </c>
      <c r="AU252" s="421" t="s">
        <v>1190</v>
      </c>
      <c r="AV252" s="421" t="s">
        <v>1191</v>
      </c>
      <c r="AW252" s="421" t="s">
        <v>960</v>
      </c>
      <c r="AX252" s="421" t="s">
        <v>960</v>
      </c>
      <c r="AY252" s="421" t="s">
        <v>960</v>
      </c>
      <c r="AZ252" s="421" t="s">
        <v>1121</v>
      </c>
      <c r="BA252" s="421" t="s">
        <v>1305</v>
      </c>
      <c r="BB252" s="421" t="s">
        <v>960</v>
      </c>
      <c r="BC252" s="421" t="s">
        <v>1175</v>
      </c>
      <c r="BD252" s="421" t="s">
        <v>1306</v>
      </c>
      <c r="BE252" s="421" t="s">
        <v>2162</v>
      </c>
      <c r="BG252" s="421" t="s">
        <v>2866</v>
      </c>
      <c r="BI252" s="421" t="s">
        <v>1142</v>
      </c>
      <c r="BJ252" s="421" t="s">
        <v>2739</v>
      </c>
      <c r="BK252" s="421" t="s">
        <v>2925</v>
      </c>
      <c r="BL252" s="421" t="s">
        <v>2904</v>
      </c>
      <c r="BM252" s="421" t="s">
        <v>2919</v>
      </c>
      <c r="BN252" s="421" t="s">
        <v>2920</v>
      </c>
      <c r="BO252" s="421">
        <v>0</v>
      </c>
      <c r="BQ252" s="421" t="s">
        <v>2866</v>
      </c>
      <c r="BR252" s="421">
        <v>0</v>
      </c>
      <c r="BS252" s="421">
        <v>0</v>
      </c>
      <c r="BT252" s="421">
        <v>0</v>
      </c>
      <c r="BU252" s="424">
        <v>38718</v>
      </c>
      <c r="BW252" s="421" t="s">
        <v>2866</v>
      </c>
      <c r="BX252" s="421">
        <v>2853.32</v>
      </c>
      <c r="BY252" s="421" t="s">
        <v>1183</v>
      </c>
      <c r="BZ252" s="421">
        <v>28018.080000000002</v>
      </c>
      <c r="CA252" s="421">
        <v>79944548.025600001</v>
      </c>
      <c r="CB252" s="421">
        <v>11.2</v>
      </c>
      <c r="CC252" s="421">
        <v>0</v>
      </c>
      <c r="CD252" s="421">
        <v>562.45000000000005</v>
      </c>
      <c r="CE252" s="421">
        <v>573.65</v>
      </c>
      <c r="CF252" s="421">
        <v>0</v>
      </c>
      <c r="CG252" s="421">
        <v>28591.73</v>
      </c>
      <c r="CH252" s="421">
        <v>0</v>
      </c>
      <c r="CI252" s="421">
        <v>28591.73</v>
      </c>
      <c r="CJ252" s="421">
        <v>81581355.043599993</v>
      </c>
      <c r="CK252" s="421">
        <v>15</v>
      </c>
      <c r="CL252" s="421">
        <v>81581355</v>
      </c>
      <c r="CM252" s="421">
        <v>12237000</v>
      </c>
      <c r="CN252" s="421">
        <v>12237000</v>
      </c>
      <c r="CO252" s="421">
        <v>0</v>
      </c>
      <c r="CP252" s="421">
        <v>0</v>
      </c>
      <c r="CQ252" s="421">
        <v>16</v>
      </c>
      <c r="CR252" s="421">
        <v>93818355</v>
      </c>
      <c r="CS252" s="421">
        <v>15011000</v>
      </c>
      <c r="CT252" s="421">
        <v>15011000</v>
      </c>
      <c r="CU252" s="421">
        <v>0</v>
      </c>
      <c r="CV252" s="421">
        <v>0</v>
      </c>
      <c r="CW252" s="421">
        <v>0</v>
      </c>
      <c r="CX252" s="421">
        <v>0</v>
      </c>
      <c r="CY252" s="421">
        <v>0</v>
      </c>
      <c r="CZ252" s="421">
        <v>0</v>
      </c>
      <c r="DA252" s="421">
        <v>0</v>
      </c>
      <c r="DB252" s="421">
        <v>0</v>
      </c>
      <c r="DC252" s="421">
        <v>0</v>
      </c>
      <c r="DD252" s="421">
        <v>0</v>
      </c>
      <c r="DE252" s="421">
        <v>0</v>
      </c>
      <c r="DF252" s="421">
        <v>0</v>
      </c>
      <c r="DG252" s="421">
        <v>0</v>
      </c>
      <c r="DH252" s="421">
        <v>0</v>
      </c>
      <c r="DI252" s="421">
        <v>0</v>
      </c>
      <c r="DJ252" s="421">
        <v>0</v>
      </c>
      <c r="DK252" s="421">
        <v>0</v>
      </c>
      <c r="DL252" s="421">
        <v>0</v>
      </c>
      <c r="DM252" s="421">
        <v>0</v>
      </c>
      <c r="DN252" s="421">
        <v>0</v>
      </c>
      <c r="DO252" s="421">
        <v>0</v>
      </c>
      <c r="DP252" s="421">
        <v>0</v>
      </c>
      <c r="DQ252" s="421">
        <v>0</v>
      </c>
      <c r="DR252" s="421">
        <v>0</v>
      </c>
      <c r="DS252" s="421">
        <v>0</v>
      </c>
      <c r="DT252" s="421">
        <v>0</v>
      </c>
      <c r="DU252" s="421">
        <v>0</v>
      </c>
      <c r="DV252" s="421">
        <v>0</v>
      </c>
      <c r="DW252" s="421">
        <v>0</v>
      </c>
      <c r="DX252" s="421">
        <v>0</v>
      </c>
      <c r="DY252" s="421">
        <v>27248000</v>
      </c>
      <c r="DZ252" s="421">
        <v>27248000</v>
      </c>
      <c r="EA252" s="421">
        <v>0</v>
      </c>
      <c r="EB252" s="421">
        <v>0</v>
      </c>
      <c r="EC252" s="421" t="s">
        <v>1148</v>
      </c>
      <c r="ED252" s="421" t="s">
        <v>1167</v>
      </c>
      <c r="EE252" s="421" t="s">
        <v>1167</v>
      </c>
    </row>
    <row r="253" spans="1:135" x14ac:dyDescent="0.25">
      <c r="A253" s="421">
        <v>250</v>
      </c>
      <c r="B253" s="421">
        <v>2015</v>
      </c>
      <c r="C253" s="421">
        <v>11</v>
      </c>
      <c r="D253" s="421">
        <v>14</v>
      </c>
      <c r="E253" s="424">
        <v>42322</v>
      </c>
      <c r="F253" s="421" t="s">
        <v>2927</v>
      </c>
      <c r="G253" s="421" t="s">
        <v>2928</v>
      </c>
      <c r="H253" s="421" t="s">
        <v>2917</v>
      </c>
      <c r="I253" s="421" t="s">
        <v>1281</v>
      </c>
      <c r="J253" s="421" t="s">
        <v>1108</v>
      </c>
      <c r="K253" s="421" t="s">
        <v>1109</v>
      </c>
      <c r="L253" s="421" t="s">
        <v>1110</v>
      </c>
      <c r="M253" s="421" t="s">
        <v>2866</v>
      </c>
      <c r="O253" s="421" t="s">
        <v>1111</v>
      </c>
      <c r="Q253" s="421" t="s">
        <v>2866</v>
      </c>
      <c r="R253" s="421" t="s">
        <v>1111</v>
      </c>
      <c r="S253" s="421" t="s">
        <v>1112</v>
      </c>
      <c r="T253" s="421" t="s">
        <v>1113</v>
      </c>
      <c r="U253" s="421" t="s">
        <v>1114</v>
      </c>
      <c r="V253" s="421" t="s">
        <v>1120</v>
      </c>
      <c r="X253" s="421" t="s">
        <v>1117</v>
      </c>
      <c r="Y253" s="421" t="s">
        <v>1118</v>
      </c>
      <c r="Z253" s="421" t="s">
        <v>1119</v>
      </c>
      <c r="AA253" s="421" t="s">
        <v>1120</v>
      </c>
      <c r="AB253" s="421" t="s">
        <v>1121</v>
      </c>
      <c r="AC253" s="421" t="s">
        <v>1122</v>
      </c>
      <c r="AD253" s="421" t="s">
        <v>1479</v>
      </c>
      <c r="AE253" s="421" t="s">
        <v>1249</v>
      </c>
      <c r="AF253" s="421" t="s">
        <v>1250</v>
      </c>
      <c r="AG253" s="421" t="s">
        <v>2929</v>
      </c>
      <c r="AH253" s="421">
        <v>3312</v>
      </c>
      <c r="AI253" s="421" t="s">
        <v>1189</v>
      </c>
      <c r="AJ253" s="421">
        <v>1477</v>
      </c>
      <c r="AK253" s="421">
        <v>5</v>
      </c>
      <c r="AL253" s="421" t="s">
        <v>1173</v>
      </c>
      <c r="AM253" s="421">
        <v>379.5</v>
      </c>
      <c r="AN253" s="421">
        <v>402.5</v>
      </c>
      <c r="AO253" s="421" t="s">
        <v>1120</v>
      </c>
      <c r="AR253" s="421" t="s">
        <v>2868</v>
      </c>
      <c r="AT253" s="421" t="s">
        <v>1131</v>
      </c>
      <c r="AU253" s="421" t="s">
        <v>1190</v>
      </c>
      <c r="AV253" s="421" t="s">
        <v>1191</v>
      </c>
      <c r="AW253" s="421" t="s">
        <v>960</v>
      </c>
      <c r="AX253" s="421" t="s">
        <v>960</v>
      </c>
      <c r="AY253" s="421" t="s">
        <v>960</v>
      </c>
      <c r="AZ253" s="421" t="s">
        <v>1121</v>
      </c>
      <c r="BA253" s="421" t="s">
        <v>1305</v>
      </c>
      <c r="BB253" s="421" t="s">
        <v>960</v>
      </c>
      <c r="BC253" s="421" t="s">
        <v>1175</v>
      </c>
      <c r="BD253" s="421" t="s">
        <v>1306</v>
      </c>
      <c r="BE253" s="421" t="s">
        <v>2162</v>
      </c>
      <c r="BG253" s="421" t="s">
        <v>2866</v>
      </c>
      <c r="BI253" s="421" t="s">
        <v>1142</v>
      </c>
      <c r="BJ253" s="421" t="s">
        <v>2739</v>
      </c>
      <c r="BK253" s="421" t="s">
        <v>2928</v>
      </c>
      <c r="BL253" s="421" t="s">
        <v>2904</v>
      </c>
      <c r="BM253" s="421" t="s">
        <v>2919</v>
      </c>
      <c r="BN253" s="421" t="s">
        <v>2920</v>
      </c>
      <c r="BO253" s="421">
        <v>0</v>
      </c>
      <c r="BQ253" s="421" t="s">
        <v>2866</v>
      </c>
      <c r="BR253" s="421">
        <v>0</v>
      </c>
      <c r="BS253" s="421">
        <v>0</v>
      </c>
      <c r="BT253" s="421">
        <v>0</v>
      </c>
      <c r="BU253" s="424">
        <v>38718</v>
      </c>
      <c r="BW253" s="421" t="s">
        <v>2866</v>
      </c>
      <c r="BX253" s="421">
        <v>2853.32</v>
      </c>
      <c r="BY253" s="421" t="s">
        <v>1183</v>
      </c>
      <c r="BZ253" s="421">
        <v>2289.52</v>
      </c>
      <c r="CA253" s="421">
        <v>6532733.2063999996</v>
      </c>
      <c r="CB253" s="421">
        <v>0.92</v>
      </c>
      <c r="CC253" s="421">
        <v>0</v>
      </c>
      <c r="CD253" s="421">
        <v>106.82</v>
      </c>
      <c r="CE253" s="421">
        <v>107.74</v>
      </c>
      <c r="CF253" s="421">
        <v>0</v>
      </c>
      <c r="CG253" s="421">
        <v>2397.2600000000002</v>
      </c>
      <c r="CH253" s="421">
        <v>0</v>
      </c>
      <c r="CI253" s="421">
        <v>2397.2600000000002</v>
      </c>
      <c r="CJ253" s="421">
        <v>6840149.9031999996</v>
      </c>
      <c r="CK253" s="421">
        <v>15</v>
      </c>
      <c r="CL253" s="421">
        <v>6840150</v>
      </c>
      <c r="CM253" s="421">
        <v>1026000</v>
      </c>
      <c r="CN253" s="421">
        <v>1026000</v>
      </c>
      <c r="CO253" s="421">
        <v>0</v>
      </c>
      <c r="CP253" s="421">
        <v>0</v>
      </c>
      <c r="CQ253" s="421">
        <v>16</v>
      </c>
      <c r="CR253" s="421">
        <v>7866150</v>
      </c>
      <c r="CS253" s="421">
        <v>1259000</v>
      </c>
      <c r="CT253" s="421">
        <v>1259000</v>
      </c>
      <c r="CU253" s="421">
        <v>0</v>
      </c>
      <c r="CV253" s="421">
        <v>0</v>
      </c>
      <c r="CW253" s="421">
        <v>0</v>
      </c>
      <c r="CX253" s="421">
        <v>0</v>
      </c>
      <c r="CY253" s="421">
        <v>0</v>
      </c>
      <c r="CZ253" s="421">
        <v>0</v>
      </c>
      <c r="DA253" s="421">
        <v>0</v>
      </c>
      <c r="DB253" s="421">
        <v>0</v>
      </c>
      <c r="DC253" s="421">
        <v>0</v>
      </c>
      <c r="DD253" s="421">
        <v>0</v>
      </c>
      <c r="DE253" s="421">
        <v>0</v>
      </c>
      <c r="DF253" s="421">
        <v>0</v>
      </c>
      <c r="DG253" s="421">
        <v>0</v>
      </c>
      <c r="DH253" s="421">
        <v>0</v>
      </c>
      <c r="DI253" s="421">
        <v>0</v>
      </c>
      <c r="DJ253" s="421">
        <v>0</v>
      </c>
      <c r="DK253" s="421">
        <v>0</v>
      </c>
      <c r="DL253" s="421">
        <v>0</v>
      </c>
      <c r="DM253" s="421">
        <v>0</v>
      </c>
      <c r="DN253" s="421">
        <v>0</v>
      </c>
      <c r="DO253" s="421">
        <v>0</v>
      </c>
      <c r="DP253" s="421">
        <v>0</v>
      </c>
      <c r="DQ253" s="421">
        <v>0</v>
      </c>
      <c r="DR253" s="421">
        <v>0</v>
      </c>
      <c r="DS253" s="421">
        <v>0</v>
      </c>
      <c r="DT253" s="421">
        <v>0</v>
      </c>
      <c r="DU253" s="421">
        <v>0</v>
      </c>
      <c r="DV253" s="421">
        <v>0</v>
      </c>
      <c r="DW253" s="421">
        <v>0</v>
      </c>
      <c r="DX253" s="421">
        <v>0</v>
      </c>
      <c r="DY253" s="421">
        <v>2285000</v>
      </c>
      <c r="DZ253" s="421">
        <v>2285000</v>
      </c>
      <c r="EA253" s="421">
        <v>0</v>
      </c>
      <c r="EB253" s="421">
        <v>0</v>
      </c>
      <c r="EC253" s="421" t="s">
        <v>1148</v>
      </c>
      <c r="ED253" s="421" t="s">
        <v>1167</v>
      </c>
      <c r="EE253" s="421" t="s">
        <v>1167</v>
      </c>
    </row>
    <row r="254" spans="1:135" x14ac:dyDescent="0.25">
      <c r="A254" s="421">
        <v>251</v>
      </c>
      <c r="B254" s="421">
        <v>2015</v>
      </c>
      <c r="C254" s="421">
        <v>11</v>
      </c>
      <c r="D254" s="421">
        <v>14</v>
      </c>
      <c r="E254" s="424">
        <v>42322</v>
      </c>
      <c r="F254" s="421" t="s">
        <v>2930</v>
      </c>
      <c r="G254" s="421" t="s">
        <v>2931</v>
      </c>
      <c r="H254" s="421" t="s">
        <v>2917</v>
      </c>
      <c r="I254" s="421" t="s">
        <v>1281</v>
      </c>
      <c r="J254" s="421" t="s">
        <v>1108</v>
      </c>
      <c r="K254" s="421" t="s">
        <v>1109</v>
      </c>
      <c r="L254" s="421" t="s">
        <v>1110</v>
      </c>
      <c r="M254" s="421" t="s">
        <v>2866</v>
      </c>
      <c r="O254" s="421" t="s">
        <v>1111</v>
      </c>
      <c r="Q254" s="421" t="s">
        <v>2866</v>
      </c>
      <c r="R254" s="421" t="s">
        <v>1111</v>
      </c>
      <c r="S254" s="421" t="s">
        <v>1112</v>
      </c>
      <c r="T254" s="421" t="s">
        <v>1113</v>
      </c>
      <c r="U254" s="421" t="s">
        <v>1114</v>
      </c>
      <c r="V254" s="421" t="s">
        <v>1120</v>
      </c>
      <c r="X254" s="421" t="s">
        <v>1117</v>
      </c>
      <c r="Y254" s="421" t="s">
        <v>1118</v>
      </c>
      <c r="Z254" s="421" t="s">
        <v>1119</v>
      </c>
      <c r="AA254" s="421" t="s">
        <v>1120</v>
      </c>
      <c r="AB254" s="421" t="s">
        <v>1121</v>
      </c>
      <c r="AC254" s="421" t="s">
        <v>1122</v>
      </c>
      <c r="AD254" s="421" t="s">
        <v>1479</v>
      </c>
      <c r="AE254" s="421" t="s">
        <v>1471</v>
      </c>
      <c r="AF254" s="421" t="s">
        <v>1472</v>
      </c>
      <c r="AG254" s="421" t="s">
        <v>2932</v>
      </c>
      <c r="AH254" s="421">
        <v>197856</v>
      </c>
      <c r="AI254" s="421" t="s">
        <v>1189</v>
      </c>
      <c r="AJ254" s="421">
        <v>1477</v>
      </c>
      <c r="AK254" s="421">
        <v>5</v>
      </c>
      <c r="AL254" s="421" t="s">
        <v>1173</v>
      </c>
      <c r="AM254" s="421">
        <v>7375.58</v>
      </c>
      <c r="AN254" s="421">
        <v>9046.43</v>
      </c>
      <c r="AO254" s="421" t="s">
        <v>1120</v>
      </c>
      <c r="AP254" s="421" t="s">
        <v>2933</v>
      </c>
      <c r="AQ254" s="421" t="s">
        <v>1475</v>
      </c>
      <c r="AR254" s="421" t="s">
        <v>1476</v>
      </c>
      <c r="AT254" s="421" t="s">
        <v>1131</v>
      </c>
      <c r="AU254" s="421" t="s">
        <v>1190</v>
      </c>
      <c r="AV254" s="421" t="s">
        <v>1191</v>
      </c>
      <c r="AW254" s="421" t="s">
        <v>960</v>
      </c>
      <c r="AX254" s="421" t="s">
        <v>960</v>
      </c>
      <c r="AY254" s="421" t="s">
        <v>960</v>
      </c>
      <c r="AZ254" s="421" t="s">
        <v>1121</v>
      </c>
      <c r="BA254" s="421" t="s">
        <v>1305</v>
      </c>
      <c r="BB254" s="421" t="s">
        <v>960</v>
      </c>
      <c r="BC254" s="421" t="s">
        <v>1175</v>
      </c>
      <c r="BD254" s="421" t="s">
        <v>1306</v>
      </c>
      <c r="BE254" s="421" t="s">
        <v>2162</v>
      </c>
      <c r="BG254" s="421" t="s">
        <v>2866</v>
      </c>
      <c r="BI254" s="421" t="s">
        <v>1142</v>
      </c>
      <c r="BJ254" s="421" t="s">
        <v>2739</v>
      </c>
      <c r="BK254" s="421" t="s">
        <v>2931</v>
      </c>
      <c r="BL254" s="421" t="s">
        <v>2904</v>
      </c>
      <c r="BM254" s="421" t="s">
        <v>2919</v>
      </c>
      <c r="BN254" s="421" t="s">
        <v>2920</v>
      </c>
      <c r="BO254" s="421">
        <v>0</v>
      </c>
      <c r="BQ254" s="421" t="s">
        <v>2866</v>
      </c>
      <c r="BR254" s="421">
        <v>0</v>
      </c>
      <c r="BS254" s="421">
        <v>0</v>
      </c>
      <c r="BT254" s="421">
        <v>0</v>
      </c>
      <c r="BU254" s="424">
        <v>38718</v>
      </c>
      <c r="BW254" s="421" t="s">
        <v>2866</v>
      </c>
      <c r="BX254" s="421">
        <v>2853.32</v>
      </c>
      <c r="BY254" s="421" t="s">
        <v>1183</v>
      </c>
      <c r="BZ254" s="421">
        <v>60126.37</v>
      </c>
      <c r="CA254" s="421">
        <v>171559774.04840001</v>
      </c>
      <c r="CB254" s="421">
        <v>24.05</v>
      </c>
      <c r="CC254" s="421">
        <v>0</v>
      </c>
      <c r="CD254" s="421">
        <v>2400.7600000000002</v>
      </c>
      <c r="CE254" s="421">
        <v>2424.81</v>
      </c>
      <c r="CF254" s="421">
        <v>0</v>
      </c>
      <c r="CG254" s="421">
        <v>62551.18</v>
      </c>
      <c r="CH254" s="421">
        <v>0</v>
      </c>
      <c r="CI254" s="421">
        <v>62551.18</v>
      </c>
      <c r="CJ254" s="421">
        <v>178478532.91760001</v>
      </c>
      <c r="CK254" s="421">
        <v>15</v>
      </c>
      <c r="CL254" s="421">
        <v>178478533</v>
      </c>
      <c r="CM254" s="421">
        <v>26772000</v>
      </c>
      <c r="CN254" s="421">
        <v>26772000</v>
      </c>
      <c r="CO254" s="421">
        <v>0</v>
      </c>
      <c r="CP254" s="421">
        <v>0</v>
      </c>
      <c r="CQ254" s="421">
        <v>16</v>
      </c>
      <c r="CR254" s="421">
        <v>205250533</v>
      </c>
      <c r="CS254" s="421">
        <v>32840000</v>
      </c>
      <c r="CT254" s="421">
        <v>32840000</v>
      </c>
      <c r="CU254" s="421">
        <v>0</v>
      </c>
      <c r="CV254" s="421">
        <v>0</v>
      </c>
      <c r="CW254" s="421">
        <v>0</v>
      </c>
      <c r="CX254" s="421">
        <v>0</v>
      </c>
      <c r="CY254" s="421">
        <v>0</v>
      </c>
      <c r="CZ254" s="421">
        <v>0</v>
      </c>
      <c r="DA254" s="421">
        <v>0</v>
      </c>
      <c r="DB254" s="421">
        <v>0</v>
      </c>
      <c r="DC254" s="421">
        <v>0</v>
      </c>
      <c r="DD254" s="421">
        <v>0</v>
      </c>
      <c r="DE254" s="421">
        <v>0</v>
      </c>
      <c r="DF254" s="421">
        <v>0</v>
      </c>
      <c r="DG254" s="421">
        <v>0</v>
      </c>
      <c r="DH254" s="421">
        <v>0</v>
      </c>
      <c r="DI254" s="421">
        <v>0</v>
      </c>
      <c r="DJ254" s="421">
        <v>0</v>
      </c>
      <c r="DK254" s="421">
        <v>0</v>
      </c>
      <c r="DL254" s="421">
        <v>0</v>
      </c>
      <c r="DM254" s="421">
        <v>0</v>
      </c>
      <c r="DN254" s="421">
        <v>0</v>
      </c>
      <c r="DO254" s="421">
        <v>0</v>
      </c>
      <c r="DP254" s="421">
        <v>0</v>
      </c>
      <c r="DQ254" s="421">
        <v>0</v>
      </c>
      <c r="DR254" s="421">
        <v>0</v>
      </c>
      <c r="DS254" s="421">
        <v>0</v>
      </c>
      <c r="DT254" s="421">
        <v>0</v>
      </c>
      <c r="DU254" s="421">
        <v>0</v>
      </c>
      <c r="DV254" s="421">
        <v>0</v>
      </c>
      <c r="DW254" s="421">
        <v>0</v>
      </c>
      <c r="DX254" s="421">
        <v>0</v>
      </c>
      <c r="DY254" s="421">
        <v>59612000</v>
      </c>
      <c r="DZ254" s="421">
        <v>59612000</v>
      </c>
      <c r="EA254" s="421">
        <v>0</v>
      </c>
      <c r="EB254" s="421">
        <v>0</v>
      </c>
      <c r="EC254" s="421" t="s">
        <v>1148</v>
      </c>
      <c r="ED254" s="421" t="s">
        <v>1167</v>
      </c>
      <c r="EE254" s="421" t="s">
        <v>1167</v>
      </c>
    </row>
    <row r="255" spans="1:135" x14ac:dyDescent="0.25">
      <c r="A255" s="421">
        <v>252</v>
      </c>
      <c r="B255" s="421">
        <v>2015</v>
      </c>
      <c r="C255" s="421">
        <v>11</v>
      </c>
      <c r="D255" s="421">
        <v>20</v>
      </c>
      <c r="E255" s="424">
        <v>42328</v>
      </c>
      <c r="F255" s="421" t="s">
        <v>2934</v>
      </c>
      <c r="G255" s="421" t="s">
        <v>2935</v>
      </c>
      <c r="H255" s="421" t="s">
        <v>1152</v>
      </c>
      <c r="I255" s="421" t="s">
        <v>1281</v>
      </c>
      <c r="J255" s="421" t="s">
        <v>1108</v>
      </c>
      <c r="K255" s="421" t="s">
        <v>1202</v>
      </c>
      <c r="L255" s="421" t="s">
        <v>1110</v>
      </c>
      <c r="M255" s="421" t="s">
        <v>2866</v>
      </c>
      <c r="O255" s="421" t="s">
        <v>1111</v>
      </c>
      <c r="Q255" s="421" t="s">
        <v>2866</v>
      </c>
      <c r="R255" s="421" t="s">
        <v>1111</v>
      </c>
      <c r="S255" s="421" t="s">
        <v>1112</v>
      </c>
      <c r="T255" s="421" t="s">
        <v>1113</v>
      </c>
      <c r="U255" s="421" t="s">
        <v>1114</v>
      </c>
      <c r="V255" s="421" t="s">
        <v>1120</v>
      </c>
      <c r="X255" s="421" t="s">
        <v>1117</v>
      </c>
      <c r="Y255" s="421" t="s">
        <v>1118</v>
      </c>
      <c r="Z255" s="421" t="s">
        <v>1119</v>
      </c>
      <c r="AA255" s="421" t="s">
        <v>1120</v>
      </c>
      <c r="AB255" s="421" t="s">
        <v>1121</v>
      </c>
      <c r="AC255" s="421" t="s">
        <v>1122</v>
      </c>
      <c r="AD255" s="421" t="s">
        <v>1479</v>
      </c>
      <c r="AE255" s="421" t="s">
        <v>1203</v>
      </c>
      <c r="AF255" s="421" t="s">
        <v>1204</v>
      </c>
      <c r="AG255" s="421" t="s">
        <v>2936</v>
      </c>
      <c r="AH255" s="421">
        <v>43000</v>
      </c>
      <c r="AI255" s="421" t="s">
        <v>1127</v>
      </c>
      <c r="AJ255" s="421">
        <v>2</v>
      </c>
      <c r="AK255" s="421">
        <v>1</v>
      </c>
      <c r="AL255" s="421" t="s">
        <v>1283</v>
      </c>
      <c r="AM255" s="421">
        <v>43000</v>
      </c>
      <c r="AN255" s="421">
        <v>43485</v>
      </c>
      <c r="AO255" s="421" t="s">
        <v>1120</v>
      </c>
      <c r="AR255" s="421" t="s">
        <v>2868</v>
      </c>
      <c r="AT255" s="421" t="s">
        <v>1131</v>
      </c>
      <c r="AU255" s="421" t="s">
        <v>1190</v>
      </c>
      <c r="AV255" s="421" t="s">
        <v>1191</v>
      </c>
      <c r="AW255" s="421" t="s">
        <v>1207</v>
      </c>
      <c r="AX255" s="421" t="s">
        <v>1207</v>
      </c>
      <c r="AY255" s="421" t="s">
        <v>1208</v>
      </c>
      <c r="AZ255" s="421" t="s">
        <v>1121</v>
      </c>
      <c r="BA255" s="421" t="s">
        <v>1209</v>
      </c>
      <c r="BB255" s="421" t="s">
        <v>1208</v>
      </c>
      <c r="BC255" s="421" t="s">
        <v>1210</v>
      </c>
      <c r="BD255" s="421" t="s">
        <v>1211</v>
      </c>
      <c r="BE255" s="421" t="s">
        <v>1212</v>
      </c>
      <c r="BG255" s="421" t="s">
        <v>2866</v>
      </c>
      <c r="BI255" s="421" t="s">
        <v>1142</v>
      </c>
      <c r="BJ255" s="421" t="s">
        <v>1143</v>
      </c>
      <c r="BK255" s="421" t="s">
        <v>2935</v>
      </c>
      <c r="BL255" s="421" t="s">
        <v>2937</v>
      </c>
      <c r="BM255" s="421" t="s">
        <v>2938</v>
      </c>
      <c r="BN255" s="421" t="s">
        <v>2914</v>
      </c>
      <c r="BO255" s="421">
        <v>0</v>
      </c>
      <c r="BQ255" s="421" t="s">
        <v>2866</v>
      </c>
      <c r="BR255" s="421">
        <v>0</v>
      </c>
      <c r="BS255" s="421">
        <v>0</v>
      </c>
      <c r="BT255" s="421">
        <v>0</v>
      </c>
      <c r="BU255" s="424">
        <v>38718</v>
      </c>
      <c r="BW255" s="421" t="s">
        <v>2866</v>
      </c>
      <c r="BX255" s="421">
        <v>3009.36</v>
      </c>
      <c r="BY255" s="421" t="s">
        <v>1147</v>
      </c>
      <c r="BZ255" s="421">
        <v>81700</v>
      </c>
      <c r="CA255" s="421">
        <v>245864712</v>
      </c>
      <c r="CB255" s="421">
        <v>32.68</v>
      </c>
      <c r="CC255" s="421">
        <v>0</v>
      </c>
      <c r="CD255" s="421">
        <v>2620</v>
      </c>
      <c r="CE255" s="421">
        <v>2652.68</v>
      </c>
      <c r="CF255" s="421">
        <v>0</v>
      </c>
      <c r="CG255" s="421">
        <v>84352.68</v>
      </c>
      <c r="CH255" s="421">
        <v>0</v>
      </c>
      <c r="CI255" s="421">
        <v>84352.68</v>
      </c>
      <c r="CJ255" s="421">
        <v>253847581.0848</v>
      </c>
      <c r="CK255" s="421">
        <v>0</v>
      </c>
      <c r="CL255" s="421">
        <v>253847581</v>
      </c>
      <c r="CM255" s="421">
        <v>0</v>
      </c>
      <c r="CN255" s="421">
        <v>0</v>
      </c>
      <c r="CO255" s="421">
        <v>0</v>
      </c>
      <c r="CP255" s="421">
        <v>0</v>
      </c>
      <c r="CQ255" s="421">
        <v>0</v>
      </c>
      <c r="CR255" s="421">
        <v>253847581</v>
      </c>
      <c r="CS255" s="421">
        <v>0</v>
      </c>
      <c r="CT255" s="421">
        <v>0</v>
      </c>
      <c r="CU255" s="421">
        <v>0</v>
      </c>
      <c r="CV255" s="421">
        <v>0</v>
      </c>
      <c r="CW255" s="421">
        <v>0</v>
      </c>
      <c r="CX255" s="421">
        <v>0</v>
      </c>
      <c r="CY255" s="421">
        <v>0</v>
      </c>
      <c r="CZ255" s="421">
        <v>0</v>
      </c>
      <c r="DA255" s="421">
        <v>0</v>
      </c>
      <c r="DB255" s="421">
        <v>0</v>
      </c>
      <c r="DC255" s="421">
        <v>0</v>
      </c>
      <c r="DD255" s="421">
        <v>0</v>
      </c>
      <c r="DE255" s="421">
        <v>0</v>
      </c>
      <c r="DF255" s="421">
        <v>0</v>
      </c>
      <c r="DG255" s="421">
        <v>0</v>
      </c>
      <c r="DH255" s="421">
        <v>0</v>
      </c>
      <c r="DI255" s="421">
        <v>0</v>
      </c>
      <c r="DJ255" s="421">
        <v>0</v>
      </c>
      <c r="DK255" s="421">
        <v>0</v>
      </c>
      <c r="DL255" s="421">
        <v>0</v>
      </c>
      <c r="DM255" s="421">
        <v>0</v>
      </c>
      <c r="DN255" s="421">
        <v>0</v>
      </c>
      <c r="DO255" s="421">
        <v>0</v>
      </c>
      <c r="DP255" s="421">
        <v>0</v>
      </c>
      <c r="DQ255" s="421">
        <v>0</v>
      </c>
      <c r="DR255" s="421">
        <v>0</v>
      </c>
      <c r="DS255" s="421">
        <v>0</v>
      </c>
      <c r="DT255" s="421">
        <v>0</v>
      </c>
      <c r="DU255" s="421">
        <v>0</v>
      </c>
      <c r="DV255" s="421">
        <v>0</v>
      </c>
      <c r="DW255" s="421">
        <v>0</v>
      </c>
      <c r="DX255" s="421">
        <v>0</v>
      </c>
      <c r="DY255" s="421">
        <v>0</v>
      </c>
      <c r="DZ255" s="421">
        <v>0</v>
      </c>
      <c r="EA255" s="421">
        <v>0</v>
      </c>
      <c r="EB255" s="421">
        <v>0</v>
      </c>
      <c r="EC255" s="421" t="s">
        <v>1148</v>
      </c>
      <c r="ED255" s="421" t="s">
        <v>1149</v>
      </c>
      <c r="EE255" s="421" t="s">
        <v>1149</v>
      </c>
    </row>
    <row r="256" spans="1:135" x14ac:dyDescent="0.25">
      <c r="A256" s="421">
        <v>253</v>
      </c>
      <c r="B256" s="421">
        <v>2015</v>
      </c>
      <c r="C256" s="421">
        <v>11</v>
      </c>
      <c r="D256" s="421">
        <v>20</v>
      </c>
      <c r="E256" s="424">
        <v>42328</v>
      </c>
      <c r="F256" s="421" t="s">
        <v>2939</v>
      </c>
      <c r="G256" s="421" t="s">
        <v>2940</v>
      </c>
      <c r="H256" s="421" t="s">
        <v>1362</v>
      </c>
      <c r="I256" s="421" t="s">
        <v>2615</v>
      </c>
      <c r="J256" s="421" t="s">
        <v>1108</v>
      </c>
      <c r="K256" s="421" t="s">
        <v>1109</v>
      </c>
      <c r="L256" s="421" t="s">
        <v>1110</v>
      </c>
      <c r="M256" s="421" t="s">
        <v>2914</v>
      </c>
      <c r="N256" s="421" t="s">
        <v>2941</v>
      </c>
      <c r="O256" s="421" t="s">
        <v>1108</v>
      </c>
      <c r="Q256" s="421" t="s">
        <v>2866</v>
      </c>
      <c r="R256" s="421" t="s">
        <v>1111</v>
      </c>
      <c r="S256" s="421" t="s">
        <v>1903</v>
      </c>
      <c r="T256" s="421" t="s">
        <v>1904</v>
      </c>
      <c r="U256" s="421" t="s">
        <v>1905</v>
      </c>
      <c r="V256" s="421" t="s">
        <v>1120</v>
      </c>
      <c r="X256" s="421" t="s">
        <v>1117</v>
      </c>
      <c r="Y256" s="421" t="s">
        <v>2942</v>
      </c>
      <c r="Z256" s="421" t="s">
        <v>1119</v>
      </c>
      <c r="AA256" s="421" t="s">
        <v>1120</v>
      </c>
      <c r="AB256" s="421" t="s">
        <v>1121</v>
      </c>
      <c r="AC256" s="421" t="s">
        <v>1909</v>
      </c>
      <c r="AD256" s="421" t="s">
        <v>1479</v>
      </c>
      <c r="AE256" s="421" t="s">
        <v>1557</v>
      </c>
      <c r="AF256" s="421" t="s">
        <v>1558</v>
      </c>
      <c r="AG256" s="421" t="s">
        <v>2943</v>
      </c>
      <c r="AH256" s="421">
        <v>3000</v>
      </c>
      <c r="AI256" s="421" t="s">
        <v>1127</v>
      </c>
      <c r="AJ256" s="421">
        <v>1577</v>
      </c>
      <c r="AK256" s="421">
        <v>0</v>
      </c>
      <c r="AL256" s="421" t="s">
        <v>1267</v>
      </c>
      <c r="AM256" s="421">
        <v>3000</v>
      </c>
      <c r="AN256" s="421">
        <v>3300</v>
      </c>
      <c r="AO256" s="421" t="s">
        <v>1120</v>
      </c>
      <c r="AR256" s="421" t="s">
        <v>2868</v>
      </c>
      <c r="AT256" s="421" t="s">
        <v>1131</v>
      </c>
      <c r="AU256" s="421" t="s">
        <v>2944</v>
      </c>
      <c r="AV256" s="421" t="s">
        <v>2945</v>
      </c>
      <c r="AW256" s="421" t="s">
        <v>1547</v>
      </c>
      <c r="AX256" s="421" t="s">
        <v>1547</v>
      </c>
      <c r="AY256" s="421" t="s">
        <v>1547</v>
      </c>
      <c r="AZ256" s="421" t="s">
        <v>1121</v>
      </c>
      <c r="BA256" s="421" t="s">
        <v>1548</v>
      </c>
      <c r="BB256" s="421" t="s">
        <v>1547</v>
      </c>
      <c r="BC256" s="421" t="s">
        <v>1549</v>
      </c>
      <c r="BD256" s="421" t="s">
        <v>1550</v>
      </c>
      <c r="BE256" s="421" t="s">
        <v>2946</v>
      </c>
      <c r="BF256" s="421" t="s">
        <v>2947</v>
      </c>
      <c r="BG256" s="421" t="s">
        <v>2891</v>
      </c>
      <c r="BH256" s="421" t="s">
        <v>2948</v>
      </c>
      <c r="BI256" s="421" t="s">
        <v>1142</v>
      </c>
      <c r="BJ256" s="421" t="s">
        <v>2949</v>
      </c>
      <c r="BK256" s="421" t="s">
        <v>2950</v>
      </c>
      <c r="BL256" s="421" t="s">
        <v>2951</v>
      </c>
      <c r="BM256" s="421" t="s">
        <v>2952</v>
      </c>
      <c r="BN256" s="421" t="s">
        <v>2687</v>
      </c>
      <c r="BO256" s="421">
        <v>0</v>
      </c>
      <c r="BQ256" s="421" t="s">
        <v>2866</v>
      </c>
      <c r="BR256" s="421">
        <v>0</v>
      </c>
      <c r="BS256" s="421">
        <v>0</v>
      </c>
      <c r="BT256" s="421">
        <v>0</v>
      </c>
      <c r="BU256" s="424">
        <v>42295</v>
      </c>
      <c r="BW256" s="421" t="s">
        <v>2866</v>
      </c>
      <c r="BX256" s="421">
        <v>2921.32</v>
      </c>
      <c r="BY256" s="421" t="s">
        <v>1147</v>
      </c>
      <c r="BZ256" s="421">
        <v>19453.189999999999</v>
      </c>
      <c r="CA256" s="421">
        <v>56828993.010799997</v>
      </c>
      <c r="CB256" s="421">
        <v>7.74</v>
      </c>
      <c r="CC256" s="421">
        <v>0</v>
      </c>
      <c r="CD256" s="421">
        <v>587.70000000000005</v>
      </c>
      <c r="CE256" s="421">
        <v>595.44000000000005</v>
      </c>
      <c r="CF256" s="421">
        <v>0</v>
      </c>
      <c r="CG256" s="421">
        <v>20048</v>
      </c>
      <c r="CH256" s="421">
        <v>9371000</v>
      </c>
      <c r="CI256" s="421">
        <v>20048.63</v>
      </c>
      <c r="CJ256" s="421">
        <v>58568463.791599996</v>
      </c>
      <c r="CK256" s="421">
        <v>0</v>
      </c>
      <c r="CL256" s="421">
        <v>58566623</v>
      </c>
      <c r="CM256" s="421">
        <v>0</v>
      </c>
      <c r="CN256" s="421">
        <v>0</v>
      </c>
      <c r="CO256" s="421">
        <v>0</v>
      </c>
      <c r="CP256" s="421">
        <v>0</v>
      </c>
      <c r="CQ256" s="421">
        <v>16</v>
      </c>
      <c r="CR256" s="421">
        <v>58566623</v>
      </c>
      <c r="CS256" s="421">
        <v>9371000</v>
      </c>
      <c r="CT256" s="421">
        <v>9371000</v>
      </c>
      <c r="CU256" s="421">
        <v>9371000</v>
      </c>
      <c r="CV256" s="421">
        <v>0</v>
      </c>
      <c r="CW256" s="421">
        <v>0</v>
      </c>
      <c r="CX256" s="421">
        <v>0</v>
      </c>
      <c r="CY256" s="421">
        <v>0</v>
      </c>
      <c r="CZ256" s="421">
        <v>0</v>
      </c>
      <c r="DA256" s="421">
        <v>0</v>
      </c>
      <c r="DB256" s="421">
        <v>0</v>
      </c>
      <c r="DC256" s="421">
        <v>0</v>
      </c>
      <c r="DD256" s="421">
        <v>0</v>
      </c>
      <c r="DE256" s="421">
        <v>0</v>
      </c>
      <c r="DF256" s="421">
        <v>0</v>
      </c>
      <c r="DG256" s="421">
        <v>0</v>
      </c>
      <c r="DH256" s="421">
        <v>0</v>
      </c>
      <c r="DI256" s="421">
        <v>0</v>
      </c>
      <c r="DJ256" s="421">
        <v>0</v>
      </c>
      <c r="DK256" s="421">
        <v>0</v>
      </c>
      <c r="DL256" s="421">
        <v>0</v>
      </c>
      <c r="DM256" s="421">
        <v>0</v>
      </c>
      <c r="DN256" s="421">
        <v>0</v>
      </c>
      <c r="DO256" s="421">
        <v>0</v>
      </c>
      <c r="DP256" s="421">
        <v>0</v>
      </c>
      <c r="DQ256" s="421">
        <v>0</v>
      </c>
      <c r="DR256" s="421">
        <v>0</v>
      </c>
      <c r="DS256" s="421">
        <v>0</v>
      </c>
      <c r="DT256" s="421">
        <v>0</v>
      </c>
      <c r="DU256" s="421">
        <v>0</v>
      </c>
      <c r="DV256" s="421">
        <v>0</v>
      </c>
      <c r="DW256" s="421">
        <v>0</v>
      </c>
      <c r="DX256" s="421">
        <v>0</v>
      </c>
      <c r="DY256" s="421">
        <v>9371000</v>
      </c>
      <c r="DZ256" s="421">
        <v>0</v>
      </c>
      <c r="EA256" s="421">
        <v>0</v>
      </c>
      <c r="EB256" s="421">
        <v>9371000</v>
      </c>
      <c r="EC256" s="421" t="s">
        <v>1148</v>
      </c>
      <c r="ED256" s="421" t="s">
        <v>1331</v>
      </c>
      <c r="EE256" s="421" t="s">
        <v>1331</v>
      </c>
    </row>
    <row r="257" spans="1:135" x14ac:dyDescent="0.25">
      <c r="A257" s="421">
        <v>254</v>
      </c>
      <c r="B257" s="421">
        <v>2015</v>
      </c>
      <c r="C257" s="421">
        <v>11</v>
      </c>
      <c r="D257" s="421">
        <v>20</v>
      </c>
      <c r="E257" s="424">
        <v>42328</v>
      </c>
      <c r="F257" s="421" t="s">
        <v>2953</v>
      </c>
      <c r="G257" s="421" t="s">
        <v>2954</v>
      </c>
      <c r="H257" s="421" t="s">
        <v>1362</v>
      </c>
      <c r="I257" s="421" t="s">
        <v>2615</v>
      </c>
      <c r="J257" s="421" t="s">
        <v>1108</v>
      </c>
      <c r="K257" s="421" t="s">
        <v>1109</v>
      </c>
      <c r="L257" s="421" t="s">
        <v>1110</v>
      </c>
      <c r="M257" s="421" t="s">
        <v>2914</v>
      </c>
      <c r="N257" s="421" t="s">
        <v>2941</v>
      </c>
      <c r="O257" s="421" t="s">
        <v>1108</v>
      </c>
      <c r="Q257" s="421" t="s">
        <v>2866</v>
      </c>
      <c r="R257" s="421" t="s">
        <v>1111</v>
      </c>
      <c r="S257" s="421" t="s">
        <v>1903</v>
      </c>
      <c r="T257" s="421" t="s">
        <v>1904</v>
      </c>
      <c r="U257" s="421" t="s">
        <v>1905</v>
      </c>
      <c r="V257" s="421" t="s">
        <v>1120</v>
      </c>
      <c r="X257" s="421" t="s">
        <v>1117</v>
      </c>
      <c r="Y257" s="421" t="s">
        <v>2942</v>
      </c>
      <c r="Z257" s="421" t="s">
        <v>1119</v>
      </c>
      <c r="AA257" s="421" t="s">
        <v>1120</v>
      </c>
      <c r="AB257" s="421" t="s">
        <v>1121</v>
      </c>
      <c r="AC257" s="421" t="s">
        <v>1909</v>
      </c>
      <c r="AD257" s="421" t="s">
        <v>1479</v>
      </c>
      <c r="AE257" s="421" t="s">
        <v>1543</v>
      </c>
      <c r="AF257" s="421" t="s">
        <v>1544</v>
      </c>
      <c r="AG257" s="421" t="s">
        <v>2955</v>
      </c>
      <c r="AH257" s="421">
        <v>12770</v>
      </c>
      <c r="AI257" s="421" t="s">
        <v>1127</v>
      </c>
      <c r="AJ257" s="421">
        <v>1577</v>
      </c>
      <c r="AK257" s="421">
        <v>0</v>
      </c>
      <c r="AL257" s="421" t="s">
        <v>1267</v>
      </c>
      <c r="AM257" s="421">
        <v>12770</v>
      </c>
      <c r="AN257" s="421">
        <v>14047</v>
      </c>
      <c r="AO257" s="421" t="s">
        <v>1120</v>
      </c>
      <c r="AR257" s="421" t="s">
        <v>2868</v>
      </c>
      <c r="AT257" s="421" t="s">
        <v>1131</v>
      </c>
      <c r="AU257" s="421" t="s">
        <v>2944</v>
      </c>
      <c r="AV257" s="421" t="s">
        <v>2945</v>
      </c>
      <c r="AW257" s="421" t="s">
        <v>1547</v>
      </c>
      <c r="AX257" s="421" t="s">
        <v>1547</v>
      </c>
      <c r="AY257" s="421" t="s">
        <v>1547</v>
      </c>
      <c r="AZ257" s="421" t="s">
        <v>1121</v>
      </c>
      <c r="BA257" s="421" t="s">
        <v>1548</v>
      </c>
      <c r="BB257" s="421" t="s">
        <v>1547</v>
      </c>
      <c r="BC257" s="421" t="s">
        <v>1549</v>
      </c>
      <c r="BD257" s="421" t="s">
        <v>1550</v>
      </c>
      <c r="BE257" s="421" t="s">
        <v>2946</v>
      </c>
      <c r="BF257" s="421" t="s">
        <v>2947</v>
      </c>
      <c r="BG257" s="421" t="s">
        <v>2891</v>
      </c>
      <c r="BH257" s="421" t="s">
        <v>2948</v>
      </c>
      <c r="BI257" s="421" t="s">
        <v>1142</v>
      </c>
      <c r="BJ257" s="421" t="s">
        <v>2949</v>
      </c>
      <c r="BK257" s="421" t="s">
        <v>2956</v>
      </c>
      <c r="BL257" s="421" t="s">
        <v>2951</v>
      </c>
      <c r="BM257" s="421" t="s">
        <v>2952</v>
      </c>
      <c r="BN257" s="421" t="s">
        <v>2687</v>
      </c>
      <c r="BO257" s="421">
        <v>0</v>
      </c>
      <c r="BQ257" s="421" t="s">
        <v>2866</v>
      </c>
      <c r="BR257" s="421">
        <v>0</v>
      </c>
      <c r="BS257" s="421">
        <v>0</v>
      </c>
      <c r="BT257" s="421">
        <v>0</v>
      </c>
      <c r="BU257" s="424">
        <v>42295</v>
      </c>
      <c r="BW257" s="421" t="s">
        <v>2866</v>
      </c>
      <c r="BX257" s="421">
        <v>2921.32</v>
      </c>
      <c r="BY257" s="421" t="s">
        <v>1147</v>
      </c>
      <c r="BZ257" s="421">
        <v>90229.5</v>
      </c>
      <c r="CA257" s="421">
        <v>263589242.94</v>
      </c>
      <c r="CB257" s="421">
        <v>35.869999999999997</v>
      </c>
      <c r="CC257" s="421">
        <v>0</v>
      </c>
      <c r="CD257" s="421">
        <v>2498.98</v>
      </c>
      <c r="CE257" s="421">
        <v>2534.85</v>
      </c>
      <c r="CF257" s="421">
        <v>0</v>
      </c>
      <c r="CG257" s="421">
        <v>92763.9</v>
      </c>
      <c r="CH257" s="421">
        <v>74794000</v>
      </c>
      <c r="CI257" s="421">
        <v>92764.35</v>
      </c>
      <c r="CJ257" s="421">
        <v>270994350.94199997</v>
      </c>
      <c r="CK257" s="421">
        <v>10</v>
      </c>
      <c r="CL257" s="421">
        <v>270993036</v>
      </c>
      <c r="CM257" s="421">
        <v>27099000</v>
      </c>
      <c r="CN257" s="421">
        <v>27099000</v>
      </c>
      <c r="CO257" s="421">
        <v>27099000</v>
      </c>
      <c r="CP257" s="421">
        <v>0</v>
      </c>
      <c r="CQ257" s="421">
        <v>16</v>
      </c>
      <c r="CR257" s="421">
        <v>298092036</v>
      </c>
      <c r="CS257" s="421">
        <v>47695000</v>
      </c>
      <c r="CT257" s="421">
        <v>47695000</v>
      </c>
      <c r="CU257" s="421">
        <v>47695000</v>
      </c>
      <c r="CV257" s="421">
        <v>0</v>
      </c>
      <c r="CW257" s="421">
        <v>0</v>
      </c>
      <c r="CX257" s="421">
        <v>0</v>
      </c>
      <c r="CY257" s="421">
        <v>0</v>
      </c>
      <c r="CZ257" s="421">
        <v>0</v>
      </c>
      <c r="DA257" s="421">
        <v>0</v>
      </c>
      <c r="DB257" s="421">
        <v>0</v>
      </c>
      <c r="DC257" s="421">
        <v>0</v>
      </c>
      <c r="DD257" s="421">
        <v>0</v>
      </c>
      <c r="DE257" s="421">
        <v>0</v>
      </c>
      <c r="DF257" s="421">
        <v>0</v>
      </c>
      <c r="DG257" s="421">
        <v>0</v>
      </c>
      <c r="DH257" s="421">
        <v>0</v>
      </c>
      <c r="DI257" s="421">
        <v>0</v>
      </c>
      <c r="DJ257" s="421">
        <v>0</v>
      </c>
      <c r="DK257" s="421">
        <v>0</v>
      </c>
      <c r="DL257" s="421">
        <v>0</v>
      </c>
      <c r="DM257" s="421">
        <v>0</v>
      </c>
      <c r="DN257" s="421">
        <v>0</v>
      </c>
      <c r="DO257" s="421">
        <v>0</v>
      </c>
      <c r="DP257" s="421">
        <v>0</v>
      </c>
      <c r="DQ257" s="421">
        <v>0</v>
      </c>
      <c r="DR257" s="421">
        <v>0</v>
      </c>
      <c r="DS257" s="421">
        <v>0</v>
      </c>
      <c r="DT257" s="421">
        <v>0</v>
      </c>
      <c r="DU257" s="421">
        <v>0</v>
      </c>
      <c r="DV257" s="421">
        <v>0</v>
      </c>
      <c r="DW257" s="421">
        <v>0</v>
      </c>
      <c r="DX257" s="421">
        <v>0</v>
      </c>
      <c r="DY257" s="421">
        <v>74794000</v>
      </c>
      <c r="DZ257" s="421">
        <v>0</v>
      </c>
      <c r="EA257" s="421">
        <v>0</v>
      </c>
      <c r="EB257" s="421">
        <v>74794000</v>
      </c>
      <c r="EC257" s="421" t="s">
        <v>1148</v>
      </c>
      <c r="ED257" s="421" t="s">
        <v>1331</v>
      </c>
      <c r="EE257" s="421" t="s">
        <v>1331</v>
      </c>
    </row>
    <row r="258" spans="1:135" x14ac:dyDescent="0.25">
      <c r="A258" s="421">
        <v>255</v>
      </c>
      <c r="B258" s="421">
        <v>2015</v>
      </c>
      <c r="C258" s="421">
        <v>11</v>
      </c>
      <c r="D258" s="421">
        <v>23</v>
      </c>
      <c r="E258" s="424">
        <v>42331</v>
      </c>
      <c r="F258" s="421" t="s">
        <v>2957</v>
      </c>
      <c r="G258" s="421" t="s">
        <v>2958</v>
      </c>
      <c r="H258" s="421" t="s">
        <v>1106</v>
      </c>
      <c r="I258" s="421" t="s">
        <v>1281</v>
      </c>
      <c r="J258" s="421" t="s">
        <v>1108</v>
      </c>
      <c r="K258" s="421" t="s">
        <v>1202</v>
      </c>
      <c r="L258" s="421" t="s">
        <v>1110</v>
      </c>
      <c r="M258" s="421" t="s">
        <v>2866</v>
      </c>
      <c r="O258" s="421" t="s">
        <v>1111</v>
      </c>
      <c r="Q258" s="421" t="s">
        <v>2866</v>
      </c>
      <c r="R258" s="421" t="s">
        <v>1111</v>
      </c>
      <c r="S258" s="421" t="s">
        <v>1112</v>
      </c>
      <c r="T258" s="421" t="s">
        <v>1113</v>
      </c>
      <c r="U258" s="421" t="s">
        <v>1114</v>
      </c>
      <c r="V258" s="421" t="s">
        <v>1120</v>
      </c>
      <c r="X258" s="421" t="s">
        <v>1117</v>
      </c>
      <c r="Y258" s="421" t="s">
        <v>1118</v>
      </c>
      <c r="Z258" s="421" t="s">
        <v>1119</v>
      </c>
      <c r="AA258" s="421" t="s">
        <v>1120</v>
      </c>
      <c r="AB258" s="421" t="s">
        <v>1121</v>
      </c>
      <c r="AC258" s="421" t="s">
        <v>1122</v>
      </c>
      <c r="AD258" s="421" t="s">
        <v>1479</v>
      </c>
      <c r="AE258" s="421" t="s">
        <v>1203</v>
      </c>
      <c r="AF258" s="421" t="s">
        <v>1204</v>
      </c>
      <c r="AG258" s="421" t="s">
        <v>2959</v>
      </c>
      <c r="AH258" s="421">
        <v>64500</v>
      </c>
      <c r="AI258" s="421" t="s">
        <v>1127</v>
      </c>
      <c r="AJ258" s="421">
        <v>3</v>
      </c>
      <c r="AK258" s="421">
        <v>1</v>
      </c>
      <c r="AL258" s="421" t="s">
        <v>1283</v>
      </c>
      <c r="AM258" s="421">
        <v>64500</v>
      </c>
      <c r="AN258" s="421">
        <v>65227.5</v>
      </c>
      <c r="AO258" s="421" t="s">
        <v>1120</v>
      </c>
      <c r="AR258" s="421" t="s">
        <v>2868</v>
      </c>
      <c r="AT258" s="421" t="s">
        <v>1131</v>
      </c>
      <c r="AU258" s="421" t="s">
        <v>1319</v>
      </c>
      <c r="AV258" s="421" t="s">
        <v>1320</v>
      </c>
      <c r="AW258" s="421" t="s">
        <v>1207</v>
      </c>
      <c r="AX258" s="421" t="s">
        <v>1207</v>
      </c>
      <c r="AY258" s="421" t="s">
        <v>1208</v>
      </c>
      <c r="AZ258" s="421" t="s">
        <v>1121</v>
      </c>
      <c r="BA258" s="421" t="s">
        <v>1209</v>
      </c>
      <c r="BB258" s="421" t="s">
        <v>1208</v>
      </c>
      <c r="BC258" s="421" t="s">
        <v>1210</v>
      </c>
      <c r="BD258" s="421" t="s">
        <v>1211</v>
      </c>
      <c r="BE258" s="421" t="s">
        <v>1212</v>
      </c>
      <c r="BF258" s="421" t="s">
        <v>2960</v>
      </c>
      <c r="BG258" s="421" t="s">
        <v>2961</v>
      </c>
      <c r="BH258" s="421" t="s">
        <v>2962</v>
      </c>
      <c r="BI258" s="421" t="s">
        <v>1142</v>
      </c>
      <c r="BJ258" s="421" t="s">
        <v>1163</v>
      </c>
      <c r="BK258" s="421" t="s">
        <v>2958</v>
      </c>
      <c r="BL258" s="421" t="s">
        <v>2963</v>
      </c>
      <c r="BM258" s="421" t="s">
        <v>2964</v>
      </c>
      <c r="BN258" s="421" t="s">
        <v>2893</v>
      </c>
      <c r="BO258" s="421">
        <v>0</v>
      </c>
      <c r="BQ258" s="421" t="s">
        <v>2866</v>
      </c>
      <c r="BR258" s="421">
        <v>0</v>
      </c>
      <c r="BS258" s="421">
        <v>0</v>
      </c>
      <c r="BT258" s="421">
        <v>0</v>
      </c>
      <c r="BU258" s="424">
        <v>42323</v>
      </c>
      <c r="BW258" s="421" t="s">
        <v>2866</v>
      </c>
      <c r="BX258" s="421">
        <v>3082.04</v>
      </c>
      <c r="BY258" s="421" t="s">
        <v>1147</v>
      </c>
      <c r="BZ258" s="421">
        <v>122550</v>
      </c>
      <c r="CA258" s="421">
        <v>377704002</v>
      </c>
      <c r="CB258" s="421">
        <v>49.02</v>
      </c>
      <c r="CC258" s="421">
        <v>0</v>
      </c>
      <c r="CD258" s="421">
        <v>3930</v>
      </c>
      <c r="CE258" s="421">
        <v>3979.02</v>
      </c>
      <c r="CF258" s="421">
        <v>0</v>
      </c>
      <c r="CG258" s="421">
        <v>126529.02</v>
      </c>
      <c r="CH258" s="421">
        <v>0</v>
      </c>
      <c r="CI258" s="421">
        <v>126529.02</v>
      </c>
      <c r="CJ258" s="421">
        <v>389967500.80080003</v>
      </c>
      <c r="CK258" s="421">
        <v>0</v>
      </c>
      <c r="CL258" s="421">
        <v>389967501</v>
      </c>
      <c r="CM258" s="421">
        <v>0</v>
      </c>
      <c r="CN258" s="421">
        <v>0</v>
      </c>
      <c r="CO258" s="421">
        <v>0</v>
      </c>
      <c r="CP258" s="421">
        <v>0</v>
      </c>
      <c r="CQ258" s="421">
        <v>0</v>
      </c>
      <c r="CR258" s="421">
        <v>389967501</v>
      </c>
      <c r="CS258" s="421">
        <v>0</v>
      </c>
      <c r="CT258" s="421">
        <v>0</v>
      </c>
      <c r="CU258" s="421">
        <v>0</v>
      </c>
      <c r="CV258" s="421">
        <v>0</v>
      </c>
      <c r="CW258" s="421">
        <v>0</v>
      </c>
      <c r="CX258" s="421">
        <v>0</v>
      </c>
      <c r="CY258" s="421">
        <v>0</v>
      </c>
      <c r="CZ258" s="421">
        <v>0</v>
      </c>
      <c r="DA258" s="421">
        <v>0</v>
      </c>
      <c r="DB258" s="421">
        <v>0</v>
      </c>
      <c r="DC258" s="421">
        <v>0</v>
      </c>
      <c r="DD258" s="421">
        <v>0</v>
      </c>
      <c r="DE258" s="421">
        <v>0</v>
      </c>
      <c r="DF258" s="421">
        <v>0</v>
      </c>
      <c r="DG258" s="421">
        <v>0</v>
      </c>
      <c r="DH258" s="421">
        <v>0</v>
      </c>
      <c r="DI258" s="421">
        <v>0</v>
      </c>
      <c r="DJ258" s="421">
        <v>0</v>
      </c>
      <c r="DK258" s="421">
        <v>0</v>
      </c>
      <c r="DL258" s="421">
        <v>0</v>
      </c>
      <c r="DM258" s="421">
        <v>0</v>
      </c>
      <c r="DN258" s="421">
        <v>0</v>
      </c>
      <c r="DO258" s="421">
        <v>0</v>
      </c>
      <c r="DP258" s="421">
        <v>0</v>
      </c>
      <c r="DQ258" s="421">
        <v>0</v>
      </c>
      <c r="DR258" s="421">
        <v>0</v>
      </c>
      <c r="DS258" s="421">
        <v>0</v>
      </c>
      <c r="DT258" s="421">
        <v>0</v>
      </c>
      <c r="DU258" s="421">
        <v>0</v>
      </c>
      <c r="DV258" s="421">
        <v>0</v>
      </c>
      <c r="DW258" s="421">
        <v>0</v>
      </c>
      <c r="DX258" s="421">
        <v>0</v>
      </c>
      <c r="DY258" s="421">
        <v>0</v>
      </c>
      <c r="DZ258" s="421">
        <v>0</v>
      </c>
      <c r="EA258" s="421">
        <v>0</v>
      </c>
      <c r="EB258" s="421">
        <v>0</v>
      </c>
      <c r="EC258" s="421" t="s">
        <v>1148</v>
      </c>
      <c r="ED258" s="421" t="s">
        <v>1149</v>
      </c>
      <c r="EE258" s="421" t="s">
        <v>1149</v>
      </c>
    </row>
    <row r="259" spans="1:135" x14ac:dyDescent="0.25">
      <c r="A259" s="421">
        <v>256</v>
      </c>
      <c r="B259" s="421">
        <v>2015</v>
      </c>
      <c r="C259" s="421">
        <v>12</v>
      </c>
      <c r="D259" s="421">
        <v>2</v>
      </c>
      <c r="E259" s="424">
        <v>42340</v>
      </c>
      <c r="F259" s="421" t="s">
        <v>2965</v>
      </c>
      <c r="G259" s="421" t="s">
        <v>2966</v>
      </c>
      <c r="H259" s="421" t="s">
        <v>1152</v>
      </c>
      <c r="I259" s="421" t="s">
        <v>1107</v>
      </c>
      <c r="J259" s="421" t="s">
        <v>1108</v>
      </c>
      <c r="K259" s="421" t="s">
        <v>1109</v>
      </c>
      <c r="L259" s="421" t="s">
        <v>1110</v>
      </c>
      <c r="M259" s="421" t="s">
        <v>2866</v>
      </c>
      <c r="O259" s="421" t="s">
        <v>1111</v>
      </c>
      <c r="Q259" s="421" t="s">
        <v>2866</v>
      </c>
      <c r="R259" s="421" t="s">
        <v>1111</v>
      </c>
      <c r="S259" s="421" t="s">
        <v>1112</v>
      </c>
      <c r="T259" s="421" t="s">
        <v>1113</v>
      </c>
      <c r="U259" s="421" t="s">
        <v>1114</v>
      </c>
      <c r="V259" s="421" t="s">
        <v>1120</v>
      </c>
      <c r="X259" s="421" t="s">
        <v>1117</v>
      </c>
      <c r="Y259" s="421" t="s">
        <v>1118</v>
      </c>
      <c r="Z259" s="421" t="s">
        <v>1119</v>
      </c>
      <c r="AA259" s="421" t="s">
        <v>1120</v>
      </c>
      <c r="AB259" s="421" t="s">
        <v>1121</v>
      </c>
      <c r="AC259" s="421" t="s">
        <v>1122</v>
      </c>
      <c r="AD259" s="421" t="s">
        <v>1479</v>
      </c>
      <c r="AE259" s="421" t="s">
        <v>1471</v>
      </c>
      <c r="AF259" s="421" t="s">
        <v>1472</v>
      </c>
      <c r="AG259" s="421" t="s">
        <v>2967</v>
      </c>
      <c r="AH259" s="421">
        <v>36984</v>
      </c>
      <c r="AI259" s="421" t="s">
        <v>1189</v>
      </c>
      <c r="AJ259" s="421">
        <v>331</v>
      </c>
      <c r="AK259" s="421">
        <v>1</v>
      </c>
      <c r="AL259" s="421" t="s">
        <v>1173</v>
      </c>
      <c r="AM259" s="421">
        <v>4630.8</v>
      </c>
      <c r="AN259" s="421">
        <v>4961.8</v>
      </c>
      <c r="AO259" s="421" t="s">
        <v>1120</v>
      </c>
      <c r="AP259" s="421" t="s">
        <v>2968</v>
      </c>
      <c r="AQ259" s="421" t="s">
        <v>1475</v>
      </c>
      <c r="AR259" s="421" t="s">
        <v>1476</v>
      </c>
      <c r="AT259" s="421" t="s">
        <v>1131</v>
      </c>
      <c r="AU259" s="421" t="s">
        <v>1132</v>
      </c>
      <c r="AV259" s="421" t="s">
        <v>1133</v>
      </c>
      <c r="AW259" s="421" t="s">
        <v>960</v>
      </c>
      <c r="AX259" s="421" t="s">
        <v>960</v>
      </c>
      <c r="AY259" s="421" t="s">
        <v>960</v>
      </c>
      <c r="AZ259" s="421" t="s">
        <v>1121</v>
      </c>
      <c r="BA259" s="421" t="s">
        <v>1604</v>
      </c>
      <c r="BB259" s="421" t="s">
        <v>960</v>
      </c>
      <c r="BC259" s="421" t="s">
        <v>1605</v>
      </c>
      <c r="BD259" s="421" t="s">
        <v>1606</v>
      </c>
      <c r="BE259" s="421" t="s">
        <v>1607</v>
      </c>
      <c r="BF259" s="421" t="s">
        <v>2969</v>
      </c>
      <c r="BG259" s="421" t="s">
        <v>2970</v>
      </c>
      <c r="BH259" s="421" t="s">
        <v>2971</v>
      </c>
      <c r="BI259" s="421" t="s">
        <v>1142</v>
      </c>
      <c r="BJ259" s="421" t="s">
        <v>1275</v>
      </c>
      <c r="BK259" s="421" t="s">
        <v>2966</v>
      </c>
      <c r="BL259" s="421" t="s">
        <v>2972</v>
      </c>
      <c r="BM259" s="421" t="s">
        <v>2973</v>
      </c>
      <c r="BN259" s="421" t="s">
        <v>2790</v>
      </c>
      <c r="BO259" s="421">
        <v>0</v>
      </c>
      <c r="BQ259" s="421" t="s">
        <v>2866</v>
      </c>
      <c r="BR259" s="421">
        <v>0</v>
      </c>
      <c r="BS259" s="421">
        <v>0</v>
      </c>
      <c r="BT259" s="421">
        <v>0</v>
      </c>
      <c r="BU259" s="424">
        <v>42290</v>
      </c>
      <c r="BW259" s="421" t="s">
        <v>2866</v>
      </c>
      <c r="BX259" s="421">
        <v>3099.75</v>
      </c>
      <c r="BY259" s="421" t="s">
        <v>1183</v>
      </c>
      <c r="BZ259" s="421">
        <v>12049.92</v>
      </c>
      <c r="CA259" s="421">
        <v>37351739.520000003</v>
      </c>
      <c r="CB259" s="421">
        <v>4.82</v>
      </c>
      <c r="CC259" s="421">
        <v>0</v>
      </c>
      <c r="CD259" s="421">
        <v>1215.4000000000001</v>
      </c>
      <c r="CE259" s="421">
        <v>1220.22</v>
      </c>
      <c r="CF259" s="421">
        <v>0</v>
      </c>
      <c r="CG259" s="421">
        <v>13270.14</v>
      </c>
      <c r="CH259" s="421">
        <v>0</v>
      </c>
      <c r="CI259" s="421">
        <v>13270.14</v>
      </c>
      <c r="CJ259" s="421">
        <v>41134116.465000004</v>
      </c>
      <c r="CK259" s="421">
        <v>15</v>
      </c>
      <c r="CL259" s="421">
        <v>41134116</v>
      </c>
      <c r="CM259" s="421">
        <v>6170000</v>
      </c>
      <c r="CN259" s="421">
        <v>6170000</v>
      </c>
      <c r="CO259" s="421">
        <v>0</v>
      </c>
      <c r="CP259" s="421">
        <v>0</v>
      </c>
      <c r="CQ259" s="421">
        <v>16</v>
      </c>
      <c r="CR259" s="421">
        <v>47304116</v>
      </c>
      <c r="CS259" s="421">
        <v>7569000</v>
      </c>
      <c r="CT259" s="421">
        <v>7569000</v>
      </c>
      <c r="CU259" s="421">
        <v>0</v>
      </c>
      <c r="CV259" s="421">
        <v>0</v>
      </c>
      <c r="CW259" s="421">
        <v>0</v>
      </c>
      <c r="CX259" s="421">
        <v>0</v>
      </c>
      <c r="CY259" s="421">
        <v>0</v>
      </c>
      <c r="CZ259" s="421">
        <v>0</v>
      </c>
      <c r="DA259" s="421">
        <v>0</v>
      </c>
      <c r="DB259" s="421">
        <v>0</v>
      </c>
      <c r="DC259" s="421">
        <v>0</v>
      </c>
      <c r="DD259" s="421">
        <v>0</v>
      </c>
      <c r="DE259" s="421">
        <v>0</v>
      </c>
      <c r="DF259" s="421">
        <v>0</v>
      </c>
      <c r="DG259" s="421">
        <v>0</v>
      </c>
      <c r="DH259" s="421">
        <v>0</v>
      </c>
      <c r="DI259" s="421">
        <v>0</v>
      </c>
      <c r="DJ259" s="421">
        <v>0</v>
      </c>
      <c r="DK259" s="421">
        <v>0</v>
      </c>
      <c r="DL259" s="421">
        <v>0</v>
      </c>
      <c r="DM259" s="421">
        <v>0</v>
      </c>
      <c r="DN259" s="421">
        <v>0</v>
      </c>
      <c r="DO259" s="421">
        <v>0</v>
      </c>
      <c r="DP259" s="421">
        <v>0</v>
      </c>
      <c r="DQ259" s="421">
        <v>0</v>
      </c>
      <c r="DR259" s="421">
        <v>0</v>
      </c>
      <c r="DS259" s="421">
        <v>0</v>
      </c>
      <c r="DT259" s="421">
        <v>0</v>
      </c>
      <c r="DU259" s="421">
        <v>0</v>
      </c>
      <c r="DV259" s="421">
        <v>0</v>
      </c>
      <c r="DW259" s="421">
        <v>0</v>
      </c>
      <c r="DX259" s="421">
        <v>0</v>
      </c>
      <c r="DY259" s="421">
        <v>13739000</v>
      </c>
      <c r="DZ259" s="421">
        <v>13739000</v>
      </c>
      <c r="EA259" s="421">
        <v>0</v>
      </c>
      <c r="EB259" s="421">
        <v>0</v>
      </c>
      <c r="EC259" s="421" t="s">
        <v>1148</v>
      </c>
      <c r="ED259" s="421" t="s">
        <v>1167</v>
      </c>
      <c r="EE259" s="421" t="s">
        <v>1167</v>
      </c>
    </row>
    <row r="260" spans="1:135" x14ac:dyDescent="0.25">
      <c r="A260" s="421">
        <v>257</v>
      </c>
      <c r="B260" s="421">
        <v>2015</v>
      </c>
      <c r="C260" s="421">
        <v>12</v>
      </c>
      <c r="D260" s="421">
        <v>3</v>
      </c>
      <c r="E260" s="424">
        <v>42341</v>
      </c>
      <c r="F260" s="421" t="s">
        <v>2974</v>
      </c>
      <c r="G260" s="421" t="s">
        <v>2975</v>
      </c>
      <c r="H260" s="421" t="s">
        <v>1106</v>
      </c>
      <c r="I260" s="421" t="s">
        <v>1107</v>
      </c>
      <c r="J260" s="421" t="s">
        <v>1108</v>
      </c>
      <c r="K260" s="421" t="s">
        <v>1109</v>
      </c>
      <c r="L260" s="421" t="s">
        <v>1110</v>
      </c>
      <c r="M260" s="421" t="s">
        <v>2866</v>
      </c>
      <c r="O260" s="421" t="s">
        <v>1111</v>
      </c>
      <c r="Q260" s="421" t="s">
        <v>2866</v>
      </c>
      <c r="R260" s="421" t="s">
        <v>1111</v>
      </c>
      <c r="S260" s="421" t="s">
        <v>1112</v>
      </c>
      <c r="T260" s="421" t="s">
        <v>1113</v>
      </c>
      <c r="U260" s="421" t="s">
        <v>1114</v>
      </c>
      <c r="V260" s="421" t="s">
        <v>1120</v>
      </c>
      <c r="X260" s="421" t="s">
        <v>1117</v>
      </c>
      <c r="Y260" s="421" t="s">
        <v>1118</v>
      </c>
      <c r="Z260" s="421" t="s">
        <v>1119</v>
      </c>
      <c r="AA260" s="421" t="s">
        <v>1120</v>
      </c>
      <c r="AB260" s="421" t="s">
        <v>1121</v>
      </c>
      <c r="AC260" s="421" t="s">
        <v>1122</v>
      </c>
      <c r="AD260" s="421" t="s">
        <v>1479</v>
      </c>
      <c r="AE260" s="421" t="s">
        <v>1407</v>
      </c>
      <c r="AF260" s="421" t="s">
        <v>1408</v>
      </c>
      <c r="AG260" s="421" t="s">
        <v>2976</v>
      </c>
      <c r="AH260" s="421">
        <v>9600</v>
      </c>
      <c r="AI260" s="421" t="s">
        <v>1127</v>
      </c>
      <c r="AJ260" s="421">
        <v>80</v>
      </c>
      <c r="AK260" s="421">
        <v>2</v>
      </c>
      <c r="AL260" s="421" t="s">
        <v>1335</v>
      </c>
      <c r="AM260" s="421">
        <v>9600</v>
      </c>
      <c r="AN260" s="421">
        <v>10398</v>
      </c>
      <c r="AO260" s="421" t="s">
        <v>1120</v>
      </c>
      <c r="AR260" s="421" t="s">
        <v>2868</v>
      </c>
      <c r="AT260" s="421" t="s">
        <v>1131</v>
      </c>
      <c r="AU260" s="421" t="s">
        <v>1132</v>
      </c>
      <c r="AV260" s="421" t="s">
        <v>1133</v>
      </c>
      <c r="AW260" s="421" t="s">
        <v>962</v>
      </c>
      <c r="AX260" s="421" t="s">
        <v>962</v>
      </c>
      <c r="AY260" s="421" t="s">
        <v>962</v>
      </c>
      <c r="AZ260" s="421" t="s">
        <v>1121</v>
      </c>
      <c r="BA260" s="421" t="s">
        <v>1410</v>
      </c>
      <c r="BB260" s="421" t="s">
        <v>962</v>
      </c>
      <c r="BC260" s="421" t="s">
        <v>1411</v>
      </c>
      <c r="BD260" s="421" t="s">
        <v>1412</v>
      </c>
      <c r="BE260" s="421" t="s">
        <v>1413</v>
      </c>
      <c r="BF260" s="421" t="s">
        <v>2969</v>
      </c>
      <c r="BG260" s="421" t="s">
        <v>2970</v>
      </c>
      <c r="BH260" s="421" t="s">
        <v>2977</v>
      </c>
      <c r="BI260" s="421" t="s">
        <v>1142</v>
      </c>
      <c r="BJ260" s="421" t="s">
        <v>1275</v>
      </c>
      <c r="BK260" s="421" t="s">
        <v>2975</v>
      </c>
      <c r="BL260" s="421" t="s">
        <v>2978</v>
      </c>
      <c r="BM260" s="421" t="s">
        <v>2979</v>
      </c>
      <c r="BN260" s="421" t="s">
        <v>2980</v>
      </c>
      <c r="BO260" s="421">
        <v>0</v>
      </c>
      <c r="BQ260" s="421" t="s">
        <v>2866</v>
      </c>
      <c r="BR260" s="421">
        <v>0</v>
      </c>
      <c r="BS260" s="421">
        <v>0</v>
      </c>
      <c r="BT260" s="421">
        <v>0</v>
      </c>
      <c r="BU260" s="424">
        <v>42315</v>
      </c>
      <c r="BW260" s="421" t="s">
        <v>2866</v>
      </c>
      <c r="BX260" s="421">
        <v>3099.75</v>
      </c>
      <c r="BY260" s="421" t="s">
        <v>1147</v>
      </c>
      <c r="BZ260" s="421">
        <v>42487.25</v>
      </c>
      <c r="CA260" s="421">
        <v>131699853.1875</v>
      </c>
      <c r="CB260" s="421">
        <v>16.920000000000002</v>
      </c>
      <c r="CC260" s="421">
        <v>0</v>
      </c>
      <c r="CD260" s="421">
        <v>2102.17</v>
      </c>
      <c r="CE260" s="421">
        <v>2119.09</v>
      </c>
      <c r="CF260" s="421">
        <v>0</v>
      </c>
      <c r="CG260" s="421">
        <v>44606.34</v>
      </c>
      <c r="CH260" s="421">
        <v>0</v>
      </c>
      <c r="CI260" s="421">
        <v>44606.34</v>
      </c>
      <c r="CJ260" s="421">
        <v>138268502.41499999</v>
      </c>
      <c r="CK260" s="421">
        <v>0</v>
      </c>
      <c r="CL260" s="421">
        <v>138268502</v>
      </c>
      <c r="CM260" s="421">
        <v>0</v>
      </c>
      <c r="CN260" s="421">
        <v>0</v>
      </c>
      <c r="CO260" s="421">
        <v>0</v>
      </c>
      <c r="CP260" s="421">
        <v>0</v>
      </c>
      <c r="CQ260" s="421">
        <v>16</v>
      </c>
      <c r="CR260" s="421">
        <v>138268502</v>
      </c>
      <c r="CS260" s="421">
        <v>22123000</v>
      </c>
      <c r="CT260" s="421">
        <v>22123000</v>
      </c>
      <c r="CU260" s="421">
        <v>0</v>
      </c>
      <c r="CV260" s="421">
        <v>0</v>
      </c>
      <c r="CW260" s="421">
        <v>0</v>
      </c>
      <c r="CX260" s="421">
        <v>0</v>
      </c>
      <c r="CY260" s="421">
        <v>0</v>
      </c>
      <c r="CZ260" s="421">
        <v>0</v>
      </c>
      <c r="DA260" s="421">
        <v>0</v>
      </c>
      <c r="DB260" s="421">
        <v>0</v>
      </c>
      <c r="DC260" s="421">
        <v>0</v>
      </c>
      <c r="DD260" s="421">
        <v>0</v>
      </c>
      <c r="DE260" s="421">
        <v>0</v>
      </c>
      <c r="DF260" s="421">
        <v>0</v>
      </c>
      <c r="DG260" s="421">
        <v>0</v>
      </c>
      <c r="DH260" s="421">
        <v>0</v>
      </c>
      <c r="DI260" s="421">
        <v>0</v>
      </c>
      <c r="DJ260" s="421">
        <v>0</v>
      </c>
      <c r="DK260" s="421">
        <v>0</v>
      </c>
      <c r="DL260" s="421">
        <v>0</v>
      </c>
      <c r="DM260" s="421">
        <v>0</v>
      </c>
      <c r="DN260" s="421">
        <v>0</v>
      </c>
      <c r="DO260" s="421">
        <v>0</v>
      </c>
      <c r="DP260" s="421">
        <v>0</v>
      </c>
      <c r="DQ260" s="421">
        <v>0</v>
      </c>
      <c r="DR260" s="421">
        <v>0</v>
      </c>
      <c r="DS260" s="421">
        <v>0</v>
      </c>
      <c r="DT260" s="421">
        <v>0</v>
      </c>
      <c r="DU260" s="421">
        <v>0</v>
      </c>
      <c r="DV260" s="421">
        <v>0</v>
      </c>
      <c r="DW260" s="421">
        <v>0</v>
      </c>
      <c r="DX260" s="421">
        <v>0</v>
      </c>
      <c r="DY260" s="421">
        <v>22123000</v>
      </c>
      <c r="DZ260" s="421">
        <v>22123000</v>
      </c>
      <c r="EA260" s="421">
        <v>0</v>
      </c>
      <c r="EB260" s="421">
        <v>0</v>
      </c>
      <c r="EC260" s="421" t="s">
        <v>1148</v>
      </c>
      <c r="ED260" s="421" t="s">
        <v>1149</v>
      </c>
      <c r="EE260" s="421" t="s">
        <v>1149</v>
      </c>
    </row>
    <row r="261" spans="1:135" x14ac:dyDescent="0.25">
      <c r="A261" s="421">
        <v>258</v>
      </c>
      <c r="B261" s="421">
        <v>2015</v>
      </c>
      <c r="C261" s="421">
        <v>12</v>
      </c>
      <c r="D261" s="421">
        <v>3</v>
      </c>
      <c r="E261" s="424">
        <v>42341</v>
      </c>
      <c r="F261" s="421" t="s">
        <v>2981</v>
      </c>
      <c r="G261" s="421" t="s">
        <v>2982</v>
      </c>
      <c r="H261" s="421" t="s">
        <v>1106</v>
      </c>
      <c r="I261" s="421" t="s">
        <v>1107</v>
      </c>
      <c r="J261" s="421" t="s">
        <v>1108</v>
      </c>
      <c r="K261" s="421" t="s">
        <v>1109</v>
      </c>
      <c r="L261" s="421" t="s">
        <v>1110</v>
      </c>
      <c r="M261" s="421" t="s">
        <v>2866</v>
      </c>
      <c r="O261" s="421" t="s">
        <v>1111</v>
      </c>
      <c r="Q261" s="421" t="s">
        <v>2866</v>
      </c>
      <c r="R261" s="421" t="s">
        <v>1111</v>
      </c>
      <c r="S261" s="421" t="s">
        <v>1112</v>
      </c>
      <c r="T261" s="421" t="s">
        <v>1113</v>
      </c>
      <c r="U261" s="421" t="s">
        <v>1114</v>
      </c>
      <c r="V261" s="421" t="s">
        <v>1120</v>
      </c>
      <c r="X261" s="421" t="s">
        <v>1117</v>
      </c>
      <c r="Y261" s="421" t="s">
        <v>1118</v>
      </c>
      <c r="Z261" s="421" t="s">
        <v>1119</v>
      </c>
      <c r="AA261" s="421" t="s">
        <v>1120</v>
      </c>
      <c r="AB261" s="421" t="s">
        <v>1121</v>
      </c>
      <c r="AC261" s="421" t="s">
        <v>1122</v>
      </c>
      <c r="AD261" s="421" t="s">
        <v>1479</v>
      </c>
      <c r="AE261" s="421" t="s">
        <v>2507</v>
      </c>
      <c r="AF261" s="421" t="s">
        <v>2508</v>
      </c>
      <c r="AG261" s="421" t="s">
        <v>2983</v>
      </c>
      <c r="AH261" s="421">
        <v>6300</v>
      </c>
      <c r="AI261" s="421" t="s">
        <v>1127</v>
      </c>
      <c r="AJ261" s="421">
        <v>80</v>
      </c>
      <c r="AK261" s="421">
        <v>2</v>
      </c>
      <c r="AL261" s="421" t="s">
        <v>1335</v>
      </c>
      <c r="AM261" s="421">
        <v>6300</v>
      </c>
      <c r="AN261" s="421">
        <v>6741</v>
      </c>
      <c r="AO261" s="421" t="s">
        <v>1120</v>
      </c>
      <c r="AR261" s="421" t="s">
        <v>2868</v>
      </c>
      <c r="AT261" s="421" t="s">
        <v>1131</v>
      </c>
      <c r="AU261" s="421" t="s">
        <v>1132</v>
      </c>
      <c r="AV261" s="421" t="s">
        <v>1133</v>
      </c>
      <c r="AW261" s="421" t="s">
        <v>962</v>
      </c>
      <c r="AX261" s="421" t="s">
        <v>962</v>
      </c>
      <c r="AY261" s="421" t="s">
        <v>962</v>
      </c>
      <c r="AZ261" s="421" t="s">
        <v>1121</v>
      </c>
      <c r="BA261" s="421" t="s">
        <v>1410</v>
      </c>
      <c r="BB261" s="421" t="s">
        <v>962</v>
      </c>
      <c r="BC261" s="421" t="s">
        <v>1411</v>
      </c>
      <c r="BD261" s="421" t="s">
        <v>1412</v>
      </c>
      <c r="BE261" s="421" t="s">
        <v>1413</v>
      </c>
      <c r="BF261" s="421" t="s">
        <v>2969</v>
      </c>
      <c r="BG261" s="421" t="s">
        <v>2970</v>
      </c>
      <c r="BH261" s="421" t="s">
        <v>2977</v>
      </c>
      <c r="BI261" s="421" t="s">
        <v>1142</v>
      </c>
      <c r="BJ261" s="421" t="s">
        <v>1275</v>
      </c>
      <c r="BK261" s="421" t="s">
        <v>2982</v>
      </c>
      <c r="BL261" s="421" t="s">
        <v>2978</v>
      </c>
      <c r="BM261" s="421" t="s">
        <v>2979</v>
      </c>
      <c r="BN261" s="421" t="s">
        <v>2980</v>
      </c>
      <c r="BO261" s="421">
        <v>0</v>
      </c>
      <c r="BQ261" s="421" t="s">
        <v>2866</v>
      </c>
      <c r="BR261" s="421">
        <v>0</v>
      </c>
      <c r="BS261" s="421">
        <v>0</v>
      </c>
      <c r="BT261" s="421">
        <v>0</v>
      </c>
      <c r="BU261" s="424">
        <v>42315</v>
      </c>
      <c r="BW261" s="421" t="s">
        <v>2866</v>
      </c>
      <c r="BX261" s="421">
        <v>3099.75</v>
      </c>
      <c r="BY261" s="421" t="s">
        <v>1147</v>
      </c>
      <c r="BZ261" s="421">
        <v>14237.75</v>
      </c>
      <c r="CA261" s="421">
        <v>44133465.5625</v>
      </c>
      <c r="CB261" s="421">
        <v>5.67</v>
      </c>
      <c r="CC261" s="421">
        <v>0</v>
      </c>
      <c r="CD261" s="421">
        <v>1362.83</v>
      </c>
      <c r="CE261" s="421">
        <v>1368.5</v>
      </c>
      <c r="CF261" s="421">
        <v>0</v>
      </c>
      <c r="CG261" s="421">
        <v>15606.25</v>
      </c>
      <c r="CH261" s="421">
        <v>0</v>
      </c>
      <c r="CI261" s="421">
        <v>15606.25</v>
      </c>
      <c r="CJ261" s="421">
        <v>48375473.4375</v>
      </c>
      <c r="CK261" s="421">
        <v>0</v>
      </c>
      <c r="CL261" s="421">
        <v>48375473</v>
      </c>
      <c r="CM261" s="421">
        <v>0</v>
      </c>
      <c r="CN261" s="421">
        <v>0</v>
      </c>
      <c r="CO261" s="421">
        <v>0</v>
      </c>
      <c r="CP261" s="421">
        <v>0</v>
      </c>
      <c r="CQ261" s="421">
        <v>16</v>
      </c>
      <c r="CR261" s="421">
        <v>48375473</v>
      </c>
      <c r="CS261" s="421">
        <v>7740000</v>
      </c>
      <c r="CT261" s="421">
        <v>7740000</v>
      </c>
      <c r="CU261" s="421">
        <v>0</v>
      </c>
      <c r="CV261" s="421">
        <v>0</v>
      </c>
      <c r="CW261" s="421">
        <v>0</v>
      </c>
      <c r="CX261" s="421">
        <v>0</v>
      </c>
      <c r="CY261" s="421">
        <v>0</v>
      </c>
      <c r="CZ261" s="421">
        <v>0</v>
      </c>
      <c r="DA261" s="421">
        <v>0</v>
      </c>
      <c r="DB261" s="421">
        <v>0</v>
      </c>
      <c r="DC261" s="421">
        <v>0</v>
      </c>
      <c r="DD261" s="421">
        <v>0</v>
      </c>
      <c r="DE261" s="421">
        <v>0</v>
      </c>
      <c r="DF261" s="421">
        <v>0</v>
      </c>
      <c r="DG261" s="421">
        <v>0</v>
      </c>
      <c r="DH261" s="421">
        <v>0</v>
      </c>
      <c r="DI261" s="421">
        <v>0</v>
      </c>
      <c r="DJ261" s="421">
        <v>0</v>
      </c>
      <c r="DK261" s="421">
        <v>0</v>
      </c>
      <c r="DL261" s="421">
        <v>0</v>
      </c>
      <c r="DM261" s="421">
        <v>0</v>
      </c>
      <c r="DN261" s="421">
        <v>0</v>
      </c>
      <c r="DO261" s="421">
        <v>0</v>
      </c>
      <c r="DP261" s="421">
        <v>0</v>
      </c>
      <c r="DQ261" s="421">
        <v>0</v>
      </c>
      <c r="DR261" s="421">
        <v>0</v>
      </c>
      <c r="DS261" s="421">
        <v>0</v>
      </c>
      <c r="DT261" s="421">
        <v>0</v>
      </c>
      <c r="DU261" s="421">
        <v>0</v>
      </c>
      <c r="DV261" s="421">
        <v>0</v>
      </c>
      <c r="DW261" s="421">
        <v>0</v>
      </c>
      <c r="DX261" s="421">
        <v>0</v>
      </c>
      <c r="DY261" s="421">
        <v>7740000</v>
      </c>
      <c r="DZ261" s="421">
        <v>7740000</v>
      </c>
      <c r="EA261" s="421">
        <v>0</v>
      </c>
      <c r="EB261" s="421">
        <v>0</v>
      </c>
      <c r="EC261" s="421" t="s">
        <v>1148</v>
      </c>
      <c r="ED261" s="421" t="s">
        <v>1149</v>
      </c>
      <c r="EE261" s="421" t="s">
        <v>1149</v>
      </c>
    </row>
    <row r="262" spans="1:135" x14ac:dyDescent="0.25">
      <c r="A262" s="421">
        <v>259</v>
      </c>
      <c r="B262" s="421">
        <v>2015</v>
      </c>
      <c r="C262" s="421">
        <v>12</v>
      </c>
      <c r="D262" s="421">
        <v>3</v>
      </c>
      <c r="E262" s="424">
        <v>42341</v>
      </c>
      <c r="F262" s="421" t="s">
        <v>2984</v>
      </c>
      <c r="G262" s="421" t="s">
        <v>2985</v>
      </c>
      <c r="H262" s="421" t="s">
        <v>1541</v>
      </c>
      <c r="I262" s="421" t="s">
        <v>1107</v>
      </c>
      <c r="J262" s="421" t="s">
        <v>1108</v>
      </c>
      <c r="K262" s="421" t="s">
        <v>1109</v>
      </c>
      <c r="L262" s="421" t="s">
        <v>1110</v>
      </c>
      <c r="M262" s="421" t="s">
        <v>2866</v>
      </c>
      <c r="O262" s="421" t="s">
        <v>1111</v>
      </c>
      <c r="Q262" s="421" t="s">
        <v>2866</v>
      </c>
      <c r="R262" s="421" t="s">
        <v>1111</v>
      </c>
      <c r="S262" s="421" t="s">
        <v>1112</v>
      </c>
      <c r="T262" s="421" t="s">
        <v>1113</v>
      </c>
      <c r="U262" s="421" t="s">
        <v>1114</v>
      </c>
      <c r="V262" s="421" t="s">
        <v>1120</v>
      </c>
      <c r="X262" s="421" t="s">
        <v>1117</v>
      </c>
      <c r="Y262" s="421" t="s">
        <v>1118</v>
      </c>
      <c r="Z262" s="421" t="s">
        <v>1119</v>
      </c>
      <c r="AA262" s="421" t="s">
        <v>1120</v>
      </c>
      <c r="AB262" s="421" t="s">
        <v>1121</v>
      </c>
      <c r="AC262" s="421" t="s">
        <v>1122</v>
      </c>
      <c r="AD262" s="421" t="s">
        <v>1479</v>
      </c>
      <c r="AE262" s="421" t="s">
        <v>1721</v>
      </c>
      <c r="AF262" s="421" t="s">
        <v>1722</v>
      </c>
      <c r="AG262" s="421" t="s">
        <v>2986</v>
      </c>
      <c r="AH262" s="421">
        <v>15921.26</v>
      </c>
      <c r="AI262" s="421" t="s">
        <v>1127</v>
      </c>
      <c r="AJ262" s="421">
        <v>16</v>
      </c>
      <c r="AK262" s="421">
        <v>1</v>
      </c>
      <c r="AL262" s="421" t="s">
        <v>1206</v>
      </c>
      <c r="AM262" s="421">
        <v>15921.26</v>
      </c>
      <c r="AN262" s="421">
        <v>15921.26</v>
      </c>
      <c r="AO262" s="421" t="s">
        <v>1427</v>
      </c>
      <c r="AP262" s="421" t="s">
        <v>2987</v>
      </c>
      <c r="AQ262" s="421" t="s">
        <v>1475</v>
      </c>
      <c r="AR262" s="421" t="s">
        <v>1476</v>
      </c>
      <c r="AT262" s="421" t="s">
        <v>1131</v>
      </c>
      <c r="AU262" s="421" t="s">
        <v>1132</v>
      </c>
      <c r="AV262" s="421" t="s">
        <v>1133</v>
      </c>
      <c r="AW262" s="421" t="s">
        <v>962</v>
      </c>
      <c r="AX262" s="421" t="s">
        <v>962</v>
      </c>
      <c r="AY262" s="421" t="s">
        <v>962</v>
      </c>
      <c r="AZ262" s="421" t="s">
        <v>1121</v>
      </c>
      <c r="BA262" s="421" t="s">
        <v>1725</v>
      </c>
      <c r="BB262" s="421" t="s">
        <v>962</v>
      </c>
      <c r="BC262" s="421" t="s">
        <v>1726</v>
      </c>
      <c r="BD262" s="421" t="s">
        <v>1727</v>
      </c>
      <c r="BE262" s="421" t="s">
        <v>1728</v>
      </c>
      <c r="BF262" s="421" t="s">
        <v>2988</v>
      </c>
      <c r="BG262" s="421" t="s">
        <v>2989</v>
      </c>
      <c r="BH262" s="421" t="s">
        <v>1697</v>
      </c>
      <c r="BI262" s="421" t="s">
        <v>1142</v>
      </c>
      <c r="BJ262" s="421" t="s">
        <v>1163</v>
      </c>
      <c r="BK262" s="421" t="s">
        <v>2985</v>
      </c>
      <c r="BL262" s="421" t="s">
        <v>2990</v>
      </c>
      <c r="BM262" s="421" t="s">
        <v>2991</v>
      </c>
      <c r="BN262" s="421" t="s">
        <v>2872</v>
      </c>
      <c r="BO262" s="421">
        <v>0</v>
      </c>
      <c r="BQ262" s="421" t="s">
        <v>2866</v>
      </c>
      <c r="BR262" s="421">
        <v>0</v>
      </c>
      <c r="BS262" s="421">
        <v>0</v>
      </c>
      <c r="BT262" s="421">
        <v>0</v>
      </c>
      <c r="BU262" s="424">
        <v>42319</v>
      </c>
      <c r="BW262" s="421" t="s">
        <v>2866</v>
      </c>
      <c r="BX262" s="421">
        <v>3082.04</v>
      </c>
      <c r="BY262" s="421" t="s">
        <v>1147</v>
      </c>
      <c r="BZ262" s="421">
        <v>11967.5</v>
      </c>
      <c r="CA262" s="421">
        <v>36884313.700000003</v>
      </c>
      <c r="CB262" s="421">
        <v>4.5599999999999996</v>
      </c>
      <c r="CC262" s="421">
        <v>0</v>
      </c>
      <c r="CD262" s="421">
        <v>2491</v>
      </c>
      <c r="CE262" s="421">
        <v>2495.56</v>
      </c>
      <c r="CF262" s="421">
        <v>0</v>
      </c>
      <c r="CG262" s="421">
        <v>14463.06</v>
      </c>
      <c r="CH262" s="421">
        <v>0</v>
      </c>
      <c r="CI262" s="421">
        <v>14463.06</v>
      </c>
      <c r="CJ262" s="421">
        <v>44575729.442400001</v>
      </c>
      <c r="CK262" s="421">
        <v>0</v>
      </c>
      <c r="CL262" s="421">
        <v>44575729</v>
      </c>
      <c r="CM262" s="421">
        <v>0</v>
      </c>
      <c r="CN262" s="421">
        <v>0</v>
      </c>
      <c r="CO262" s="421">
        <v>0</v>
      </c>
      <c r="CP262" s="421">
        <v>0</v>
      </c>
      <c r="CQ262" s="421">
        <v>16</v>
      </c>
      <c r="CR262" s="421">
        <v>44575729</v>
      </c>
      <c r="CS262" s="421">
        <v>7132000</v>
      </c>
      <c r="CT262" s="421">
        <v>7132000</v>
      </c>
      <c r="CU262" s="421">
        <v>0</v>
      </c>
      <c r="CV262" s="421">
        <v>0</v>
      </c>
      <c r="CW262" s="421">
        <v>0</v>
      </c>
      <c r="CX262" s="421">
        <v>0</v>
      </c>
      <c r="CY262" s="421">
        <v>0</v>
      </c>
      <c r="CZ262" s="421">
        <v>0</v>
      </c>
      <c r="DA262" s="421">
        <v>0</v>
      </c>
      <c r="DB262" s="421">
        <v>0</v>
      </c>
      <c r="DC262" s="421">
        <v>0</v>
      </c>
      <c r="DD262" s="421">
        <v>0</v>
      </c>
      <c r="DE262" s="421">
        <v>0</v>
      </c>
      <c r="DF262" s="421">
        <v>0</v>
      </c>
      <c r="DG262" s="421">
        <v>0</v>
      </c>
      <c r="DH262" s="421">
        <v>0</v>
      </c>
      <c r="DI262" s="421">
        <v>0</v>
      </c>
      <c r="DJ262" s="421">
        <v>0</v>
      </c>
      <c r="DK262" s="421">
        <v>0</v>
      </c>
      <c r="DL262" s="421">
        <v>0</v>
      </c>
      <c r="DM262" s="421">
        <v>0</v>
      </c>
      <c r="DN262" s="421">
        <v>0</v>
      </c>
      <c r="DO262" s="421">
        <v>0</v>
      </c>
      <c r="DP262" s="421">
        <v>0</v>
      </c>
      <c r="DQ262" s="421">
        <v>0</v>
      </c>
      <c r="DR262" s="421">
        <v>0</v>
      </c>
      <c r="DS262" s="421">
        <v>0</v>
      </c>
      <c r="DT262" s="421">
        <v>0</v>
      </c>
      <c r="DU262" s="421">
        <v>0</v>
      </c>
      <c r="DV262" s="421">
        <v>0</v>
      </c>
      <c r="DW262" s="421">
        <v>0</v>
      </c>
      <c r="DX262" s="421">
        <v>0</v>
      </c>
      <c r="DY262" s="421">
        <v>7132000</v>
      </c>
      <c r="DZ262" s="421">
        <v>7132000</v>
      </c>
      <c r="EA262" s="421">
        <v>0</v>
      </c>
      <c r="EB262" s="421">
        <v>0</v>
      </c>
      <c r="EC262" s="421" t="s">
        <v>1148</v>
      </c>
      <c r="ED262" s="421" t="s">
        <v>1149</v>
      </c>
      <c r="EE262" s="421" t="s">
        <v>1149</v>
      </c>
    </row>
    <row r="263" spans="1:135" x14ac:dyDescent="0.25">
      <c r="A263" s="421">
        <v>260</v>
      </c>
      <c r="B263" s="421">
        <v>2015</v>
      </c>
      <c r="C263" s="421">
        <v>12</v>
      </c>
      <c r="D263" s="421">
        <v>4</v>
      </c>
      <c r="E263" s="424">
        <v>42342</v>
      </c>
      <c r="F263" s="421" t="s">
        <v>2992</v>
      </c>
      <c r="G263" s="421" t="s">
        <v>2993</v>
      </c>
      <c r="H263" s="421" t="s">
        <v>1106</v>
      </c>
      <c r="I263" s="421" t="s">
        <v>1107</v>
      </c>
      <c r="J263" s="421" t="s">
        <v>1108</v>
      </c>
      <c r="K263" s="421" t="s">
        <v>1202</v>
      </c>
      <c r="L263" s="421" t="s">
        <v>1110</v>
      </c>
      <c r="M263" s="421" t="s">
        <v>2866</v>
      </c>
      <c r="O263" s="421" t="s">
        <v>1111</v>
      </c>
      <c r="Q263" s="421" t="s">
        <v>2866</v>
      </c>
      <c r="R263" s="421" t="s">
        <v>1111</v>
      </c>
      <c r="S263" s="421" t="s">
        <v>1112</v>
      </c>
      <c r="T263" s="421" t="s">
        <v>1113</v>
      </c>
      <c r="U263" s="421" t="s">
        <v>1114</v>
      </c>
      <c r="V263" s="421" t="s">
        <v>1120</v>
      </c>
      <c r="X263" s="421" t="s">
        <v>1117</v>
      </c>
      <c r="Y263" s="421" t="s">
        <v>1118</v>
      </c>
      <c r="Z263" s="421" t="s">
        <v>1119</v>
      </c>
      <c r="AA263" s="421" t="s">
        <v>1120</v>
      </c>
      <c r="AB263" s="421" t="s">
        <v>1121</v>
      </c>
      <c r="AC263" s="421" t="s">
        <v>1122</v>
      </c>
      <c r="AD263" s="421" t="s">
        <v>1479</v>
      </c>
      <c r="AE263" s="421" t="s">
        <v>1203</v>
      </c>
      <c r="AF263" s="421" t="s">
        <v>1204</v>
      </c>
      <c r="AG263" s="421" t="s">
        <v>2994</v>
      </c>
      <c r="AH263" s="421">
        <v>43000</v>
      </c>
      <c r="AI263" s="421" t="s">
        <v>1127</v>
      </c>
      <c r="AJ263" s="421">
        <v>5</v>
      </c>
      <c r="AK263" s="421">
        <v>1</v>
      </c>
      <c r="AL263" s="421" t="s">
        <v>1206</v>
      </c>
      <c r="AM263" s="421">
        <v>43000</v>
      </c>
      <c r="AN263" s="421">
        <v>43000</v>
      </c>
      <c r="AO263" s="421" t="s">
        <v>1120</v>
      </c>
      <c r="AR263" s="421" t="s">
        <v>2868</v>
      </c>
      <c r="AT263" s="421" t="s">
        <v>1131</v>
      </c>
      <c r="AU263" s="421" t="s">
        <v>1319</v>
      </c>
      <c r="AV263" s="421" t="s">
        <v>1320</v>
      </c>
      <c r="AW263" s="421" t="s">
        <v>1207</v>
      </c>
      <c r="AX263" s="421" t="s">
        <v>1207</v>
      </c>
      <c r="AY263" s="421" t="s">
        <v>1208</v>
      </c>
      <c r="AZ263" s="421" t="s">
        <v>1121</v>
      </c>
      <c r="BA263" s="421" t="s">
        <v>1209</v>
      </c>
      <c r="BB263" s="421" t="s">
        <v>1208</v>
      </c>
      <c r="BC263" s="421" t="s">
        <v>1210</v>
      </c>
      <c r="BD263" s="421" t="s">
        <v>1211</v>
      </c>
      <c r="BE263" s="421" t="s">
        <v>1212</v>
      </c>
      <c r="BF263" s="421" t="s">
        <v>2995</v>
      </c>
      <c r="BG263" s="421" t="s">
        <v>2996</v>
      </c>
      <c r="BH263" s="421" t="s">
        <v>2997</v>
      </c>
      <c r="BI263" s="421" t="s">
        <v>1142</v>
      </c>
      <c r="BJ263" s="421" t="s">
        <v>1163</v>
      </c>
      <c r="BK263" s="421" t="s">
        <v>2993</v>
      </c>
      <c r="BL263" s="421" t="s">
        <v>2978</v>
      </c>
      <c r="BM263" s="421" t="s">
        <v>2998</v>
      </c>
      <c r="BN263" s="421" t="s">
        <v>2937</v>
      </c>
      <c r="BO263" s="421">
        <v>0</v>
      </c>
      <c r="BQ263" s="421" t="s">
        <v>2866</v>
      </c>
      <c r="BR263" s="421">
        <v>0</v>
      </c>
      <c r="BS263" s="421">
        <v>0</v>
      </c>
      <c r="BT263" s="421">
        <v>0</v>
      </c>
      <c r="BU263" s="424">
        <v>42330</v>
      </c>
      <c r="BW263" s="421" t="s">
        <v>2866</v>
      </c>
      <c r="BX263" s="421">
        <v>3099.75</v>
      </c>
      <c r="BY263" s="421" t="s">
        <v>1147</v>
      </c>
      <c r="BZ263" s="421">
        <v>81700</v>
      </c>
      <c r="CA263" s="421">
        <v>253249575</v>
      </c>
      <c r="CB263" s="421">
        <v>32.68</v>
      </c>
      <c r="CC263" s="421">
        <v>0</v>
      </c>
      <c r="CD263" s="421">
        <v>2602.79</v>
      </c>
      <c r="CE263" s="421">
        <v>2635.47</v>
      </c>
      <c r="CF263" s="421">
        <v>0</v>
      </c>
      <c r="CG263" s="421">
        <v>84335.47</v>
      </c>
      <c r="CH263" s="421">
        <v>0</v>
      </c>
      <c r="CI263" s="421">
        <v>84335.47</v>
      </c>
      <c r="CJ263" s="421">
        <v>261418873.13249999</v>
      </c>
      <c r="CK263" s="421">
        <v>0</v>
      </c>
      <c r="CL263" s="421">
        <v>261418873</v>
      </c>
      <c r="CM263" s="421">
        <v>0</v>
      </c>
      <c r="CN263" s="421">
        <v>0</v>
      </c>
      <c r="CO263" s="421">
        <v>0</v>
      </c>
      <c r="CP263" s="421">
        <v>0</v>
      </c>
      <c r="CQ263" s="421">
        <v>0</v>
      </c>
      <c r="CR263" s="421">
        <v>261418873</v>
      </c>
      <c r="CS263" s="421">
        <v>0</v>
      </c>
      <c r="CT263" s="421">
        <v>0</v>
      </c>
      <c r="CU263" s="421">
        <v>0</v>
      </c>
      <c r="CV263" s="421">
        <v>0</v>
      </c>
      <c r="CW263" s="421">
        <v>0</v>
      </c>
      <c r="CX263" s="421">
        <v>0</v>
      </c>
      <c r="CY263" s="421">
        <v>0</v>
      </c>
      <c r="CZ263" s="421">
        <v>0</v>
      </c>
      <c r="DA263" s="421">
        <v>0</v>
      </c>
      <c r="DB263" s="421">
        <v>0</v>
      </c>
      <c r="DC263" s="421">
        <v>0</v>
      </c>
      <c r="DD263" s="421">
        <v>0</v>
      </c>
      <c r="DE263" s="421">
        <v>0</v>
      </c>
      <c r="DF263" s="421">
        <v>0</v>
      </c>
      <c r="DG263" s="421">
        <v>0</v>
      </c>
      <c r="DH263" s="421">
        <v>0</v>
      </c>
      <c r="DI263" s="421">
        <v>0</v>
      </c>
      <c r="DJ263" s="421">
        <v>0</v>
      </c>
      <c r="DK263" s="421">
        <v>0</v>
      </c>
      <c r="DL263" s="421">
        <v>0</v>
      </c>
      <c r="DM263" s="421">
        <v>0</v>
      </c>
      <c r="DN263" s="421">
        <v>0</v>
      </c>
      <c r="DO263" s="421">
        <v>0</v>
      </c>
      <c r="DP263" s="421">
        <v>0</v>
      </c>
      <c r="DQ263" s="421">
        <v>0</v>
      </c>
      <c r="DR263" s="421">
        <v>0</v>
      </c>
      <c r="DS263" s="421">
        <v>0</v>
      </c>
      <c r="DT263" s="421">
        <v>0</v>
      </c>
      <c r="DU263" s="421">
        <v>0</v>
      </c>
      <c r="DV263" s="421">
        <v>0</v>
      </c>
      <c r="DW263" s="421">
        <v>0</v>
      </c>
      <c r="DX263" s="421">
        <v>0</v>
      </c>
      <c r="DY263" s="421">
        <v>0</v>
      </c>
      <c r="DZ263" s="421">
        <v>0</v>
      </c>
      <c r="EA263" s="421">
        <v>0</v>
      </c>
      <c r="EB263" s="421">
        <v>0</v>
      </c>
      <c r="EC263" s="421" t="s">
        <v>1148</v>
      </c>
      <c r="ED263" s="421" t="s">
        <v>1149</v>
      </c>
      <c r="EE263" s="421" t="s">
        <v>1149</v>
      </c>
    </row>
    <row r="264" spans="1:135" x14ac:dyDescent="0.25">
      <c r="A264" s="421">
        <v>261</v>
      </c>
      <c r="B264" s="421">
        <v>2015</v>
      </c>
      <c r="C264" s="421">
        <v>12</v>
      </c>
      <c r="D264" s="421">
        <v>4</v>
      </c>
      <c r="E264" s="424">
        <v>42342</v>
      </c>
      <c r="F264" s="421" t="s">
        <v>2999</v>
      </c>
      <c r="G264" s="421" t="s">
        <v>3000</v>
      </c>
      <c r="H264" s="421" t="s">
        <v>1106</v>
      </c>
      <c r="I264" s="421" t="s">
        <v>1107</v>
      </c>
      <c r="J264" s="421" t="s">
        <v>1108</v>
      </c>
      <c r="K264" s="421" t="s">
        <v>1202</v>
      </c>
      <c r="L264" s="421" t="s">
        <v>1110</v>
      </c>
      <c r="M264" s="421" t="s">
        <v>2866</v>
      </c>
      <c r="O264" s="421" t="s">
        <v>1111</v>
      </c>
      <c r="Q264" s="421" t="s">
        <v>2866</v>
      </c>
      <c r="R264" s="421" t="s">
        <v>1111</v>
      </c>
      <c r="S264" s="421" t="s">
        <v>1112</v>
      </c>
      <c r="T264" s="421" t="s">
        <v>1113</v>
      </c>
      <c r="U264" s="421" t="s">
        <v>1114</v>
      </c>
      <c r="V264" s="421" t="s">
        <v>1120</v>
      </c>
      <c r="X264" s="421" t="s">
        <v>1117</v>
      </c>
      <c r="Y264" s="421" t="s">
        <v>1118</v>
      </c>
      <c r="Z264" s="421" t="s">
        <v>1119</v>
      </c>
      <c r="AA264" s="421" t="s">
        <v>1120</v>
      </c>
      <c r="AB264" s="421" t="s">
        <v>1121</v>
      </c>
      <c r="AC264" s="421" t="s">
        <v>1122</v>
      </c>
      <c r="AD264" s="421" t="s">
        <v>1479</v>
      </c>
      <c r="AE264" s="421" t="s">
        <v>1203</v>
      </c>
      <c r="AF264" s="421" t="s">
        <v>1204</v>
      </c>
      <c r="AG264" s="421" t="s">
        <v>3001</v>
      </c>
      <c r="AH264" s="421">
        <v>64500</v>
      </c>
      <c r="AI264" s="421" t="s">
        <v>1127</v>
      </c>
      <c r="AJ264" s="421">
        <v>5</v>
      </c>
      <c r="AK264" s="421">
        <v>1</v>
      </c>
      <c r="AL264" s="421" t="s">
        <v>1206</v>
      </c>
      <c r="AM264" s="421">
        <v>64500</v>
      </c>
      <c r="AN264" s="421">
        <v>65211</v>
      </c>
      <c r="AO264" s="421" t="s">
        <v>1120</v>
      </c>
      <c r="AR264" s="421" t="s">
        <v>2868</v>
      </c>
      <c r="AT264" s="421" t="s">
        <v>1131</v>
      </c>
      <c r="AU264" s="421" t="s">
        <v>1319</v>
      </c>
      <c r="AV264" s="421" t="s">
        <v>1320</v>
      </c>
      <c r="AW264" s="421" t="s">
        <v>1207</v>
      </c>
      <c r="AX264" s="421" t="s">
        <v>1207</v>
      </c>
      <c r="AY264" s="421" t="s">
        <v>1208</v>
      </c>
      <c r="AZ264" s="421" t="s">
        <v>1121</v>
      </c>
      <c r="BA264" s="421" t="s">
        <v>1209</v>
      </c>
      <c r="BB264" s="421" t="s">
        <v>1208</v>
      </c>
      <c r="BC264" s="421" t="s">
        <v>1210</v>
      </c>
      <c r="BD264" s="421" t="s">
        <v>1211</v>
      </c>
      <c r="BE264" s="421" t="s">
        <v>1212</v>
      </c>
      <c r="BF264" s="421" t="s">
        <v>2995</v>
      </c>
      <c r="BG264" s="421" t="s">
        <v>2996</v>
      </c>
      <c r="BH264" s="421" t="s">
        <v>2997</v>
      </c>
      <c r="BI264" s="421" t="s">
        <v>1142</v>
      </c>
      <c r="BJ264" s="421" t="s">
        <v>1163</v>
      </c>
      <c r="BK264" s="421" t="s">
        <v>3000</v>
      </c>
      <c r="BL264" s="421" t="s">
        <v>2978</v>
      </c>
      <c r="BM264" s="421" t="s">
        <v>3002</v>
      </c>
      <c r="BN264" s="421" t="s">
        <v>2937</v>
      </c>
      <c r="BO264" s="421">
        <v>0</v>
      </c>
      <c r="BQ264" s="421" t="s">
        <v>2866</v>
      </c>
      <c r="BR264" s="421">
        <v>0</v>
      </c>
      <c r="BS264" s="421">
        <v>0</v>
      </c>
      <c r="BT264" s="421">
        <v>0</v>
      </c>
      <c r="BU264" s="424">
        <v>42330</v>
      </c>
      <c r="BW264" s="421" t="s">
        <v>2866</v>
      </c>
      <c r="BX264" s="421">
        <v>3099.75</v>
      </c>
      <c r="BY264" s="421" t="s">
        <v>1147</v>
      </c>
      <c r="BZ264" s="421">
        <v>122550</v>
      </c>
      <c r="CA264" s="421">
        <v>379874362.5</v>
      </c>
      <c r="CB264" s="421">
        <v>49.02</v>
      </c>
      <c r="CC264" s="421">
        <v>0</v>
      </c>
      <c r="CD264" s="421">
        <v>3947.21</v>
      </c>
      <c r="CE264" s="421">
        <v>3996.23</v>
      </c>
      <c r="CF264" s="421">
        <v>0</v>
      </c>
      <c r="CG264" s="421">
        <v>126546.23</v>
      </c>
      <c r="CH264" s="421">
        <v>0</v>
      </c>
      <c r="CI264" s="421">
        <v>126546.23</v>
      </c>
      <c r="CJ264" s="421">
        <v>392261676.4425</v>
      </c>
      <c r="CK264" s="421">
        <v>0</v>
      </c>
      <c r="CL264" s="421">
        <v>392261676</v>
      </c>
      <c r="CM264" s="421">
        <v>0</v>
      </c>
      <c r="CN264" s="421">
        <v>0</v>
      </c>
      <c r="CO264" s="421">
        <v>0</v>
      </c>
      <c r="CP264" s="421">
        <v>0</v>
      </c>
      <c r="CQ264" s="421">
        <v>0</v>
      </c>
      <c r="CR264" s="421">
        <v>392261676</v>
      </c>
      <c r="CS264" s="421">
        <v>0</v>
      </c>
      <c r="CT264" s="421">
        <v>0</v>
      </c>
      <c r="CU264" s="421">
        <v>0</v>
      </c>
      <c r="CV264" s="421">
        <v>0</v>
      </c>
      <c r="CW264" s="421">
        <v>0</v>
      </c>
      <c r="CX264" s="421">
        <v>0</v>
      </c>
      <c r="CY264" s="421">
        <v>0</v>
      </c>
      <c r="CZ264" s="421">
        <v>0</v>
      </c>
      <c r="DA264" s="421">
        <v>0</v>
      </c>
      <c r="DB264" s="421">
        <v>0</v>
      </c>
      <c r="DC264" s="421">
        <v>0</v>
      </c>
      <c r="DD264" s="421">
        <v>0</v>
      </c>
      <c r="DE264" s="421">
        <v>0</v>
      </c>
      <c r="DF264" s="421">
        <v>0</v>
      </c>
      <c r="DG264" s="421">
        <v>0</v>
      </c>
      <c r="DH264" s="421">
        <v>0</v>
      </c>
      <c r="DI264" s="421">
        <v>0</v>
      </c>
      <c r="DJ264" s="421">
        <v>0</v>
      </c>
      <c r="DK264" s="421">
        <v>0</v>
      </c>
      <c r="DL264" s="421">
        <v>0</v>
      </c>
      <c r="DM264" s="421">
        <v>0</v>
      </c>
      <c r="DN264" s="421">
        <v>0</v>
      </c>
      <c r="DO264" s="421">
        <v>0</v>
      </c>
      <c r="DP264" s="421">
        <v>0</v>
      </c>
      <c r="DQ264" s="421">
        <v>0</v>
      </c>
      <c r="DR264" s="421">
        <v>0</v>
      </c>
      <c r="DS264" s="421">
        <v>0</v>
      </c>
      <c r="DT264" s="421">
        <v>0</v>
      </c>
      <c r="DU264" s="421">
        <v>0</v>
      </c>
      <c r="DV264" s="421">
        <v>0</v>
      </c>
      <c r="DW264" s="421">
        <v>0</v>
      </c>
      <c r="DX264" s="421">
        <v>0</v>
      </c>
      <c r="DY264" s="421">
        <v>0</v>
      </c>
      <c r="DZ264" s="421">
        <v>0</v>
      </c>
      <c r="EA264" s="421">
        <v>0</v>
      </c>
      <c r="EB264" s="421">
        <v>0</v>
      </c>
      <c r="EC264" s="421" t="s">
        <v>1148</v>
      </c>
      <c r="ED264" s="421" t="s">
        <v>1149</v>
      </c>
      <c r="EE264" s="421" t="s">
        <v>1149</v>
      </c>
    </row>
    <row r="265" spans="1:135" x14ac:dyDescent="0.25">
      <c r="A265" s="421">
        <v>262</v>
      </c>
      <c r="B265" s="421">
        <v>2015</v>
      </c>
      <c r="C265" s="421">
        <v>12</v>
      </c>
      <c r="D265" s="421">
        <v>7</v>
      </c>
      <c r="E265" s="424">
        <v>42345</v>
      </c>
      <c r="F265" s="421" t="s">
        <v>3003</v>
      </c>
      <c r="G265" s="421" t="s">
        <v>3004</v>
      </c>
      <c r="H265" s="421" t="s">
        <v>1152</v>
      </c>
      <c r="I265" s="421" t="s">
        <v>1281</v>
      </c>
      <c r="J265" s="421" t="s">
        <v>1108</v>
      </c>
      <c r="K265" s="421" t="s">
        <v>1202</v>
      </c>
      <c r="L265" s="421" t="s">
        <v>1110</v>
      </c>
      <c r="M265" s="421" t="s">
        <v>2866</v>
      </c>
      <c r="O265" s="421" t="s">
        <v>1111</v>
      </c>
      <c r="Q265" s="421" t="s">
        <v>2866</v>
      </c>
      <c r="R265" s="421" t="s">
        <v>1111</v>
      </c>
      <c r="S265" s="421" t="s">
        <v>1112</v>
      </c>
      <c r="T265" s="421" t="s">
        <v>1113</v>
      </c>
      <c r="U265" s="421" t="s">
        <v>1114</v>
      </c>
      <c r="V265" s="421" t="s">
        <v>1120</v>
      </c>
      <c r="X265" s="421" t="s">
        <v>1117</v>
      </c>
      <c r="Y265" s="421" t="s">
        <v>1118</v>
      </c>
      <c r="Z265" s="421" t="s">
        <v>1119</v>
      </c>
      <c r="AA265" s="421" t="s">
        <v>1120</v>
      </c>
      <c r="AB265" s="421" t="s">
        <v>1121</v>
      </c>
      <c r="AC265" s="421" t="s">
        <v>1122</v>
      </c>
      <c r="AD265" s="421" t="s">
        <v>1479</v>
      </c>
      <c r="AE265" s="421" t="s">
        <v>1203</v>
      </c>
      <c r="AF265" s="421" t="s">
        <v>1204</v>
      </c>
      <c r="AG265" s="421" t="s">
        <v>3005</v>
      </c>
      <c r="AH265" s="421">
        <v>86000</v>
      </c>
      <c r="AI265" s="421" t="s">
        <v>1127</v>
      </c>
      <c r="AJ265" s="421">
        <v>4</v>
      </c>
      <c r="AK265" s="421">
        <v>1</v>
      </c>
      <c r="AL265" s="421" t="s">
        <v>1206</v>
      </c>
      <c r="AM265" s="421">
        <v>86000</v>
      </c>
      <c r="AN265" s="421">
        <v>86569</v>
      </c>
      <c r="AO265" s="421" t="s">
        <v>1120</v>
      </c>
      <c r="AR265" s="421" t="s">
        <v>2868</v>
      </c>
      <c r="AT265" s="421" t="s">
        <v>1131</v>
      </c>
      <c r="AU265" s="421" t="s">
        <v>1319</v>
      </c>
      <c r="AV265" s="421" t="s">
        <v>1320</v>
      </c>
      <c r="AW265" s="421" t="s">
        <v>1207</v>
      </c>
      <c r="AX265" s="421" t="s">
        <v>1207</v>
      </c>
      <c r="AY265" s="421" t="s">
        <v>1208</v>
      </c>
      <c r="AZ265" s="421" t="s">
        <v>1121</v>
      </c>
      <c r="BA265" s="421" t="s">
        <v>1209</v>
      </c>
      <c r="BB265" s="421" t="s">
        <v>1208</v>
      </c>
      <c r="BC265" s="421" t="s">
        <v>1210</v>
      </c>
      <c r="BD265" s="421" t="s">
        <v>1211</v>
      </c>
      <c r="BE265" s="421" t="s">
        <v>1212</v>
      </c>
      <c r="BF265" s="421" t="s">
        <v>3006</v>
      </c>
      <c r="BG265" s="421" t="s">
        <v>3007</v>
      </c>
      <c r="BH265" s="421" t="s">
        <v>3008</v>
      </c>
      <c r="BI265" s="421" t="s">
        <v>1142</v>
      </c>
      <c r="BJ265" s="421" t="s">
        <v>1163</v>
      </c>
      <c r="BK265" s="421" t="s">
        <v>3004</v>
      </c>
      <c r="BL265" s="421" t="s">
        <v>3009</v>
      </c>
      <c r="BM265" s="421" t="s">
        <v>3010</v>
      </c>
      <c r="BN265" s="421" t="s">
        <v>2989</v>
      </c>
      <c r="BO265" s="421">
        <v>0</v>
      </c>
      <c r="BQ265" s="421" t="s">
        <v>2866</v>
      </c>
      <c r="BR265" s="421">
        <v>0</v>
      </c>
      <c r="BS265" s="421">
        <v>0</v>
      </c>
      <c r="BT265" s="421">
        <v>0</v>
      </c>
      <c r="BU265" s="424">
        <v>42337</v>
      </c>
      <c r="BW265" s="421" t="s">
        <v>2866</v>
      </c>
      <c r="BX265" s="421">
        <v>3149.12</v>
      </c>
      <c r="BY265" s="421" t="s">
        <v>1147</v>
      </c>
      <c r="BZ265" s="421">
        <v>163400</v>
      </c>
      <c r="CA265" s="421">
        <v>514566208</v>
      </c>
      <c r="CB265" s="421">
        <v>65.36</v>
      </c>
      <c r="CC265" s="421">
        <v>0</v>
      </c>
      <c r="CD265" s="421">
        <v>5240</v>
      </c>
      <c r="CE265" s="421">
        <v>5305.36</v>
      </c>
      <c r="CF265" s="421">
        <v>0</v>
      </c>
      <c r="CG265" s="421">
        <v>168705.36</v>
      </c>
      <c r="CH265" s="421">
        <v>0</v>
      </c>
      <c r="CI265" s="421">
        <v>168705.36</v>
      </c>
      <c r="CJ265" s="421">
        <v>531273423.28320003</v>
      </c>
      <c r="CK265" s="421">
        <v>0</v>
      </c>
      <c r="CL265" s="421">
        <v>531273423</v>
      </c>
      <c r="CM265" s="421">
        <v>0</v>
      </c>
      <c r="CN265" s="421">
        <v>0</v>
      </c>
      <c r="CO265" s="421">
        <v>0</v>
      </c>
      <c r="CP265" s="421">
        <v>0</v>
      </c>
      <c r="CQ265" s="421">
        <v>0</v>
      </c>
      <c r="CR265" s="421">
        <v>531273423</v>
      </c>
      <c r="CS265" s="421">
        <v>0</v>
      </c>
      <c r="CT265" s="421">
        <v>0</v>
      </c>
      <c r="CU265" s="421">
        <v>0</v>
      </c>
      <c r="CV265" s="421">
        <v>0</v>
      </c>
      <c r="CW265" s="421">
        <v>0</v>
      </c>
      <c r="CX265" s="421">
        <v>0</v>
      </c>
      <c r="CY265" s="421">
        <v>0</v>
      </c>
      <c r="CZ265" s="421">
        <v>0</v>
      </c>
      <c r="DA265" s="421">
        <v>0</v>
      </c>
      <c r="DB265" s="421">
        <v>0</v>
      </c>
      <c r="DC265" s="421">
        <v>0</v>
      </c>
      <c r="DD265" s="421">
        <v>0</v>
      </c>
      <c r="DE265" s="421">
        <v>0</v>
      </c>
      <c r="DF265" s="421">
        <v>0</v>
      </c>
      <c r="DG265" s="421">
        <v>0</v>
      </c>
      <c r="DH265" s="421">
        <v>0</v>
      </c>
      <c r="DI265" s="421">
        <v>0</v>
      </c>
      <c r="DJ265" s="421">
        <v>0</v>
      </c>
      <c r="DK265" s="421">
        <v>0</v>
      </c>
      <c r="DL265" s="421">
        <v>0</v>
      </c>
      <c r="DM265" s="421">
        <v>0</v>
      </c>
      <c r="DN265" s="421">
        <v>0</v>
      </c>
      <c r="DO265" s="421">
        <v>0</v>
      </c>
      <c r="DP265" s="421">
        <v>0</v>
      </c>
      <c r="DQ265" s="421">
        <v>0</v>
      </c>
      <c r="DR265" s="421">
        <v>0</v>
      </c>
      <c r="DS265" s="421">
        <v>0</v>
      </c>
      <c r="DT265" s="421">
        <v>0</v>
      </c>
      <c r="DU265" s="421">
        <v>0</v>
      </c>
      <c r="DV265" s="421">
        <v>0</v>
      </c>
      <c r="DW265" s="421">
        <v>0</v>
      </c>
      <c r="DX265" s="421">
        <v>0</v>
      </c>
      <c r="DY265" s="421">
        <v>0</v>
      </c>
      <c r="DZ265" s="421">
        <v>0</v>
      </c>
      <c r="EA265" s="421">
        <v>0</v>
      </c>
      <c r="EB265" s="421">
        <v>0</v>
      </c>
      <c r="EC265" s="421" t="s">
        <v>1148</v>
      </c>
      <c r="ED265" s="421" t="s">
        <v>1149</v>
      </c>
      <c r="EE265" s="421" t="s">
        <v>1149</v>
      </c>
    </row>
    <row r="266" spans="1:135" x14ac:dyDescent="0.25">
      <c r="A266" s="421">
        <v>263</v>
      </c>
      <c r="B266" s="421">
        <v>2015</v>
      </c>
      <c r="C266" s="421">
        <v>12</v>
      </c>
      <c r="D266" s="421">
        <v>10</v>
      </c>
      <c r="E266" s="424">
        <v>42348</v>
      </c>
      <c r="F266" s="421" t="s">
        <v>3011</v>
      </c>
      <c r="G266" s="421" t="s">
        <v>3012</v>
      </c>
      <c r="H266" s="421" t="s">
        <v>1152</v>
      </c>
      <c r="I266" s="421" t="s">
        <v>1281</v>
      </c>
      <c r="J266" s="421" t="s">
        <v>1108</v>
      </c>
      <c r="K266" s="421" t="s">
        <v>1109</v>
      </c>
      <c r="L266" s="421" t="s">
        <v>1110</v>
      </c>
      <c r="M266" s="421" t="s">
        <v>2866</v>
      </c>
      <c r="O266" s="421" t="s">
        <v>1111</v>
      </c>
      <c r="Q266" s="421" t="s">
        <v>2866</v>
      </c>
      <c r="R266" s="421" t="s">
        <v>1111</v>
      </c>
      <c r="S266" s="421" t="s">
        <v>1112</v>
      </c>
      <c r="T266" s="421" t="s">
        <v>1113</v>
      </c>
      <c r="U266" s="421" t="s">
        <v>1114</v>
      </c>
      <c r="V266" s="421" t="s">
        <v>1120</v>
      </c>
      <c r="X266" s="421" t="s">
        <v>1117</v>
      </c>
      <c r="Y266" s="421" t="s">
        <v>1118</v>
      </c>
      <c r="Z266" s="421" t="s">
        <v>1119</v>
      </c>
      <c r="AA266" s="421" t="s">
        <v>1120</v>
      </c>
      <c r="AB266" s="421" t="s">
        <v>1121</v>
      </c>
      <c r="AC266" s="421" t="s">
        <v>1122</v>
      </c>
      <c r="AD266" s="421" t="s">
        <v>1479</v>
      </c>
      <c r="AE266" s="421" t="s">
        <v>1620</v>
      </c>
      <c r="AF266" s="421" t="s">
        <v>1621</v>
      </c>
      <c r="AG266" s="421" t="s">
        <v>3013</v>
      </c>
      <c r="AH266" s="421">
        <v>3522.3</v>
      </c>
      <c r="AI266" s="421" t="s">
        <v>1127</v>
      </c>
      <c r="AJ266" s="421">
        <v>1278</v>
      </c>
      <c r="AK266" s="421">
        <v>2</v>
      </c>
      <c r="AL266" s="421" t="s">
        <v>1173</v>
      </c>
      <c r="AM266" s="421">
        <v>3522.3</v>
      </c>
      <c r="AN266" s="421">
        <v>4061.08</v>
      </c>
      <c r="AO266" s="421" t="s">
        <v>1120</v>
      </c>
      <c r="AR266" s="421" t="s">
        <v>2868</v>
      </c>
      <c r="AT266" s="421" t="s">
        <v>1131</v>
      </c>
      <c r="AU266" s="421" t="s">
        <v>1190</v>
      </c>
      <c r="AV266" s="421" t="s">
        <v>1191</v>
      </c>
      <c r="AW266" s="421" t="s">
        <v>960</v>
      </c>
      <c r="AX266" s="421" t="s">
        <v>960</v>
      </c>
      <c r="AY266" s="421" t="s">
        <v>960</v>
      </c>
      <c r="AZ266" s="421" t="s">
        <v>1121</v>
      </c>
      <c r="BA266" s="421" t="s">
        <v>1623</v>
      </c>
      <c r="BB266" s="421" t="s">
        <v>960</v>
      </c>
      <c r="BC266" s="421" t="s">
        <v>1624</v>
      </c>
      <c r="BD266" s="421" t="s">
        <v>1625</v>
      </c>
      <c r="BE266" s="421" t="s">
        <v>1626</v>
      </c>
      <c r="BG266" s="421" t="s">
        <v>2866</v>
      </c>
      <c r="BI266" s="421" t="s">
        <v>1142</v>
      </c>
      <c r="BJ266" s="421" t="s">
        <v>1143</v>
      </c>
      <c r="BK266" s="421" t="s">
        <v>3012</v>
      </c>
      <c r="BL266" s="421" t="s">
        <v>3014</v>
      </c>
      <c r="BM266" s="421" t="s">
        <v>1629</v>
      </c>
      <c r="BN266" s="421" t="s">
        <v>2980</v>
      </c>
      <c r="BO266" s="421">
        <v>0</v>
      </c>
      <c r="BQ266" s="421" t="s">
        <v>2866</v>
      </c>
      <c r="BR266" s="421">
        <v>0</v>
      </c>
      <c r="BS266" s="421">
        <v>0</v>
      </c>
      <c r="BT266" s="421">
        <v>0</v>
      </c>
      <c r="BU266" s="424">
        <v>38718</v>
      </c>
      <c r="BW266" s="421" t="s">
        <v>2866</v>
      </c>
      <c r="BX266" s="421">
        <v>3149.12</v>
      </c>
      <c r="BY266" s="421" t="s">
        <v>1183</v>
      </c>
      <c r="BZ266" s="421">
        <v>17409.02</v>
      </c>
      <c r="CA266" s="421">
        <v>54823093.062399998</v>
      </c>
      <c r="CB266" s="421">
        <v>6.97</v>
      </c>
      <c r="CC266" s="421">
        <v>0</v>
      </c>
      <c r="CD266" s="421">
        <v>534.58000000000004</v>
      </c>
      <c r="CE266" s="421">
        <v>541.54999999999995</v>
      </c>
      <c r="CF266" s="421">
        <v>0</v>
      </c>
      <c r="CG266" s="421">
        <v>17950.57</v>
      </c>
      <c r="CH266" s="421">
        <v>0</v>
      </c>
      <c r="CI266" s="421">
        <v>17950.57</v>
      </c>
      <c r="CJ266" s="421">
        <v>56528498.998400003</v>
      </c>
      <c r="CK266" s="421">
        <v>15</v>
      </c>
      <c r="CL266" s="421">
        <v>56528499</v>
      </c>
      <c r="CM266" s="421">
        <v>8479000</v>
      </c>
      <c r="CN266" s="421">
        <v>8479000</v>
      </c>
      <c r="CO266" s="421">
        <v>0</v>
      </c>
      <c r="CP266" s="421">
        <v>0</v>
      </c>
      <c r="CQ266" s="421">
        <v>16</v>
      </c>
      <c r="CR266" s="421">
        <v>65007499</v>
      </c>
      <c r="CS266" s="421">
        <v>10401000</v>
      </c>
      <c r="CT266" s="421">
        <v>10401000</v>
      </c>
      <c r="CU266" s="421">
        <v>0</v>
      </c>
      <c r="CV266" s="421">
        <v>0</v>
      </c>
      <c r="CW266" s="421">
        <v>0</v>
      </c>
      <c r="CX266" s="421">
        <v>0</v>
      </c>
      <c r="CY266" s="421">
        <v>0</v>
      </c>
      <c r="CZ266" s="421">
        <v>0</v>
      </c>
      <c r="DA266" s="421">
        <v>0</v>
      </c>
      <c r="DB266" s="421">
        <v>0</v>
      </c>
      <c r="DC266" s="421">
        <v>0</v>
      </c>
      <c r="DD266" s="421">
        <v>0</v>
      </c>
      <c r="DE266" s="421">
        <v>0</v>
      </c>
      <c r="DF266" s="421">
        <v>0</v>
      </c>
      <c r="DG266" s="421">
        <v>0</v>
      </c>
      <c r="DH266" s="421">
        <v>0</v>
      </c>
      <c r="DI266" s="421">
        <v>0</v>
      </c>
      <c r="DJ266" s="421">
        <v>0</v>
      </c>
      <c r="DK266" s="421">
        <v>0</v>
      </c>
      <c r="DL266" s="421">
        <v>0</v>
      </c>
      <c r="DM266" s="421">
        <v>0</v>
      </c>
      <c r="DN266" s="421">
        <v>0</v>
      </c>
      <c r="DO266" s="421">
        <v>0</v>
      </c>
      <c r="DP266" s="421">
        <v>0</v>
      </c>
      <c r="DQ266" s="421">
        <v>0</v>
      </c>
      <c r="DR266" s="421">
        <v>0</v>
      </c>
      <c r="DS266" s="421">
        <v>0</v>
      </c>
      <c r="DT266" s="421">
        <v>0</v>
      </c>
      <c r="DU266" s="421">
        <v>0</v>
      </c>
      <c r="DV266" s="421">
        <v>0</v>
      </c>
      <c r="DW266" s="421">
        <v>0</v>
      </c>
      <c r="DX266" s="421">
        <v>0</v>
      </c>
      <c r="DY266" s="421">
        <v>18880000</v>
      </c>
      <c r="DZ266" s="421">
        <v>18880000</v>
      </c>
      <c r="EA266" s="421">
        <v>0</v>
      </c>
      <c r="EB266" s="421">
        <v>0</v>
      </c>
      <c r="EC266" s="421" t="s">
        <v>1148</v>
      </c>
      <c r="ED266" s="421" t="s">
        <v>1167</v>
      </c>
      <c r="EE266" s="421" t="s">
        <v>1167</v>
      </c>
    </row>
    <row r="267" spans="1:135" x14ac:dyDescent="0.25">
      <c r="A267" s="421">
        <v>264</v>
      </c>
      <c r="B267" s="421">
        <v>2015</v>
      </c>
      <c r="C267" s="421">
        <v>12</v>
      </c>
      <c r="D267" s="421">
        <v>10</v>
      </c>
      <c r="E267" s="424">
        <v>42348</v>
      </c>
      <c r="F267" s="421" t="s">
        <v>3015</v>
      </c>
      <c r="G267" s="421" t="s">
        <v>3016</v>
      </c>
      <c r="H267" s="421" t="s">
        <v>1152</v>
      </c>
      <c r="I267" s="421" t="s">
        <v>1281</v>
      </c>
      <c r="J267" s="421" t="s">
        <v>1108</v>
      </c>
      <c r="K267" s="421" t="s">
        <v>1109</v>
      </c>
      <c r="L267" s="421" t="s">
        <v>1110</v>
      </c>
      <c r="M267" s="421" t="s">
        <v>2866</v>
      </c>
      <c r="O267" s="421" t="s">
        <v>1111</v>
      </c>
      <c r="Q267" s="421" t="s">
        <v>2866</v>
      </c>
      <c r="R267" s="421" t="s">
        <v>1111</v>
      </c>
      <c r="S267" s="421" t="s">
        <v>1112</v>
      </c>
      <c r="T267" s="421" t="s">
        <v>1113</v>
      </c>
      <c r="U267" s="421" t="s">
        <v>1114</v>
      </c>
      <c r="V267" s="421" t="s">
        <v>1120</v>
      </c>
      <c r="X267" s="421" t="s">
        <v>1117</v>
      </c>
      <c r="Y267" s="421" t="s">
        <v>1118</v>
      </c>
      <c r="Z267" s="421" t="s">
        <v>1119</v>
      </c>
      <c r="AA267" s="421" t="s">
        <v>1120</v>
      </c>
      <c r="AB267" s="421" t="s">
        <v>1121</v>
      </c>
      <c r="AC267" s="421" t="s">
        <v>1122</v>
      </c>
      <c r="AD267" s="421" t="s">
        <v>1479</v>
      </c>
      <c r="AE267" s="421" t="s">
        <v>1632</v>
      </c>
      <c r="AF267" s="421" t="s">
        <v>1633</v>
      </c>
      <c r="AG267" s="421" t="s">
        <v>3017</v>
      </c>
      <c r="AH267" s="421">
        <v>4767.3</v>
      </c>
      <c r="AI267" s="421" t="s">
        <v>1127</v>
      </c>
      <c r="AJ267" s="421">
        <v>1278</v>
      </c>
      <c r="AK267" s="421">
        <v>2</v>
      </c>
      <c r="AL267" s="421" t="s">
        <v>1173</v>
      </c>
      <c r="AM267" s="421">
        <v>4767.3</v>
      </c>
      <c r="AN267" s="421">
        <v>5434.72</v>
      </c>
      <c r="AO267" s="421" t="s">
        <v>1120</v>
      </c>
      <c r="AR267" s="421" t="s">
        <v>2868</v>
      </c>
      <c r="AT267" s="421" t="s">
        <v>1131</v>
      </c>
      <c r="AU267" s="421" t="s">
        <v>1190</v>
      </c>
      <c r="AV267" s="421" t="s">
        <v>1191</v>
      </c>
      <c r="AW267" s="421" t="s">
        <v>960</v>
      </c>
      <c r="AX267" s="421" t="s">
        <v>960</v>
      </c>
      <c r="AY267" s="421" t="s">
        <v>960</v>
      </c>
      <c r="AZ267" s="421" t="s">
        <v>1121</v>
      </c>
      <c r="BA267" s="421" t="s">
        <v>1623</v>
      </c>
      <c r="BB267" s="421" t="s">
        <v>960</v>
      </c>
      <c r="BC267" s="421" t="s">
        <v>1624</v>
      </c>
      <c r="BD267" s="421" t="s">
        <v>1625</v>
      </c>
      <c r="BE267" s="421" t="s">
        <v>1626</v>
      </c>
      <c r="BG267" s="421" t="s">
        <v>2866</v>
      </c>
      <c r="BI267" s="421" t="s">
        <v>1142</v>
      </c>
      <c r="BJ267" s="421" t="s">
        <v>1143</v>
      </c>
      <c r="BK267" s="421" t="s">
        <v>3016</v>
      </c>
      <c r="BL267" s="421" t="s">
        <v>3014</v>
      </c>
      <c r="BM267" s="421" t="s">
        <v>1629</v>
      </c>
      <c r="BN267" s="421" t="s">
        <v>2980</v>
      </c>
      <c r="BO267" s="421">
        <v>0</v>
      </c>
      <c r="BQ267" s="421" t="s">
        <v>2866</v>
      </c>
      <c r="BR267" s="421">
        <v>0</v>
      </c>
      <c r="BS267" s="421">
        <v>0</v>
      </c>
      <c r="BT267" s="421">
        <v>0</v>
      </c>
      <c r="BU267" s="424">
        <v>38718</v>
      </c>
      <c r="BW267" s="421" t="s">
        <v>2866</v>
      </c>
      <c r="BX267" s="421">
        <v>3149.12</v>
      </c>
      <c r="BY267" s="421" t="s">
        <v>1183</v>
      </c>
      <c r="BZ267" s="421">
        <v>18138.810000000001</v>
      </c>
      <c r="CA267" s="421">
        <v>57121289.347199999</v>
      </c>
      <c r="CB267" s="421">
        <v>7.25</v>
      </c>
      <c r="CC267" s="421">
        <v>0</v>
      </c>
      <c r="CD267" s="421">
        <v>715.42</v>
      </c>
      <c r="CE267" s="421">
        <v>722.67</v>
      </c>
      <c r="CF267" s="421">
        <v>0</v>
      </c>
      <c r="CG267" s="421">
        <v>18861.48</v>
      </c>
      <c r="CH267" s="421">
        <v>0</v>
      </c>
      <c r="CI267" s="421">
        <v>18861.48</v>
      </c>
      <c r="CJ267" s="421">
        <v>59397063.897600003</v>
      </c>
      <c r="CK267" s="421">
        <v>15</v>
      </c>
      <c r="CL267" s="421">
        <v>59397064</v>
      </c>
      <c r="CM267" s="421">
        <v>8910000</v>
      </c>
      <c r="CN267" s="421">
        <v>8910000</v>
      </c>
      <c r="CO267" s="421">
        <v>0</v>
      </c>
      <c r="CP267" s="421">
        <v>0</v>
      </c>
      <c r="CQ267" s="421">
        <v>16</v>
      </c>
      <c r="CR267" s="421">
        <v>68307064</v>
      </c>
      <c r="CS267" s="421">
        <v>10929000</v>
      </c>
      <c r="CT267" s="421">
        <v>10929000</v>
      </c>
      <c r="CU267" s="421">
        <v>0</v>
      </c>
      <c r="CV267" s="421">
        <v>0</v>
      </c>
      <c r="CW267" s="421">
        <v>0</v>
      </c>
      <c r="CX267" s="421">
        <v>0</v>
      </c>
      <c r="CY267" s="421">
        <v>0</v>
      </c>
      <c r="CZ267" s="421">
        <v>0</v>
      </c>
      <c r="DA267" s="421">
        <v>0</v>
      </c>
      <c r="DB267" s="421">
        <v>0</v>
      </c>
      <c r="DC267" s="421">
        <v>0</v>
      </c>
      <c r="DD267" s="421">
        <v>0</v>
      </c>
      <c r="DE267" s="421">
        <v>0</v>
      </c>
      <c r="DF267" s="421">
        <v>0</v>
      </c>
      <c r="DG267" s="421">
        <v>0</v>
      </c>
      <c r="DH267" s="421">
        <v>0</v>
      </c>
      <c r="DI267" s="421">
        <v>0</v>
      </c>
      <c r="DJ267" s="421">
        <v>0</v>
      </c>
      <c r="DK267" s="421">
        <v>0</v>
      </c>
      <c r="DL267" s="421">
        <v>0</v>
      </c>
      <c r="DM267" s="421">
        <v>0</v>
      </c>
      <c r="DN267" s="421">
        <v>0</v>
      </c>
      <c r="DO267" s="421">
        <v>0</v>
      </c>
      <c r="DP267" s="421">
        <v>0</v>
      </c>
      <c r="DQ267" s="421">
        <v>0</v>
      </c>
      <c r="DR267" s="421">
        <v>0</v>
      </c>
      <c r="DS267" s="421">
        <v>0</v>
      </c>
      <c r="DT267" s="421">
        <v>0</v>
      </c>
      <c r="DU267" s="421">
        <v>0</v>
      </c>
      <c r="DV267" s="421">
        <v>0</v>
      </c>
      <c r="DW267" s="421">
        <v>0</v>
      </c>
      <c r="DX267" s="421">
        <v>0</v>
      </c>
      <c r="DY267" s="421">
        <v>19839000</v>
      </c>
      <c r="DZ267" s="421">
        <v>19839000</v>
      </c>
      <c r="EA267" s="421">
        <v>0</v>
      </c>
      <c r="EB267" s="421">
        <v>0</v>
      </c>
      <c r="EC267" s="421" t="s">
        <v>1148</v>
      </c>
      <c r="ED267" s="421" t="s">
        <v>1167</v>
      </c>
      <c r="EE267" s="421" t="s">
        <v>1167</v>
      </c>
    </row>
    <row r="268" spans="1:135" x14ac:dyDescent="0.25">
      <c r="A268" s="421">
        <v>265</v>
      </c>
      <c r="B268" s="421">
        <v>2015</v>
      </c>
      <c r="C268" s="421">
        <v>12</v>
      </c>
      <c r="D268" s="421">
        <v>11</v>
      </c>
      <c r="E268" s="424">
        <v>42349</v>
      </c>
      <c r="F268" s="421" t="s">
        <v>3018</v>
      </c>
      <c r="G268" s="421" t="s">
        <v>3019</v>
      </c>
      <c r="H268" s="421" t="s">
        <v>1152</v>
      </c>
      <c r="I268" s="421" t="s">
        <v>1107</v>
      </c>
      <c r="J268" s="421" t="s">
        <v>1108</v>
      </c>
      <c r="K268" s="421" t="s">
        <v>1109</v>
      </c>
      <c r="L268" s="421" t="s">
        <v>1110</v>
      </c>
      <c r="M268" s="421" t="s">
        <v>2866</v>
      </c>
      <c r="O268" s="421" t="s">
        <v>1111</v>
      </c>
      <c r="Q268" s="421" t="s">
        <v>2866</v>
      </c>
      <c r="R268" s="421" t="s">
        <v>1111</v>
      </c>
      <c r="S268" s="421" t="s">
        <v>1112</v>
      </c>
      <c r="T268" s="421" t="s">
        <v>1113</v>
      </c>
      <c r="U268" s="421" t="s">
        <v>1114</v>
      </c>
      <c r="V268" s="421" t="s">
        <v>1120</v>
      </c>
      <c r="X268" s="421" t="s">
        <v>1117</v>
      </c>
      <c r="Y268" s="421" t="s">
        <v>1118</v>
      </c>
      <c r="Z268" s="421" t="s">
        <v>1119</v>
      </c>
      <c r="AA268" s="421" t="s">
        <v>1120</v>
      </c>
      <c r="AB268" s="421" t="s">
        <v>1121</v>
      </c>
      <c r="AC268" s="421" t="s">
        <v>1122</v>
      </c>
      <c r="AD268" s="421" t="s">
        <v>1479</v>
      </c>
      <c r="AE268" s="421" t="s">
        <v>1233</v>
      </c>
      <c r="AF268" s="421" t="s">
        <v>1234</v>
      </c>
      <c r="AG268" s="421" t="s">
        <v>3020</v>
      </c>
      <c r="AH268" s="421">
        <v>141224</v>
      </c>
      <c r="AI268" s="421" t="s">
        <v>1189</v>
      </c>
      <c r="AJ268" s="421">
        <v>1240</v>
      </c>
      <c r="AK268" s="421">
        <v>1</v>
      </c>
      <c r="AL268" s="421" t="s">
        <v>1173</v>
      </c>
      <c r="AM268" s="421">
        <v>12293.7</v>
      </c>
      <c r="AN268" s="421">
        <v>13530.04</v>
      </c>
      <c r="AO268" s="421" t="s">
        <v>1120</v>
      </c>
      <c r="AR268" s="421" t="s">
        <v>2868</v>
      </c>
      <c r="AT268" s="421" t="s">
        <v>1131</v>
      </c>
      <c r="AU268" s="421" t="s">
        <v>1190</v>
      </c>
      <c r="AV268" s="421" t="s">
        <v>1191</v>
      </c>
      <c r="AW268" s="421" t="s">
        <v>960</v>
      </c>
      <c r="AX268" s="421" t="s">
        <v>960</v>
      </c>
      <c r="AY268" s="421" t="s">
        <v>960</v>
      </c>
      <c r="AZ268" s="421" t="s">
        <v>1121</v>
      </c>
      <c r="BA268" s="421" t="s">
        <v>1236</v>
      </c>
      <c r="BB268" s="421" t="s">
        <v>960</v>
      </c>
      <c r="BC268" s="421" t="s">
        <v>1237</v>
      </c>
      <c r="BD268" s="421" t="s">
        <v>1238</v>
      </c>
      <c r="BE268" s="421" t="s">
        <v>1239</v>
      </c>
      <c r="BF268" s="421" t="s">
        <v>3021</v>
      </c>
      <c r="BG268" s="421" t="s">
        <v>3022</v>
      </c>
      <c r="BH268" s="421" t="s">
        <v>3023</v>
      </c>
      <c r="BI268" s="421" t="s">
        <v>1142</v>
      </c>
      <c r="BJ268" s="421" t="s">
        <v>2739</v>
      </c>
      <c r="BK268" s="421" t="s">
        <v>3019</v>
      </c>
      <c r="BL268" s="421" t="s">
        <v>3024</v>
      </c>
      <c r="BM268" s="421" t="s">
        <v>3025</v>
      </c>
      <c r="BN268" s="421" t="s">
        <v>3026</v>
      </c>
      <c r="BO268" s="421">
        <v>0</v>
      </c>
      <c r="BQ268" s="421" t="s">
        <v>2866</v>
      </c>
      <c r="BR268" s="421">
        <v>0</v>
      </c>
      <c r="BS268" s="421">
        <v>0</v>
      </c>
      <c r="BT268" s="421">
        <v>0</v>
      </c>
      <c r="BU268" s="424">
        <v>42308</v>
      </c>
      <c r="BW268" s="421" t="s">
        <v>2866</v>
      </c>
      <c r="BX268" s="421">
        <v>3149.12</v>
      </c>
      <c r="BY268" s="421" t="s">
        <v>1183</v>
      </c>
      <c r="BZ268" s="421">
        <v>45141.89</v>
      </c>
      <c r="CA268" s="421">
        <v>142157228.63679999</v>
      </c>
      <c r="CB268" s="421">
        <v>18.059999999999999</v>
      </c>
      <c r="CC268" s="421">
        <v>0</v>
      </c>
      <c r="CD268" s="421">
        <v>1965</v>
      </c>
      <c r="CE268" s="421">
        <v>1983.06</v>
      </c>
      <c r="CF268" s="421">
        <v>0</v>
      </c>
      <c r="CG268" s="421">
        <v>47124.95</v>
      </c>
      <c r="CH268" s="421">
        <v>0</v>
      </c>
      <c r="CI268" s="421">
        <v>47124.95</v>
      </c>
      <c r="CJ268" s="421">
        <v>148402122.544</v>
      </c>
      <c r="CK268" s="421">
        <v>15</v>
      </c>
      <c r="CL268" s="421">
        <v>148402123</v>
      </c>
      <c r="CM268" s="421">
        <v>22260000</v>
      </c>
      <c r="CN268" s="421">
        <v>22260000</v>
      </c>
      <c r="CO268" s="421">
        <v>0</v>
      </c>
      <c r="CP268" s="421">
        <v>0</v>
      </c>
      <c r="CQ268" s="421">
        <v>16</v>
      </c>
      <c r="CR268" s="421">
        <v>170662123</v>
      </c>
      <c r="CS268" s="421">
        <v>27306000</v>
      </c>
      <c r="CT268" s="421">
        <v>27306000</v>
      </c>
      <c r="CU268" s="421">
        <v>0</v>
      </c>
      <c r="CV268" s="421">
        <v>0</v>
      </c>
      <c r="CW268" s="421">
        <v>0</v>
      </c>
      <c r="CX268" s="421">
        <v>0</v>
      </c>
      <c r="CY268" s="421">
        <v>0</v>
      </c>
      <c r="CZ268" s="421">
        <v>0</v>
      </c>
      <c r="DA268" s="421">
        <v>0</v>
      </c>
      <c r="DB268" s="421">
        <v>0</v>
      </c>
      <c r="DC268" s="421">
        <v>0</v>
      </c>
      <c r="DD268" s="421">
        <v>0</v>
      </c>
      <c r="DE268" s="421">
        <v>0</v>
      </c>
      <c r="DF268" s="421">
        <v>0</v>
      </c>
      <c r="DG268" s="421">
        <v>0</v>
      </c>
      <c r="DH268" s="421">
        <v>0</v>
      </c>
      <c r="DI268" s="421">
        <v>0</v>
      </c>
      <c r="DJ268" s="421">
        <v>0</v>
      </c>
      <c r="DK268" s="421">
        <v>0</v>
      </c>
      <c r="DL268" s="421">
        <v>0</v>
      </c>
      <c r="DM268" s="421">
        <v>0</v>
      </c>
      <c r="DN268" s="421">
        <v>0</v>
      </c>
      <c r="DO268" s="421">
        <v>0</v>
      </c>
      <c r="DP268" s="421">
        <v>0</v>
      </c>
      <c r="DQ268" s="421">
        <v>0</v>
      </c>
      <c r="DR268" s="421">
        <v>0</v>
      </c>
      <c r="DS268" s="421">
        <v>0</v>
      </c>
      <c r="DT268" s="421">
        <v>0</v>
      </c>
      <c r="DU268" s="421">
        <v>0</v>
      </c>
      <c r="DV268" s="421">
        <v>0</v>
      </c>
      <c r="DW268" s="421">
        <v>0</v>
      </c>
      <c r="DX268" s="421">
        <v>0</v>
      </c>
      <c r="DY268" s="421">
        <v>49566000</v>
      </c>
      <c r="DZ268" s="421">
        <v>49566000</v>
      </c>
      <c r="EA268" s="421">
        <v>0</v>
      </c>
      <c r="EB268" s="421">
        <v>0</v>
      </c>
      <c r="EC268" s="421" t="s">
        <v>1148</v>
      </c>
      <c r="ED268" s="421" t="s">
        <v>1167</v>
      </c>
      <c r="EE268" s="421" t="s">
        <v>1167</v>
      </c>
    </row>
    <row r="269" spans="1:135" x14ac:dyDescent="0.25">
      <c r="A269" s="421">
        <v>266</v>
      </c>
      <c r="B269" s="421">
        <v>2015</v>
      </c>
      <c r="C269" s="421">
        <v>12</v>
      </c>
      <c r="D269" s="421">
        <v>12</v>
      </c>
      <c r="E269" s="424">
        <v>42350</v>
      </c>
      <c r="F269" s="421" t="s">
        <v>3027</v>
      </c>
      <c r="G269" s="421" t="s">
        <v>3028</v>
      </c>
      <c r="H269" s="421" t="s">
        <v>1152</v>
      </c>
      <c r="I269" s="421" t="s">
        <v>1281</v>
      </c>
      <c r="J269" s="421" t="s">
        <v>1108</v>
      </c>
      <c r="K269" s="421" t="s">
        <v>1109</v>
      </c>
      <c r="L269" s="421" t="s">
        <v>1110</v>
      </c>
      <c r="M269" s="421" t="s">
        <v>2866</v>
      </c>
      <c r="O269" s="421" t="s">
        <v>1111</v>
      </c>
      <c r="Q269" s="421" t="s">
        <v>2866</v>
      </c>
      <c r="R269" s="421" t="s">
        <v>1111</v>
      </c>
      <c r="S269" s="421" t="s">
        <v>1112</v>
      </c>
      <c r="T269" s="421" t="s">
        <v>1113</v>
      </c>
      <c r="U269" s="421" t="s">
        <v>1114</v>
      </c>
      <c r="V269" s="421" t="s">
        <v>1120</v>
      </c>
      <c r="X269" s="421" t="s">
        <v>1117</v>
      </c>
      <c r="Y269" s="421" t="s">
        <v>1118</v>
      </c>
      <c r="Z269" s="421" t="s">
        <v>1119</v>
      </c>
      <c r="AA269" s="421" t="s">
        <v>1120</v>
      </c>
      <c r="AB269" s="421" t="s">
        <v>1121</v>
      </c>
      <c r="AC269" s="421" t="s">
        <v>1122</v>
      </c>
      <c r="AD269" s="421" t="s">
        <v>1479</v>
      </c>
      <c r="AE269" s="421" t="s">
        <v>1233</v>
      </c>
      <c r="AF269" s="421" t="s">
        <v>1234</v>
      </c>
      <c r="AG269" s="421" t="s">
        <v>3029</v>
      </c>
      <c r="AH269" s="421">
        <v>76032</v>
      </c>
      <c r="AI269" s="421" t="s">
        <v>1189</v>
      </c>
      <c r="AJ269" s="421">
        <v>317</v>
      </c>
      <c r="AK269" s="421">
        <v>1</v>
      </c>
      <c r="AL269" s="421" t="s">
        <v>1173</v>
      </c>
      <c r="AM269" s="421">
        <v>3199.68</v>
      </c>
      <c r="AN269" s="421">
        <v>3516.68</v>
      </c>
      <c r="AO269" s="421" t="s">
        <v>1120</v>
      </c>
      <c r="AR269" s="421" t="s">
        <v>2868</v>
      </c>
      <c r="AT269" s="421" t="s">
        <v>1131</v>
      </c>
      <c r="AU269" s="421" t="s">
        <v>1190</v>
      </c>
      <c r="AV269" s="421" t="s">
        <v>1191</v>
      </c>
      <c r="AW269" s="421" t="s">
        <v>960</v>
      </c>
      <c r="AX269" s="421" t="s">
        <v>960</v>
      </c>
      <c r="AY269" s="421" t="s">
        <v>960</v>
      </c>
      <c r="AZ269" s="421" t="s">
        <v>1121</v>
      </c>
      <c r="BA269" s="421" t="s">
        <v>1588</v>
      </c>
      <c r="BB269" s="421" t="s">
        <v>960</v>
      </c>
      <c r="BC269" s="421" t="s">
        <v>1175</v>
      </c>
      <c r="BD269" s="421" t="s">
        <v>1589</v>
      </c>
      <c r="BE269" s="421" t="s">
        <v>1590</v>
      </c>
      <c r="BG269" s="421" t="s">
        <v>2866</v>
      </c>
      <c r="BI269" s="421" t="s">
        <v>1142</v>
      </c>
      <c r="BJ269" s="421" t="s">
        <v>1180</v>
      </c>
      <c r="BK269" s="421" t="s">
        <v>3028</v>
      </c>
      <c r="BL269" s="421" t="s">
        <v>3024</v>
      </c>
      <c r="BM269" s="421" t="s">
        <v>3030</v>
      </c>
      <c r="BN269" s="421" t="s">
        <v>2893</v>
      </c>
      <c r="BO269" s="421">
        <v>0</v>
      </c>
      <c r="BQ269" s="421" t="s">
        <v>2866</v>
      </c>
      <c r="BR269" s="421">
        <v>0</v>
      </c>
      <c r="BS269" s="421">
        <v>0</v>
      </c>
      <c r="BT269" s="421">
        <v>0</v>
      </c>
      <c r="BU269" s="424">
        <v>38718</v>
      </c>
      <c r="BW269" s="421" t="s">
        <v>2866</v>
      </c>
      <c r="BX269" s="421">
        <v>3149.12</v>
      </c>
      <c r="BY269" s="421" t="s">
        <v>1183</v>
      </c>
      <c r="BZ269" s="421">
        <v>10653.5</v>
      </c>
      <c r="CA269" s="421">
        <v>33549149.920000002</v>
      </c>
      <c r="CB269" s="421">
        <v>4.26</v>
      </c>
      <c r="CC269" s="421">
        <v>0</v>
      </c>
      <c r="CD269" s="421">
        <v>1565</v>
      </c>
      <c r="CE269" s="421">
        <v>1569.26</v>
      </c>
      <c r="CF269" s="421">
        <v>0</v>
      </c>
      <c r="CG269" s="421">
        <v>12222.76</v>
      </c>
      <c r="CH269" s="421">
        <v>0</v>
      </c>
      <c r="CI269" s="421">
        <v>12222.76</v>
      </c>
      <c r="CJ269" s="421">
        <v>38490937.971199997</v>
      </c>
      <c r="CK269" s="421">
        <v>15</v>
      </c>
      <c r="CL269" s="421">
        <v>38490938</v>
      </c>
      <c r="CM269" s="421">
        <v>5774000</v>
      </c>
      <c r="CN269" s="421">
        <v>5774000</v>
      </c>
      <c r="CO269" s="421">
        <v>0</v>
      </c>
      <c r="CP269" s="421">
        <v>0</v>
      </c>
      <c r="CQ269" s="421">
        <v>16</v>
      </c>
      <c r="CR269" s="421">
        <v>44264938</v>
      </c>
      <c r="CS269" s="421">
        <v>7082000</v>
      </c>
      <c r="CT269" s="421">
        <v>7082000</v>
      </c>
      <c r="CU269" s="421">
        <v>0</v>
      </c>
      <c r="CV269" s="421">
        <v>0</v>
      </c>
      <c r="CW269" s="421">
        <v>0</v>
      </c>
      <c r="CX269" s="421">
        <v>0</v>
      </c>
      <c r="CY269" s="421">
        <v>0</v>
      </c>
      <c r="CZ269" s="421">
        <v>0</v>
      </c>
      <c r="DA269" s="421">
        <v>0</v>
      </c>
      <c r="DB269" s="421">
        <v>0</v>
      </c>
      <c r="DC269" s="421">
        <v>0</v>
      </c>
      <c r="DD269" s="421">
        <v>0</v>
      </c>
      <c r="DE269" s="421">
        <v>0</v>
      </c>
      <c r="DF269" s="421">
        <v>0</v>
      </c>
      <c r="DG269" s="421">
        <v>0</v>
      </c>
      <c r="DH269" s="421">
        <v>0</v>
      </c>
      <c r="DI269" s="421">
        <v>0</v>
      </c>
      <c r="DJ269" s="421">
        <v>0</v>
      </c>
      <c r="DK269" s="421">
        <v>0</v>
      </c>
      <c r="DL269" s="421">
        <v>0</v>
      </c>
      <c r="DM269" s="421">
        <v>0</v>
      </c>
      <c r="DN269" s="421">
        <v>0</v>
      </c>
      <c r="DO269" s="421">
        <v>0</v>
      </c>
      <c r="DP269" s="421">
        <v>0</v>
      </c>
      <c r="DQ269" s="421">
        <v>0</v>
      </c>
      <c r="DR269" s="421">
        <v>0</v>
      </c>
      <c r="DS269" s="421">
        <v>0</v>
      </c>
      <c r="DT269" s="421">
        <v>0</v>
      </c>
      <c r="DU269" s="421">
        <v>0</v>
      </c>
      <c r="DV269" s="421">
        <v>0</v>
      </c>
      <c r="DW269" s="421">
        <v>0</v>
      </c>
      <c r="DX269" s="421">
        <v>0</v>
      </c>
      <c r="DY269" s="421">
        <v>12856000</v>
      </c>
      <c r="DZ269" s="421">
        <v>12856000</v>
      </c>
      <c r="EA269" s="421">
        <v>0</v>
      </c>
      <c r="EB269" s="421">
        <v>0</v>
      </c>
      <c r="EC269" s="421" t="s">
        <v>1148</v>
      </c>
      <c r="ED269" s="421" t="s">
        <v>1167</v>
      </c>
      <c r="EE269" s="421" t="s">
        <v>1167</v>
      </c>
    </row>
    <row r="270" spans="1:135" x14ac:dyDescent="0.25">
      <c r="A270" s="421">
        <v>267</v>
      </c>
      <c r="B270" s="421">
        <v>2015</v>
      </c>
      <c r="C270" s="421">
        <v>12</v>
      </c>
      <c r="D270" s="421">
        <v>15</v>
      </c>
      <c r="E270" s="424">
        <v>42353</v>
      </c>
      <c r="F270" s="421" t="s">
        <v>3031</v>
      </c>
      <c r="G270" s="421" t="s">
        <v>3032</v>
      </c>
      <c r="H270" s="421" t="s">
        <v>1152</v>
      </c>
      <c r="I270" s="421" t="s">
        <v>1281</v>
      </c>
      <c r="J270" s="421" t="s">
        <v>1108</v>
      </c>
      <c r="K270" s="421" t="s">
        <v>1109</v>
      </c>
      <c r="L270" s="421" t="s">
        <v>1110</v>
      </c>
      <c r="M270" s="421" t="s">
        <v>2866</v>
      </c>
      <c r="O270" s="421" t="s">
        <v>1111</v>
      </c>
      <c r="Q270" s="421" t="s">
        <v>2866</v>
      </c>
      <c r="R270" s="421" t="s">
        <v>1111</v>
      </c>
      <c r="S270" s="421" t="s">
        <v>1112</v>
      </c>
      <c r="T270" s="421" t="s">
        <v>1113</v>
      </c>
      <c r="U270" s="421" t="s">
        <v>1114</v>
      </c>
      <c r="V270" s="421" t="s">
        <v>1120</v>
      </c>
      <c r="X270" s="421" t="s">
        <v>1117</v>
      </c>
      <c r="Y270" s="421" t="s">
        <v>1118</v>
      </c>
      <c r="Z270" s="421" t="s">
        <v>1119</v>
      </c>
      <c r="AA270" s="421" t="s">
        <v>1120</v>
      </c>
      <c r="AB270" s="421" t="s">
        <v>1121</v>
      </c>
      <c r="AC270" s="421" t="s">
        <v>1122</v>
      </c>
      <c r="AD270" s="421" t="s">
        <v>1479</v>
      </c>
      <c r="AE270" s="421" t="s">
        <v>1170</v>
      </c>
      <c r="AF270" s="421" t="s">
        <v>1171</v>
      </c>
      <c r="AG270" s="421" t="s">
        <v>3033</v>
      </c>
      <c r="AH270" s="421">
        <v>4192.2</v>
      </c>
      <c r="AI270" s="421" t="s">
        <v>1127</v>
      </c>
      <c r="AJ270" s="421">
        <v>423</v>
      </c>
      <c r="AK270" s="421">
        <v>1</v>
      </c>
      <c r="AL270" s="421" t="s">
        <v>1173</v>
      </c>
      <c r="AM270" s="421">
        <v>4192.2</v>
      </c>
      <c r="AN270" s="421">
        <v>6069.8</v>
      </c>
      <c r="AO270" s="421" t="s">
        <v>1120</v>
      </c>
      <c r="AR270" s="421" t="s">
        <v>2868</v>
      </c>
      <c r="AT270" s="421" t="s">
        <v>1131</v>
      </c>
      <c r="AU270" s="421" t="s">
        <v>1190</v>
      </c>
      <c r="AV270" s="421" t="s">
        <v>1191</v>
      </c>
      <c r="AW270" s="421" t="s">
        <v>960</v>
      </c>
      <c r="AX270" s="421" t="s">
        <v>960</v>
      </c>
      <c r="AY270" s="421" t="s">
        <v>960</v>
      </c>
      <c r="AZ270" s="421" t="s">
        <v>1121</v>
      </c>
      <c r="BA270" s="421" t="s">
        <v>1431</v>
      </c>
      <c r="BB270" s="421" t="s">
        <v>960</v>
      </c>
      <c r="BC270" s="421" t="s">
        <v>1752</v>
      </c>
      <c r="BD270" s="421" t="s">
        <v>1433</v>
      </c>
      <c r="BE270" s="421" t="s">
        <v>1434</v>
      </c>
      <c r="BG270" s="421" t="s">
        <v>2866</v>
      </c>
      <c r="BI270" s="421" t="s">
        <v>1142</v>
      </c>
      <c r="BJ270" s="421" t="s">
        <v>1535</v>
      </c>
      <c r="BK270" s="421" t="s">
        <v>3032</v>
      </c>
      <c r="BL270" s="421" t="s">
        <v>3034</v>
      </c>
      <c r="BM270" s="421" t="s">
        <v>3035</v>
      </c>
      <c r="BN270" s="421" t="s">
        <v>3036</v>
      </c>
      <c r="BO270" s="421">
        <v>0</v>
      </c>
      <c r="BQ270" s="421" t="s">
        <v>2866</v>
      </c>
      <c r="BR270" s="421">
        <v>0</v>
      </c>
      <c r="BS270" s="421">
        <v>0</v>
      </c>
      <c r="BT270" s="421">
        <v>0</v>
      </c>
      <c r="BU270" s="424">
        <v>38718</v>
      </c>
      <c r="BW270" s="421" t="s">
        <v>2866</v>
      </c>
      <c r="BX270" s="421">
        <v>3149.12</v>
      </c>
      <c r="BY270" s="421" t="s">
        <v>1183</v>
      </c>
      <c r="BZ270" s="421">
        <v>27455.33</v>
      </c>
      <c r="CA270" s="421">
        <v>86460128.809599996</v>
      </c>
      <c r="CB270" s="421">
        <v>10.98</v>
      </c>
      <c r="CC270" s="421">
        <v>0</v>
      </c>
      <c r="CD270" s="421">
        <v>1665</v>
      </c>
      <c r="CE270" s="421">
        <v>1675.98</v>
      </c>
      <c r="CF270" s="421">
        <v>0</v>
      </c>
      <c r="CG270" s="421">
        <v>29131.31</v>
      </c>
      <c r="CH270" s="421">
        <v>0</v>
      </c>
      <c r="CI270" s="421">
        <v>29131.31</v>
      </c>
      <c r="CJ270" s="421">
        <v>91737990.9472</v>
      </c>
      <c r="CK270" s="421">
        <v>15</v>
      </c>
      <c r="CL270" s="421">
        <v>91737991</v>
      </c>
      <c r="CM270" s="421">
        <v>13761000</v>
      </c>
      <c r="CN270" s="421">
        <v>13761000</v>
      </c>
      <c r="CO270" s="421">
        <v>0</v>
      </c>
      <c r="CP270" s="421">
        <v>0</v>
      </c>
      <c r="CQ270" s="421">
        <v>16</v>
      </c>
      <c r="CR270" s="421">
        <v>105498991</v>
      </c>
      <c r="CS270" s="421">
        <v>16880000</v>
      </c>
      <c r="CT270" s="421">
        <v>16880000</v>
      </c>
      <c r="CU270" s="421">
        <v>0</v>
      </c>
      <c r="CV270" s="421">
        <v>0</v>
      </c>
      <c r="CW270" s="421">
        <v>0</v>
      </c>
      <c r="CX270" s="421">
        <v>0</v>
      </c>
      <c r="CY270" s="421">
        <v>0</v>
      </c>
      <c r="CZ270" s="421">
        <v>0</v>
      </c>
      <c r="DA270" s="421">
        <v>0</v>
      </c>
      <c r="DB270" s="421">
        <v>0</v>
      </c>
      <c r="DC270" s="421">
        <v>0</v>
      </c>
      <c r="DD270" s="421">
        <v>0</v>
      </c>
      <c r="DE270" s="421">
        <v>0</v>
      </c>
      <c r="DF270" s="421">
        <v>0</v>
      </c>
      <c r="DG270" s="421">
        <v>0</v>
      </c>
      <c r="DH270" s="421">
        <v>0</v>
      </c>
      <c r="DI270" s="421">
        <v>0</v>
      </c>
      <c r="DJ270" s="421">
        <v>0</v>
      </c>
      <c r="DK270" s="421">
        <v>0</v>
      </c>
      <c r="DL270" s="421">
        <v>0</v>
      </c>
      <c r="DM270" s="421">
        <v>0</v>
      </c>
      <c r="DN270" s="421">
        <v>0</v>
      </c>
      <c r="DO270" s="421">
        <v>0</v>
      </c>
      <c r="DP270" s="421">
        <v>0</v>
      </c>
      <c r="DQ270" s="421">
        <v>0</v>
      </c>
      <c r="DR270" s="421">
        <v>0</v>
      </c>
      <c r="DS270" s="421">
        <v>0</v>
      </c>
      <c r="DT270" s="421">
        <v>0</v>
      </c>
      <c r="DU270" s="421">
        <v>0</v>
      </c>
      <c r="DV270" s="421">
        <v>0</v>
      </c>
      <c r="DW270" s="421">
        <v>0</v>
      </c>
      <c r="DX270" s="421">
        <v>0</v>
      </c>
      <c r="DY270" s="421">
        <v>30641000</v>
      </c>
      <c r="DZ270" s="421">
        <v>30641000</v>
      </c>
      <c r="EA270" s="421">
        <v>0</v>
      </c>
      <c r="EB270" s="421">
        <v>0</v>
      </c>
      <c r="EC270" s="421" t="s">
        <v>1148</v>
      </c>
      <c r="ED270" s="421" t="s">
        <v>1167</v>
      </c>
      <c r="EE270" s="421" t="s">
        <v>1167</v>
      </c>
    </row>
    <row r="271" spans="1:135" x14ac:dyDescent="0.25">
      <c r="A271" s="421">
        <v>268</v>
      </c>
      <c r="B271" s="421">
        <v>2015</v>
      </c>
      <c r="C271" s="421">
        <v>12</v>
      </c>
      <c r="D271" s="421">
        <v>17</v>
      </c>
      <c r="E271" s="424">
        <v>42355</v>
      </c>
      <c r="F271" s="421" t="s">
        <v>3037</v>
      </c>
      <c r="G271" s="421" t="s">
        <v>3038</v>
      </c>
      <c r="H271" s="421" t="s">
        <v>1106</v>
      </c>
      <c r="I271" s="421" t="s">
        <v>1281</v>
      </c>
      <c r="J271" s="421" t="s">
        <v>1108</v>
      </c>
      <c r="K271" s="421" t="s">
        <v>1202</v>
      </c>
      <c r="L271" s="421" t="s">
        <v>1110</v>
      </c>
      <c r="M271" s="421" t="s">
        <v>2866</v>
      </c>
      <c r="O271" s="421" t="s">
        <v>1111</v>
      </c>
      <c r="Q271" s="421" t="s">
        <v>2866</v>
      </c>
      <c r="R271" s="421" t="s">
        <v>1111</v>
      </c>
      <c r="S271" s="421" t="s">
        <v>1112</v>
      </c>
      <c r="T271" s="421" t="s">
        <v>1113</v>
      </c>
      <c r="U271" s="421" t="s">
        <v>1114</v>
      </c>
      <c r="V271" s="421" t="s">
        <v>1120</v>
      </c>
      <c r="X271" s="421" t="s">
        <v>1117</v>
      </c>
      <c r="Y271" s="421" t="s">
        <v>1118</v>
      </c>
      <c r="Z271" s="421" t="s">
        <v>1119</v>
      </c>
      <c r="AA271" s="421" t="s">
        <v>1120</v>
      </c>
      <c r="AB271" s="421" t="s">
        <v>1121</v>
      </c>
      <c r="AC271" s="421" t="s">
        <v>1122</v>
      </c>
      <c r="AD271" s="421" t="s">
        <v>1479</v>
      </c>
      <c r="AE271" s="421" t="s">
        <v>1203</v>
      </c>
      <c r="AF271" s="421" t="s">
        <v>1204</v>
      </c>
      <c r="AG271" s="421" t="s">
        <v>3039</v>
      </c>
      <c r="AH271" s="421">
        <v>86000</v>
      </c>
      <c r="AI271" s="421" t="s">
        <v>1127</v>
      </c>
      <c r="AJ271" s="421">
        <v>4</v>
      </c>
      <c r="AK271" s="421">
        <v>1</v>
      </c>
      <c r="AL271" s="421" t="s">
        <v>1283</v>
      </c>
      <c r="AM271" s="421">
        <v>86000</v>
      </c>
      <c r="AN271" s="421">
        <v>86568</v>
      </c>
      <c r="AO271" s="421" t="s">
        <v>1120</v>
      </c>
      <c r="AR271" s="421" t="s">
        <v>2868</v>
      </c>
      <c r="AT271" s="421" t="s">
        <v>1131</v>
      </c>
      <c r="AU271" s="421" t="s">
        <v>1190</v>
      </c>
      <c r="AV271" s="421" t="s">
        <v>1191</v>
      </c>
      <c r="AW271" s="421" t="s">
        <v>1207</v>
      </c>
      <c r="AX271" s="421" t="s">
        <v>1207</v>
      </c>
      <c r="AY271" s="421" t="s">
        <v>1208</v>
      </c>
      <c r="AZ271" s="421" t="s">
        <v>1121</v>
      </c>
      <c r="BA271" s="421" t="s">
        <v>1209</v>
      </c>
      <c r="BB271" s="421" t="s">
        <v>1208</v>
      </c>
      <c r="BC271" s="421" t="s">
        <v>1210</v>
      </c>
      <c r="BD271" s="421" t="s">
        <v>1211</v>
      </c>
      <c r="BE271" s="421" t="s">
        <v>1212</v>
      </c>
      <c r="BG271" s="421" t="s">
        <v>2866</v>
      </c>
      <c r="BI271" s="421" t="s">
        <v>1142</v>
      </c>
      <c r="BJ271" s="421" t="s">
        <v>2739</v>
      </c>
      <c r="BK271" s="421" t="s">
        <v>3038</v>
      </c>
      <c r="BL271" s="421" t="s">
        <v>3040</v>
      </c>
      <c r="BM271" s="421" t="s">
        <v>3041</v>
      </c>
      <c r="BN271" s="421" t="s">
        <v>3042</v>
      </c>
      <c r="BO271" s="421">
        <v>0</v>
      </c>
      <c r="BQ271" s="421" t="s">
        <v>2866</v>
      </c>
      <c r="BR271" s="421">
        <v>0</v>
      </c>
      <c r="BS271" s="421">
        <v>0</v>
      </c>
      <c r="BT271" s="421">
        <v>0</v>
      </c>
      <c r="BU271" s="424">
        <v>38718</v>
      </c>
      <c r="BW271" s="421" t="s">
        <v>2866</v>
      </c>
      <c r="BX271" s="421">
        <v>3259.56</v>
      </c>
      <c r="BY271" s="421" t="s">
        <v>3043</v>
      </c>
      <c r="BZ271" s="421">
        <v>163400</v>
      </c>
      <c r="CA271" s="421">
        <v>532612104</v>
      </c>
      <c r="CB271" s="421">
        <v>65.36</v>
      </c>
      <c r="CC271" s="421">
        <v>0</v>
      </c>
      <c r="CD271" s="421">
        <v>5240</v>
      </c>
      <c r="CE271" s="421">
        <v>5305.36</v>
      </c>
      <c r="CF271" s="421">
        <v>0</v>
      </c>
      <c r="CG271" s="421">
        <v>168705.36</v>
      </c>
      <c r="CH271" s="421">
        <v>0</v>
      </c>
      <c r="CI271" s="421">
        <v>168705.36</v>
      </c>
      <c r="CJ271" s="421">
        <v>549905243.24160004</v>
      </c>
      <c r="CK271" s="421">
        <v>0</v>
      </c>
      <c r="CL271" s="421">
        <v>549905243</v>
      </c>
      <c r="CM271" s="421">
        <v>0</v>
      </c>
      <c r="CN271" s="421">
        <v>0</v>
      </c>
      <c r="CO271" s="421">
        <v>0</v>
      </c>
      <c r="CP271" s="421">
        <v>0</v>
      </c>
      <c r="CQ271" s="421">
        <v>0</v>
      </c>
      <c r="CR271" s="421">
        <v>549905243</v>
      </c>
      <c r="CS271" s="421">
        <v>0</v>
      </c>
      <c r="CT271" s="421">
        <v>0</v>
      </c>
      <c r="CU271" s="421">
        <v>0</v>
      </c>
      <c r="CV271" s="421">
        <v>0</v>
      </c>
      <c r="CW271" s="421">
        <v>0</v>
      </c>
      <c r="CX271" s="421">
        <v>0</v>
      </c>
      <c r="CY271" s="421">
        <v>0</v>
      </c>
      <c r="CZ271" s="421">
        <v>0</v>
      </c>
      <c r="DA271" s="421">
        <v>0</v>
      </c>
      <c r="DB271" s="421">
        <v>0</v>
      </c>
      <c r="DC271" s="421">
        <v>0</v>
      </c>
      <c r="DD271" s="421">
        <v>0</v>
      </c>
      <c r="DE271" s="421">
        <v>0</v>
      </c>
      <c r="DF271" s="421">
        <v>0</v>
      </c>
      <c r="DG271" s="421">
        <v>0</v>
      </c>
      <c r="DH271" s="421">
        <v>0</v>
      </c>
      <c r="DI271" s="421">
        <v>0</v>
      </c>
      <c r="DJ271" s="421">
        <v>0</v>
      </c>
      <c r="DK271" s="421">
        <v>0</v>
      </c>
      <c r="DL271" s="421">
        <v>0</v>
      </c>
      <c r="DM271" s="421">
        <v>0</v>
      </c>
      <c r="DN271" s="421">
        <v>0</v>
      </c>
      <c r="DO271" s="421">
        <v>0</v>
      </c>
      <c r="DP271" s="421">
        <v>0</v>
      </c>
      <c r="DQ271" s="421">
        <v>0</v>
      </c>
      <c r="DR271" s="421">
        <v>0</v>
      </c>
      <c r="DS271" s="421">
        <v>0</v>
      </c>
      <c r="DT271" s="421">
        <v>0</v>
      </c>
      <c r="DU271" s="421">
        <v>0</v>
      </c>
      <c r="DV271" s="421">
        <v>0</v>
      </c>
      <c r="DW271" s="421">
        <v>0</v>
      </c>
      <c r="DX271" s="421">
        <v>0</v>
      </c>
      <c r="DY271" s="421">
        <v>0</v>
      </c>
      <c r="DZ271" s="421">
        <v>0</v>
      </c>
      <c r="EA271" s="421">
        <v>0</v>
      </c>
      <c r="EB271" s="421">
        <v>0</v>
      </c>
      <c r="EC271" s="421" t="s">
        <v>1148</v>
      </c>
      <c r="ED271" s="421" t="s">
        <v>1149</v>
      </c>
      <c r="EE271" s="421" t="s">
        <v>1149</v>
      </c>
    </row>
    <row r="272" spans="1:135" x14ac:dyDescent="0.25">
      <c r="A272" s="421">
        <v>269</v>
      </c>
      <c r="B272" s="421">
        <v>2015</v>
      </c>
      <c r="C272" s="421">
        <v>12</v>
      </c>
      <c r="D272" s="421">
        <v>30</v>
      </c>
      <c r="E272" s="424">
        <v>42368</v>
      </c>
      <c r="F272" s="421" t="s">
        <v>3044</v>
      </c>
      <c r="G272" s="421" t="s">
        <v>3045</v>
      </c>
      <c r="H272" s="421" t="s">
        <v>1106</v>
      </c>
      <c r="I272" s="421" t="s">
        <v>1107</v>
      </c>
      <c r="J272" s="421" t="s">
        <v>1108</v>
      </c>
      <c r="K272" s="421" t="s">
        <v>1109</v>
      </c>
      <c r="L272" s="421" t="s">
        <v>1110</v>
      </c>
      <c r="M272" s="421" t="s">
        <v>2866</v>
      </c>
      <c r="O272" s="421" t="s">
        <v>1111</v>
      </c>
      <c r="Q272" s="421" t="s">
        <v>2866</v>
      </c>
      <c r="R272" s="421" t="s">
        <v>1111</v>
      </c>
      <c r="S272" s="421" t="s">
        <v>1112</v>
      </c>
      <c r="T272" s="421" t="s">
        <v>1113</v>
      </c>
      <c r="U272" s="421" t="s">
        <v>1114</v>
      </c>
      <c r="V272" s="421" t="s">
        <v>1120</v>
      </c>
      <c r="X272" s="421" t="s">
        <v>1117</v>
      </c>
      <c r="Y272" s="421" t="s">
        <v>1118</v>
      </c>
      <c r="Z272" s="421" t="s">
        <v>1119</v>
      </c>
      <c r="AA272" s="421" t="s">
        <v>1120</v>
      </c>
      <c r="AB272" s="421" t="s">
        <v>1121</v>
      </c>
      <c r="AC272" s="421" t="s">
        <v>1122</v>
      </c>
      <c r="AD272" s="421" t="s">
        <v>1479</v>
      </c>
      <c r="AE272" s="421" t="s">
        <v>1387</v>
      </c>
      <c r="AF272" s="421" t="s">
        <v>1388</v>
      </c>
      <c r="AG272" s="421" t="s">
        <v>3046</v>
      </c>
      <c r="AH272" s="421">
        <v>36270</v>
      </c>
      <c r="AI272" s="421" t="s">
        <v>1189</v>
      </c>
      <c r="AJ272" s="421">
        <v>403</v>
      </c>
      <c r="AK272" s="421">
        <v>1</v>
      </c>
      <c r="AL272" s="421" t="s">
        <v>1173</v>
      </c>
      <c r="AM272" s="421">
        <v>3385.2</v>
      </c>
      <c r="AN272" s="421">
        <v>4231.5</v>
      </c>
      <c r="AO272" s="421" t="s">
        <v>1120</v>
      </c>
      <c r="AR272" s="421" t="s">
        <v>2868</v>
      </c>
      <c r="AT272" s="421" t="s">
        <v>1131</v>
      </c>
      <c r="AU272" s="421" t="s">
        <v>1132</v>
      </c>
      <c r="AV272" s="421" t="s">
        <v>1133</v>
      </c>
      <c r="AW272" s="421" t="s">
        <v>960</v>
      </c>
      <c r="AX272" s="421" t="s">
        <v>960</v>
      </c>
      <c r="AY272" s="421" t="s">
        <v>960</v>
      </c>
      <c r="AZ272" s="421" t="s">
        <v>1121</v>
      </c>
      <c r="BA272" s="421" t="s">
        <v>1652</v>
      </c>
      <c r="BB272" s="421" t="s">
        <v>960</v>
      </c>
      <c r="BC272" s="421" t="s">
        <v>1377</v>
      </c>
      <c r="BD272" s="421" t="s">
        <v>1653</v>
      </c>
      <c r="BE272" s="421" t="s">
        <v>1654</v>
      </c>
      <c r="BF272" s="421" t="s">
        <v>3047</v>
      </c>
      <c r="BG272" s="421" t="s">
        <v>3048</v>
      </c>
      <c r="BH272" s="421" t="s">
        <v>3049</v>
      </c>
      <c r="BI272" s="421" t="s">
        <v>1142</v>
      </c>
      <c r="BJ272" s="421" t="s">
        <v>2739</v>
      </c>
      <c r="BK272" s="421" t="s">
        <v>3045</v>
      </c>
      <c r="BL272" s="421" t="s">
        <v>3050</v>
      </c>
      <c r="BM272" s="421" t="s">
        <v>3051</v>
      </c>
      <c r="BN272" s="421" t="s">
        <v>3036</v>
      </c>
      <c r="BO272" s="421">
        <v>0</v>
      </c>
      <c r="BQ272" s="421" t="s">
        <v>2866</v>
      </c>
      <c r="BR272" s="421">
        <v>0</v>
      </c>
      <c r="BS272" s="421">
        <v>0</v>
      </c>
      <c r="BT272" s="421">
        <v>0</v>
      </c>
      <c r="BU272" s="424">
        <v>42326</v>
      </c>
      <c r="BW272" s="421" t="s">
        <v>2866</v>
      </c>
      <c r="BX272" s="421">
        <v>3255.19</v>
      </c>
      <c r="BY272" s="421" t="s">
        <v>1183</v>
      </c>
      <c r="BZ272" s="421">
        <v>18497.7</v>
      </c>
      <c r="CA272" s="421">
        <v>60213528.063000001</v>
      </c>
      <c r="CB272" s="421">
        <v>7.4</v>
      </c>
      <c r="CC272" s="421">
        <v>0</v>
      </c>
      <c r="CD272" s="421">
        <v>1335</v>
      </c>
      <c r="CE272" s="421">
        <v>1342.4</v>
      </c>
      <c r="CF272" s="421">
        <v>0</v>
      </c>
      <c r="CG272" s="421">
        <v>19840.099999999999</v>
      </c>
      <c r="CH272" s="421">
        <v>0</v>
      </c>
      <c r="CI272" s="421">
        <v>19840.099999999999</v>
      </c>
      <c r="CJ272" s="421">
        <v>64583295.119000003</v>
      </c>
      <c r="CK272" s="421">
        <v>0</v>
      </c>
      <c r="CL272" s="421">
        <v>64583295</v>
      </c>
      <c r="CM272" s="421">
        <v>0</v>
      </c>
      <c r="CN272" s="421">
        <v>0</v>
      </c>
      <c r="CO272" s="421">
        <v>0</v>
      </c>
      <c r="CP272" s="421">
        <v>0</v>
      </c>
      <c r="CQ272" s="421">
        <v>16</v>
      </c>
      <c r="CR272" s="421">
        <v>64583295</v>
      </c>
      <c r="CS272" s="421">
        <v>10333000</v>
      </c>
      <c r="CT272" s="421">
        <v>10333000</v>
      </c>
      <c r="CU272" s="421">
        <v>0</v>
      </c>
      <c r="CV272" s="421">
        <v>0</v>
      </c>
      <c r="CW272" s="421">
        <v>0</v>
      </c>
      <c r="CX272" s="421">
        <v>0</v>
      </c>
      <c r="CY272" s="421">
        <v>0</v>
      </c>
      <c r="CZ272" s="421">
        <v>0</v>
      </c>
      <c r="DA272" s="421">
        <v>0</v>
      </c>
      <c r="DB272" s="421">
        <v>0</v>
      </c>
      <c r="DC272" s="421">
        <v>0</v>
      </c>
      <c r="DD272" s="421">
        <v>0</v>
      </c>
      <c r="DE272" s="421">
        <v>0</v>
      </c>
      <c r="DF272" s="421">
        <v>0</v>
      </c>
      <c r="DG272" s="421">
        <v>0</v>
      </c>
      <c r="DH272" s="421">
        <v>0</v>
      </c>
      <c r="DI272" s="421">
        <v>0</v>
      </c>
      <c r="DJ272" s="421">
        <v>0</v>
      </c>
      <c r="DK272" s="421">
        <v>0</v>
      </c>
      <c r="DL272" s="421">
        <v>0</v>
      </c>
      <c r="DM272" s="421">
        <v>0</v>
      </c>
      <c r="DN272" s="421">
        <v>0</v>
      </c>
      <c r="DO272" s="421">
        <v>0</v>
      </c>
      <c r="DP272" s="421">
        <v>0</v>
      </c>
      <c r="DQ272" s="421">
        <v>0</v>
      </c>
      <c r="DR272" s="421">
        <v>0</v>
      </c>
      <c r="DS272" s="421">
        <v>0</v>
      </c>
      <c r="DT272" s="421">
        <v>0</v>
      </c>
      <c r="DU272" s="421">
        <v>0</v>
      </c>
      <c r="DV272" s="421">
        <v>0</v>
      </c>
      <c r="DW272" s="421">
        <v>0</v>
      </c>
      <c r="DX272" s="421">
        <v>0</v>
      </c>
      <c r="DY272" s="421">
        <v>10333000</v>
      </c>
      <c r="DZ272" s="421">
        <v>10333000</v>
      </c>
      <c r="EA272" s="421">
        <v>0</v>
      </c>
      <c r="EB272" s="421">
        <v>0</v>
      </c>
      <c r="EC272" s="421" t="s">
        <v>1148</v>
      </c>
      <c r="ED272" s="421" t="s">
        <v>1167</v>
      </c>
      <c r="EE272" s="421" t="s">
        <v>1167</v>
      </c>
    </row>
  </sheetData>
  <autoFilter ref="A3:EE272"/>
  <pageMargins left="0.75" right="0.75" top="1" bottom="1" header="0.5" footer="0.5"/>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043"/>
  <sheetViews>
    <sheetView showGridLines="0" topLeftCell="C9024" workbookViewId="0">
      <selection activeCell="I9040" sqref="I9040"/>
    </sheetView>
  </sheetViews>
  <sheetFormatPr baseColWidth="10" defaultColWidth="9.125" defaultRowHeight="15" x14ac:dyDescent="0.25"/>
  <cols>
    <col min="1" max="1" width="32.125" style="427" customWidth="1"/>
    <col min="2" max="2" width="52.625" style="427" customWidth="1"/>
    <col min="3" max="3" width="54" style="427" customWidth="1"/>
    <col min="4" max="4" width="22" style="427" customWidth="1"/>
    <col min="5" max="16384" width="9.125" style="427"/>
  </cols>
  <sheetData>
    <row r="1" spans="1:4" x14ac:dyDescent="0.25">
      <c r="A1" s="734" t="s">
        <v>4052</v>
      </c>
      <c r="B1" s="734"/>
      <c r="C1" s="734"/>
      <c r="D1" s="734"/>
    </row>
    <row r="2" spans="1:4" ht="15.75" thickBot="1" x14ac:dyDescent="0.3">
      <c r="A2" s="735" t="s">
        <v>4053</v>
      </c>
      <c r="B2" s="735"/>
      <c r="C2" s="735"/>
      <c r="D2" s="735"/>
    </row>
    <row r="3" spans="1:4" ht="15.75" thickTop="1" x14ac:dyDescent="0.25">
      <c r="A3" s="428" t="s">
        <v>4054</v>
      </c>
    </row>
    <row r="4" spans="1:4" x14ac:dyDescent="0.25">
      <c r="A4" s="736" t="s">
        <v>4055</v>
      </c>
      <c r="B4" s="736"/>
      <c r="C4" s="736"/>
      <c r="D4" s="736"/>
    </row>
    <row r="5" spans="1:4" x14ac:dyDescent="0.25">
      <c r="A5" s="736" t="s">
        <v>4054</v>
      </c>
      <c r="B5" s="736"/>
      <c r="C5" s="736"/>
      <c r="D5" s="736"/>
    </row>
    <row r="6" spans="1:4" x14ac:dyDescent="0.25">
      <c r="A6" s="736" t="s">
        <v>4056</v>
      </c>
      <c r="B6" s="736"/>
      <c r="C6" s="736"/>
      <c r="D6" s="736"/>
    </row>
    <row r="7" spans="1:4" x14ac:dyDescent="0.25">
      <c r="A7" s="428" t="s">
        <v>4054</v>
      </c>
    </row>
    <row r="8" spans="1:4" ht="16.149999999999999" customHeight="1" x14ac:dyDescent="0.25">
      <c r="A8" s="429" t="s">
        <v>4057</v>
      </c>
      <c r="B8" s="430" t="s">
        <v>4052</v>
      </c>
      <c r="C8" s="427" t="s">
        <v>971</v>
      </c>
      <c r="D8" s="430" t="s">
        <v>4052</v>
      </c>
    </row>
    <row r="9" spans="1:4" ht="16.149999999999999" customHeight="1" x14ac:dyDescent="0.25">
      <c r="A9" s="431">
        <v>33569</v>
      </c>
      <c r="B9" s="432">
        <v>693.32</v>
      </c>
      <c r="C9" s="427">
        <f>YEAR(A9)</f>
        <v>1991</v>
      </c>
      <c r="D9" s="433">
        <f>B9</f>
        <v>693.32</v>
      </c>
    </row>
    <row r="10" spans="1:4" ht="16.149999999999999" customHeight="1" x14ac:dyDescent="0.25">
      <c r="A10" s="431">
        <v>33570</v>
      </c>
      <c r="B10" s="434">
        <v>693.99</v>
      </c>
      <c r="C10" s="427">
        <f t="shared" ref="C10:C73" si="0">YEAR(A10)</f>
        <v>1991</v>
      </c>
      <c r="D10" s="433">
        <f t="shared" ref="D10:D73" si="1">B10</f>
        <v>693.99</v>
      </c>
    </row>
    <row r="11" spans="1:4" ht="16.149999999999999" customHeight="1" x14ac:dyDescent="0.25">
      <c r="A11" s="431">
        <v>33571</v>
      </c>
      <c r="B11" s="432">
        <v>694.7</v>
      </c>
      <c r="C11" s="427">
        <f t="shared" si="0"/>
        <v>1991</v>
      </c>
      <c r="D11" s="433">
        <f t="shared" si="1"/>
        <v>694.7</v>
      </c>
    </row>
    <row r="12" spans="1:4" ht="16.149999999999999" customHeight="1" x14ac:dyDescent="0.25">
      <c r="A12" s="431">
        <v>33572</v>
      </c>
      <c r="B12" s="434">
        <v>694.7</v>
      </c>
      <c r="C12" s="427">
        <f t="shared" si="0"/>
        <v>1991</v>
      </c>
      <c r="D12" s="433">
        <f t="shared" si="1"/>
        <v>694.7</v>
      </c>
    </row>
    <row r="13" spans="1:4" ht="16.149999999999999" customHeight="1" x14ac:dyDescent="0.25">
      <c r="A13" s="431">
        <v>33573</v>
      </c>
      <c r="B13" s="432">
        <v>643.41999999999996</v>
      </c>
      <c r="C13" s="427">
        <f t="shared" si="0"/>
        <v>1991</v>
      </c>
      <c r="D13" s="433">
        <f t="shared" si="1"/>
        <v>643.41999999999996</v>
      </c>
    </row>
    <row r="14" spans="1:4" ht="16.149999999999999" customHeight="1" x14ac:dyDescent="0.25">
      <c r="A14" s="431">
        <v>33574</v>
      </c>
      <c r="B14" s="434">
        <v>643.41999999999996</v>
      </c>
      <c r="C14" s="427">
        <f t="shared" si="0"/>
        <v>1991</v>
      </c>
      <c r="D14" s="433">
        <f t="shared" si="1"/>
        <v>643.41999999999996</v>
      </c>
    </row>
    <row r="15" spans="1:4" ht="16.149999999999999" customHeight="1" x14ac:dyDescent="0.25">
      <c r="A15" s="431">
        <v>33575</v>
      </c>
      <c r="B15" s="432">
        <v>639.22</v>
      </c>
      <c r="C15" s="427">
        <f t="shared" si="0"/>
        <v>1991</v>
      </c>
      <c r="D15" s="433">
        <f t="shared" si="1"/>
        <v>639.22</v>
      </c>
    </row>
    <row r="16" spans="1:4" ht="16.149999999999999" customHeight="1" x14ac:dyDescent="0.25">
      <c r="A16" s="431">
        <v>33576</v>
      </c>
      <c r="B16" s="434">
        <v>635.70000000000005</v>
      </c>
      <c r="C16" s="427">
        <f t="shared" si="0"/>
        <v>1991</v>
      </c>
      <c r="D16" s="433">
        <f t="shared" si="1"/>
        <v>635.70000000000005</v>
      </c>
    </row>
    <row r="17" spans="1:4" ht="16.149999999999999" customHeight="1" x14ac:dyDescent="0.25">
      <c r="A17" s="431">
        <v>33577</v>
      </c>
      <c r="B17" s="432">
        <v>631.51</v>
      </c>
      <c r="C17" s="427">
        <f t="shared" si="0"/>
        <v>1991</v>
      </c>
      <c r="D17" s="433">
        <f t="shared" si="1"/>
        <v>631.51</v>
      </c>
    </row>
    <row r="18" spans="1:4" ht="16.149999999999999" customHeight="1" x14ac:dyDescent="0.25">
      <c r="A18" s="431">
        <v>33578</v>
      </c>
      <c r="B18" s="434">
        <v>627.16</v>
      </c>
      <c r="C18" s="427">
        <f t="shared" si="0"/>
        <v>1991</v>
      </c>
      <c r="D18" s="433">
        <f t="shared" si="1"/>
        <v>627.16</v>
      </c>
    </row>
    <row r="19" spans="1:4" ht="16.149999999999999" customHeight="1" x14ac:dyDescent="0.25">
      <c r="A19" s="431">
        <v>33579</v>
      </c>
      <c r="B19" s="432">
        <v>638.05999999999995</v>
      </c>
      <c r="C19" s="427">
        <f t="shared" si="0"/>
        <v>1991</v>
      </c>
      <c r="D19" s="433">
        <f t="shared" si="1"/>
        <v>638.05999999999995</v>
      </c>
    </row>
    <row r="20" spans="1:4" ht="16.149999999999999" customHeight="1" x14ac:dyDescent="0.25">
      <c r="A20" s="431">
        <v>33580</v>
      </c>
      <c r="B20" s="434">
        <v>638.05999999999995</v>
      </c>
      <c r="C20" s="427">
        <f t="shared" si="0"/>
        <v>1991</v>
      </c>
      <c r="D20" s="433">
        <f t="shared" si="1"/>
        <v>638.05999999999995</v>
      </c>
    </row>
    <row r="21" spans="1:4" ht="16.149999999999999" customHeight="1" x14ac:dyDescent="0.25">
      <c r="A21" s="431">
        <v>33581</v>
      </c>
      <c r="B21" s="432">
        <v>638.05999999999995</v>
      </c>
      <c r="C21" s="427">
        <f t="shared" si="0"/>
        <v>1991</v>
      </c>
      <c r="D21" s="433">
        <f t="shared" si="1"/>
        <v>638.05999999999995</v>
      </c>
    </row>
    <row r="22" spans="1:4" ht="16.149999999999999" customHeight="1" x14ac:dyDescent="0.25">
      <c r="A22" s="431">
        <v>33582</v>
      </c>
      <c r="B22" s="434">
        <v>622.91999999999996</v>
      </c>
      <c r="C22" s="427">
        <f t="shared" si="0"/>
        <v>1991</v>
      </c>
      <c r="D22" s="433">
        <f t="shared" si="1"/>
        <v>622.91999999999996</v>
      </c>
    </row>
    <row r="23" spans="1:4" ht="16.149999999999999" customHeight="1" x14ac:dyDescent="0.25">
      <c r="A23" s="431">
        <v>33583</v>
      </c>
      <c r="B23" s="432">
        <v>627.46</v>
      </c>
      <c r="C23" s="427">
        <f t="shared" si="0"/>
        <v>1991</v>
      </c>
      <c r="D23" s="433">
        <f t="shared" si="1"/>
        <v>627.46</v>
      </c>
    </row>
    <row r="24" spans="1:4" ht="16.149999999999999" customHeight="1" x14ac:dyDescent="0.25">
      <c r="A24" s="431">
        <v>33584</v>
      </c>
      <c r="B24" s="434">
        <v>633.09</v>
      </c>
      <c r="C24" s="427">
        <f t="shared" si="0"/>
        <v>1991</v>
      </c>
      <c r="D24" s="433">
        <f t="shared" si="1"/>
        <v>633.09</v>
      </c>
    </row>
    <row r="25" spans="1:4" ht="16.149999999999999" customHeight="1" x14ac:dyDescent="0.25">
      <c r="A25" s="431">
        <v>33585</v>
      </c>
      <c r="B25" s="432">
        <v>632.35</v>
      </c>
      <c r="C25" s="427">
        <f t="shared" si="0"/>
        <v>1991</v>
      </c>
      <c r="D25" s="433">
        <f t="shared" si="1"/>
        <v>632.35</v>
      </c>
    </row>
    <row r="26" spans="1:4" ht="16.149999999999999" customHeight="1" x14ac:dyDescent="0.25">
      <c r="A26" s="431">
        <v>33586</v>
      </c>
      <c r="B26" s="434">
        <v>630.91</v>
      </c>
      <c r="C26" s="427">
        <f t="shared" si="0"/>
        <v>1991</v>
      </c>
      <c r="D26" s="433">
        <f t="shared" si="1"/>
        <v>630.91</v>
      </c>
    </row>
    <row r="27" spans="1:4" ht="16.149999999999999" customHeight="1" x14ac:dyDescent="0.25">
      <c r="A27" s="431">
        <v>33587</v>
      </c>
      <c r="B27" s="432">
        <v>630.91</v>
      </c>
      <c r="C27" s="427">
        <f t="shared" si="0"/>
        <v>1991</v>
      </c>
      <c r="D27" s="433">
        <f t="shared" si="1"/>
        <v>630.91</v>
      </c>
    </row>
    <row r="28" spans="1:4" ht="16.149999999999999" customHeight="1" x14ac:dyDescent="0.25">
      <c r="A28" s="431">
        <v>33588</v>
      </c>
      <c r="B28" s="434">
        <v>630.91</v>
      </c>
      <c r="C28" s="427">
        <f t="shared" si="0"/>
        <v>1991</v>
      </c>
      <c r="D28" s="433">
        <f t="shared" si="1"/>
        <v>630.91</v>
      </c>
    </row>
    <row r="29" spans="1:4" ht="16.149999999999999" customHeight="1" x14ac:dyDescent="0.25">
      <c r="A29" s="431">
        <v>33589</v>
      </c>
      <c r="B29" s="432">
        <v>626.23</v>
      </c>
      <c r="C29" s="427">
        <f t="shared" si="0"/>
        <v>1991</v>
      </c>
      <c r="D29" s="433">
        <f t="shared" si="1"/>
        <v>626.23</v>
      </c>
    </row>
    <row r="30" spans="1:4" ht="16.149999999999999" customHeight="1" x14ac:dyDescent="0.25">
      <c r="A30" s="431">
        <v>33590</v>
      </c>
      <c r="B30" s="434">
        <v>626.52</v>
      </c>
      <c r="C30" s="427">
        <f t="shared" si="0"/>
        <v>1991</v>
      </c>
      <c r="D30" s="433">
        <f t="shared" si="1"/>
        <v>626.52</v>
      </c>
    </row>
    <row r="31" spans="1:4" ht="16.149999999999999" customHeight="1" x14ac:dyDescent="0.25">
      <c r="A31" s="431">
        <v>33591</v>
      </c>
      <c r="B31" s="432">
        <v>633.35</v>
      </c>
      <c r="C31" s="427">
        <f t="shared" si="0"/>
        <v>1991</v>
      </c>
      <c r="D31" s="433">
        <f t="shared" si="1"/>
        <v>633.35</v>
      </c>
    </row>
    <row r="32" spans="1:4" ht="16.149999999999999" customHeight="1" x14ac:dyDescent="0.25">
      <c r="A32" s="431">
        <v>33592</v>
      </c>
      <c r="B32" s="434">
        <v>621.71</v>
      </c>
      <c r="C32" s="427">
        <f t="shared" si="0"/>
        <v>1991</v>
      </c>
      <c r="D32" s="433">
        <f t="shared" si="1"/>
        <v>621.71</v>
      </c>
    </row>
    <row r="33" spans="1:4" ht="16.149999999999999" customHeight="1" x14ac:dyDescent="0.25">
      <c r="A33" s="431">
        <v>33593</v>
      </c>
      <c r="B33" s="432">
        <v>620.62</v>
      </c>
      <c r="C33" s="427">
        <f t="shared" si="0"/>
        <v>1991</v>
      </c>
      <c r="D33" s="433">
        <f t="shared" si="1"/>
        <v>620.62</v>
      </c>
    </row>
    <row r="34" spans="1:4" ht="16.149999999999999" customHeight="1" x14ac:dyDescent="0.25">
      <c r="A34" s="431">
        <v>33594</v>
      </c>
      <c r="B34" s="434">
        <v>620.62</v>
      </c>
      <c r="C34" s="427">
        <f t="shared" si="0"/>
        <v>1991</v>
      </c>
      <c r="D34" s="433">
        <f t="shared" si="1"/>
        <v>620.62</v>
      </c>
    </row>
    <row r="35" spans="1:4" ht="16.149999999999999" customHeight="1" x14ac:dyDescent="0.25">
      <c r="A35" s="431">
        <v>33595</v>
      </c>
      <c r="B35" s="432">
        <v>620.62</v>
      </c>
      <c r="C35" s="427">
        <f t="shared" si="0"/>
        <v>1991</v>
      </c>
      <c r="D35" s="433">
        <f t="shared" si="1"/>
        <v>620.62</v>
      </c>
    </row>
    <row r="36" spans="1:4" ht="16.149999999999999" customHeight="1" x14ac:dyDescent="0.25">
      <c r="A36" s="431">
        <v>33596</v>
      </c>
      <c r="B36" s="434">
        <v>622.95000000000005</v>
      </c>
      <c r="C36" s="427">
        <f t="shared" si="0"/>
        <v>1991</v>
      </c>
      <c r="D36" s="433">
        <f t="shared" si="1"/>
        <v>622.95000000000005</v>
      </c>
    </row>
    <row r="37" spans="1:4" ht="16.149999999999999" customHeight="1" x14ac:dyDescent="0.25">
      <c r="A37" s="431">
        <v>33597</v>
      </c>
      <c r="B37" s="432">
        <v>622.95000000000005</v>
      </c>
      <c r="C37" s="427">
        <f t="shared" si="0"/>
        <v>1991</v>
      </c>
      <c r="D37" s="433">
        <f t="shared" si="1"/>
        <v>622.95000000000005</v>
      </c>
    </row>
    <row r="38" spans="1:4" ht="16.149999999999999" customHeight="1" x14ac:dyDescent="0.25">
      <c r="A38" s="431">
        <v>33598</v>
      </c>
      <c r="B38" s="434">
        <v>622.95000000000005</v>
      </c>
      <c r="C38" s="427">
        <f t="shared" si="0"/>
        <v>1991</v>
      </c>
      <c r="D38" s="433">
        <f t="shared" si="1"/>
        <v>622.95000000000005</v>
      </c>
    </row>
    <row r="39" spans="1:4" ht="16.149999999999999" customHeight="1" x14ac:dyDescent="0.25">
      <c r="A39" s="431">
        <v>33599</v>
      </c>
      <c r="B39" s="432">
        <v>631.63</v>
      </c>
      <c r="C39" s="427">
        <f t="shared" si="0"/>
        <v>1991</v>
      </c>
      <c r="D39" s="433">
        <f t="shared" si="1"/>
        <v>631.63</v>
      </c>
    </row>
    <row r="40" spans="1:4" ht="16.149999999999999" customHeight="1" x14ac:dyDescent="0.25">
      <c r="A40" s="431">
        <v>33600</v>
      </c>
      <c r="B40" s="434">
        <v>632.37</v>
      </c>
      <c r="C40" s="427">
        <f t="shared" si="0"/>
        <v>1991</v>
      </c>
      <c r="D40" s="433">
        <f t="shared" si="1"/>
        <v>632.37</v>
      </c>
    </row>
    <row r="41" spans="1:4" ht="16.149999999999999" customHeight="1" x14ac:dyDescent="0.25">
      <c r="A41" s="431">
        <v>33601</v>
      </c>
      <c r="B41" s="432">
        <v>632.37</v>
      </c>
      <c r="C41" s="427">
        <f t="shared" si="0"/>
        <v>1991</v>
      </c>
      <c r="D41" s="433">
        <f t="shared" si="1"/>
        <v>632.37</v>
      </c>
    </row>
    <row r="42" spans="1:4" ht="16.149999999999999" customHeight="1" x14ac:dyDescent="0.25">
      <c r="A42" s="431">
        <v>33602</v>
      </c>
      <c r="B42" s="434">
        <v>632.37</v>
      </c>
      <c r="C42" s="427">
        <f t="shared" si="0"/>
        <v>1991</v>
      </c>
      <c r="D42" s="433">
        <f t="shared" si="1"/>
        <v>632.37</v>
      </c>
    </row>
    <row r="43" spans="1:4" ht="16.149999999999999" customHeight="1" x14ac:dyDescent="0.25">
      <c r="A43" s="431">
        <v>33603</v>
      </c>
      <c r="B43" s="432">
        <v>632.37</v>
      </c>
      <c r="C43" s="427">
        <f t="shared" si="0"/>
        <v>1991</v>
      </c>
      <c r="D43" s="433">
        <f t="shared" si="1"/>
        <v>632.37</v>
      </c>
    </row>
    <row r="44" spans="1:4" ht="16.149999999999999" customHeight="1" x14ac:dyDescent="0.25">
      <c r="A44" s="431">
        <v>33604</v>
      </c>
      <c r="B44" s="434">
        <v>632.37</v>
      </c>
      <c r="C44" s="427">
        <f t="shared" si="0"/>
        <v>1992</v>
      </c>
      <c r="D44" s="433">
        <f t="shared" si="1"/>
        <v>632.37</v>
      </c>
    </row>
    <row r="45" spans="1:4" ht="16.149999999999999" customHeight="1" x14ac:dyDescent="0.25">
      <c r="A45" s="431">
        <v>33605</v>
      </c>
      <c r="B45" s="432">
        <v>638.61</v>
      </c>
      <c r="C45" s="427">
        <f t="shared" si="0"/>
        <v>1992</v>
      </c>
      <c r="D45" s="433">
        <f t="shared" si="1"/>
        <v>638.61</v>
      </c>
    </row>
    <row r="46" spans="1:4" ht="16.149999999999999" customHeight="1" x14ac:dyDescent="0.25">
      <c r="A46" s="431">
        <v>33606</v>
      </c>
      <c r="B46" s="434">
        <v>632.58000000000004</v>
      </c>
      <c r="C46" s="427">
        <f t="shared" si="0"/>
        <v>1992</v>
      </c>
      <c r="D46" s="433">
        <f t="shared" si="1"/>
        <v>632.58000000000004</v>
      </c>
    </row>
    <row r="47" spans="1:4" ht="16.149999999999999" customHeight="1" x14ac:dyDescent="0.25">
      <c r="A47" s="431">
        <v>33607</v>
      </c>
      <c r="B47" s="432">
        <v>638.07000000000005</v>
      </c>
      <c r="C47" s="427">
        <f t="shared" si="0"/>
        <v>1992</v>
      </c>
      <c r="D47" s="433">
        <f t="shared" si="1"/>
        <v>638.07000000000005</v>
      </c>
    </row>
    <row r="48" spans="1:4" ht="16.149999999999999" customHeight="1" x14ac:dyDescent="0.25">
      <c r="A48" s="431">
        <v>33608</v>
      </c>
      <c r="B48" s="434">
        <v>638.07000000000005</v>
      </c>
      <c r="C48" s="427">
        <f t="shared" si="0"/>
        <v>1992</v>
      </c>
      <c r="D48" s="433">
        <f t="shared" si="1"/>
        <v>638.07000000000005</v>
      </c>
    </row>
    <row r="49" spans="1:4" ht="16.149999999999999" customHeight="1" x14ac:dyDescent="0.25">
      <c r="A49" s="431">
        <v>33609</v>
      </c>
      <c r="B49" s="432">
        <v>638.07000000000005</v>
      </c>
      <c r="C49" s="427">
        <f t="shared" si="0"/>
        <v>1992</v>
      </c>
      <c r="D49" s="433">
        <f t="shared" si="1"/>
        <v>638.07000000000005</v>
      </c>
    </row>
    <row r="50" spans="1:4" ht="16.149999999999999" customHeight="1" x14ac:dyDescent="0.25">
      <c r="A50" s="431">
        <v>33610</v>
      </c>
      <c r="B50" s="434">
        <v>638.07000000000005</v>
      </c>
      <c r="C50" s="427">
        <f t="shared" si="0"/>
        <v>1992</v>
      </c>
      <c r="D50" s="433">
        <f t="shared" si="1"/>
        <v>638.07000000000005</v>
      </c>
    </row>
    <row r="51" spans="1:4" ht="16.149999999999999" customHeight="1" x14ac:dyDescent="0.25">
      <c r="A51" s="431">
        <v>33611</v>
      </c>
      <c r="B51" s="432">
        <v>638.16999999999996</v>
      </c>
      <c r="C51" s="427">
        <f t="shared" si="0"/>
        <v>1992</v>
      </c>
      <c r="D51" s="433">
        <f t="shared" si="1"/>
        <v>638.16999999999996</v>
      </c>
    </row>
    <row r="52" spans="1:4" ht="16.149999999999999" customHeight="1" x14ac:dyDescent="0.25">
      <c r="A52" s="431">
        <v>33612</v>
      </c>
      <c r="B52" s="434">
        <v>638.61</v>
      </c>
      <c r="C52" s="427">
        <f t="shared" si="0"/>
        <v>1992</v>
      </c>
      <c r="D52" s="433">
        <f t="shared" si="1"/>
        <v>638.61</v>
      </c>
    </row>
    <row r="53" spans="1:4" ht="16.149999999999999" customHeight="1" x14ac:dyDescent="0.25">
      <c r="A53" s="431">
        <v>33613</v>
      </c>
      <c r="B53" s="432">
        <v>637.86</v>
      </c>
      <c r="C53" s="427">
        <f t="shared" si="0"/>
        <v>1992</v>
      </c>
      <c r="D53" s="433">
        <f t="shared" si="1"/>
        <v>637.86</v>
      </c>
    </row>
    <row r="54" spans="1:4" ht="16.149999999999999" customHeight="1" x14ac:dyDescent="0.25">
      <c r="A54" s="431">
        <v>33614</v>
      </c>
      <c r="B54" s="434">
        <v>645.04</v>
      </c>
      <c r="C54" s="427">
        <f t="shared" si="0"/>
        <v>1992</v>
      </c>
      <c r="D54" s="433">
        <f t="shared" si="1"/>
        <v>645.04</v>
      </c>
    </row>
    <row r="55" spans="1:4" ht="16.149999999999999" customHeight="1" x14ac:dyDescent="0.25">
      <c r="A55" s="431">
        <v>33615</v>
      </c>
      <c r="B55" s="432">
        <v>645.04</v>
      </c>
      <c r="C55" s="427">
        <f t="shared" si="0"/>
        <v>1992</v>
      </c>
      <c r="D55" s="433">
        <f t="shared" si="1"/>
        <v>645.04</v>
      </c>
    </row>
    <row r="56" spans="1:4" ht="16.149999999999999" customHeight="1" x14ac:dyDescent="0.25">
      <c r="A56" s="431">
        <v>33616</v>
      </c>
      <c r="B56" s="434">
        <v>645.04</v>
      </c>
      <c r="C56" s="427">
        <f t="shared" si="0"/>
        <v>1992</v>
      </c>
      <c r="D56" s="433">
        <f t="shared" si="1"/>
        <v>645.04</v>
      </c>
    </row>
    <row r="57" spans="1:4" ht="16.149999999999999" customHeight="1" x14ac:dyDescent="0.25">
      <c r="A57" s="431">
        <v>33617</v>
      </c>
      <c r="B57" s="432">
        <v>659.74</v>
      </c>
      <c r="C57" s="427">
        <f t="shared" si="0"/>
        <v>1992</v>
      </c>
      <c r="D57" s="433">
        <f t="shared" si="1"/>
        <v>659.74</v>
      </c>
    </row>
    <row r="58" spans="1:4" ht="16.149999999999999" customHeight="1" x14ac:dyDescent="0.25">
      <c r="A58" s="431">
        <v>33618</v>
      </c>
      <c r="B58" s="434">
        <v>657.49</v>
      </c>
      <c r="C58" s="427">
        <f t="shared" si="0"/>
        <v>1992</v>
      </c>
      <c r="D58" s="433">
        <f t="shared" si="1"/>
        <v>657.49</v>
      </c>
    </row>
    <row r="59" spans="1:4" ht="16.149999999999999" customHeight="1" x14ac:dyDescent="0.25">
      <c r="A59" s="431">
        <v>33619</v>
      </c>
      <c r="B59" s="432">
        <v>653.45000000000005</v>
      </c>
      <c r="C59" s="427">
        <f t="shared" si="0"/>
        <v>1992</v>
      </c>
      <c r="D59" s="433">
        <f t="shared" si="1"/>
        <v>653.45000000000005</v>
      </c>
    </row>
    <row r="60" spans="1:4" ht="16.149999999999999" customHeight="1" x14ac:dyDescent="0.25">
      <c r="A60" s="431">
        <v>33620</v>
      </c>
      <c r="B60" s="434">
        <v>652.91</v>
      </c>
      <c r="C60" s="427">
        <f t="shared" si="0"/>
        <v>1992</v>
      </c>
      <c r="D60" s="433">
        <f t="shared" si="1"/>
        <v>652.91</v>
      </c>
    </row>
    <row r="61" spans="1:4" ht="16.149999999999999" customHeight="1" x14ac:dyDescent="0.25">
      <c r="A61" s="431">
        <v>33621</v>
      </c>
      <c r="B61" s="432">
        <v>645.35</v>
      </c>
      <c r="C61" s="427">
        <f t="shared" si="0"/>
        <v>1992</v>
      </c>
      <c r="D61" s="433">
        <f t="shared" si="1"/>
        <v>645.35</v>
      </c>
    </row>
    <row r="62" spans="1:4" ht="16.149999999999999" customHeight="1" x14ac:dyDescent="0.25">
      <c r="A62" s="431">
        <v>33622</v>
      </c>
      <c r="B62" s="434">
        <v>645.35</v>
      </c>
      <c r="C62" s="427">
        <f t="shared" si="0"/>
        <v>1992</v>
      </c>
      <c r="D62" s="433">
        <f t="shared" si="1"/>
        <v>645.35</v>
      </c>
    </row>
    <row r="63" spans="1:4" ht="16.149999999999999" customHeight="1" x14ac:dyDescent="0.25">
      <c r="A63" s="431">
        <v>33623</v>
      </c>
      <c r="B63" s="432">
        <v>645.35</v>
      </c>
      <c r="C63" s="427">
        <f t="shared" si="0"/>
        <v>1992</v>
      </c>
      <c r="D63" s="433">
        <f t="shared" si="1"/>
        <v>645.35</v>
      </c>
    </row>
    <row r="64" spans="1:4" ht="16.149999999999999" customHeight="1" x14ac:dyDescent="0.25">
      <c r="A64" s="431">
        <v>33624</v>
      </c>
      <c r="B64" s="434">
        <v>645.97</v>
      </c>
      <c r="C64" s="427">
        <f t="shared" si="0"/>
        <v>1992</v>
      </c>
      <c r="D64" s="433">
        <f t="shared" si="1"/>
        <v>645.97</v>
      </c>
    </row>
    <row r="65" spans="1:4" ht="16.149999999999999" customHeight="1" x14ac:dyDescent="0.25">
      <c r="A65" s="431">
        <v>33625</v>
      </c>
      <c r="B65" s="432">
        <v>647.04</v>
      </c>
      <c r="C65" s="427">
        <f t="shared" si="0"/>
        <v>1992</v>
      </c>
      <c r="D65" s="433">
        <f t="shared" si="1"/>
        <v>647.04</v>
      </c>
    </row>
    <row r="66" spans="1:4" ht="16.149999999999999" customHeight="1" x14ac:dyDescent="0.25">
      <c r="A66" s="431">
        <v>33626</v>
      </c>
      <c r="B66" s="434">
        <v>647.01</v>
      </c>
      <c r="C66" s="427">
        <f t="shared" si="0"/>
        <v>1992</v>
      </c>
      <c r="D66" s="433">
        <f t="shared" si="1"/>
        <v>647.01</v>
      </c>
    </row>
    <row r="67" spans="1:4" ht="16.149999999999999" customHeight="1" x14ac:dyDescent="0.25">
      <c r="A67" s="431">
        <v>33627</v>
      </c>
      <c r="B67" s="432">
        <v>647.01</v>
      </c>
      <c r="C67" s="427">
        <f t="shared" si="0"/>
        <v>1992</v>
      </c>
      <c r="D67" s="433">
        <f t="shared" si="1"/>
        <v>647.01</v>
      </c>
    </row>
    <row r="68" spans="1:4" ht="16.149999999999999" customHeight="1" x14ac:dyDescent="0.25">
      <c r="A68" s="431">
        <v>33628</v>
      </c>
      <c r="B68" s="434">
        <v>644.83000000000004</v>
      </c>
      <c r="C68" s="427">
        <f t="shared" si="0"/>
        <v>1992</v>
      </c>
      <c r="D68" s="433">
        <f t="shared" si="1"/>
        <v>644.83000000000004</v>
      </c>
    </row>
    <row r="69" spans="1:4" ht="16.149999999999999" customHeight="1" x14ac:dyDescent="0.25">
      <c r="A69" s="431">
        <v>33629</v>
      </c>
      <c r="B69" s="432">
        <v>644.83000000000004</v>
      </c>
      <c r="C69" s="427">
        <f t="shared" si="0"/>
        <v>1992</v>
      </c>
      <c r="D69" s="433">
        <f t="shared" si="1"/>
        <v>644.83000000000004</v>
      </c>
    </row>
    <row r="70" spans="1:4" ht="16.149999999999999" customHeight="1" x14ac:dyDescent="0.25">
      <c r="A70" s="431">
        <v>33630</v>
      </c>
      <c r="B70" s="434">
        <v>644.83000000000004</v>
      </c>
      <c r="C70" s="427">
        <f t="shared" si="0"/>
        <v>1992</v>
      </c>
      <c r="D70" s="433">
        <f t="shared" si="1"/>
        <v>644.83000000000004</v>
      </c>
    </row>
    <row r="71" spans="1:4" ht="16.149999999999999" customHeight="1" x14ac:dyDescent="0.25">
      <c r="A71" s="431">
        <v>33631</v>
      </c>
      <c r="B71" s="432">
        <v>645.53</v>
      </c>
      <c r="C71" s="427">
        <f t="shared" si="0"/>
        <v>1992</v>
      </c>
      <c r="D71" s="433">
        <f t="shared" si="1"/>
        <v>645.53</v>
      </c>
    </row>
    <row r="72" spans="1:4" ht="16.149999999999999" customHeight="1" x14ac:dyDescent="0.25">
      <c r="A72" s="431">
        <v>33632</v>
      </c>
      <c r="B72" s="434">
        <v>645.20000000000005</v>
      </c>
      <c r="C72" s="427">
        <f t="shared" si="0"/>
        <v>1992</v>
      </c>
      <c r="D72" s="433">
        <f t="shared" si="1"/>
        <v>645.20000000000005</v>
      </c>
    </row>
    <row r="73" spans="1:4" ht="16.149999999999999" customHeight="1" x14ac:dyDescent="0.25">
      <c r="A73" s="431">
        <v>33633</v>
      </c>
      <c r="B73" s="432">
        <v>644.04</v>
      </c>
      <c r="C73" s="427">
        <f t="shared" si="0"/>
        <v>1992</v>
      </c>
      <c r="D73" s="433">
        <f t="shared" si="1"/>
        <v>644.04</v>
      </c>
    </row>
    <row r="74" spans="1:4" ht="16.149999999999999" customHeight="1" x14ac:dyDescent="0.25">
      <c r="A74" s="431">
        <v>33634</v>
      </c>
      <c r="B74" s="434">
        <v>644.27</v>
      </c>
      <c r="C74" s="427">
        <f t="shared" ref="C74:C137" si="2">YEAR(A74)</f>
        <v>1992</v>
      </c>
      <c r="D74" s="433">
        <f t="shared" ref="D74:D137" si="3">B74</f>
        <v>644.27</v>
      </c>
    </row>
    <row r="75" spans="1:4" ht="16.149999999999999" customHeight="1" x14ac:dyDescent="0.25">
      <c r="A75" s="431">
        <v>33635</v>
      </c>
      <c r="B75" s="432">
        <v>640.52</v>
      </c>
      <c r="C75" s="427">
        <f t="shared" si="2"/>
        <v>1992</v>
      </c>
      <c r="D75" s="433">
        <f t="shared" si="3"/>
        <v>640.52</v>
      </c>
    </row>
    <row r="76" spans="1:4" ht="16.149999999999999" customHeight="1" x14ac:dyDescent="0.25">
      <c r="A76" s="431">
        <v>33636</v>
      </c>
      <c r="B76" s="434">
        <v>640.52</v>
      </c>
      <c r="C76" s="427">
        <f t="shared" si="2"/>
        <v>1992</v>
      </c>
      <c r="D76" s="433">
        <f t="shared" si="3"/>
        <v>640.52</v>
      </c>
    </row>
    <row r="77" spans="1:4" ht="16.149999999999999" customHeight="1" x14ac:dyDescent="0.25">
      <c r="A77" s="431">
        <v>33637</v>
      </c>
      <c r="B77" s="432">
        <v>640.52</v>
      </c>
      <c r="C77" s="427">
        <f t="shared" si="2"/>
        <v>1992</v>
      </c>
      <c r="D77" s="433">
        <f t="shared" si="3"/>
        <v>640.52</v>
      </c>
    </row>
    <row r="78" spans="1:4" ht="16.149999999999999" customHeight="1" x14ac:dyDescent="0.25">
      <c r="A78" s="431">
        <v>33638</v>
      </c>
      <c r="B78" s="434">
        <v>640.52</v>
      </c>
      <c r="C78" s="427">
        <f t="shared" si="2"/>
        <v>1992</v>
      </c>
      <c r="D78" s="433">
        <f t="shared" si="3"/>
        <v>640.52</v>
      </c>
    </row>
    <row r="79" spans="1:4" ht="16.149999999999999" customHeight="1" x14ac:dyDescent="0.25">
      <c r="A79" s="431">
        <v>33639</v>
      </c>
      <c r="B79" s="432">
        <v>638.01</v>
      </c>
      <c r="C79" s="427">
        <f t="shared" si="2"/>
        <v>1992</v>
      </c>
      <c r="D79" s="433">
        <f t="shared" si="3"/>
        <v>638.01</v>
      </c>
    </row>
    <row r="80" spans="1:4" ht="16.149999999999999" customHeight="1" x14ac:dyDescent="0.25">
      <c r="A80" s="431">
        <v>33640</v>
      </c>
      <c r="B80" s="434">
        <v>637.65</v>
      </c>
      <c r="C80" s="427">
        <f t="shared" si="2"/>
        <v>1992</v>
      </c>
      <c r="D80" s="433">
        <f t="shared" si="3"/>
        <v>637.65</v>
      </c>
    </row>
    <row r="81" spans="1:4" ht="16.149999999999999" customHeight="1" x14ac:dyDescent="0.25">
      <c r="A81" s="431">
        <v>33641</v>
      </c>
      <c r="B81" s="432">
        <v>636.9</v>
      </c>
      <c r="C81" s="427">
        <f t="shared" si="2"/>
        <v>1992</v>
      </c>
      <c r="D81" s="433">
        <f t="shared" si="3"/>
        <v>636.9</v>
      </c>
    </row>
    <row r="82" spans="1:4" ht="16.149999999999999" customHeight="1" x14ac:dyDescent="0.25">
      <c r="A82" s="431">
        <v>33642</v>
      </c>
      <c r="B82" s="434">
        <v>635.34</v>
      </c>
      <c r="C82" s="427">
        <f t="shared" si="2"/>
        <v>1992</v>
      </c>
      <c r="D82" s="433">
        <f t="shared" si="3"/>
        <v>635.34</v>
      </c>
    </row>
    <row r="83" spans="1:4" ht="16.149999999999999" customHeight="1" x14ac:dyDescent="0.25">
      <c r="A83" s="431">
        <v>33643</v>
      </c>
      <c r="B83" s="432">
        <v>635.34</v>
      </c>
      <c r="C83" s="427">
        <f t="shared" si="2"/>
        <v>1992</v>
      </c>
      <c r="D83" s="433">
        <f t="shared" si="3"/>
        <v>635.34</v>
      </c>
    </row>
    <row r="84" spans="1:4" ht="16.149999999999999" customHeight="1" x14ac:dyDescent="0.25">
      <c r="A84" s="431">
        <v>33644</v>
      </c>
      <c r="B84" s="434">
        <v>635.34</v>
      </c>
      <c r="C84" s="427">
        <f t="shared" si="2"/>
        <v>1992</v>
      </c>
      <c r="D84" s="433">
        <f t="shared" si="3"/>
        <v>635.34</v>
      </c>
    </row>
    <row r="85" spans="1:4" ht="16.149999999999999" customHeight="1" x14ac:dyDescent="0.25">
      <c r="A85" s="431">
        <v>33645</v>
      </c>
      <c r="B85" s="432">
        <v>634.74</v>
      </c>
      <c r="C85" s="427">
        <f t="shared" si="2"/>
        <v>1992</v>
      </c>
      <c r="D85" s="433">
        <f t="shared" si="3"/>
        <v>634.74</v>
      </c>
    </row>
    <row r="86" spans="1:4" ht="16.149999999999999" customHeight="1" x14ac:dyDescent="0.25">
      <c r="A86" s="431">
        <v>33646</v>
      </c>
      <c r="B86" s="434">
        <v>634.59</v>
      </c>
      <c r="C86" s="427">
        <f t="shared" si="2"/>
        <v>1992</v>
      </c>
      <c r="D86" s="433">
        <f t="shared" si="3"/>
        <v>634.59</v>
      </c>
    </row>
    <row r="87" spans="1:4" ht="16.149999999999999" customHeight="1" x14ac:dyDescent="0.25">
      <c r="A87" s="431">
        <v>33647</v>
      </c>
      <c r="B87" s="432">
        <v>634.66999999999996</v>
      </c>
      <c r="C87" s="427">
        <f t="shared" si="2"/>
        <v>1992</v>
      </c>
      <c r="D87" s="433">
        <f t="shared" si="3"/>
        <v>634.66999999999996</v>
      </c>
    </row>
    <row r="88" spans="1:4" ht="16.149999999999999" customHeight="1" x14ac:dyDescent="0.25">
      <c r="A88" s="431">
        <v>33648</v>
      </c>
      <c r="B88" s="434">
        <v>635.6</v>
      </c>
      <c r="C88" s="427">
        <f t="shared" si="2"/>
        <v>1992</v>
      </c>
      <c r="D88" s="433">
        <f t="shared" si="3"/>
        <v>635.6</v>
      </c>
    </row>
    <row r="89" spans="1:4" ht="16.149999999999999" customHeight="1" x14ac:dyDescent="0.25">
      <c r="A89" s="431">
        <v>33649</v>
      </c>
      <c r="B89" s="432">
        <v>634.74</v>
      </c>
      <c r="C89" s="427">
        <f t="shared" si="2"/>
        <v>1992</v>
      </c>
      <c r="D89" s="433">
        <f t="shared" si="3"/>
        <v>634.74</v>
      </c>
    </row>
    <row r="90" spans="1:4" ht="16.149999999999999" customHeight="1" x14ac:dyDescent="0.25">
      <c r="A90" s="431">
        <v>33650</v>
      </c>
      <c r="B90" s="434">
        <v>634.74</v>
      </c>
      <c r="C90" s="427">
        <f t="shared" si="2"/>
        <v>1992</v>
      </c>
      <c r="D90" s="433">
        <f t="shared" si="3"/>
        <v>634.74</v>
      </c>
    </row>
    <row r="91" spans="1:4" ht="16.149999999999999" customHeight="1" x14ac:dyDescent="0.25">
      <c r="A91" s="431">
        <v>33651</v>
      </c>
      <c r="B91" s="432">
        <v>634.74</v>
      </c>
      <c r="C91" s="427">
        <f t="shared" si="2"/>
        <v>1992</v>
      </c>
      <c r="D91" s="433">
        <f t="shared" si="3"/>
        <v>634.74</v>
      </c>
    </row>
    <row r="92" spans="1:4" ht="16.149999999999999" customHeight="1" x14ac:dyDescent="0.25">
      <c r="A92" s="431">
        <v>33652</v>
      </c>
      <c r="B92" s="434">
        <v>635.66</v>
      </c>
      <c r="C92" s="427">
        <f t="shared" si="2"/>
        <v>1992</v>
      </c>
      <c r="D92" s="433">
        <f t="shared" si="3"/>
        <v>635.66</v>
      </c>
    </row>
    <row r="93" spans="1:4" ht="16.149999999999999" customHeight="1" x14ac:dyDescent="0.25">
      <c r="A93" s="431">
        <v>33653</v>
      </c>
      <c r="B93" s="432">
        <v>635.21</v>
      </c>
      <c r="C93" s="427">
        <f t="shared" si="2"/>
        <v>1992</v>
      </c>
      <c r="D93" s="433">
        <f t="shared" si="3"/>
        <v>635.21</v>
      </c>
    </row>
    <row r="94" spans="1:4" ht="16.149999999999999" customHeight="1" x14ac:dyDescent="0.25">
      <c r="A94" s="431">
        <v>33654</v>
      </c>
      <c r="B94" s="434">
        <v>634.92999999999995</v>
      </c>
      <c r="C94" s="427">
        <f t="shared" si="2"/>
        <v>1992</v>
      </c>
      <c r="D94" s="433">
        <f t="shared" si="3"/>
        <v>634.92999999999995</v>
      </c>
    </row>
    <row r="95" spans="1:4" ht="16.149999999999999" customHeight="1" x14ac:dyDescent="0.25">
      <c r="A95" s="431">
        <v>33655</v>
      </c>
      <c r="B95" s="432">
        <v>633.30999999999995</v>
      </c>
      <c r="C95" s="427">
        <f t="shared" si="2"/>
        <v>1992</v>
      </c>
      <c r="D95" s="433">
        <f t="shared" si="3"/>
        <v>633.30999999999995</v>
      </c>
    </row>
    <row r="96" spans="1:4" ht="16.149999999999999" customHeight="1" x14ac:dyDescent="0.25">
      <c r="A96" s="431">
        <v>33656</v>
      </c>
      <c r="B96" s="434">
        <v>633.03</v>
      </c>
      <c r="C96" s="427">
        <f t="shared" si="2"/>
        <v>1992</v>
      </c>
      <c r="D96" s="433">
        <f t="shared" si="3"/>
        <v>633.03</v>
      </c>
    </row>
    <row r="97" spans="1:4" ht="16.149999999999999" customHeight="1" x14ac:dyDescent="0.25">
      <c r="A97" s="431">
        <v>33657</v>
      </c>
      <c r="B97" s="432">
        <v>633.03</v>
      </c>
      <c r="C97" s="427">
        <f t="shared" si="2"/>
        <v>1992</v>
      </c>
      <c r="D97" s="433">
        <f t="shared" si="3"/>
        <v>633.03</v>
      </c>
    </row>
    <row r="98" spans="1:4" ht="16.149999999999999" customHeight="1" x14ac:dyDescent="0.25">
      <c r="A98" s="431">
        <v>33658</v>
      </c>
      <c r="B98" s="434">
        <v>633.03</v>
      </c>
      <c r="C98" s="427">
        <f t="shared" si="2"/>
        <v>1992</v>
      </c>
      <c r="D98" s="433">
        <f t="shared" si="3"/>
        <v>633.03</v>
      </c>
    </row>
    <row r="99" spans="1:4" ht="16.149999999999999" customHeight="1" x14ac:dyDescent="0.25">
      <c r="A99" s="431">
        <v>33659</v>
      </c>
      <c r="B99" s="432">
        <v>633.54999999999995</v>
      </c>
      <c r="C99" s="427">
        <f t="shared" si="2"/>
        <v>1992</v>
      </c>
      <c r="D99" s="433">
        <f t="shared" si="3"/>
        <v>633.54999999999995</v>
      </c>
    </row>
    <row r="100" spans="1:4" ht="16.149999999999999" customHeight="1" x14ac:dyDescent="0.25">
      <c r="A100" s="431">
        <v>33660</v>
      </c>
      <c r="B100" s="434">
        <v>633.74</v>
      </c>
      <c r="C100" s="427">
        <f t="shared" si="2"/>
        <v>1992</v>
      </c>
      <c r="D100" s="433">
        <f t="shared" si="3"/>
        <v>633.74</v>
      </c>
    </row>
    <row r="101" spans="1:4" ht="16.149999999999999" customHeight="1" x14ac:dyDescent="0.25">
      <c r="A101" s="431">
        <v>33661</v>
      </c>
      <c r="B101" s="432">
        <v>634.05999999999995</v>
      </c>
      <c r="C101" s="427">
        <f t="shared" si="2"/>
        <v>1992</v>
      </c>
      <c r="D101" s="433">
        <f t="shared" si="3"/>
        <v>634.05999999999995</v>
      </c>
    </row>
    <row r="102" spans="1:4" ht="16.149999999999999" customHeight="1" x14ac:dyDescent="0.25">
      <c r="A102" s="431">
        <v>33662</v>
      </c>
      <c r="B102" s="434">
        <v>633.91</v>
      </c>
      <c r="C102" s="427">
        <f t="shared" si="2"/>
        <v>1992</v>
      </c>
      <c r="D102" s="433">
        <f t="shared" si="3"/>
        <v>633.91</v>
      </c>
    </row>
    <row r="103" spans="1:4" ht="16.149999999999999" customHeight="1" x14ac:dyDescent="0.25">
      <c r="A103" s="431">
        <v>33663</v>
      </c>
      <c r="B103" s="432">
        <v>636.54</v>
      </c>
      <c r="C103" s="427">
        <f t="shared" si="2"/>
        <v>1992</v>
      </c>
      <c r="D103" s="433">
        <f t="shared" si="3"/>
        <v>636.54</v>
      </c>
    </row>
    <row r="104" spans="1:4" ht="16.149999999999999" customHeight="1" x14ac:dyDescent="0.25">
      <c r="A104" s="431">
        <v>33664</v>
      </c>
      <c r="B104" s="434">
        <v>636.54</v>
      </c>
      <c r="C104" s="427">
        <f t="shared" si="2"/>
        <v>1992</v>
      </c>
      <c r="D104" s="433">
        <f t="shared" si="3"/>
        <v>636.54</v>
      </c>
    </row>
    <row r="105" spans="1:4" ht="16.149999999999999" customHeight="1" x14ac:dyDescent="0.25">
      <c r="A105" s="431">
        <v>33665</v>
      </c>
      <c r="B105" s="432">
        <v>636.54</v>
      </c>
      <c r="C105" s="427">
        <f t="shared" si="2"/>
        <v>1992</v>
      </c>
      <c r="D105" s="433">
        <f t="shared" si="3"/>
        <v>636.54</v>
      </c>
    </row>
    <row r="106" spans="1:4" ht="16.149999999999999" customHeight="1" x14ac:dyDescent="0.25">
      <c r="A106" s="431">
        <v>33666</v>
      </c>
      <c r="B106" s="434">
        <v>640.95000000000005</v>
      </c>
      <c r="C106" s="427">
        <f t="shared" si="2"/>
        <v>1992</v>
      </c>
      <c r="D106" s="433">
        <f t="shared" si="3"/>
        <v>640.95000000000005</v>
      </c>
    </row>
    <row r="107" spans="1:4" ht="16.149999999999999" customHeight="1" x14ac:dyDescent="0.25">
      <c r="A107" s="431">
        <v>33667</v>
      </c>
      <c r="B107" s="432">
        <v>636.04999999999995</v>
      </c>
      <c r="C107" s="427">
        <f t="shared" si="2"/>
        <v>1992</v>
      </c>
      <c r="D107" s="433">
        <f t="shared" si="3"/>
        <v>636.04999999999995</v>
      </c>
    </row>
    <row r="108" spans="1:4" ht="16.149999999999999" customHeight="1" x14ac:dyDescent="0.25">
      <c r="A108" s="431">
        <v>33668</v>
      </c>
      <c r="B108" s="434">
        <v>635.86</v>
      </c>
      <c r="C108" s="427">
        <f t="shared" si="2"/>
        <v>1992</v>
      </c>
      <c r="D108" s="433">
        <f t="shared" si="3"/>
        <v>635.86</v>
      </c>
    </row>
    <row r="109" spans="1:4" ht="16.149999999999999" customHeight="1" x14ac:dyDescent="0.25">
      <c r="A109" s="431">
        <v>33669</v>
      </c>
      <c r="B109" s="432">
        <v>636.73</v>
      </c>
      <c r="C109" s="427">
        <f t="shared" si="2"/>
        <v>1992</v>
      </c>
      <c r="D109" s="433">
        <f t="shared" si="3"/>
        <v>636.73</v>
      </c>
    </row>
    <row r="110" spans="1:4" ht="16.149999999999999" customHeight="1" x14ac:dyDescent="0.25">
      <c r="A110" s="431">
        <v>33670</v>
      </c>
      <c r="B110" s="434">
        <v>636.22</v>
      </c>
      <c r="C110" s="427">
        <f t="shared" si="2"/>
        <v>1992</v>
      </c>
      <c r="D110" s="433">
        <f t="shared" si="3"/>
        <v>636.22</v>
      </c>
    </row>
    <row r="111" spans="1:4" ht="16.149999999999999" customHeight="1" x14ac:dyDescent="0.25">
      <c r="A111" s="431">
        <v>33671</v>
      </c>
      <c r="B111" s="432">
        <v>636.22</v>
      </c>
      <c r="C111" s="427">
        <f t="shared" si="2"/>
        <v>1992</v>
      </c>
      <c r="D111" s="433">
        <f t="shared" si="3"/>
        <v>636.22</v>
      </c>
    </row>
    <row r="112" spans="1:4" ht="16.149999999999999" customHeight="1" x14ac:dyDescent="0.25">
      <c r="A112" s="431">
        <v>33672</v>
      </c>
      <c r="B112" s="434">
        <v>636.22</v>
      </c>
      <c r="C112" s="427">
        <f t="shared" si="2"/>
        <v>1992</v>
      </c>
      <c r="D112" s="433">
        <f t="shared" si="3"/>
        <v>636.22</v>
      </c>
    </row>
    <row r="113" spans="1:4" ht="16.149999999999999" customHeight="1" x14ac:dyDescent="0.25">
      <c r="A113" s="431">
        <v>33673</v>
      </c>
      <c r="B113" s="432">
        <v>635.88</v>
      </c>
      <c r="C113" s="427">
        <f t="shared" si="2"/>
        <v>1992</v>
      </c>
      <c r="D113" s="433">
        <f t="shared" si="3"/>
        <v>635.88</v>
      </c>
    </row>
    <row r="114" spans="1:4" ht="16.149999999999999" customHeight="1" x14ac:dyDescent="0.25">
      <c r="A114" s="431">
        <v>33674</v>
      </c>
      <c r="B114" s="434">
        <v>639.78</v>
      </c>
      <c r="C114" s="427">
        <f t="shared" si="2"/>
        <v>1992</v>
      </c>
      <c r="D114" s="433">
        <f t="shared" si="3"/>
        <v>639.78</v>
      </c>
    </row>
    <row r="115" spans="1:4" ht="16.149999999999999" customHeight="1" x14ac:dyDescent="0.25">
      <c r="A115" s="431">
        <v>33675</v>
      </c>
      <c r="B115" s="432">
        <v>639.38</v>
      </c>
      <c r="C115" s="427">
        <f t="shared" si="2"/>
        <v>1992</v>
      </c>
      <c r="D115" s="433">
        <f t="shared" si="3"/>
        <v>639.38</v>
      </c>
    </row>
    <row r="116" spans="1:4" ht="16.149999999999999" customHeight="1" x14ac:dyDescent="0.25">
      <c r="A116" s="431">
        <v>33676</v>
      </c>
      <c r="B116" s="434">
        <v>641.29</v>
      </c>
      <c r="C116" s="427">
        <f t="shared" si="2"/>
        <v>1992</v>
      </c>
      <c r="D116" s="433">
        <f t="shared" si="3"/>
        <v>641.29</v>
      </c>
    </row>
    <row r="117" spans="1:4" ht="16.149999999999999" customHeight="1" x14ac:dyDescent="0.25">
      <c r="A117" s="431">
        <v>33677</v>
      </c>
      <c r="B117" s="432">
        <v>642</v>
      </c>
      <c r="C117" s="427">
        <f t="shared" si="2"/>
        <v>1992</v>
      </c>
      <c r="D117" s="433">
        <f t="shared" si="3"/>
        <v>642</v>
      </c>
    </row>
    <row r="118" spans="1:4" ht="16.149999999999999" customHeight="1" x14ac:dyDescent="0.25">
      <c r="A118" s="431">
        <v>33678</v>
      </c>
      <c r="B118" s="434">
        <v>642</v>
      </c>
      <c r="C118" s="427">
        <f t="shared" si="2"/>
        <v>1992</v>
      </c>
      <c r="D118" s="433">
        <f t="shared" si="3"/>
        <v>642</v>
      </c>
    </row>
    <row r="119" spans="1:4" ht="16.149999999999999" customHeight="1" x14ac:dyDescent="0.25">
      <c r="A119" s="431">
        <v>33679</v>
      </c>
      <c r="B119" s="432">
        <v>642</v>
      </c>
      <c r="C119" s="427">
        <f t="shared" si="2"/>
        <v>1992</v>
      </c>
      <c r="D119" s="433">
        <f t="shared" si="3"/>
        <v>642</v>
      </c>
    </row>
    <row r="120" spans="1:4" ht="16.149999999999999" customHeight="1" x14ac:dyDescent="0.25">
      <c r="A120" s="431">
        <v>33680</v>
      </c>
      <c r="B120" s="434">
        <v>644.13</v>
      </c>
      <c r="C120" s="427">
        <f t="shared" si="2"/>
        <v>1992</v>
      </c>
      <c r="D120" s="433">
        <f t="shared" si="3"/>
        <v>644.13</v>
      </c>
    </row>
    <row r="121" spans="1:4" ht="16.149999999999999" customHeight="1" x14ac:dyDescent="0.25">
      <c r="A121" s="431">
        <v>33681</v>
      </c>
      <c r="B121" s="432">
        <v>643.83000000000004</v>
      </c>
      <c r="C121" s="427">
        <f t="shared" si="2"/>
        <v>1992</v>
      </c>
      <c r="D121" s="433">
        <f t="shared" si="3"/>
        <v>643.83000000000004</v>
      </c>
    </row>
    <row r="122" spans="1:4" ht="16.149999999999999" customHeight="1" x14ac:dyDescent="0.25">
      <c r="A122" s="431">
        <v>33682</v>
      </c>
      <c r="B122" s="434">
        <v>642.59</v>
      </c>
      <c r="C122" s="427">
        <f t="shared" si="2"/>
        <v>1992</v>
      </c>
      <c r="D122" s="433">
        <f t="shared" si="3"/>
        <v>642.59</v>
      </c>
    </row>
    <row r="123" spans="1:4" ht="16.149999999999999" customHeight="1" x14ac:dyDescent="0.25">
      <c r="A123" s="431">
        <v>33683</v>
      </c>
      <c r="B123" s="432">
        <v>641.53</v>
      </c>
      <c r="C123" s="427">
        <f t="shared" si="2"/>
        <v>1992</v>
      </c>
      <c r="D123" s="433">
        <f t="shared" si="3"/>
        <v>641.53</v>
      </c>
    </row>
    <row r="124" spans="1:4" ht="16.149999999999999" customHeight="1" x14ac:dyDescent="0.25">
      <c r="A124" s="431">
        <v>33684</v>
      </c>
      <c r="B124" s="434">
        <v>640.37</v>
      </c>
      <c r="C124" s="427">
        <f t="shared" si="2"/>
        <v>1992</v>
      </c>
      <c r="D124" s="433">
        <f t="shared" si="3"/>
        <v>640.37</v>
      </c>
    </row>
    <row r="125" spans="1:4" ht="16.149999999999999" customHeight="1" x14ac:dyDescent="0.25">
      <c r="A125" s="431">
        <v>33685</v>
      </c>
      <c r="B125" s="432">
        <v>640.37</v>
      </c>
      <c r="C125" s="427">
        <f t="shared" si="2"/>
        <v>1992</v>
      </c>
      <c r="D125" s="433">
        <f t="shared" si="3"/>
        <v>640.37</v>
      </c>
    </row>
    <row r="126" spans="1:4" ht="16.149999999999999" customHeight="1" x14ac:dyDescent="0.25">
      <c r="A126" s="431">
        <v>33686</v>
      </c>
      <c r="B126" s="434">
        <v>640.37</v>
      </c>
      <c r="C126" s="427">
        <f t="shared" si="2"/>
        <v>1992</v>
      </c>
      <c r="D126" s="433">
        <f t="shared" si="3"/>
        <v>640.37</v>
      </c>
    </row>
    <row r="127" spans="1:4" ht="16.149999999999999" customHeight="1" x14ac:dyDescent="0.25">
      <c r="A127" s="431">
        <v>33687</v>
      </c>
      <c r="B127" s="432">
        <v>640.37</v>
      </c>
      <c r="C127" s="427">
        <f t="shared" si="2"/>
        <v>1992</v>
      </c>
      <c r="D127" s="433">
        <f t="shared" si="3"/>
        <v>640.37</v>
      </c>
    </row>
    <row r="128" spans="1:4" ht="16.149999999999999" customHeight="1" x14ac:dyDescent="0.25">
      <c r="A128" s="431">
        <v>33688</v>
      </c>
      <c r="B128" s="434">
        <v>642</v>
      </c>
      <c r="C128" s="427">
        <f t="shared" si="2"/>
        <v>1992</v>
      </c>
      <c r="D128" s="433">
        <f t="shared" si="3"/>
        <v>642</v>
      </c>
    </row>
    <row r="129" spans="1:4" ht="16.149999999999999" customHeight="1" x14ac:dyDescent="0.25">
      <c r="A129" s="431">
        <v>33689</v>
      </c>
      <c r="B129" s="432">
        <v>641.80999999999995</v>
      </c>
      <c r="C129" s="427">
        <f t="shared" si="2"/>
        <v>1992</v>
      </c>
      <c r="D129" s="433">
        <f t="shared" si="3"/>
        <v>641.80999999999995</v>
      </c>
    </row>
    <row r="130" spans="1:4" ht="16.149999999999999" customHeight="1" x14ac:dyDescent="0.25">
      <c r="A130" s="431">
        <v>33690</v>
      </c>
      <c r="B130" s="434">
        <v>641.22</v>
      </c>
      <c r="C130" s="427">
        <f t="shared" si="2"/>
        <v>1992</v>
      </c>
      <c r="D130" s="433">
        <f t="shared" si="3"/>
        <v>641.22</v>
      </c>
    </row>
    <row r="131" spans="1:4" ht="16.149999999999999" customHeight="1" x14ac:dyDescent="0.25">
      <c r="A131" s="431">
        <v>33691</v>
      </c>
      <c r="B131" s="432">
        <v>647.24</v>
      </c>
      <c r="C131" s="427">
        <f t="shared" si="2"/>
        <v>1992</v>
      </c>
      <c r="D131" s="433">
        <f t="shared" si="3"/>
        <v>647.24</v>
      </c>
    </row>
    <row r="132" spans="1:4" ht="16.149999999999999" customHeight="1" x14ac:dyDescent="0.25">
      <c r="A132" s="431">
        <v>33692</v>
      </c>
      <c r="B132" s="434">
        <v>647.24</v>
      </c>
      <c r="C132" s="427">
        <f t="shared" si="2"/>
        <v>1992</v>
      </c>
      <c r="D132" s="433">
        <f t="shared" si="3"/>
        <v>647.24</v>
      </c>
    </row>
    <row r="133" spans="1:4" ht="16.149999999999999" customHeight="1" x14ac:dyDescent="0.25">
      <c r="A133" s="431">
        <v>33693</v>
      </c>
      <c r="B133" s="432">
        <v>647.24</v>
      </c>
      <c r="C133" s="427">
        <f t="shared" si="2"/>
        <v>1992</v>
      </c>
      <c r="D133" s="433">
        <f t="shared" si="3"/>
        <v>647.24</v>
      </c>
    </row>
    <row r="134" spans="1:4" ht="16.149999999999999" customHeight="1" x14ac:dyDescent="0.25">
      <c r="A134" s="431">
        <v>33694</v>
      </c>
      <c r="B134" s="434">
        <v>641.59</v>
      </c>
      <c r="C134" s="427">
        <f t="shared" si="2"/>
        <v>1992</v>
      </c>
      <c r="D134" s="433">
        <f t="shared" si="3"/>
        <v>641.59</v>
      </c>
    </row>
    <row r="135" spans="1:4" ht="16.149999999999999" customHeight="1" x14ac:dyDescent="0.25">
      <c r="A135" s="431">
        <v>33695</v>
      </c>
      <c r="B135" s="432">
        <v>641.98</v>
      </c>
      <c r="C135" s="427">
        <f t="shared" si="2"/>
        <v>1992</v>
      </c>
      <c r="D135" s="433">
        <f t="shared" si="3"/>
        <v>641.98</v>
      </c>
    </row>
    <row r="136" spans="1:4" ht="16.149999999999999" customHeight="1" x14ac:dyDescent="0.25">
      <c r="A136" s="431">
        <v>33696</v>
      </c>
      <c r="B136" s="434">
        <v>645.14</v>
      </c>
      <c r="C136" s="427">
        <f t="shared" si="2"/>
        <v>1992</v>
      </c>
      <c r="D136" s="433">
        <f t="shared" si="3"/>
        <v>645.14</v>
      </c>
    </row>
    <row r="137" spans="1:4" ht="16.149999999999999" customHeight="1" x14ac:dyDescent="0.25">
      <c r="A137" s="431">
        <v>33697</v>
      </c>
      <c r="B137" s="432">
        <v>644.77</v>
      </c>
      <c r="C137" s="427">
        <f t="shared" si="2"/>
        <v>1992</v>
      </c>
      <c r="D137" s="433">
        <f t="shared" si="3"/>
        <v>644.77</v>
      </c>
    </row>
    <row r="138" spans="1:4" ht="16.149999999999999" customHeight="1" x14ac:dyDescent="0.25">
      <c r="A138" s="431">
        <v>33698</v>
      </c>
      <c r="B138" s="434">
        <v>643.11</v>
      </c>
      <c r="C138" s="427">
        <f t="shared" ref="C138:C201" si="4">YEAR(A138)</f>
        <v>1992</v>
      </c>
      <c r="D138" s="433">
        <f t="shared" ref="D138:D201" si="5">B138</f>
        <v>643.11</v>
      </c>
    </row>
    <row r="139" spans="1:4" ht="16.149999999999999" customHeight="1" x14ac:dyDescent="0.25">
      <c r="A139" s="431">
        <v>33699</v>
      </c>
      <c r="B139" s="432">
        <v>643.11</v>
      </c>
      <c r="C139" s="427">
        <f t="shared" si="4"/>
        <v>1992</v>
      </c>
      <c r="D139" s="433">
        <f t="shared" si="5"/>
        <v>643.11</v>
      </c>
    </row>
    <row r="140" spans="1:4" ht="16.149999999999999" customHeight="1" x14ac:dyDescent="0.25">
      <c r="A140" s="431">
        <v>33700</v>
      </c>
      <c r="B140" s="434">
        <v>643.11</v>
      </c>
      <c r="C140" s="427">
        <f t="shared" si="4"/>
        <v>1992</v>
      </c>
      <c r="D140" s="433">
        <f t="shared" si="5"/>
        <v>643.11</v>
      </c>
    </row>
    <row r="141" spans="1:4" ht="16.149999999999999" customHeight="1" x14ac:dyDescent="0.25">
      <c r="A141" s="431">
        <v>33701</v>
      </c>
      <c r="B141" s="432">
        <v>645.73</v>
      </c>
      <c r="C141" s="427">
        <f t="shared" si="4"/>
        <v>1992</v>
      </c>
      <c r="D141" s="433">
        <f t="shared" si="5"/>
        <v>645.73</v>
      </c>
    </row>
    <row r="142" spans="1:4" ht="16.149999999999999" customHeight="1" x14ac:dyDescent="0.25">
      <c r="A142" s="431">
        <v>33702</v>
      </c>
      <c r="B142" s="434">
        <v>643.98</v>
      </c>
      <c r="C142" s="427">
        <f t="shared" si="4"/>
        <v>1992</v>
      </c>
      <c r="D142" s="433">
        <f t="shared" si="5"/>
        <v>643.98</v>
      </c>
    </row>
    <row r="143" spans="1:4" ht="16.149999999999999" customHeight="1" x14ac:dyDescent="0.25">
      <c r="A143" s="431">
        <v>33703</v>
      </c>
      <c r="B143" s="432">
        <v>644.61</v>
      </c>
      <c r="C143" s="427">
        <f t="shared" si="4"/>
        <v>1992</v>
      </c>
      <c r="D143" s="433">
        <f t="shared" si="5"/>
        <v>644.61</v>
      </c>
    </row>
    <row r="144" spans="1:4" ht="16.149999999999999" customHeight="1" x14ac:dyDescent="0.25">
      <c r="A144" s="431">
        <v>33704</v>
      </c>
      <c r="B144" s="434">
        <v>646.5</v>
      </c>
      <c r="C144" s="427">
        <f t="shared" si="4"/>
        <v>1992</v>
      </c>
      <c r="D144" s="433">
        <f t="shared" si="5"/>
        <v>646.5</v>
      </c>
    </row>
    <row r="145" spans="1:4" ht="16.149999999999999" customHeight="1" x14ac:dyDescent="0.25">
      <c r="A145" s="431">
        <v>33705</v>
      </c>
      <c r="B145" s="432">
        <v>647.28</v>
      </c>
      <c r="C145" s="427">
        <f t="shared" si="4"/>
        <v>1992</v>
      </c>
      <c r="D145" s="433">
        <f t="shared" si="5"/>
        <v>647.28</v>
      </c>
    </row>
    <row r="146" spans="1:4" ht="16.149999999999999" customHeight="1" x14ac:dyDescent="0.25">
      <c r="A146" s="431">
        <v>33706</v>
      </c>
      <c r="B146" s="434">
        <v>647.28</v>
      </c>
      <c r="C146" s="427">
        <f t="shared" si="4"/>
        <v>1992</v>
      </c>
      <c r="D146" s="433">
        <f t="shared" si="5"/>
        <v>647.28</v>
      </c>
    </row>
    <row r="147" spans="1:4" ht="16.149999999999999" customHeight="1" x14ac:dyDescent="0.25">
      <c r="A147" s="431">
        <v>33707</v>
      </c>
      <c r="B147" s="432">
        <v>647.28</v>
      </c>
      <c r="C147" s="427">
        <f t="shared" si="4"/>
        <v>1992</v>
      </c>
      <c r="D147" s="433">
        <f t="shared" si="5"/>
        <v>647.28</v>
      </c>
    </row>
    <row r="148" spans="1:4" ht="16.149999999999999" customHeight="1" x14ac:dyDescent="0.25">
      <c r="A148" s="431">
        <v>33708</v>
      </c>
      <c r="B148" s="434">
        <v>649.48</v>
      </c>
      <c r="C148" s="427">
        <f t="shared" si="4"/>
        <v>1992</v>
      </c>
      <c r="D148" s="433">
        <f t="shared" si="5"/>
        <v>649.48</v>
      </c>
    </row>
    <row r="149" spans="1:4" ht="16.149999999999999" customHeight="1" x14ac:dyDescent="0.25">
      <c r="A149" s="431">
        <v>33709</v>
      </c>
      <c r="B149" s="432">
        <v>655.66</v>
      </c>
      <c r="C149" s="427">
        <f t="shared" si="4"/>
        <v>1992</v>
      </c>
      <c r="D149" s="433">
        <f t="shared" si="5"/>
        <v>655.66</v>
      </c>
    </row>
    <row r="150" spans="1:4" ht="16.149999999999999" customHeight="1" x14ac:dyDescent="0.25">
      <c r="A150" s="431">
        <v>33710</v>
      </c>
      <c r="B150" s="434">
        <v>657.97</v>
      </c>
      <c r="C150" s="427">
        <f t="shared" si="4"/>
        <v>1992</v>
      </c>
      <c r="D150" s="433">
        <f t="shared" si="5"/>
        <v>657.97</v>
      </c>
    </row>
    <row r="151" spans="1:4" ht="16.149999999999999" customHeight="1" x14ac:dyDescent="0.25">
      <c r="A151" s="431">
        <v>33711</v>
      </c>
      <c r="B151" s="432">
        <v>657.97</v>
      </c>
      <c r="C151" s="427">
        <f t="shared" si="4"/>
        <v>1992</v>
      </c>
      <c r="D151" s="433">
        <f t="shared" si="5"/>
        <v>657.97</v>
      </c>
    </row>
    <row r="152" spans="1:4" ht="16.149999999999999" customHeight="1" x14ac:dyDescent="0.25">
      <c r="A152" s="431">
        <v>33712</v>
      </c>
      <c r="B152" s="434">
        <v>657.97</v>
      </c>
      <c r="C152" s="427">
        <f t="shared" si="4"/>
        <v>1992</v>
      </c>
      <c r="D152" s="433">
        <f t="shared" si="5"/>
        <v>657.97</v>
      </c>
    </row>
    <row r="153" spans="1:4" ht="16.149999999999999" customHeight="1" x14ac:dyDescent="0.25">
      <c r="A153" s="431">
        <v>33713</v>
      </c>
      <c r="B153" s="432">
        <v>657.97</v>
      </c>
      <c r="C153" s="427">
        <f t="shared" si="4"/>
        <v>1992</v>
      </c>
      <c r="D153" s="433">
        <f t="shared" si="5"/>
        <v>657.97</v>
      </c>
    </row>
    <row r="154" spans="1:4" ht="16.149999999999999" customHeight="1" x14ac:dyDescent="0.25">
      <c r="A154" s="431">
        <v>33714</v>
      </c>
      <c r="B154" s="434">
        <v>657.97</v>
      </c>
      <c r="C154" s="427">
        <f t="shared" si="4"/>
        <v>1992</v>
      </c>
      <c r="D154" s="433">
        <f t="shared" si="5"/>
        <v>657.97</v>
      </c>
    </row>
    <row r="155" spans="1:4" ht="16.149999999999999" customHeight="1" x14ac:dyDescent="0.25">
      <c r="A155" s="431">
        <v>33715</v>
      </c>
      <c r="B155" s="432">
        <v>655.32000000000005</v>
      </c>
      <c r="C155" s="427">
        <f t="shared" si="4"/>
        <v>1992</v>
      </c>
      <c r="D155" s="433">
        <f t="shared" si="5"/>
        <v>655.32000000000005</v>
      </c>
    </row>
    <row r="156" spans="1:4" ht="16.149999999999999" customHeight="1" x14ac:dyDescent="0.25">
      <c r="A156" s="431">
        <v>33716</v>
      </c>
      <c r="B156" s="434">
        <v>652.57000000000005</v>
      </c>
      <c r="C156" s="427">
        <f t="shared" si="4"/>
        <v>1992</v>
      </c>
      <c r="D156" s="433">
        <f t="shared" si="5"/>
        <v>652.57000000000005</v>
      </c>
    </row>
    <row r="157" spans="1:4" ht="16.149999999999999" customHeight="1" x14ac:dyDescent="0.25">
      <c r="A157" s="431">
        <v>33717</v>
      </c>
      <c r="B157" s="432">
        <v>651.48</v>
      </c>
      <c r="C157" s="427">
        <f t="shared" si="4"/>
        <v>1992</v>
      </c>
      <c r="D157" s="433">
        <f t="shared" si="5"/>
        <v>651.48</v>
      </c>
    </row>
    <row r="158" spans="1:4" ht="16.149999999999999" customHeight="1" x14ac:dyDescent="0.25">
      <c r="A158" s="431">
        <v>33718</v>
      </c>
      <c r="B158" s="434">
        <v>650.24</v>
      </c>
      <c r="C158" s="427">
        <f t="shared" si="4"/>
        <v>1992</v>
      </c>
      <c r="D158" s="433">
        <f t="shared" si="5"/>
        <v>650.24</v>
      </c>
    </row>
    <row r="159" spans="1:4" ht="16.149999999999999" customHeight="1" x14ac:dyDescent="0.25">
      <c r="A159" s="431">
        <v>33719</v>
      </c>
      <c r="B159" s="432">
        <v>651.36</v>
      </c>
      <c r="C159" s="427">
        <f t="shared" si="4"/>
        <v>1992</v>
      </c>
      <c r="D159" s="433">
        <f t="shared" si="5"/>
        <v>651.36</v>
      </c>
    </row>
    <row r="160" spans="1:4" ht="16.149999999999999" customHeight="1" x14ac:dyDescent="0.25">
      <c r="A160" s="431">
        <v>33720</v>
      </c>
      <c r="B160" s="434">
        <v>651.36</v>
      </c>
      <c r="C160" s="427">
        <f t="shared" si="4"/>
        <v>1992</v>
      </c>
      <c r="D160" s="433">
        <f t="shared" si="5"/>
        <v>651.36</v>
      </c>
    </row>
    <row r="161" spans="1:4" ht="16.149999999999999" customHeight="1" x14ac:dyDescent="0.25">
      <c r="A161" s="431">
        <v>33721</v>
      </c>
      <c r="B161" s="432">
        <v>651.36</v>
      </c>
      <c r="C161" s="427">
        <f t="shared" si="4"/>
        <v>1992</v>
      </c>
      <c r="D161" s="433">
        <f t="shared" si="5"/>
        <v>651.36</v>
      </c>
    </row>
    <row r="162" spans="1:4" ht="16.149999999999999" customHeight="1" x14ac:dyDescent="0.25">
      <c r="A162" s="431">
        <v>33722</v>
      </c>
      <c r="B162" s="434">
        <v>650.30999999999995</v>
      </c>
      <c r="C162" s="427">
        <f t="shared" si="4"/>
        <v>1992</v>
      </c>
      <c r="D162" s="433">
        <f t="shared" si="5"/>
        <v>650.30999999999995</v>
      </c>
    </row>
    <row r="163" spans="1:4" ht="16.149999999999999" customHeight="1" x14ac:dyDescent="0.25">
      <c r="A163" s="431">
        <v>33723</v>
      </c>
      <c r="B163" s="432">
        <v>651.95000000000005</v>
      </c>
      <c r="C163" s="427">
        <f t="shared" si="4"/>
        <v>1992</v>
      </c>
      <c r="D163" s="433">
        <f t="shared" si="5"/>
        <v>651.95000000000005</v>
      </c>
    </row>
    <row r="164" spans="1:4" ht="16.149999999999999" customHeight="1" x14ac:dyDescent="0.25">
      <c r="A164" s="431">
        <v>33724</v>
      </c>
      <c r="B164" s="434">
        <v>653.83000000000004</v>
      </c>
      <c r="C164" s="427">
        <f t="shared" si="4"/>
        <v>1992</v>
      </c>
      <c r="D164" s="433">
        <f t="shared" si="5"/>
        <v>653.83000000000004</v>
      </c>
    </row>
    <row r="165" spans="1:4" ht="16.149999999999999" customHeight="1" x14ac:dyDescent="0.25">
      <c r="A165" s="431">
        <v>33725</v>
      </c>
      <c r="B165" s="432">
        <v>653.58000000000004</v>
      </c>
      <c r="C165" s="427">
        <f t="shared" si="4"/>
        <v>1992</v>
      </c>
      <c r="D165" s="433">
        <f t="shared" si="5"/>
        <v>653.58000000000004</v>
      </c>
    </row>
    <row r="166" spans="1:4" ht="16.149999999999999" customHeight="1" x14ac:dyDescent="0.25">
      <c r="A166" s="431">
        <v>33726</v>
      </c>
      <c r="B166" s="434">
        <v>653.58000000000004</v>
      </c>
      <c r="C166" s="427">
        <f t="shared" si="4"/>
        <v>1992</v>
      </c>
      <c r="D166" s="433">
        <f t="shared" si="5"/>
        <v>653.58000000000004</v>
      </c>
    </row>
    <row r="167" spans="1:4" ht="16.149999999999999" customHeight="1" x14ac:dyDescent="0.25">
      <c r="A167" s="431">
        <v>33727</v>
      </c>
      <c r="B167" s="432">
        <v>653.58000000000004</v>
      </c>
      <c r="C167" s="427">
        <f t="shared" si="4"/>
        <v>1992</v>
      </c>
      <c r="D167" s="433">
        <f t="shared" si="5"/>
        <v>653.58000000000004</v>
      </c>
    </row>
    <row r="168" spans="1:4" ht="16.149999999999999" customHeight="1" x14ac:dyDescent="0.25">
      <c r="A168" s="431">
        <v>33728</v>
      </c>
      <c r="B168" s="434">
        <v>653.58000000000004</v>
      </c>
      <c r="C168" s="427">
        <f t="shared" si="4"/>
        <v>1992</v>
      </c>
      <c r="D168" s="433">
        <f t="shared" si="5"/>
        <v>653.58000000000004</v>
      </c>
    </row>
    <row r="169" spans="1:4" ht="16.149999999999999" customHeight="1" x14ac:dyDescent="0.25">
      <c r="A169" s="431">
        <v>33729</v>
      </c>
      <c r="B169" s="432">
        <v>653.1</v>
      </c>
      <c r="C169" s="427">
        <f t="shared" si="4"/>
        <v>1992</v>
      </c>
      <c r="D169" s="433">
        <f t="shared" si="5"/>
        <v>653.1</v>
      </c>
    </row>
    <row r="170" spans="1:4" ht="16.149999999999999" customHeight="1" x14ac:dyDescent="0.25">
      <c r="A170" s="431">
        <v>33730</v>
      </c>
      <c r="B170" s="434">
        <v>653.70000000000005</v>
      </c>
      <c r="C170" s="427">
        <f t="shared" si="4"/>
        <v>1992</v>
      </c>
      <c r="D170" s="433">
        <f t="shared" si="5"/>
        <v>653.70000000000005</v>
      </c>
    </row>
    <row r="171" spans="1:4" ht="16.149999999999999" customHeight="1" x14ac:dyDescent="0.25">
      <c r="A171" s="431">
        <v>33731</v>
      </c>
      <c r="B171" s="432">
        <v>654.74</v>
      </c>
      <c r="C171" s="427">
        <f t="shared" si="4"/>
        <v>1992</v>
      </c>
      <c r="D171" s="433">
        <f t="shared" si="5"/>
        <v>654.74</v>
      </c>
    </row>
    <row r="172" spans="1:4" ht="16.149999999999999" customHeight="1" x14ac:dyDescent="0.25">
      <c r="A172" s="431">
        <v>33732</v>
      </c>
      <c r="B172" s="434">
        <v>656.4</v>
      </c>
      <c r="C172" s="427">
        <f t="shared" si="4"/>
        <v>1992</v>
      </c>
      <c r="D172" s="433">
        <f t="shared" si="5"/>
        <v>656.4</v>
      </c>
    </row>
    <row r="173" spans="1:4" ht="16.149999999999999" customHeight="1" x14ac:dyDescent="0.25">
      <c r="A173" s="431">
        <v>33733</v>
      </c>
      <c r="B173" s="432">
        <v>657.91</v>
      </c>
      <c r="C173" s="427">
        <f t="shared" si="4"/>
        <v>1992</v>
      </c>
      <c r="D173" s="433">
        <f t="shared" si="5"/>
        <v>657.91</v>
      </c>
    </row>
    <row r="174" spans="1:4" ht="16.149999999999999" customHeight="1" x14ac:dyDescent="0.25">
      <c r="A174" s="431">
        <v>33734</v>
      </c>
      <c r="B174" s="434">
        <v>657.91</v>
      </c>
      <c r="C174" s="427">
        <f t="shared" si="4"/>
        <v>1992</v>
      </c>
      <c r="D174" s="433">
        <f t="shared" si="5"/>
        <v>657.91</v>
      </c>
    </row>
    <row r="175" spans="1:4" ht="16.149999999999999" customHeight="1" x14ac:dyDescent="0.25">
      <c r="A175" s="431">
        <v>33735</v>
      </c>
      <c r="B175" s="432">
        <v>657.91</v>
      </c>
      <c r="C175" s="427">
        <f t="shared" si="4"/>
        <v>1992</v>
      </c>
      <c r="D175" s="433">
        <f t="shared" si="5"/>
        <v>657.91</v>
      </c>
    </row>
    <row r="176" spans="1:4" ht="16.149999999999999" customHeight="1" x14ac:dyDescent="0.25">
      <c r="A176" s="431">
        <v>33736</v>
      </c>
      <c r="B176" s="434">
        <v>658.52</v>
      </c>
      <c r="C176" s="427">
        <f t="shared" si="4"/>
        <v>1992</v>
      </c>
      <c r="D176" s="433">
        <f t="shared" si="5"/>
        <v>658.52</v>
      </c>
    </row>
    <row r="177" spans="1:4" ht="16.149999999999999" customHeight="1" x14ac:dyDescent="0.25">
      <c r="A177" s="431">
        <v>33737</v>
      </c>
      <c r="B177" s="432">
        <v>660.57</v>
      </c>
      <c r="C177" s="427">
        <f t="shared" si="4"/>
        <v>1992</v>
      </c>
      <c r="D177" s="433">
        <f t="shared" si="5"/>
        <v>660.57</v>
      </c>
    </row>
    <row r="178" spans="1:4" ht="16.149999999999999" customHeight="1" x14ac:dyDescent="0.25">
      <c r="A178" s="431">
        <v>33738</v>
      </c>
      <c r="B178" s="434">
        <v>660.88</v>
      </c>
      <c r="C178" s="427">
        <f t="shared" si="4"/>
        <v>1992</v>
      </c>
      <c r="D178" s="433">
        <f t="shared" si="5"/>
        <v>660.88</v>
      </c>
    </row>
    <row r="179" spans="1:4" ht="16.149999999999999" customHeight="1" x14ac:dyDescent="0.25">
      <c r="A179" s="431">
        <v>33739</v>
      </c>
      <c r="B179" s="432">
        <v>663.43</v>
      </c>
      <c r="C179" s="427">
        <f t="shared" si="4"/>
        <v>1992</v>
      </c>
      <c r="D179" s="433">
        <f t="shared" si="5"/>
        <v>663.43</v>
      </c>
    </row>
    <row r="180" spans="1:4" ht="16.149999999999999" customHeight="1" x14ac:dyDescent="0.25">
      <c r="A180" s="431">
        <v>33740</v>
      </c>
      <c r="B180" s="434">
        <v>663.58</v>
      </c>
      <c r="C180" s="427">
        <f t="shared" si="4"/>
        <v>1992</v>
      </c>
      <c r="D180" s="433">
        <f t="shared" si="5"/>
        <v>663.58</v>
      </c>
    </row>
    <row r="181" spans="1:4" ht="16.149999999999999" customHeight="1" x14ac:dyDescent="0.25">
      <c r="A181" s="431">
        <v>33741</v>
      </c>
      <c r="B181" s="432">
        <v>663.58</v>
      </c>
      <c r="C181" s="427">
        <f t="shared" si="4"/>
        <v>1992</v>
      </c>
      <c r="D181" s="433">
        <f t="shared" si="5"/>
        <v>663.58</v>
      </c>
    </row>
    <row r="182" spans="1:4" ht="16.149999999999999" customHeight="1" x14ac:dyDescent="0.25">
      <c r="A182" s="431">
        <v>33742</v>
      </c>
      <c r="B182" s="434">
        <v>663.58</v>
      </c>
      <c r="C182" s="427">
        <f t="shared" si="4"/>
        <v>1992</v>
      </c>
      <c r="D182" s="433">
        <f t="shared" si="5"/>
        <v>663.58</v>
      </c>
    </row>
    <row r="183" spans="1:4" ht="16.149999999999999" customHeight="1" x14ac:dyDescent="0.25">
      <c r="A183" s="431">
        <v>33743</v>
      </c>
      <c r="B183" s="432">
        <v>663.75</v>
      </c>
      <c r="C183" s="427">
        <f t="shared" si="4"/>
        <v>1992</v>
      </c>
      <c r="D183" s="433">
        <f t="shared" si="5"/>
        <v>663.75</v>
      </c>
    </row>
    <row r="184" spans="1:4" ht="16.149999999999999" customHeight="1" x14ac:dyDescent="0.25">
      <c r="A184" s="431">
        <v>33744</v>
      </c>
      <c r="B184" s="434">
        <v>664.5</v>
      </c>
      <c r="C184" s="427">
        <f t="shared" si="4"/>
        <v>1992</v>
      </c>
      <c r="D184" s="433">
        <f t="shared" si="5"/>
        <v>664.5</v>
      </c>
    </row>
    <row r="185" spans="1:4" ht="16.149999999999999" customHeight="1" x14ac:dyDescent="0.25">
      <c r="A185" s="431">
        <v>33745</v>
      </c>
      <c r="B185" s="432">
        <v>663.1</v>
      </c>
      <c r="C185" s="427">
        <f t="shared" si="4"/>
        <v>1992</v>
      </c>
      <c r="D185" s="433">
        <f t="shared" si="5"/>
        <v>663.1</v>
      </c>
    </row>
    <row r="186" spans="1:4" ht="16.149999999999999" customHeight="1" x14ac:dyDescent="0.25">
      <c r="A186" s="431">
        <v>33746</v>
      </c>
      <c r="B186" s="434">
        <v>662.6</v>
      </c>
      <c r="C186" s="427">
        <f t="shared" si="4"/>
        <v>1992</v>
      </c>
      <c r="D186" s="433">
        <f t="shared" si="5"/>
        <v>662.6</v>
      </c>
    </row>
    <row r="187" spans="1:4" ht="16.149999999999999" customHeight="1" x14ac:dyDescent="0.25">
      <c r="A187" s="431">
        <v>33747</v>
      </c>
      <c r="B187" s="432">
        <v>662.11</v>
      </c>
      <c r="C187" s="427">
        <f t="shared" si="4"/>
        <v>1992</v>
      </c>
      <c r="D187" s="433">
        <f t="shared" si="5"/>
        <v>662.11</v>
      </c>
    </row>
    <row r="188" spans="1:4" ht="16.149999999999999" customHeight="1" x14ac:dyDescent="0.25">
      <c r="A188" s="431">
        <v>33748</v>
      </c>
      <c r="B188" s="434">
        <v>662.11</v>
      </c>
      <c r="C188" s="427">
        <f t="shared" si="4"/>
        <v>1992</v>
      </c>
      <c r="D188" s="433">
        <f t="shared" si="5"/>
        <v>662.11</v>
      </c>
    </row>
    <row r="189" spans="1:4" ht="16.149999999999999" customHeight="1" x14ac:dyDescent="0.25">
      <c r="A189" s="431">
        <v>33749</v>
      </c>
      <c r="B189" s="432">
        <v>662.11</v>
      </c>
      <c r="C189" s="427">
        <f t="shared" si="4"/>
        <v>1992</v>
      </c>
      <c r="D189" s="433">
        <f t="shared" si="5"/>
        <v>662.11</v>
      </c>
    </row>
    <row r="190" spans="1:4" ht="16.149999999999999" customHeight="1" x14ac:dyDescent="0.25">
      <c r="A190" s="431">
        <v>33750</v>
      </c>
      <c r="B190" s="434">
        <v>662.15</v>
      </c>
      <c r="C190" s="427">
        <f t="shared" si="4"/>
        <v>1992</v>
      </c>
      <c r="D190" s="433">
        <f t="shared" si="5"/>
        <v>662.15</v>
      </c>
    </row>
    <row r="191" spans="1:4" ht="16.149999999999999" customHeight="1" x14ac:dyDescent="0.25">
      <c r="A191" s="431">
        <v>33751</v>
      </c>
      <c r="B191" s="432">
        <v>660.46</v>
      </c>
      <c r="C191" s="427">
        <f t="shared" si="4"/>
        <v>1992</v>
      </c>
      <c r="D191" s="433">
        <f t="shared" si="5"/>
        <v>660.46</v>
      </c>
    </row>
    <row r="192" spans="1:4" ht="16.149999999999999" customHeight="1" x14ac:dyDescent="0.25">
      <c r="A192" s="431">
        <v>33752</v>
      </c>
      <c r="B192" s="434">
        <v>660.16</v>
      </c>
      <c r="C192" s="427">
        <f t="shared" si="4"/>
        <v>1992</v>
      </c>
      <c r="D192" s="433">
        <f t="shared" si="5"/>
        <v>660.16</v>
      </c>
    </row>
    <row r="193" spans="1:4" ht="16.149999999999999" customHeight="1" x14ac:dyDescent="0.25">
      <c r="A193" s="431">
        <v>33753</v>
      </c>
      <c r="B193" s="432">
        <v>660.99</v>
      </c>
      <c r="C193" s="427">
        <f t="shared" si="4"/>
        <v>1992</v>
      </c>
      <c r="D193" s="433">
        <f t="shared" si="5"/>
        <v>660.99</v>
      </c>
    </row>
    <row r="194" spans="1:4" ht="16.149999999999999" customHeight="1" x14ac:dyDescent="0.25">
      <c r="A194" s="431">
        <v>33754</v>
      </c>
      <c r="B194" s="434">
        <v>664.37</v>
      </c>
      <c r="C194" s="427">
        <f t="shared" si="4"/>
        <v>1992</v>
      </c>
      <c r="D194" s="433">
        <f t="shared" si="5"/>
        <v>664.37</v>
      </c>
    </row>
    <row r="195" spans="1:4" ht="16.149999999999999" customHeight="1" x14ac:dyDescent="0.25">
      <c r="A195" s="431">
        <v>33755</v>
      </c>
      <c r="B195" s="432">
        <v>664.37</v>
      </c>
      <c r="C195" s="427">
        <f t="shared" si="4"/>
        <v>1992</v>
      </c>
      <c r="D195" s="433">
        <f t="shared" si="5"/>
        <v>664.37</v>
      </c>
    </row>
    <row r="196" spans="1:4" ht="16.149999999999999" customHeight="1" x14ac:dyDescent="0.25">
      <c r="A196" s="431">
        <v>33756</v>
      </c>
      <c r="B196" s="434">
        <v>664.37</v>
      </c>
      <c r="C196" s="427">
        <f t="shared" si="4"/>
        <v>1992</v>
      </c>
      <c r="D196" s="433">
        <f t="shared" si="5"/>
        <v>664.37</v>
      </c>
    </row>
    <row r="197" spans="1:4" ht="16.149999999999999" customHeight="1" x14ac:dyDescent="0.25">
      <c r="A197" s="431">
        <v>33757</v>
      </c>
      <c r="B197" s="432">
        <v>664.37</v>
      </c>
      <c r="C197" s="427">
        <f t="shared" si="4"/>
        <v>1992</v>
      </c>
      <c r="D197" s="433">
        <f t="shared" si="5"/>
        <v>664.37</v>
      </c>
    </row>
    <row r="198" spans="1:4" ht="16.149999999999999" customHeight="1" x14ac:dyDescent="0.25">
      <c r="A198" s="431">
        <v>33758</v>
      </c>
      <c r="B198" s="434">
        <v>666.11</v>
      </c>
      <c r="C198" s="427">
        <f t="shared" si="4"/>
        <v>1992</v>
      </c>
      <c r="D198" s="433">
        <f t="shared" si="5"/>
        <v>666.11</v>
      </c>
    </row>
    <row r="199" spans="1:4" ht="16.149999999999999" customHeight="1" x14ac:dyDescent="0.25">
      <c r="A199" s="431">
        <v>33759</v>
      </c>
      <c r="B199" s="432">
        <v>664.3</v>
      </c>
      <c r="C199" s="427">
        <f t="shared" si="4"/>
        <v>1992</v>
      </c>
      <c r="D199" s="433">
        <f t="shared" si="5"/>
        <v>664.3</v>
      </c>
    </row>
    <row r="200" spans="1:4" ht="16.149999999999999" customHeight="1" x14ac:dyDescent="0.25">
      <c r="A200" s="431">
        <v>33760</v>
      </c>
      <c r="B200" s="434">
        <v>666.47</v>
      </c>
      <c r="C200" s="427">
        <f t="shared" si="4"/>
        <v>1992</v>
      </c>
      <c r="D200" s="433">
        <f t="shared" si="5"/>
        <v>666.47</v>
      </c>
    </row>
    <row r="201" spans="1:4" ht="16.149999999999999" customHeight="1" x14ac:dyDescent="0.25">
      <c r="A201" s="431">
        <v>33761</v>
      </c>
      <c r="B201" s="432">
        <v>664.36</v>
      </c>
      <c r="C201" s="427">
        <f t="shared" si="4"/>
        <v>1992</v>
      </c>
      <c r="D201" s="433">
        <f t="shared" si="5"/>
        <v>664.36</v>
      </c>
    </row>
    <row r="202" spans="1:4" ht="16.149999999999999" customHeight="1" x14ac:dyDescent="0.25">
      <c r="A202" s="431">
        <v>33762</v>
      </c>
      <c r="B202" s="434">
        <v>664.36</v>
      </c>
      <c r="C202" s="427">
        <f t="shared" ref="C202:C265" si="6">YEAR(A202)</f>
        <v>1992</v>
      </c>
      <c r="D202" s="433">
        <f t="shared" ref="D202:D265" si="7">B202</f>
        <v>664.36</v>
      </c>
    </row>
    <row r="203" spans="1:4" ht="16.149999999999999" customHeight="1" x14ac:dyDescent="0.25">
      <c r="A203" s="431">
        <v>33763</v>
      </c>
      <c r="B203" s="432">
        <v>664.36</v>
      </c>
      <c r="C203" s="427">
        <f t="shared" si="6"/>
        <v>1992</v>
      </c>
      <c r="D203" s="433">
        <f t="shared" si="7"/>
        <v>664.36</v>
      </c>
    </row>
    <row r="204" spans="1:4" ht="16.149999999999999" customHeight="1" x14ac:dyDescent="0.25">
      <c r="A204" s="431">
        <v>33764</v>
      </c>
      <c r="B204" s="434">
        <v>665.91</v>
      </c>
      <c r="C204" s="427">
        <f t="shared" si="6"/>
        <v>1992</v>
      </c>
      <c r="D204" s="433">
        <f t="shared" si="7"/>
        <v>665.91</v>
      </c>
    </row>
    <row r="205" spans="1:4" ht="16.149999999999999" customHeight="1" x14ac:dyDescent="0.25">
      <c r="A205" s="431">
        <v>33765</v>
      </c>
      <c r="B205" s="432">
        <v>665.92</v>
      </c>
      <c r="C205" s="427">
        <f t="shared" si="6"/>
        <v>1992</v>
      </c>
      <c r="D205" s="433">
        <f t="shared" si="7"/>
        <v>665.92</v>
      </c>
    </row>
    <row r="206" spans="1:4" ht="16.149999999999999" customHeight="1" x14ac:dyDescent="0.25">
      <c r="A206" s="431">
        <v>33766</v>
      </c>
      <c r="B206" s="434">
        <v>667.96</v>
      </c>
      <c r="C206" s="427">
        <f t="shared" si="6"/>
        <v>1992</v>
      </c>
      <c r="D206" s="433">
        <f t="shared" si="7"/>
        <v>667.96</v>
      </c>
    </row>
    <row r="207" spans="1:4" ht="16.149999999999999" customHeight="1" x14ac:dyDescent="0.25">
      <c r="A207" s="431">
        <v>33767</v>
      </c>
      <c r="B207" s="432">
        <v>667.52</v>
      </c>
      <c r="C207" s="427">
        <f t="shared" si="6"/>
        <v>1992</v>
      </c>
      <c r="D207" s="433">
        <f t="shared" si="7"/>
        <v>667.52</v>
      </c>
    </row>
    <row r="208" spans="1:4" ht="16.149999999999999" customHeight="1" x14ac:dyDescent="0.25">
      <c r="A208" s="431">
        <v>33768</v>
      </c>
      <c r="B208" s="434">
        <v>669.55</v>
      </c>
      <c r="C208" s="427">
        <f t="shared" si="6"/>
        <v>1992</v>
      </c>
      <c r="D208" s="433">
        <f t="shared" si="7"/>
        <v>669.55</v>
      </c>
    </row>
    <row r="209" spans="1:4" ht="16.149999999999999" customHeight="1" x14ac:dyDescent="0.25">
      <c r="A209" s="431">
        <v>33769</v>
      </c>
      <c r="B209" s="432">
        <v>669.55</v>
      </c>
      <c r="C209" s="427">
        <f t="shared" si="6"/>
        <v>1992</v>
      </c>
      <c r="D209" s="433">
        <f t="shared" si="7"/>
        <v>669.55</v>
      </c>
    </row>
    <row r="210" spans="1:4" ht="16.149999999999999" customHeight="1" x14ac:dyDescent="0.25">
      <c r="A210" s="431">
        <v>33770</v>
      </c>
      <c r="B210" s="434">
        <v>669.55</v>
      </c>
      <c r="C210" s="427">
        <f t="shared" si="6"/>
        <v>1992</v>
      </c>
      <c r="D210" s="433">
        <f t="shared" si="7"/>
        <v>669.55</v>
      </c>
    </row>
    <row r="211" spans="1:4" ht="16.149999999999999" customHeight="1" x14ac:dyDescent="0.25">
      <c r="A211" s="431">
        <v>33771</v>
      </c>
      <c r="B211" s="432">
        <v>671.36</v>
      </c>
      <c r="C211" s="427">
        <f t="shared" si="6"/>
        <v>1992</v>
      </c>
      <c r="D211" s="433">
        <f t="shared" si="7"/>
        <v>671.36</v>
      </c>
    </row>
    <row r="212" spans="1:4" ht="16.149999999999999" customHeight="1" x14ac:dyDescent="0.25">
      <c r="A212" s="431">
        <v>33772</v>
      </c>
      <c r="B212" s="434">
        <v>675.76</v>
      </c>
      <c r="C212" s="427">
        <f t="shared" si="6"/>
        <v>1992</v>
      </c>
      <c r="D212" s="433">
        <f t="shared" si="7"/>
        <v>675.76</v>
      </c>
    </row>
    <row r="213" spans="1:4" ht="16.149999999999999" customHeight="1" x14ac:dyDescent="0.25">
      <c r="A213" s="431">
        <v>33773</v>
      </c>
      <c r="B213" s="432">
        <v>680.17</v>
      </c>
      <c r="C213" s="427">
        <f t="shared" si="6"/>
        <v>1992</v>
      </c>
      <c r="D213" s="433">
        <f t="shared" si="7"/>
        <v>680.17</v>
      </c>
    </row>
    <row r="214" spans="1:4" ht="16.149999999999999" customHeight="1" x14ac:dyDescent="0.25">
      <c r="A214" s="431">
        <v>33774</v>
      </c>
      <c r="B214" s="434">
        <v>678.25</v>
      </c>
      <c r="C214" s="427">
        <f t="shared" si="6"/>
        <v>1992</v>
      </c>
      <c r="D214" s="433">
        <f t="shared" si="7"/>
        <v>678.25</v>
      </c>
    </row>
    <row r="215" spans="1:4" ht="16.149999999999999" customHeight="1" x14ac:dyDescent="0.25">
      <c r="A215" s="431">
        <v>33775</v>
      </c>
      <c r="B215" s="432">
        <v>683.37</v>
      </c>
      <c r="C215" s="427">
        <f t="shared" si="6"/>
        <v>1992</v>
      </c>
      <c r="D215" s="433">
        <f t="shared" si="7"/>
        <v>683.37</v>
      </c>
    </row>
    <row r="216" spans="1:4" ht="16.149999999999999" customHeight="1" x14ac:dyDescent="0.25">
      <c r="A216" s="431">
        <v>33776</v>
      </c>
      <c r="B216" s="434">
        <v>683.37</v>
      </c>
      <c r="C216" s="427">
        <f t="shared" si="6"/>
        <v>1992</v>
      </c>
      <c r="D216" s="433">
        <f t="shared" si="7"/>
        <v>683.37</v>
      </c>
    </row>
    <row r="217" spans="1:4" ht="16.149999999999999" customHeight="1" x14ac:dyDescent="0.25">
      <c r="A217" s="431">
        <v>33777</v>
      </c>
      <c r="B217" s="432">
        <v>683.37</v>
      </c>
      <c r="C217" s="427">
        <f t="shared" si="6"/>
        <v>1992</v>
      </c>
      <c r="D217" s="433">
        <f t="shared" si="7"/>
        <v>683.37</v>
      </c>
    </row>
    <row r="218" spans="1:4" ht="16.149999999999999" customHeight="1" x14ac:dyDescent="0.25">
      <c r="A218" s="431">
        <v>33778</v>
      </c>
      <c r="B218" s="434">
        <v>683.37</v>
      </c>
      <c r="C218" s="427">
        <f t="shared" si="6"/>
        <v>1992</v>
      </c>
      <c r="D218" s="433">
        <f t="shared" si="7"/>
        <v>683.37</v>
      </c>
    </row>
    <row r="219" spans="1:4" ht="16.149999999999999" customHeight="1" x14ac:dyDescent="0.25">
      <c r="A219" s="431">
        <v>33779</v>
      </c>
      <c r="B219" s="432">
        <v>690.08</v>
      </c>
      <c r="C219" s="427">
        <f t="shared" si="6"/>
        <v>1992</v>
      </c>
      <c r="D219" s="433">
        <f t="shared" si="7"/>
        <v>690.08</v>
      </c>
    </row>
    <row r="220" spans="1:4" ht="16.149999999999999" customHeight="1" x14ac:dyDescent="0.25">
      <c r="A220" s="431">
        <v>33780</v>
      </c>
      <c r="B220" s="434">
        <v>699.09</v>
      </c>
      <c r="C220" s="427">
        <f t="shared" si="6"/>
        <v>1992</v>
      </c>
      <c r="D220" s="433">
        <f t="shared" si="7"/>
        <v>699.09</v>
      </c>
    </row>
    <row r="221" spans="1:4" ht="16.149999999999999" customHeight="1" x14ac:dyDescent="0.25">
      <c r="A221" s="431">
        <v>33781</v>
      </c>
      <c r="B221" s="432">
        <v>701.83</v>
      </c>
      <c r="C221" s="427">
        <f t="shared" si="6"/>
        <v>1992</v>
      </c>
      <c r="D221" s="433">
        <f t="shared" si="7"/>
        <v>701.83</v>
      </c>
    </row>
    <row r="222" spans="1:4" ht="16.149999999999999" customHeight="1" x14ac:dyDescent="0.25">
      <c r="A222" s="431">
        <v>33782</v>
      </c>
      <c r="B222" s="434">
        <v>697.57</v>
      </c>
      <c r="C222" s="427">
        <f t="shared" si="6"/>
        <v>1992</v>
      </c>
      <c r="D222" s="433">
        <f t="shared" si="7"/>
        <v>697.57</v>
      </c>
    </row>
    <row r="223" spans="1:4" ht="16.149999999999999" customHeight="1" x14ac:dyDescent="0.25">
      <c r="A223" s="431">
        <v>33783</v>
      </c>
      <c r="B223" s="432">
        <v>697.57</v>
      </c>
      <c r="C223" s="427">
        <f t="shared" si="6"/>
        <v>1992</v>
      </c>
      <c r="D223" s="433">
        <f t="shared" si="7"/>
        <v>697.57</v>
      </c>
    </row>
    <row r="224" spans="1:4" ht="16.149999999999999" customHeight="1" x14ac:dyDescent="0.25">
      <c r="A224" s="431">
        <v>33784</v>
      </c>
      <c r="B224" s="434">
        <v>697.57</v>
      </c>
      <c r="C224" s="427">
        <f t="shared" si="6"/>
        <v>1992</v>
      </c>
      <c r="D224" s="433">
        <f t="shared" si="7"/>
        <v>697.57</v>
      </c>
    </row>
    <row r="225" spans="1:4" ht="16.149999999999999" customHeight="1" x14ac:dyDescent="0.25">
      <c r="A225" s="431">
        <v>33785</v>
      </c>
      <c r="B225" s="432">
        <v>697.57</v>
      </c>
      <c r="C225" s="427">
        <f t="shared" si="6"/>
        <v>1992</v>
      </c>
      <c r="D225" s="433">
        <f t="shared" si="7"/>
        <v>697.57</v>
      </c>
    </row>
    <row r="226" spans="1:4" ht="16.149999999999999" customHeight="1" x14ac:dyDescent="0.25">
      <c r="A226" s="431">
        <v>33786</v>
      </c>
      <c r="B226" s="434">
        <v>695.36</v>
      </c>
      <c r="C226" s="427">
        <f t="shared" si="6"/>
        <v>1992</v>
      </c>
      <c r="D226" s="433">
        <f t="shared" si="7"/>
        <v>695.36</v>
      </c>
    </row>
    <row r="227" spans="1:4" ht="16.149999999999999" customHeight="1" x14ac:dyDescent="0.25">
      <c r="A227" s="431">
        <v>33787</v>
      </c>
      <c r="B227" s="432">
        <v>694.43</v>
      </c>
      <c r="C227" s="427">
        <f t="shared" si="6"/>
        <v>1992</v>
      </c>
      <c r="D227" s="433">
        <f t="shared" si="7"/>
        <v>694.43</v>
      </c>
    </row>
    <row r="228" spans="1:4" ht="16.149999999999999" customHeight="1" x14ac:dyDescent="0.25">
      <c r="A228" s="431">
        <v>33788</v>
      </c>
      <c r="B228" s="434">
        <v>693.71</v>
      </c>
      <c r="C228" s="427">
        <f t="shared" si="6"/>
        <v>1992</v>
      </c>
      <c r="D228" s="433">
        <f t="shared" si="7"/>
        <v>693.71</v>
      </c>
    </row>
    <row r="229" spans="1:4" ht="16.149999999999999" customHeight="1" x14ac:dyDescent="0.25">
      <c r="A229" s="431">
        <v>33789</v>
      </c>
      <c r="B229" s="432">
        <v>693.4</v>
      </c>
      <c r="C229" s="427">
        <f t="shared" si="6"/>
        <v>1992</v>
      </c>
      <c r="D229" s="433">
        <f t="shared" si="7"/>
        <v>693.4</v>
      </c>
    </row>
    <row r="230" spans="1:4" ht="16.149999999999999" customHeight="1" x14ac:dyDescent="0.25">
      <c r="A230" s="431">
        <v>33790</v>
      </c>
      <c r="B230" s="434">
        <v>693.4</v>
      </c>
      <c r="C230" s="427">
        <f t="shared" si="6"/>
        <v>1992</v>
      </c>
      <c r="D230" s="433">
        <f t="shared" si="7"/>
        <v>693.4</v>
      </c>
    </row>
    <row r="231" spans="1:4" ht="16.149999999999999" customHeight="1" x14ac:dyDescent="0.25">
      <c r="A231" s="431">
        <v>33791</v>
      </c>
      <c r="B231" s="432">
        <v>693.4</v>
      </c>
      <c r="C231" s="427">
        <f t="shared" si="6"/>
        <v>1992</v>
      </c>
      <c r="D231" s="433">
        <f t="shared" si="7"/>
        <v>693.4</v>
      </c>
    </row>
    <row r="232" spans="1:4" ht="16.149999999999999" customHeight="1" x14ac:dyDescent="0.25">
      <c r="A232" s="431">
        <v>33792</v>
      </c>
      <c r="B232" s="434">
        <v>696.12</v>
      </c>
      <c r="C232" s="427">
        <f t="shared" si="6"/>
        <v>1992</v>
      </c>
      <c r="D232" s="433">
        <f t="shared" si="7"/>
        <v>696.12</v>
      </c>
    </row>
    <row r="233" spans="1:4" ht="16.149999999999999" customHeight="1" x14ac:dyDescent="0.25">
      <c r="A233" s="431">
        <v>33793</v>
      </c>
      <c r="B233" s="432">
        <v>695.65</v>
      </c>
      <c r="C233" s="427">
        <f t="shared" si="6"/>
        <v>1992</v>
      </c>
      <c r="D233" s="433">
        <f t="shared" si="7"/>
        <v>695.65</v>
      </c>
    </row>
    <row r="234" spans="1:4" ht="16.149999999999999" customHeight="1" x14ac:dyDescent="0.25">
      <c r="A234" s="431">
        <v>33794</v>
      </c>
      <c r="B234" s="434">
        <v>699.01</v>
      </c>
      <c r="C234" s="427">
        <f t="shared" si="6"/>
        <v>1992</v>
      </c>
      <c r="D234" s="433">
        <f t="shared" si="7"/>
        <v>699.01</v>
      </c>
    </row>
    <row r="235" spans="1:4" ht="16.149999999999999" customHeight="1" x14ac:dyDescent="0.25">
      <c r="A235" s="431">
        <v>33795</v>
      </c>
      <c r="B235" s="432">
        <v>703.74</v>
      </c>
      <c r="C235" s="427">
        <f t="shared" si="6"/>
        <v>1992</v>
      </c>
      <c r="D235" s="433">
        <f t="shared" si="7"/>
        <v>703.74</v>
      </c>
    </row>
    <row r="236" spans="1:4" ht="16.149999999999999" customHeight="1" x14ac:dyDescent="0.25">
      <c r="A236" s="431">
        <v>33796</v>
      </c>
      <c r="B236" s="434">
        <v>708.72</v>
      </c>
      <c r="C236" s="427">
        <f t="shared" si="6"/>
        <v>1992</v>
      </c>
      <c r="D236" s="433">
        <f t="shared" si="7"/>
        <v>708.72</v>
      </c>
    </row>
    <row r="237" spans="1:4" ht="16.149999999999999" customHeight="1" x14ac:dyDescent="0.25">
      <c r="A237" s="431">
        <v>33797</v>
      </c>
      <c r="B237" s="432">
        <v>708.72</v>
      </c>
      <c r="C237" s="427">
        <f t="shared" si="6"/>
        <v>1992</v>
      </c>
      <c r="D237" s="433">
        <f t="shared" si="7"/>
        <v>708.72</v>
      </c>
    </row>
    <row r="238" spans="1:4" ht="16.149999999999999" customHeight="1" x14ac:dyDescent="0.25">
      <c r="A238" s="431">
        <v>33798</v>
      </c>
      <c r="B238" s="434">
        <v>708.72</v>
      </c>
      <c r="C238" s="427">
        <f t="shared" si="6"/>
        <v>1992</v>
      </c>
      <c r="D238" s="433">
        <f t="shared" si="7"/>
        <v>708.72</v>
      </c>
    </row>
    <row r="239" spans="1:4" ht="16.149999999999999" customHeight="1" x14ac:dyDescent="0.25">
      <c r="A239" s="431">
        <v>33799</v>
      </c>
      <c r="B239" s="432">
        <v>720.47</v>
      </c>
      <c r="C239" s="427">
        <f t="shared" si="6"/>
        <v>1992</v>
      </c>
      <c r="D239" s="433">
        <f t="shared" si="7"/>
        <v>720.47</v>
      </c>
    </row>
    <row r="240" spans="1:4" ht="16.149999999999999" customHeight="1" x14ac:dyDescent="0.25">
      <c r="A240" s="431">
        <v>33800</v>
      </c>
      <c r="B240" s="434">
        <v>719.15</v>
      </c>
      <c r="C240" s="427">
        <f t="shared" si="6"/>
        <v>1992</v>
      </c>
      <c r="D240" s="433">
        <f t="shared" si="7"/>
        <v>719.15</v>
      </c>
    </row>
    <row r="241" spans="1:4" ht="16.149999999999999" customHeight="1" x14ac:dyDescent="0.25">
      <c r="A241" s="431">
        <v>33801</v>
      </c>
      <c r="B241" s="432">
        <v>717.45</v>
      </c>
      <c r="C241" s="427">
        <f t="shared" si="6"/>
        <v>1992</v>
      </c>
      <c r="D241" s="433">
        <f t="shared" si="7"/>
        <v>717.45</v>
      </c>
    </row>
    <row r="242" spans="1:4" ht="16.149999999999999" customHeight="1" x14ac:dyDescent="0.25">
      <c r="A242" s="431">
        <v>33802</v>
      </c>
      <c r="B242" s="434">
        <v>717.7</v>
      </c>
      <c r="C242" s="427">
        <f t="shared" si="6"/>
        <v>1992</v>
      </c>
      <c r="D242" s="433">
        <f t="shared" si="7"/>
        <v>717.7</v>
      </c>
    </row>
    <row r="243" spans="1:4" ht="16.149999999999999" customHeight="1" x14ac:dyDescent="0.25">
      <c r="A243" s="431">
        <v>33803</v>
      </c>
      <c r="B243" s="432">
        <v>715.11</v>
      </c>
      <c r="C243" s="427">
        <f t="shared" si="6"/>
        <v>1992</v>
      </c>
      <c r="D243" s="433">
        <f t="shared" si="7"/>
        <v>715.11</v>
      </c>
    </row>
    <row r="244" spans="1:4" ht="16.149999999999999" customHeight="1" x14ac:dyDescent="0.25">
      <c r="A244" s="431">
        <v>33804</v>
      </c>
      <c r="B244" s="434">
        <v>715.11</v>
      </c>
      <c r="C244" s="427">
        <f t="shared" si="6"/>
        <v>1992</v>
      </c>
      <c r="D244" s="433">
        <f t="shared" si="7"/>
        <v>715.11</v>
      </c>
    </row>
    <row r="245" spans="1:4" ht="16.149999999999999" customHeight="1" x14ac:dyDescent="0.25">
      <c r="A245" s="431">
        <v>33805</v>
      </c>
      <c r="B245" s="432">
        <v>715.11</v>
      </c>
      <c r="C245" s="427">
        <f t="shared" si="6"/>
        <v>1992</v>
      </c>
      <c r="D245" s="433">
        <f t="shared" si="7"/>
        <v>715.11</v>
      </c>
    </row>
    <row r="246" spans="1:4" ht="16.149999999999999" customHeight="1" x14ac:dyDescent="0.25">
      <c r="A246" s="431">
        <v>33806</v>
      </c>
      <c r="B246" s="434">
        <v>715.11</v>
      </c>
      <c r="C246" s="427">
        <f t="shared" si="6"/>
        <v>1992</v>
      </c>
      <c r="D246" s="433">
        <f t="shared" si="7"/>
        <v>715.11</v>
      </c>
    </row>
    <row r="247" spans="1:4" ht="16.149999999999999" customHeight="1" x14ac:dyDescent="0.25">
      <c r="A247" s="431">
        <v>33807</v>
      </c>
      <c r="B247" s="432">
        <v>710.91</v>
      </c>
      <c r="C247" s="427">
        <f t="shared" si="6"/>
        <v>1992</v>
      </c>
      <c r="D247" s="433">
        <f t="shared" si="7"/>
        <v>710.91</v>
      </c>
    </row>
    <row r="248" spans="1:4" ht="16.149999999999999" customHeight="1" x14ac:dyDescent="0.25">
      <c r="A248" s="431">
        <v>33808</v>
      </c>
      <c r="B248" s="434">
        <v>707.96</v>
      </c>
      <c r="C248" s="427">
        <f t="shared" si="6"/>
        <v>1992</v>
      </c>
      <c r="D248" s="433">
        <f t="shared" si="7"/>
        <v>707.96</v>
      </c>
    </row>
    <row r="249" spans="1:4" ht="16.149999999999999" customHeight="1" x14ac:dyDescent="0.25">
      <c r="A249" s="431">
        <v>33809</v>
      </c>
      <c r="B249" s="432">
        <v>699.73</v>
      </c>
      <c r="C249" s="427">
        <f t="shared" si="6"/>
        <v>1992</v>
      </c>
      <c r="D249" s="433">
        <f t="shared" si="7"/>
        <v>699.73</v>
      </c>
    </row>
    <row r="250" spans="1:4" ht="16.149999999999999" customHeight="1" x14ac:dyDescent="0.25">
      <c r="A250" s="431">
        <v>33810</v>
      </c>
      <c r="B250" s="434">
        <v>699.68</v>
      </c>
      <c r="C250" s="427">
        <f t="shared" si="6"/>
        <v>1992</v>
      </c>
      <c r="D250" s="433">
        <f t="shared" si="7"/>
        <v>699.68</v>
      </c>
    </row>
    <row r="251" spans="1:4" ht="16.149999999999999" customHeight="1" x14ac:dyDescent="0.25">
      <c r="A251" s="431">
        <v>33811</v>
      </c>
      <c r="B251" s="432">
        <v>699.68</v>
      </c>
      <c r="C251" s="427">
        <f t="shared" si="6"/>
        <v>1992</v>
      </c>
      <c r="D251" s="433">
        <f t="shared" si="7"/>
        <v>699.68</v>
      </c>
    </row>
    <row r="252" spans="1:4" ht="16.149999999999999" customHeight="1" x14ac:dyDescent="0.25">
      <c r="A252" s="431">
        <v>33812</v>
      </c>
      <c r="B252" s="434">
        <v>699.68</v>
      </c>
      <c r="C252" s="427">
        <f t="shared" si="6"/>
        <v>1992</v>
      </c>
      <c r="D252" s="433">
        <f t="shared" si="7"/>
        <v>699.68</v>
      </c>
    </row>
    <row r="253" spans="1:4" ht="16.149999999999999" customHeight="1" x14ac:dyDescent="0.25">
      <c r="A253" s="431">
        <v>33813</v>
      </c>
      <c r="B253" s="432">
        <v>701.66</v>
      </c>
      <c r="C253" s="427">
        <f t="shared" si="6"/>
        <v>1992</v>
      </c>
      <c r="D253" s="433">
        <f t="shared" si="7"/>
        <v>701.66</v>
      </c>
    </row>
    <row r="254" spans="1:4" ht="16.149999999999999" customHeight="1" x14ac:dyDescent="0.25">
      <c r="A254" s="431">
        <v>33814</v>
      </c>
      <c r="B254" s="434">
        <v>701.89</v>
      </c>
      <c r="C254" s="427">
        <f t="shared" si="6"/>
        <v>1992</v>
      </c>
      <c r="D254" s="433">
        <f t="shared" si="7"/>
        <v>701.89</v>
      </c>
    </row>
    <row r="255" spans="1:4" ht="16.149999999999999" customHeight="1" x14ac:dyDescent="0.25">
      <c r="A255" s="431">
        <v>33815</v>
      </c>
      <c r="B255" s="432">
        <v>702.02</v>
      </c>
      <c r="C255" s="427">
        <f t="shared" si="6"/>
        <v>1992</v>
      </c>
      <c r="D255" s="433">
        <f t="shared" si="7"/>
        <v>702.02</v>
      </c>
    </row>
    <row r="256" spans="1:4" ht="16.149999999999999" customHeight="1" x14ac:dyDescent="0.25">
      <c r="A256" s="431">
        <v>33816</v>
      </c>
      <c r="B256" s="434">
        <v>705.14</v>
      </c>
      <c r="C256" s="427">
        <f t="shared" si="6"/>
        <v>1992</v>
      </c>
      <c r="D256" s="433">
        <f t="shared" si="7"/>
        <v>705.14</v>
      </c>
    </row>
    <row r="257" spans="1:4" ht="16.149999999999999" customHeight="1" x14ac:dyDescent="0.25">
      <c r="A257" s="431">
        <v>33817</v>
      </c>
      <c r="B257" s="432">
        <v>702.52</v>
      </c>
      <c r="C257" s="427">
        <f t="shared" si="6"/>
        <v>1992</v>
      </c>
      <c r="D257" s="433">
        <f t="shared" si="7"/>
        <v>702.52</v>
      </c>
    </row>
    <row r="258" spans="1:4" ht="16.149999999999999" customHeight="1" x14ac:dyDescent="0.25">
      <c r="A258" s="431">
        <v>33818</v>
      </c>
      <c r="B258" s="434">
        <v>702.52</v>
      </c>
      <c r="C258" s="427">
        <f t="shared" si="6"/>
        <v>1992</v>
      </c>
      <c r="D258" s="433">
        <f t="shared" si="7"/>
        <v>702.52</v>
      </c>
    </row>
    <row r="259" spans="1:4" ht="16.149999999999999" customHeight="1" x14ac:dyDescent="0.25">
      <c r="A259" s="431">
        <v>33819</v>
      </c>
      <c r="B259" s="432">
        <v>702.52</v>
      </c>
      <c r="C259" s="427">
        <f t="shared" si="6"/>
        <v>1992</v>
      </c>
      <c r="D259" s="433">
        <f t="shared" si="7"/>
        <v>702.52</v>
      </c>
    </row>
    <row r="260" spans="1:4" ht="16.149999999999999" customHeight="1" x14ac:dyDescent="0.25">
      <c r="A260" s="431">
        <v>33820</v>
      </c>
      <c r="B260" s="434">
        <v>701.82</v>
      </c>
      <c r="C260" s="427">
        <f t="shared" si="6"/>
        <v>1992</v>
      </c>
      <c r="D260" s="433">
        <f t="shared" si="7"/>
        <v>701.82</v>
      </c>
    </row>
    <row r="261" spans="1:4" ht="16.149999999999999" customHeight="1" x14ac:dyDescent="0.25">
      <c r="A261" s="431">
        <v>33821</v>
      </c>
      <c r="B261" s="432">
        <v>698.84</v>
      </c>
      <c r="C261" s="427">
        <f t="shared" si="6"/>
        <v>1992</v>
      </c>
      <c r="D261" s="433">
        <f t="shared" si="7"/>
        <v>698.84</v>
      </c>
    </row>
    <row r="262" spans="1:4" ht="16.149999999999999" customHeight="1" x14ac:dyDescent="0.25">
      <c r="A262" s="431">
        <v>33822</v>
      </c>
      <c r="B262" s="434">
        <v>695.32</v>
      </c>
      <c r="C262" s="427">
        <f t="shared" si="6"/>
        <v>1992</v>
      </c>
      <c r="D262" s="433">
        <f t="shared" si="7"/>
        <v>695.32</v>
      </c>
    </row>
    <row r="263" spans="1:4" ht="16.149999999999999" customHeight="1" x14ac:dyDescent="0.25">
      <c r="A263" s="431">
        <v>33823</v>
      </c>
      <c r="B263" s="432">
        <v>694.25</v>
      </c>
      <c r="C263" s="427">
        <f t="shared" si="6"/>
        <v>1992</v>
      </c>
      <c r="D263" s="433">
        <f t="shared" si="7"/>
        <v>694.25</v>
      </c>
    </row>
    <row r="264" spans="1:4" ht="16.149999999999999" customHeight="1" x14ac:dyDescent="0.25">
      <c r="A264" s="431">
        <v>33824</v>
      </c>
      <c r="B264" s="434">
        <v>694.25</v>
      </c>
      <c r="C264" s="427">
        <f t="shared" si="6"/>
        <v>1992</v>
      </c>
      <c r="D264" s="433">
        <f t="shared" si="7"/>
        <v>694.25</v>
      </c>
    </row>
    <row r="265" spans="1:4" ht="16.149999999999999" customHeight="1" x14ac:dyDescent="0.25">
      <c r="A265" s="431">
        <v>33825</v>
      </c>
      <c r="B265" s="432">
        <v>694.25</v>
      </c>
      <c r="C265" s="427">
        <f t="shared" si="6"/>
        <v>1992</v>
      </c>
      <c r="D265" s="433">
        <f t="shared" si="7"/>
        <v>694.25</v>
      </c>
    </row>
    <row r="266" spans="1:4" ht="16.149999999999999" customHeight="1" x14ac:dyDescent="0.25">
      <c r="A266" s="431">
        <v>33826</v>
      </c>
      <c r="B266" s="434">
        <v>694.25</v>
      </c>
      <c r="C266" s="427">
        <f t="shared" ref="C266:C329" si="8">YEAR(A266)</f>
        <v>1992</v>
      </c>
      <c r="D266" s="433">
        <f t="shared" ref="D266:D329" si="9">B266</f>
        <v>694.25</v>
      </c>
    </row>
    <row r="267" spans="1:4" ht="16.149999999999999" customHeight="1" x14ac:dyDescent="0.25">
      <c r="A267" s="431">
        <v>33827</v>
      </c>
      <c r="B267" s="432">
        <v>692.72</v>
      </c>
      <c r="C267" s="427">
        <f t="shared" si="8"/>
        <v>1992</v>
      </c>
      <c r="D267" s="433">
        <f t="shared" si="9"/>
        <v>692.72</v>
      </c>
    </row>
    <row r="268" spans="1:4" ht="16.149999999999999" customHeight="1" x14ac:dyDescent="0.25">
      <c r="A268" s="431">
        <v>33828</v>
      </c>
      <c r="B268" s="434">
        <v>692.25</v>
      </c>
      <c r="C268" s="427">
        <f t="shared" si="8"/>
        <v>1992</v>
      </c>
      <c r="D268" s="433">
        <f t="shared" si="9"/>
        <v>692.25</v>
      </c>
    </row>
    <row r="269" spans="1:4" ht="16.149999999999999" customHeight="1" x14ac:dyDescent="0.25">
      <c r="A269" s="431">
        <v>33829</v>
      </c>
      <c r="B269" s="432">
        <v>694.28</v>
      </c>
      <c r="C269" s="427">
        <f t="shared" si="8"/>
        <v>1992</v>
      </c>
      <c r="D269" s="433">
        <f t="shared" si="9"/>
        <v>694.28</v>
      </c>
    </row>
    <row r="270" spans="1:4" ht="16.149999999999999" customHeight="1" x14ac:dyDescent="0.25">
      <c r="A270" s="431">
        <v>33830</v>
      </c>
      <c r="B270" s="434">
        <v>692.51</v>
      </c>
      <c r="C270" s="427">
        <f t="shared" si="8"/>
        <v>1992</v>
      </c>
      <c r="D270" s="433">
        <f t="shared" si="9"/>
        <v>692.51</v>
      </c>
    </row>
    <row r="271" spans="1:4" ht="16.149999999999999" customHeight="1" x14ac:dyDescent="0.25">
      <c r="A271" s="431">
        <v>33831</v>
      </c>
      <c r="B271" s="432">
        <v>693.25</v>
      </c>
      <c r="C271" s="427">
        <f t="shared" si="8"/>
        <v>1992</v>
      </c>
      <c r="D271" s="433">
        <f t="shared" si="9"/>
        <v>693.25</v>
      </c>
    </row>
    <row r="272" spans="1:4" ht="16.149999999999999" customHeight="1" x14ac:dyDescent="0.25">
      <c r="A272" s="431">
        <v>33832</v>
      </c>
      <c r="B272" s="434">
        <v>693.25</v>
      </c>
      <c r="C272" s="427">
        <f t="shared" si="8"/>
        <v>1992</v>
      </c>
      <c r="D272" s="433">
        <f t="shared" si="9"/>
        <v>693.25</v>
      </c>
    </row>
    <row r="273" spans="1:4" ht="16.149999999999999" customHeight="1" x14ac:dyDescent="0.25">
      <c r="A273" s="431">
        <v>33833</v>
      </c>
      <c r="B273" s="432">
        <v>693.25</v>
      </c>
      <c r="C273" s="427">
        <f t="shared" si="8"/>
        <v>1992</v>
      </c>
      <c r="D273" s="433">
        <f t="shared" si="9"/>
        <v>693.25</v>
      </c>
    </row>
    <row r="274" spans="1:4" ht="16.149999999999999" customHeight="1" x14ac:dyDescent="0.25">
      <c r="A274" s="431">
        <v>33834</v>
      </c>
      <c r="B274" s="434">
        <v>693.25</v>
      </c>
      <c r="C274" s="427">
        <f t="shared" si="8"/>
        <v>1992</v>
      </c>
      <c r="D274" s="433">
        <f t="shared" si="9"/>
        <v>693.25</v>
      </c>
    </row>
    <row r="275" spans="1:4" ht="16.149999999999999" customHeight="1" x14ac:dyDescent="0.25">
      <c r="A275" s="431">
        <v>33835</v>
      </c>
      <c r="B275" s="432">
        <v>693.69</v>
      </c>
      <c r="C275" s="427">
        <f t="shared" si="8"/>
        <v>1992</v>
      </c>
      <c r="D275" s="433">
        <f t="shared" si="9"/>
        <v>693.69</v>
      </c>
    </row>
    <row r="276" spans="1:4" ht="16.149999999999999" customHeight="1" x14ac:dyDescent="0.25">
      <c r="A276" s="431">
        <v>33836</v>
      </c>
      <c r="B276" s="434">
        <v>692.48</v>
      </c>
      <c r="C276" s="427">
        <f t="shared" si="8"/>
        <v>1992</v>
      </c>
      <c r="D276" s="433">
        <f t="shared" si="9"/>
        <v>692.48</v>
      </c>
    </row>
    <row r="277" spans="1:4" ht="16.149999999999999" customHeight="1" x14ac:dyDescent="0.25">
      <c r="A277" s="431">
        <v>33837</v>
      </c>
      <c r="B277" s="432">
        <v>692.56</v>
      </c>
      <c r="C277" s="427">
        <f t="shared" si="8"/>
        <v>1992</v>
      </c>
      <c r="D277" s="433">
        <f t="shared" si="9"/>
        <v>692.56</v>
      </c>
    </row>
    <row r="278" spans="1:4" ht="16.149999999999999" customHeight="1" x14ac:dyDescent="0.25">
      <c r="A278" s="431">
        <v>33838</v>
      </c>
      <c r="B278" s="434">
        <v>693.94</v>
      </c>
      <c r="C278" s="427">
        <f t="shared" si="8"/>
        <v>1992</v>
      </c>
      <c r="D278" s="433">
        <f t="shared" si="9"/>
        <v>693.94</v>
      </c>
    </row>
    <row r="279" spans="1:4" ht="16.149999999999999" customHeight="1" x14ac:dyDescent="0.25">
      <c r="A279" s="431">
        <v>33839</v>
      </c>
      <c r="B279" s="432">
        <v>693.94</v>
      </c>
      <c r="C279" s="427">
        <f t="shared" si="8"/>
        <v>1992</v>
      </c>
      <c r="D279" s="433">
        <f t="shared" si="9"/>
        <v>693.94</v>
      </c>
    </row>
    <row r="280" spans="1:4" ht="16.149999999999999" customHeight="1" x14ac:dyDescent="0.25">
      <c r="A280" s="431">
        <v>33840</v>
      </c>
      <c r="B280" s="434">
        <v>693.94</v>
      </c>
      <c r="C280" s="427">
        <f t="shared" si="8"/>
        <v>1992</v>
      </c>
      <c r="D280" s="433">
        <f t="shared" si="9"/>
        <v>693.94</v>
      </c>
    </row>
    <row r="281" spans="1:4" ht="16.149999999999999" customHeight="1" x14ac:dyDescent="0.25">
      <c r="A281" s="431">
        <v>33841</v>
      </c>
      <c r="B281" s="432">
        <v>689.56</v>
      </c>
      <c r="C281" s="427">
        <f t="shared" si="8"/>
        <v>1992</v>
      </c>
      <c r="D281" s="433">
        <f t="shared" si="9"/>
        <v>689.56</v>
      </c>
    </row>
    <row r="282" spans="1:4" ht="16.149999999999999" customHeight="1" x14ac:dyDescent="0.25">
      <c r="A282" s="431">
        <v>33842</v>
      </c>
      <c r="B282" s="434">
        <v>689.21</v>
      </c>
      <c r="C282" s="427">
        <f t="shared" si="8"/>
        <v>1992</v>
      </c>
      <c r="D282" s="433">
        <f t="shared" si="9"/>
        <v>689.21</v>
      </c>
    </row>
    <row r="283" spans="1:4" ht="16.149999999999999" customHeight="1" x14ac:dyDescent="0.25">
      <c r="A283" s="431">
        <v>33843</v>
      </c>
      <c r="B283" s="432">
        <v>689.45</v>
      </c>
      <c r="C283" s="427">
        <f t="shared" si="8"/>
        <v>1992</v>
      </c>
      <c r="D283" s="433">
        <f t="shared" si="9"/>
        <v>689.45</v>
      </c>
    </row>
    <row r="284" spans="1:4" ht="16.149999999999999" customHeight="1" x14ac:dyDescent="0.25">
      <c r="A284" s="431">
        <v>33844</v>
      </c>
      <c r="B284" s="434">
        <v>690.3</v>
      </c>
      <c r="C284" s="427">
        <f t="shared" si="8"/>
        <v>1992</v>
      </c>
      <c r="D284" s="433">
        <f t="shared" si="9"/>
        <v>690.3</v>
      </c>
    </row>
    <row r="285" spans="1:4" ht="16.149999999999999" customHeight="1" x14ac:dyDescent="0.25">
      <c r="A285" s="431">
        <v>33845</v>
      </c>
      <c r="B285" s="432">
        <v>691.68</v>
      </c>
      <c r="C285" s="427">
        <f t="shared" si="8"/>
        <v>1992</v>
      </c>
      <c r="D285" s="433">
        <f t="shared" si="9"/>
        <v>691.68</v>
      </c>
    </row>
    <row r="286" spans="1:4" ht="16.149999999999999" customHeight="1" x14ac:dyDescent="0.25">
      <c r="A286" s="431">
        <v>33846</v>
      </c>
      <c r="B286" s="434">
        <v>691.68</v>
      </c>
      <c r="C286" s="427">
        <f t="shared" si="8"/>
        <v>1992</v>
      </c>
      <c r="D286" s="433">
        <f t="shared" si="9"/>
        <v>691.68</v>
      </c>
    </row>
    <row r="287" spans="1:4" ht="16.149999999999999" customHeight="1" x14ac:dyDescent="0.25">
      <c r="A287" s="431">
        <v>33847</v>
      </c>
      <c r="B287" s="432">
        <v>691.68</v>
      </c>
      <c r="C287" s="427">
        <f t="shared" si="8"/>
        <v>1992</v>
      </c>
      <c r="D287" s="433">
        <f t="shared" si="9"/>
        <v>691.68</v>
      </c>
    </row>
    <row r="288" spans="1:4" ht="16.149999999999999" customHeight="1" x14ac:dyDescent="0.25">
      <c r="A288" s="431">
        <v>33848</v>
      </c>
      <c r="B288" s="434">
        <v>691.9</v>
      </c>
      <c r="C288" s="427">
        <f t="shared" si="8"/>
        <v>1992</v>
      </c>
      <c r="D288" s="433">
        <f t="shared" si="9"/>
        <v>691.9</v>
      </c>
    </row>
    <row r="289" spans="1:4" ht="16.149999999999999" customHeight="1" x14ac:dyDescent="0.25">
      <c r="A289" s="431">
        <v>33849</v>
      </c>
      <c r="B289" s="432">
        <v>692.89</v>
      </c>
      <c r="C289" s="427">
        <f t="shared" si="8"/>
        <v>1992</v>
      </c>
      <c r="D289" s="433">
        <f t="shared" si="9"/>
        <v>692.89</v>
      </c>
    </row>
    <row r="290" spans="1:4" ht="16.149999999999999" customHeight="1" x14ac:dyDescent="0.25">
      <c r="A290" s="431">
        <v>33850</v>
      </c>
      <c r="B290" s="434">
        <v>693.02</v>
      </c>
      <c r="C290" s="427">
        <f t="shared" si="8"/>
        <v>1992</v>
      </c>
      <c r="D290" s="433">
        <f t="shared" si="9"/>
        <v>693.02</v>
      </c>
    </row>
    <row r="291" spans="1:4" ht="16.149999999999999" customHeight="1" x14ac:dyDescent="0.25">
      <c r="A291" s="431">
        <v>33851</v>
      </c>
      <c r="B291" s="432">
        <v>695.62</v>
      </c>
      <c r="C291" s="427">
        <f t="shared" si="8"/>
        <v>1992</v>
      </c>
      <c r="D291" s="433">
        <f t="shared" si="9"/>
        <v>695.62</v>
      </c>
    </row>
    <row r="292" spans="1:4" ht="16.149999999999999" customHeight="1" x14ac:dyDescent="0.25">
      <c r="A292" s="431">
        <v>33852</v>
      </c>
      <c r="B292" s="434">
        <v>696.77</v>
      </c>
      <c r="C292" s="427">
        <f t="shared" si="8"/>
        <v>1992</v>
      </c>
      <c r="D292" s="433">
        <f t="shared" si="9"/>
        <v>696.77</v>
      </c>
    </row>
    <row r="293" spans="1:4" ht="16.149999999999999" customHeight="1" x14ac:dyDescent="0.25">
      <c r="A293" s="431">
        <v>33853</v>
      </c>
      <c r="B293" s="432">
        <v>696.77</v>
      </c>
      <c r="C293" s="427">
        <f t="shared" si="8"/>
        <v>1992</v>
      </c>
      <c r="D293" s="433">
        <f t="shared" si="9"/>
        <v>696.77</v>
      </c>
    </row>
    <row r="294" spans="1:4" ht="16.149999999999999" customHeight="1" x14ac:dyDescent="0.25">
      <c r="A294" s="431">
        <v>33854</v>
      </c>
      <c r="B294" s="434">
        <v>696.77</v>
      </c>
      <c r="C294" s="427">
        <f t="shared" si="8"/>
        <v>1992</v>
      </c>
      <c r="D294" s="433">
        <f t="shared" si="9"/>
        <v>696.77</v>
      </c>
    </row>
    <row r="295" spans="1:4" ht="16.149999999999999" customHeight="1" x14ac:dyDescent="0.25">
      <c r="A295" s="431">
        <v>33855</v>
      </c>
      <c r="B295" s="432">
        <v>697.69</v>
      </c>
      <c r="C295" s="427">
        <f t="shared" si="8"/>
        <v>1992</v>
      </c>
      <c r="D295" s="433">
        <f t="shared" si="9"/>
        <v>697.69</v>
      </c>
    </row>
    <row r="296" spans="1:4" ht="16.149999999999999" customHeight="1" x14ac:dyDescent="0.25">
      <c r="A296" s="431">
        <v>33856</v>
      </c>
      <c r="B296" s="434">
        <v>698.28</v>
      </c>
      <c r="C296" s="427">
        <f t="shared" si="8"/>
        <v>1992</v>
      </c>
      <c r="D296" s="433">
        <f t="shared" si="9"/>
        <v>698.28</v>
      </c>
    </row>
    <row r="297" spans="1:4" ht="16.149999999999999" customHeight="1" x14ac:dyDescent="0.25">
      <c r="A297" s="431">
        <v>33857</v>
      </c>
      <c r="B297" s="432">
        <v>695.38</v>
      </c>
      <c r="C297" s="427">
        <f t="shared" si="8"/>
        <v>1992</v>
      </c>
      <c r="D297" s="433">
        <f t="shared" si="9"/>
        <v>695.38</v>
      </c>
    </row>
    <row r="298" spans="1:4" ht="16.149999999999999" customHeight="1" x14ac:dyDescent="0.25">
      <c r="A298" s="431">
        <v>33858</v>
      </c>
      <c r="B298" s="434">
        <v>695.54</v>
      </c>
      <c r="C298" s="427">
        <f t="shared" si="8"/>
        <v>1992</v>
      </c>
      <c r="D298" s="433">
        <f t="shared" si="9"/>
        <v>695.54</v>
      </c>
    </row>
    <row r="299" spans="1:4" ht="16.149999999999999" customHeight="1" x14ac:dyDescent="0.25">
      <c r="A299" s="431">
        <v>33859</v>
      </c>
      <c r="B299" s="432">
        <v>696.39</v>
      </c>
      <c r="C299" s="427">
        <f t="shared" si="8"/>
        <v>1992</v>
      </c>
      <c r="D299" s="433">
        <f t="shared" si="9"/>
        <v>696.39</v>
      </c>
    </row>
    <row r="300" spans="1:4" ht="16.149999999999999" customHeight="1" x14ac:dyDescent="0.25">
      <c r="A300" s="431">
        <v>33860</v>
      </c>
      <c r="B300" s="434">
        <v>696.39</v>
      </c>
      <c r="C300" s="427">
        <f t="shared" si="8"/>
        <v>1992</v>
      </c>
      <c r="D300" s="433">
        <f t="shared" si="9"/>
        <v>696.39</v>
      </c>
    </row>
    <row r="301" spans="1:4" ht="16.149999999999999" customHeight="1" x14ac:dyDescent="0.25">
      <c r="A301" s="431">
        <v>33861</v>
      </c>
      <c r="B301" s="432">
        <v>696.39</v>
      </c>
      <c r="C301" s="427">
        <f t="shared" si="8"/>
        <v>1992</v>
      </c>
      <c r="D301" s="433">
        <f t="shared" si="9"/>
        <v>696.39</v>
      </c>
    </row>
    <row r="302" spans="1:4" ht="16.149999999999999" customHeight="1" x14ac:dyDescent="0.25">
      <c r="A302" s="431">
        <v>33862</v>
      </c>
      <c r="B302" s="434">
        <v>696.29</v>
      </c>
      <c r="C302" s="427">
        <f t="shared" si="8"/>
        <v>1992</v>
      </c>
      <c r="D302" s="433">
        <f t="shared" si="9"/>
        <v>696.29</v>
      </c>
    </row>
    <row r="303" spans="1:4" ht="16.149999999999999" customHeight="1" x14ac:dyDescent="0.25">
      <c r="A303" s="431">
        <v>33863</v>
      </c>
      <c r="B303" s="432">
        <v>696.84</v>
      </c>
      <c r="C303" s="427">
        <f t="shared" si="8"/>
        <v>1992</v>
      </c>
      <c r="D303" s="433">
        <f t="shared" si="9"/>
        <v>696.84</v>
      </c>
    </row>
    <row r="304" spans="1:4" ht="16.149999999999999" customHeight="1" x14ac:dyDescent="0.25">
      <c r="A304" s="431">
        <v>33864</v>
      </c>
      <c r="B304" s="434">
        <v>695.7</v>
      </c>
      <c r="C304" s="427">
        <f t="shared" si="8"/>
        <v>1992</v>
      </c>
      <c r="D304" s="433">
        <f t="shared" si="9"/>
        <v>695.7</v>
      </c>
    </row>
    <row r="305" spans="1:4" ht="16.149999999999999" customHeight="1" x14ac:dyDescent="0.25">
      <c r="A305" s="431">
        <v>33865</v>
      </c>
      <c r="B305" s="432">
        <v>696.66</v>
      </c>
      <c r="C305" s="427">
        <f t="shared" si="8"/>
        <v>1992</v>
      </c>
      <c r="D305" s="433">
        <f t="shared" si="9"/>
        <v>696.66</v>
      </c>
    </row>
    <row r="306" spans="1:4" ht="16.149999999999999" customHeight="1" x14ac:dyDescent="0.25">
      <c r="A306" s="431">
        <v>33866</v>
      </c>
      <c r="B306" s="434">
        <v>696.42</v>
      </c>
      <c r="C306" s="427">
        <f t="shared" si="8"/>
        <v>1992</v>
      </c>
      <c r="D306" s="433">
        <f t="shared" si="9"/>
        <v>696.42</v>
      </c>
    </row>
    <row r="307" spans="1:4" ht="16.149999999999999" customHeight="1" x14ac:dyDescent="0.25">
      <c r="A307" s="431">
        <v>33867</v>
      </c>
      <c r="B307" s="432">
        <v>696.42</v>
      </c>
      <c r="C307" s="427">
        <f t="shared" si="8"/>
        <v>1992</v>
      </c>
      <c r="D307" s="433">
        <f t="shared" si="9"/>
        <v>696.42</v>
      </c>
    </row>
    <row r="308" spans="1:4" ht="16.149999999999999" customHeight="1" x14ac:dyDescent="0.25">
      <c r="A308" s="431">
        <v>33868</v>
      </c>
      <c r="B308" s="434">
        <v>696.42</v>
      </c>
      <c r="C308" s="427">
        <f t="shared" si="8"/>
        <v>1992</v>
      </c>
      <c r="D308" s="433">
        <f t="shared" si="9"/>
        <v>696.42</v>
      </c>
    </row>
    <row r="309" spans="1:4" ht="16.149999999999999" customHeight="1" x14ac:dyDescent="0.25">
      <c r="A309" s="431">
        <v>33869</v>
      </c>
      <c r="B309" s="432">
        <v>699.16</v>
      </c>
      <c r="C309" s="427">
        <f t="shared" si="8"/>
        <v>1992</v>
      </c>
      <c r="D309" s="433">
        <f t="shared" si="9"/>
        <v>699.16</v>
      </c>
    </row>
    <row r="310" spans="1:4" ht="16.149999999999999" customHeight="1" x14ac:dyDescent="0.25">
      <c r="A310" s="431">
        <v>33870</v>
      </c>
      <c r="B310" s="434">
        <v>697.77</v>
      </c>
      <c r="C310" s="427">
        <f t="shared" si="8"/>
        <v>1992</v>
      </c>
      <c r="D310" s="433">
        <f t="shared" si="9"/>
        <v>697.77</v>
      </c>
    </row>
    <row r="311" spans="1:4" ht="16.149999999999999" customHeight="1" x14ac:dyDescent="0.25">
      <c r="A311" s="431">
        <v>33871</v>
      </c>
      <c r="B311" s="432">
        <v>698.4</v>
      </c>
      <c r="C311" s="427">
        <f t="shared" si="8"/>
        <v>1992</v>
      </c>
      <c r="D311" s="433">
        <f t="shared" si="9"/>
        <v>698.4</v>
      </c>
    </row>
    <row r="312" spans="1:4" ht="16.149999999999999" customHeight="1" x14ac:dyDescent="0.25">
      <c r="A312" s="431">
        <v>33872</v>
      </c>
      <c r="B312" s="434">
        <v>697.01</v>
      </c>
      <c r="C312" s="427">
        <f t="shared" si="8"/>
        <v>1992</v>
      </c>
      <c r="D312" s="433">
        <f t="shared" si="9"/>
        <v>697.01</v>
      </c>
    </row>
    <row r="313" spans="1:4" ht="16.149999999999999" customHeight="1" x14ac:dyDescent="0.25">
      <c r="A313" s="431">
        <v>33873</v>
      </c>
      <c r="B313" s="432">
        <v>704.8</v>
      </c>
      <c r="C313" s="427">
        <f t="shared" si="8"/>
        <v>1992</v>
      </c>
      <c r="D313" s="433">
        <f t="shared" si="9"/>
        <v>704.8</v>
      </c>
    </row>
    <row r="314" spans="1:4" ht="16.149999999999999" customHeight="1" x14ac:dyDescent="0.25">
      <c r="A314" s="431">
        <v>33874</v>
      </c>
      <c r="B314" s="434">
        <v>704.8</v>
      </c>
      <c r="C314" s="427">
        <f t="shared" si="8"/>
        <v>1992</v>
      </c>
      <c r="D314" s="433">
        <f t="shared" si="9"/>
        <v>704.8</v>
      </c>
    </row>
    <row r="315" spans="1:4" ht="16.149999999999999" customHeight="1" x14ac:dyDescent="0.25">
      <c r="A315" s="431">
        <v>33875</v>
      </c>
      <c r="B315" s="432">
        <v>704.8</v>
      </c>
      <c r="C315" s="427">
        <f t="shared" si="8"/>
        <v>1992</v>
      </c>
      <c r="D315" s="433">
        <f t="shared" si="9"/>
        <v>704.8</v>
      </c>
    </row>
    <row r="316" spans="1:4" ht="16.149999999999999" customHeight="1" x14ac:dyDescent="0.25">
      <c r="A316" s="431">
        <v>33876</v>
      </c>
      <c r="B316" s="434">
        <v>701</v>
      </c>
      <c r="C316" s="427">
        <f t="shared" si="8"/>
        <v>1992</v>
      </c>
      <c r="D316" s="433">
        <f t="shared" si="9"/>
        <v>701</v>
      </c>
    </row>
    <row r="317" spans="1:4" ht="16.149999999999999" customHeight="1" x14ac:dyDescent="0.25">
      <c r="A317" s="431">
        <v>33877</v>
      </c>
      <c r="B317" s="432">
        <v>702.81</v>
      </c>
      <c r="C317" s="427">
        <f t="shared" si="8"/>
        <v>1992</v>
      </c>
      <c r="D317" s="433">
        <f t="shared" si="9"/>
        <v>702.81</v>
      </c>
    </row>
    <row r="318" spans="1:4" ht="16.149999999999999" customHeight="1" x14ac:dyDescent="0.25">
      <c r="A318" s="431">
        <v>33878</v>
      </c>
      <c r="B318" s="434">
        <v>699.7</v>
      </c>
      <c r="C318" s="427">
        <f t="shared" si="8"/>
        <v>1992</v>
      </c>
      <c r="D318" s="433">
        <f t="shared" si="9"/>
        <v>699.7</v>
      </c>
    </row>
    <row r="319" spans="1:4" ht="16.149999999999999" customHeight="1" x14ac:dyDescent="0.25">
      <c r="A319" s="431">
        <v>33879</v>
      </c>
      <c r="B319" s="432">
        <v>703.08</v>
      </c>
      <c r="C319" s="427">
        <f t="shared" si="8"/>
        <v>1992</v>
      </c>
      <c r="D319" s="433">
        <f t="shared" si="9"/>
        <v>703.08</v>
      </c>
    </row>
    <row r="320" spans="1:4" ht="16.149999999999999" customHeight="1" x14ac:dyDescent="0.25">
      <c r="A320" s="431">
        <v>33880</v>
      </c>
      <c r="B320" s="434">
        <v>710.22</v>
      </c>
      <c r="C320" s="427">
        <f t="shared" si="8"/>
        <v>1992</v>
      </c>
      <c r="D320" s="433">
        <f t="shared" si="9"/>
        <v>710.22</v>
      </c>
    </row>
    <row r="321" spans="1:4" ht="16.149999999999999" customHeight="1" x14ac:dyDescent="0.25">
      <c r="A321" s="431">
        <v>33881</v>
      </c>
      <c r="B321" s="432">
        <v>710.22</v>
      </c>
      <c r="C321" s="427">
        <f t="shared" si="8"/>
        <v>1992</v>
      </c>
      <c r="D321" s="433">
        <f t="shared" si="9"/>
        <v>710.22</v>
      </c>
    </row>
    <row r="322" spans="1:4" ht="16.149999999999999" customHeight="1" x14ac:dyDescent="0.25">
      <c r="A322" s="431">
        <v>33882</v>
      </c>
      <c r="B322" s="434">
        <v>710.22</v>
      </c>
      <c r="C322" s="427">
        <f t="shared" si="8"/>
        <v>1992</v>
      </c>
      <c r="D322" s="433">
        <f t="shared" si="9"/>
        <v>710.22</v>
      </c>
    </row>
    <row r="323" spans="1:4" ht="16.149999999999999" customHeight="1" x14ac:dyDescent="0.25">
      <c r="A323" s="431">
        <v>33883</v>
      </c>
      <c r="B323" s="432">
        <v>704.52</v>
      </c>
      <c r="C323" s="427">
        <f t="shared" si="8"/>
        <v>1992</v>
      </c>
      <c r="D323" s="433">
        <f t="shared" si="9"/>
        <v>704.52</v>
      </c>
    </row>
    <row r="324" spans="1:4" ht="16.149999999999999" customHeight="1" x14ac:dyDescent="0.25">
      <c r="A324" s="431">
        <v>33884</v>
      </c>
      <c r="B324" s="434">
        <v>703.66</v>
      </c>
      <c r="C324" s="427">
        <f t="shared" si="8"/>
        <v>1992</v>
      </c>
      <c r="D324" s="433">
        <f t="shared" si="9"/>
        <v>703.66</v>
      </c>
    </row>
    <row r="325" spans="1:4" ht="16.149999999999999" customHeight="1" x14ac:dyDescent="0.25">
      <c r="A325" s="431">
        <v>33885</v>
      </c>
      <c r="B325" s="432">
        <v>702.71</v>
      </c>
      <c r="C325" s="427">
        <f t="shared" si="8"/>
        <v>1992</v>
      </c>
      <c r="D325" s="433">
        <f t="shared" si="9"/>
        <v>702.71</v>
      </c>
    </row>
    <row r="326" spans="1:4" ht="16.149999999999999" customHeight="1" x14ac:dyDescent="0.25">
      <c r="A326" s="431">
        <v>33886</v>
      </c>
      <c r="B326" s="434">
        <v>704.06</v>
      </c>
      <c r="C326" s="427">
        <f t="shared" si="8"/>
        <v>1992</v>
      </c>
      <c r="D326" s="433">
        <f t="shared" si="9"/>
        <v>704.06</v>
      </c>
    </row>
    <row r="327" spans="1:4" ht="16.149999999999999" customHeight="1" x14ac:dyDescent="0.25">
      <c r="A327" s="431">
        <v>33887</v>
      </c>
      <c r="B327" s="432">
        <v>701.88</v>
      </c>
      <c r="C327" s="427">
        <f t="shared" si="8"/>
        <v>1992</v>
      </c>
      <c r="D327" s="433">
        <f t="shared" si="9"/>
        <v>701.88</v>
      </c>
    </row>
    <row r="328" spans="1:4" ht="16.149999999999999" customHeight="1" x14ac:dyDescent="0.25">
      <c r="A328" s="431">
        <v>33888</v>
      </c>
      <c r="B328" s="434">
        <v>701.88</v>
      </c>
      <c r="C328" s="427">
        <f t="shared" si="8"/>
        <v>1992</v>
      </c>
      <c r="D328" s="433">
        <f t="shared" si="9"/>
        <v>701.88</v>
      </c>
    </row>
    <row r="329" spans="1:4" ht="16.149999999999999" customHeight="1" x14ac:dyDescent="0.25">
      <c r="A329" s="431">
        <v>33889</v>
      </c>
      <c r="B329" s="432">
        <v>701.88</v>
      </c>
      <c r="C329" s="427">
        <f t="shared" si="8"/>
        <v>1992</v>
      </c>
      <c r="D329" s="433">
        <f t="shared" si="9"/>
        <v>701.88</v>
      </c>
    </row>
    <row r="330" spans="1:4" ht="16.149999999999999" customHeight="1" x14ac:dyDescent="0.25">
      <c r="A330" s="431">
        <v>33890</v>
      </c>
      <c r="B330" s="434">
        <v>701.88</v>
      </c>
      <c r="C330" s="427">
        <f t="shared" ref="C330:C393" si="10">YEAR(A330)</f>
        <v>1992</v>
      </c>
      <c r="D330" s="433">
        <f t="shared" ref="D330:D393" si="11">B330</f>
        <v>701.88</v>
      </c>
    </row>
    <row r="331" spans="1:4" ht="16.149999999999999" customHeight="1" x14ac:dyDescent="0.25">
      <c r="A331" s="431">
        <v>33891</v>
      </c>
      <c r="B331" s="432">
        <v>702.48</v>
      </c>
      <c r="C331" s="427">
        <f t="shared" si="10"/>
        <v>1992</v>
      </c>
      <c r="D331" s="433">
        <f t="shared" si="11"/>
        <v>702.48</v>
      </c>
    </row>
    <row r="332" spans="1:4" ht="16.149999999999999" customHeight="1" x14ac:dyDescent="0.25">
      <c r="A332" s="431">
        <v>33892</v>
      </c>
      <c r="B332" s="434">
        <v>705.52</v>
      </c>
      <c r="C332" s="427">
        <f t="shared" si="10"/>
        <v>1992</v>
      </c>
      <c r="D332" s="433">
        <f t="shared" si="11"/>
        <v>705.52</v>
      </c>
    </row>
    <row r="333" spans="1:4" ht="16.149999999999999" customHeight="1" x14ac:dyDescent="0.25">
      <c r="A333" s="431">
        <v>33893</v>
      </c>
      <c r="B333" s="432">
        <v>708.21</v>
      </c>
      <c r="C333" s="427">
        <f t="shared" si="10"/>
        <v>1992</v>
      </c>
      <c r="D333" s="433">
        <f t="shared" si="11"/>
        <v>708.21</v>
      </c>
    </row>
    <row r="334" spans="1:4" ht="16.149999999999999" customHeight="1" x14ac:dyDescent="0.25">
      <c r="A334" s="431">
        <v>33894</v>
      </c>
      <c r="B334" s="434">
        <v>707.13</v>
      </c>
      <c r="C334" s="427">
        <f t="shared" si="10"/>
        <v>1992</v>
      </c>
      <c r="D334" s="433">
        <f t="shared" si="11"/>
        <v>707.13</v>
      </c>
    </row>
    <row r="335" spans="1:4" ht="16.149999999999999" customHeight="1" x14ac:dyDescent="0.25">
      <c r="A335" s="431">
        <v>33895</v>
      </c>
      <c r="B335" s="432">
        <v>707.13</v>
      </c>
      <c r="C335" s="427">
        <f t="shared" si="10"/>
        <v>1992</v>
      </c>
      <c r="D335" s="433">
        <f t="shared" si="11"/>
        <v>707.13</v>
      </c>
    </row>
    <row r="336" spans="1:4" ht="16.149999999999999" customHeight="1" x14ac:dyDescent="0.25">
      <c r="A336" s="431">
        <v>33896</v>
      </c>
      <c r="B336" s="434">
        <v>707.13</v>
      </c>
      <c r="C336" s="427">
        <f t="shared" si="10"/>
        <v>1992</v>
      </c>
      <c r="D336" s="433">
        <f t="shared" si="11"/>
        <v>707.13</v>
      </c>
    </row>
    <row r="337" spans="1:4" ht="16.149999999999999" customHeight="1" x14ac:dyDescent="0.25">
      <c r="A337" s="431">
        <v>33897</v>
      </c>
      <c r="B337" s="432">
        <v>707.35</v>
      </c>
      <c r="C337" s="427">
        <f t="shared" si="10"/>
        <v>1992</v>
      </c>
      <c r="D337" s="433">
        <f t="shared" si="11"/>
        <v>707.35</v>
      </c>
    </row>
    <row r="338" spans="1:4" ht="16.149999999999999" customHeight="1" x14ac:dyDescent="0.25">
      <c r="A338" s="431">
        <v>33898</v>
      </c>
      <c r="B338" s="434">
        <v>706.06</v>
      </c>
      <c r="C338" s="427">
        <f t="shared" si="10"/>
        <v>1992</v>
      </c>
      <c r="D338" s="433">
        <f t="shared" si="11"/>
        <v>706.06</v>
      </c>
    </row>
    <row r="339" spans="1:4" ht="16.149999999999999" customHeight="1" x14ac:dyDescent="0.25">
      <c r="A339" s="431">
        <v>33899</v>
      </c>
      <c r="B339" s="432">
        <v>709.22</v>
      </c>
      <c r="C339" s="427">
        <f t="shared" si="10"/>
        <v>1992</v>
      </c>
      <c r="D339" s="433">
        <f t="shared" si="11"/>
        <v>709.22</v>
      </c>
    </row>
    <row r="340" spans="1:4" ht="16.149999999999999" customHeight="1" x14ac:dyDescent="0.25">
      <c r="A340" s="431">
        <v>33900</v>
      </c>
      <c r="B340" s="434">
        <v>710.19</v>
      </c>
      <c r="C340" s="427">
        <f t="shared" si="10"/>
        <v>1992</v>
      </c>
      <c r="D340" s="433">
        <f t="shared" si="11"/>
        <v>710.19</v>
      </c>
    </row>
    <row r="341" spans="1:4" ht="16.149999999999999" customHeight="1" x14ac:dyDescent="0.25">
      <c r="A341" s="431">
        <v>33901</v>
      </c>
      <c r="B341" s="432">
        <v>712.04</v>
      </c>
      <c r="C341" s="427">
        <f t="shared" si="10"/>
        <v>1992</v>
      </c>
      <c r="D341" s="433">
        <f t="shared" si="11"/>
        <v>712.04</v>
      </c>
    </row>
    <row r="342" spans="1:4" ht="16.149999999999999" customHeight="1" x14ac:dyDescent="0.25">
      <c r="A342" s="431">
        <v>33902</v>
      </c>
      <c r="B342" s="434">
        <v>712.04</v>
      </c>
      <c r="C342" s="427">
        <f t="shared" si="10"/>
        <v>1992</v>
      </c>
      <c r="D342" s="433">
        <f t="shared" si="11"/>
        <v>712.04</v>
      </c>
    </row>
    <row r="343" spans="1:4" ht="16.149999999999999" customHeight="1" x14ac:dyDescent="0.25">
      <c r="A343" s="431">
        <v>33903</v>
      </c>
      <c r="B343" s="432">
        <v>712.04</v>
      </c>
      <c r="C343" s="427">
        <f t="shared" si="10"/>
        <v>1992</v>
      </c>
      <c r="D343" s="433">
        <f t="shared" si="11"/>
        <v>712.04</v>
      </c>
    </row>
    <row r="344" spans="1:4" ht="16.149999999999999" customHeight="1" x14ac:dyDescent="0.25">
      <c r="A344" s="431">
        <v>33904</v>
      </c>
      <c r="B344" s="434">
        <v>713.55</v>
      </c>
      <c r="C344" s="427">
        <f t="shared" si="10"/>
        <v>1992</v>
      </c>
      <c r="D344" s="433">
        <f t="shared" si="11"/>
        <v>713.55</v>
      </c>
    </row>
    <row r="345" spans="1:4" ht="16.149999999999999" customHeight="1" x14ac:dyDescent="0.25">
      <c r="A345" s="431">
        <v>33905</v>
      </c>
      <c r="B345" s="432">
        <v>716.39</v>
      </c>
      <c r="C345" s="427">
        <f t="shared" si="10"/>
        <v>1992</v>
      </c>
      <c r="D345" s="433">
        <f t="shared" si="11"/>
        <v>716.39</v>
      </c>
    </row>
    <row r="346" spans="1:4" ht="16.149999999999999" customHeight="1" x14ac:dyDescent="0.25">
      <c r="A346" s="431">
        <v>33906</v>
      </c>
      <c r="B346" s="434">
        <v>715.31</v>
      </c>
      <c r="C346" s="427">
        <f t="shared" si="10"/>
        <v>1992</v>
      </c>
      <c r="D346" s="433">
        <f t="shared" si="11"/>
        <v>715.31</v>
      </c>
    </row>
    <row r="347" spans="1:4" ht="16.149999999999999" customHeight="1" x14ac:dyDescent="0.25">
      <c r="A347" s="431">
        <v>33907</v>
      </c>
      <c r="B347" s="432">
        <v>717.37</v>
      </c>
      <c r="C347" s="427">
        <f t="shared" si="10"/>
        <v>1992</v>
      </c>
      <c r="D347" s="433">
        <f t="shared" si="11"/>
        <v>717.37</v>
      </c>
    </row>
    <row r="348" spans="1:4" ht="16.149999999999999" customHeight="1" x14ac:dyDescent="0.25">
      <c r="A348" s="431">
        <v>33908</v>
      </c>
      <c r="B348" s="434">
        <v>716.88</v>
      </c>
      <c r="C348" s="427">
        <f t="shared" si="10"/>
        <v>1992</v>
      </c>
      <c r="D348" s="433">
        <f t="shared" si="11"/>
        <v>716.88</v>
      </c>
    </row>
    <row r="349" spans="1:4" ht="16.149999999999999" customHeight="1" x14ac:dyDescent="0.25">
      <c r="A349" s="431">
        <v>33909</v>
      </c>
      <c r="B349" s="432">
        <v>716.88</v>
      </c>
      <c r="C349" s="427">
        <f t="shared" si="10"/>
        <v>1992</v>
      </c>
      <c r="D349" s="433">
        <f t="shared" si="11"/>
        <v>716.88</v>
      </c>
    </row>
    <row r="350" spans="1:4" ht="16.149999999999999" customHeight="1" x14ac:dyDescent="0.25">
      <c r="A350" s="431">
        <v>33910</v>
      </c>
      <c r="B350" s="434">
        <v>716.88</v>
      </c>
      <c r="C350" s="427">
        <f t="shared" si="10"/>
        <v>1992</v>
      </c>
      <c r="D350" s="433">
        <f t="shared" si="11"/>
        <v>716.88</v>
      </c>
    </row>
    <row r="351" spans="1:4" ht="16.149999999999999" customHeight="1" x14ac:dyDescent="0.25">
      <c r="A351" s="431">
        <v>33911</v>
      </c>
      <c r="B351" s="432">
        <v>716.88</v>
      </c>
      <c r="C351" s="427">
        <f t="shared" si="10"/>
        <v>1992</v>
      </c>
      <c r="D351" s="433">
        <f t="shared" si="11"/>
        <v>716.88</v>
      </c>
    </row>
    <row r="352" spans="1:4" ht="16.149999999999999" customHeight="1" x14ac:dyDescent="0.25">
      <c r="A352" s="431">
        <v>33912</v>
      </c>
      <c r="B352" s="434">
        <v>718.98</v>
      </c>
      <c r="C352" s="427">
        <f t="shared" si="10"/>
        <v>1992</v>
      </c>
      <c r="D352" s="433">
        <f t="shared" si="11"/>
        <v>718.98</v>
      </c>
    </row>
    <row r="353" spans="1:4" ht="16.149999999999999" customHeight="1" x14ac:dyDescent="0.25">
      <c r="A353" s="431">
        <v>33913</v>
      </c>
      <c r="B353" s="432">
        <v>719.21</v>
      </c>
      <c r="C353" s="427">
        <f t="shared" si="10"/>
        <v>1992</v>
      </c>
      <c r="D353" s="433">
        <f t="shared" si="11"/>
        <v>719.21</v>
      </c>
    </row>
    <row r="354" spans="1:4" ht="16.149999999999999" customHeight="1" x14ac:dyDescent="0.25">
      <c r="A354" s="431">
        <v>33914</v>
      </c>
      <c r="B354" s="434">
        <v>720.96</v>
      </c>
      <c r="C354" s="427">
        <f t="shared" si="10"/>
        <v>1992</v>
      </c>
      <c r="D354" s="433">
        <f t="shared" si="11"/>
        <v>720.96</v>
      </c>
    </row>
    <row r="355" spans="1:4" ht="16.149999999999999" customHeight="1" x14ac:dyDescent="0.25">
      <c r="A355" s="431">
        <v>33915</v>
      </c>
      <c r="B355" s="432">
        <v>722.57</v>
      </c>
      <c r="C355" s="427">
        <f t="shared" si="10"/>
        <v>1992</v>
      </c>
      <c r="D355" s="433">
        <f t="shared" si="11"/>
        <v>722.57</v>
      </c>
    </row>
    <row r="356" spans="1:4" ht="16.149999999999999" customHeight="1" x14ac:dyDescent="0.25">
      <c r="A356" s="431">
        <v>33916</v>
      </c>
      <c r="B356" s="434">
        <v>722.57</v>
      </c>
      <c r="C356" s="427">
        <f t="shared" si="10"/>
        <v>1992</v>
      </c>
      <c r="D356" s="433">
        <f t="shared" si="11"/>
        <v>722.57</v>
      </c>
    </row>
    <row r="357" spans="1:4" ht="16.149999999999999" customHeight="1" x14ac:dyDescent="0.25">
      <c r="A357" s="431">
        <v>33917</v>
      </c>
      <c r="B357" s="432">
        <v>722.57</v>
      </c>
      <c r="C357" s="427">
        <f t="shared" si="10"/>
        <v>1992</v>
      </c>
      <c r="D357" s="433">
        <f t="shared" si="11"/>
        <v>722.57</v>
      </c>
    </row>
    <row r="358" spans="1:4" ht="16.149999999999999" customHeight="1" x14ac:dyDescent="0.25">
      <c r="A358" s="431">
        <v>33918</v>
      </c>
      <c r="B358" s="434">
        <v>720.48</v>
      </c>
      <c r="C358" s="427">
        <f t="shared" si="10"/>
        <v>1992</v>
      </c>
      <c r="D358" s="433">
        <f t="shared" si="11"/>
        <v>720.48</v>
      </c>
    </row>
    <row r="359" spans="1:4" ht="16.149999999999999" customHeight="1" x14ac:dyDescent="0.25">
      <c r="A359" s="431">
        <v>33919</v>
      </c>
      <c r="B359" s="432">
        <v>722.37</v>
      </c>
      <c r="C359" s="427">
        <f t="shared" si="10"/>
        <v>1992</v>
      </c>
      <c r="D359" s="433">
        <f t="shared" si="11"/>
        <v>722.37</v>
      </c>
    </row>
    <row r="360" spans="1:4" ht="16.149999999999999" customHeight="1" x14ac:dyDescent="0.25">
      <c r="A360" s="431">
        <v>33920</v>
      </c>
      <c r="B360" s="434">
        <v>723.72</v>
      </c>
      <c r="C360" s="427">
        <f t="shared" si="10"/>
        <v>1992</v>
      </c>
      <c r="D360" s="433">
        <f t="shared" si="11"/>
        <v>723.72</v>
      </c>
    </row>
    <row r="361" spans="1:4" ht="16.149999999999999" customHeight="1" x14ac:dyDescent="0.25">
      <c r="A361" s="431">
        <v>33921</v>
      </c>
      <c r="B361" s="432">
        <v>722.72</v>
      </c>
      <c r="C361" s="427">
        <f t="shared" si="10"/>
        <v>1992</v>
      </c>
      <c r="D361" s="433">
        <f t="shared" si="11"/>
        <v>722.72</v>
      </c>
    </row>
    <row r="362" spans="1:4" ht="16.149999999999999" customHeight="1" x14ac:dyDescent="0.25">
      <c r="A362" s="431">
        <v>33922</v>
      </c>
      <c r="B362" s="434">
        <v>724.07</v>
      </c>
      <c r="C362" s="427">
        <f t="shared" si="10"/>
        <v>1992</v>
      </c>
      <c r="D362" s="433">
        <f t="shared" si="11"/>
        <v>724.07</v>
      </c>
    </row>
    <row r="363" spans="1:4" ht="16.149999999999999" customHeight="1" x14ac:dyDescent="0.25">
      <c r="A363" s="431">
        <v>33923</v>
      </c>
      <c r="B363" s="432">
        <v>724.07</v>
      </c>
      <c r="C363" s="427">
        <f t="shared" si="10"/>
        <v>1992</v>
      </c>
      <c r="D363" s="433">
        <f t="shared" si="11"/>
        <v>724.07</v>
      </c>
    </row>
    <row r="364" spans="1:4" ht="16.149999999999999" customHeight="1" x14ac:dyDescent="0.25">
      <c r="A364" s="431">
        <v>33924</v>
      </c>
      <c r="B364" s="434">
        <v>724.07</v>
      </c>
      <c r="C364" s="427">
        <f t="shared" si="10"/>
        <v>1992</v>
      </c>
      <c r="D364" s="433">
        <f t="shared" si="11"/>
        <v>724.07</v>
      </c>
    </row>
    <row r="365" spans="1:4" ht="16.149999999999999" customHeight="1" x14ac:dyDescent="0.25">
      <c r="A365" s="431">
        <v>33925</v>
      </c>
      <c r="B365" s="432">
        <v>724.07</v>
      </c>
      <c r="C365" s="427">
        <f t="shared" si="10"/>
        <v>1992</v>
      </c>
      <c r="D365" s="433">
        <f t="shared" si="11"/>
        <v>724.07</v>
      </c>
    </row>
    <row r="366" spans="1:4" ht="16.149999999999999" customHeight="1" x14ac:dyDescent="0.25">
      <c r="A366" s="431">
        <v>33926</v>
      </c>
      <c r="B366" s="434">
        <v>730.11</v>
      </c>
      <c r="C366" s="427">
        <f t="shared" si="10"/>
        <v>1992</v>
      </c>
      <c r="D366" s="433">
        <f t="shared" si="11"/>
        <v>730.11</v>
      </c>
    </row>
    <row r="367" spans="1:4" ht="16.149999999999999" customHeight="1" x14ac:dyDescent="0.25">
      <c r="A367" s="431">
        <v>33927</v>
      </c>
      <c r="B367" s="432">
        <v>724.97</v>
      </c>
      <c r="C367" s="427">
        <f t="shared" si="10"/>
        <v>1992</v>
      </c>
      <c r="D367" s="433">
        <f t="shared" si="11"/>
        <v>724.97</v>
      </c>
    </row>
    <row r="368" spans="1:4" ht="16.149999999999999" customHeight="1" x14ac:dyDescent="0.25">
      <c r="A368" s="431">
        <v>33928</v>
      </c>
      <c r="B368" s="434">
        <v>724.9</v>
      </c>
      <c r="C368" s="427">
        <f t="shared" si="10"/>
        <v>1992</v>
      </c>
      <c r="D368" s="433">
        <f t="shared" si="11"/>
        <v>724.9</v>
      </c>
    </row>
    <row r="369" spans="1:4" ht="16.149999999999999" customHeight="1" x14ac:dyDescent="0.25">
      <c r="A369" s="431">
        <v>33929</v>
      </c>
      <c r="B369" s="432">
        <v>721.98</v>
      </c>
      <c r="C369" s="427">
        <f t="shared" si="10"/>
        <v>1992</v>
      </c>
      <c r="D369" s="433">
        <f t="shared" si="11"/>
        <v>721.98</v>
      </c>
    </row>
    <row r="370" spans="1:4" ht="16.149999999999999" customHeight="1" x14ac:dyDescent="0.25">
      <c r="A370" s="431">
        <v>33930</v>
      </c>
      <c r="B370" s="434">
        <v>721.98</v>
      </c>
      <c r="C370" s="427">
        <f t="shared" si="10"/>
        <v>1992</v>
      </c>
      <c r="D370" s="433">
        <f t="shared" si="11"/>
        <v>721.98</v>
      </c>
    </row>
    <row r="371" spans="1:4" ht="16.149999999999999" customHeight="1" x14ac:dyDescent="0.25">
      <c r="A371" s="431">
        <v>33931</v>
      </c>
      <c r="B371" s="432">
        <v>721.98</v>
      </c>
      <c r="C371" s="427">
        <f t="shared" si="10"/>
        <v>1992</v>
      </c>
      <c r="D371" s="433">
        <f t="shared" si="11"/>
        <v>721.98</v>
      </c>
    </row>
    <row r="372" spans="1:4" ht="16.149999999999999" customHeight="1" x14ac:dyDescent="0.25">
      <c r="A372" s="431">
        <v>33932</v>
      </c>
      <c r="B372" s="434">
        <v>726.97</v>
      </c>
      <c r="C372" s="427">
        <f t="shared" si="10"/>
        <v>1992</v>
      </c>
      <c r="D372" s="433">
        <f t="shared" si="11"/>
        <v>726.97</v>
      </c>
    </row>
    <row r="373" spans="1:4" ht="16.149999999999999" customHeight="1" x14ac:dyDescent="0.25">
      <c r="A373" s="431">
        <v>33933</v>
      </c>
      <c r="B373" s="432">
        <v>720.63</v>
      </c>
      <c r="C373" s="427">
        <f t="shared" si="10"/>
        <v>1992</v>
      </c>
      <c r="D373" s="433">
        <f t="shared" si="11"/>
        <v>720.63</v>
      </c>
    </row>
    <row r="374" spans="1:4" ht="16.149999999999999" customHeight="1" x14ac:dyDescent="0.25">
      <c r="A374" s="431">
        <v>33934</v>
      </c>
      <c r="B374" s="434">
        <v>721.47</v>
      </c>
      <c r="C374" s="427">
        <f t="shared" si="10"/>
        <v>1992</v>
      </c>
      <c r="D374" s="433">
        <f t="shared" si="11"/>
        <v>721.47</v>
      </c>
    </row>
    <row r="375" spans="1:4" ht="16.149999999999999" customHeight="1" x14ac:dyDescent="0.25">
      <c r="A375" s="431">
        <v>33935</v>
      </c>
      <c r="B375" s="432">
        <v>722.61</v>
      </c>
      <c r="C375" s="427">
        <f t="shared" si="10"/>
        <v>1992</v>
      </c>
      <c r="D375" s="433">
        <f t="shared" si="11"/>
        <v>722.61</v>
      </c>
    </row>
    <row r="376" spans="1:4" ht="16.149999999999999" customHeight="1" x14ac:dyDescent="0.25">
      <c r="A376" s="431">
        <v>33936</v>
      </c>
      <c r="B376" s="434">
        <v>725.45</v>
      </c>
      <c r="C376" s="427">
        <f t="shared" si="10"/>
        <v>1992</v>
      </c>
      <c r="D376" s="433">
        <f t="shared" si="11"/>
        <v>725.45</v>
      </c>
    </row>
    <row r="377" spans="1:4" ht="16.149999999999999" customHeight="1" x14ac:dyDescent="0.25">
      <c r="A377" s="431">
        <v>33937</v>
      </c>
      <c r="B377" s="432">
        <v>725.45</v>
      </c>
      <c r="C377" s="427">
        <f t="shared" si="10"/>
        <v>1992</v>
      </c>
      <c r="D377" s="433">
        <f t="shared" si="11"/>
        <v>725.45</v>
      </c>
    </row>
    <row r="378" spans="1:4" ht="16.149999999999999" customHeight="1" x14ac:dyDescent="0.25">
      <c r="A378" s="431">
        <v>33938</v>
      </c>
      <c r="B378" s="434">
        <v>725.45</v>
      </c>
      <c r="C378" s="427">
        <f t="shared" si="10"/>
        <v>1992</v>
      </c>
      <c r="D378" s="433">
        <f t="shared" si="11"/>
        <v>725.45</v>
      </c>
    </row>
    <row r="379" spans="1:4" ht="16.149999999999999" customHeight="1" x14ac:dyDescent="0.25">
      <c r="A379" s="431">
        <v>33939</v>
      </c>
      <c r="B379" s="432">
        <v>729.42</v>
      </c>
      <c r="C379" s="427">
        <f t="shared" si="10"/>
        <v>1992</v>
      </c>
      <c r="D379" s="433">
        <f t="shared" si="11"/>
        <v>729.42</v>
      </c>
    </row>
    <row r="380" spans="1:4" ht="16.149999999999999" customHeight="1" x14ac:dyDescent="0.25">
      <c r="A380" s="431">
        <v>33940</v>
      </c>
      <c r="B380" s="434">
        <v>725.75</v>
      </c>
      <c r="C380" s="427">
        <f t="shared" si="10"/>
        <v>1992</v>
      </c>
      <c r="D380" s="433">
        <f t="shared" si="11"/>
        <v>725.75</v>
      </c>
    </row>
    <row r="381" spans="1:4" ht="16.149999999999999" customHeight="1" x14ac:dyDescent="0.25">
      <c r="A381" s="431">
        <v>33941</v>
      </c>
      <c r="B381" s="432">
        <v>729.74</v>
      </c>
      <c r="C381" s="427">
        <f t="shared" si="10"/>
        <v>1992</v>
      </c>
      <c r="D381" s="433">
        <f t="shared" si="11"/>
        <v>729.74</v>
      </c>
    </row>
    <row r="382" spans="1:4" ht="16.149999999999999" customHeight="1" x14ac:dyDescent="0.25">
      <c r="A382" s="431">
        <v>33942</v>
      </c>
      <c r="B382" s="434">
        <v>738.19</v>
      </c>
      <c r="C382" s="427">
        <f t="shared" si="10"/>
        <v>1992</v>
      </c>
      <c r="D382" s="433">
        <f t="shared" si="11"/>
        <v>738.19</v>
      </c>
    </row>
    <row r="383" spans="1:4" ht="16.149999999999999" customHeight="1" x14ac:dyDescent="0.25">
      <c r="A383" s="431">
        <v>33943</v>
      </c>
      <c r="B383" s="432">
        <v>736.29</v>
      </c>
      <c r="C383" s="427">
        <f t="shared" si="10"/>
        <v>1992</v>
      </c>
      <c r="D383" s="433">
        <f t="shared" si="11"/>
        <v>736.29</v>
      </c>
    </row>
    <row r="384" spans="1:4" ht="16.149999999999999" customHeight="1" x14ac:dyDescent="0.25">
      <c r="A384" s="431">
        <v>33944</v>
      </c>
      <c r="B384" s="434">
        <v>736.29</v>
      </c>
      <c r="C384" s="427">
        <f t="shared" si="10"/>
        <v>1992</v>
      </c>
      <c r="D384" s="433">
        <f t="shared" si="11"/>
        <v>736.29</v>
      </c>
    </row>
    <row r="385" spans="1:4" ht="16.149999999999999" customHeight="1" x14ac:dyDescent="0.25">
      <c r="A385" s="431">
        <v>33945</v>
      </c>
      <c r="B385" s="432">
        <v>736.29</v>
      </c>
      <c r="C385" s="427">
        <f t="shared" si="10"/>
        <v>1992</v>
      </c>
      <c r="D385" s="433">
        <f t="shared" si="11"/>
        <v>736.29</v>
      </c>
    </row>
    <row r="386" spans="1:4" ht="16.149999999999999" customHeight="1" x14ac:dyDescent="0.25">
      <c r="A386" s="431">
        <v>33946</v>
      </c>
      <c r="B386" s="434">
        <v>732.11</v>
      </c>
      <c r="C386" s="427">
        <f t="shared" si="10"/>
        <v>1992</v>
      </c>
      <c r="D386" s="433">
        <f t="shared" si="11"/>
        <v>732.11</v>
      </c>
    </row>
    <row r="387" spans="1:4" ht="16.149999999999999" customHeight="1" x14ac:dyDescent="0.25">
      <c r="A387" s="431">
        <v>33947</v>
      </c>
      <c r="B387" s="432">
        <v>732.11</v>
      </c>
      <c r="C387" s="427">
        <f t="shared" si="10"/>
        <v>1992</v>
      </c>
      <c r="D387" s="433">
        <f t="shared" si="11"/>
        <v>732.11</v>
      </c>
    </row>
    <row r="388" spans="1:4" ht="16.149999999999999" customHeight="1" x14ac:dyDescent="0.25">
      <c r="A388" s="431">
        <v>33948</v>
      </c>
      <c r="B388" s="434">
        <v>732.4</v>
      </c>
      <c r="C388" s="427">
        <f t="shared" si="10"/>
        <v>1992</v>
      </c>
      <c r="D388" s="433">
        <f t="shared" si="11"/>
        <v>732.4</v>
      </c>
    </row>
    <row r="389" spans="1:4" ht="16.149999999999999" customHeight="1" x14ac:dyDescent="0.25">
      <c r="A389" s="431">
        <v>33949</v>
      </c>
      <c r="B389" s="432">
        <v>727.21</v>
      </c>
      <c r="C389" s="427">
        <f t="shared" si="10"/>
        <v>1992</v>
      </c>
      <c r="D389" s="433">
        <f t="shared" si="11"/>
        <v>727.21</v>
      </c>
    </row>
    <row r="390" spans="1:4" ht="16.149999999999999" customHeight="1" x14ac:dyDescent="0.25">
      <c r="A390" s="431">
        <v>33950</v>
      </c>
      <c r="B390" s="434">
        <v>729.8</v>
      </c>
      <c r="C390" s="427">
        <f t="shared" si="10"/>
        <v>1992</v>
      </c>
      <c r="D390" s="433">
        <f t="shared" si="11"/>
        <v>729.8</v>
      </c>
    </row>
    <row r="391" spans="1:4" ht="16.149999999999999" customHeight="1" x14ac:dyDescent="0.25">
      <c r="A391" s="431">
        <v>33951</v>
      </c>
      <c r="B391" s="432">
        <v>729.8</v>
      </c>
      <c r="C391" s="427">
        <f t="shared" si="10"/>
        <v>1992</v>
      </c>
      <c r="D391" s="433">
        <f t="shared" si="11"/>
        <v>729.8</v>
      </c>
    </row>
    <row r="392" spans="1:4" ht="16.149999999999999" customHeight="1" x14ac:dyDescent="0.25">
      <c r="A392" s="431">
        <v>33952</v>
      </c>
      <c r="B392" s="434">
        <v>729.8</v>
      </c>
      <c r="C392" s="427">
        <f t="shared" si="10"/>
        <v>1992</v>
      </c>
      <c r="D392" s="433">
        <f t="shared" si="11"/>
        <v>729.8</v>
      </c>
    </row>
    <row r="393" spans="1:4" ht="16.149999999999999" customHeight="1" x14ac:dyDescent="0.25">
      <c r="A393" s="431">
        <v>33953</v>
      </c>
      <c r="B393" s="432">
        <v>732.69</v>
      </c>
      <c r="C393" s="427">
        <f t="shared" si="10"/>
        <v>1992</v>
      </c>
      <c r="D393" s="433">
        <f t="shared" si="11"/>
        <v>732.69</v>
      </c>
    </row>
    <row r="394" spans="1:4" ht="16.149999999999999" customHeight="1" x14ac:dyDescent="0.25">
      <c r="A394" s="431">
        <v>33954</v>
      </c>
      <c r="B394" s="434">
        <v>736.2</v>
      </c>
      <c r="C394" s="427">
        <f t="shared" ref="C394:C457" si="12">YEAR(A394)</f>
        <v>1992</v>
      </c>
      <c r="D394" s="433">
        <f t="shared" ref="D394:D457" si="13">B394</f>
        <v>736.2</v>
      </c>
    </row>
    <row r="395" spans="1:4" ht="16.149999999999999" customHeight="1" x14ac:dyDescent="0.25">
      <c r="A395" s="431">
        <v>33955</v>
      </c>
      <c r="B395" s="432">
        <v>734.98</v>
      </c>
      <c r="C395" s="427">
        <f t="shared" si="12"/>
        <v>1992</v>
      </c>
      <c r="D395" s="433">
        <f t="shared" si="13"/>
        <v>734.98</v>
      </c>
    </row>
    <row r="396" spans="1:4" ht="16.149999999999999" customHeight="1" x14ac:dyDescent="0.25">
      <c r="A396" s="431">
        <v>33956</v>
      </c>
      <c r="B396" s="434">
        <v>732.54</v>
      </c>
      <c r="C396" s="427">
        <f t="shared" si="12"/>
        <v>1992</v>
      </c>
      <c r="D396" s="433">
        <f t="shared" si="13"/>
        <v>732.54</v>
      </c>
    </row>
    <row r="397" spans="1:4" ht="16.149999999999999" customHeight="1" x14ac:dyDescent="0.25">
      <c r="A397" s="431">
        <v>33957</v>
      </c>
      <c r="B397" s="432">
        <v>735.31</v>
      </c>
      <c r="C397" s="427">
        <f t="shared" si="12"/>
        <v>1992</v>
      </c>
      <c r="D397" s="433">
        <f t="shared" si="13"/>
        <v>735.31</v>
      </c>
    </row>
    <row r="398" spans="1:4" ht="16.149999999999999" customHeight="1" x14ac:dyDescent="0.25">
      <c r="A398" s="431">
        <v>33958</v>
      </c>
      <c r="B398" s="434">
        <v>735.31</v>
      </c>
      <c r="C398" s="427">
        <f t="shared" si="12"/>
        <v>1992</v>
      </c>
      <c r="D398" s="433">
        <f t="shared" si="13"/>
        <v>735.31</v>
      </c>
    </row>
    <row r="399" spans="1:4" ht="16.149999999999999" customHeight="1" x14ac:dyDescent="0.25">
      <c r="A399" s="431">
        <v>33959</v>
      </c>
      <c r="B399" s="432">
        <v>735.31</v>
      </c>
      <c r="C399" s="427">
        <f t="shared" si="12"/>
        <v>1992</v>
      </c>
      <c r="D399" s="433">
        <f t="shared" si="13"/>
        <v>735.31</v>
      </c>
    </row>
    <row r="400" spans="1:4" ht="16.149999999999999" customHeight="1" x14ac:dyDescent="0.25">
      <c r="A400" s="431">
        <v>33960</v>
      </c>
      <c r="B400" s="434">
        <v>736.82</v>
      </c>
      <c r="C400" s="427">
        <f t="shared" si="12"/>
        <v>1992</v>
      </c>
      <c r="D400" s="433">
        <f t="shared" si="13"/>
        <v>736.82</v>
      </c>
    </row>
    <row r="401" spans="1:4" ht="16.149999999999999" customHeight="1" x14ac:dyDescent="0.25">
      <c r="A401" s="431">
        <v>33961</v>
      </c>
      <c r="B401" s="432">
        <v>735</v>
      </c>
      <c r="C401" s="427">
        <f t="shared" si="12"/>
        <v>1992</v>
      </c>
      <c r="D401" s="433">
        <f t="shared" si="13"/>
        <v>735</v>
      </c>
    </row>
    <row r="402" spans="1:4" ht="16.149999999999999" customHeight="1" x14ac:dyDescent="0.25">
      <c r="A402" s="431">
        <v>33962</v>
      </c>
      <c r="B402" s="434">
        <v>735.19</v>
      </c>
      <c r="C402" s="427">
        <f t="shared" si="12"/>
        <v>1992</v>
      </c>
      <c r="D402" s="433">
        <f t="shared" si="13"/>
        <v>735.19</v>
      </c>
    </row>
    <row r="403" spans="1:4" ht="16.149999999999999" customHeight="1" x14ac:dyDescent="0.25">
      <c r="A403" s="431">
        <v>33963</v>
      </c>
      <c r="B403" s="432">
        <v>735.19</v>
      </c>
      <c r="C403" s="427">
        <f t="shared" si="12"/>
        <v>1992</v>
      </c>
      <c r="D403" s="433">
        <f t="shared" si="13"/>
        <v>735.19</v>
      </c>
    </row>
    <row r="404" spans="1:4" ht="16.149999999999999" customHeight="1" x14ac:dyDescent="0.25">
      <c r="A404" s="431">
        <v>33964</v>
      </c>
      <c r="B404" s="434">
        <v>735.19</v>
      </c>
      <c r="C404" s="427">
        <f t="shared" si="12"/>
        <v>1992</v>
      </c>
      <c r="D404" s="433">
        <f t="shared" si="13"/>
        <v>735.19</v>
      </c>
    </row>
    <row r="405" spans="1:4" ht="16.149999999999999" customHeight="1" x14ac:dyDescent="0.25">
      <c r="A405" s="431">
        <v>33965</v>
      </c>
      <c r="B405" s="432">
        <v>735.19</v>
      </c>
      <c r="C405" s="427">
        <f t="shared" si="12"/>
        <v>1992</v>
      </c>
      <c r="D405" s="433">
        <f t="shared" si="13"/>
        <v>735.19</v>
      </c>
    </row>
    <row r="406" spans="1:4" ht="16.149999999999999" customHeight="1" x14ac:dyDescent="0.25">
      <c r="A406" s="431">
        <v>33966</v>
      </c>
      <c r="B406" s="434">
        <v>735.19</v>
      </c>
      <c r="C406" s="427">
        <f t="shared" si="12"/>
        <v>1992</v>
      </c>
      <c r="D406" s="433">
        <f t="shared" si="13"/>
        <v>735.19</v>
      </c>
    </row>
    <row r="407" spans="1:4" ht="16.149999999999999" customHeight="1" x14ac:dyDescent="0.25">
      <c r="A407" s="431">
        <v>33967</v>
      </c>
      <c r="B407" s="432">
        <v>737.44</v>
      </c>
      <c r="C407" s="427">
        <f t="shared" si="12"/>
        <v>1992</v>
      </c>
      <c r="D407" s="433">
        <f t="shared" si="13"/>
        <v>737.44</v>
      </c>
    </row>
    <row r="408" spans="1:4" ht="16.149999999999999" customHeight="1" x14ac:dyDescent="0.25">
      <c r="A408" s="431">
        <v>33968</v>
      </c>
      <c r="B408" s="434">
        <v>737.98</v>
      </c>
      <c r="C408" s="427">
        <f t="shared" si="12"/>
        <v>1992</v>
      </c>
      <c r="D408" s="433">
        <f t="shared" si="13"/>
        <v>737.98</v>
      </c>
    </row>
    <row r="409" spans="1:4" ht="16.149999999999999" customHeight="1" x14ac:dyDescent="0.25">
      <c r="A409" s="431">
        <v>33969</v>
      </c>
      <c r="B409" s="432">
        <v>737.98</v>
      </c>
      <c r="C409" s="427">
        <f t="shared" si="12"/>
        <v>1992</v>
      </c>
      <c r="D409" s="433">
        <f t="shared" si="13"/>
        <v>737.98</v>
      </c>
    </row>
    <row r="410" spans="1:4" ht="16.149999999999999" customHeight="1" x14ac:dyDescent="0.25">
      <c r="A410" s="431">
        <v>33970</v>
      </c>
      <c r="B410" s="434">
        <v>737.98</v>
      </c>
      <c r="C410" s="427">
        <f t="shared" si="12"/>
        <v>1993</v>
      </c>
      <c r="D410" s="433">
        <f t="shared" si="13"/>
        <v>737.98</v>
      </c>
    </row>
    <row r="411" spans="1:4" ht="16.149999999999999" customHeight="1" x14ac:dyDescent="0.25">
      <c r="A411" s="431">
        <v>33971</v>
      </c>
      <c r="B411" s="432">
        <v>737.98</v>
      </c>
      <c r="C411" s="427">
        <f t="shared" si="12"/>
        <v>1993</v>
      </c>
      <c r="D411" s="433">
        <f t="shared" si="13"/>
        <v>737.98</v>
      </c>
    </row>
    <row r="412" spans="1:4" ht="16.149999999999999" customHeight="1" x14ac:dyDescent="0.25">
      <c r="A412" s="431">
        <v>33972</v>
      </c>
      <c r="B412" s="434">
        <v>737.98</v>
      </c>
      <c r="C412" s="427">
        <f t="shared" si="12"/>
        <v>1993</v>
      </c>
      <c r="D412" s="433">
        <f t="shared" si="13"/>
        <v>737.98</v>
      </c>
    </row>
    <row r="413" spans="1:4" ht="16.149999999999999" customHeight="1" x14ac:dyDescent="0.25">
      <c r="A413" s="431">
        <v>33973</v>
      </c>
      <c r="B413" s="432">
        <v>737.98</v>
      </c>
      <c r="C413" s="427">
        <f t="shared" si="12"/>
        <v>1993</v>
      </c>
      <c r="D413" s="433">
        <f t="shared" si="13"/>
        <v>737.98</v>
      </c>
    </row>
    <row r="414" spans="1:4" ht="16.149999999999999" customHeight="1" x14ac:dyDescent="0.25">
      <c r="A414" s="431">
        <v>33974</v>
      </c>
      <c r="B414" s="434">
        <v>737.55</v>
      </c>
      <c r="C414" s="427">
        <f t="shared" si="12"/>
        <v>1993</v>
      </c>
      <c r="D414" s="433">
        <f t="shared" si="13"/>
        <v>737.55</v>
      </c>
    </row>
    <row r="415" spans="1:4" ht="16.149999999999999" customHeight="1" x14ac:dyDescent="0.25">
      <c r="A415" s="431">
        <v>33975</v>
      </c>
      <c r="B415" s="432">
        <v>738.65</v>
      </c>
      <c r="C415" s="427">
        <f t="shared" si="12"/>
        <v>1993</v>
      </c>
      <c r="D415" s="433">
        <f t="shared" si="13"/>
        <v>738.65</v>
      </c>
    </row>
    <row r="416" spans="1:4" ht="16.149999999999999" customHeight="1" x14ac:dyDescent="0.25">
      <c r="A416" s="431">
        <v>33976</v>
      </c>
      <c r="B416" s="434">
        <v>740.08</v>
      </c>
      <c r="C416" s="427">
        <f t="shared" si="12"/>
        <v>1993</v>
      </c>
      <c r="D416" s="433">
        <f t="shared" si="13"/>
        <v>740.08</v>
      </c>
    </row>
    <row r="417" spans="1:4" ht="16.149999999999999" customHeight="1" x14ac:dyDescent="0.25">
      <c r="A417" s="431">
        <v>33977</v>
      </c>
      <c r="B417" s="432">
        <v>742.61</v>
      </c>
      <c r="C417" s="427">
        <f t="shared" si="12"/>
        <v>1993</v>
      </c>
      <c r="D417" s="433">
        <f t="shared" si="13"/>
        <v>742.61</v>
      </c>
    </row>
    <row r="418" spans="1:4" ht="16.149999999999999" customHeight="1" x14ac:dyDescent="0.25">
      <c r="A418" s="431">
        <v>33978</v>
      </c>
      <c r="B418" s="434">
        <v>746.63</v>
      </c>
      <c r="C418" s="427">
        <f t="shared" si="12"/>
        <v>1993</v>
      </c>
      <c r="D418" s="433">
        <f t="shared" si="13"/>
        <v>746.63</v>
      </c>
    </row>
    <row r="419" spans="1:4" ht="16.149999999999999" customHeight="1" x14ac:dyDescent="0.25">
      <c r="A419" s="431">
        <v>33979</v>
      </c>
      <c r="B419" s="432">
        <v>746.63</v>
      </c>
      <c r="C419" s="427">
        <f t="shared" si="12"/>
        <v>1993</v>
      </c>
      <c r="D419" s="433">
        <f t="shared" si="13"/>
        <v>746.63</v>
      </c>
    </row>
    <row r="420" spans="1:4" ht="16.149999999999999" customHeight="1" x14ac:dyDescent="0.25">
      <c r="A420" s="431">
        <v>33980</v>
      </c>
      <c r="B420" s="434">
        <v>746.63</v>
      </c>
      <c r="C420" s="427">
        <f t="shared" si="12"/>
        <v>1993</v>
      </c>
      <c r="D420" s="433">
        <f t="shared" si="13"/>
        <v>746.63</v>
      </c>
    </row>
    <row r="421" spans="1:4" ht="16.149999999999999" customHeight="1" x14ac:dyDescent="0.25">
      <c r="A421" s="431">
        <v>33981</v>
      </c>
      <c r="B421" s="432">
        <v>746.63</v>
      </c>
      <c r="C421" s="427">
        <f t="shared" si="12"/>
        <v>1993</v>
      </c>
      <c r="D421" s="433">
        <f t="shared" si="13"/>
        <v>746.63</v>
      </c>
    </row>
    <row r="422" spans="1:4" ht="16.149999999999999" customHeight="1" x14ac:dyDescent="0.25">
      <c r="A422" s="431">
        <v>33982</v>
      </c>
      <c r="B422" s="434">
        <v>749.63</v>
      </c>
      <c r="C422" s="427">
        <f t="shared" si="12"/>
        <v>1993</v>
      </c>
      <c r="D422" s="433">
        <f t="shared" si="13"/>
        <v>749.63</v>
      </c>
    </row>
    <row r="423" spans="1:4" ht="16.149999999999999" customHeight="1" x14ac:dyDescent="0.25">
      <c r="A423" s="431">
        <v>33983</v>
      </c>
      <c r="B423" s="432">
        <v>748.98</v>
      </c>
      <c r="C423" s="427">
        <f t="shared" si="12"/>
        <v>1993</v>
      </c>
      <c r="D423" s="433">
        <f t="shared" si="13"/>
        <v>748.98</v>
      </c>
    </row>
    <row r="424" spans="1:4" ht="16.149999999999999" customHeight="1" x14ac:dyDescent="0.25">
      <c r="A424" s="431">
        <v>33984</v>
      </c>
      <c r="B424" s="434">
        <v>746.71</v>
      </c>
      <c r="C424" s="427">
        <f t="shared" si="12"/>
        <v>1993</v>
      </c>
      <c r="D424" s="433">
        <f t="shared" si="13"/>
        <v>746.71</v>
      </c>
    </row>
    <row r="425" spans="1:4" ht="16.149999999999999" customHeight="1" x14ac:dyDescent="0.25">
      <c r="A425" s="431">
        <v>33985</v>
      </c>
      <c r="B425" s="432">
        <v>746.39</v>
      </c>
      <c r="C425" s="427">
        <f t="shared" si="12"/>
        <v>1993</v>
      </c>
      <c r="D425" s="433">
        <f t="shared" si="13"/>
        <v>746.39</v>
      </c>
    </row>
    <row r="426" spans="1:4" ht="16.149999999999999" customHeight="1" x14ac:dyDescent="0.25">
      <c r="A426" s="431">
        <v>33986</v>
      </c>
      <c r="B426" s="434">
        <v>746.39</v>
      </c>
      <c r="C426" s="427">
        <f t="shared" si="12"/>
        <v>1993</v>
      </c>
      <c r="D426" s="433">
        <f t="shared" si="13"/>
        <v>746.39</v>
      </c>
    </row>
    <row r="427" spans="1:4" ht="16.149999999999999" customHeight="1" x14ac:dyDescent="0.25">
      <c r="A427" s="431">
        <v>33987</v>
      </c>
      <c r="B427" s="432">
        <v>746.39</v>
      </c>
      <c r="C427" s="427">
        <f t="shared" si="12"/>
        <v>1993</v>
      </c>
      <c r="D427" s="433">
        <f t="shared" si="13"/>
        <v>746.39</v>
      </c>
    </row>
    <row r="428" spans="1:4" ht="16.149999999999999" customHeight="1" x14ac:dyDescent="0.25">
      <c r="A428" s="431">
        <v>33988</v>
      </c>
      <c r="B428" s="434">
        <v>747.2</v>
      </c>
      <c r="C428" s="427">
        <f t="shared" si="12"/>
        <v>1993</v>
      </c>
      <c r="D428" s="433">
        <f t="shared" si="13"/>
        <v>747.2</v>
      </c>
    </row>
    <row r="429" spans="1:4" ht="16.149999999999999" customHeight="1" x14ac:dyDescent="0.25">
      <c r="A429" s="431">
        <v>33989</v>
      </c>
      <c r="B429" s="432">
        <v>748.07</v>
      </c>
      <c r="C429" s="427">
        <f t="shared" si="12"/>
        <v>1993</v>
      </c>
      <c r="D429" s="433">
        <f t="shared" si="13"/>
        <v>748.07</v>
      </c>
    </row>
    <row r="430" spans="1:4" ht="16.149999999999999" customHeight="1" x14ac:dyDescent="0.25">
      <c r="A430" s="431">
        <v>33990</v>
      </c>
      <c r="B430" s="434">
        <v>750.06</v>
      </c>
      <c r="C430" s="427">
        <f t="shared" si="12"/>
        <v>1993</v>
      </c>
      <c r="D430" s="433">
        <f t="shared" si="13"/>
        <v>750.06</v>
      </c>
    </row>
    <row r="431" spans="1:4" ht="16.149999999999999" customHeight="1" x14ac:dyDescent="0.25">
      <c r="A431" s="431">
        <v>33991</v>
      </c>
      <c r="B431" s="432">
        <v>750</v>
      </c>
      <c r="C431" s="427">
        <f t="shared" si="12"/>
        <v>1993</v>
      </c>
      <c r="D431" s="433">
        <f t="shared" si="13"/>
        <v>750</v>
      </c>
    </row>
    <row r="432" spans="1:4" ht="16.149999999999999" customHeight="1" x14ac:dyDescent="0.25">
      <c r="A432" s="431">
        <v>33992</v>
      </c>
      <c r="B432" s="434">
        <v>748.56</v>
      </c>
      <c r="C432" s="427">
        <f t="shared" si="12"/>
        <v>1993</v>
      </c>
      <c r="D432" s="433">
        <f t="shared" si="13"/>
        <v>748.56</v>
      </c>
    </row>
    <row r="433" spans="1:4" ht="16.149999999999999" customHeight="1" x14ac:dyDescent="0.25">
      <c r="A433" s="431">
        <v>33993</v>
      </c>
      <c r="B433" s="432">
        <v>748.56</v>
      </c>
      <c r="C433" s="427">
        <f t="shared" si="12"/>
        <v>1993</v>
      </c>
      <c r="D433" s="433">
        <f t="shared" si="13"/>
        <v>748.56</v>
      </c>
    </row>
    <row r="434" spans="1:4" ht="16.149999999999999" customHeight="1" x14ac:dyDescent="0.25">
      <c r="A434" s="431">
        <v>33994</v>
      </c>
      <c r="B434" s="434">
        <v>748.56</v>
      </c>
      <c r="C434" s="427">
        <f t="shared" si="12"/>
        <v>1993</v>
      </c>
      <c r="D434" s="433">
        <f t="shared" si="13"/>
        <v>748.56</v>
      </c>
    </row>
    <row r="435" spans="1:4" ht="16.149999999999999" customHeight="1" x14ac:dyDescent="0.25">
      <c r="A435" s="431">
        <v>33995</v>
      </c>
      <c r="B435" s="432">
        <v>747.25</v>
      </c>
      <c r="C435" s="427">
        <f t="shared" si="12"/>
        <v>1993</v>
      </c>
      <c r="D435" s="433">
        <f t="shared" si="13"/>
        <v>747.25</v>
      </c>
    </row>
    <row r="436" spans="1:4" ht="16.149999999999999" customHeight="1" x14ac:dyDescent="0.25">
      <c r="A436" s="431">
        <v>33996</v>
      </c>
      <c r="B436" s="434">
        <v>747.13</v>
      </c>
      <c r="C436" s="427">
        <f t="shared" si="12"/>
        <v>1993</v>
      </c>
      <c r="D436" s="433">
        <f t="shared" si="13"/>
        <v>747.13</v>
      </c>
    </row>
    <row r="437" spans="1:4" ht="16.149999999999999" customHeight="1" x14ac:dyDescent="0.25">
      <c r="A437" s="431">
        <v>33997</v>
      </c>
      <c r="B437" s="432">
        <v>746.21</v>
      </c>
      <c r="C437" s="427">
        <f t="shared" si="12"/>
        <v>1993</v>
      </c>
      <c r="D437" s="433">
        <f t="shared" si="13"/>
        <v>746.21</v>
      </c>
    </row>
    <row r="438" spans="1:4" ht="16.149999999999999" customHeight="1" x14ac:dyDescent="0.25">
      <c r="A438" s="431">
        <v>33998</v>
      </c>
      <c r="B438" s="434">
        <v>745.14</v>
      </c>
      <c r="C438" s="427">
        <f t="shared" si="12"/>
        <v>1993</v>
      </c>
      <c r="D438" s="433">
        <f t="shared" si="13"/>
        <v>745.14</v>
      </c>
    </row>
    <row r="439" spans="1:4" ht="16.149999999999999" customHeight="1" x14ac:dyDescent="0.25">
      <c r="A439" s="431">
        <v>33999</v>
      </c>
      <c r="B439" s="432">
        <v>746.05</v>
      </c>
      <c r="C439" s="427">
        <f t="shared" si="12"/>
        <v>1993</v>
      </c>
      <c r="D439" s="433">
        <f t="shared" si="13"/>
        <v>746.05</v>
      </c>
    </row>
    <row r="440" spans="1:4" ht="16.149999999999999" customHeight="1" x14ac:dyDescent="0.25">
      <c r="A440" s="431">
        <v>34000</v>
      </c>
      <c r="B440" s="434">
        <v>746.05</v>
      </c>
      <c r="C440" s="427">
        <f t="shared" si="12"/>
        <v>1993</v>
      </c>
      <c r="D440" s="433">
        <f t="shared" si="13"/>
        <v>746.05</v>
      </c>
    </row>
    <row r="441" spans="1:4" ht="16.149999999999999" customHeight="1" x14ac:dyDescent="0.25">
      <c r="A441" s="431">
        <v>34001</v>
      </c>
      <c r="B441" s="432">
        <v>746.05</v>
      </c>
      <c r="C441" s="427">
        <f t="shared" si="12"/>
        <v>1993</v>
      </c>
      <c r="D441" s="433">
        <f t="shared" si="13"/>
        <v>746.05</v>
      </c>
    </row>
    <row r="442" spans="1:4" ht="16.149999999999999" customHeight="1" x14ac:dyDescent="0.25">
      <c r="A442" s="431">
        <v>34002</v>
      </c>
      <c r="B442" s="434">
        <v>745.27</v>
      </c>
      <c r="C442" s="427">
        <f t="shared" si="12"/>
        <v>1993</v>
      </c>
      <c r="D442" s="433">
        <f t="shared" si="13"/>
        <v>745.27</v>
      </c>
    </row>
    <row r="443" spans="1:4" ht="16.149999999999999" customHeight="1" x14ac:dyDescent="0.25">
      <c r="A443" s="431">
        <v>34003</v>
      </c>
      <c r="B443" s="432">
        <v>745.64</v>
      </c>
      <c r="C443" s="427">
        <f t="shared" si="12"/>
        <v>1993</v>
      </c>
      <c r="D443" s="433">
        <f t="shared" si="13"/>
        <v>745.64</v>
      </c>
    </row>
    <row r="444" spans="1:4" ht="16.149999999999999" customHeight="1" x14ac:dyDescent="0.25">
      <c r="A444" s="431">
        <v>34004</v>
      </c>
      <c r="B444" s="434">
        <v>745.73</v>
      </c>
      <c r="C444" s="427">
        <f t="shared" si="12"/>
        <v>1993</v>
      </c>
      <c r="D444" s="433">
        <f t="shared" si="13"/>
        <v>745.73</v>
      </c>
    </row>
    <row r="445" spans="1:4" ht="16.149999999999999" customHeight="1" x14ac:dyDescent="0.25">
      <c r="A445" s="431">
        <v>34005</v>
      </c>
      <c r="B445" s="432">
        <v>745.79</v>
      </c>
      <c r="C445" s="427">
        <f t="shared" si="12"/>
        <v>1993</v>
      </c>
      <c r="D445" s="433">
        <f t="shared" si="13"/>
        <v>745.79</v>
      </c>
    </row>
    <row r="446" spans="1:4" ht="16.149999999999999" customHeight="1" x14ac:dyDescent="0.25">
      <c r="A446" s="431">
        <v>34006</v>
      </c>
      <c r="B446" s="434">
        <v>746.56</v>
      </c>
      <c r="C446" s="427">
        <f t="shared" si="12"/>
        <v>1993</v>
      </c>
      <c r="D446" s="433">
        <f t="shared" si="13"/>
        <v>746.56</v>
      </c>
    </row>
    <row r="447" spans="1:4" ht="16.149999999999999" customHeight="1" x14ac:dyDescent="0.25">
      <c r="A447" s="431">
        <v>34007</v>
      </c>
      <c r="B447" s="432">
        <v>746.56</v>
      </c>
      <c r="C447" s="427">
        <f t="shared" si="12"/>
        <v>1993</v>
      </c>
      <c r="D447" s="433">
        <f t="shared" si="13"/>
        <v>746.56</v>
      </c>
    </row>
    <row r="448" spans="1:4" ht="16.149999999999999" customHeight="1" x14ac:dyDescent="0.25">
      <c r="A448" s="431">
        <v>34008</v>
      </c>
      <c r="B448" s="434">
        <v>746.56</v>
      </c>
      <c r="C448" s="427">
        <f t="shared" si="12"/>
        <v>1993</v>
      </c>
      <c r="D448" s="433">
        <f t="shared" si="13"/>
        <v>746.56</v>
      </c>
    </row>
    <row r="449" spans="1:4" ht="16.149999999999999" customHeight="1" x14ac:dyDescent="0.25">
      <c r="A449" s="431">
        <v>34009</v>
      </c>
      <c r="B449" s="432">
        <v>745.45</v>
      </c>
      <c r="C449" s="427">
        <f t="shared" si="12"/>
        <v>1993</v>
      </c>
      <c r="D449" s="433">
        <f t="shared" si="13"/>
        <v>745.45</v>
      </c>
    </row>
    <row r="450" spans="1:4" ht="16.149999999999999" customHeight="1" x14ac:dyDescent="0.25">
      <c r="A450" s="431">
        <v>34010</v>
      </c>
      <c r="B450" s="434">
        <v>745.49</v>
      </c>
      <c r="C450" s="427">
        <f t="shared" si="12"/>
        <v>1993</v>
      </c>
      <c r="D450" s="433">
        <f t="shared" si="13"/>
        <v>745.49</v>
      </c>
    </row>
    <row r="451" spans="1:4" ht="16.149999999999999" customHeight="1" x14ac:dyDescent="0.25">
      <c r="A451" s="431">
        <v>34011</v>
      </c>
      <c r="B451" s="432">
        <v>745.38</v>
      </c>
      <c r="C451" s="427">
        <f t="shared" si="12"/>
        <v>1993</v>
      </c>
      <c r="D451" s="433">
        <f t="shared" si="13"/>
        <v>745.38</v>
      </c>
    </row>
    <row r="452" spans="1:4" ht="16.149999999999999" customHeight="1" x14ac:dyDescent="0.25">
      <c r="A452" s="431">
        <v>34012</v>
      </c>
      <c r="B452" s="434">
        <v>748.22</v>
      </c>
      <c r="C452" s="427">
        <f t="shared" si="12"/>
        <v>1993</v>
      </c>
      <c r="D452" s="433">
        <f t="shared" si="13"/>
        <v>748.22</v>
      </c>
    </row>
    <row r="453" spans="1:4" ht="16.149999999999999" customHeight="1" x14ac:dyDescent="0.25">
      <c r="A453" s="431">
        <v>34013</v>
      </c>
      <c r="B453" s="432">
        <v>748.88</v>
      </c>
      <c r="C453" s="427">
        <f t="shared" si="12"/>
        <v>1993</v>
      </c>
      <c r="D453" s="433">
        <f t="shared" si="13"/>
        <v>748.88</v>
      </c>
    </row>
    <row r="454" spans="1:4" ht="16.149999999999999" customHeight="1" x14ac:dyDescent="0.25">
      <c r="A454" s="431">
        <v>34014</v>
      </c>
      <c r="B454" s="434">
        <v>748.88</v>
      </c>
      <c r="C454" s="427">
        <f t="shared" si="12"/>
        <v>1993</v>
      </c>
      <c r="D454" s="433">
        <f t="shared" si="13"/>
        <v>748.88</v>
      </c>
    </row>
    <row r="455" spans="1:4" ht="16.149999999999999" customHeight="1" x14ac:dyDescent="0.25">
      <c r="A455" s="431">
        <v>34015</v>
      </c>
      <c r="B455" s="432">
        <v>748.88</v>
      </c>
      <c r="C455" s="427">
        <f t="shared" si="12"/>
        <v>1993</v>
      </c>
      <c r="D455" s="433">
        <f t="shared" si="13"/>
        <v>748.88</v>
      </c>
    </row>
    <row r="456" spans="1:4" ht="16.149999999999999" customHeight="1" x14ac:dyDescent="0.25">
      <c r="A456" s="431">
        <v>34016</v>
      </c>
      <c r="B456" s="434">
        <v>748.18</v>
      </c>
      <c r="C456" s="427">
        <f t="shared" si="12"/>
        <v>1993</v>
      </c>
      <c r="D456" s="433">
        <f t="shared" si="13"/>
        <v>748.18</v>
      </c>
    </row>
    <row r="457" spans="1:4" ht="16.149999999999999" customHeight="1" x14ac:dyDescent="0.25">
      <c r="A457" s="431">
        <v>34017</v>
      </c>
      <c r="B457" s="432">
        <v>749.69</v>
      </c>
      <c r="C457" s="427">
        <f t="shared" si="12"/>
        <v>1993</v>
      </c>
      <c r="D457" s="433">
        <f t="shared" si="13"/>
        <v>749.69</v>
      </c>
    </row>
    <row r="458" spans="1:4" ht="16.149999999999999" customHeight="1" x14ac:dyDescent="0.25">
      <c r="A458" s="431">
        <v>34018</v>
      </c>
      <c r="B458" s="434">
        <v>750.75</v>
      </c>
      <c r="C458" s="427">
        <f t="shared" ref="C458:C521" si="14">YEAR(A458)</f>
        <v>1993</v>
      </c>
      <c r="D458" s="433">
        <f t="shared" ref="D458:D521" si="15">B458</f>
        <v>750.75</v>
      </c>
    </row>
    <row r="459" spans="1:4" ht="16.149999999999999" customHeight="1" x14ac:dyDescent="0.25">
      <c r="A459" s="431">
        <v>34019</v>
      </c>
      <c r="B459" s="432">
        <v>752.47</v>
      </c>
      <c r="C459" s="427">
        <f t="shared" si="14"/>
        <v>1993</v>
      </c>
      <c r="D459" s="433">
        <f t="shared" si="15"/>
        <v>752.47</v>
      </c>
    </row>
    <row r="460" spans="1:4" ht="16.149999999999999" customHeight="1" x14ac:dyDescent="0.25">
      <c r="A460" s="431">
        <v>34020</v>
      </c>
      <c r="B460" s="434">
        <v>751.96</v>
      </c>
      <c r="C460" s="427">
        <f t="shared" si="14"/>
        <v>1993</v>
      </c>
      <c r="D460" s="433">
        <f t="shared" si="15"/>
        <v>751.96</v>
      </c>
    </row>
    <row r="461" spans="1:4" ht="16.149999999999999" customHeight="1" x14ac:dyDescent="0.25">
      <c r="A461" s="431">
        <v>34021</v>
      </c>
      <c r="B461" s="432">
        <v>751.96</v>
      </c>
      <c r="C461" s="427">
        <f t="shared" si="14"/>
        <v>1993</v>
      </c>
      <c r="D461" s="433">
        <f t="shared" si="15"/>
        <v>751.96</v>
      </c>
    </row>
    <row r="462" spans="1:4" ht="16.149999999999999" customHeight="1" x14ac:dyDescent="0.25">
      <c r="A462" s="431">
        <v>34022</v>
      </c>
      <c r="B462" s="434">
        <v>751.96</v>
      </c>
      <c r="C462" s="427">
        <f t="shared" si="14"/>
        <v>1993</v>
      </c>
      <c r="D462" s="433">
        <f t="shared" si="15"/>
        <v>751.96</v>
      </c>
    </row>
    <row r="463" spans="1:4" ht="16.149999999999999" customHeight="1" x14ac:dyDescent="0.25">
      <c r="A463" s="431">
        <v>34023</v>
      </c>
      <c r="B463" s="432">
        <v>752.52</v>
      </c>
      <c r="C463" s="427">
        <f t="shared" si="14"/>
        <v>1993</v>
      </c>
      <c r="D463" s="433">
        <f t="shared" si="15"/>
        <v>752.52</v>
      </c>
    </row>
    <row r="464" spans="1:4" ht="16.149999999999999" customHeight="1" x14ac:dyDescent="0.25">
      <c r="A464" s="431">
        <v>34024</v>
      </c>
      <c r="B464" s="434">
        <v>753.33</v>
      </c>
      <c r="C464" s="427">
        <f t="shared" si="14"/>
        <v>1993</v>
      </c>
      <c r="D464" s="433">
        <f t="shared" si="15"/>
        <v>753.33</v>
      </c>
    </row>
    <row r="465" spans="1:4" ht="16.149999999999999" customHeight="1" x14ac:dyDescent="0.25">
      <c r="A465" s="431">
        <v>34025</v>
      </c>
      <c r="B465" s="432">
        <v>755.07</v>
      </c>
      <c r="C465" s="427">
        <f t="shared" si="14"/>
        <v>1993</v>
      </c>
      <c r="D465" s="433">
        <f t="shared" si="15"/>
        <v>755.07</v>
      </c>
    </row>
    <row r="466" spans="1:4" ht="16.149999999999999" customHeight="1" x14ac:dyDescent="0.25">
      <c r="A466" s="431">
        <v>34026</v>
      </c>
      <c r="B466" s="434">
        <v>759.2</v>
      </c>
      <c r="C466" s="427">
        <f t="shared" si="14"/>
        <v>1993</v>
      </c>
      <c r="D466" s="433">
        <f t="shared" si="15"/>
        <v>759.2</v>
      </c>
    </row>
    <row r="467" spans="1:4" ht="16.149999999999999" customHeight="1" x14ac:dyDescent="0.25">
      <c r="A467" s="431">
        <v>34027</v>
      </c>
      <c r="B467" s="432">
        <v>758.03</v>
      </c>
      <c r="C467" s="427">
        <f t="shared" si="14"/>
        <v>1993</v>
      </c>
      <c r="D467" s="433">
        <f t="shared" si="15"/>
        <v>758.03</v>
      </c>
    </row>
    <row r="468" spans="1:4" ht="16.149999999999999" customHeight="1" x14ac:dyDescent="0.25">
      <c r="A468" s="431">
        <v>34028</v>
      </c>
      <c r="B468" s="434">
        <v>758.03</v>
      </c>
      <c r="C468" s="427">
        <f t="shared" si="14"/>
        <v>1993</v>
      </c>
      <c r="D468" s="433">
        <f t="shared" si="15"/>
        <v>758.03</v>
      </c>
    </row>
    <row r="469" spans="1:4" ht="16.149999999999999" customHeight="1" x14ac:dyDescent="0.25">
      <c r="A469" s="431">
        <v>34029</v>
      </c>
      <c r="B469" s="432">
        <v>758.03</v>
      </c>
      <c r="C469" s="427">
        <f t="shared" si="14"/>
        <v>1993</v>
      </c>
      <c r="D469" s="433">
        <f t="shared" si="15"/>
        <v>758.03</v>
      </c>
    </row>
    <row r="470" spans="1:4" ht="16.149999999999999" customHeight="1" x14ac:dyDescent="0.25">
      <c r="A470" s="431">
        <v>34030</v>
      </c>
      <c r="B470" s="434">
        <v>757.89</v>
      </c>
      <c r="C470" s="427">
        <f t="shared" si="14"/>
        <v>1993</v>
      </c>
      <c r="D470" s="433">
        <f t="shared" si="15"/>
        <v>757.89</v>
      </c>
    </row>
    <row r="471" spans="1:4" ht="16.149999999999999" customHeight="1" x14ac:dyDescent="0.25">
      <c r="A471" s="431">
        <v>34031</v>
      </c>
      <c r="B471" s="432">
        <v>760.71</v>
      </c>
      <c r="C471" s="427">
        <f t="shared" si="14"/>
        <v>1993</v>
      </c>
      <c r="D471" s="433">
        <f t="shared" si="15"/>
        <v>760.71</v>
      </c>
    </row>
    <row r="472" spans="1:4" ht="16.149999999999999" customHeight="1" x14ac:dyDescent="0.25">
      <c r="A472" s="431">
        <v>34032</v>
      </c>
      <c r="B472" s="434">
        <v>762.68</v>
      </c>
      <c r="C472" s="427">
        <f t="shared" si="14"/>
        <v>1993</v>
      </c>
      <c r="D472" s="433">
        <f t="shared" si="15"/>
        <v>762.68</v>
      </c>
    </row>
    <row r="473" spans="1:4" ht="16.149999999999999" customHeight="1" x14ac:dyDescent="0.25">
      <c r="A473" s="431">
        <v>34033</v>
      </c>
      <c r="B473" s="432">
        <v>762.04</v>
      </c>
      <c r="C473" s="427">
        <f t="shared" si="14"/>
        <v>1993</v>
      </c>
      <c r="D473" s="433">
        <f t="shared" si="15"/>
        <v>762.04</v>
      </c>
    </row>
    <row r="474" spans="1:4" ht="16.149999999999999" customHeight="1" x14ac:dyDescent="0.25">
      <c r="A474" s="431">
        <v>34034</v>
      </c>
      <c r="B474" s="434">
        <v>762.2</v>
      </c>
      <c r="C474" s="427">
        <f t="shared" si="14"/>
        <v>1993</v>
      </c>
      <c r="D474" s="433">
        <f t="shared" si="15"/>
        <v>762.2</v>
      </c>
    </row>
    <row r="475" spans="1:4" ht="16.149999999999999" customHeight="1" x14ac:dyDescent="0.25">
      <c r="A475" s="431">
        <v>34035</v>
      </c>
      <c r="B475" s="432">
        <v>762.2</v>
      </c>
      <c r="C475" s="427">
        <f t="shared" si="14"/>
        <v>1993</v>
      </c>
      <c r="D475" s="433">
        <f t="shared" si="15"/>
        <v>762.2</v>
      </c>
    </row>
    <row r="476" spans="1:4" ht="16.149999999999999" customHeight="1" x14ac:dyDescent="0.25">
      <c r="A476" s="431">
        <v>34036</v>
      </c>
      <c r="B476" s="434">
        <v>762.2</v>
      </c>
      <c r="C476" s="427">
        <f t="shared" si="14"/>
        <v>1993</v>
      </c>
      <c r="D476" s="433">
        <f t="shared" si="15"/>
        <v>762.2</v>
      </c>
    </row>
    <row r="477" spans="1:4" ht="16.149999999999999" customHeight="1" x14ac:dyDescent="0.25">
      <c r="A477" s="431">
        <v>34037</v>
      </c>
      <c r="B477" s="432">
        <v>763.38</v>
      </c>
      <c r="C477" s="427">
        <f t="shared" si="14"/>
        <v>1993</v>
      </c>
      <c r="D477" s="433">
        <f t="shared" si="15"/>
        <v>763.38</v>
      </c>
    </row>
    <row r="478" spans="1:4" ht="16.149999999999999" customHeight="1" x14ac:dyDescent="0.25">
      <c r="A478" s="431">
        <v>34038</v>
      </c>
      <c r="B478" s="434">
        <v>763.9</v>
      </c>
      <c r="C478" s="427">
        <f t="shared" si="14"/>
        <v>1993</v>
      </c>
      <c r="D478" s="433">
        <f t="shared" si="15"/>
        <v>763.9</v>
      </c>
    </row>
    <row r="479" spans="1:4" ht="16.149999999999999" customHeight="1" x14ac:dyDescent="0.25">
      <c r="A479" s="431">
        <v>34039</v>
      </c>
      <c r="B479" s="432">
        <v>764.74</v>
      </c>
      <c r="C479" s="427">
        <f t="shared" si="14"/>
        <v>1993</v>
      </c>
      <c r="D479" s="433">
        <f t="shared" si="15"/>
        <v>764.74</v>
      </c>
    </row>
    <row r="480" spans="1:4" ht="16.149999999999999" customHeight="1" x14ac:dyDescent="0.25">
      <c r="A480" s="431">
        <v>34040</v>
      </c>
      <c r="B480" s="434">
        <v>765.19</v>
      </c>
      <c r="C480" s="427">
        <f t="shared" si="14"/>
        <v>1993</v>
      </c>
      <c r="D480" s="433">
        <f t="shared" si="15"/>
        <v>765.19</v>
      </c>
    </row>
    <row r="481" spans="1:4" ht="16.149999999999999" customHeight="1" x14ac:dyDescent="0.25">
      <c r="A481" s="431">
        <v>34041</v>
      </c>
      <c r="B481" s="432">
        <v>764.79</v>
      </c>
      <c r="C481" s="427">
        <f t="shared" si="14"/>
        <v>1993</v>
      </c>
      <c r="D481" s="433">
        <f t="shared" si="15"/>
        <v>764.79</v>
      </c>
    </row>
    <row r="482" spans="1:4" ht="16.149999999999999" customHeight="1" x14ac:dyDescent="0.25">
      <c r="A482" s="431">
        <v>34042</v>
      </c>
      <c r="B482" s="434">
        <v>764.79</v>
      </c>
      <c r="C482" s="427">
        <f t="shared" si="14"/>
        <v>1993</v>
      </c>
      <c r="D482" s="433">
        <f t="shared" si="15"/>
        <v>764.79</v>
      </c>
    </row>
    <row r="483" spans="1:4" ht="16.149999999999999" customHeight="1" x14ac:dyDescent="0.25">
      <c r="A483" s="431">
        <v>34043</v>
      </c>
      <c r="B483" s="432">
        <v>764.79</v>
      </c>
      <c r="C483" s="427">
        <f t="shared" si="14"/>
        <v>1993</v>
      </c>
      <c r="D483" s="433">
        <f t="shared" si="15"/>
        <v>764.79</v>
      </c>
    </row>
    <row r="484" spans="1:4" ht="16.149999999999999" customHeight="1" x14ac:dyDescent="0.25">
      <c r="A484" s="431">
        <v>34044</v>
      </c>
      <c r="B484" s="434">
        <v>764.29</v>
      </c>
      <c r="C484" s="427">
        <f t="shared" si="14"/>
        <v>1993</v>
      </c>
      <c r="D484" s="433">
        <f t="shared" si="15"/>
        <v>764.29</v>
      </c>
    </row>
    <row r="485" spans="1:4" ht="16.149999999999999" customHeight="1" x14ac:dyDescent="0.25">
      <c r="A485" s="431">
        <v>34045</v>
      </c>
      <c r="B485" s="432">
        <v>765.06</v>
      </c>
      <c r="C485" s="427">
        <f t="shared" si="14"/>
        <v>1993</v>
      </c>
      <c r="D485" s="433">
        <f t="shared" si="15"/>
        <v>765.06</v>
      </c>
    </row>
    <row r="486" spans="1:4" ht="16.149999999999999" customHeight="1" x14ac:dyDescent="0.25">
      <c r="A486" s="431">
        <v>34046</v>
      </c>
      <c r="B486" s="434">
        <v>766.12</v>
      </c>
      <c r="C486" s="427">
        <f t="shared" si="14"/>
        <v>1993</v>
      </c>
      <c r="D486" s="433">
        <f t="shared" si="15"/>
        <v>766.12</v>
      </c>
    </row>
    <row r="487" spans="1:4" ht="16.149999999999999" customHeight="1" x14ac:dyDescent="0.25">
      <c r="A487" s="431">
        <v>34047</v>
      </c>
      <c r="B487" s="432">
        <v>766.42</v>
      </c>
      <c r="C487" s="427">
        <f t="shared" si="14"/>
        <v>1993</v>
      </c>
      <c r="D487" s="433">
        <f t="shared" si="15"/>
        <v>766.42</v>
      </c>
    </row>
    <row r="488" spans="1:4" ht="16.149999999999999" customHeight="1" x14ac:dyDescent="0.25">
      <c r="A488" s="431">
        <v>34048</v>
      </c>
      <c r="B488" s="434">
        <v>766.84</v>
      </c>
      <c r="C488" s="427">
        <f t="shared" si="14"/>
        <v>1993</v>
      </c>
      <c r="D488" s="433">
        <f t="shared" si="15"/>
        <v>766.84</v>
      </c>
    </row>
    <row r="489" spans="1:4" ht="16.149999999999999" customHeight="1" x14ac:dyDescent="0.25">
      <c r="A489" s="431">
        <v>34049</v>
      </c>
      <c r="B489" s="432">
        <v>766.84</v>
      </c>
      <c r="C489" s="427">
        <f t="shared" si="14"/>
        <v>1993</v>
      </c>
      <c r="D489" s="433">
        <f t="shared" si="15"/>
        <v>766.84</v>
      </c>
    </row>
    <row r="490" spans="1:4" ht="16.149999999999999" customHeight="1" x14ac:dyDescent="0.25">
      <c r="A490" s="431">
        <v>34050</v>
      </c>
      <c r="B490" s="434">
        <v>766.84</v>
      </c>
      <c r="C490" s="427">
        <f t="shared" si="14"/>
        <v>1993</v>
      </c>
      <c r="D490" s="433">
        <f t="shared" si="15"/>
        <v>766.84</v>
      </c>
    </row>
    <row r="491" spans="1:4" ht="16.149999999999999" customHeight="1" x14ac:dyDescent="0.25">
      <c r="A491" s="431">
        <v>34051</v>
      </c>
      <c r="B491" s="432">
        <v>766.84</v>
      </c>
      <c r="C491" s="427">
        <f t="shared" si="14"/>
        <v>1993</v>
      </c>
      <c r="D491" s="433">
        <f t="shared" si="15"/>
        <v>766.84</v>
      </c>
    </row>
    <row r="492" spans="1:4" ht="16.149999999999999" customHeight="1" x14ac:dyDescent="0.25">
      <c r="A492" s="431">
        <v>34052</v>
      </c>
      <c r="B492" s="434">
        <v>766.63</v>
      </c>
      <c r="C492" s="427">
        <f t="shared" si="14"/>
        <v>1993</v>
      </c>
      <c r="D492" s="433">
        <f t="shared" si="15"/>
        <v>766.63</v>
      </c>
    </row>
    <row r="493" spans="1:4" ht="16.149999999999999" customHeight="1" x14ac:dyDescent="0.25">
      <c r="A493" s="431">
        <v>34053</v>
      </c>
      <c r="B493" s="432">
        <v>766.91</v>
      </c>
      <c r="C493" s="427">
        <f t="shared" si="14"/>
        <v>1993</v>
      </c>
      <c r="D493" s="433">
        <f t="shared" si="15"/>
        <v>766.91</v>
      </c>
    </row>
    <row r="494" spans="1:4" ht="16.149999999999999" customHeight="1" x14ac:dyDescent="0.25">
      <c r="A494" s="431">
        <v>34054</v>
      </c>
      <c r="B494" s="434">
        <v>767.99</v>
      </c>
      <c r="C494" s="427">
        <f t="shared" si="14"/>
        <v>1993</v>
      </c>
      <c r="D494" s="433">
        <f t="shared" si="15"/>
        <v>767.99</v>
      </c>
    </row>
    <row r="495" spans="1:4" ht="16.149999999999999" customHeight="1" x14ac:dyDescent="0.25">
      <c r="A495" s="431">
        <v>34055</v>
      </c>
      <c r="B495" s="432">
        <v>767.4</v>
      </c>
      <c r="C495" s="427">
        <f t="shared" si="14"/>
        <v>1993</v>
      </c>
      <c r="D495" s="433">
        <f t="shared" si="15"/>
        <v>767.4</v>
      </c>
    </row>
    <row r="496" spans="1:4" ht="16.149999999999999" customHeight="1" x14ac:dyDescent="0.25">
      <c r="A496" s="431">
        <v>34056</v>
      </c>
      <c r="B496" s="434">
        <v>767.4</v>
      </c>
      <c r="C496" s="427">
        <f t="shared" si="14"/>
        <v>1993</v>
      </c>
      <c r="D496" s="433">
        <f t="shared" si="15"/>
        <v>767.4</v>
      </c>
    </row>
    <row r="497" spans="1:4" ht="16.149999999999999" customHeight="1" x14ac:dyDescent="0.25">
      <c r="A497" s="431">
        <v>34057</v>
      </c>
      <c r="B497" s="432">
        <v>767.4</v>
      </c>
      <c r="C497" s="427">
        <f t="shared" si="14"/>
        <v>1993</v>
      </c>
      <c r="D497" s="433">
        <f t="shared" si="15"/>
        <v>767.4</v>
      </c>
    </row>
    <row r="498" spans="1:4" ht="16.149999999999999" customHeight="1" x14ac:dyDescent="0.25">
      <c r="A498" s="431">
        <v>34058</v>
      </c>
      <c r="B498" s="434">
        <v>766.79</v>
      </c>
      <c r="C498" s="427">
        <f t="shared" si="14"/>
        <v>1993</v>
      </c>
      <c r="D498" s="433">
        <f t="shared" si="15"/>
        <v>766.79</v>
      </c>
    </row>
    <row r="499" spans="1:4" ht="16.149999999999999" customHeight="1" x14ac:dyDescent="0.25">
      <c r="A499" s="431">
        <v>34059</v>
      </c>
      <c r="B499" s="432">
        <v>766.41</v>
      </c>
      <c r="C499" s="427">
        <f t="shared" si="14"/>
        <v>1993</v>
      </c>
      <c r="D499" s="433">
        <f t="shared" si="15"/>
        <v>766.41</v>
      </c>
    </row>
    <row r="500" spans="1:4" ht="16.149999999999999" customHeight="1" x14ac:dyDescent="0.25">
      <c r="A500" s="431">
        <v>34060</v>
      </c>
      <c r="B500" s="434">
        <v>766.44</v>
      </c>
      <c r="C500" s="427">
        <f t="shared" si="14"/>
        <v>1993</v>
      </c>
      <c r="D500" s="433">
        <f t="shared" si="15"/>
        <v>766.44</v>
      </c>
    </row>
    <row r="501" spans="1:4" ht="16.149999999999999" customHeight="1" x14ac:dyDescent="0.25">
      <c r="A501" s="431">
        <v>34061</v>
      </c>
      <c r="B501" s="432">
        <v>767.98</v>
      </c>
      <c r="C501" s="427">
        <f t="shared" si="14"/>
        <v>1993</v>
      </c>
      <c r="D501" s="433">
        <f t="shared" si="15"/>
        <v>767.98</v>
      </c>
    </row>
    <row r="502" spans="1:4" ht="16.149999999999999" customHeight="1" x14ac:dyDescent="0.25">
      <c r="A502" s="431">
        <v>34062</v>
      </c>
      <c r="B502" s="434">
        <v>768.46</v>
      </c>
      <c r="C502" s="427">
        <f t="shared" si="14"/>
        <v>1993</v>
      </c>
      <c r="D502" s="433">
        <f t="shared" si="15"/>
        <v>768.46</v>
      </c>
    </row>
    <row r="503" spans="1:4" ht="16.149999999999999" customHeight="1" x14ac:dyDescent="0.25">
      <c r="A503" s="431">
        <v>34063</v>
      </c>
      <c r="B503" s="432">
        <v>768.46</v>
      </c>
      <c r="C503" s="427">
        <f t="shared" si="14"/>
        <v>1993</v>
      </c>
      <c r="D503" s="433">
        <f t="shared" si="15"/>
        <v>768.46</v>
      </c>
    </row>
    <row r="504" spans="1:4" ht="16.149999999999999" customHeight="1" x14ac:dyDescent="0.25">
      <c r="A504" s="431">
        <v>34064</v>
      </c>
      <c r="B504" s="434">
        <v>768.46</v>
      </c>
      <c r="C504" s="427">
        <f t="shared" si="14"/>
        <v>1993</v>
      </c>
      <c r="D504" s="433">
        <f t="shared" si="15"/>
        <v>768.46</v>
      </c>
    </row>
    <row r="505" spans="1:4" ht="16.149999999999999" customHeight="1" x14ac:dyDescent="0.25">
      <c r="A505" s="431">
        <v>34065</v>
      </c>
      <c r="B505" s="432">
        <v>768.31</v>
      </c>
      <c r="C505" s="427">
        <f t="shared" si="14"/>
        <v>1993</v>
      </c>
      <c r="D505" s="433">
        <f t="shared" si="15"/>
        <v>768.31</v>
      </c>
    </row>
    <row r="506" spans="1:4" ht="16.149999999999999" customHeight="1" x14ac:dyDescent="0.25">
      <c r="A506" s="431">
        <v>34066</v>
      </c>
      <c r="B506" s="434">
        <v>768.52</v>
      </c>
      <c r="C506" s="427">
        <f t="shared" si="14"/>
        <v>1993</v>
      </c>
      <c r="D506" s="433">
        <f t="shared" si="15"/>
        <v>768.52</v>
      </c>
    </row>
    <row r="507" spans="1:4" ht="16.149999999999999" customHeight="1" x14ac:dyDescent="0.25">
      <c r="A507" s="431">
        <v>34067</v>
      </c>
      <c r="B507" s="432">
        <v>768.6</v>
      </c>
      <c r="C507" s="427">
        <f t="shared" si="14"/>
        <v>1993</v>
      </c>
      <c r="D507" s="433">
        <f t="shared" si="15"/>
        <v>768.6</v>
      </c>
    </row>
    <row r="508" spans="1:4" ht="16.149999999999999" customHeight="1" x14ac:dyDescent="0.25">
      <c r="A508" s="431">
        <v>34068</v>
      </c>
      <c r="B508" s="434">
        <v>768.6</v>
      </c>
      <c r="C508" s="427">
        <f t="shared" si="14"/>
        <v>1993</v>
      </c>
      <c r="D508" s="433">
        <f t="shared" si="15"/>
        <v>768.6</v>
      </c>
    </row>
    <row r="509" spans="1:4" ht="16.149999999999999" customHeight="1" x14ac:dyDescent="0.25">
      <c r="A509" s="431">
        <v>34069</v>
      </c>
      <c r="B509" s="432">
        <v>768.6</v>
      </c>
      <c r="C509" s="427">
        <f t="shared" si="14"/>
        <v>1993</v>
      </c>
      <c r="D509" s="433">
        <f t="shared" si="15"/>
        <v>768.6</v>
      </c>
    </row>
    <row r="510" spans="1:4" ht="16.149999999999999" customHeight="1" x14ac:dyDescent="0.25">
      <c r="A510" s="431">
        <v>34070</v>
      </c>
      <c r="B510" s="434">
        <v>768.6</v>
      </c>
      <c r="C510" s="427">
        <f t="shared" si="14"/>
        <v>1993</v>
      </c>
      <c r="D510" s="433">
        <f t="shared" si="15"/>
        <v>768.6</v>
      </c>
    </row>
    <row r="511" spans="1:4" ht="16.149999999999999" customHeight="1" x14ac:dyDescent="0.25">
      <c r="A511" s="431">
        <v>34071</v>
      </c>
      <c r="B511" s="432">
        <v>768.6</v>
      </c>
      <c r="C511" s="427">
        <f t="shared" si="14"/>
        <v>1993</v>
      </c>
      <c r="D511" s="433">
        <f t="shared" si="15"/>
        <v>768.6</v>
      </c>
    </row>
    <row r="512" spans="1:4" ht="16.149999999999999" customHeight="1" x14ac:dyDescent="0.25">
      <c r="A512" s="431">
        <v>34072</v>
      </c>
      <c r="B512" s="434">
        <v>769.34</v>
      </c>
      <c r="C512" s="427">
        <f t="shared" si="14"/>
        <v>1993</v>
      </c>
      <c r="D512" s="433">
        <f t="shared" si="15"/>
        <v>769.34</v>
      </c>
    </row>
    <row r="513" spans="1:4" ht="16.149999999999999" customHeight="1" x14ac:dyDescent="0.25">
      <c r="A513" s="431">
        <v>34073</v>
      </c>
      <c r="B513" s="432">
        <v>769.8</v>
      </c>
      <c r="C513" s="427">
        <f t="shared" si="14"/>
        <v>1993</v>
      </c>
      <c r="D513" s="433">
        <f t="shared" si="15"/>
        <v>769.8</v>
      </c>
    </row>
    <row r="514" spans="1:4" ht="16.149999999999999" customHeight="1" x14ac:dyDescent="0.25">
      <c r="A514" s="431">
        <v>34074</v>
      </c>
      <c r="B514" s="434">
        <v>771.56</v>
      </c>
      <c r="C514" s="427">
        <f t="shared" si="14"/>
        <v>1993</v>
      </c>
      <c r="D514" s="433">
        <f t="shared" si="15"/>
        <v>771.56</v>
      </c>
    </row>
    <row r="515" spans="1:4" ht="16.149999999999999" customHeight="1" x14ac:dyDescent="0.25">
      <c r="A515" s="431">
        <v>34075</v>
      </c>
      <c r="B515" s="432">
        <v>772.71</v>
      </c>
      <c r="C515" s="427">
        <f t="shared" si="14"/>
        <v>1993</v>
      </c>
      <c r="D515" s="433">
        <f t="shared" si="15"/>
        <v>772.71</v>
      </c>
    </row>
    <row r="516" spans="1:4" ht="16.149999999999999" customHeight="1" x14ac:dyDescent="0.25">
      <c r="A516" s="431">
        <v>34076</v>
      </c>
      <c r="B516" s="434">
        <v>773.22</v>
      </c>
      <c r="C516" s="427">
        <f t="shared" si="14"/>
        <v>1993</v>
      </c>
      <c r="D516" s="433">
        <f t="shared" si="15"/>
        <v>773.22</v>
      </c>
    </row>
    <row r="517" spans="1:4" ht="16.149999999999999" customHeight="1" x14ac:dyDescent="0.25">
      <c r="A517" s="431">
        <v>34077</v>
      </c>
      <c r="B517" s="432">
        <v>773.22</v>
      </c>
      <c r="C517" s="427">
        <f t="shared" si="14"/>
        <v>1993</v>
      </c>
      <c r="D517" s="433">
        <f t="shared" si="15"/>
        <v>773.22</v>
      </c>
    </row>
    <row r="518" spans="1:4" ht="16.149999999999999" customHeight="1" x14ac:dyDescent="0.25">
      <c r="A518" s="431">
        <v>34078</v>
      </c>
      <c r="B518" s="434">
        <v>773.22</v>
      </c>
      <c r="C518" s="427">
        <f t="shared" si="14"/>
        <v>1993</v>
      </c>
      <c r="D518" s="433">
        <f t="shared" si="15"/>
        <v>773.22</v>
      </c>
    </row>
    <row r="519" spans="1:4" ht="16.149999999999999" customHeight="1" x14ac:dyDescent="0.25">
      <c r="A519" s="431">
        <v>34079</v>
      </c>
      <c r="B519" s="432">
        <v>773.7</v>
      </c>
      <c r="C519" s="427">
        <f t="shared" si="14"/>
        <v>1993</v>
      </c>
      <c r="D519" s="433">
        <f t="shared" si="15"/>
        <v>773.7</v>
      </c>
    </row>
    <row r="520" spans="1:4" ht="16.149999999999999" customHeight="1" x14ac:dyDescent="0.25">
      <c r="A520" s="431">
        <v>34080</v>
      </c>
      <c r="B520" s="434">
        <v>773.97</v>
      </c>
      <c r="C520" s="427">
        <f t="shared" si="14"/>
        <v>1993</v>
      </c>
      <c r="D520" s="433">
        <f t="shared" si="15"/>
        <v>773.97</v>
      </c>
    </row>
    <row r="521" spans="1:4" ht="16.149999999999999" customHeight="1" x14ac:dyDescent="0.25">
      <c r="A521" s="431">
        <v>34081</v>
      </c>
      <c r="B521" s="432">
        <v>774.34</v>
      </c>
      <c r="C521" s="427">
        <f t="shared" si="14"/>
        <v>1993</v>
      </c>
      <c r="D521" s="433">
        <f t="shared" si="15"/>
        <v>774.34</v>
      </c>
    </row>
    <row r="522" spans="1:4" ht="16.149999999999999" customHeight="1" x14ac:dyDescent="0.25">
      <c r="A522" s="431">
        <v>34082</v>
      </c>
      <c r="B522" s="434">
        <v>775.05</v>
      </c>
      <c r="C522" s="427">
        <f t="shared" ref="C522:C585" si="16">YEAR(A522)</f>
        <v>1993</v>
      </c>
      <c r="D522" s="433">
        <f t="shared" ref="D522:D585" si="17">B522</f>
        <v>775.05</v>
      </c>
    </row>
    <row r="523" spans="1:4" ht="16.149999999999999" customHeight="1" x14ac:dyDescent="0.25">
      <c r="A523" s="431">
        <v>34083</v>
      </c>
      <c r="B523" s="432">
        <v>775.32</v>
      </c>
      <c r="C523" s="427">
        <f t="shared" si="16"/>
        <v>1993</v>
      </c>
      <c r="D523" s="433">
        <f t="shared" si="17"/>
        <v>775.32</v>
      </c>
    </row>
    <row r="524" spans="1:4" ht="16.149999999999999" customHeight="1" x14ac:dyDescent="0.25">
      <c r="A524" s="431">
        <v>34084</v>
      </c>
      <c r="B524" s="434">
        <v>775.32</v>
      </c>
      <c r="C524" s="427">
        <f t="shared" si="16"/>
        <v>1993</v>
      </c>
      <c r="D524" s="433">
        <f t="shared" si="17"/>
        <v>775.32</v>
      </c>
    </row>
    <row r="525" spans="1:4" ht="16.149999999999999" customHeight="1" x14ac:dyDescent="0.25">
      <c r="A525" s="431">
        <v>34085</v>
      </c>
      <c r="B525" s="432">
        <v>775.32</v>
      </c>
      <c r="C525" s="427">
        <f t="shared" si="16"/>
        <v>1993</v>
      </c>
      <c r="D525" s="433">
        <f t="shared" si="17"/>
        <v>775.32</v>
      </c>
    </row>
    <row r="526" spans="1:4" ht="16.149999999999999" customHeight="1" x14ac:dyDescent="0.25">
      <c r="A526" s="431">
        <v>34086</v>
      </c>
      <c r="B526" s="434">
        <v>775.2</v>
      </c>
      <c r="C526" s="427">
        <f t="shared" si="16"/>
        <v>1993</v>
      </c>
      <c r="D526" s="433">
        <f t="shared" si="17"/>
        <v>775.2</v>
      </c>
    </row>
    <row r="527" spans="1:4" ht="16.149999999999999" customHeight="1" x14ac:dyDescent="0.25">
      <c r="A527" s="431">
        <v>34087</v>
      </c>
      <c r="B527" s="432">
        <v>774.52</v>
      </c>
      <c r="C527" s="427">
        <f t="shared" si="16"/>
        <v>1993</v>
      </c>
      <c r="D527" s="433">
        <f t="shared" si="17"/>
        <v>774.52</v>
      </c>
    </row>
    <row r="528" spans="1:4" ht="16.149999999999999" customHeight="1" x14ac:dyDescent="0.25">
      <c r="A528" s="431">
        <v>34088</v>
      </c>
      <c r="B528" s="434">
        <v>773.78</v>
      </c>
      <c r="C528" s="427">
        <f t="shared" si="16"/>
        <v>1993</v>
      </c>
      <c r="D528" s="433">
        <f t="shared" si="17"/>
        <v>773.78</v>
      </c>
    </row>
    <row r="529" spans="1:4" ht="16.149999999999999" customHeight="1" x14ac:dyDescent="0.25">
      <c r="A529" s="431">
        <v>34089</v>
      </c>
      <c r="B529" s="432">
        <v>774.94</v>
      </c>
      <c r="C529" s="427">
        <f t="shared" si="16"/>
        <v>1993</v>
      </c>
      <c r="D529" s="433">
        <f t="shared" si="17"/>
        <v>774.94</v>
      </c>
    </row>
    <row r="530" spans="1:4" ht="16.149999999999999" customHeight="1" x14ac:dyDescent="0.25">
      <c r="A530" s="431">
        <v>34090</v>
      </c>
      <c r="B530" s="434">
        <v>773.82</v>
      </c>
      <c r="C530" s="427">
        <f t="shared" si="16"/>
        <v>1993</v>
      </c>
      <c r="D530" s="433">
        <f t="shared" si="17"/>
        <v>773.82</v>
      </c>
    </row>
    <row r="531" spans="1:4" ht="16.149999999999999" customHeight="1" x14ac:dyDescent="0.25">
      <c r="A531" s="431">
        <v>34091</v>
      </c>
      <c r="B531" s="432">
        <v>773.82</v>
      </c>
      <c r="C531" s="427">
        <f t="shared" si="16"/>
        <v>1993</v>
      </c>
      <c r="D531" s="433">
        <f t="shared" si="17"/>
        <v>773.82</v>
      </c>
    </row>
    <row r="532" spans="1:4" ht="16.149999999999999" customHeight="1" x14ac:dyDescent="0.25">
      <c r="A532" s="431">
        <v>34092</v>
      </c>
      <c r="B532" s="434">
        <v>773.82</v>
      </c>
      <c r="C532" s="427">
        <f t="shared" si="16"/>
        <v>1993</v>
      </c>
      <c r="D532" s="433">
        <f t="shared" si="17"/>
        <v>773.82</v>
      </c>
    </row>
    <row r="533" spans="1:4" ht="16.149999999999999" customHeight="1" x14ac:dyDescent="0.25">
      <c r="A533" s="431">
        <v>34093</v>
      </c>
      <c r="B533" s="432">
        <v>775.53</v>
      </c>
      <c r="C533" s="427">
        <f t="shared" si="16"/>
        <v>1993</v>
      </c>
      <c r="D533" s="433">
        <f t="shared" si="17"/>
        <v>775.53</v>
      </c>
    </row>
    <row r="534" spans="1:4" ht="16.149999999999999" customHeight="1" x14ac:dyDescent="0.25">
      <c r="A534" s="431">
        <v>34094</v>
      </c>
      <c r="B534" s="434">
        <v>776.99</v>
      </c>
      <c r="C534" s="427">
        <f t="shared" si="16"/>
        <v>1993</v>
      </c>
      <c r="D534" s="433">
        <f t="shared" si="17"/>
        <v>776.99</v>
      </c>
    </row>
    <row r="535" spans="1:4" ht="16.149999999999999" customHeight="1" x14ac:dyDescent="0.25">
      <c r="A535" s="431">
        <v>34095</v>
      </c>
      <c r="B535" s="432">
        <v>777.88</v>
      </c>
      <c r="C535" s="427">
        <f t="shared" si="16"/>
        <v>1993</v>
      </c>
      <c r="D535" s="433">
        <f t="shared" si="17"/>
        <v>777.88</v>
      </c>
    </row>
    <row r="536" spans="1:4" ht="16.149999999999999" customHeight="1" x14ac:dyDescent="0.25">
      <c r="A536" s="431">
        <v>34096</v>
      </c>
      <c r="B536" s="434">
        <v>778.17</v>
      </c>
      <c r="C536" s="427">
        <f t="shared" si="16"/>
        <v>1993</v>
      </c>
      <c r="D536" s="433">
        <f t="shared" si="17"/>
        <v>778.17</v>
      </c>
    </row>
    <row r="537" spans="1:4" ht="16.149999999999999" customHeight="1" x14ac:dyDescent="0.25">
      <c r="A537" s="431">
        <v>34097</v>
      </c>
      <c r="B537" s="432">
        <v>777.17</v>
      </c>
      <c r="C537" s="427">
        <f t="shared" si="16"/>
        <v>1993</v>
      </c>
      <c r="D537" s="433">
        <f t="shared" si="17"/>
        <v>777.17</v>
      </c>
    </row>
    <row r="538" spans="1:4" ht="16.149999999999999" customHeight="1" x14ac:dyDescent="0.25">
      <c r="A538" s="431">
        <v>34098</v>
      </c>
      <c r="B538" s="434">
        <v>777.17</v>
      </c>
      <c r="C538" s="427">
        <f t="shared" si="16"/>
        <v>1993</v>
      </c>
      <c r="D538" s="433">
        <f t="shared" si="17"/>
        <v>777.17</v>
      </c>
    </row>
    <row r="539" spans="1:4" ht="16.149999999999999" customHeight="1" x14ac:dyDescent="0.25">
      <c r="A539" s="431">
        <v>34099</v>
      </c>
      <c r="B539" s="432">
        <v>777.17</v>
      </c>
      <c r="C539" s="427">
        <f t="shared" si="16"/>
        <v>1993</v>
      </c>
      <c r="D539" s="433">
        <f t="shared" si="17"/>
        <v>777.17</v>
      </c>
    </row>
    <row r="540" spans="1:4" ht="16.149999999999999" customHeight="1" x14ac:dyDescent="0.25">
      <c r="A540" s="431">
        <v>34100</v>
      </c>
      <c r="B540" s="434">
        <v>777.75</v>
      </c>
      <c r="C540" s="427">
        <f t="shared" si="16"/>
        <v>1993</v>
      </c>
      <c r="D540" s="433">
        <f t="shared" si="17"/>
        <v>777.75</v>
      </c>
    </row>
    <row r="541" spans="1:4" ht="16.149999999999999" customHeight="1" x14ac:dyDescent="0.25">
      <c r="A541" s="431">
        <v>34101</v>
      </c>
      <c r="B541" s="432">
        <v>779.41</v>
      </c>
      <c r="C541" s="427">
        <f t="shared" si="16"/>
        <v>1993</v>
      </c>
      <c r="D541" s="433">
        <f t="shared" si="17"/>
        <v>779.41</v>
      </c>
    </row>
    <row r="542" spans="1:4" ht="16.149999999999999" customHeight="1" x14ac:dyDescent="0.25">
      <c r="A542" s="431">
        <v>34102</v>
      </c>
      <c r="B542" s="434">
        <v>780.49</v>
      </c>
      <c r="C542" s="427">
        <f t="shared" si="16"/>
        <v>1993</v>
      </c>
      <c r="D542" s="433">
        <f t="shared" si="17"/>
        <v>780.49</v>
      </c>
    </row>
    <row r="543" spans="1:4" ht="16.149999999999999" customHeight="1" x14ac:dyDescent="0.25">
      <c r="A543" s="431">
        <v>34103</v>
      </c>
      <c r="B543" s="432">
        <v>780.8</v>
      </c>
      <c r="C543" s="427">
        <f t="shared" si="16"/>
        <v>1993</v>
      </c>
      <c r="D543" s="433">
        <f t="shared" si="17"/>
        <v>780.8</v>
      </c>
    </row>
    <row r="544" spans="1:4" ht="16.149999999999999" customHeight="1" x14ac:dyDescent="0.25">
      <c r="A544" s="431">
        <v>34104</v>
      </c>
      <c r="B544" s="434">
        <v>780.79</v>
      </c>
      <c r="C544" s="427">
        <f t="shared" si="16"/>
        <v>1993</v>
      </c>
      <c r="D544" s="433">
        <f t="shared" si="17"/>
        <v>780.79</v>
      </c>
    </row>
    <row r="545" spans="1:4" ht="16.149999999999999" customHeight="1" x14ac:dyDescent="0.25">
      <c r="A545" s="431">
        <v>34105</v>
      </c>
      <c r="B545" s="432">
        <v>780.79</v>
      </c>
      <c r="C545" s="427">
        <f t="shared" si="16"/>
        <v>1993</v>
      </c>
      <c r="D545" s="433">
        <f t="shared" si="17"/>
        <v>780.79</v>
      </c>
    </row>
    <row r="546" spans="1:4" ht="16.149999999999999" customHeight="1" x14ac:dyDescent="0.25">
      <c r="A546" s="431">
        <v>34106</v>
      </c>
      <c r="B546" s="434">
        <v>780.79</v>
      </c>
      <c r="C546" s="427">
        <f t="shared" si="16"/>
        <v>1993</v>
      </c>
      <c r="D546" s="433">
        <f t="shared" si="17"/>
        <v>780.79</v>
      </c>
    </row>
    <row r="547" spans="1:4" ht="16.149999999999999" customHeight="1" x14ac:dyDescent="0.25">
      <c r="A547" s="431">
        <v>34107</v>
      </c>
      <c r="B547" s="432">
        <v>781.42</v>
      </c>
      <c r="C547" s="427">
        <f t="shared" si="16"/>
        <v>1993</v>
      </c>
      <c r="D547" s="433">
        <f t="shared" si="17"/>
        <v>781.42</v>
      </c>
    </row>
    <row r="548" spans="1:4" ht="16.149999999999999" customHeight="1" x14ac:dyDescent="0.25">
      <c r="A548" s="431">
        <v>34108</v>
      </c>
      <c r="B548" s="434">
        <v>781.8</v>
      </c>
      <c r="C548" s="427">
        <f t="shared" si="16"/>
        <v>1993</v>
      </c>
      <c r="D548" s="433">
        <f t="shared" si="17"/>
        <v>781.8</v>
      </c>
    </row>
    <row r="549" spans="1:4" ht="16.149999999999999" customHeight="1" x14ac:dyDescent="0.25">
      <c r="A549" s="431">
        <v>34109</v>
      </c>
      <c r="B549" s="432">
        <v>781.84</v>
      </c>
      <c r="C549" s="427">
        <f t="shared" si="16"/>
        <v>1993</v>
      </c>
      <c r="D549" s="433">
        <f t="shared" si="17"/>
        <v>781.84</v>
      </c>
    </row>
    <row r="550" spans="1:4" ht="16.149999999999999" customHeight="1" x14ac:dyDescent="0.25">
      <c r="A550" s="431">
        <v>34110</v>
      </c>
      <c r="B550" s="434">
        <v>781.94</v>
      </c>
      <c r="C550" s="427">
        <f t="shared" si="16"/>
        <v>1993</v>
      </c>
      <c r="D550" s="433">
        <f t="shared" si="17"/>
        <v>781.94</v>
      </c>
    </row>
    <row r="551" spans="1:4" ht="16.149999999999999" customHeight="1" x14ac:dyDescent="0.25">
      <c r="A551" s="431">
        <v>34111</v>
      </c>
      <c r="B551" s="432">
        <v>782</v>
      </c>
      <c r="C551" s="427">
        <f t="shared" si="16"/>
        <v>1993</v>
      </c>
      <c r="D551" s="433">
        <f t="shared" si="17"/>
        <v>782</v>
      </c>
    </row>
    <row r="552" spans="1:4" ht="16.149999999999999" customHeight="1" x14ac:dyDescent="0.25">
      <c r="A552" s="431">
        <v>34112</v>
      </c>
      <c r="B552" s="434">
        <v>782</v>
      </c>
      <c r="C552" s="427">
        <f t="shared" si="16"/>
        <v>1993</v>
      </c>
      <c r="D552" s="433">
        <f t="shared" si="17"/>
        <v>782</v>
      </c>
    </row>
    <row r="553" spans="1:4" ht="16.149999999999999" customHeight="1" x14ac:dyDescent="0.25">
      <c r="A553" s="431">
        <v>34113</v>
      </c>
      <c r="B553" s="432">
        <v>782</v>
      </c>
      <c r="C553" s="427">
        <f t="shared" si="16"/>
        <v>1993</v>
      </c>
      <c r="D553" s="433">
        <f t="shared" si="17"/>
        <v>782</v>
      </c>
    </row>
    <row r="554" spans="1:4" ht="16.149999999999999" customHeight="1" x14ac:dyDescent="0.25">
      <c r="A554" s="431">
        <v>34114</v>
      </c>
      <c r="B554" s="434">
        <v>782</v>
      </c>
      <c r="C554" s="427">
        <f t="shared" si="16"/>
        <v>1993</v>
      </c>
      <c r="D554" s="433">
        <f t="shared" si="17"/>
        <v>782</v>
      </c>
    </row>
    <row r="555" spans="1:4" ht="16.149999999999999" customHeight="1" x14ac:dyDescent="0.25">
      <c r="A555" s="431">
        <v>34115</v>
      </c>
      <c r="B555" s="432">
        <v>783.15</v>
      </c>
      <c r="C555" s="427">
        <f t="shared" si="16"/>
        <v>1993</v>
      </c>
      <c r="D555" s="433">
        <f t="shared" si="17"/>
        <v>783.15</v>
      </c>
    </row>
    <row r="556" spans="1:4" ht="16.149999999999999" customHeight="1" x14ac:dyDescent="0.25">
      <c r="A556" s="431">
        <v>34116</v>
      </c>
      <c r="B556" s="434">
        <v>782.85</v>
      </c>
      <c r="C556" s="427">
        <f t="shared" si="16"/>
        <v>1993</v>
      </c>
      <c r="D556" s="433">
        <f t="shared" si="17"/>
        <v>782.85</v>
      </c>
    </row>
    <row r="557" spans="1:4" ht="16.149999999999999" customHeight="1" x14ac:dyDescent="0.25">
      <c r="A557" s="431">
        <v>34117</v>
      </c>
      <c r="B557" s="432">
        <v>780.78</v>
      </c>
      <c r="C557" s="427">
        <f t="shared" si="16"/>
        <v>1993</v>
      </c>
      <c r="D557" s="433">
        <f t="shared" si="17"/>
        <v>780.78</v>
      </c>
    </row>
    <row r="558" spans="1:4" ht="16.149999999999999" customHeight="1" x14ac:dyDescent="0.25">
      <c r="A558" s="431">
        <v>34118</v>
      </c>
      <c r="B558" s="434">
        <v>779.56</v>
      </c>
      <c r="C558" s="427">
        <f t="shared" si="16"/>
        <v>1993</v>
      </c>
      <c r="D558" s="433">
        <f t="shared" si="17"/>
        <v>779.56</v>
      </c>
    </row>
    <row r="559" spans="1:4" ht="16.149999999999999" customHeight="1" x14ac:dyDescent="0.25">
      <c r="A559" s="431">
        <v>34119</v>
      </c>
      <c r="B559" s="432">
        <v>779.56</v>
      </c>
      <c r="C559" s="427">
        <f t="shared" si="16"/>
        <v>1993</v>
      </c>
      <c r="D559" s="433">
        <f t="shared" si="17"/>
        <v>779.56</v>
      </c>
    </row>
    <row r="560" spans="1:4" ht="16.149999999999999" customHeight="1" x14ac:dyDescent="0.25">
      <c r="A560" s="431">
        <v>34120</v>
      </c>
      <c r="B560" s="434">
        <v>779.56</v>
      </c>
      <c r="C560" s="427">
        <f t="shared" si="16"/>
        <v>1993</v>
      </c>
      <c r="D560" s="433">
        <f t="shared" si="17"/>
        <v>779.56</v>
      </c>
    </row>
    <row r="561" spans="1:4" ht="16.149999999999999" customHeight="1" x14ac:dyDescent="0.25">
      <c r="A561" s="431">
        <v>34121</v>
      </c>
      <c r="B561" s="432">
        <v>779</v>
      </c>
      <c r="C561" s="427">
        <f t="shared" si="16"/>
        <v>1993</v>
      </c>
      <c r="D561" s="433">
        <f t="shared" si="17"/>
        <v>779</v>
      </c>
    </row>
    <row r="562" spans="1:4" ht="16.149999999999999" customHeight="1" x14ac:dyDescent="0.25">
      <c r="A562" s="431">
        <v>34122</v>
      </c>
      <c r="B562" s="434">
        <v>779.01</v>
      </c>
      <c r="C562" s="427">
        <f t="shared" si="16"/>
        <v>1993</v>
      </c>
      <c r="D562" s="433">
        <f t="shared" si="17"/>
        <v>779.01</v>
      </c>
    </row>
    <row r="563" spans="1:4" ht="16.149999999999999" customHeight="1" x14ac:dyDescent="0.25">
      <c r="A563" s="431">
        <v>34123</v>
      </c>
      <c r="B563" s="432">
        <v>777.82</v>
      </c>
      <c r="C563" s="427">
        <f t="shared" si="16"/>
        <v>1993</v>
      </c>
      <c r="D563" s="433">
        <f t="shared" si="17"/>
        <v>777.82</v>
      </c>
    </row>
    <row r="564" spans="1:4" ht="16.149999999999999" customHeight="1" x14ac:dyDescent="0.25">
      <c r="A564" s="431">
        <v>34124</v>
      </c>
      <c r="B564" s="434">
        <v>778.12</v>
      </c>
      <c r="C564" s="427">
        <f t="shared" si="16"/>
        <v>1993</v>
      </c>
      <c r="D564" s="433">
        <f t="shared" si="17"/>
        <v>778.12</v>
      </c>
    </row>
    <row r="565" spans="1:4" ht="16.149999999999999" customHeight="1" x14ac:dyDescent="0.25">
      <c r="A565" s="431">
        <v>34125</v>
      </c>
      <c r="B565" s="432">
        <v>780.6</v>
      </c>
      <c r="C565" s="427">
        <f t="shared" si="16"/>
        <v>1993</v>
      </c>
      <c r="D565" s="433">
        <f t="shared" si="17"/>
        <v>780.6</v>
      </c>
    </row>
    <row r="566" spans="1:4" ht="16.149999999999999" customHeight="1" x14ac:dyDescent="0.25">
      <c r="A566" s="431">
        <v>34126</v>
      </c>
      <c r="B566" s="434">
        <v>780.6</v>
      </c>
      <c r="C566" s="427">
        <f t="shared" si="16"/>
        <v>1993</v>
      </c>
      <c r="D566" s="433">
        <f t="shared" si="17"/>
        <v>780.6</v>
      </c>
    </row>
    <row r="567" spans="1:4" ht="16.149999999999999" customHeight="1" x14ac:dyDescent="0.25">
      <c r="A567" s="431">
        <v>34127</v>
      </c>
      <c r="B567" s="432">
        <v>780.6</v>
      </c>
      <c r="C567" s="427">
        <f t="shared" si="16"/>
        <v>1993</v>
      </c>
      <c r="D567" s="433">
        <f t="shared" si="17"/>
        <v>780.6</v>
      </c>
    </row>
    <row r="568" spans="1:4" ht="16.149999999999999" customHeight="1" x14ac:dyDescent="0.25">
      <c r="A568" s="431">
        <v>34128</v>
      </c>
      <c r="B568" s="434">
        <v>782.29</v>
      </c>
      <c r="C568" s="427">
        <f t="shared" si="16"/>
        <v>1993</v>
      </c>
      <c r="D568" s="433">
        <f t="shared" si="17"/>
        <v>782.29</v>
      </c>
    </row>
    <row r="569" spans="1:4" ht="16.149999999999999" customHeight="1" x14ac:dyDescent="0.25">
      <c r="A569" s="431">
        <v>34129</v>
      </c>
      <c r="B569" s="432">
        <v>784.62</v>
      </c>
      <c r="C569" s="427">
        <f t="shared" si="16"/>
        <v>1993</v>
      </c>
      <c r="D569" s="433">
        <f t="shared" si="17"/>
        <v>784.62</v>
      </c>
    </row>
    <row r="570" spans="1:4" ht="16.149999999999999" customHeight="1" x14ac:dyDescent="0.25">
      <c r="A570" s="431">
        <v>34130</v>
      </c>
      <c r="B570" s="434">
        <v>784.95</v>
      </c>
      <c r="C570" s="427">
        <f t="shared" si="16"/>
        <v>1993</v>
      </c>
      <c r="D570" s="433">
        <f t="shared" si="17"/>
        <v>784.95</v>
      </c>
    </row>
    <row r="571" spans="1:4" ht="16.149999999999999" customHeight="1" x14ac:dyDescent="0.25">
      <c r="A571" s="431">
        <v>34131</v>
      </c>
      <c r="B571" s="432">
        <v>785.79</v>
      </c>
      <c r="C571" s="427">
        <f t="shared" si="16"/>
        <v>1993</v>
      </c>
      <c r="D571" s="433">
        <f t="shared" si="17"/>
        <v>785.79</v>
      </c>
    </row>
    <row r="572" spans="1:4" ht="16.149999999999999" customHeight="1" x14ac:dyDescent="0.25">
      <c r="A572" s="431">
        <v>34132</v>
      </c>
      <c r="B572" s="434">
        <v>784.8</v>
      </c>
      <c r="C572" s="427">
        <f t="shared" si="16"/>
        <v>1993</v>
      </c>
      <c r="D572" s="433">
        <f t="shared" si="17"/>
        <v>784.8</v>
      </c>
    </row>
    <row r="573" spans="1:4" ht="16.149999999999999" customHeight="1" x14ac:dyDescent="0.25">
      <c r="A573" s="431">
        <v>34133</v>
      </c>
      <c r="B573" s="432">
        <v>784.8</v>
      </c>
      <c r="C573" s="427">
        <f t="shared" si="16"/>
        <v>1993</v>
      </c>
      <c r="D573" s="433">
        <f t="shared" si="17"/>
        <v>784.8</v>
      </c>
    </row>
    <row r="574" spans="1:4" ht="16.149999999999999" customHeight="1" x14ac:dyDescent="0.25">
      <c r="A574" s="431">
        <v>34134</v>
      </c>
      <c r="B574" s="434">
        <v>784.8</v>
      </c>
      <c r="C574" s="427">
        <f t="shared" si="16"/>
        <v>1993</v>
      </c>
      <c r="D574" s="433">
        <f t="shared" si="17"/>
        <v>784.8</v>
      </c>
    </row>
    <row r="575" spans="1:4" ht="16.149999999999999" customHeight="1" x14ac:dyDescent="0.25">
      <c r="A575" s="431">
        <v>34135</v>
      </c>
      <c r="B575" s="432">
        <v>784.8</v>
      </c>
      <c r="C575" s="427">
        <f t="shared" si="16"/>
        <v>1993</v>
      </c>
      <c r="D575" s="433">
        <f t="shared" si="17"/>
        <v>784.8</v>
      </c>
    </row>
    <row r="576" spans="1:4" ht="16.149999999999999" customHeight="1" x14ac:dyDescent="0.25">
      <c r="A576" s="431">
        <v>34136</v>
      </c>
      <c r="B576" s="434">
        <v>785.9</v>
      </c>
      <c r="C576" s="427">
        <f t="shared" si="16"/>
        <v>1993</v>
      </c>
      <c r="D576" s="433">
        <f t="shared" si="17"/>
        <v>785.9</v>
      </c>
    </row>
    <row r="577" spans="1:4" ht="16.149999999999999" customHeight="1" x14ac:dyDescent="0.25">
      <c r="A577" s="431">
        <v>34137</v>
      </c>
      <c r="B577" s="432">
        <v>786.64</v>
      </c>
      <c r="C577" s="427">
        <f t="shared" si="16"/>
        <v>1993</v>
      </c>
      <c r="D577" s="433">
        <f t="shared" si="17"/>
        <v>786.64</v>
      </c>
    </row>
    <row r="578" spans="1:4" ht="16.149999999999999" customHeight="1" x14ac:dyDescent="0.25">
      <c r="A578" s="431">
        <v>34138</v>
      </c>
      <c r="B578" s="434">
        <v>787.49</v>
      </c>
      <c r="C578" s="427">
        <f t="shared" si="16"/>
        <v>1993</v>
      </c>
      <c r="D578" s="433">
        <f t="shared" si="17"/>
        <v>787.49</v>
      </c>
    </row>
    <row r="579" spans="1:4" ht="16.149999999999999" customHeight="1" x14ac:dyDescent="0.25">
      <c r="A579" s="431">
        <v>34139</v>
      </c>
      <c r="B579" s="432">
        <v>786.77</v>
      </c>
      <c r="C579" s="427">
        <f t="shared" si="16"/>
        <v>1993</v>
      </c>
      <c r="D579" s="433">
        <f t="shared" si="17"/>
        <v>786.77</v>
      </c>
    </row>
    <row r="580" spans="1:4" ht="16.149999999999999" customHeight="1" x14ac:dyDescent="0.25">
      <c r="A580" s="431">
        <v>34140</v>
      </c>
      <c r="B580" s="434">
        <v>786.77</v>
      </c>
      <c r="C580" s="427">
        <f t="shared" si="16"/>
        <v>1993</v>
      </c>
      <c r="D580" s="433">
        <f t="shared" si="17"/>
        <v>786.77</v>
      </c>
    </row>
    <row r="581" spans="1:4" ht="16.149999999999999" customHeight="1" x14ac:dyDescent="0.25">
      <c r="A581" s="431">
        <v>34141</v>
      </c>
      <c r="B581" s="432">
        <v>786.77</v>
      </c>
      <c r="C581" s="427">
        <f t="shared" si="16"/>
        <v>1993</v>
      </c>
      <c r="D581" s="433">
        <f t="shared" si="17"/>
        <v>786.77</v>
      </c>
    </row>
    <row r="582" spans="1:4" ht="16.149999999999999" customHeight="1" x14ac:dyDescent="0.25">
      <c r="A582" s="431">
        <v>34142</v>
      </c>
      <c r="B582" s="434">
        <v>786.77</v>
      </c>
      <c r="C582" s="427">
        <f t="shared" si="16"/>
        <v>1993</v>
      </c>
      <c r="D582" s="433">
        <f t="shared" si="17"/>
        <v>786.77</v>
      </c>
    </row>
    <row r="583" spans="1:4" ht="16.149999999999999" customHeight="1" x14ac:dyDescent="0.25">
      <c r="A583" s="431">
        <v>34143</v>
      </c>
      <c r="B583" s="432">
        <v>787.06</v>
      </c>
      <c r="C583" s="427">
        <f t="shared" si="16"/>
        <v>1993</v>
      </c>
      <c r="D583" s="433">
        <f t="shared" si="17"/>
        <v>787.06</v>
      </c>
    </row>
    <row r="584" spans="1:4" ht="16.149999999999999" customHeight="1" x14ac:dyDescent="0.25">
      <c r="A584" s="431">
        <v>34144</v>
      </c>
      <c r="B584" s="434">
        <v>786.42</v>
      </c>
      <c r="C584" s="427">
        <f t="shared" si="16"/>
        <v>1993</v>
      </c>
      <c r="D584" s="433">
        <f t="shared" si="17"/>
        <v>786.42</v>
      </c>
    </row>
    <row r="585" spans="1:4" ht="16.149999999999999" customHeight="1" x14ac:dyDescent="0.25">
      <c r="A585" s="431">
        <v>34145</v>
      </c>
      <c r="B585" s="432">
        <v>786.72</v>
      </c>
      <c r="C585" s="427">
        <f t="shared" si="16"/>
        <v>1993</v>
      </c>
      <c r="D585" s="433">
        <f t="shared" si="17"/>
        <v>786.72</v>
      </c>
    </row>
    <row r="586" spans="1:4" ht="16.149999999999999" customHeight="1" x14ac:dyDescent="0.25">
      <c r="A586" s="431">
        <v>34146</v>
      </c>
      <c r="B586" s="434">
        <v>786.96</v>
      </c>
      <c r="C586" s="427">
        <f t="shared" ref="C586:C649" si="18">YEAR(A586)</f>
        <v>1993</v>
      </c>
      <c r="D586" s="433">
        <f t="shared" ref="D586:D649" si="19">B586</f>
        <v>786.96</v>
      </c>
    </row>
    <row r="587" spans="1:4" ht="16.149999999999999" customHeight="1" x14ac:dyDescent="0.25">
      <c r="A587" s="431">
        <v>34147</v>
      </c>
      <c r="B587" s="432">
        <v>786.96</v>
      </c>
      <c r="C587" s="427">
        <f t="shared" si="18"/>
        <v>1993</v>
      </c>
      <c r="D587" s="433">
        <f t="shared" si="19"/>
        <v>786.96</v>
      </c>
    </row>
    <row r="588" spans="1:4" ht="16.149999999999999" customHeight="1" x14ac:dyDescent="0.25">
      <c r="A588" s="431">
        <v>34148</v>
      </c>
      <c r="B588" s="434">
        <v>786.96</v>
      </c>
      <c r="C588" s="427">
        <f t="shared" si="18"/>
        <v>1993</v>
      </c>
      <c r="D588" s="433">
        <f t="shared" si="19"/>
        <v>786.96</v>
      </c>
    </row>
    <row r="589" spans="1:4" ht="16.149999999999999" customHeight="1" x14ac:dyDescent="0.25">
      <c r="A589" s="431">
        <v>34149</v>
      </c>
      <c r="B589" s="432">
        <v>786.8</v>
      </c>
      <c r="C589" s="427">
        <f t="shared" si="18"/>
        <v>1993</v>
      </c>
      <c r="D589" s="433">
        <f t="shared" si="19"/>
        <v>786.8</v>
      </c>
    </row>
    <row r="590" spans="1:4" ht="16.149999999999999" customHeight="1" x14ac:dyDescent="0.25">
      <c r="A590" s="431">
        <v>34150</v>
      </c>
      <c r="B590" s="434">
        <v>787.12</v>
      </c>
      <c r="C590" s="427">
        <f t="shared" si="18"/>
        <v>1993</v>
      </c>
      <c r="D590" s="433">
        <f t="shared" si="19"/>
        <v>787.12</v>
      </c>
    </row>
    <row r="591" spans="1:4" ht="16.149999999999999" customHeight="1" x14ac:dyDescent="0.25">
      <c r="A591" s="431">
        <v>34151</v>
      </c>
      <c r="B591" s="432">
        <v>786.1</v>
      </c>
      <c r="C591" s="427">
        <f t="shared" si="18"/>
        <v>1993</v>
      </c>
      <c r="D591" s="433">
        <f t="shared" si="19"/>
        <v>786.1</v>
      </c>
    </row>
    <row r="592" spans="1:4" ht="16.149999999999999" customHeight="1" x14ac:dyDescent="0.25">
      <c r="A592" s="431">
        <v>34152</v>
      </c>
      <c r="B592" s="434">
        <v>787.51</v>
      </c>
      <c r="C592" s="427">
        <f t="shared" si="18"/>
        <v>1993</v>
      </c>
      <c r="D592" s="433">
        <f t="shared" si="19"/>
        <v>787.51</v>
      </c>
    </row>
    <row r="593" spans="1:4" ht="16.149999999999999" customHeight="1" x14ac:dyDescent="0.25">
      <c r="A593" s="431">
        <v>34153</v>
      </c>
      <c r="B593" s="432">
        <v>788.65</v>
      </c>
      <c r="C593" s="427">
        <f t="shared" si="18"/>
        <v>1993</v>
      </c>
      <c r="D593" s="433">
        <f t="shared" si="19"/>
        <v>788.65</v>
      </c>
    </row>
    <row r="594" spans="1:4" ht="16.149999999999999" customHeight="1" x14ac:dyDescent="0.25">
      <c r="A594" s="431">
        <v>34154</v>
      </c>
      <c r="B594" s="434">
        <v>788.65</v>
      </c>
      <c r="C594" s="427">
        <f t="shared" si="18"/>
        <v>1993</v>
      </c>
      <c r="D594" s="433">
        <f t="shared" si="19"/>
        <v>788.65</v>
      </c>
    </row>
    <row r="595" spans="1:4" ht="16.149999999999999" customHeight="1" x14ac:dyDescent="0.25">
      <c r="A595" s="431">
        <v>34155</v>
      </c>
      <c r="B595" s="432">
        <v>788.65</v>
      </c>
      <c r="C595" s="427">
        <f t="shared" si="18"/>
        <v>1993</v>
      </c>
      <c r="D595" s="433">
        <f t="shared" si="19"/>
        <v>788.65</v>
      </c>
    </row>
    <row r="596" spans="1:4" ht="16.149999999999999" customHeight="1" x14ac:dyDescent="0.25">
      <c r="A596" s="431">
        <v>34156</v>
      </c>
      <c r="B596" s="434">
        <v>788.65</v>
      </c>
      <c r="C596" s="427">
        <f t="shared" si="18"/>
        <v>1993</v>
      </c>
      <c r="D596" s="433">
        <f t="shared" si="19"/>
        <v>788.65</v>
      </c>
    </row>
    <row r="597" spans="1:4" ht="16.149999999999999" customHeight="1" x14ac:dyDescent="0.25">
      <c r="A597" s="431">
        <v>34157</v>
      </c>
      <c r="B597" s="432">
        <v>789.47</v>
      </c>
      <c r="C597" s="427">
        <f t="shared" si="18"/>
        <v>1993</v>
      </c>
      <c r="D597" s="433">
        <f t="shared" si="19"/>
        <v>789.47</v>
      </c>
    </row>
    <row r="598" spans="1:4" ht="16.149999999999999" customHeight="1" x14ac:dyDescent="0.25">
      <c r="A598" s="431">
        <v>34158</v>
      </c>
      <c r="B598" s="434">
        <v>790.58</v>
      </c>
      <c r="C598" s="427">
        <f t="shared" si="18"/>
        <v>1993</v>
      </c>
      <c r="D598" s="433">
        <f t="shared" si="19"/>
        <v>790.58</v>
      </c>
    </row>
    <row r="599" spans="1:4" ht="16.149999999999999" customHeight="1" x14ac:dyDescent="0.25">
      <c r="A599" s="431">
        <v>34159</v>
      </c>
      <c r="B599" s="432">
        <v>791.73</v>
      </c>
      <c r="C599" s="427">
        <f t="shared" si="18"/>
        <v>1993</v>
      </c>
      <c r="D599" s="433">
        <f t="shared" si="19"/>
        <v>791.73</v>
      </c>
    </row>
    <row r="600" spans="1:4" ht="16.149999999999999" customHeight="1" x14ac:dyDescent="0.25">
      <c r="A600" s="431">
        <v>34160</v>
      </c>
      <c r="B600" s="434">
        <v>793.18</v>
      </c>
      <c r="C600" s="427">
        <f t="shared" si="18"/>
        <v>1993</v>
      </c>
      <c r="D600" s="433">
        <f t="shared" si="19"/>
        <v>793.18</v>
      </c>
    </row>
    <row r="601" spans="1:4" ht="16.149999999999999" customHeight="1" x14ac:dyDescent="0.25">
      <c r="A601" s="431">
        <v>34161</v>
      </c>
      <c r="B601" s="432">
        <v>793.18</v>
      </c>
      <c r="C601" s="427">
        <f t="shared" si="18"/>
        <v>1993</v>
      </c>
      <c r="D601" s="433">
        <f t="shared" si="19"/>
        <v>793.18</v>
      </c>
    </row>
    <row r="602" spans="1:4" ht="16.149999999999999" customHeight="1" x14ac:dyDescent="0.25">
      <c r="A602" s="431">
        <v>34162</v>
      </c>
      <c r="B602" s="434">
        <v>793.18</v>
      </c>
      <c r="C602" s="427">
        <f t="shared" si="18"/>
        <v>1993</v>
      </c>
      <c r="D602" s="433">
        <f t="shared" si="19"/>
        <v>793.18</v>
      </c>
    </row>
    <row r="603" spans="1:4" ht="16.149999999999999" customHeight="1" x14ac:dyDescent="0.25">
      <c r="A603" s="431">
        <v>34163</v>
      </c>
      <c r="B603" s="432">
        <v>794.67</v>
      </c>
      <c r="C603" s="427">
        <f t="shared" si="18"/>
        <v>1993</v>
      </c>
      <c r="D603" s="433">
        <f t="shared" si="19"/>
        <v>794.67</v>
      </c>
    </row>
    <row r="604" spans="1:4" ht="16.149999999999999" customHeight="1" x14ac:dyDescent="0.25">
      <c r="A604" s="431">
        <v>34164</v>
      </c>
      <c r="B604" s="434">
        <v>795.66</v>
      </c>
      <c r="C604" s="427">
        <f t="shared" si="18"/>
        <v>1993</v>
      </c>
      <c r="D604" s="433">
        <f t="shared" si="19"/>
        <v>795.66</v>
      </c>
    </row>
    <row r="605" spans="1:4" ht="16.149999999999999" customHeight="1" x14ac:dyDescent="0.25">
      <c r="A605" s="431">
        <v>34165</v>
      </c>
      <c r="B605" s="432">
        <v>797</v>
      </c>
      <c r="C605" s="427">
        <f t="shared" si="18"/>
        <v>1993</v>
      </c>
      <c r="D605" s="433">
        <f t="shared" si="19"/>
        <v>797</v>
      </c>
    </row>
    <row r="606" spans="1:4" ht="16.149999999999999" customHeight="1" x14ac:dyDescent="0.25">
      <c r="A606" s="431">
        <v>34166</v>
      </c>
      <c r="B606" s="434">
        <v>797.06</v>
      </c>
      <c r="C606" s="427">
        <f t="shared" si="18"/>
        <v>1993</v>
      </c>
      <c r="D606" s="433">
        <f t="shared" si="19"/>
        <v>797.06</v>
      </c>
    </row>
    <row r="607" spans="1:4" ht="16.149999999999999" customHeight="1" x14ac:dyDescent="0.25">
      <c r="A607" s="431">
        <v>34167</v>
      </c>
      <c r="B607" s="432">
        <v>797.31</v>
      </c>
      <c r="C607" s="427">
        <f t="shared" si="18"/>
        <v>1993</v>
      </c>
      <c r="D607" s="433">
        <f t="shared" si="19"/>
        <v>797.31</v>
      </c>
    </row>
    <row r="608" spans="1:4" ht="16.149999999999999" customHeight="1" x14ac:dyDescent="0.25">
      <c r="A608" s="431">
        <v>34168</v>
      </c>
      <c r="B608" s="434">
        <v>797.31</v>
      </c>
      <c r="C608" s="427">
        <f t="shared" si="18"/>
        <v>1993</v>
      </c>
      <c r="D608" s="433">
        <f t="shared" si="19"/>
        <v>797.31</v>
      </c>
    </row>
    <row r="609" spans="1:4" ht="16.149999999999999" customHeight="1" x14ac:dyDescent="0.25">
      <c r="A609" s="431">
        <v>34169</v>
      </c>
      <c r="B609" s="432">
        <v>797.31</v>
      </c>
      <c r="C609" s="427">
        <f t="shared" si="18"/>
        <v>1993</v>
      </c>
      <c r="D609" s="433">
        <f t="shared" si="19"/>
        <v>797.31</v>
      </c>
    </row>
    <row r="610" spans="1:4" ht="16.149999999999999" customHeight="1" x14ac:dyDescent="0.25">
      <c r="A610" s="431">
        <v>34170</v>
      </c>
      <c r="B610" s="434">
        <v>797.41</v>
      </c>
      <c r="C610" s="427">
        <f t="shared" si="18"/>
        <v>1993</v>
      </c>
      <c r="D610" s="433">
        <f t="shared" si="19"/>
        <v>797.41</v>
      </c>
    </row>
    <row r="611" spans="1:4" ht="16.149999999999999" customHeight="1" x14ac:dyDescent="0.25">
      <c r="A611" s="431">
        <v>34171</v>
      </c>
      <c r="B611" s="432">
        <v>797.41</v>
      </c>
      <c r="C611" s="427">
        <f t="shared" si="18"/>
        <v>1993</v>
      </c>
      <c r="D611" s="433">
        <f t="shared" si="19"/>
        <v>797.41</v>
      </c>
    </row>
    <row r="612" spans="1:4" ht="16.149999999999999" customHeight="1" x14ac:dyDescent="0.25">
      <c r="A612" s="431">
        <v>34172</v>
      </c>
      <c r="B612" s="434">
        <v>797.63</v>
      </c>
      <c r="C612" s="427">
        <f t="shared" si="18"/>
        <v>1993</v>
      </c>
      <c r="D612" s="433">
        <f t="shared" si="19"/>
        <v>797.63</v>
      </c>
    </row>
    <row r="613" spans="1:4" ht="16.149999999999999" customHeight="1" x14ac:dyDescent="0.25">
      <c r="A613" s="431">
        <v>34173</v>
      </c>
      <c r="B613" s="432">
        <v>798.17</v>
      </c>
      <c r="C613" s="427">
        <f t="shared" si="18"/>
        <v>1993</v>
      </c>
      <c r="D613" s="433">
        <f t="shared" si="19"/>
        <v>798.17</v>
      </c>
    </row>
    <row r="614" spans="1:4" ht="16.149999999999999" customHeight="1" x14ac:dyDescent="0.25">
      <c r="A614" s="431">
        <v>34174</v>
      </c>
      <c r="B614" s="434">
        <v>798.83</v>
      </c>
      <c r="C614" s="427">
        <f t="shared" si="18"/>
        <v>1993</v>
      </c>
      <c r="D614" s="433">
        <f t="shared" si="19"/>
        <v>798.83</v>
      </c>
    </row>
    <row r="615" spans="1:4" ht="16.149999999999999" customHeight="1" x14ac:dyDescent="0.25">
      <c r="A615" s="431">
        <v>34175</v>
      </c>
      <c r="B615" s="432">
        <v>798.83</v>
      </c>
      <c r="C615" s="427">
        <f t="shared" si="18"/>
        <v>1993</v>
      </c>
      <c r="D615" s="433">
        <f t="shared" si="19"/>
        <v>798.83</v>
      </c>
    </row>
    <row r="616" spans="1:4" ht="16.149999999999999" customHeight="1" x14ac:dyDescent="0.25">
      <c r="A616" s="431">
        <v>34176</v>
      </c>
      <c r="B616" s="434">
        <v>798.83</v>
      </c>
      <c r="C616" s="427">
        <f t="shared" si="18"/>
        <v>1993</v>
      </c>
      <c r="D616" s="433">
        <f t="shared" si="19"/>
        <v>798.83</v>
      </c>
    </row>
    <row r="617" spans="1:4" ht="16.149999999999999" customHeight="1" x14ac:dyDescent="0.25">
      <c r="A617" s="431">
        <v>34177</v>
      </c>
      <c r="B617" s="432">
        <v>799.17</v>
      </c>
      <c r="C617" s="427">
        <f t="shared" si="18"/>
        <v>1993</v>
      </c>
      <c r="D617" s="433">
        <f t="shared" si="19"/>
        <v>799.17</v>
      </c>
    </row>
    <row r="618" spans="1:4" ht="16.149999999999999" customHeight="1" x14ac:dyDescent="0.25">
      <c r="A618" s="431">
        <v>34178</v>
      </c>
      <c r="B618" s="434">
        <v>799.96</v>
      </c>
      <c r="C618" s="427">
        <f t="shared" si="18"/>
        <v>1993</v>
      </c>
      <c r="D618" s="433">
        <f t="shared" si="19"/>
        <v>799.96</v>
      </c>
    </row>
    <row r="619" spans="1:4" ht="16.149999999999999" customHeight="1" x14ac:dyDescent="0.25">
      <c r="A619" s="431">
        <v>34179</v>
      </c>
      <c r="B619" s="432">
        <v>800.42</v>
      </c>
      <c r="C619" s="427">
        <f t="shared" si="18"/>
        <v>1993</v>
      </c>
      <c r="D619" s="433">
        <f t="shared" si="19"/>
        <v>800.42</v>
      </c>
    </row>
    <row r="620" spans="1:4" ht="16.149999999999999" customHeight="1" x14ac:dyDescent="0.25">
      <c r="A620" s="431">
        <v>34180</v>
      </c>
      <c r="B620" s="434">
        <v>801.04</v>
      </c>
      <c r="C620" s="427">
        <f t="shared" si="18"/>
        <v>1993</v>
      </c>
      <c r="D620" s="433">
        <f t="shared" si="19"/>
        <v>801.04</v>
      </c>
    </row>
    <row r="621" spans="1:4" ht="16.149999999999999" customHeight="1" x14ac:dyDescent="0.25">
      <c r="A621" s="431">
        <v>34181</v>
      </c>
      <c r="B621" s="432">
        <v>801.35</v>
      </c>
      <c r="C621" s="427">
        <f t="shared" si="18"/>
        <v>1993</v>
      </c>
      <c r="D621" s="433">
        <f t="shared" si="19"/>
        <v>801.35</v>
      </c>
    </row>
    <row r="622" spans="1:4" ht="16.149999999999999" customHeight="1" x14ac:dyDescent="0.25">
      <c r="A622" s="431">
        <v>34182</v>
      </c>
      <c r="B622" s="434">
        <v>801.35</v>
      </c>
      <c r="C622" s="427">
        <f t="shared" si="18"/>
        <v>1993</v>
      </c>
      <c r="D622" s="433">
        <f t="shared" si="19"/>
        <v>801.35</v>
      </c>
    </row>
    <row r="623" spans="1:4" ht="16.149999999999999" customHeight="1" x14ac:dyDescent="0.25">
      <c r="A623" s="431">
        <v>34183</v>
      </c>
      <c r="B623" s="432">
        <v>801.35</v>
      </c>
      <c r="C623" s="427">
        <f t="shared" si="18"/>
        <v>1993</v>
      </c>
      <c r="D623" s="433">
        <f t="shared" si="19"/>
        <v>801.35</v>
      </c>
    </row>
    <row r="624" spans="1:4" ht="16.149999999999999" customHeight="1" x14ac:dyDescent="0.25">
      <c r="A624" s="431">
        <v>34184</v>
      </c>
      <c r="B624" s="434">
        <v>801.15</v>
      </c>
      <c r="C624" s="427">
        <f t="shared" si="18"/>
        <v>1993</v>
      </c>
      <c r="D624" s="433">
        <f t="shared" si="19"/>
        <v>801.15</v>
      </c>
    </row>
    <row r="625" spans="1:4" ht="16.149999999999999" customHeight="1" x14ac:dyDescent="0.25">
      <c r="A625" s="431">
        <v>34185</v>
      </c>
      <c r="B625" s="432">
        <v>801.86</v>
      </c>
      <c r="C625" s="427">
        <f t="shared" si="18"/>
        <v>1993</v>
      </c>
      <c r="D625" s="433">
        <f t="shared" si="19"/>
        <v>801.86</v>
      </c>
    </row>
    <row r="626" spans="1:4" ht="16.149999999999999" customHeight="1" x14ac:dyDescent="0.25">
      <c r="A626" s="431">
        <v>34186</v>
      </c>
      <c r="B626" s="434">
        <v>801.82</v>
      </c>
      <c r="C626" s="427">
        <f t="shared" si="18"/>
        <v>1993</v>
      </c>
      <c r="D626" s="433">
        <f t="shared" si="19"/>
        <v>801.82</v>
      </c>
    </row>
    <row r="627" spans="1:4" ht="16.149999999999999" customHeight="1" x14ac:dyDescent="0.25">
      <c r="A627" s="431">
        <v>34187</v>
      </c>
      <c r="B627" s="432">
        <v>801.86</v>
      </c>
      <c r="C627" s="427">
        <f t="shared" si="18"/>
        <v>1993</v>
      </c>
      <c r="D627" s="433">
        <f t="shared" si="19"/>
        <v>801.86</v>
      </c>
    </row>
    <row r="628" spans="1:4" ht="16.149999999999999" customHeight="1" x14ac:dyDescent="0.25">
      <c r="A628" s="431">
        <v>34188</v>
      </c>
      <c r="B628" s="434">
        <v>801.78</v>
      </c>
      <c r="C628" s="427">
        <f t="shared" si="18"/>
        <v>1993</v>
      </c>
      <c r="D628" s="433">
        <f t="shared" si="19"/>
        <v>801.78</v>
      </c>
    </row>
    <row r="629" spans="1:4" ht="16.149999999999999" customHeight="1" x14ac:dyDescent="0.25">
      <c r="A629" s="431">
        <v>34189</v>
      </c>
      <c r="B629" s="432">
        <v>801.78</v>
      </c>
      <c r="C629" s="427">
        <f t="shared" si="18"/>
        <v>1993</v>
      </c>
      <c r="D629" s="433">
        <f t="shared" si="19"/>
        <v>801.78</v>
      </c>
    </row>
    <row r="630" spans="1:4" ht="16.149999999999999" customHeight="1" x14ac:dyDescent="0.25">
      <c r="A630" s="431">
        <v>34190</v>
      </c>
      <c r="B630" s="434">
        <v>801.78</v>
      </c>
      <c r="C630" s="427">
        <f t="shared" si="18"/>
        <v>1993</v>
      </c>
      <c r="D630" s="433">
        <f t="shared" si="19"/>
        <v>801.78</v>
      </c>
    </row>
    <row r="631" spans="1:4" ht="16.149999999999999" customHeight="1" x14ac:dyDescent="0.25">
      <c r="A631" s="431">
        <v>34191</v>
      </c>
      <c r="B631" s="432">
        <v>802.3</v>
      </c>
      <c r="C631" s="427">
        <f t="shared" si="18"/>
        <v>1993</v>
      </c>
      <c r="D631" s="433">
        <f t="shared" si="19"/>
        <v>802.3</v>
      </c>
    </row>
    <row r="632" spans="1:4" ht="16.149999999999999" customHeight="1" x14ac:dyDescent="0.25">
      <c r="A632" s="431">
        <v>34192</v>
      </c>
      <c r="B632" s="434">
        <v>803.22</v>
      </c>
      <c r="C632" s="427">
        <f t="shared" si="18"/>
        <v>1993</v>
      </c>
      <c r="D632" s="433">
        <f t="shared" si="19"/>
        <v>803.22</v>
      </c>
    </row>
    <row r="633" spans="1:4" ht="16.149999999999999" customHeight="1" x14ac:dyDescent="0.25">
      <c r="A633" s="431">
        <v>34193</v>
      </c>
      <c r="B633" s="432">
        <v>804.48</v>
      </c>
      <c r="C633" s="427">
        <f t="shared" si="18"/>
        <v>1993</v>
      </c>
      <c r="D633" s="433">
        <f t="shared" si="19"/>
        <v>804.48</v>
      </c>
    </row>
    <row r="634" spans="1:4" ht="16.149999999999999" customHeight="1" x14ac:dyDescent="0.25">
      <c r="A634" s="431">
        <v>34194</v>
      </c>
      <c r="B634" s="434">
        <v>804.93</v>
      </c>
      <c r="C634" s="427">
        <f t="shared" si="18"/>
        <v>1993</v>
      </c>
      <c r="D634" s="433">
        <f t="shared" si="19"/>
        <v>804.93</v>
      </c>
    </row>
    <row r="635" spans="1:4" ht="16.149999999999999" customHeight="1" x14ac:dyDescent="0.25">
      <c r="A635" s="431">
        <v>34195</v>
      </c>
      <c r="B635" s="432">
        <v>804.51</v>
      </c>
      <c r="C635" s="427">
        <f t="shared" si="18"/>
        <v>1993</v>
      </c>
      <c r="D635" s="433">
        <f t="shared" si="19"/>
        <v>804.51</v>
      </c>
    </row>
    <row r="636" spans="1:4" ht="16.149999999999999" customHeight="1" x14ac:dyDescent="0.25">
      <c r="A636" s="431">
        <v>34196</v>
      </c>
      <c r="B636" s="434">
        <v>804.51</v>
      </c>
      <c r="C636" s="427">
        <f t="shared" si="18"/>
        <v>1993</v>
      </c>
      <c r="D636" s="433">
        <f t="shared" si="19"/>
        <v>804.51</v>
      </c>
    </row>
    <row r="637" spans="1:4" ht="16.149999999999999" customHeight="1" x14ac:dyDescent="0.25">
      <c r="A637" s="431">
        <v>34197</v>
      </c>
      <c r="B637" s="432">
        <v>804.51</v>
      </c>
      <c r="C637" s="427">
        <f t="shared" si="18"/>
        <v>1993</v>
      </c>
      <c r="D637" s="433">
        <f t="shared" si="19"/>
        <v>804.51</v>
      </c>
    </row>
    <row r="638" spans="1:4" ht="16.149999999999999" customHeight="1" x14ac:dyDescent="0.25">
      <c r="A638" s="431">
        <v>34198</v>
      </c>
      <c r="B638" s="434">
        <v>804.51</v>
      </c>
      <c r="C638" s="427">
        <f t="shared" si="18"/>
        <v>1993</v>
      </c>
      <c r="D638" s="433">
        <f t="shared" si="19"/>
        <v>804.51</v>
      </c>
    </row>
    <row r="639" spans="1:4" ht="16.149999999999999" customHeight="1" x14ac:dyDescent="0.25">
      <c r="A639" s="431">
        <v>34199</v>
      </c>
      <c r="B639" s="432">
        <v>804.76</v>
      </c>
      <c r="C639" s="427">
        <f t="shared" si="18"/>
        <v>1993</v>
      </c>
      <c r="D639" s="433">
        <f t="shared" si="19"/>
        <v>804.76</v>
      </c>
    </row>
    <row r="640" spans="1:4" ht="16.149999999999999" customHeight="1" x14ac:dyDescent="0.25">
      <c r="A640" s="431">
        <v>34200</v>
      </c>
      <c r="B640" s="434">
        <v>805.62</v>
      </c>
      <c r="C640" s="427">
        <f t="shared" si="18"/>
        <v>1993</v>
      </c>
      <c r="D640" s="433">
        <f t="shared" si="19"/>
        <v>805.62</v>
      </c>
    </row>
    <row r="641" spans="1:4" ht="16.149999999999999" customHeight="1" x14ac:dyDescent="0.25">
      <c r="A641" s="431">
        <v>34201</v>
      </c>
      <c r="B641" s="432">
        <v>806.15</v>
      </c>
      <c r="C641" s="427">
        <f t="shared" si="18"/>
        <v>1993</v>
      </c>
      <c r="D641" s="433">
        <f t="shared" si="19"/>
        <v>806.15</v>
      </c>
    </row>
    <row r="642" spans="1:4" ht="16.149999999999999" customHeight="1" x14ac:dyDescent="0.25">
      <c r="A642" s="431">
        <v>34202</v>
      </c>
      <c r="B642" s="434">
        <v>806.72</v>
      </c>
      <c r="C642" s="427">
        <f t="shared" si="18"/>
        <v>1993</v>
      </c>
      <c r="D642" s="433">
        <f t="shared" si="19"/>
        <v>806.72</v>
      </c>
    </row>
    <row r="643" spans="1:4" ht="16.149999999999999" customHeight="1" x14ac:dyDescent="0.25">
      <c r="A643" s="431">
        <v>34203</v>
      </c>
      <c r="B643" s="432">
        <v>806.72</v>
      </c>
      <c r="C643" s="427">
        <f t="shared" si="18"/>
        <v>1993</v>
      </c>
      <c r="D643" s="433">
        <f t="shared" si="19"/>
        <v>806.72</v>
      </c>
    </row>
    <row r="644" spans="1:4" ht="16.149999999999999" customHeight="1" x14ac:dyDescent="0.25">
      <c r="A644" s="431">
        <v>34204</v>
      </c>
      <c r="B644" s="434">
        <v>806.72</v>
      </c>
      <c r="C644" s="427">
        <f t="shared" si="18"/>
        <v>1993</v>
      </c>
      <c r="D644" s="433">
        <f t="shared" si="19"/>
        <v>806.72</v>
      </c>
    </row>
    <row r="645" spans="1:4" ht="16.149999999999999" customHeight="1" x14ac:dyDescent="0.25">
      <c r="A645" s="431">
        <v>34205</v>
      </c>
      <c r="B645" s="432">
        <v>807.04</v>
      </c>
      <c r="C645" s="427">
        <f t="shared" si="18"/>
        <v>1993</v>
      </c>
      <c r="D645" s="433">
        <f t="shared" si="19"/>
        <v>807.04</v>
      </c>
    </row>
    <row r="646" spans="1:4" ht="16.149999999999999" customHeight="1" x14ac:dyDescent="0.25">
      <c r="A646" s="431">
        <v>34206</v>
      </c>
      <c r="B646" s="434">
        <v>807.57</v>
      </c>
      <c r="C646" s="427">
        <f t="shared" si="18"/>
        <v>1993</v>
      </c>
      <c r="D646" s="433">
        <f t="shared" si="19"/>
        <v>807.57</v>
      </c>
    </row>
    <row r="647" spans="1:4" ht="16.149999999999999" customHeight="1" x14ac:dyDescent="0.25">
      <c r="A647" s="431">
        <v>34207</v>
      </c>
      <c r="B647" s="432">
        <v>807.77</v>
      </c>
      <c r="C647" s="427">
        <f t="shared" si="18"/>
        <v>1993</v>
      </c>
      <c r="D647" s="433">
        <f t="shared" si="19"/>
        <v>807.77</v>
      </c>
    </row>
    <row r="648" spans="1:4" ht="16.149999999999999" customHeight="1" x14ac:dyDescent="0.25">
      <c r="A648" s="431">
        <v>34208</v>
      </c>
      <c r="B648" s="434">
        <v>807.55</v>
      </c>
      <c r="C648" s="427">
        <f t="shared" si="18"/>
        <v>1993</v>
      </c>
      <c r="D648" s="433">
        <f t="shared" si="19"/>
        <v>807.55</v>
      </c>
    </row>
    <row r="649" spans="1:4" ht="16.149999999999999" customHeight="1" x14ac:dyDescent="0.25">
      <c r="A649" s="431">
        <v>34209</v>
      </c>
      <c r="B649" s="432">
        <v>807.53</v>
      </c>
      <c r="C649" s="427">
        <f t="shared" si="18"/>
        <v>1993</v>
      </c>
      <c r="D649" s="433">
        <f t="shared" si="19"/>
        <v>807.53</v>
      </c>
    </row>
    <row r="650" spans="1:4" ht="16.149999999999999" customHeight="1" x14ac:dyDescent="0.25">
      <c r="A650" s="431">
        <v>34210</v>
      </c>
      <c r="B650" s="434">
        <v>807.53</v>
      </c>
      <c r="C650" s="427">
        <f t="shared" ref="C650:C713" si="20">YEAR(A650)</f>
        <v>1993</v>
      </c>
      <c r="D650" s="433">
        <f t="shared" ref="D650:D713" si="21">B650</f>
        <v>807.53</v>
      </c>
    </row>
    <row r="651" spans="1:4" ht="16.149999999999999" customHeight="1" x14ac:dyDescent="0.25">
      <c r="A651" s="431">
        <v>34211</v>
      </c>
      <c r="B651" s="432">
        <v>807.53</v>
      </c>
      <c r="C651" s="427">
        <f t="shared" si="20"/>
        <v>1993</v>
      </c>
      <c r="D651" s="433">
        <f t="shared" si="21"/>
        <v>807.53</v>
      </c>
    </row>
    <row r="652" spans="1:4" ht="16.149999999999999" customHeight="1" x14ac:dyDescent="0.25">
      <c r="A652" s="431">
        <v>34212</v>
      </c>
      <c r="B652" s="434">
        <v>806.86</v>
      </c>
      <c r="C652" s="427">
        <f t="shared" si="20"/>
        <v>1993</v>
      </c>
      <c r="D652" s="433">
        <f t="shared" si="21"/>
        <v>806.86</v>
      </c>
    </row>
    <row r="653" spans="1:4" ht="16.149999999999999" customHeight="1" x14ac:dyDescent="0.25">
      <c r="A653" s="431">
        <v>34213</v>
      </c>
      <c r="B653" s="432">
        <v>806.83</v>
      </c>
      <c r="C653" s="427">
        <f t="shared" si="20"/>
        <v>1993</v>
      </c>
      <c r="D653" s="433">
        <f t="shared" si="21"/>
        <v>806.83</v>
      </c>
    </row>
    <row r="654" spans="1:4" ht="16.149999999999999" customHeight="1" x14ac:dyDescent="0.25">
      <c r="A654" s="431">
        <v>34214</v>
      </c>
      <c r="B654" s="434">
        <v>808.04</v>
      </c>
      <c r="C654" s="427">
        <f t="shared" si="20"/>
        <v>1993</v>
      </c>
      <c r="D654" s="433">
        <f t="shared" si="21"/>
        <v>808.04</v>
      </c>
    </row>
    <row r="655" spans="1:4" ht="16.149999999999999" customHeight="1" x14ac:dyDescent="0.25">
      <c r="A655" s="431">
        <v>34215</v>
      </c>
      <c r="B655" s="432">
        <v>807.96</v>
      </c>
      <c r="C655" s="427">
        <f t="shared" si="20"/>
        <v>1993</v>
      </c>
      <c r="D655" s="433">
        <f t="shared" si="21"/>
        <v>807.96</v>
      </c>
    </row>
    <row r="656" spans="1:4" ht="16.149999999999999" customHeight="1" x14ac:dyDescent="0.25">
      <c r="A656" s="431">
        <v>34216</v>
      </c>
      <c r="B656" s="434">
        <v>807.68</v>
      </c>
      <c r="C656" s="427">
        <f t="shared" si="20"/>
        <v>1993</v>
      </c>
      <c r="D656" s="433">
        <f t="shared" si="21"/>
        <v>807.68</v>
      </c>
    </row>
    <row r="657" spans="1:4" ht="16.149999999999999" customHeight="1" x14ac:dyDescent="0.25">
      <c r="A657" s="431">
        <v>34217</v>
      </c>
      <c r="B657" s="432">
        <v>807.68</v>
      </c>
      <c r="C657" s="427">
        <f t="shared" si="20"/>
        <v>1993</v>
      </c>
      <c r="D657" s="433">
        <f t="shared" si="21"/>
        <v>807.68</v>
      </c>
    </row>
    <row r="658" spans="1:4" ht="16.149999999999999" customHeight="1" x14ac:dyDescent="0.25">
      <c r="A658" s="431">
        <v>34218</v>
      </c>
      <c r="B658" s="434">
        <v>807.68</v>
      </c>
      <c r="C658" s="427">
        <f t="shared" si="20"/>
        <v>1993</v>
      </c>
      <c r="D658" s="433">
        <f t="shared" si="21"/>
        <v>807.68</v>
      </c>
    </row>
    <row r="659" spans="1:4" ht="16.149999999999999" customHeight="1" x14ac:dyDescent="0.25">
      <c r="A659" s="431">
        <v>34219</v>
      </c>
      <c r="B659" s="432">
        <v>807.62</v>
      </c>
      <c r="C659" s="427">
        <f t="shared" si="20"/>
        <v>1993</v>
      </c>
      <c r="D659" s="433">
        <f t="shared" si="21"/>
        <v>807.62</v>
      </c>
    </row>
    <row r="660" spans="1:4" ht="16.149999999999999" customHeight="1" x14ac:dyDescent="0.25">
      <c r="A660" s="431">
        <v>34220</v>
      </c>
      <c r="B660" s="434">
        <v>808.24</v>
      </c>
      <c r="C660" s="427">
        <f t="shared" si="20"/>
        <v>1993</v>
      </c>
      <c r="D660" s="433">
        <f t="shared" si="21"/>
        <v>808.24</v>
      </c>
    </row>
    <row r="661" spans="1:4" ht="16.149999999999999" customHeight="1" x14ac:dyDescent="0.25">
      <c r="A661" s="431">
        <v>34221</v>
      </c>
      <c r="B661" s="432">
        <v>809.33</v>
      </c>
      <c r="C661" s="427">
        <f t="shared" si="20"/>
        <v>1993</v>
      </c>
      <c r="D661" s="433">
        <f t="shared" si="21"/>
        <v>809.33</v>
      </c>
    </row>
    <row r="662" spans="1:4" ht="16.149999999999999" customHeight="1" x14ac:dyDescent="0.25">
      <c r="A662" s="431">
        <v>34222</v>
      </c>
      <c r="B662" s="434">
        <v>810.25</v>
      </c>
      <c r="C662" s="427">
        <f t="shared" si="20"/>
        <v>1993</v>
      </c>
      <c r="D662" s="433">
        <f t="shared" si="21"/>
        <v>810.25</v>
      </c>
    </row>
    <row r="663" spans="1:4" ht="16.149999999999999" customHeight="1" x14ac:dyDescent="0.25">
      <c r="A663" s="431">
        <v>34223</v>
      </c>
      <c r="B663" s="432">
        <v>810.03</v>
      </c>
      <c r="C663" s="427">
        <f t="shared" si="20"/>
        <v>1993</v>
      </c>
      <c r="D663" s="433">
        <f t="shared" si="21"/>
        <v>810.03</v>
      </c>
    </row>
    <row r="664" spans="1:4" ht="16.149999999999999" customHeight="1" x14ac:dyDescent="0.25">
      <c r="A664" s="431">
        <v>34224</v>
      </c>
      <c r="B664" s="434">
        <v>810.03</v>
      </c>
      <c r="C664" s="427">
        <f t="shared" si="20"/>
        <v>1993</v>
      </c>
      <c r="D664" s="433">
        <f t="shared" si="21"/>
        <v>810.03</v>
      </c>
    </row>
    <row r="665" spans="1:4" ht="16.149999999999999" customHeight="1" x14ac:dyDescent="0.25">
      <c r="A665" s="431">
        <v>34225</v>
      </c>
      <c r="B665" s="432">
        <v>810.03</v>
      </c>
      <c r="C665" s="427">
        <f t="shared" si="20"/>
        <v>1993</v>
      </c>
      <c r="D665" s="433">
        <f t="shared" si="21"/>
        <v>810.03</v>
      </c>
    </row>
    <row r="666" spans="1:4" ht="16.149999999999999" customHeight="1" x14ac:dyDescent="0.25">
      <c r="A666" s="431">
        <v>34226</v>
      </c>
      <c r="B666" s="434">
        <v>810.09</v>
      </c>
      <c r="C666" s="427">
        <f t="shared" si="20"/>
        <v>1993</v>
      </c>
      <c r="D666" s="433">
        <f t="shared" si="21"/>
        <v>810.09</v>
      </c>
    </row>
    <row r="667" spans="1:4" ht="16.149999999999999" customHeight="1" x14ac:dyDescent="0.25">
      <c r="A667" s="431">
        <v>34227</v>
      </c>
      <c r="B667" s="432">
        <v>810.81</v>
      </c>
      <c r="C667" s="427">
        <f t="shared" si="20"/>
        <v>1993</v>
      </c>
      <c r="D667" s="433">
        <f t="shared" si="21"/>
        <v>810.81</v>
      </c>
    </row>
    <row r="668" spans="1:4" ht="16.149999999999999" customHeight="1" x14ac:dyDescent="0.25">
      <c r="A668" s="431">
        <v>34228</v>
      </c>
      <c r="B668" s="434">
        <v>811.75</v>
      </c>
      <c r="C668" s="427">
        <f t="shared" si="20"/>
        <v>1993</v>
      </c>
      <c r="D668" s="433">
        <f t="shared" si="21"/>
        <v>811.75</v>
      </c>
    </row>
    <row r="669" spans="1:4" ht="16.149999999999999" customHeight="1" x14ac:dyDescent="0.25">
      <c r="A669" s="431">
        <v>34229</v>
      </c>
      <c r="B669" s="432">
        <v>811.93</v>
      </c>
      <c r="C669" s="427">
        <f t="shared" si="20"/>
        <v>1993</v>
      </c>
      <c r="D669" s="433">
        <f t="shared" si="21"/>
        <v>811.93</v>
      </c>
    </row>
    <row r="670" spans="1:4" ht="16.149999999999999" customHeight="1" x14ac:dyDescent="0.25">
      <c r="A670" s="431">
        <v>34230</v>
      </c>
      <c r="B670" s="434">
        <v>811.18</v>
      </c>
      <c r="C670" s="427">
        <f t="shared" si="20"/>
        <v>1993</v>
      </c>
      <c r="D670" s="433">
        <f t="shared" si="21"/>
        <v>811.18</v>
      </c>
    </row>
    <row r="671" spans="1:4" ht="16.149999999999999" customHeight="1" x14ac:dyDescent="0.25">
      <c r="A671" s="431">
        <v>34231</v>
      </c>
      <c r="B671" s="432">
        <v>811.18</v>
      </c>
      <c r="C671" s="427">
        <f t="shared" si="20"/>
        <v>1993</v>
      </c>
      <c r="D671" s="433">
        <f t="shared" si="21"/>
        <v>811.18</v>
      </c>
    </row>
    <row r="672" spans="1:4" ht="16.149999999999999" customHeight="1" x14ac:dyDescent="0.25">
      <c r="A672" s="431">
        <v>34232</v>
      </c>
      <c r="B672" s="434">
        <v>811.18</v>
      </c>
      <c r="C672" s="427">
        <f t="shared" si="20"/>
        <v>1993</v>
      </c>
      <c r="D672" s="433">
        <f t="shared" si="21"/>
        <v>811.18</v>
      </c>
    </row>
    <row r="673" spans="1:4" ht="16.149999999999999" customHeight="1" x14ac:dyDescent="0.25">
      <c r="A673" s="431">
        <v>34233</v>
      </c>
      <c r="B673" s="432">
        <v>810.88</v>
      </c>
      <c r="C673" s="427">
        <f t="shared" si="20"/>
        <v>1993</v>
      </c>
      <c r="D673" s="433">
        <f t="shared" si="21"/>
        <v>810.88</v>
      </c>
    </row>
    <row r="674" spans="1:4" ht="16.149999999999999" customHeight="1" x14ac:dyDescent="0.25">
      <c r="A674" s="431">
        <v>34234</v>
      </c>
      <c r="B674" s="434">
        <v>809.75</v>
      </c>
      <c r="C674" s="427">
        <f t="shared" si="20"/>
        <v>1993</v>
      </c>
      <c r="D674" s="433">
        <f t="shared" si="21"/>
        <v>809.75</v>
      </c>
    </row>
    <row r="675" spans="1:4" ht="16.149999999999999" customHeight="1" x14ac:dyDescent="0.25">
      <c r="A675" s="431">
        <v>34235</v>
      </c>
      <c r="B675" s="432">
        <v>810.04</v>
      </c>
      <c r="C675" s="427">
        <f t="shared" si="20"/>
        <v>1993</v>
      </c>
      <c r="D675" s="433">
        <f t="shared" si="21"/>
        <v>810.04</v>
      </c>
    </row>
    <row r="676" spans="1:4" ht="16.149999999999999" customHeight="1" x14ac:dyDescent="0.25">
      <c r="A676" s="431">
        <v>34236</v>
      </c>
      <c r="B676" s="434">
        <v>810.55</v>
      </c>
      <c r="C676" s="427">
        <f t="shared" si="20"/>
        <v>1993</v>
      </c>
      <c r="D676" s="433">
        <f t="shared" si="21"/>
        <v>810.55</v>
      </c>
    </row>
    <row r="677" spans="1:4" ht="16.149999999999999" customHeight="1" x14ac:dyDescent="0.25">
      <c r="A677" s="431">
        <v>34237</v>
      </c>
      <c r="B677" s="432">
        <v>809.93</v>
      </c>
      <c r="C677" s="427">
        <f t="shared" si="20"/>
        <v>1993</v>
      </c>
      <c r="D677" s="433">
        <f t="shared" si="21"/>
        <v>809.93</v>
      </c>
    </row>
    <row r="678" spans="1:4" ht="16.149999999999999" customHeight="1" x14ac:dyDescent="0.25">
      <c r="A678" s="431">
        <v>34238</v>
      </c>
      <c r="B678" s="434">
        <v>809.93</v>
      </c>
      <c r="C678" s="427">
        <f t="shared" si="20"/>
        <v>1993</v>
      </c>
      <c r="D678" s="433">
        <f t="shared" si="21"/>
        <v>809.93</v>
      </c>
    </row>
    <row r="679" spans="1:4" ht="16.149999999999999" customHeight="1" x14ac:dyDescent="0.25">
      <c r="A679" s="431">
        <v>34239</v>
      </c>
      <c r="B679" s="432">
        <v>809.93</v>
      </c>
      <c r="C679" s="427">
        <f t="shared" si="20"/>
        <v>1993</v>
      </c>
      <c r="D679" s="433">
        <f t="shared" si="21"/>
        <v>809.93</v>
      </c>
    </row>
    <row r="680" spans="1:4" ht="16.149999999999999" customHeight="1" x14ac:dyDescent="0.25">
      <c r="A680" s="431">
        <v>34240</v>
      </c>
      <c r="B680" s="434">
        <v>809.55</v>
      </c>
      <c r="C680" s="427">
        <f t="shared" si="20"/>
        <v>1993</v>
      </c>
      <c r="D680" s="433">
        <f t="shared" si="21"/>
        <v>809.55</v>
      </c>
    </row>
    <row r="681" spans="1:4" ht="16.149999999999999" customHeight="1" x14ac:dyDescent="0.25">
      <c r="A681" s="431">
        <v>34241</v>
      </c>
      <c r="B681" s="432">
        <v>809.69</v>
      </c>
      <c r="C681" s="427">
        <f t="shared" si="20"/>
        <v>1993</v>
      </c>
      <c r="D681" s="433">
        <f t="shared" si="21"/>
        <v>809.69</v>
      </c>
    </row>
    <row r="682" spans="1:4" ht="16.149999999999999" customHeight="1" x14ac:dyDescent="0.25">
      <c r="A682" s="431">
        <v>34242</v>
      </c>
      <c r="B682" s="434">
        <v>810.84</v>
      </c>
      <c r="C682" s="427">
        <f t="shared" si="20"/>
        <v>1993</v>
      </c>
      <c r="D682" s="433">
        <f t="shared" si="21"/>
        <v>810.84</v>
      </c>
    </row>
    <row r="683" spans="1:4" ht="16.149999999999999" customHeight="1" x14ac:dyDescent="0.25">
      <c r="A683" s="431">
        <v>34243</v>
      </c>
      <c r="B683" s="432">
        <v>811.31</v>
      </c>
      <c r="C683" s="427">
        <f t="shared" si="20"/>
        <v>1993</v>
      </c>
      <c r="D683" s="433">
        <f t="shared" si="21"/>
        <v>811.31</v>
      </c>
    </row>
    <row r="684" spans="1:4" ht="16.149999999999999" customHeight="1" x14ac:dyDescent="0.25">
      <c r="A684" s="431">
        <v>34244</v>
      </c>
      <c r="B684" s="434">
        <v>812.29</v>
      </c>
      <c r="C684" s="427">
        <f t="shared" si="20"/>
        <v>1993</v>
      </c>
      <c r="D684" s="433">
        <f t="shared" si="21"/>
        <v>812.29</v>
      </c>
    </row>
    <row r="685" spans="1:4" ht="16.149999999999999" customHeight="1" x14ac:dyDescent="0.25">
      <c r="A685" s="431">
        <v>34245</v>
      </c>
      <c r="B685" s="432">
        <v>812.29</v>
      </c>
      <c r="C685" s="427">
        <f t="shared" si="20"/>
        <v>1993</v>
      </c>
      <c r="D685" s="433">
        <f t="shared" si="21"/>
        <v>812.29</v>
      </c>
    </row>
    <row r="686" spans="1:4" ht="16.149999999999999" customHeight="1" x14ac:dyDescent="0.25">
      <c r="A686" s="431">
        <v>34246</v>
      </c>
      <c r="B686" s="434">
        <v>812.29</v>
      </c>
      <c r="C686" s="427">
        <f t="shared" si="20"/>
        <v>1993</v>
      </c>
      <c r="D686" s="433">
        <f t="shared" si="21"/>
        <v>812.29</v>
      </c>
    </row>
    <row r="687" spans="1:4" ht="16.149999999999999" customHeight="1" x14ac:dyDescent="0.25">
      <c r="A687" s="431">
        <v>34247</v>
      </c>
      <c r="B687" s="432">
        <v>812.27</v>
      </c>
      <c r="C687" s="427">
        <f t="shared" si="20"/>
        <v>1993</v>
      </c>
      <c r="D687" s="433">
        <f t="shared" si="21"/>
        <v>812.27</v>
      </c>
    </row>
    <row r="688" spans="1:4" ht="16.149999999999999" customHeight="1" x14ac:dyDescent="0.25">
      <c r="A688" s="431">
        <v>34248</v>
      </c>
      <c r="B688" s="434">
        <v>812.75</v>
      </c>
      <c r="C688" s="427">
        <f t="shared" si="20"/>
        <v>1993</v>
      </c>
      <c r="D688" s="433">
        <f t="shared" si="21"/>
        <v>812.75</v>
      </c>
    </row>
    <row r="689" spans="1:4" ht="16.149999999999999" customHeight="1" x14ac:dyDescent="0.25">
      <c r="A689" s="431">
        <v>34249</v>
      </c>
      <c r="B689" s="432">
        <v>812.54</v>
      </c>
      <c r="C689" s="427">
        <f t="shared" si="20"/>
        <v>1993</v>
      </c>
      <c r="D689" s="433">
        <f t="shared" si="21"/>
        <v>812.54</v>
      </c>
    </row>
    <row r="690" spans="1:4" ht="16.149999999999999" customHeight="1" x14ac:dyDescent="0.25">
      <c r="A690" s="431">
        <v>34250</v>
      </c>
      <c r="B690" s="434">
        <v>811.91</v>
      </c>
      <c r="C690" s="427">
        <f t="shared" si="20"/>
        <v>1993</v>
      </c>
      <c r="D690" s="433">
        <f t="shared" si="21"/>
        <v>811.91</v>
      </c>
    </row>
    <row r="691" spans="1:4" ht="16.149999999999999" customHeight="1" x14ac:dyDescent="0.25">
      <c r="A691" s="431">
        <v>34251</v>
      </c>
      <c r="B691" s="432">
        <v>811.28</v>
      </c>
      <c r="C691" s="427">
        <f t="shared" si="20"/>
        <v>1993</v>
      </c>
      <c r="D691" s="433">
        <f t="shared" si="21"/>
        <v>811.28</v>
      </c>
    </row>
    <row r="692" spans="1:4" ht="16.149999999999999" customHeight="1" x14ac:dyDescent="0.25">
      <c r="A692" s="431">
        <v>34252</v>
      </c>
      <c r="B692" s="434">
        <v>811.28</v>
      </c>
      <c r="C692" s="427">
        <f t="shared" si="20"/>
        <v>1993</v>
      </c>
      <c r="D692" s="433">
        <f t="shared" si="21"/>
        <v>811.28</v>
      </c>
    </row>
    <row r="693" spans="1:4" ht="16.149999999999999" customHeight="1" x14ac:dyDescent="0.25">
      <c r="A693" s="431">
        <v>34253</v>
      </c>
      <c r="B693" s="432">
        <v>811.28</v>
      </c>
      <c r="C693" s="427">
        <f t="shared" si="20"/>
        <v>1993</v>
      </c>
      <c r="D693" s="433">
        <f t="shared" si="21"/>
        <v>811.28</v>
      </c>
    </row>
    <row r="694" spans="1:4" ht="16.149999999999999" customHeight="1" x14ac:dyDescent="0.25">
      <c r="A694" s="431">
        <v>34254</v>
      </c>
      <c r="B694" s="434">
        <v>811.19</v>
      </c>
      <c r="C694" s="427">
        <f t="shared" si="20"/>
        <v>1993</v>
      </c>
      <c r="D694" s="433">
        <f t="shared" si="21"/>
        <v>811.19</v>
      </c>
    </row>
    <row r="695" spans="1:4" ht="16.149999999999999" customHeight="1" x14ac:dyDescent="0.25">
      <c r="A695" s="431">
        <v>34255</v>
      </c>
      <c r="B695" s="432">
        <v>811.47</v>
      </c>
      <c r="C695" s="427">
        <f t="shared" si="20"/>
        <v>1993</v>
      </c>
      <c r="D695" s="433">
        <f t="shared" si="21"/>
        <v>811.47</v>
      </c>
    </row>
    <row r="696" spans="1:4" ht="16.149999999999999" customHeight="1" x14ac:dyDescent="0.25">
      <c r="A696" s="431">
        <v>34256</v>
      </c>
      <c r="B696" s="434">
        <v>811.46</v>
      </c>
      <c r="C696" s="427">
        <f t="shared" si="20"/>
        <v>1993</v>
      </c>
      <c r="D696" s="433">
        <f t="shared" si="21"/>
        <v>811.46</v>
      </c>
    </row>
    <row r="697" spans="1:4" ht="16.149999999999999" customHeight="1" x14ac:dyDescent="0.25">
      <c r="A697" s="431">
        <v>34257</v>
      </c>
      <c r="B697" s="432">
        <v>812.41</v>
      </c>
      <c r="C697" s="427">
        <f t="shared" si="20"/>
        <v>1993</v>
      </c>
      <c r="D697" s="433">
        <f t="shared" si="21"/>
        <v>812.41</v>
      </c>
    </row>
    <row r="698" spans="1:4" ht="16.149999999999999" customHeight="1" x14ac:dyDescent="0.25">
      <c r="A698" s="431">
        <v>34258</v>
      </c>
      <c r="B698" s="434">
        <v>813.28</v>
      </c>
      <c r="C698" s="427">
        <f t="shared" si="20"/>
        <v>1993</v>
      </c>
      <c r="D698" s="433">
        <f t="shared" si="21"/>
        <v>813.28</v>
      </c>
    </row>
    <row r="699" spans="1:4" ht="16.149999999999999" customHeight="1" x14ac:dyDescent="0.25">
      <c r="A699" s="431">
        <v>34259</v>
      </c>
      <c r="B699" s="432">
        <v>813.28</v>
      </c>
      <c r="C699" s="427">
        <f t="shared" si="20"/>
        <v>1993</v>
      </c>
      <c r="D699" s="433">
        <f t="shared" si="21"/>
        <v>813.28</v>
      </c>
    </row>
    <row r="700" spans="1:4" ht="16.149999999999999" customHeight="1" x14ac:dyDescent="0.25">
      <c r="A700" s="431">
        <v>34260</v>
      </c>
      <c r="B700" s="434">
        <v>813.28</v>
      </c>
      <c r="C700" s="427">
        <f t="shared" si="20"/>
        <v>1993</v>
      </c>
      <c r="D700" s="433">
        <f t="shared" si="21"/>
        <v>813.28</v>
      </c>
    </row>
    <row r="701" spans="1:4" ht="16.149999999999999" customHeight="1" x14ac:dyDescent="0.25">
      <c r="A701" s="431">
        <v>34261</v>
      </c>
      <c r="B701" s="432">
        <v>813.28</v>
      </c>
      <c r="C701" s="427">
        <f t="shared" si="20"/>
        <v>1993</v>
      </c>
      <c r="D701" s="433">
        <f t="shared" si="21"/>
        <v>813.28</v>
      </c>
    </row>
    <row r="702" spans="1:4" ht="16.149999999999999" customHeight="1" x14ac:dyDescent="0.25">
      <c r="A702" s="431">
        <v>34262</v>
      </c>
      <c r="B702" s="434">
        <v>813.79</v>
      </c>
      <c r="C702" s="427">
        <f t="shared" si="20"/>
        <v>1993</v>
      </c>
      <c r="D702" s="433">
        <f t="shared" si="21"/>
        <v>813.79</v>
      </c>
    </row>
    <row r="703" spans="1:4" ht="16.149999999999999" customHeight="1" x14ac:dyDescent="0.25">
      <c r="A703" s="431">
        <v>34263</v>
      </c>
      <c r="B703" s="432">
        <v>816.41</v>
      </c>
      <c r="C703" s="427">
        <f t="shared" si="20"/>
        <v>1993</v>
      </c>
      <c r="D703" s="433">
        <f t="shared" si="21"/>
        <v>816.41</v>
      </c>
    </row>
    <row r="704" spans="1:4" ht="16.149999999999999" customHeight="1" x14ac:dyDescent="0.25">
      <c r="A704" s="431">
        <v>34264</v>
      </c>
      <c r="B704" s="434">
        <v>819.26</v>
      </c>
      <c r="C704" s="427">
        <f t="shared" si="20"/>
        <v>1993</v>
      </c>
      <c r="D704" s="433">
        <f t="shared" si="21"/>
        <v>819.26</v>
      </c>
    </row>
    <row r="705" spans="1:4" ht="16.149999999999999" customHeight="1" x14ac:dyDescent="0.25">
      <c r="A705" s="431">
        <v>34265</v>
      </c>
      <c r="B705" s="432">
        <v>819.41</v>
      </c>
      <c r="C705" s="427">
        <f t="shared" si="20"/>
        <v>1993</v>
      </c>
      <c r="D705" s="433">
        <f t="shared" si="21"/>
        <v>819.41</v>
      </c>
    </row>
    <row r="706" spans="1:4" ht="16.149999999999999" customHeight="1" x14ac:dyDescent="0.25">
      <c r="A706" s="431">
        <v>34266</v>
      </c>
      <c r="B706" s="434">
        <v>819.41</v>
      </c>
      <c r="C706" s="427">
        <f t="shared" si="20"/>
        <v>1993</v>
      </c>
      <c r="D706" s="433">
        <f t="shared" si="21"/>
        <v>819.41</v>
      </c>
    </row>
    <row r="707" spans="1:4" ht="16.149999999999999" customHeight="1" x14ac:dyDescent="0.25">
      <c r="A707" s="431">
        <v>34267</v>
      </c>
      <c r="B707" s="432">
        <v>819.41</v>
      </c>
      <c r="C707" s="427">
        <f t="shared" si="20"/>
        <v>1993</v>
      </c>
      <c r="D707" s="433">
        <f t="shared" si="21"/>
        <v>819.41</v>
      </c>
    </row>
    <row r="708" spans="1:4" ht="16.149999999999999" customHeight="1" x14ac:dyDescent="0.25">
      <c r="A708" s="431">
        <v>34268</v>
      </c>
      <c r="B708" s="434">
        <v>819.44</v>
      </c>
      <c r="C708" s="427">
        <f t="shared" si="20"/>
        <v>1993</v>
      </c>
      <c r="D708" s="433">
        <f t="shared" si="21"/>
        <v>819.44</v>
      </c>
    </row>
    <row r="709" spans="1:4" ht="16.149999999999999" customHeight="1" x14ac:dyDescent="0.25">
      <c r="A709" s="431">
        <v>34269</v>
      </c>
      <c r="B709" s="432">
        <v>819.55</v>
      </c>
      <c r="C709" s="427">
        <f t="shared" si="20"/>
        <v>1993</v>
      </c>
      <c r="D709" s="433">
        <f t="shared" si="21"/>
        <v>819.55</v>
      </c>
    </row>
    <row r="710" spans="1:4" ht="16.149999999999999" customHeight="1" x14ac:dyDescent="0.25">
      <c r="A710" s="431">
        <v>34270</v>
      </c>
      <c r="B710" s="434">
        <v>818.98</v>
      </c>
      <c r="C710" s="427">
        <f t="shared" si="20"/>
        <v>1993</v>
      </c>
      <c r="D710" s="433">
        <f t="shared" si="21"/>
        <v>818.98</v>
      </c>
    </row>
    <row r="711" spans="1:4" ht="16.149999999999999" customHeight="1" x14ac:dyDescent="0.25">
      <c r="A711" s="431">
        <v>34271</v>
      </c>
      <c r="B711" s="432">
        <v>818.06</v>
      </c>
      <c r="C711" s="427">
        <f t="shared" si="20"/>
        <v>1993</v>
      </c>
      <c r="D711" s="433">
        <f t="shared" si="21"/>
        <v>818.06</v>
      </c>
    </row>
    <row r="712" spans="1:4" ht="16.149999999999999" customHeight="1" x14ac:dyDescent="0.25">
      <c r="A712" s="431">
        <v>34272</v>
      </c>
      <c r="B712" s="434">
        <v>817.03</v>
      </c>
      <c r="C712" s="427">
        <f t="shared" si="20"/>
        <v>1993</v>
      </c>
      <c r="D712" s="433">
        <f t="shared" si="21"/>
        <v>817.03</v>
      </c>
    </row>
    <row r="713" spans="1:4" ht="16.149999999999999" customHeight="1" x14ac:dyDescent="0.25">
      <c r="A713" s="431">
        <v>34273</v>
      </c>
      <c r="B713" s="432">
        <v>817.03</v>
      </c>
      <c r="C713" s="427">
        <f t="shared" si="20"/>
        <v>1993</v>
      </c>
      <c r="D713" s="433">
        <f t="shared" si="21"/>
        <v>817.03</v>
      </c>
    </row>
    <row r="714" spans="1:4" ht="16.149999999999999" customHeight="1" x14ac:dyDescent="0.25">
      <c r="A714" s="431">
        <v>34274</v>
      </c>
      <c r="B714" s="434">
        <v>817.03</v>
      </c>
      <c r="C714" s="427">
        <f t="shared" ref="C714:C777" si="22">YEAR(A714)</f>
        <v>1993</v>
      </c>
      <c r="D714" s="433">
        <f t="shared" ref="D714:D777" si="23">B714</f>
        <v>817.03</v>
      </c>
    </row>
    <row r="715" spans="1:4" ht="16.149999999999999" customHeight="1" x14ac:dyDescent="0.25">
      <c r="A715" s="431">
        <v>34275</v>
      </c>
      <c r="B715" s="432">
        <v>817.03</v>
      </c>
      <c r="C715" s="427">
        <f t="shared" si="22"/>
        <v>1993</v>
      </c>
      <c r="D715" s="433">
        <f t="shared" si="23"/>
        <v>817.03</v>
      </c>
    </row>
    <row r="716" spans="1:4" ht="16.149999999999999" customHeight="1" x14ac:dyDescent="0.25">
      <c r="A716" s="431">
        <v>34276</v>
      </c>
      <c r="B716" s="434">
        <v>816.7</v>
      </c>
      <c r="C716" s="427">
        <f t="shared" si="22"/>
        <v>1993</v>
      </c>
      <c r="D716" s="433">
        <f t="shared" si="23"/>
        <v>816.7</v>
      </c>
    </row>
    <row r="717" spans="1:4" ht="16.149999999999999" customHeight="1" x14ac:dyDescent="0.25">
      <c r="A717" s="431">
        <v>34277</v>
      </c>
      <c r="B717" s="432">
        <v>817.01</v>
      </c>
      <c r="C717" s="427">
        <f t="shared" si="22"/>
        <v>1993</v>
      </c>
      <c r="D717" s="433">
        <f t="shared" si="23"/>
        <v>817.01</v>
      </c>
    </row>
    <row r="718" spans="1:4" ht="16.149999999999999" customHeight="1" x14ac:dyDescent="0.25">
      <c r="A718" s="431">
        <v>34278</v>
      </c>
      <c r="B718" s="434">
        <v>816.79</v>
      </c>
      <c r="C718" s="427">
        <f t="shared" si="22"/>
        <v>1993</v>
      </c>
      <c r="D718" s="433">
        <f t="shared" si="23"/>
        <v>816.79</v>
      </c>
    </row>
    <row r="719" spans="1:4" ht="16.149999999999999" customHeight="1" x14ac:dyDescent="0.25">
      <c r="A719" s="431">
        <v>34279</v>
      </c>
      <c r="B719" s="432">
        <v>815.7</v>
      </c>
      <c r="C719" s="427">
        <f t="shared" si="22"/>
        <v>1993</v>
      </c>
      <c r="D719" s="433">
        <f t="shared" si="23"/>
        <v>815.7</v>
      </c>
    </row>
    <row r="720" spans="1:4" ht="16.149999999999999" customHeight="1" x14ac:dyDescent="0.25">
      <c r="A720" s="431">
        <v>34280</v>
      </c>
      <c r="B720" s="434">
        <v>815.7</v>
      </c>
      <c r="C720" s="427">
        <f t="shared" si="22"/>
        <v>1993</v>
      </c>
      <c r="D720" s="433">
        <f t="shared" si="23"/>
        <v>815.7</v>
      </c>
    </row>
    <row r="721" spans="1:4" ht="16.149999999999999" customHeight="1" x14ac:dyDescent="0.25">
      <c r="A721" s="431">
        <v>34281</v>
      </c>
      <c r="B721" s="432">
        <v>815.7</v>
      </c>
      <c r="C721" s="427">
        <f t="shared" si="22"/>
        <v>1993</v>
      </c>
      <c r="D721" s="433">
        <f t="shared" si="23"/>
        <v>815.7</v>
      </c>
    </row>
    <row r="722" spans="1:4" ht="16.149999999999999" customHeight="1" x14ac:dyDescent="0.25">
      <c r="A722" s="431">
        <v>34282</v>
      </c>
      <c r="B722" s="434">
        <v>814.26</v>
      </c>
      <c r="C722" s="427">
        <f t="shared" si="22"/>
        <v>1993</v>
      </c>
      <c r="D722" s="433">
        <f t="shared" si="23"/>
        <v>814.26</v>
      </c>
    </row>
    <row r="723" spans="1:4" ht="16.149999999999999" customHeight="1" x14ac:dyDescent="0.25">
      <c r="A723" s="431">
        <v>34283</v>
      </c>
      <c r="B723" s="432">
        <v>813.95</v>
      </c>
      <c r="C723" s="427">
        <f t="shared" si="22"/>
        <v>1993</v>
      </c>
      <c r="D723" s="433">
        <f t="shared" si="23"/>
        <v>813.95</v>
      </c>
    </row>
    <row r="724" spans="1:4" ht="16.149999999999999" customHeight="1" x14ac:dyDescent="0.25">
      <c r="A724" s="431">
        <v>34284</v>
      </c>
      <c r="B724" s="434">
        <v>811.07</v>
      </c>
      <c r="C724" s="427">
        <f t="shared" si="22"/>
        <v>1993</v>
      </c>
      <c r="D724" s="433">
        <f t="shared" si="23"/>
        <v>811.07</v>
      </c>
    </row>
    <row r="725" spans="1:4" ht="16.149999999999999" customHeight="1" x14ac:dyDescent="0.25">
      <c r="A725" s="431">
        <v>34285</v>
      </c>
      <c r="B725" s="432">
        <v>809.87</v>
      </c>
      <c r="C725" s="427">
        <f t="shared" si="22"/>
        <v>1993</v>
      </c>
      <c r="D725" s="433">
        <f t="shared" si="23"/>
        <v>809.87</v>
      </c>
    </row>
    <row r="726" spans="1:4" ht="16.149999999999999" customHeight="1" x14ac:dyDescent="0.25">
      <c r="A726" s="431">
        <v>34286</v>
      </c>
      <c r="B726" s="434">
        <v>809.95</v>
      </c>
      <c r="C726" s="427">
        <f t="shared" si="22"/>
        <v>1993</v>
      </c>
      <c r="D726" s="433">
        <f t="shared" si="23"/>
        <v>809.95</v>
      </c>
    </row>
    <row r="727" spans="1:4" ht="16.149999999999999" customHeight="1" x14ac:dyDescent="0.25">
      <c r="A727" s="431">
        <v>34287</v>
      </c>
      <c r="B727" s="432">
        <v>809.95</v>
      </c>
      <c r="C727" s="427">
        <f t="shared" si="22"/>
        <v>1993</v>
      </c>
      <c r="D727" s="433">
        <f t="shared" si="23"/>
        <v>809.95</v>
      </c>
    </row>
    <row r="728" spans="1:4" ht="16.149999999999999" customHeight="1" x14ac:dyDescent="0.25">
      <c r="A728" s="431">
        <v>34288</v>
      </c>
      <c r="B728" s="434">
        <v>809.95</v>
      </c>
      <c r="C728" s="427">
        <f t="shared" si="22"/>
        <v>1993</v>
      </c>
      <c r="D728" s="433">
        <f t="shared" si="23"/>
        <v>809.95</v>
      </c>
    </row>
    <row r="729" spans="1:4" ht="16.149999999999999" customHeight="1" x14ac:dyDescent="0.25">
      <c r="A729" s="431">
        <v>34289</v>
      </c>
      <c r="B729" s="432">
        <v>809.95</v>
      </c>
      <c r="C729" s="427">
        <f t="shared" si="22"/>
        <v>1993</v>
      </c>
      <c r="D729" s="433">
        <f t="shared" si="23"/>
        <v>809.95</v>
      </c>
    </row>
    <row r="730" spans="1:4" ht="16.149999999999999" customHeight="1" x14ac:dyDescent="0.25">
      <c r="A730" s="431">
        <v>34290</v>
      </c>
      <c r="B730" s="434">
        <v>815.18</v>
      </c>
      <c r="C730" s="427">
        <f t="shared" si="22"/>
        <v>1993</v>
      </c>
      <c r="D730" s="433">
        <f t="shared" si="23"/>
        <v>815.18</v>
      </c>
    </row>
    <row r="731" spans="1:4" ht="16.149999999999999" customHeight="1" x14ac:dyDescent="0.25">
      <c r="A731" s="431">
        <v>34291</v>
      </c>
      <c r="B731" s="432">
        <v>816.32</v>
      </c>
      <c r="C731" s="427">
        <f t="shared" si="22"/>
        <v>1993</v>
      </c>
      <c r="D731" s="433">
        <f t="shared" si="23"/>
        <v>816.32</v>
      </c>
    </row>
    <row r="732" spans="1:4" ht="16.149999999999999" customHeight="1" x14ac:dyDescent="0.25">
      <c r="A732" s="431">
        <v>34292</v>
      </c>
      <c r="B732" s="434">
        <v>816.62</v>
      </c>
      <c r="C732" s="427">
        <f t="shared" si="22"/>
        <v>1993</v>
      </c>
      <c r="D732" s="433">
        <f t="shared" si="23"/>
        <v>816.62</v>
      </c>
    </row>
    <row r="733" spans="1:4" ht="16.149999999999999" customHeight="1" x14ac:dyDescent="0.25">
      <c r="A733" s="431">
        <v>34293</v>
      </c>
      <c r="B733" s="432">
        <v>817.06</v>
      </c>
      <c r="C733" s="427">
        <f t="shared" si="22"/>
        <v>1993</v>
      </c>
      <c r="D733" s="433">
        <f t="shared" si="23"/>
        <v>817.06</v>
      </c>
    </row>
    <row r="734" spans="1:4" ht="16.149999999999999" customHeight="1" x14ac:dyDescent="0.25">
      <c r="A734" s="431">
        <v>34294</v>
      </c>
      <c r="B734" s="434">
        <v>817.06</v>
      </c>
      <c r="C734" s="427">
        <f t="shared" si="22"/>
        <v>1993</v>
      </c>
      <c r="D734" s="433">
        <f t="shared" si="23"/>
        <v>817.06</v>
      </c>
    </row>
    <row r="735" spans="1:4" ht="16.149999999999999" customHeight="1" x14ac:dyDescent="0.25">
      <c r="A735" s="431">
        <v>34295</v>
      </c>
      <c r="B735" s="432">
        <v>817.06</v>
      </c>
      <c r="C735" s="427">
        <f t="shared" si="22"/>
        <v>1993</v>
      </c>
      <c r="D735" s="433">
        <f t="shared" si="23"/>
        <v>817.06</v>
      </c>
    </row>
    <row r="736" spans="1:4" ht="16.149999999999999" customHeight="1" x14ac:dyDescent="0.25">
      <c r="A736" s="431">
        <v>34296</v>
      </c>
      <c r="B736" s="434">
        <v>814.48</v>
      </c>
      <c r="C736" s="427">
        <f t="shared" si="22"/>
        <v>1993</v>
      </c>
      <c r="D736" s="433">
        <f t="shared" si="23"/>
        <v>814.48</v>
      </c>
    </row>
    <row r="737" spans="1:4" ht="16.149999999999999" customHeight="1" x14ac:dyDescent="0.25">
      <c r="A737" s="431">
        <v>34297</v>
      </c>
      <c r="B737" s="432">
        <v>812.12</v>
      </c>
      <c r="C737" s="427">
        <f t="shared" si="22"/>
        <v>1993</v>
      </c>
      <c r="D737" s="433">
        <f t="shared" si="23"/>
        <v>812.12</v>
      </c>
    </row>
    <row r="738" spans="1:4" ht="16.149999999999999" customHeight="1" x14ac:dyDescent="0.25">
      <c r="A738" s="431">
        <v>34298</v>
      </c>
      <c r="B738" s="434">
        <v>811.67</v>
      </c>
      <c r="C738" s="427">
        <f t="shared" si="22"/>
        <v>1993</v>
      </c>
      <c r="D738" s="433">
        <f t="shared" si="23"/>
        <v>811.67</v>
      </c>
    </row>
    <row r="739" spans="1:4" ht="16.149999999999999" customHeight="1" x14ac:dyDescent="0.25">
      <c r="A739" s="431">
        <v>34299</v>
      </c>
      <c r="B739" s="432">
        <v>812.04</v>
      </c>
      <c r="C739" s="427">
        <f t="shared" si="22"/>
        <v>1993</v>
      </c>
      <c r="D739" s="433">
        <f t="shared" si="23"/>
        <v>812.04</v>
      </c>
    </row>
    <row r="740" spans="1:4" ht="16.149999999999999" customHeight="1" x14ac:dyDescent="0.25">
      <c r="A740" s="431">
        <v>34300</v>
      </c>
      <c r="B740" s="434">
        <v>812.11</v>
      </c>
      <c r="C740" s="427">
        <f t="shared" si="22"/>
        <v>1993</v>
      </c>
      <c r="D740" s="433">
        <f t="shared" si="23"/>
        <v>812.11</v>
      </c>
    </row>
    <row r="741" spans="1:4" ht="16.149999999999999" customHeight="1" x14ac:dyDescent="0.25">
      <c r="A741" s="431">
        <v>34301</v>
      </c>
      <c r="B741" s="432">
        <v>812.11</v>
      </c>
      <c r="C741" s="427">
        <f t="shared" si="22"/>
        <v>1993</v>
      </c>
      <c r="D741" s="433">
        <f t="shared" si="23"/>
        <v>812.11</v>
      </c>
    </row>
    <row r="742" spans="1:4" ht="16.149999999999999" customHeight="1" x14ac:dyDescent="0.25">
      <c r="A742" s="431">
        <v>34302</v>
      </c>
      <c r="B742" s="434">
        <v>812.11</v>
      </c>
      <c r="C742" s="427">
        <f t="shared" si="22"/>
        <v>1993</v>
      </c>
      <c r="D742" s="433">
        <f t="shared" si="23"/>
        <v>812.11</v>
      </c>
    </row>
    <row r="743" spans="1:4" ht="16.149999999999999" customHeight="1" x14ac:dyDescent="0.25">
      <c r="A743" s="431">
        <v>34303</v>
      </c>
      <c r="B743" s="432">
        <v>811.73</v>
      </c>
      <c r="C743" s="427">
        <f t="shared" si="22"/>
        <v>1993</v>
      </c>
      <c r="D743" s="433">
        <f t="shared" si="23"/>
        <v>811.73</v>
      </c>
    </row>
    <row r="744" spans="1:4" ht="16.149999999999999" customHeight="1" x14ac:dyDescent="0.25">
      <c r="A744" s="431">
        <v>34304</v>
      </c>
      <c r="B744" s="434">
        <v>812.21</v>
      </c>
      <c r="C744" s="427">
        <f t="shared" si="22"/>
        <v>1993</v>
      </c>
      <c r="D744" s="433">
        <f t="shared" si="23"/>
        <v>812.21</v>
      </c>
    </row>
    <row r="745" spans="1:4" ht="16.149999999999999" customHeight="1" x14ac:dyDescent="0.25">
      <c r="A745" s="431">
        <v>34305</v>
      </c>
      <c r="B745" s="432">
        <v>811.78</v>
      </c>
      <c r="C745" s="427">
        <f t="shared" si="22"/>
        <v>1993</v>
      </c>
      <c r="D745" s="433">
        <f t="shared" si="23"/>
        <v>811.78</v>
      </c>
    </row>
    <row r="746" spans="1:4" ht="16.149999999999999" customHeight="1" x14ac:dyDescent="0.25">
      <c r="A746" s="431">
        <v>34306</v>
      </c>
      <c r="B746" s="434">
        <v>809.63</v>
      </c>
      <c r="C746" s="427">
        <f t="shared" si="22"/>
        <v>1993</v>
      </c>
      <c r="D746" s="433">
        <f t="shared" si="23"/>
        <v>809.63</v>
      </c>
    </row>
    <row r="747" spans="1:4" ht="16.149999999999999" customHeight="1" x14ac:dyDescent="0.25">
      <c r="A747" s="431">
        <v>34307</v>
      </c>
      <c r="B747" s="432">
        <v>806.49</v>
      </c>
      <c r="C747" s="427">
        <f t="shared" si="22"/>
        <v>1993</v>
      </c>
      <c r="D747" s="433">
        <f t="shared" si="23"/>
        <v>806.49</v>
      </c>
    </row>
    <row r="748" spans="1:4" ht="16.149999999999999" customHeight="1" x14ac:dyDescent="0.25">
      <c r="A748" s="431">
        <v>34308</v>
      </c>
      <c r="B748" s="434">
        <v>806.49</v>
      </c>
      <c r="C748" s="427">
        <f t="shared" si="22"/>
        <v>1993</v>
      </c>
      <c r="D748" s="433">
        <f t="shared" si="23"/>
        <v>806.49</v>
      </c>
    </row>
    <row r="749" spans="1:4" ht="16.149999999999999" customHeight="1" x14ac:dyDescent="0.25">
      <c r="A749" s="431">
        <v>34309</v>
      </c>
      <c r="B749" s="432">
        <v>806.49</v>
      </c>
      <c r="C749" s="427">
        <f t="shared" si="22"/>
        <v>1993</v>
      </c>
      <c r="D749" s="433">
        <f t="shared" si="23"/>
        <v>806.49</v>
      </c>
    </row>
    <row r="750" spans="1:4" ht="16.149999999999999" customHeight="1" x14ac:dyDescent="0.25">
      <c r="A750" s="431">
        <v>34310</v>
      </c>
      <c r="B750" s="434">
        <v>803.1</v>
      </c>
      <c r="C750" s="427">
        <f t="shared" si="22"/>
        <v>1993</v>
      </c>
      <c r="D750" s="433">
        <f t="shared" si="23"/>
        <v>803.1</v>
      </c>
    </row>
    <row r="751" spans="1:4" ht="16.149999999999999" customHeight="1" x14ac:dyDescent="0.25">
      <c r="A751" s="431">
        <v>34311</v>
      </c>
      <c r="B751" s="432">
        <v>800.6</v>
      </c>
      <c r="C751" s="427">
        <f t="shared" si="22"/>
        <v>1993</v>
      </c>
      <c r="D751" s="433">
        <f t="shared" si="23"/>
        <v>800.6</v>
      </c>
    </row>
    <row r="752" spans="1:4" ht="16.149999999999999" customHeight="1" x14ac:dyDescent="0.25">
      <c r="A752" s="431">
        <v>34312</v>
      </c>
      <c r="B752" s="434">
        <v>800.6</v>
      </c>
      <c r="C752" s="427">
        <f t="shared" si="22"/>
        <v>1993</v>
      </c>
      <c r="D752" s="433">
        <f t="shared" si="23"/>
        <v>800.6</v>
      </c>
    </row>
    <row r="753" spans="1:4" ht="16.149999999999999" customHeight="1" x14ac:dyDescent="0.25">
      <c r="A753" s="431">
        <v>34313</v>
      </c>
      <c r="B753" s="432">
        <v>798.51</v>
      </c>
      <c r="C753" s="427">
        <f t="shared" si="22"/>
        <v>1993</v>
      </c>
      <c r="D753" s="433">
        <f t="shared" si="23"/>
        <v>798.51</v>
      </c>
    </row>
    <row r="754" spans="1:4" ht="16.149999999999999" customHeight="1" x14ac:dyDescent="0.25">
      <c r="A754" s="431">
        <v>34314</v>
      </c>
      <c r="B754" s="434">
        <v>797.53</v>
      </c>
      <c r="C754" s="427">
        <f t="shared" si="22"/>
        <v>1993</v>
      </c>
      <c r="D754" s="433">
        <f t="shared" si="23"/>
        <v>797.53</v>
      </c>
    </row>
    <row r="755" spans="1:4" ht="16.149999999999999" customHeight="1" x14ac:dyDescent="0.25">
      <c r="A755" s="431">
        <v>34315</v>
      </c>
      <c r="B755" s="432">
        <v>797.53</v>
      </c>
      <c r="C755" s="427">
        <f t="shared" si="22"/>
        <v>1993</v>
      </c>
      <c r="D755" s="433">
        <f t="shared" si="23"/>
        <v>797.53</v>
      </c>
    </row>
    <row r="756" spans="1:4" ht="16.149999999999999" customHeight="1" x14ac:dyDescent="0.25">
      <c r="A756" s="431">
        <v>34316</v>
      </c>
      <c r="B756" s="434">
        <v>797.53</v>
      </c>
      <c r="C756" s="427">
        <f t="shared" si="22"/>
        <v>1993</v>
      </c>
      <c r="D756" s="433">
        <f t="shared" si="23"/>
        <v>797.53</v>
      </c>
    </row>
    <row r="757" spans="1:4" ht="16.149999999999999" customHeight="1" x14ac:dyDescent="0.25">
      <c r="A757" s="431">
        <v>34317</v>
      </c>
      <c r="B757" s="432">
        <v>798.2</v>
      </c>
      <c r="C757" s="427">
        <f t="shared" si="22"/>
        <v>1993</v>
      </c>
      <c r="D757" s="433">
        <f t="shared" si="23"/>
        <v>798.2</v>
      </c>
    </row>
    <row r="758" spans="1:4" ht="16.149999999999999" customHeight="1" x14ac:dyDescent="0.25">
      <c r="A758" s="431">
        <v>34318</v>
      </c>
      <c r="B758" s="434">
        <v>798.12</v>
      </c>
      <c r="C758" s="427">
        <f t="shared" si="22"/>
        <v>1993</v>
      </c>
      <c r="D758" s="433">
        <f t="shared" si="23"/>
        <v>798.12</v>
      </c>
    </row>
    <row r="759" spans="1:4" ht="16.149999999999999" customHeight="1" x14ac:dyDescent="0.25">
      <c r="A759" s="431">
        <v>34319</v>
      </c>
      <c r="B759" s="432">
        <v>799.43</v>
      </c>
      <c r="C759" s="427">
        <f t="shared" si="22"/>
        <v>1993</v>
      </c>
      <c r="D759" s="433">
        <f t="shared" si="23"/>
        <v>799.43</v>
      </c>
    </row>
    <row r="760" spans="1:4" ht="16.149999999999999" customHeight="1" x14ac:dyDescent="0.25">
      <c r="A760" s="431">
        <v>34320</v>
      </c>
      <c r="B760" s="434">
        <v>804.89</v>
      </c>
      <c r="C760" s="427">
        <f t="shared" si="22"/>
        <v>1993</v>
      </c>
      <c r="D760" s="433">
        <f t="shared" si="23"/>
        <v>804.89</v>
      </c>
    </row>
    <row r="761" spans="1:4" ht="16.149999999999999" customHeight="1" x14ac:dyDescent="0.25">
      <c r="A761" s="431">
        <v>34321</v>
      </c>
      <c r="B761" s="432">
        <v>806.5</v>
      </c>
      <c r="C761" s="427">
        <f t="shared" si="22"/>
        <v>1993</v>
      </c>
      <c r="D761" s="433">
        <f t="shared" si="23"/>
        <v>806.5</v>
      </c>
    </row>
    <row r="762" spans="1:4" ht="16.149999999999999" customHeight="1" x14ac:dyDescent="0.25">
      <c r="A762" s="431">
        <v>34322</v>
      </c>
      <c r="B762" s="434">
        <v>806.5</v>
      </c>
      <c r="C762" s="427">
        <f t="shared" si="22"/>
        <v>1993</v>
      </c>
      <c r="D762" s="433">
        <f t="shared" si="23"/>
        <v>806.5</v>
      </c>
    </row>
    <row r="763" spans="1:4" ht="16.149999999999999" customHeight="1" x14ac:dyDescent="0.25">
      <c r="A763" s="431">
        <v>34323</v>
      </c>
      <c r="B763" s="432">
        <v>806.5</v>
      </c>
      <c r="C763" s="427">
        <f t="shared" si="22"/>
        <v>1993</v>
      </c>
      <c r="D763" s="433">
        <f t="shared" si="23"/>
        <v>806.5</v>
      </c>
    </row>
    <row r="764" spans="1:4" ht="16.149999999999999" customHeight="1" x14ac:dyDescent="0.25">
      <c r="A764" s="431">
        <v>34324</v>
      </c>
      <c r="B764" s="434">
        <v>803.81</v>
      </c>
      <c r="C764" s="427">
        <f t="shared" si="22"/>
        <v>1993</v>
      </c>
      <c r="D764" s="433">
        <f t="shared" si="23"/>
        <v>803.81</v>
      </c>
    </row>
    <row r="765" spans="1:4" ht="16.149999999999999" customHeight="1" x14ac:dyDescent="0.25">
      <c r="A765" s="431">
        <v>34325</v>
      </c>
      <c r="B765" s="432">
        <v>802.46</v>
      </c>
      <c r="C765" s="427">
        <f t="shared" si="22"/>
        <v>1993</v>
      </c>
      <c r="D765" s="433">
        <f t="shared" si="23"/>
        <v>802.46</v>
      </c>
    </row>
    <row r="766" spans="1:4" ht="16.149999999999999" customHeight="1" x14ac:dyDescent="0.25">
      <c r="A766" s="431">
        <v>34326</v>
      </c>
      <c r="B766" s="434">
        <v>801.4</v>
      </c>
      <c r="C766" s="427">
        <f t="shared" si="22"/>
        <v>1993</v>
      </c>
      <c r="D766" s="433">
        <f t="shared" si="23"/>
        <v>801.4</v>
      </c>
    </row>
    <row r="767" spans="1:4" ht="16.149999999999999" customHeight="1" x14ac:dyDescent="0.25">
      <c r="A767" s="431">
        <v>34327</v>
      </c>
      <c r="B767" s="432">
        <v>801.69</v>
      </c>
      <c r="C767" s="427">
        <f t="shared" si="22"/>
        <v>1993</v>
      </c>
      <c r="D767" s="433">
        <f t="shared" si="23"/>
        <v>801.69</v>
      </c>
    </row>
    <row r="768" spans="1:4" ht="16.149999999999999" customHeight="1" x14ac:dyDescent="0.25">
      <c r="A768" s="431">
        <v>34328</v>
      </c>
      <c r="B768" s="434">
        <v>801.69</v>
      </c>
      <c r="C768" s="427">
        <f t="shared" si="22"/>
        <v>1993</v>
      </c>
      <c r="D768" s="433">
        <f t="shared" si="23"/>
        <v>801.69</v>
      </c>
    </row>
    <row r="769" spans="1:4" ht="16.149999999999999" customHeight="1" x14ac:dyDescent="0.25">
      <c r="A769" s="431">
        <v>34329</v>
      </c>
      <c r="B769" s="432">
        <v>801.69</v>
      </c>
      <c r="C769" s="427">
        <f t="shared" si="22"/>
        <v>1993</v>
      </c>
      <c r="D769" s="433">
        <f t="shared" si="23"/>
        <v>801.69</v>
      </c>
    </row>
    <row r="770" spans="1:4" ht="16.149999999999999" customHeight="1" x14ac:dyDescent="0.25">
      <c r="A770" s="431">
        <v>34330</v>
      </c>
      <c r="B770" s="434">
        <v>801.69</v>
      </c>
      <c r="C770" s="427">
        <f t="shared" si="22"/>
        <v>1993</v>
      </c>
      <c r="D770" s="433">
        <f t="shared" si="23"/>
        <v>801.69</v>
      </c>
    </row>
    <row r="771" spans="1:4" ht="16.149999999999999" customHeight="1" x14ac:dyDescent="0.25">
      <c r="A771" s="431">
        <v>34331</v>
      </c>
      <c r="B771" s="432">
        <v>809.13</v>
      </c>
      <c r="C771" s="427">
        <f t="shared" si="22"/>
        <v>1993</v>
      </c>
      <c r="D771" s="433">
        <f t="shared" si="23"/>
        <v>809.13</v>
      </c>
    </row>
    <row r="772" spans="1:4" ht="16.149999999999999" customHeight="1" x14ac:dyDescent="0.25">
      <c r="A772" s="431">
        <v>34332</v>
      </c>
      <c r="B772" s="434">
        <v>802.33</v>
      </c>
      <c r="C772" s="427">
        <f t="shared" si="22"/>
        <v>1993</v>
      </c>
      <c r="D772" s="433">
        <f t="shared" si="23"/>
        <v>802.33</v>
      </c>
    </row>
    <row r="773" spans="1:4" ht="16.149999999999999" customHeight="1" x14ac:dyDescent="0.25">
      <c r="A773" s="431">
        <v>34333</v>
      </c>
      <c r="B773" s="432">
        <v>802.71</v>
      </c>
      <c r="C773" s="427">
        <f t="shared" si="22"/>
        <v>1993</v>
      </c>
      <c r="D773" s="433">
        <f t="shared" si="23"/>
        <v>802.71</v>
      </c>
    </row>
    <row r="774" spans="1:4" ht="16.149999999999999" customHeight="1" x14ac:dyDescent="0.25">
      <c r="A774" s="431">
        <v>34334</v>
      </c>
      <c r="B774" s="434">
        <v>804.33</v>
      </c>
      <c r="C774" s="427">
        <f t="shared" si="22"/>
        <v>1993</v>
      </c>
      <c r="D774" s="433">
        <f t="shared" si="23"/>
        <v>804.33</v>
      </c>
    </row>
    <row r="775" spans="1:4" ht="16.149999999999999" customHeight="1" x14ac:dyDescent="0.25">
      <c r="A775" s="431">
        <v>34335</v>
      </c>
      <c r="B775" s="432">
        <v>804.33</v>
      </c>
      <c r="C775" s="427">
        <f t="shared" si="22"/>
        <v>1994</v>
      </c>
      <c r="D775" s="433">
        <f t="shared" si="23"/>
        <v>804.33</v>
      </c>
    </row>
    <row r="776" spans="1:4" ht="16.149999999999999" customHeight="1" x14ac:dyDescent="0.25">
      <c r="A776" s="431">
        <v>34336</v>
      </c>
      <c r="B776" s="434">
        <v>804.33</v>
      </c>
      <c r="C776" s="427">
        <f t="shared" si="22"/>
        <v>1994</v>
      </c>
      <c r="D776" s="433">
        <f t="shared" si="23"/>
        <v>804.33</v>
      </c>
    </row>
    <row r="777" spans="1:4" ht="16.149999999999999" customHeight="1" x14ac:dyDescent="0.25">
      <c r="A777" s="431">
        <v>34337</v>
      </c>
      <c r="B777" s="432">
        <v>804.33</v>
      </c>
      <c r="C777" s="427">
        <f t="shared" si="22"/>
        <v>1994</v>
      </c>
      <c r="D777" s="433">
        <f t="shared" si="23"/>
        <v>804.33</v>
      </c>
    </row>
    <row r="778" spans="1:4" ht="16.149999999999999" customHeight="1" x14ac:dyDescent="0.25">
      <c r="A778" s="431">
        <v>34338</v>
      </c>
      <c r="B778" s="434">
        <v>805.91</v>
      </c>
      <c r="C778" s="427">
        <f t="shared" ref="C778:C841" si="24">YEAR(A778)</f>
        <v>1994</v>
      </c>
      <c r="D778" s="433">
        <f t="shared" ref="D778:D841" si="25">B778</f>
        <v>805.91</v>
      </c>
    </row>
    <row r="779" spans="1:4" ht="16.149999999999999" customHeight="1" x14ac:dyDescent="0.25">
      <c r="A779" s="431">
        <v>34339</v>
      </c>
      <c r="B779" s="432">
        <v>810.01</v>
      </c>
      <c r="C779" s="427">
        <f t="shared" si="24"/>
        <v>1994</v>
      </c>
      <c r="D779" s="433">
        <f t="shared" si="25"/>
        <v>810.01</v>
      </c>
    </row>
    <row r="780" spans="1:4" ht="16.149999999999999" customHeight="1" x14ac:dyDescent="0.25">
      <c r="A780" s="431">
        <v>34340</v>
      </c>
      <c r="B780" s="434">
        <v>814.21</v>
      </c>
      <c r="C780" s="427">
        <f t="shared" si="24"/>
        <v>1994</v>
      </c>
      <c r="D780" s="433">
        <f t="shared" si="25"/>
        <v>814.21</v>
      </c>
    </row>
    <row r="781" spans="1:4" ht="16.149999999999999" customHeight="1" x14ac:dyDescent="0.25">
      <c r="A781" s="431">
        <v>34341</v>
      </c>
      <c r="B781" s="432">
        <v>818.83</v>
      </c>
      <c r="C781" s="427">
        <f t="shared" si="24"/>
        <v>1994</v>
      </c>
      <c r="D781" s="433">
        <f t="shared" si="25"/>
        <v>818.83</v>
      </c>
    </row>
    <row r="782" spans="1:4" ht="16.149999999999999" customHeight="1" x14ac:dyDescent="0.25">
      <c r="A782" s="431">
        <v>34342</v>
      </c>
      <c r="B782" s="434">
        <v>818.89</v>
      </c>
      <c r="C782" s="427">
        <f t="shared" si="24"/>
        <v>1994</v>
      </c>
      <c r="D782" s="433">
        <f t="shared" si="25"/>
        <v>818.89</v>
      </c>
    </row>
    <row r="783" spans="1:4" ht="16.149999999999999" customHeight="1" x14ac:dyDescent="0.25">
      <c r="A783" s="431">
        <v>34343</v>
      </c>
      <c r="B783" s="432">
        <v>818.89</v>
      </c>
      <c r="C783" s="427">
        <f t="shared" si="24"/>
        <v>1994</v>
      </c>
      <c r="D783" s="433">
        <f t="shared" si="25"/>
        <v>818.89</v>
      </c>
    </row>
    <row r="784" spans="1:4" ht="16.149999999999999" customHeight="1" x14ac:dyDescent="0.25">
      <c r="A784" s="431">
        <v>34344</v>
      </c>
      <c r="B784" s="434">
        <v>818.89</v>
      </c>
      <c r="C784" s="427">
        <f t="shared" si="24"/>
        <v>1994</v>
      </c>
      <c r="D784" s="433">
        <f t="shared" si="25"/>
        <v>818.89</v>
      </c>
    </row>
    <row r="785" spans="1:4" ht="16.149999999999999" customHeight="1" x14ac:dyDescent="0.25">
      <c r="A785" s="431">
        <v>34345</v>
      </c>
      <c r="B785" s="432">
        <v>818.89</v>
      </c>
      <c r="C785" s="427">
        <f t="shared" si="24"/>
        <v>1994</v>
      </c>
      <c r="D785" s="433">
        <f t="shared" si="25"/>
        <v>818.89</v>
      </c>
    </row>
    <row r="786" spans="1:4" ht="16.149999999999999" customHeight="1" x14ac:dyDescent="0.25">
      <c r="A786" s="431">
        <v>34346</v>
      </c>
      <c r="B786" s="434">
        <v>818.5</v>
      </c>
      <c r="C786" s="427">
        <f t="shared" si="24"/>
        <v>1994</v>
      </c>
      <c r="D786" s="433">
        <f t="shared" si="25"/>
        <v>818.5</v>
      </c>
    </row>
    <row r="787" spans="1:4" ht="16.149999999999999" customHeight="1" x14ac:dyDescent="0.25">
      <c r="A787" s="431">
        <v>34347</v>
      </c>
      <c r="B787" s="432">
        <v>819.81</v>
      </c>
      <c r="C787" s="427">
        <f t="shared" si="24"/>
        <v>1994</v>
      </c>
      <c r="D787" s="433">
        <f t="shared" si="25"/>
        <v>819.81</v>
      </c>
    </row>
    <row r="788" spans="1:4" ht="16.149999999999999" customHeight="1" x14ac:dyDescent="0.25">
      <c r="A788" s="431">
        <v>34348</v>
      </c>
      <c r="B788" s="434">
        <v>820.1</v>
      </c>
      <c r="C788" s="427">
        <f t="shared" si="24"/>
        <v>1994</v>
      </c>
      <c r="D788" s="433">
        <f t="shared" si="25"/>
        <v>820.1</v>
      </c>
    </row>
    <row r="789" spans="1:4" ht="16.149999999999999" customHeight="1" x14ac:dyDescent="0.25">
      <c r="A789" s="431">
        <v>34349</v>
      </c>
      <c r="B789" s="432">
        <v>815.81</v>
      </c>
      <c r="C789" s="427">
        <f t="shared" si="24"/>
        <v>1994</v>
      </c>
      <c r="D789" s="433">
        <f t="shared" si="25"/>
        <v>815.81</v>
      </c>
    </row>
    <row r="790" spans="1:4" ht="16.149999999999999" customHeight="1" x14ac:dyDescent="0.25">
      <c r="A790" s="431">
        <v>34350</v>
      </c>
      <c r="B790" s="434">
        <v>815.81</v>
      </c>
      <c r="C790" s="427">
        <f t="shared" si="24"/>
        <v>1994</v>
      </c>
      <c r="D790" s="433">
        <f t="shared" si="25"/>
        <v>815.81</v>
      </c>
    </row>
    <row r="791" spans="1:4" ht="16.149999999999999" customHeight="1" x14ac:dyDescent="0.25">
      <c r="A791" s="431">
        <v>34351</v>
      </c>
      <c r="B791" s="432">
        <v>815.81</v>
      </c>
      <c r="C791" s="427">
        <f t="shared" si="24"/>
        <v>1994</v>
      </c>
      <c r="D791" s="433">
        <f t="shared" si="25"/>
        <v>815.81</v>
      </c>
    </row>
    <row r="792" spans="1:4" ht="16.149999999999999" customHeight="1" x14ac:dyDescent="0.25">
      <c r="A792" s="431">
        <v>34352</v>
      </c>
      <c r="B792" s="434">
        <v>816.91</v>
      </c>
      <c r="C792" s="427">
        <f t="shared" si="24"/>
        <v>1994</v>
      </c>
      <c r="D792" s="433">
        <f t="shared" si="25"/>
        <v>816.91</v>
      </c>
    </row>
    <row r="793" spans="1:4" ht="16.149999999999999" customHeight="1" x14ac:dyDescent="0.25">
      <c r="A793" s="431">
        <v>34353</v>
      </c>
      <c r="B793" s="432">
        <v>816.15</v>
      </c>
      <c r="C793" s="427">
        <f t="shared" si="24"/>
        <v>1994</v>
      </c>
      <c r="D793" s="433">
        <f t="shared" si="25"/>
        <v>816.15</v>
      </c>
    </row>
    <row r="794" spans="1:4" ht="16.149999999999999" customHeight="1" x14ac:dyDescent="0.25">
      <c r="A794" s="431">
        <v>34354</v>
      </c>
      <c r="B794" s="434">
        <v>814.56</v>
      </c>
      <c r="C794" s="427">
        <f t="shared" si="24"/>
        <v>1994</v>
      </c>
      <c r="D794" s="433">
        <f t="shared" si="25"/>
        <v>814.56</v>
      </c>
    </row>
    <row r="795" spans="1:4" ht="16.149999999999999" customHeight="1" x14ac:dyDescent="0.25">
      <c r="A795" s="431">
        <v>34355</v>
      </c>
      <c r="B795" s="432">
        <v>815.91</v>
      </c>
      <c r="C795" s="427">
        <f t="shared" si="24"/>
        <v>1994</v>
      </c>
      <c r="D795" s="433">
        <f t="shared" si="25"/>
        <v>815.91</v>
      </c>
    </row>
    <row r="796" spans="1:4" ht="16.149999999999999" customHeight="1" x14ac:dyDescent="0.25">
      <c r="A796" s="431">
        <v>34356</v>
      </c>
      <c r="B796" s="434">
        <v>815.65</v>
      </c>
      <c r="C796" s="427">
        <f t="shared" si="24"/>
        <v>1994</v>
      </c>
      <c r="D796" s="433">
        <f t="shared" si="25"/>
        <v>815.65</v>
      </c>
    </row>
    <row r="797" spans="1:4" ht="16.149999999999999" customHeight="1" x14ac:dyDescent="0.25">
      <c r="A797" s="431">
        <v>34357</v>
      </c>
      <c r="B797" s="432">
        <v>815.65</v>
      </c>
      <c r="C797" s="427">
        <f t="shared" si="24"/>
        <v>1994</v>
      </c>
      <c r="D797" s="433">
        <f t="shared" si="25"/>
        <v>815.65</v>
      </c>
    </row>
    <row r="798" spans="1:4" ht="16.149999999999999" customHeight="1" x14ac:dyDescent="0.25">
      <c r="A798" s="431">
        <v>34358</v>
      </c>
      <c r="B798" s="434">
        <v>815.65</v>
      </c>
      <c r="C798" s="427">
        <f t="shared" si="24"/>
        <v>1994</v>
      </c>
      <c r="D798" s="433">
        <f t="shared" si="25"/>
        <v>815.65</v>
      </c>
    </row>
    <row r="799" spans="1:4" ht="16.149999999999999" customHeight="1" x14ac:dyDescent="0.25">
      <c r="A799" s="431">
        <v>34359</v>
      </c>
      <c r="B799" s="432">
        <v>816.69</v>
      </c>
      <c r="C799" s="427">
        <f t="shared" si="24"/>
        <v>1994</v>
      </c>
      <c r="D799" s="433">
        <f t="shared" si="25"/>
        <v>816.69</v>
      </c>
    </row>
    <row r="800" spans="1:4" ht="16.149999999999999" customHeight="1" x14ac:dyDescent="0.25">
      <c r="A800" s="431">
        <v>34360</v>
      </c>
      <c r="B800" s="434">
        <v>819.1</v>
      </c>
      <c r="C800" s="427">
        <f t="shared" si="24"/>
        <v>1994</v>
      </c>
      <c r="D800" s="433">
        <f t="shared" si="25"/>
        <v>819.1</v>
      </c>
    </row>
    <row r="801" spans="1:4" ht="16.149999999999999" customHeight="1" x14ac:dyDescent="0.25">
      <c r="A801" s="431">
        <v>34361</v>
      </c>
      <c r="B801" s="432">
        <v>821.52</v>
      </c>
      <c r="C801" s="427">
        <f t="shared" si="24"/>
        <v>1994</v>
      </c>
      <c r="D801" s="433">
        <f t="shared" si="25"/>
        <v>821.52</v>
      </c>
    </row>
    <row r="802" spans="1:4" ht="16.149999999999999" customHeight="1" x14ac:dyDescent="0.25">
      <c r="A802" s="431">
        <v>34362</v>
      </c>
      <c r="B802" s="434">
        <v>821.72</v>
      </c>
      <c r="C802" s="427">
        <f t="shared" si="24"/>
        <v>1994</v>
      </c>
      <c r="D802" s="433">
        <f t="shared" si="25"/>
        <v>821.72</v>
      </c>
    </row>
    <row r="803" spans="1:4" ht="16.149999999999999" customHeight="1" x14ac:dyDescent="0.25">
      <c r="A803" s="431">
        <v>34363</v>
      </c>
      <c r="B803" s="432">
        <v>818.38</v>
      </c>
      <c r="C803" s="427">
        <f t="shared" si="24"/>
        <v>1994</v>
      </c>
      <c r="D803" s="433">
        <f t="shared" si="25"/>
        <v>818.38</v>
      </c>
    </row>
    <row r="804" spans="1:4" ht="16.149999999999999" customHeight="1" x14ac:dyDescent="0.25">
      <c r="A804" s="431">
        <v>34364</v>
      </c>
      <c r="B804" s="434">
        <v>818.38</v>
      </c>
      <c r="C804" s="427">
        <f t="shared" si="24"/>
        <v>1994</v>
      </c>
      <c r="D804" s="433">
        <f t="shared" si="25"/>
        <v>818.38</v>
      </c>
    </row>
    <row r="805" spans="1:4" ht="16.149999999999999" customHeight="1" x14ac:dyDescent="0.25">
      <c r="A805" s="431">
        <v>34365</v>
      </c>
      <c r="B805" s="432">
        <v>818.38</v>
      </c>
      <c r="C805" s="427">
        <f t="shared" si="24"/>
        <v>1994</v>
      </c>
      <c r="D805" s="433">
        <f t="shared" si="25"/>
        <v>818.38</v>
      </c>
    </row>
    <row r="806" spans="1:4" ht="16.149999999999999" customHeight="1" x14ac:dyDescent="0.25">
      <c r="A806" s="431">
        <v>34366</v>
      </c>
      <c r="B806" s="434">
        <v>817</v>
      </c>
      <c r="C806" s="427">
        <f t="shared" si="24"/>
        <v>1994</v>
      </c>
      <c r="D806" s="433">
        <f t="shared" si="25"/>
        <v>817</v>
      </c>
    </row>
    <row r="807" spans="1:4" ht="16.149999999999999" customHeight="1" x14ac:dyDescent="0.25">
      <c r="A807" s="431">
        <v>34367</v>
      </c>
      <c r="B807" s="432">
        <v>819.27</v>
      </c>
      <c r="C807" s="427">
        <f t="shared" si="24"/>
        <v>1994</v>
      </c>
      <c r="D807" s="433">
        <f t="shared" si="25"/>
        <v>819.27</v>
      </c>
    </row>
    <row r="808" spans="1:4" ht="16.149999999999999" customHeight="1" x14ac:dyDescent="0.25">
      <c r="A808" s="431">
        <v>34368</v>
      </c>
      <c r="B808" s="434">
        <v>817.96</v>
      </c>
      <c r="C808" s="427">
        <f t="shared" si="24"/>
        <v>1994</v>
      </c>
      <c r="D808" s="433">
        <f t="shared" si="25"/>
        <v>817.96</v>
      </c>
    </row>
    <row r="809" spans="1:4" ht="16.149999999999999" customHeight="1" x14ac:dyDescent="0.25">
      <c r="A809" s="431">
        <v>34369</v>
      </c>
      <c r="B809" s="432">
        <v>817.69</v>
      </c>
      <c r="C809" s="427">
        <f t="shared" si="24"/>
        <v>1994</v>
      </c>
      <c r="D809" s="433">
        <f t="shared" si="25"/>
        <v>817.69</v>
      </c>
    </row>
    <row r="810" spans="1:4" ht="16.149999999999999" customHeight="1" x14ac:dyDescent="0.25">
      <c r="A810" s="431">
        <v>34370</v>
      </c>
      <c r="B810" s="434">
        <v>818</v>
      </c>
      <c r="C810" s="427">
        <f t="shared" si="24"/>
        <v>1994</v>
      </c>
      <c r="D810" s="433">
        <f t="shared" si="25"/>
        <v>818</v>
      </c>
    </row>
    <row r="811" spans="1:4" ht="16.149999999999999" customHeight="1" x14ac:dyDescent="0.25">
      <c r="A811" s="431">
        <v>34371</v>
      </c>
      <c r="B811" s="432">
        <v>818</v>
      </c>
      <c r="C811" s="427">
        <f t="shared" si="24"/>
        <v>1994</v>
      </c>
      <c r="D811" s="433">
        <f t="shared" si="25"/>
        <v>818</v>
      </c>
    </row>
    <row r="812" spans="1:4" ht="16.149999999999999" customHeight="1" x14ac:dyDescent="0.25">
      <c r="A812" s="431">
        <v>34372</v>
      </c>
      <c r="B812" s="434">
        <v>818</v>
      </c>
      <c r="C812" s="427">
        <f t="shared" si="24"/>
        <v>1994</v>
      </c>
      <c r="D812" s="433">
        <f t="shared" si="25"/>
        <v>818</v>
      </c>
    </row>
    <row r="813" spans="1:4" ht="16.149999999999999" customHeight="1" x14ac:dyDescent="0.25">
      <c r="A813" s="431">
        <v>34373</v>
      </c>
      <c r="B813" s="432">
        <v>817.64</v>
      </c>
      <c r="C813" s="427">
        <f t="shared" si="24"/>
        <v>1994</v>
      </c>
      <c r="D813" s="433">
        <f t="shared" si="25"/>
        <v>817.64</v>
      </c>
    </row>
    <row r="814" spans="1:4" ht="16.149999999999999" customHeight="1" x14ac:dyDescent="0.25">
      <c r="A814" s="431">
        <v>34374</v>
      </c>
      <c r="B814" s="434">
        <v>817.81</v>
      </c>
      <c r="C814" s="427">
        <f t="shared" si="24"/>
        <v>1994</v>
      </c>
      <c r="D814" s="433">
        <f t="shared" si="25"/>
        <v>817.81</v>
      </c>
    </row>
    <row r="815" spans="1:4" ht="16.149999999999999" customHeight="1" x14ac:dyDescent="0.25">
      <c r="A815" s="431">
        <v>34375</v>
      </c>
      <c r="B815" s="432">
        <v>817.88</v>
      </c>
      <c r="C815" s="427">
        <f t="shared" si="24"/>
        <v>1994</v>
      </c>
      <c r="D815" s="433">
        <f t="shared" si="25"/>
        <v>817.88</v>
      </c>
    </row>
    <row r="816" spans="1:4" ht="16.149999999999999" customHeight="1" x14ac:dyDescent="0.25">
      <c r="A816" s="431">
        <v>34376</v>
      </c>
      <c r="B816" s="434">
        <v>817.88</v>
      </c>
      <c r="C816" s="427">
        <f t="shared" si="24"/>
        <v>1994</v>
      </c>
      <c r="D816" s="433">
        <f t="shared" si="25"/>
        <v>817.88</v>
      </c>
    </row>
    <row r="817" spans="1:4" ht="16.149999999999999" customHeight="1" x14ac:dyDescent="0.25">
      <c r="A817" s="431">
        <v>34377</v>
      </c>
      <c r="B817" s="432">
        <v>817.78</v>
      </c>
      <c r="C817" s="427">
        <f t="shared" si="24"/>
        <v>1994</v>
      </c>
      <c r="D817" s="433">
        <f t="shared" si="25"/>
        <v>817.78</v>
      </c>
    </row>
    <row r="818" spans="1:4" ht="16.149999999999999" customHeight="1" x14ac:dyDescent="0.25">
      <c r="A818" s="431">
        <v>34378</v>
      </c>
      <c r="B818" s="434">
        <v>817.78</v>
      </c>
      <c r="C818" s="427">
        <f t="shared" si="24"/>
        <v>1994</v>
      </c>
      <c r="D818" s="433">
        <f t="shared" si="25"/>
        <v>817.78</v>
      </c>
    </row>
    <row r="819" spans="1:4" ht="16.149999999999999" customHeight="1" x14ac:dyDescent="0.25">
      <c r="A819" s="431">
        <v>34379</v>
      </c>
      <c r="B819" s="432">
        <v>817.78</v>
      </c>
      <c r="C819" s="427">
        <f t="shared" si="24"/>
        <v>1994</v>
      </c>
      <c r="D819" s="433">
        <f t="shared" si="25"/>
        <v>817.78</v>
      </c>
    </row>
    <row r="820" spans="1:4" ht="16.149999999999999" customHeight="1" x14ac:dyDescent="0.25">
      <c r="A820" s="431">
        <v>34380</v>
      </c>
      <c r="B820" s="434">
        <v>817.59</v>
      </c>
      <c r="C820" s="427">
        <f t="shared" si="24"/>
        <v>1994</v>
      </c>
      <c r="D820" s="433">
        <f t="shared" si="25"/>
        <v>817.59</v>
      </c>
    </row>
    <row r="821" spans="1:4" ht="16.149999999999999" customHeight="1" x14ac:dyDescent="0.25">
      <c r="A821" s="431">
        <v>34381</v>
      </c>
      <c r="B821" s="432">
        <v>816.92</v>
      </c>
      <c r="C821" s="427">
        <f t="shared" si="24"/>
        <v>1994</v>
      </c>
      <c r="D821" s="433">
        <f t="shared" si="25"/>
        <v>816.92</v>
      </c>
    </row>
    <row r="822" spans="1:4" ht="16.149999999999999" customHeight="1" x14ac:dyDescent="0.25">
      <c r="A822" s="431">
        <v>34382</v>
      </c>
      <c r="B822" s="434">
        <v>816.1</v>
      </c>
      <c r="C822" s="427">
        <f t="shared" si="24"/>
        <v>1994</v>
      </c>
      <c r="D822" s="433">
        <f t="shared" si="25"/>
        <v>816.1</v>
      </c>
    </row>
    <row r="823" spans="1:4" ht="16.149999999999999" customHeight="1" x14ac:dyDescent="0.25">
      <c r="A823" s="431">
        <v>34383</v>
      </c>
      <c r="B823" s="432">
        <v>815.19</v>
      </c>
      <c r="C823" s="427">
        <f t="shared" si="24"/>
        <v>1994</v>
      </c>
      <c r="D823" s="433">
        <f t="shared" si="25"/>
        <v>815.19</v>
      </c>
    </row>
    <row r="824" spans="1:4" ht="16.149999999999999" customHeight="1" x14ac:dyDescent="0.25">
      <c r="A824" s="431">
        <v>34384</v>
      </c>
      <c r="B824" s="434">
        <v>814.13</v>
      </c>
      <c r="C824" s="427">
        <f t="shared" si="24"/>
        <v>1994</v>
      </c>
      <c r="D824" s="433">
        <f t="shared" si="25"/>
        <v>814.13</v>
      </c>
    </row>
    <row r="825" spans="1:4" ht="16.149999999999999" customHeight="1" x14ac:dyDescent="0.25">
      <c r="A825" s="431">
        <v>34385</v>
      </c>
      <c r="B825" s="432">
        <v>814.13</v>
      </c>
      <c r="C825" s="427">
        <f t="shared" si="24"/>
        <v>1994</v>
      </c>
      <c r="D825" s="433">
        <f t="shared" si="25"/>
        <v>814.13</v>
      </c>
    </row>
    <row r="826" spans="1:4" ht="16.149999999999999" customHeight="1" x14ac:dyDescent="0.25">
      <c r="A826" s="431">
        <v>34386</v>
      </c>
      <c r="B826" s="434">
        <v>814.13</v>
      </c>
      <c r="C826" s="427">
        <f t="shared" si="24"/>
        <v>1994</v>
      </c>
      <c r="D826" s="433">
        <f t="shared" si="25"/>
        <v>814.13</v>
      </c>
    </row>
    <row r="827" spans="1:4" ht="16.149999999999999" customHeight="1" x14ac:dyDescent="0.25">
      <c r="A827" s="431">
        <v>34387</v>
      </c>
      <c r="B827" s="432">
        <v>816.04</v>
      </c>
      <c r="C827" s="427">
        <f t="shared" si="24"/>
        <v>1994</v>
      </c>
      <c r="D827" s="433">
        <f t="shared" si="25"/>
        <v>816.04</v>
      </c>
    </row>
    <row r="828" spans="1:4" ht="16.149999999999999" customHeight="1" x14ac:dyDescent="0.25">
      <c r="A828" s="431">
        <v>34388</v>
      </c>
      <c r="B828" s="434">
        <v>818.33</v>
      </c>
      <c r="C828" s="427">
        <f t="shared" si="24"/>
        <v>1994</v>
      </c>
      <c r="D828" s="433">
        <f t="shared" si="25"/>
        <v>818.33</v>
      </c>
    </row>
    <row r="829" spans="1:4" ht="16.149999999999999" customHeight="1" x14ac:dyDescent="0.25">
      <c r="A829" s="431">
        <v>34389</v>
      </c>
      <c r="B829" s="432">
        <v>820.76</v>
      </c>
      <c r="C829" s="427">
        <f t="shared" si="24"/>
        <v>1994</v>
      </c>
      <c r="D829" s="433">
        <f t="shared" si="25"/>
        <v>820.76</v>
      </c>
    </row>
    <row r="830" spans="1:4" ht="16.149999999999999" customHeight="1" x14ac:dyDescent="0.25">
      <c r="A830" s="431">
        <v>34390</v>
      </c>
      <c r="B830" s="434">
        <v>819.68</v>
      </c>
      <c r="C830" s="427">
        <f t="shared" si="24"/>
        <v>1994</v>
      </c>
      <c r="D830" s="433">
        <f t="shared" si="25"/>
        <v>819.68</v>
      </c>
    </row>
    <row r="831" spans="1:4" ht="16.149999999999999" customHeight="1" x14ac:dyDescent="0.25">
      <c r="A831" s="431">
        <v>34391</v>
      </c>
      <c r="B831" s="432">
        <v>819.7</v>
      </c>
      <c r="C831" s="427">
        <f t="shared" si="24"/>
        <v>1994</v>
      </c>
      <c r="D831" s="433">
        <f t="shared" si="25"/>
        <v>819.7</v>
      </c>
    </row>
    <row r="832" spans="1:4" ht="16.149999999999999" customHeight="1" x14ac:dyDescent="0.25">
      <c r="A832" s="431">
        <v>34392</v>
      </c>
      <c r="B832" s="434">
        <v>819.7</v>
      </c>
      <c r="C832" s="427">
        <f t="shared" si="24"/>
        <v>1994</v>
      </c>
      <c r="D832" s="433">
        <f t="shared" si="25"/>
        <v>819.7</v>
      </c>
    </row>
    <row r="833" spans="1:4" ht="16.149999999999999" customHeight="1" x14ac:dyDescent="0.25">
      <c r="A833" s="431">
        <v>34393</v>
      </c>
      <c r="B833" s="432">
        <v>819.7</v>
      </c>
      <c r="C833" s="427">
        <f t="shared" si="24"/>
        <v>1994</v>
      </c>
      <c r="D833" s="433">
        <f t="shared" si="25"/>
        <v>819.7</v>
      </c>
    </row>
    <row r="834" spans="1:4" ht="16.149999999999999" customHeight="1" x14ac:dyDescent="0.25">
      <c r="A834" s="431">
        <v>34394</v>
      </c>
      <c r="B834" s="434">
        <v>820.12</v>
      </c>
      <c r="C834" s="427">
        <f t="shared" si="24"/>
        <v>1994</v>
      </c>
      <c r="D834" s="433">
        <f t="shared" si="25"/>
        <v>820.12</v>
      </c>
    </row>
    <row r="835" spans="1:4" ht="16.149999999999999" customHeight="1" x14ac:dyDescent="0.25">
      <c r="A835" s="431">
        <v>34395</v>
      </c>
      <c r="B835" s="432">
        <v>819.83</v>
      </c>
      <c r="C835" s="427">
        <f t="shared" si="24"/>
        <v>1994</v>
      </c>
      <c r="D835" s="433">
        <f t="shared" si="25"/>
        <v>819.83</v>
      </c>
    </row>
    <row r="836" spans="1:4" ht="16.149999999999999" customHeight="1" x14ac:dyDescent="0.25">
      <c r="A836" s="431">
        <v>34396</v>
      </c>
      <c r="B836" s="434">
        <v>819.61</v>
      </c>
      <c r="C836" s="427">
        <f t="shared" si="24"/>
        <v>1994</v>
      </c>
      <c r="D836" s="433">
        <f t="shared" si="25"/>
        <v>819.61</v>
      </c>
    </row>
    <row r="837" spans="1:4" ht="16.149999999999999" customHeight="1" x14ac:dyDescent="0.25">
      <c r="A837" s="431">
        <v>34397</v>
      </c>
      <c r="B837" s="432">
        <v>818.7</v>
      </c>
      <c r="C837" s="427">
        <f t="shared" si="24"/>
        <v>1994</v>
      </c>
      <c r="D837" s="433">
        <f t="shared" si="25"/>
        <v>818.7</v>
      </c>
    </row>
    <row r="838" spans="1:4" ht="16.149999999999999" customHeight="1" x14ac:dyDescent="0.25">
      <c r="A838" s="431">
        <v>34398</v>
      </c>
      <c r="B838" s="434">
        <v>817.86</v>
      </c>
      <c r="C838" s="427">
        <f t="shared" si="24"/>
        <v>1994</v>
      </c>
      <c r="D838" s="433">
        <f t="shared" si="25"/>
        <v>817.86</v>
      </c>
    </row>
    <row r="839" spans="1:4" ht="16.149999999999999" customHeight="1" x14ac:dyDescent="0.25">
      <c r="A839" s="431">
        <v>34399</v>
      </c>
      <c r="B839" s="432">
        <v>817.86</v>
      </c>
      <c r="C839" s="427">
        <f t="shared" si="24"/>
        <v>1994</v>
      </c>
      <c r="D839" s="433">
        <f t="shared" si="25"/>
        <v>817.86</v>
      </c>
    </row>
    <row r="840" spans="1:4" ht="16.149999999999999" customHeight="1" x14ac:dyDescent="0.25">
      <c r="A840" s="431">
        <v>34400</v>
      </c>
      <c r="B840" s="434">
        <v>817.86</v>
      </c>
      <c r="C840" s="427">
        <f t="shared" si="24"/>
        <v>1994</v>
      </c>
      <c r="D840" s="433">
        <f t="shared" si="25"/>
        <v>817.86</v>
      </c>
    </row>
    <row r="841" spans="1:4" ht="16.149999999999999" customHeight="1" x14ac:dyDescent="0.25">
      <c r="A841" s="431">
        <v>34401</v>
      </c>
      <c r="B841" s="432">
        <v>817.76</v>
      </c>
      <c r="C841" s="427">
        <f t="shared" si="24"/>
        <v>1994</v>
      </c>
      <c r="D841" s="433">
        <f t="shared" si="25"/>
        <v>817.76</v>
      </c>
    </row>
    <row r="842" spans="1:4" ht="16.149999999999999" customHeight="1" x14ac:dyDescent="0.25">
      <c r="A842" s="431">
        <v>34402</v>
      </c>
      <c r="B842" s="434">
        <v>818.02</v>
      </c>
      <c r="C842" s="427">
        <f t="shared" ref="C842:C905" si="26">YEAR(A842)</f>
        <v>1994</v>
      </c>
      <c r="D842" s="433">
        <f t="shared" ref="D842:D905" si="27">B842</f>
        <v>818.02</v>
      </c>
    </row>
    <row r="843" spans="1:4" ht="16.149999999999999" customHeight="1" x14ac:dyDescent="0.25">
      <c r="A843" s="431">
        <v>34403</v>
      </c>
      <c r="B843" s="432">
        <v>818.37</v>
      </c>
      <c r="C843" s="427">
        <f t="shared" si="26"/>
        <v>1994</v>
      </c>
      <c r="D843" s="433">
        <f t="shared" si="27"/>
        <v>818.37</v>
      </c>
    </row>
    <row r="844" spans="1:4" ht="16.149999999999999" customHeight="1" x14ac:dyDescent="0.25">
      <c r="A844" s="431">
        <v>34404</v>
      </c>
      <c r="B844" s="434">
        <v>818.46</v>
      </c>
      <c r="C844" s="427">
        <f t="shared" si="26"/>
        <v>1994</v>
      </c>
      <c r="D844" s="433">
        <f t="shared" si="27"/>
        <v>818.46</v>
      </c>
    </row>
    <row r="845" spans="1:4" ht="16.149999999999999" customHeight="1" x14ac:dyDescent="0.25">
      <c r="A845" s="431">
        <v>34405</v>
      </c>
      <c r="B845" s="432">
        <v>818.62</v>
      </c>
      <c r="C845" s="427">
        <f t="shared" si="26"/>
        <v>1994</v>
      </c>
      <c r="D845" s="433">
        <f t="shared" si="27"/>
        <v>818.62</v>
      </c>
    </row>
    <row r="846" spans="1:4" ht="16.149999999999999" customHeight="1" x14ac:dyDescent="0.25">
      <c r="A846" s="431">
        <v>34406</v>
      </c>
      <c r="B846" s="434">
        <v>818.62</v>
      </c>
      <c r="C846" s="427">
        <f t="shared" si="26"/>
        <v>1994</v>
      </c>
      <c r="D846" s="433">
        <f t="shared" si="27"/>
        <v>818.62</v>
      </c>
    </row>
    <row r="847" spans="1:4" ht="16.149999999999999" customHeight="1" x14ac:dyDescent="0.25">
      <c r="A847" s="431">
        <v>34407</v>
      </c>
      <c r="B847" s="432">
        <v>818.62</v>
      </c>
      <c r="C847" s="427">
        <f t="shared" si="26"/>
        <v>1994</v>
      </c>
      <c r="D847" s="433">
        <f t="shared" si="27"/>
        <v>818.62</v>
      </c>
    </row>
    <row r="848" spans="1:4" ht="16.149999999999999" customHeight="1" x14ac:dyDescent="0.25">
      <c r="A848" s="431">
        <v>34408</v>
      </c>
      <c r="B848" s="434">
        <v>818.69</v>
      </c>
      <c r="C848" s="427">
        <f t="shared" si="26"/>
        <v>1994</v>
      </c>
      <c r="D848" s="433">
        <f t="shared" si="27"/>
        <v>818.69</v>
      </c>
    </row>
    <row r="849" spans="1:4" ht="16.149999999999999" customHeight="1" x14ac:dyDescent="0.25">
      <c r="A849" s="431">
        <v>34409</v>
      </c>
      <c r="B849" s="432">
        <v>818.49</v>
      </c>
      <c r="C849" s="427">
        <f t="shared" si="26"/>
        <v>1994</v>
      </c>
      <c r="D849" s="433">
        <f t="shared" si="27"/>
        <v>818.49</v>
      </c>
    </row>
    <row r="850" spans="1:4" ht="16.149999999999999" customHeight="1" x14ac:dyDescent="0.25">
      <c r="A850" s="431">
        <v>34410</v>
      </c>
      <c r="B850" s="434">
        <v>820.44</v>
      </c>
      <c r="C850" s="427">
        <f t="shared" si="26"/>
        <v>1994</v>
      </c>
      <c r="D850" s="433">
        <f t="shared" si="27"/>
        <v>820.44</v>
      </c>
    </row>
    <row r="851" spans="1:4" ht="16.149999999999999" customHeight="1" x14ac:dyDescent="0.25">
      <c r="A851" s="431">
        <v>34411</v>
      </c>
      <c r="B851" s="432">
        <v>820.91</v>
      </c>
      <c r="C851" s="427">
        <f t="shared" si="26"/>
        <v>1994</v>
      </c>
      <c r="D851" s="433">
        <f t="shared" si="27"/>
        <v>820.91</v>
      </c>
    </row>
    <row r="852" spans="1:4" ht="16.149999999999999" customHeight="1" x14ac:dyDescent="0.25">
      <c r="A852" s="431">
        <v>34412</v>
      </c>
      <c r="B852" s="434">
        <v>821.34</v>
      </c>
      <c r="C852" s="427">
        <f t="shared" si="26"/>
        <v>1994</v>
      </c>
      <c r="D852" s="433">
        <f t="shared" si="27"/>
        <v>821.34</v>
      </c>
    </row>
    <row r="853" spans="1:4" ht="16.149999999999999" customHeight="1" x14ac:dyDescent="0.25">
      <c r="A853" s="431">
        <v>34413</v>
      </c>
      <c r="B853" s="432">
        <v>821.34</v>
      </c>
      <c r="C853" s="427">
        <f t="shared" si="26"/>
        <v>1994</v>
      </c>
      <c r="D853" s="433">
        <f t="shared" si="27"/>
        <v>821.34</v>
      </c>
    </row>
    <row r="854" spans="1:4" ht="16.149999999999999" customHeight="1" x14ac:dyDescent="0.25">
      <c r="A854" s="431">
        <v>34414</v>
      </c>
      <c r="B854" s="434">
        <v>821.34</v>
      </c>
      <c r="C854" s="427">
        <f t="shared" si="26"/>
        <v>1994</v>
      </c>
      <c r="D854" s="433">
        <f t="shared" si="27"/>
        <v>821.34</v>
      </c>
    </row>
    <row r="855" spans="1:4" ht="16.149999999999999" customHeight="1" x14ac:dyDescent="0.25">
      <c r="A855" s="431">
        <v>34415</v>
      </c>
      <c r="B855" s="432">
        <v>821.34</v>
      </c>
      <c r="C855" s="427">
        <f t="shared" si="26"/>
        <v>1994</v>
      </c>
      <c r="D855" s="433">
        <f t="shared" si="27"/>
        <v>821.34</v>
      </c>
    </row>
    <row r="856" spans="1:4" ht="16.149999999999999" customHeight="1" x14ac:dyDescent="0.25">
      <c r="A856" s="431">
        <v>34416</v>
      </c>
      <c r="B856" s="434">
        <v>821.73</v>
      </c>
      <c r="C856" s="427">
        <f t="shared" si="26"/>
        <v>1994</v>
      </c>
      <c r="D856" s="433">
        <f t="shared" si="27"/>
        <v>821.73</v>
      </c>
    </row>
    <row r="857" spans="1:4" ht="16.149999999999999" customHeight="1" x14ac:dyDescent="0.25">
      <c r="A857" s="431">
        <v>34417</v>
      </c>
      <c r="B857" s="432">
        <v>821.82</v>
      </c>
      <c r="C857" s="427">
        <f t="shared" si="26"/>
        <v>1994</v>
      </c>
      <c r="D857" s="433">
        <f t="shared" si="27"/>
        <v>821.82</v>
      </c>
    </row>
    <row r="858" spans="1:4" ht="16.149999999999999" customHeight="1" x14ac:dyDescent="0.25">
      <c r="A858" s="431">
        <v>34418</v>
      </c>
      <c r="B858" s="434">
        <v>821.7</v>
      </c>
      <c r="C858" s="427">
        <f t="shared" si="26"/>
        <v>1994</v>
      </c>
      <c r="D858" s="433">
        <f t="shared" si="27"/>
        <v>821.7</v>
      </c>
    </row>
    <row r="859" spans="1:4" ht="16.149999999999999" customHeight="1" x14ac:dyDescent="0.25">
      <c r="A859" s="431">
        <v>34419</v>
      </c>
      <c r="B859" s="432">
        <v>821.14</v>
      </c>
      <c r="C859" s="427">
        <f t="shared" si="26"/>
        <v>1994</v>
      </c>
      <c r="D859" s="433">
        <f t="shared" si="27"/>
        <v>821.14</v>
      </c>
    </row>
    <row r="860" spans="1:4" ht="16.149999999999999" customHeight="1" x14ac:dyDescent="0.25">
      <c r="A860" s="431">
        <v>34420</v>
      </c>
      <c r="B860" s="434">
        <v>821.14</v>
      </c>
      <c r="C860" s="427">
        <f t="shared" si="26"/>
        <v>1994</v>
      </c>
      <c r="D860" s="433">
        <f t="shared" si="27"/>
        <v>821.14</v>
      </c>
    </row>
    <row r="861" spans="1:4" ht="16.149999999999999" customHeight="1" x14ac:dyDescent="0.25">
      <c r="A861" s="431">
        <v>34421</v>
      </c>
      <c r="B861" s="432">
        <v>821.14</v>
      </c>
      <c r="C861" s="427">
        <f t="shared" si="26"/>
        <v>1994</v>
      </c>
      <c r="D861" s="433">
        <f t="shared" si="27"/>
        <v>821.14</v>
      </c>
    </row>
    <row r="862" spans="1:4" ht="16.149999999999999" customHeight="1" x14ac:dyDescent="0.25">
      <c r="A862" s="431">
        <v>34422</v>
      </c>
      <c r="B862" s="434">
        <v>820.63</v>
      </c>
      <c r="C862" s="427">
        <f t="shared" si="26"/>
        <v>1994</v>
      </c>
      <c r="D862" s="433">
        <f t="shared" si="27"/>
        <v>820.63</v>
      </c>
    </row>
    <row r="863" spans="1:4" ht="16.149999999999999" customHeight="1" x14ac:dyDescent="0.25">
      <c r="A863" s="431">
        <v>34423</v>
      </c>
      <c r="B863" s="432">
        <v>820.78</v>
      </c>
      <c r="C863" s="427">
        <f t="shared" si="26"/>
        <v>1994</v>
      </c>
      <c r="D863" s="433">
        <f t="shared" si="27"/>
        <v>820.78</v>
      </c>
    </row>
    <row r="864" spans="1:4" ht="16.149999999999999" customHeight="1" x14ac:dyDescent="0.25">
      <c r="A864" s="431">
        <v>34424</v>
      </c>
      <c r="B864" s="434">
        <v>819.51</v>
      </c>
      <c r="C864" s="427">
        <f t="shared" si="26"/>
        <v>1994</v>
      </c>
      <c r="D864" s="433">
        <f t="shared" si="27"/>
        <v>819.51</v>
      </c>
    </row>
    <row r="865" spans="1:4" ht="16.149999999999999" customHeight="1" x14ac:dyDescent="0.25">
      <c r="A865" s="431">
        <v>34425</v>
      </c>
      <c r="B865" s="432">
        <v>819.51</v>
      </c>
      <c r="C865" s="427">
        <f t="shared" si="26"/>
        <v>1994</v>
      </c>
      <c r="D865" s="433">
        <f t="shared" si="27"/>
        <v>819.51</v>
      </c>
    </row>
    <row r="866" spans="1:4" ht="16.149999999999999" customHeight="1" x14ac:dyDescent="0.25">
      <c r="A866" s="431">
        <v>34426</v>
      </c>
      <c r="B866" s="434">
        <v>819.51</v>
      </c>
      <c r="C866" s="427">
        <f t="shared" si="26"/>
        <v>1994</v>
      </c>
      <c r="D866" s="433">
        <f t="shared" si="27"/>
        <v>819.51</v>
      </c>
    </row>
    <row r="867" spans="1:4" ht="16.149999999999999" customHeight="1" x14ac:dyDescent="0.25">
      <c r="A867" s="431">
        <v>34427</v>
      </c>
      <c r="B867" s="432">
        <v>819.51</v>
      </c>
      <c r="C867" s="427">
        <f t="shared" si="26"/>
        <v>1994</v>
      </c>
      <c r="D867" s="433">
        <f t="shared" si="27"/>
        <v>819.51</v>
      </c>
    </row>
    <row r="868" spans="1:4" ht="16.149999999999999" customHeight="1" x14ac:dyDescent="0.25">
      <c r="A868" s="431">
        <v>34428</v>
      </c>
      <c r="B868" s="434">
        <v>819.51</v>
      </c>
      <c r="C868" s="427">
        <f t="shared" si="26"/>
        <v>1994</v>
      </c>
      <c r="D868" s="433">
        <f t="shared" si="27"/>
        <v>819.51</v>
      </c>
    </row>
    <row r="869" spans="1:4" ht="16.149999999999999" customHeight="1" x14ac:dyDescent="0.25">
      <c r="A869" s="431">
        <v>34429</v>
      </c>
      <c r="B869" s="432">
        <v>820.21</v>
      </c>
      <c r="C869" s="427">
        <f t="shared" si="26"/>
        <v>1994</v>
      </c>
      <c r="D869" s="433">
        <f t="shared" si="27"/>
        <v>820.21</v>
      </c>
    </row>
    <row r="870" spans="1:4" ht="16.149999999999999" customHeight="1" x14ac:dyDescent="0.25">
      <c r="A870" s="431">
        <v>34430</v>
      </c>
      <c r="B870" s="434">
        <v>820.93</v>
      </c>
      <c r="C870" s="427">
        <f t="shared" si="26"/>
        <v>1994</v>
      </c>
      <c r="D870" s="433">
        <f t="shared" si="27"/>
        <v>820.93</v>
      </c>
    </row>
    <row r="871" spans="1:4" ht="16.149999999999999" customHeight="1" x14ac:dyDescent="0.25">
      <c r="A871" s="431">
        <v>34431</v>
      </c>
      <c r="B871" s="432">
        <v>822.57</v>
      </c>
      <c r="C871" s="427">
        <f t="shared" si="26"/>
        <v>1994</v>
      </c>
      <c r="D871" s="433">
        <f t="shared" si="27"/>
        <v>822.57</v>
      </c>
    </row>
    <row r="872" spans="1:4" ht="16.149999999999999" customHeight="1" x14ac:dyDescent="0.25">
      <c r="A872" s="431">
        <v>34432</v>
      </c>
      <c r="B872" s="434">
        <v>825.28</v>
      </c>
      <c r="C872" s="427">
        <f t="shared" si="26"/>
        <v>1994</v>
      </c>
      <c r="D872" s="433">
        <f t="shared" si="27"/>
        <v>825.28</v>
      </c>
    </row>
    <row r="873" spans="1:4" ht="16.149999999999999" customHeight="1" x14ac:dyDescent="0.25">
      <c r="A873" s="431">
        <v>34433</v>
      </c>
      <c r="B873" s="432">
        <v>828.92</v>
      </c>
      <c r="C873" s="427">
        <f t="shared" si="26"/>
        <v>1994</v>
      </c>
      <c r="D873" s="433">
        <f t="shared" si="27"/>
        <v>828.92</v>
      </c>
    </row>
    <row r="874" spans="1:4" ht="16.149999999999999" customHeight="1" x14ac:dyDescent="0.25">
      <c r="A874" s="431">
        <v>34434</v>
      </c>
      <c r="B874" s="434">
        <v>828.92</v>
      </c>
      <c r="C874" s="427">
        <f t="shared" si="26"/>
        <v>1994</v>
      </c>
      <c r="D874" s="433">
        <f t="shared" si="27"/>
        <v>828.92</v>
      </c>
    </row>
    <row r="875" spans="1:4" ht="16.149999999999999" customHeight="1" x14ac:dyDescent="0.25">
      <c r="A875" s="431">
        <v>34435</v>
      </c>
      <c r="B875" s="432">
        <v>828.92</v>
      </c>
      <c r="C875" s="427">
        <f t="shared" si="26"/>
        <v>1994</v>
      </c>
      <c r="D875" s="433">
        <f t="shared" si="27"/>
        <v>828.92</v>
      </c>
    </row>
    <row r="876" spans="1:4" ht="16.149999999999999" customHeight="1" x14ac:dyDescent="0.25">
      <c r="A876" s="431">
        <v>34436</v>
      </c>
      <c r="B876" s="434">
        <v>829.32</v>
      </c>
      <c r="C876" s="427">
        <f t="shared" si="26"/>
        <v>1994</v>
      </c>
      <c r="D876" s="433">
        <f t="shared" si="27"/>
        <v>829.32</v>
      </c>
    </row>
    <row r="877" spans="1:4" ht="16.149999999999999" customHeight="1" x14ac:dyDescent="0.25">
      <c r="A877" s="431">
        <v>34437</v>
      </c>
      <c r="B877" s="432">
        <v>828.81</v>
      </c>
      <c r="C877" s="427">
        <f t="shared" si="26"/>
        <v>1994</v>
      </c>
      <c r="D877" s="433">
        <f t="shared" si="27"/>
        <v>828.81</v>
      </c>
    </row>
    <row r="878" spans="1:4" ht="16.149999999999999" customHeight="1" x14ac:dyDescent="0.25">
      <c r="A878" s="431">
        <v>34438</v>
      </c>
      <c r="B878" s="434">
        <v>827.96</v>
      </c>
      <c r="C878" s="427">
        <f t="shared" si="26"/>
        <v>1994</v>
      </c>
      <c r="D878" s="433">
        <f t="shared" si="27"/>
        <v>827.96</v>
      </c>
    </row>
    <row r="879" spans="1:4" ht="16.149999999999999" customHeight="1" x14ac:dyDescent="0.25">
      <c r="A879" s="431">
        <v>34439</v>
      </c>
      <c r="B879" s="432">
        <v>827.44</v>
      </c>
      <c r="C879" s="427">
        <f t="shared" si="26"/>
        <v>1994</v>
      </c>
      <c r="D879" s="433">
        <f t="shared" si="27"/>
        <v>827.44</v>
      </c>
    </row>
    <row r="880" spans="1:4" ht="16.149999999999999" customHeight="1" x14ac:dyDescent="0.25">
      <c r="A880" s="431">
        <v>34440</v>
      </c>
      <c r="B880" s="434">
        <v>827.93</v>
      </c>
      <c r="C880" s="427">
        <f t="shared" si="26"/>
        <v>1994</v>
      </c>
      <c r="D880" s="433">
        <f t="shared" si="27"/>
        <v>827.93</v>
      </c>
    </row>
    <row r="881" spans="1:4" ht="16.149999999999999" customHeight="1" x14ac:dyDescent="0.25">
      <c r="A881" s="431">
        <v>34441</v>
      </c>
      <c r="B881" s="432">
        <v>827.93</v>
      </c>
      <c r="C881" s="427">
        <f t="shared" si="26"/>
        <v>1994</v>
      </c>
      <c r="D881" s="433">
        <f t="shared" si="27"/>
        <v>827.93</v>
      </c>
    </row>
    <row r="882" spans="1:4" ht="16.149999999999999" customHeight="1" x14ac:dyDescent="0.25">
      <c r="A882" s="431">
        <v>34442</v>
      </c>
      <c r="B882" s="434">
        <v>827.93</v>
      </c>
      <c r="C882" s="427">
        <f t="shared" si="26"/>
        <v>1994</v>
      </c>
      <c r="D882" s="433">
        <f t="shared" si="27"/>
        <v>827.93</v>
      </c>
    </row>
    <row r="883" spans="1:4" ht="16.149999999999999" customHeight="1" x14ac:dyDescent="0.25">
      <c r="A883" s="431">
        <v>34443</v>
      </c>
      <c r="B883" s="432">
        <v>829.47</v>
      </c>
      <c r="C883" s="427">
        <f t="shared" si="26"/>
        <v>1994</v>
      </c>
      <c r="D883" s="433">
        <f t="shared" si="27"/>
        <v>829.47</v>
      </c>
    </row>
    <row r="884" spans="1:4" ht="16.149999999999999" customHeight="1" x14ac:dyDescent="0.25">
      <c r="A884" s="431">
        <v>34444</v>
      </c>
      <c r="B884" s="434">
        <v>831.24</v>
      </c>
      <c r="C884" s="427">
        <f t="shared" si="26"/>
        <v>1994</v>
      </c>
      <c r="D884" s="433">
        <f t="shared" si="27"/>
        <v>831.24</v>
      </c>
    </row>
    <row r="885" spans="1:4" ht="16.149999999999999" customHeight="1" x14ac:dyDescent="0.25">
      <c r="A885" s="431">
        <v>34445</v>
      </c>
      <c r="B885" s="432">
        <v>834.3</v>
      </c>
      <c r="C885" s="427">
        <f t="shared" si="26"/>
        <v>1994</v>
      </c>
      <c r="D885" s="433">
        <f t="shared" si="27"/>
        <v>834.3</v>
      </c>
    </row>
    <row r="886" spans="1:4" ht="16.149999999999999" customHeight="1" x14ac:dyDescent="0.25">
      <c r="A886" s="431">
        <v>34446</v>
      </c>
      <c r="B886" s="434">
        <v>838.25</v>
      </c>
      <c r="C886" s="427">
        <f t="shared" si="26"/>
        <v>1994</v>
      </c>
      <c r="D886" s="433">
        <f t="shared" si="27"/>
        <v>838.25</v>
      </c>
    </row>
    <row r="887" spans="1:4" ht="16.149999999999999" customHeight="1" x14ac:dyDescent="0.25">
      <c r="A887" s="431">
        <v>34447</v>
      </c>
      <c r="B887" s="432">
        <v>836.96</v>
      </c>
      <c r="C887" s="427">
        <f t="shared" si="26"/>
        <v>1994</v>
      </c>
      <c r="D887" s="433">
        <f t="shared" si="27"/>
        <v>836.96</v>
      </c>
    </row>
    <row r="888" spans="1:4" ht="16.149999999999999" customHeight="1" x14ac:dyDescent="0.25">
      <c r="A888" s="431">
        <v>34448</v>
      </c>
      <c r="B888" s="434">
        <v>836.96</v>
      </c>
      <c r="C888" s="427">
        <f t="shared" si="26"/>
        <v>1994</v>
      </c>
      <c r="D888" s="433">
        <f t="shared" si="27"/>
        <v>836.96</v>
      </c>
    </row>
    <row r="889" spans="1:4" ht="16.149999999999999" customHeight="1" x14ac:dyDescent="0.25">
      <c r="A889" s="431">
        <v>34449</v>
      </c>
      <c r="B889" s="432">
        <v>836.96</v>
      </c>
      <c r="C889" s="427">
        <f t="shared" si="26"/>
        <v>1994</v>
      </c>
      <c r="D889" s="433">
        <f t="shared" si="27"/>
        <v>836.96</v>
      </c>
    </row>
    <row r="890" spans="1:4" ht="16.149999999999999" customHeight="1" x14ac:dyDescent="0.25">
      <c r="A890" s="431">
        <v>34450</v>
      </c>
      <c r="B890" s="434">
        <v>835.4</v>
      </c>
      <c r="C890" s="427">
        <f t="shared" si="26"/>
        <v>1994</v>
      </c>
      <c r="D890" s="433">
        <f t="shared" si="27"/>
        <v>835.4</v>
      </c>
    </row>
    <row r="891" spans="1:4" ht="16.149999999999999" customHeight="1" x14ac:dyDescent="0.25">
      <c r="A891" s="431">
        <v>34451</v>
      </c>
      <c r="B891" s="432">
        <v>837.31</v>
      </c>
      <c r="C891" s="427">
        <f t="shared" si="26"/>
        <v>1994</v>
      </c>
      <c r="D891" s="433">
        <f t="shared" si="27"/>
        <v>837.31</v>
      </c>
    </row>
    <row r="892" spans="1:4" ht="16.149999999999999" customHeight="1" x14ac:dyDescent="0.25">
      <c r="A892" s="431">
        <v>34452</v>
      </c>
      <c r="B892" s="434">
        <v>838.28</v>
      </c>
      <c r="C892" s="427">
        <f t="shared" si="26"/>
        <v>1994</v>
      </c>
      <c r="D892" s="433">
        <f t="shared" si="27"/>
        <v>838.28</v>
      </c>
    </row>
    <row r="893" spans="1:4" ht="16.149999999999999" customHeight="1" x14ac:dyDescent="0.25">
      <c r="A893" s="431">
        <v>34453</v>
      </c>
      <c r="B893" s="432">
        <v>837.27</v>
      </c>
      <c r="C893" s="427">
        <f t="shared" si="26"/>
        <v>1994</v>
      </c>
      <c r="D893" s="433">
        <f t="shared" si="27"/>
        <v>837.27</v>
      </c>
    </row>
    <row r="894" spans="1:4" ht="16.149999999999999" customHeight="1" x14ac:dyDescent="0.25">
      <c r="A894" s="431">
        <v>34454</v>
      </c>
      <c r="B894" s="434">
        <v>836.86</v>
      </c>
      <c r="C894" s="427">
        <f t="shared" si="26"/>
        <v>1994</v>
      </c>
      <c r="D894" s="433">
        <f t="shared" si="27"/>
        <v>836.86</v>
      </c>
    </row>
    <row r="895" spans="1:4" ht="16.149999999999999" customHeight="1" x14ac:dyDescent="0.25">
      <c r="A895" s="431">
        <v>34455</v>
      </c>
      <c r="B895" s="432">
        <v>836.86</v>
      </c>
      <c r="C895" s="427">
        <f t="shared" si="26"/>
        <v>1994</v>
      </c>
      <c r="D895" s="433">
        <f t="shared" si="27"/>
        <v>836.86</v>
      </c>
    </row>
    <row r="896" spans="1:4" ht="16.149999999999999" customHeight="1" x14ac:dyDescent="0.25">
      <c r="A896" s="431">
        <v>34456</v>
      </c>
      <c r="B896" s="434">
        <v>836.86</v>
      </c>
      <c r="C896" s="427">
        <f t="shared" si="26"/>
        <v>1994</v>
      </c>
      <c r="D896" s="433">
        <f t="shared" si="27"/>
        <v>836.86</v>
      </c>
    </row>
    <row r="897" spans="1:4" ht="16.149999999999999" customHeight="1" x14ac:dyDescent="0.25">
      <c r="A897" s="431">
        <v>34457</v>
      </c>
      <c r="B897" s="432">
        <v>838.04</v>
      </c>
      <c r="C897" s="427">
        <f t="shared" si="26"/>
        <v>1994</v>
      </c>
      <c r="D897" s="433">
        <f t="shared" si="27"/>
        <v>838.04</v>
      </c>
    </row>
    <row r="898" spans="1:4" ht="16.149999999999999" customHeight="1" x14ac:dyDescent="0.25">
      <c r="A898" s="431">
        <v>34458</v>
      </c>
      <c r="B898" s="434">
        <v>839.14</v>
      </c>
      <c r="C898" s="427">
        <f t="shared" si="26"/>
        <v>1994</v>
      </c>
      <c r="D898" s="433">
        <f t="shared" si="27"/>
        <v>839.14</v>
      </c>
    </row>
    <row r="899" spans="1:4" ht="16.149999999999999" customHeight="1" x14ac:dyDescent="0.25">
      <c r="A899" s="431">
        <v>34459</v>
      </c>
      <c r="B899" s="432">
        <v>841</v>
      </c>
      <c r="C899" s="427">
        <f t="shared" si="26"/>
        <v>1994</v>
      </c>
      <c r="D899" s="433">
        <f t="shared" si="27"/>
        <v>841</v>
      </c>
    </row>
    <row r="900" spans="1:4" ht="16.149999999999999" customHeight="1" x14ac:dyDescent="0.25">
      <c r="A900" s="431">
        <v>34460</v>
      </c>
      <c r="B900" s="434">
        <v>841.25</v>
      </c>
      <c r="C900" s="427">
        <f t="shared" si="26"/>
        <v>1994</v>
      </c>
      <c r="D900" s="433">
        <f t="shared" si="27"/>
        <v>841.25</v>
      </c>
    </row>
    <row r="901" spans="1:4" ht="16.149999999999999" customHeight="1" x14ac:dyDescent="0.25">
      <c r="A901" s="431">
        <v>34461</v>
      </c>
      <c r="B901" s="432">
        <v>841.7</v>
      </c>
      <c r="C901" s="427">
        <f t="shared" si="26"/>
        <v>1994</v>
      </c>
      <c r="D901" s="433">
        <f t="shared" si="27"/>
        <v>841.7</v>
      </c>
    </row>
    <row r="902" spans="1:4" ht="16.149999999999999" customHeight="1" x14ac:dyDescent="0.25">
      <c r="A902" s="431">
        <v>34462</v>
      </c>
      <c r="B902" s="434">
        <v>841.7</v>
      </c>
      <c r="C902" s="427">
        <f t="shared" si="26"/>
        <v>1994</v>
      </c>
      <c r="D902" s="433">
        <f t="shared" si="27"/>
        <v>841.7</v>
      </c>
    </row>
    <row r="903" spans="1:4" ht="16.149999999999999" customHeight="1" x14ac:dyDescent="0.25">
      <c r="A903" s="431">
        <v>34463</v>
      </c>
      <c r="B903" s="432">
        <v>841.7</v>
      </c>
      <c r="C903" s="427">
        <f t="shared" si="26"/>
        <v>1994</v>
      </c>
      <c r="D903" s="433">
        <f t="shared" si="27"/>
        <v>841.7</v>
      </c>
    </row>
    <row r="904" spans="1:4" ht="16.149999999999999" customHeight="1" x14ac:dyDescent="0.25">
      <c r="A904" s="431">
        <v>34464</v>
      </c>
      <c r="B904" s="434">
        <v>841.27</v>
      </c>
      <c r="C904" s="427">
        <f t="shared" si="26"/>
        <v>1994</v>
      </c>
      <c r="D904" s="433">
        <f t="shared" si="27"/>
        <v>841.27</v>
      </c>
    </row>
    <row r="905" spans="1:4" ht="16.149999999999999" customHeight="1" x14ac:dyDescent="0.25">
      <c r="A905" s="431">
        <v>34465</v>
      </c>
      <c r="B905" s="432">
        <v>841.33</v>
      </c>
      <c r="C905" s="427">
        <f t="shared" si="26"/>
        <v>1994</v>
      </c>
      <c r="D905" s="433">
        <f t="shared" si="27"/>
        <v>841.33</v>
      </c>
    </row>
    <row r="906" spans="1:4" ht="16.149999999999999" customHeight="1" x14ac:dyDescent="0.25">
      <c r="A906" s="431">
        <v>34466</v>
      </c>
      <c r="B906" s="434">
        <v>841.92</v>
      </c>
      <c r="C906" s="427">
        <f t="shared" ref="C906:C969" si="28">YEAR(A906)</f>
        <v>1994</v>
      </c>
      <c r="D906" s="433">
        <f t="shared" ref="D906:D969" si="29">B906</f>
        <v>841.92</v>
      </c>
    </row>
    <row r="907" spans="1:4" ht="16.149999999999999" customHeight="1" x14ac:dyDescent="0.25">
      <c r="A907" s="431">
        <v>34467</v>
      </c>
      <c r="B907" s="432">
        <v>843.24</v>
      </c>
      <c r="C907" s="427">
        <f t="shared" si="28"/>
        <v>1994</v>
      </c>
      <c r="D907" s="433">
        <f t="shared" si="29"/>
        <v>843.24</v>
      </c>
    </row>
    <row r="908" spans="1:4" ht="16.149999999999999" customHeight="1" x14ac:dyDescent="0.25">
      <c r="A908" s="431">
        <v>34468</v>
      </c>
      <c r="B908" s="434">
        <v>842.23</v>
      </c>
      <c r="C908" s="427">
        <f t="shared" si="28"/>
        <v>1994</v>
      </c>
      <c r="D908" s="433">
        <f t="shared" si="29"/>
        <v>842.23</v>
      </c>
    </row>
    <row r="909" spans="1:4" ht="16.149999999999999" customHeight="1" x14ac:dyDescent="0.25">
      <c r="A909" s="431">
        <v>34469</v>
      </c>
      <c r="B909" s="432">
        <v>842.23</v>
      </c>
      <c r="C909" s="427">
        <f t="shared" si="28"/>
        <v>1994</v>
      </c>
      <c r="D909" s="433">
        <f t="shared" si="29"/>
        <v>842.23</v>
      </c>
    </row>
    <row r="910" spans="1:4" ht="16.149999999999999" customHeight="1" x14ac:dyDescent="0.25">
      <c r="A910" s="431">
        <v>34470</v>
      </c>
      <c r="B910" s="434">
        <v>842.23</v>
      </c>
      <c r="C910" s="427">
        <f t="shared" si="28"/>
        <v>1994</v>
      </c>
      <c r="D910" s="433">
        <f t="shared" si="29"/>
        <v>842.23</v>
      </c>
    </row>
    <row r="911" spans="1:4" ht="16.149999999999999" customHeight="1" x14ac:dyDescent="0.25">
      <c r="A911" s="431">
        <v>34471</v>
      </c>
      <c r="B911" s="432">
        <v>842.23</v>
      </c>
      <c r="C911" s="427">
        <f t="shared" si="28"/>
        <v>1994</v>
      </c>
      <c r="D911" s="433">
        <f t="shared" si="29"/>
        <v>842.23</v>
      </c>
    </row>
    <row r="912" spans="1:4" ht="16.149999999999999" customHeight="1" x14ac:dyDescent="0.25">
      <c r="A912" s="431">
        <v>34472</v>
      </c>
      <c r="B912" s="434">
        <v>842.21</v>
      </c>
      <c r="C912" s="427">
        <f t="shared" si="28"/>
        <v>1994</v>
      </c>
      <c r="D912" s="433">
        <f t="shared" si="29"/>
        <v>842.21</v>
      </c>
    </row>
    <row r="913" spans="1:4" ht="16.149999999999999" customHeight="1" x14ac:dyDescent="0.25">
      <c r="A913" s="431">
        <v>34473</v>
      </c>
      <c r="B913" s="432">
        <v>842.83</v>
      </c>
      <c r="C913" s="427">
        <f t="shared" si="28"/>
        <v>1994</v>
      </c>
      <c r="D913" s="433">
        <f t="shared" si="29"/>
        <v>842.83</v>
      </c>
    </row>
    <row r="914" spans="1:4" ht="16.149999999999999" customHeight="1" x14ac:dyDescent="0.25">
      <c r="A914" s="431">
        <v>34474</v>
      </c>
      <c r="B914" s="434">
        <v>842.64</v>
      </c>
      <c r="C914" s="427">
        <f t="shared" si="28"/>
        <v>1994</v>
      </c>
      <c r="D914" s="433">
        <f t="shared" si="29"/>
        <v>842.64</v>
      </c>
    </row>
    <row r="915" spans="1:4" ht="16.149999999999999" customHeight="1" x14ac:dyDescent="0.25">
      <c r="A915" s="431">
        <v>34475</v>
      </c>
      <c r="B915" s="432">
        <v>842.33</v>
      </c>
      <c r="C915" s="427">
        <f t="shared" si="28"/>
        <v>1994</v>
      </c>
      <c r="D915" s="433">
        <f t="shared" si="29"/>
        <v>842.33</v>
      </c>
    </row>
    <row r="916" spans="1:4" ht="16.149999999999999" customHeight="1" x14ac:dyDescent="0.25">
      <c r="A916" s="431">
        <v>34476</v>
      </c>
      <c r="B916" s="434">
        <v>842.33</v>
      </c>
      <c r="C916" s="427">
        <f t="shared" si="28"/>
        <v>1994</v>
      </c>
      <c r="D916" s="433">
        <f t="shared" si="29"/>
        <v>842.33</v>
      </c>
    </row>
    <row r="917" spans="1:4" ht="16.149999999999999" customHeight="1" x14ac:dyDescent="0.25">
      <c r="A917" s="431">
        <v>34477</v>
      </c>
      <c r="B917" s="432">
        <v>842.33</v>
      </c>
      <c r="C917" s="427">
        <f t="shared" si="28"/>
        <v>1994</v>
      </c>
      <c r="D917" s="433">
        <f t="shared" si="29"/>
        <v>842.33</v>
      </c>
    </row>
    <row r="918" spans="1:4" ht="16.149999999999999" customHeight="1" x14ac:dyDescent="0.25">
      <c r="A918" s="431">
        <v>34478</v>
      </c>
      <c r="B918" s="434">
        <v>842.92</v>
      </c>
      <c r="C918" s="427">
        <f t="shared" si="28"/>
        <v>1994</v>
      </c>
      <c r="D918" s="433">
        <f t="shared" si="29"/>
        <v>842.92</v>
      </c>
    </row>
    <row r="919" spans="1:4" ht="16.149999999999999" customHeight="1" x14ac:dyDescent="0.25">
      <c r="A919" s="431">
        <v>34479</v>
      </c>
      <c r="B919" s="432">
        <v>843.08</v>
      </c>
      <c r="C919" s="427">
        <f t="shared" si="28"/>
        <v>1994</v>
      </c>
      <c r="D919" s="433">
        <f t="shared" si="29"/>
        <v>843.08</v>
      </c>
    </row>
    <row r="920" spans="1:4" ht="16.149999999999999" customHeight="1" x14ac:dyDescent="0.25">
      <c r="A920" s="431">
        <v>34480</v>
      </c>
      <c r="B920" s="434">
        <v>842.22</v>
      </c>
      <c r="C920" s="427">
        <f t="shared" si="28"/>
        <v>1994</v>
      </c>
      <c r="D920" s="433">
        <f t="shared" si="29"/>
        <v>842.22</v>
      </c>
    </row>
    <row r="921" spans="1:4" ht="16.149999999999999" customHeight="1" x14ac:dyDescent="0.25">
      <c r="A921" s="431">
        <v>34481</v>
      </c>
      <c r="B921" s="432">
        <v>841.86</v>
      </c>
      <c r="C921" s="427">
        <f t="shared" si="28"/>
        <v>1994</v>
      </c>
      <c r="D921" s="433">
        <f t="shared" si="29"/>
        <v>841.86</v>
      </c>
    </row>
    <row r="922" spans="1:4" ht="16.149999999999999" customHeight="1" x14ac:dyDescent="0.25">
      <c r="A922" s="431">
        <v>34482</v>
      </c>
      <c r="B922" s="434">
        <v>840.93</v>
      </c>
      <c r="C922" s="427">
        <f t="shared" si="28"/>
        <v>1994</v>
      </c>
      <c r="D922" s="433">
        <f t="shared" si="29"/>
        <v>840.93</v>
      </c>
    </row>
    <row r="923" spans="1:4" ht="16.149999999999999" customHeight="1" x14ac:dyDescent="0.25">
      <c r="A923" s="431">
        <v>34483</v>
      </c>
      <c r="B923" s="432">
        <v>840.93</v>
      </c>
      <c r="C923" s="427">
        <f t="shared" si="28"/>
        <v>1994</v>
      </c>
      <c r="D923" s="433">
        <f t="shared" si="29"/>
        <v>840.93</v>
      </c>
    </row>
    <row r="924" spans="1:4" ht="16.149999999999999" customHeight="1" x14ac:dyDescent="0.25">
      <c r="A924" s="431">
        <v>34484</v>
      </c>
      <c r="B924" s="434">
        <v>840.93</v>
      </c>
      <c r="C924" s="427">
        <f t="shared" si="28"/>
        <v>1994</v>
      </c>
      <c r="D924" s="433">
        <f t="shared" si="29"/>
        <v>840.93</v>
      </c>
    </row>
    <row r="925" spans="1:4" ht="16.149999999999999" customHeight="1" x14ac:dyDescent="0.25">
      <c r="A925" s="431">
        <v>34485</v>
      </c>
      <c r="B925" s="432">
        <v>841.12</v>
      </c>
      <c r="C925" s="427">
        <f t="shared" si="28"/>
        <v>1994</v>
      </c>
      <c r="D925" s="433">
        <f t="shared" si="29"/>
        <v>841.12</v>
      </c>
    </row>
    <row r="926" spans="1:4" ht="16.149999999999999" customHeight="1" x14ac:dyDescent="0.25">
      <c r="A926" s="431">
        <v>34486</v>
      </c>
      <c r="B926" s="434">
        <v>841.93</v>
      </c>
      <c r="C926" s="427">
        <f t="shared" si="28"/>
        <v>1994</v>
      </c>
      <c r="D926" s="433">
        <f t="shared" si="29"/>
        <v>841.93</v>
      </c>
    </row>
    <row r="927" spans="1:4" ht="16.149999999999999" customHeight="1" x14ac:dyDescent="0.25">
      <c r="A927" s="431">
        <v>34487</v>
      </c>
      <c r="B927" s="432">
        <v>842</v>
      </c>
      <c r="C927" s="427">
        <f t="shared" si="28"/>
        <v>1994</v>
      </c>
      <c r="D927" s="433">
        <f t="shared" si="29"/>
        <v>842</v>
      </c>
    </row>
    <row r="928" spans="1:4" ht="16.149999999999999" customHeight="1" x14ac:dyDescent="0.25">
      <c r="A928" s="431">
        <v>34488</v>
      </c>
      <c r="B928" s="434">
        <v>841.44</v>
      </c>
      <c r="C928" s="427">
        <f t="shared" si="28"/>
        <v>1994</v>
      </c>
      <c r="D928" s="433">
        <f t="shared" si="29"/>
        <v>841.44</v>
      </c>
    </row>
    <row r="929" spans="1:4" ht="16.149999999999999" customHeight="1" x14ac:dyDescent="0.25">
      <c r="A929" s="431">
        <v>34489</v>
      </c>
      <c r="B929" s="432">
        <v>840.37</v>
      </c>
      <c r="C929" s="427">
        <f t="shared" si="28"/>
        <v>1994</v>
      </c>
      <c r="D929" s="433">
        <f t="shared" si="29"/>
        <v>840.37</v>
      </c>
    </row>
    <row r="930" spans="1:4" ht="16.149999999999999" customHeight="1" x14ac:dyDescent="0.25">
      <c r="A930" s="431">
        <v>34490</v>
      </c>
      <c r="B930" s="434">
        <v>840.37</v>
      </c>
      <c r="C930" s="427">
        <f t="shared" si="28"/>
        <v>1994</v>
      </c>
      <c r="D930" s="433">
        <f t="shared" si="29"/>
        <v>840.37</v>
      </c>
    </row>
    <row r="931" spans="1:4" ht="16.149999999999999" customHeight="1" x14ac:dyDescent="0.25">
      <c r="A931" s="431">
        <v>34491</v>
      </c>
      <c r="B931" s="432">
        <v>840.37</v>
      </c>
      <c r="C931" s="427">
        <f t="shared" si="28"/>
        <v>1994</v>
      </c>
      <c r="D931" s="433">
        <f t="shared" si="29"/>
        <v>840.37</v>
      </c>
    </row>
    <row r="932" spans="1:4" ht="16.149999999999999" customHeight="1" x14ac:dyDescent="0.25">
      <c r="A932" s="431">
        <v>34492</v>
      </c>
      <c r="B932" s="434">
        <v>840.37</v>
      </c>
      <c r="C932" s="427">
        <f t="shared" si="28"/>
        <v>1994</v>
      </c>
      <c r="D932" s="433">
        <f t="shared" si="29"/>
        <v>840.37</v>
      </c>
    </row>
    <row r="933" spans="1:4" ht="16.149999999999999" customHeight="1" x14ac:dyDescent="0.25">
      <c r="A933" s="431">
        <v>34493</v>
      </c>
      <c r="B933" s="432">
        <v>839.56</v>
      </c>
      <c r="C933" s="427">
        <f t="shared" si="28"/>
        <v>1994</v>
      </c>
      <c r="D933" s="433">
        <f t="shared" si="29"/>
        <v>839.56</v>
      </c>
    </row>
    <row r="934" spans="1:4" ht="16.149999999999999" customHeight="1" x14ac:dyDescent="0.25">
      <c r="A934" s="431">
        <v>34494</v>
      </c>
      <c r="B934" s="434">
        <v>838.03</v>
      </c>
      <c r="C934" s="427">
        <f t="shared" si="28"/>
        <v>1994</v>
      </c>
      <c r="D934" s="433">
        <f t="shared" si="29"/>
        <v>838.03</v>
      </c>
    </row>
    <row r="935" spans="1:4" ht="16.149999999999999" customHeight="1" x14ac:dyDescent="0.25">
      <c r="A935" s="431">
        <v>34495</v>
      </c>
      <c r="B935" s="432">
        <v>834.96</v>
      </c>
      <c r="C935" s="427">
        <f t="shared" si="28"/>
        <v>1994</v>
      </c>
      <c r="D935" s="433">
        <f t="shared" si="29"/>
        <v>834.96</v>
      </c>
    </row>
    <row r="936" spans="1:4" ht="16.149999999999999" customHeight="1" x14ac:dyDescent="0.25">
      <c r="A936" s="431">
        <v>34496</v>
      </c>
      <c r="B936" s="434">
        <v>833.19</v>
      </c>
      <c r="C936" s="427">
        <f t="shared" si="28"/>
        <v>1994</v>
      </c>
      <c r="D936" s="433">
        <f t="shared" si="29"/>
        <v>833.19</v>
      </c>
    </row>
    <row r="937" spans="1:4" ht="16.149999999999999" customHeight="1" x14ac:dyDescent="0.25">
      <c r="A937" s="431">
        <v>34497</v>
      </c>
      <c r="B937" s="432">
        <v>833.19</v>
      </c>
      <c r="C937" s="427">
        <f t="shared" si="28"/>
        <v>1994</v>
      </c>
      <c r="D937" s="433">
        <f t="shared" si="29"/>
        <v>833.19</v>
      </c>
    </row>
    <row r="938" spans="1:4" ht="16.149999999999999" customHeight="1" x14ac:dyDescent="0.25">
      <c r="A938" s="431">
        <v>34498</v>
      </c>
      <c r="B938" s="434">
        <v>833.19</v>
      </c>
      <c r="C938" s="427">
        <f t="shared" si="28"/>
        <v>1994</v>
      </c>
      <c r="D938" s="433">
        <f t="shared" si="29"/>
        <v>833.19</v>
      </c>
    </row>
    <row r="939" spans="1:4" ht="16.149999999999999" customHeight="1" x14ac:dyDescent="0.25">
      <c r="A939" s="431">
        <v>34499</v>
      </c>
      <c r="B939" s="432">
        <v>833.19</v>
      </c>
      <c r="C939" s="427">
        <f t="shared" si="28"/>
        <v>1994</v>
      </c>
      <c r="D939" s="433">
        <f t="shared" si="29"/>
        <v>833.19</v>
      </c>
    </row>
    <row r="940" spans="1:4" ht="16.149999999999999" customHeight="1" x14ac:dyDescent="0.25">
      <c r="A940" s="431">
        <v>34500</v>
      </c>
      <c r="B940" s="434">
        <v>833.16</v>
      </c>
      <c r="C940" s="427">
        <f t="shared" si="28"/>
        <v>1994</v>
      </c>
      <c r="D940" s="433">
        <f t="shared" si="29"/>
        <v>833.16</v>
      </c>
    </row>
    <row r="941" spans="1:4" ht="16.149999999999999" customHeight="1" x14ac:dyDescent="0.25">
      <c r="A941" s="431">
        <v>34501</v>
      </c>
      <c r="B941" s="432">
        <v>833.35</v>
      </c>
      <c r="C941" s="427">
        <f t="shared" si="28"/>
        <v>1994</v>
      </c>
      <c r="D941" s="433">
        <f t="shared" si="29"/>
        <v>833.35</v>
      </c>
    </row>
    <row r="942" spans="1:4" ht="16.149999999999999" customHeight="1" x14ac:dyDescent="0.25">
      <c r="A942" s="431">
        <v>34502</v>
      </c>
      <c r="B942" s="434">
        <v>831.28</v>
      </c>
      <c r="C942" s="427">
        <f t="shared" si="28"/>
        <v>1994</v>
      </c>
      <c r="D942" s="433">
        <f t="shared" si="29"/>
        <v>831.28</v>
      </c>
    </row>
    <row r="943" spans="1:4" ht="16.149999999999999" customHeight="1" x14ac:dyDescent="0.25">
      <c r="A943" s="431">
        <v>34503</v>
      </c>
      <c r="B943" s="432">
        <v>826.61</v>
      </c>
      <c r="C943" s="427">
        <f t="shared" si="28"/>
        <v>1994</v>
      </c>
      <c r="D943" s="433">
        <f t="shared" si="29"/>
        <v>826.61</v>
      </c>
    </row>
    <row r="944" spans="1:4" ht="16.149999999999999" customHeight="1" x14ac:dyDescent="0.25">
      <c r="A944" s="431">
        <v>34504</v>
      </c>
      <c r="B944" s="434">
        <v>826.61</v>
      </c>
      <c r="C944" s="427">
        <f t="shared" si="28"/>
        <v>1994</v>
      </c>
      <c r="D944" s="433">
        <f t="shared" si="29"/>
        <v>826.61</v>
      </c>
    </row>
    <row r="945" spans="1:4" ht="16.149999999999999" customHeight="1" x14ac:dyDescent="0.25">
      <c r="A945" s="431">
        <v>34505</v>
      </c>
      <c r="B945" s="432">
        <v>826.61</v>
      </c>
      <c r="C945" s="427">
        <f t="shared" si="28"/>
        <v>1994</v>
      </c>
      <c r="D945" s="433">
        <f t="shared" si="29"/>
        <v>826.61</v>
      </c>
    </row>
    <row r="946" spans="1:4" ht="16.149999999999999" customHeight="1" x14ac:dyDescent="0.25">
      <c r="A946" s="431">
        <v>34506</v>
      </c>
      <c r="B946" s="434">
        <v>828.94</v>
      </c>
      <c r="C946" s="427">
        <f t="shared" si="28"/>
        <v>1994</v>
      </c>
      <c r="D946" s="433">
        <f t="shared" si="29"/>
        <v>828.94</v>
      </c>
    </row>
    <row r="947" spans="1:4" ht="16.149999999999999" customHeight="1" x14ac:dyDescent="0.25">
      <c r="A947" s="431">
        <v>34507</v>
      </c>
      <c r="B947" s="432">
        <v>826.9</v>
      </c>
      <c r="C947" s="427">
        <f t="shared" si="28"/>
        <v>1994</v>
      </c>
      <c r="D947" s="433">
        <f t="shared" si="29"/>
        <v>826.9</v>
      </c>
    </row>
    <row r="948" spans="1:4" ht="16.149999999999999" customHeight="1" x14ac:dyDescent="0.25">
      <c r="A948" s="431">
        <v>34508</v>
      </c>
      <c r="B948" s="434">
        <v>824.76</v>
      </c>
      <c r="C948" s="427">
        <f t="shared" si="28"/>
        <v>1994</v>
      </c>
      <c r="D948" s="433">
        <f t="shared" si="29"/>
        <v>824.76</v>
      </c>
    </row>
    <row r="949" spans="1:4" ht="16.149999999999999" customHeight="1" x14ac:dyDescent="0.25">
      <c r="A949" s="431">
        <v>34509</v>
      </c>
      <c r="B949" s="432">
        <v>822.87</v>
      </c>
      <c r="C949" s="427">
        <f t="shared" si="28"/>
        <v>1994</v>
      </c>
      <c r="D949" s="433">
        <f t="shared" si="29"/>
        <v>822.87</v>
      </c>
    </row>
    <row r="950" spans="1:4" ht="16.149999999999999" customHeight="1" x14ac:dyDescent="0.25">
      <c r="A950" s="431">
        <v>34510</v>
      </c>
      <c r="B950" s="434">
        <v>821</v>
      </c>
      <c r="C950" s="427">
        <f t="shared" si="28"/>
        <v>1994</v>
      </c>
      <c r="D950" s="433">
        <f t="shared" si="29"/>
        <v>821</v>
      </c>
    </row>
    <row r="951" spans="1:4" ht="16.149999999999999" customHeight="1" x14ac:dyDescent="0.25">
      <c r="A951" s="431">
        <v>34511</v>
      </c>
      <c r="B951" s="432">
        <v>821</v>
      </c>
      <c r="C951" s="427">
        <f t="shared" si="28"/>
        <v>1994</v>
      </c>
      <c r="D951" s="433">
        <f t="shared" si="29"/>
        <v>821</v>
      </c>
    </row>
    <row r="952" spans="1:4" ht="16.149999999999999" customHeight="1" x14ac:dyDescent="0.25">
      <c r="A952" s="431">
        <v>34512</v>
      </c>
      <c r="B952" s="434">
        <v>821</v>
      </c>
      <c r="C952" s="427">
        <f t="shared" si="28"/>
        <v>1994</v>
      </c>
      <c r="D952" s="433">
        <f t="shared" si="29"/>
        <v>821</v>
      </c>
    </row>
    <row r="953" spans="1:4" ht="16.149999999999999" customHeight="1" x14ac:dyDescent="0.25">
      <c r="A953" s="431">
        <v>34513</v>
      </c>
      <c r="B953" s="432">
        <v>820.13</v>
      </c>
      <c r="C953" s="427">
        <f t="shared" si="28"/>
        <v>1994</v>
      </c>
      <c r="D953" s="433">
        <f t="shared" si="29"/>
        <v>820.13</v>
      </c>
    </row>
    <row r="954" spans="1:4" ht="16.149999999999999" customHeight="1" x14ac:dyDescent="0.25">
      <c r="A954" s="431">
        <v>34514</v>
      </c>
      <c r="B954" s="434">
        <v>818.73</v>
      </c>
      <c r="C954" s="427">
        <f t="shared" si="28"/>
        <v>1994</v>
      </c>
      <c r="D954" s="433">
        <f t="shared" si="29"/>
        <v>818.73</v>
      </c>
    </row>
    <row r="955" spans="1:4" ht="16.149999999999999" customHeight="1" x14ac:dyDescent="0.25">
      <c r="A955" s="431">
        <v>34515</v>
      </c>
      <c r="B955" s="432">
        <v>819.64</v>
      </c>
      <c r="C955" s="427">
        <f t="shared" si="28"/>
        <v>1994</v>
      </c>
      <c r="D955" s="433">
        <f t="shared" si="29"/>
        <v>819.64</v>
      </c>
    </row>
    <row r="956" spans="1:4" ht="16.149999999999999" customHeight="1" x14ac:dyDescent="0.25">
      <c r="A956" s="431">
        <v>34516</v>
      </c>
      <c r="B956" s="434">
        <v>818.05</v>
      </c>
      <c r="C956" s="427">
        <f t="shared" si="28"/>
        <v>1994</v>
      </c>
      <c r="D956" s="433">
        <f t="shared" si="29"/>
        <v>818.05</v>
      </c>
    </row>
    <row r="957" spans="1:4" ht="16.149999999999999" customHeight="1" x14ac:dyDescent="0.25">
      <c r="A957" s="431">
        <v>34517</v>
      </c>
      <c r="B957" s="432">
        <v>817.92</v>
      </c>
      <c r="C957" s="427">
        <f t="shared" si="28"/>
        <v>1994</v>
      </c>
      <c r="D957" s="433">
        <f t="shared" si="29"/>
        <v>817.92</v>
      </c>
    </row>
    <row r="958" spans="1:4" ht="16.149999999999999" customHeight="1" x14ac:dyDescent="0.25">
      <c r="A958" s="431">
        <v>34518</v>
      </c>
      <c r="B958" s="434">
        <v>817.92</v>
      </c>
      <c r="C958" s="427">
        <f t="shared" si="28"/>
        <v>1994</v>
      </c>
      <c r="D958" s="433">
        <f t="shared" si="29"/>
        <v>817.92</v>
      </c>
    </row>
    <row r="959" spans="1:4" ht="16.149999999999999" customHeight="1" x14ac:dyDescent="0.25">
      <c r="A959" s="431">
        <v>34519</v>
      </c>
      <c r="B959" s="432">
        <v>817.92</v>
      </c>
      <c r="C959" s="427">
        <f t="shared" si="28"/>
        <v>1994</v>
      </c>
      <c r="D959" s="433">
        <f t="shared" si="29"/>
        <v>817.92</v>
      </c>
    </row>
    <row r="960" spans="1:4" ht="16.149999999999999" customHeight="1" x14ac:dyDescent="0.25">
      <c r="A960" s="431">
        <v>34520</v>
      </c>
      <c r="B960" s="434">
        <v>817.92</v>
      </c>
      <c r="C960" s="427">
        <f t="shared" si="28"/>
        <v>1994</v>
      </c>
      <c r="D960" s="433">
        <f t="shared" si="29"/>
        <v>817.92</v>
      </c>
    </row>
    <row r="961" spans="1:4" ht="16.149999999999999" customHeight="1" x14ac:dyDescent="0.25">
      <c r="A961" s="431">
        <v>34521</v>
      </c>
      <c r="B961" s="432">
        <v>818.45</v>
      </c>
      <c r="C961" s="427">
        <f t="shared" si="28"/>
        <v>1994</v>
      </c>
      <c r="D961" s="433">
        <f t="shared" si="29"/>
        <v>818.45</v>
      </c>
    </row>
    <row r="962" spans="1:4" ht="16.149999999999999" customHeight="1" x14ac:dyDescent="0.25">
      <c r="A962" s="431">
        <v>34522</v>
      </c>
      <c r="B962" s="434">
        <v>820.42</v>
      </c>
      <c r="C962" s="427">
        <f t="shared" si="28"/>
        <v>1994</v>
      </c>
      <c r="D962" s="433">
        <f t="shared" si="29"/>
        <v>820.42</v>
      </c>
    </row>
    <row r="963" spans="1:4" ht="16.149999999999999" customHeight="1" x14ac:dyDescent="0.25">
      <c r="A963" s="431">
        <v>34523</v>
      </c>
      <c r="B963" s="432">
        <v>820.24</v>
      </c>
      <c r="C963" s="427">
        <f t="shared" si="28"/>
        <v>1994</v>
      </c>
      <c r="D963" s="433">
        <f t="shared" si="29"/>
        <v>820.24</v>
      </c>
    </row>
    <row r="964" spans="1:4" ht="16.149999999999999" customHeight="1" x14ac:dyDescent="0.25">
      <c r="A964" s="431">
        <v>34524</v>
      </c>
      <c r="B964" s="434">
        <v>822.34</v>
      </c>
      <c r="C964" s="427">
        <f t="shared" si="28"/>
        <v>1994</v>
      </c>
      <c r="D964" s="433">
        <f t="shared" si="29"/>
        <v>822.34</v>
      </c>
    </row>
    <row r="965" spans="1:4" ht="16.149999999999999" customHeight="1" x14ac:dyDescent="0.25">
      <c r="A965" s="431">
        <v>34525</v>
      </c>
      <c r="B965" s="432">
        <v>822.34</v>
      </c>
      <c r="C965" s="427">
        <f t="shared" si="28"/>
        <v>1994</v>
      </c>
      <c r="D965" s="433">
        <f t="shared" si="29"/>
        <v>822.34</v>
      </c>
    </row>
    <row r="966" spans="1:4" ht="16.149999999999999" customHeight="1" x14ac:dyDescent="0.25">
      <c r="A966" s="431">
        <v>34526</v>
      </c>
      <c r="B966" s="434">
        <v>822.34</v>
      </c>
      <c r="C966" s="427">
        <f t="shared" si="28"/>
        <v>1994</v>
      </c>
      <c r="D966" s="433">
        <f t="shared" si="29"/>
        <v>822.34</v>
      </c>
    </row>
    <row r="967" spans="1:4" ht="16.149999999999999" customHeight="1" x14ac:dyDescent="0.25">
      <c r="A967" s="431">
        <v>34527</v>
      </c>
      <c r="B967" s="432">
        <v>822.14</v>
      </c>
      <c r="C967" s="427">
        <f t="shared" si="28"/>
        <v>1994</v>
      </c>
      <c r="D967" s="433">
        <f t="shared" si="29"/>
        <v>822.14</v>
      </c>
    </row>
    <row r="968" spans="1:4" ht="16.149999999999999" customHeight="1" x14ac:dyDescent="0.25">
      <c r="A968" s="431">
        <v>34528</v>
      </c>
      <c r="B968" s="434">
        <v>823.12</v>
      </c>
      <c r="C968" s="427">
        <f t="shared" si="28"/>
        <v>1994</v>
      </c>
      <c r="D968" s="433">
        <f t="shared" si="29"/>
        <v>823.12</v>
      </c>
    </row>
    <row r="969" spans="1:4" ht="16.149999999999999" customHeight="1" x14ac:dyDescent="0.25">
      <c r="A969" s="431">
        <v>34529</v>
      </c>
      <c r="B969" s="432">
        <v>822.79</v>
      </c>
      <c r="C969" s="427">
        <f t="shared" si="28"/>
        <v>1994</v>
      </c>
      <c r="D969" s="433">
        <f t="shared" si="29"/>
        <v>822.79</v>
      </c>
    </row>
    <row r="970" spans="1:4" ht="16.149999999999999" customHeight="1" x14ac:dyDescent="0.25">
      <c r="A970" s="431">
        <v>34530</v>
      </c>
      <c r="B970" s="434">
        <v>822.28</v>
      </c>
      <c r="C970" s="427">
        <f t="shared" ref="C970:C1033" si="30">YEAR(A970)</f>
        <v>1994</v>
      </c>
      <c r="D970" s="433">
        <f t="shared" ref="D970:D1033" si="31">B970</f>
        <v>822.28</v>
      </c>
    </row>
    <row r="971" spans="1:4" ht="16.149999999999999" customHeight="1" x14ac:dyDescent="0.25">
      <c r="A971" s="431">
        <v>34531</v>
      </c>
      <c r="B971" s="432">
        <v>821.04</v>
      </c>
      <c r="C971" s="427">
        <f t="shared" si="30"/>
        <v>1994</v>
      </c>
      <c r="D971" s="433">
        <f t="shared" si="31"/>
        <v>821.04</v>
      </c>
    </row>
    <row r="972" spans="1:4" ht="16.149999999999999" customHeight="1" x14ac:dyDescent="0.25">
      <c r="A972" s="431">
        <v>34532</v>
      </c>
      <c r="B972" s="434">
        <v>821.04</v>
      </c>
      <c r="C972" s="427">
        <f t="shared" si="30"/>
        <v>1994</v>
      </c>
      <c r="D972" s="433">
        <f t="shared" si="31"/>
        <v>821.04</v>
      </c>
    </row>
    <row r="973" spans="1:4" ht="16.149999999999999" customHeight="1" x14ac:dyDescent="0.25">
      <c r="A973" s="431">
        <v>34533</v>
      </c>
      <c r="B973" s="432">
        <v>821.04</v>
      </c>
      <c r="C973" s="427">
        <f t="shared" si="30"/>
        <v>1994</v>
      </c>
      <c r="D973" s="433">
        <f t="shared" si="31"/>
        <v>821.04</v>
      </c>
    </row>
    <row r="974" spans="1:4" ht="16.149999999999999" customHeight="1" x14ac:dyDescent="0.25">
      <c r="A974" s="431">
        <v>34534</v>
      </c>
      <c r="B974" s="434">
        <v>818.44</v>
      </c>
      <c r="C974" s="427">
        <f t="shared" si="30"/>
        <v>1994</v>
      </c>
      <c r="D974" s="433">
        <f t="shared" si="31"/>
        <v>818.44</v>
      </c>
    </row>
    <row r="975" spans="1:4" ht="16.149999999999999" customHeight="1" x14ac:dyDescent="0.25">
      <c r="A975" s="431">
        <v>34535</v>
      </c>
      <c r="B975" s="432">
        <v>817.49</v>
      </c>
      <c r="C975" s="427">
        <f t="shared" si="30"/>
        <v>1994</v>
      </c>
      <c r="D975" s="433">
        <f t="shared" si="31"/>
        <v>817.49</v>
      </c>
    </row>
    <row r="976" spans="1:4" ht="16.149999999999999" customHeight="1" x14ac:dyDescent="0.25">
      <c r="A976" s="431">
        <v>34536</v>
      </c>
      <c r="B976" s="434">
        <v>817.49</v>
      </c>
      <c r="C976" s="427">
        <f t="shared" si="30"/>
        <v>1994</v>
      </c>
      <c r="D976" s="433">
        <f t="shared" si="31"/>
        <v>817.49</v>
      </c>
    </row>
    <row r="977" spans="1:4" ht="16.149999999999999" customHeight="1" x14ac:dyDescent="0.25">
      <c r="A977" s="431">
        <v>34537</v>
      </c>
      <c r="B977" s="432">
        <v>817.18</v>
      </c>
      <c r="C977" s="427">
        <f t="shared" si="30"/>
        <v>1994</v>
      </c>
      <c r="D977" s="433">
        <f t="shared" si="31"/>
        <v>817.18</v>
      </c>
    </row>
    <row r="978" spans="1:4" ht="16.149999999999999" customHeight="1" x14ac:dyDescent="0.25">
      <c r="A978" s="431">
        <v>34538</v>
      </c>
      <c r="B978" s="434">
        <v>816.68</v>
      </c>
      <c r="C978" s="427">
        <f t="shared" si="30"/>
        <v>1994</v>
      </c>
      <c r="D978" s="433">
        <f t="shared" si="31"/>
        <v>816.68</v>
      </c>
    </row>
    <row r="979" spans="1:4" ht="16.149999999999999" customHeight="1" x14ac:dyDescent="0.25">
      <c r="A979" s="431">
        <v>34539</v>
      </c>
      <c r="B979" s="432">
        <v>816.68</v>
      </c>
      <c r="C979" s="427">
        <f t="shared" si="30"/>
        <v>1994</v>
      </c>
      <c r="D979" s="433">
        <f t="shared" si="31"/>
        <v>816.68</v>
      </c>
    </row>
    <row r="980" spans="1:4" ht="16.149999999999999" customHeight="1" x14ac:dyDescent="0.25">
      <c r="A980" s="431">
        <v>34540</v>
      </c>
      <c r="B980" s="434">
        <v>816.68</v>
      </c>
      <c r="C980" s="427">
        <f t="shared" si="30"/>
        <v>1994</v>
      </c>
      <c r="D980" s="433">
        <f t="shared" si="31"/>
        <v>816.68</v>
      </c>
    </row>
    <row r="981" spans="1:4" ht="16.149999999999999" customHeight="1" x14ac:dyDescent="0.25">
      <c r="A981" s="431">
        <v>34541</v>
      </c>
      <c r="B981" s="432">
        <v>816.34</v>
      </c>
      <c r="C981" s="427">
        <f t="shared" si="30"/>
        <v>1994</v>
      </c>
      <c r="D981" s="433">
        <f t="shared" si="31"/>
        <v>816.34</v>
      </c>
    </row>
    <row r="982" spans="1:4" ht="16.149999999999999" customHeight="1" x14ac:dyDescent="0.25">
      <c r="A982" s="431">
        <v>34542</v>
      </c>
      <c r="B982" s="434">
        <v>815.75</v>
      </c>
      <c r="C982" s="427">
        <f t="shared" si="30"/>
        <v>1994</v>
      </c>
      <c r="D982" s="433">
        <f t="shared" si="31"/>
        <v>815.75</v>
      </c>
    </row>
    <row r="983" spans="1:4" ht="16.149999999999999" customHeight="1" x14ac:dyDescent="0.25">
      <c r="A983" s="431">
        <v>34543</v>
      </c>
      <c r="B983" s="432">
        <v>815.8</v>
      </c>
      <c r="C983" s="427">
        <f t="shared" si="30"/>
        <v>1994</v>
      </c>
      <c r="D983" s="433">
        <f t="shared" si="31"/>
        <v>815.8</v>
      </c>
    </row>
    <row r="984" spans="1:4" ht="16.149999999999999" customHeight="1" x14ac:dyDescent="0.25">
      <c r="A984" s="431">
        <v>34544</v>
      </c>
      <c r="B984" s="434">
        <v>815.62</v>
      </c>
      <c r="C984" s="427">
        <f t="shared" si="30"/>
        <v>1994</v>
      </c>
      <c r="D984" s="433">
        <f t="shared" si="31"/>
        <v>815.62</v>
      </c>
    </row>
    <row r="985" spans="1:4" ht="16.149999999999999" customHeight="1" x14ac:dyDescent="0.25">
      <c r="A985" s="431">
        <v>34545</v>
      </c>
      <c r="B985" s="432">
        <v>815.62</v>
      </c>
      <c r="C985" s="427">
        <f t="shared" si="30"/>
        <v>1994</v>
      </c>
      <c r="D985" s="433">
        <f t="shared" si="31"/>
        <v>815.62</v>
      </c>
    </row>
    <row r="986" spans="1:4" ht="16.149999999999999" customHeight="1" x14ac:dyDescent="0.25">
      <c r="A986" s="431">
        <v>34546</v>
      </c>
      <c r="B986" s="434">
        <v>815.62</v>
      </c>
      <c r="C986" s="427">
        <f t="shared" si="30"/>
        <v>1994</v>
      </c>
      <c r="D986" s="433">
        <f t="shared" si="31"/>
        <v>815.62</v>
      </c>
    </row>
    <row r="987" spans="1:4" ht="16.149999999999999" customHeight="1" x14ac:dyDescent="0.25">
      <c r="A987" s="431">
        <v>34547</v>
      </c>
      <c r="B987" s="432">
        <v>815.62</v>
      </c>
      <c r="C987" s="427">
        <f t="shared" si="30"/>
        <v>1994</v>
      </c>
      <c r="D987" s="433">
        <f t="shared" si="31"/>
        <v>815.62</v>
      </c>
    </row>
    <row r="988" spans="1:4" ht="16.149999999999999" customHeight="1" x14ac:dyDescent="0.25">
      <c r="A988" s="431">
        <v>34548</v>
      </c>
      <c r="B988" s="434">
        <v>815.89</v>
      </c>
      <c r="C988" s="427">
        <f t="shared" si="30"/>
        <v>1994</v>
      </c>
      <c r="D988" s="433">
        <f t="shared" si="31"/>
        <v>815.89</v>
      </c>
    </row>
    <row r="989" spans="1:4" ht="16.149999999999999" customHeight="1" x14ac:dyDescent="0.25">
      <c r="A989" s="431">
        <v>34549</v>
      </c>
      <c r="B989" s="432">
        <v>814.53</v>
      </c>
      <c r="C989" s="427">
        <f t="shared" si="30"/>
        <v>1994</v>
      </c>
      <c r="D989" s="433">
        <f t="shared" si="31"/>
        <v>814.53</v>
      </c>
    </row>
    <row r="990" spans="1:4" ht="16.149999999999999" customHeight="1" x14ac:dyDescent="0.25">
      <c r="A990" s="431">
        <v>34550</v>
      </c>
      <c r="B990" s="434">
        <v>812.69</v>
      </c>
      <c r="C990" s="427">
        <f t="shared" si="30"/>
        <v>1994</v>
      </c>
      <c r="D990" s="433">
        <f t="shared" si="31"/>
        <v>812.69</v>
      </c>
    </row>
    <row r="991" spans="1:4" ht="16.149999999999999" customHeight="1" x14ac:dyDescent="0.25">
      <c r="A991" s="431">
        <v>34551</v>
      </c>
      <c r="B991" s="432">
        <v>812.57</v>
      </c>
      <c r="C991" s="427">
        <f t="shared" si="30"/>
        <v>1994</v>
      </c>
      <c r="D991" s="433">
        <f t="shared" si="31"/>
        <v>812.57</v>
      </c>
    </row>
    <row r="992" spans="1:4" ht="16.149999999999999" customHeight="1" x14ac:dyDescent="0.25">
      <c r="A992" s="431">
        <v>34552</v>
      </c>
      <c r="B992" s="434">
        <v>811.91</v>
      </c>
      <c r="C992" s="427">
        <f t="shared" si="30"/>
        <v>1994</v>
      </c>
      <c r="D992" s="433">
        <f t="shared" si="31"/>
        <v>811.91</v>
      </c>
    </row>
    <row r="993" spans="1:4" ht="16.149999999999999" customHeight="1" x14ac:dyDescent="0.25">
      <c r="A993" s="431">
        <v>34553</v>
      </c>
      <c r="B993" s="432">
        <v>811.91</v>
      </c>
      <c r="C993" s="427">
        <f t="shared" si="30"/>
        <v>1994</v>
      </c>
      <c r="D993" s="433">
        <f t="shared" si="31"/>
        <v>811.91</v>
      </c>
    </row>
    <row r="994" spans="1:4" ht="16.149999999999999" customHeight="1" x14ac:dyDescent="0.25">
      <c r="A994" s="431">
        <v>34554</v>
      </c>
      <c r="B994" s="434">
        <v>811.91</v>
      </c>
      <c r="C994" s="427">
        <f t="shared" si="30"/>
        <v>1994</v>
      </c>
      <c r="D994" s="433">
        <f t="shared" si="31"/>
        <v>811.91</v>
      </c>
    </row>
    <row r="995" spans="1:4" ht="16.149999999999999" customHeight="1" x14ac:dyDescent="0.25">
      <c r="A995" s="431">
        <v>34555</v>
      </c>
      <c r="B995" s="432">
        <v>812.39</v>
      </c>
      <c r="C995" s="427">
        <f t="shared" si="30"/>
        <v>1994</v>
      </c>
      <c r="D995" s="433">
        <f t="shared" si="31"/>
        <v>812.39</v>
      </c>
    </row>
    <row r="996" spans="1:4" ht="16.149999999999999" customHeight="1" x14ac:dyDescent="0.25">
      <c r="A996" s="431">
        <v>34556</v>
      </c>
      <c r="B996" s="434">
        <v>813.64</v>
      </c>
      <c r="C996" s="427">
        <f t="shared" si="30"/>
        <v>1994</v>
      </c>
      <c r="D996" s="433">
        <f t="shared" si="31"/>
        <v>813.64</v>
      </c>
    </row>
    <row r="997" spans="1:4" ht="16.149999999999999" customHeight="1" x14ac:dyDescent="0.25">
      <c r="A997" s="431">
        <v>34557</v>
      </c>
      <c r="B997" s="432">
        <v>815.4</v>
      </c>
      <c r="C997" s="427">
        <f t="shared" si="30"/>
        <v>1994</v>
      </c>
      <c r="D997" s="433">
        <f t="shared" si="31"/>
        <v>815.4</v>
      </c>
    </row>
    <row r="998" spans="1:4" ht="16.149999999999999" customHeight="1" x14ac:dyDescent="0.25">
      <c r="A998" s="431">
        <v>34558</v>
      </c>
      <c r="B998" s="434">
        <v>815.84</v>
      </c>
      <c r="C998" s="427">
        <f t="shared" si="30"/>
        <v>1994</v>
      </c>
      <c r="D998" s="433">
        <f t="shared" si="31"/>
        <v>815.84</v>
      </c>
    </row>
    <row r="999" spans="1:4" ht="16.149999999999999" customHeight="1" x14ac:dyDescent="0.25">
      <c r="A999" s="431">
        <v>34559</v>
      </c>
      <c r="B999" s="432">
        <v>814.94</v>
      </c>
      <c r="C999" s="427">
        <f t="shared" si="30"/>
        <v>1994</v>
      </c>
      <c r="D999" s="433">
        <f t="shared" si="31"/>
        <v>814.94</v>
      </c>
    </row>
    <row r="1000" spans="1:4" ht="16.149999999999999" customHeight="1" x14ac:dyDescent="0.25">
      <c r="A1000" s="431">
        <v>34560</v>
      </c>
      <c r="B1000" s="434">
        <v>814.94</v>
      </c>
      <c r="C1000" s="427">
        <f t="shared" si="30"/>
        <v>1994</v>
      </c>
      <c r="D1000" s="433">
        <f t="shared" si="31"/>
        <v>814.94</v>
      </c>
    </row>
    <row r="1001" spans="1:4" ht="16.149999999999999" customHeight="1" x14ac:dyDescent="0.25">
      <c r="A1001" s="431">
        <v>34561</v>
      </c>
      <c r="B1001" s="432">
        <v>814.94</v>
      </c>
      <c r="C1001" s="427">
        <f t="shared" si="30"/>
        <v>1994</v>
      </c>
      <c r="D1001" s="433">
        <f t="shared" si="31"/>
        <v>814.94</v>
      </c>
    </row>
    <row r="1002" spans="1:4" ht="16.149999999999999" customHeight="1" x14ac:dyDescent="0.25">
      <c r="A1002" s="431">
        <v>34562</v>
      </c>
      <c r="B1002" s="434">
        <v>814.94</v>
      </c>
      <c r="C1002" s="427">
        <f t="shared" si="30"/>
        <v>1994</v>
      </c>
      <c r="D1002" s="433">
        <f t="shared" si="31"/>
        <v>814.94</v>
      </c>
    </row>
    <row r="1003" spans="1:4" ht="16.149999999999999" customHeight="1" x14ac:dyDescent="0.25">
      <c r="A1003" s="431">
        <v>34563</v>
      </c>
      <c r="B1003" s="432">
        <v>814.4</v>
      </c>
      <c r="C1003" s="427">
        <f t="shared" si="30"/>
        <v>1994</v>
      </c>
      <c r="D1003" s="433">
        <f t="shared" si="31"/>
        <v>814.4</v>
      </c>
    </row>
    <row r="1004" spans="1:4" ht="16.149999999999999" customHeight="1" x14ac:dyDescent="0.25">
      <c r="A1004" s="431">
        <v>34564</v>
      </c>
      <c r="B1004" s="434">
        <v>813.93</v>
      </c>
      <c r="C1004" s="427">
        <f t="shared" si="30"/>
        <v>1994</v>
      </c>
      <c r="D1004" s="433">
        <f t="shared" si="31"/>
        <v>813.93</v>
      </c>
    </row>
    <row r="1005" spans="1:4" ht="16.149999999999999" customHeight="1" x14ac:dyDescent="0.25">
      <c r="A1005" s="431">
        <v>34565</v>
      </c>
      <c r="B1005" s="432">
        <v>813.88</v>
      </c>
      <c r="C1005" s="427">
        <f t="shared" si="30"/>
        <v>1994</v>
      </c>
      <c r="D1005" s="433">
        <f t="shared" si="31"/>
        <v>813.88</v>
      </c>
    </row>
    <row r="1006" spans="1:4" ht="16.149999999999999" customHeight="1" x14ac:dyDescent="0.25">
      <c r="A1006" s="431">
        <v>34566</v>
      </c>
      <c r="B1006" s="434">
        <v>813.76</v>
      </c>
      <c r="C1006" s="427">
        <f t="shared" si="30"/>
        <v>1994</v>
      </c>
      <c r="D1006" s="433">
        <f t="shared" si="31"/>
        <v>813.76</v>
      </c>
    </row>
    <row r="1007" spans="1:4" ht="16.149999999999999" customHeight="1" x14ac:dyDescent="0.25">
      <c r="A1007" s="431">
        <v>34567</v>
      </c>
      <c r="B1007" s="432">
        <v>813.76</v>
      </c>
      <c r="C1007" s="427">
        <f t="shared" si="30"/>
        <v>1994</v>
      </c>
      <c r="D1007" s="433">
        <f t="shared" si="31"/>
        <v>813.76</v>
      </c>
    </row>
    <row r="1008" spans="1:4" ht="16.149999999999999" customHeight="1" x14ac:dyDescent="0.25">
      <c r="A1008" s="431">
        <v>34568</v>
      </c>
      <c r="B1008" s="434">
        <v>813.76</v>
      </c>
      <c r="C1008" s="427">
        <f t="shared" si="30"/>
        <v>1994</v>
      </c>
      <c r="D1008" s="433">
        <f t="shared" si="31"/>
        <v>813.76</v>
      </c>
    </row>
    <row r="1009" spans="1:4" ht="16.149999999999999" customHeight="1" x14ac:dyDescent="0.25">
      <c r="A1009" s="431">
        <v>34569</v>
      </c>
      <c r="B1009" s="432">
        <v>815.2</v>
      </c>
      <c r="C1009" s="427">
        <f t="shared" si="30"/>
        <v>1994</v>
      </c>
      <c r="D1009" s="433">
        <f t="shared" si="31"/>
        <v>815.2</v>
      </c>
    </row>
    <row r="1010" spans="1:4" ht="16.149999999999999" customHeight="1" x14ac:dyDescent="0.25">
      <c r="A1010" s="431">
        <v>34570</v>
      </c>
      <c r="B1010" s="434">
        <v>816.58</v>
      </c>
      <c r="C1010" s="427">
        <f t="shared" si="30"/>
        <v>1994</v>
      </c>
      <c r="D1010" s="433">
        <f t="shared" si="31"/>
        <v>816.58</v>
      </c>
    </row>
    <row r="1011" spans="1:4" ht="16.149999999999999" customHeight="1" x14ac:dyDescent="0.25">
      <c r="A1011" s="431">
        <v>34571</v>
      </c>
      <c r="B1011" s="432">
        <v>816.77</v>
      </c>
      <c r="C1011" s="427">
        <f t="shared" si="30"/>
        <v>1994</v>
      </c>
      <c r="D1011" s="433">
        <f t="shared" si="31"/>
        <v>816.77</v>
      </c>
    </row>
    <row r="1012" spans="1:4" ht="16.149999999999999" customHeight="1" x14ac:dyDescent="0.25">
      <c r="A1012" s="431">
        <v>34572</v>
      </c>
      <c r="B1012" s="434">
        <v>817.4</v>
      </c>
      <c r="C1012" s="427">
        <f t="shared" si="30"/>
        <v>1994</v>
      </c>
      <c r="D1012" s="433">
        <f t="shared" si="31"/>
        <v>817.4</v>
      </c>
    </row>
    <row r="1013" spans="1:4" ht="16.149999999999999" customHeight="1" x14ac:dyDescent="0.25">
      <c r="A1013" s="431">
        <v>34573</v>
      </c>
      <c r="B1013" s="432">
        <v>816.29</v>
      </c>
      <c r="C1013" s="427">
        <f t="shared" si="30"/>
        <v>1994</v>
      </c>
      <c r="D1013" s="433">
        <f t="shared" si="31"/>
        <v>816.29</v>
      </c>
    </row>
    <row r="1014" spans="1:4" ht="16.149999999999999" customHeight="1" x14ac:dyDescent="0.25">
      <c r="A1014" s="431">
        <v>34574</v>
      </c>
      <c r="B1014" s="434">
        <v>816.29</v>
      </c>
      <c r="C1014" s="427">
        <f t="shared" si="30"/>
        <v>1994</v>
      </c>
      <c r="D1014" s="433">
        <f t="shared" si="31"/>
        <v>816.29</v>
      </c>
    </row>
    <row r="1015" spans="1:4" ht="16.149999999999999" customHeight="1" x14ac:dyDescent="0.25">
      <c r="A1015" s="431">
        <v>34575</v>
      </c>
      <c r="B1015" s="432">
        <v>816.29</v>
      </c>
      <c r="C1015" s="427">
        <f t="shared" si="30"/>
        <v>1994</v>
      </c>
      <c r="D1015" s="433">
        <f t="shared" si="31"/>
        <v>816.29</v>
      </c>
    </row>
    <row r="1016" spans="1:4" ht="16.149999999999999" customHeight="1" x14ac:dyDescent="0.25">
      <c r="A1016" s="431">
        <v>34576</v>
      </c>
      <c r="B1016" s="434">
        <v>816.18</v>
      </c>
      <c r="C1016" s="427">
        <f t="shared" si="30"/>
        <v>1994</v>
      </c>
      <c r="D1016" s="433">
        <f t="shared" si="31"/>
        <v>816.18</v>
      </c>
    </row>
    <row r="1017" spans="1:4" ht="16.149999999999999" customHeight="1" x14ac:dyDescent="0.25">
      <c r="A1017" s="431">
        <v>34577</v>
      </c>
      <c r="B1017" s="432">
        <v>816.3</v>
      </c>
      <c r="C1017" s="427">
        <f t="shared" si="30"/>
        <v>1994</v>
      </c>
      <c r="D1017" s="433">
        <f t="shared" si="31"/>
        <v>816.3</v>
      </c>
    </row>
    <row r="1018" spans="1:4" ht="16.149999999999999" customHeight="1" x14ac:dyDescent="0.25">
      <c r="A1018" s="431">
        <v>34578</v>
      </c>
      <c r="B1018" s="434">
        <v>816.08</v>
      </c>
      <c r="C1018" s="427">
        <f t="shared" si="30"/>
        <v>1994</v>
      </c>
      <c r="D1018" s="433">
        <f t="shared" si="31"/>
        <v>816.08</v>
      </c>
    </row>
    <row r="1019" spans="1:4" ht="16.149999999999999" customHeight="1" x14ac:dyDescent="0.25">
      <c r="A1019" s="431">
        <v>34579</v>
      </c>
      <c r="B1019" s="432">
        <v>817.64</v>
      </c>
      <c r="C1019" s="427">
        <f t="shared" si="30"/>
        <v>1994</v>
      </c>
      <c r="D1019" s="433">
        <f t="shared" si="31"/>
        <v>817.64</v>
      </c>
    </row>
    <row r="1020" spans="1:4" ht="16.149999999999999" customHeight="1" x14ac:dyDescent="0.25">
      <c r="A1020" s="431">
        <v>34580</v>
      </c>
      <c r="B1020" s="434">
        <v>818.81</v>
      </c>
      <c r="C1020" s="427">
        <f t="shared" si="30"/>
        <v>1994</v>
      </c>
      <c r="D1020" s="433">
        <f t="shared" si="31"/>
        <v>818.81</v>
      </c>
    </row>
    <row r="1021" spans="1:4" ht="16.149999999999999" customHeight="1" x14ac:dyDescent="0.25">
      <c r="A1021" s="431">
        <v>34581</v>
      </c>
      <c r="B1021" s="432">
        <v>818.81</v>
      </c>
      <c r="C1021" s="427">
        <f t="shared" si="30"/>
        <v>1994</v>
      </c>
      <c r="D1021" s="433">
        <f t="shared" si="31"/>
        <v>818.81</v>
      </c>
    </row>
    <row r="1022" spans="1:4" ht="16.149999999999999" customHeight="1" x14ac:dyDescent="0.25">
      <c r="A1022" s="431">
        <v>34582</v>
      </c>
      <c r="B1022" s="434">
        <v>818.81</v>
      </c>
      <c r="C1022" s="427">
        <f t="shared" si="30"/>
        <v>1994</v>
      </c>
      <c r="D1022" s="433">
        <f t="shared" si="31"/>
        <v>818.81</v>
      </c>
    </row>
    <row r="1023" spans="1:4" ht="16.149999999999999" customHeight="1" x14ac:dyDescent="0.25">
      <c r="A1023" s="431">
        <v>34583</v>
      </c>
      <c r="B1023" s="432">
        <v>817.8</v>
      </c>
      <c r="C1023" s="427">
        <f t="shared" si="30"/>
        <v>1994</v>
      </c>
      <c r="D1023" s="433">
        <f t="shared" si="31"/>
        <v>817.8</v>
      </c>
    </row>
    <row r="1024" spans="1:4" ht="16.149999999999999" customHeight="1" x14ac:dyDescent="0.25">
      <c r="A1024" s="431">
        <v>34584</v>
      </c>
      <c r="B1024" s="434">
        <v>818.21</v>
      </c>
      <c r="C1024" s="427">
        <f t="shared" si="30"/>
        <v>1994</v>
      </c>
      <c r="D1024" s="433">
        <f t="shared" si="31"/>
        <v>818.21</v>
      </c>
    </row>
    <row r="1025" spans="1:4" ht="16.149999999999999" customHeight="1" x14ac:dyDescent="0.25">
      <c r="A1025" s="431">
        <v>34585</v>
      </c>
      <c r="B1025" s="432">
        <v>819.24</v>
      </c>
      <c r="C1025" s="427">
        <f t="shared" si="30"/>
        <v>1994</v>
      </c>
      <c r="D1025" s="433">
        <f t="shared" si="31"/>
        <v>819.24</v>
      </c>
    </row>
    <row r="1026" spans="1:4" ht="16.149999999999999" customHeight="1" x14ac:dyDescent="0.25">
      <c r="A1026" s="431">
        <v>34586</v>
      </c>
      <c r="B1026" s="434">
        <v>820.02</v>
      </c>
      <c r="C1026" s="427">
        <f t="shared" si="30"/>
        <v>1994</v>
      </c>
      <c r="D1026" s="433">
        <f t="shared" si="31"/>
        <v>820.02</v>
      </c>
    </row>
    <row r="1027" spans="1:4" ht="16.149999999999999" customHeight="1" x14ac:dyDescent="0.25">
      <c r="A1027" s="431">
        <v>34587</v>
      </c>
      <c r="B1027" s="432">
        <v>820.26</v>
      </c>
      <c r="C1027" s="427">
        <f t="shared" si="30"/>
        <v>1994</v>
      </c>
      <c r="D1027" s="433">
        <f t="shared" si="31"/>
        <v>820.26</v>
      </c>
    </row>
    <row r="1028" spans="1:4" ht="16.149999999999999" customHeight="1" x14ac:dyDescent="0.25">
      <c r="A1028" s="431">
        <v>34588</v>
      </c>
      <c r="B1028" s="434">
        <v>820.26</v>
      </c>
      <c r="C1028" s="427">
        <f t="shared" si="30"/>
        <v>1994</v>
      </c>
      <c r="D1028" s="433">
        <f t="shared" si="31"/>
        <v>820.26</v>
      </c>
    </row>
    <row r="1029" spans="1:4" ht="16.149999999999999" customHeight="1" x14ac:dyDescent="0.25">
      <c r="A1029" s="431">
        <v>34589</v>
      </c>
      <c r="B1029" s="432">
        <v>820.26</v>
      </c>
      <c r="C1029" s="427">
        <f t="shared" si="30"/>
        <v>1994</v>
      </c>
      <c r="D1029" s="433">
        <f t="shared" si="31"/>
        <v>820.26</v>
      </c>
    </row>
    <row r="1030" spans="1:4" ht="16.149999999999999" customHeight="1" x14ac:dyDescent="0.25">
      <c r="A1030" s="431">
        <v>34590</v>
      </c>
      <c r="B1030" s="434">
        <v>821.62</v>
      </c>
      <c r="C1030" s="427">
        <f t="shared" si="30"/>
        <v>1994</v>
      </c>
      <c r="D1030" s="433">
        <f t="shared" si="31"/>
        <v>821.62</v>
      </c>
    </row>
    <row r="1031" spans="1:4" ht="16.149999999999999" customHeight="1" x14ac:dyDescent="0.25">
      <c r="A1031" s="431">
        <v>34591</v>
      </c>
      <c r="B1031" s="432">
        <v>824.34</v>
      </c>
      <c r="C1031" s="427">
        <f t="shared" si="30"/>
        <v>1994</v>
      </c>
      <c r="D1031" s="433">
        <f t="shared" si="31"/>
        <v>824.34</v>
      </c>
    </row>
    <row r="1032" spans="1:4" ht="16.149999999999999" customHeight="1" x14ac:dyDescent="0.25">
      <c r="A1032" s="431">
        <v>34592</v>
      </c>
      <c r="B1032" s="434">
        <v>827.86</v>
      </c>
      <c r="C1032" s="427">
        <f t="shared" si="30"/>
        <v>1994</v>
      </c>
      <c r="D1032" s="433">
        <f t="shared" si="31"/>
        <v>827.86</v>
      </c>
    </row>
    <row r="1033" spans="1:4" ht="16.149999999999999" customHeight="1" x14ac:dyDescent="0.25">
      <c r="A1033" s="431">
        <v>34593</v>
      </c>
      <c r="B1033" s="432">
        <v>833.1</v>
      </c>
      <c r="C1033" s="427">
        <f t="shared" si="30"/>
        <v>1994</v>
      </c>
      <c r="D1033" s="433">
        <f t="shared" si="31"/>
        <v>833.1</v>
      </c>
    </row>
    <row r="1034" spans="1:4" ht="16.149999999999999" customHeight="1" x14ac:dyDescent="0.25">
      <c r="A1034" s="431">
        <v>34594</v>
      </c>
      <c r="B1034" s="434">
        <v>837.21</v>
      </c>
      <c r="C1034" s="427">
        <f t="shared" ref="C1034:C1097" si="32">YEAR(A1034)</f>
        <v>1994</v>
      </c>
      <c r="D1034" s="433">
        <f t="shared" ref="D1034:D1097" si="33">B1034</f>
        <v>837.21</v>
      </c>
    </row>
    <row r="1035" spans="1:4" ht="16.149999999999999" customHeight="1" x14ac:dyDescent="0.25">
      <c r="A1035" s="431">
        <v>34595</v>
      </c>
      <c r="B1035" s="432">
        <v>837.21</v>
      </c>
      <c r="C1035" s="427">
        <f t="shared" si="32"/>
        <v>1994</v>
      </c>
      <c r="D1035" s="433">
        <f t="shared" si="33"/>
        <v>837.21</v>
      </c>
    </row>
    <row r="1036" spans="1:4" ht="16.149999999999999" customHeight="1" x14ac:dyDescent="0.25">
      <c r="A1036" s="431">
        <v>34596</v>
      </c>
      <c r="B1036" s="434">
        <v>837.21</v>
      </c>
      <c r="C1036" s="427">
        <f t="shared" si="32"/>
        <v>1994</v>
      </c>
      <c r="D1036" s="433">
        <f t="shared" si="33"/>
        <v>837.21</v>
      </c>
    </row>
    <row r="1037" spans="1:4" ht="16.149999999999999" customHeight="1" x14ac:dyDescent="0.25">
      <c r="A1037" s="431">
        <v>34597</v>
      </c>
      <c r="B1037" s="432">
        <v>838.63</v>
      </c>
      <c r="C1037" s="427">
        <f t="shared" si="32"/>
        <v>1994</v>
      </c>
      <c r="D1037" s="433">
        <f t="shared" si="33"/>
        <v>838.63</v>
      </c>
    </row>
    <row r="1038" spans="1:4" ht="16.149999999999999" customHeight="1" x14ac:dyDescent="0.25">
      <c r="A1038" s="431">
        <v>34598</v>
      </c>
      <c r="B1038" s="434">
        <v>841.82</v>
      </c>
      <c r="C1038" s="427">
        <f t="shared" si="32"/>
        <v>1994</v>
      </c>
      <c r="D1038" s="433">
        <f t="shared" si="33"/>
        <v>841.82</v>
      </c>
    </row>
    <row r="1039" spans="1:4" ht="16.149999999999999" customHeight="1" x14ac:dyDescent="0.25">
      <c r="A1039" s="431">
        <v>34599</v>
      </c>
      <c r="B1039" s="432">
        <v>842.7</v>
      </c>
      <c r="C1039" s="427">
        <f t="shared" si="32"/>
        <v>1994</v>
      </c>
      <c r="D1039" s="433">
        <f t="shared" si="33"/>
        <v>842.7</v>
      </c>
    </row>
    <row r="1040" spans="1:4" ht="16.149999999999999" customHeight="1" x14ac:dyDescent="0.25">
      <c r="A1040" s="431">
        <v>34600</v>
      </c>
      <c r="B1040" s="434">
        <v>841.53</v>
      </c>
      <c r="C1040" s="427">
        <f t="shared" si="32"/>
        <v>1994</v>
      </c>
      <c r="D1040" s="433">
        <f t="shared" si="33"/>
        <v>841.53</v>
      </c>
    </row>
    <row r="1041" spans="1:4" ht="16.149999999999999" customHeight="1" x14ac:dyDescent="0.25">
      <c r="A1041" s="431">
        <v>34601</v>
      </c>
      <c r="B1041" s="432">
        <v>839.46</v>
      </c>
      <c r="C1041" s="427">
        <f t="shared" si="32"/>
        <v>1994</v>
      </c>
      <c r="D1041" s="433">
        <f t="shared" si="33"/>
        <v>839.46</v>
      </c>
    </row>
    <row r="1042" spans="1:4" ht="16.149999999999999" customHeight="1" x14ac:dyDescent="0.25">
      <c r="A1042" s="431">
        <v>34602</v>
      </c>
      <c r="B1042" s="434">
        <v>839.46</v>
      </c>
      <c r="C1042" s="427">
        <f t="shared" si="32"/>
        <v>1994</v>
      </c>
      <c r="D1042" s="433">
        <f t="shared" si="33"/>
        <v>839.46</v>
      </c>
    </row>
    <row r="1043" spans="1:4" ht="16.149999999999999" customHeight="1" x14ac:dyDescent="0.25">
      <c r="A1043" s="431">
        <v>34603</v>
      </c>
      <c r="B1043" s="432">
        <v>839.46</v>
      </c>
      <c r="C1043" s="427">
        <f t="shared" si="32"/>
        <v>1994</v>
      </c>
      <c r="D1043" s="433">
        <f t="shared" si="33"/>
        <v>839.46</v>
      </c>
    </row>
    <row r="1044" spans="1:4" ht="16.149999999999999" customHeight="1" x14ac:dyDescent="0.25">
      <c r="A1044" s="431">
        <v>34604</v>
      </c>
      <c r="B1044" s="434">
        <v>840.23</v>
      </c>
      <c r="C1044" s="427">
        <f t="shared" si="32"/>
        <v>1994</v>
      </c>
      <c r="D1044" s="433">
        <f t="shared" si="33"/>
        <v>840.23</v>
      </c>
    </row>
    <row r="1045" spans="1:4" ht="16.149999999999999" customHeight="1" x14ac:dyDescent="0.25">
      <c r="A1045" s="431">
        <v>34605</v>
      </c>
      <c r="B1045" s="432">
        <v>841.51</v>
      </c>
      <c r="C1045" s="427">
        <f t="shared" si="32"/>
        <v>1994</v>
      </c>
      <c r="D1045" s="433">
        <f t="shared" si="33"/>
        <v>841.51</v>
      </c>
    </row>
    <row r="1046" spans="1:4" ht="16.149999999999999" customHeight="1" x14ac:dyDescent="0.25">
      <c r="A1046" s="431">
        <v>34606</v>
      </c>
      <c r="B1046" s="434">
        <v>841.32</v>
      </c>
      <c r="C1046" s="427">
        <f t="shared" si="32"/>
        <v>1994</v>
      </c>
      <c r="D1046" s="433">
        <f t="shared" si="33"/>
        <v>841.32</v>
      </c>
    </row>
    <row r="1047" spans="1:4" ht="16.149999999999999" customHeight="1" x14ac:dyDescent="0.25">
      <c r="A1047" s="431">
        <v>34607</v>
      </c>
      <c r="B1047" s="432">
        <v>842</v>
      </c>
      <c r="C1047" s="427">
        <f t="shared" si="32"/>
        <v>1994</v>
      </c>
      <c r="D1047" s="433">
        <f t="shared" si="33"/>
        <v>842</v>
      </c>
    </row>
    <row r="1048" spans="1:4" ht="16.149999999999999" customHeight="1" x14ac:dyDescent="0.25">
      <c r="A1048" s="431">
        <v>34608</v>
      </c>
      <c r="B1048" s="434">
        <v>843</v>
      </c>
      <c r="C1048" s="427">
        <f t="shared" si="32"/>
        <v>1994</v>
      </c>
      <c r="D1048" s="433">
        <f t="shared" si="33"/>
        <v>843</v>
      </c>
    </row>
    <row r="1049" spans="1:4" ht="16.149999999999999" customHeight="1" x14ac:dyDescent="0.25">
      <c r="A1049" s="431">
        <v>34609</v>
      </c>
      <c r="B1049" s="432">
        <v>843</v>
      </c>
      <c r="C1049" s="427">
        <f t="shared" si="32"/>
        <v>1994</v>
      </c>
      <c r="D1049" s="433">
        <f t="shared" si="33"/>
        <v>843</v>
      </c>
    </row>
    <row r="1050" spans="1:4" ht="16.149999999999999" customHeight="1" x14ac:dyDescent="0.25">
      <c r="A1050" s="431">
        <v>34610</v>
      </c>
      <c r="B1050" s="434">
        <v>843</v>
      </c>
      <c r="C1050" s="427">
        <f t="shared" si="32"/>
        <v>1994</v>
      </c>
      <c r="D1050" s="433">
        <f t="shared" si="33"/>
        <v>843</v>
      </c>
    </row>
    <row r="1051" spans="1:4" ht="16.149999999999999" customHeight="1" x14ac:dyDescent="0.25">
      <c r="A1051" s="431">
        <v>34611</v>
      </c>
      <c r="B1051" s="432">
        <v>843.65</v>
      </c>
      <c r="C1051" s="427">
        <f t="shared" si="32"/>
        <v>1994</v>
      </c>
      <c r="D1051" s="433">
        <f t="shared" si="33"/>
        <v>843.65</v>
      </c>
    </row>
    <row r="1052" spans="1:4" ht="16.149999999999999" customHeight="1" x14ac:dyDescent="0.25">
      <c r="A1052" s="431">
        <v>34612</v>
      </c>
      <c r="B1052" s="434">
        <v>844.4</v>
      </c>
      <c r="C1052" s="427">
        <f t="shared" si="32"/>
        <v>1994</v>
      </c>
      <c r="D1052" s="433">
        <f t="shared" si="33"/>
        <v>844.4</v>
      </c>
    </row>
    <row r="1053" spans="1:4" ht="16.149999999999999" customHeight="1" x14ac:dyDescent="0.25">
      <c r="A1053" s="431">
        <v>34613</v>
      </c>
      <c r="B1053" s="432">
        <v>842.54</v>
      </c>
      <c r="C1053" s="427">
        <f t="shared" si="32"/>
        <v>1994</v>
      </c>
      <c r="D1053" s="433">
        <f t="shared" si="33"/>
        <v>842.54</v>
      </c>
    </row>
    <row r="1054" spans="1:4" ht="16.149999999999999" customHeight="1" x14ac:dyDescent="0.25">
      <c r="A1054" s="431">
        <v>34614</v>
      </c>
      <c r="B1054" s="434">
        <v>840.06</v>
      </c>
      <c r="C1054" s="427">
        <f t="shared" si="32"/>
        <v>1994</v>
      </c>
      <c r="D1054" s="433">
        <f t="shared" si="33"/>
        <v>840.06</v>
      </c>
    </row>
    <row r="1055" spans="1:4" ht="16.149999999999999" customHeight="1" x14ac:dyDescent="0.25">
      <c r="A1055" s="431">
        <v>34615</v>
      </c>
      <c r="B1055" s="432">
        <v>836.8</v>
      </c>
      <c r="C1055" s="427">
        <f t="shared" si="32"/>
        <v>1994</v>
      </c>
      <c r="D1055" s="433">
        <f t="shared" si="33"/>
        <v>836.8</v>
      </c>
    </row>
    <row r="1056" spans="1:4" ht="16.149999999999999" customHeight="1" x14ac:dyDescent="0.25">
      <c r="A1056" s="431">
        <v>34616</v>
      </c>
      <c r="B1056" s="434">
        <v>836.8</v>
      </c>
      <c r="C1056" s="427">
        <f t="shared" si="32"/>
        <v>1994</v>
      </c>
      <c r="D1056" s="433">
        <f t="shared" si="33"/>
        <v>836.8</v>
      </c>
    </row>
    <row r="1057" spans="1:4" ht="16.149999999999999" customHeight="1" x14ac:dyDescent="0.25">
      <c r="A1057" s="431">
        <v>34617</v>
      </c>
      <c r="B1057" s="432">
        <v>836.8</v>
      </c>
      <c r="C1057" s="427">
        <f t="shared" si="32"/>
        <v>1994</v>
      </c>
      <c r="D1057" s="433">
        <f t="shared" si="33"/>
        <v>836.8</v>
      </c>
    </row>
    <row r="1058" spans="1:4" ht="16.149999999999999" customHeight="1" x14ac:dyDescent="0.25">
      <c r="A1058" s="431">
        <v>34618</v>
      </c>
      <c r="B1058" s="434">
        <v>835.59</v>
      </c>
      <c r="C1058" s="427">
        <f t="shared" si="32"/>
        <v>1994</v>
      </c>
      <c r="D1058" s="433">
        <f t="shared" si="33"/>
        <v>835.59</v>
      </c>
    </row>
    <row r="1059" spans="1:4" ht="16.149999999999999" customHeight="1" x14ac:dyDescent="0.25">
      <c r="A1059" s="431">
        <v>34619</v>
      </c>
      <c r="B1059" s="432">
        <v>835.38</v>
      </c>
      <c r="C1059" s="427">
        <f t="shared" si="32"/>
        <v>1994</v>
      </c>
      <c r="D1059" s="433">
        <f t="shared" si="33"/>
        <v>835.38</v>
      </c>
    </row>
    <row r="1060" spans="1:4" ht="16.149999999999999" customHeight="1" x14ac:dyDescent="0.25">
      <c r="A1060" s="431">
        <v>34620</v>
      </c>
      <c r="B1060" s="434">
        <v>836.4</v>
      </c>
      <c r="C1060" s="427">
        <f t="shared" si="32"/>
        <v>1994</v>
      </c>
      <c r="D1060" s="433">
        <f t="shared" si="33"/>
        <v>836.4</v>
      </c>
    </row>
    <row r="1061" spans="1:4" ht="16.149999999999999" customHeight="1" x14ac:dyDescent="0.25">
      <c r="A1061" s="431">
        <v>34621</v>
      </c>
      <c r="B1061" s="432">
        <v>836.01</v>
      </c>
      <c r="C1061" s="427">
        <f t="shared" si="32"/>
        <v>1994</v>
      </c>
      <c r="D1061" s="433">
        <f t="shared" si="33"/>
        <v>836.01</v>
      </c>
    </row>
    <row r="1062" spans="1:4" ht="16.149999999999999" customHeight="1" x14ac:dyDescent="0.25">
      <c r="A1062" s="431">
        <v>34622</v>
      </c>
      <c r="B1062" s="434">
        <v>834.83</v>
      </c>
      <c r="C1062" s="427">
        <f t="shared" si="32"/>
        <v>1994</v>
      </c>
      <c r="D1062" s="433">
        <f t="shared" si="33"/>
        <v>834.83</v>
      </c>
    </row>
    <row r="1063" spans="1:4" ht="16.149999999999999" customHeight="1" x14ac:dyDescent="0.25">
      <c r="A1063" s="431">
        <v>34623</v>
      </c>
      <c r="B1063" s="432">
        <v>834.83</v>
      </c>
      <c r="C1063" s="427">
        <f t="shared" si="32"/>
        <v>1994</v>
      </c>
      <c r="D1063" s="433">
        <f t="shared" si="33"/>
        <v>834.83</v>
      </c>
    </row>
    <row r="1064" spans="1:4" ht="16.149999999999999" customHeight="1" x14ac:dyDescent="0.25">
      <c r="A1064" s="431">
        <v>34624</v>
      </c>
      <c r="B1064" s="434">
        <v>834.83</v>
      </c>
      <c r="C1064" s="427">
        <f t="shared" si="32"/>
        <v>1994</v>
      </c>
      <c r="D1064" s="433">
        <f t="shared" si="33"/>
        <v>834.83</v>
      </c>
    </row>
    <row r="1065" spans="1:4" ht="16.149999999999999" customHeight="1" x14ac:dyDescent="0.25">
      <c r="A1065" s="431">
        <v>34625</v>
      </c>
      <c r="B1065" s="432">
        <v>834.83</v>
      </c>
      <c r="C1065" s="427">
        <f t="shared" si="32"/>
        <v>1994</v>
      </c>
      <c r="D1065" s="433">
        <f t="shared" si="33"/>
        <v>834.83</v>
      </c>
    </row>
    <row r="1066" spans="1:4" ht="16.149999999999999" customHeight="1" x14ac:dyDescent="0.25">
      <c r="A1066" s="431">
        <v>34626</v>
      </c>
      <c r="B1066" s="434">
        <v>835.33</v>
      </c>
      <c r="C1066" s="427">
        <f t="shared" si="32"/>
        <v>1994</v>
      </c>
      <c r="D1066" s="433">
        <f t="shared" si="33"/>
        <v>835.33</v>
      </c>
    </row>
    <row r="1067" spans="1:4" ht="16.149999999999999" customHeight="1" x14ac:dyDescent="0.25">
      <c r="A1067" s="431">
        <v>34627</v>
      </c>
      <c r="B1067" s="432">
        <v>836.72</v>
      </c>
      <c r="C1067" s="427">
        <f t="shared" si="32"/>
        <v>1994</v>
      </c>
      <c r="D1067" s="433">
        <f t="shared" si="33"/>
        <v>836.72</v>
      </c>
    </row>
    <row r="1068" spans="1:4" ht="16.149999999999999" customHeight="1" x14ac:dyDescent="0.25">
      <c r="A1068" s="431">
        <v>34628</v>
      </c>
      <c r="B1068" s="434">
        <v>838.32</v>
      </c>
      <c r="C1068" s="427">
        <f t="shared" si="32"/>
        <v>1994</v>
      </c>
      <c r="D1068" s="433">
        <f t="shared" si="33"/>
        <v>838.32</v>
      </c>
    </row>
    <row r="1069" spans="1:4" ht="16.149999999999999" customHeight="1" x14ac:dyDescent="0.25">
      <c r="A1069" s="431">
        <v>34629</v>
      </c>
      <c r="B1069" s="432">
        <v>841.41</v>
      </c>
      <c r="C1069" s="427">
        <f t="shared" si="32"/>
        <v>1994</v>
      </c>
      <c r="D1069" s="433">
        <f t="shared" si="33"/>
        <v>841.41</v>
      </c>
    </row>
    <row r="1070" spans="1:4" ht="16.149999999999999" customHeight="1" x14ac:dyDescent="0.25">
      <c r="A1070" s="431">
        <v>34630</v>
      </c>
      <c r="B1070" s="434">
        <v>841.41</v>
      </c>
      <c r="C1070" s="427">
        <f t="shared" si="32"/>
        <v>1994</v>
      </c>
      <c r="D1070" s="433">
        <f t="shared" si="33"/>
        <v>841.41</v>
      </c>
    </row>
    <row r="1071" spans="1:4" ht="16.149999999999999" customHeight="1" x14ac:dyDescent="0.25">
      <c r="A1071" s="431">
        <v>34631</v>
      </c>
      <c r="B1071" s="432">
        <v>841.41</v>
      </c>
      <c r="C1071" s="427">
        <f t="shared" si="32"/>
        <v>1994</v>
      </c>
      <c r="D1071" s="433">
        <f t="shared" si="33"/>
        <v>841.41</v>
      </c>
    </row>
    <row r="1072" spans="1:4" ht="16.149999999999999" customHeight="1" x14ac:dyDescent="0.25">
      <c r="A1072" s="431">
        <v>34632</v>
      </c>
      <c r="B1072" s="434">
        <v>842.6</v>
      </c>
      <c r="C1072" s="427">
        <f t="shared" si="32"/>
        <v>1994</v>
      </c>
      <c r="D1072" s="433">
        <f t="shared" si="33"/>
        <v>842.6</v>
      </c>
    </row>
    <row r="1073" spans="1:4" ht="16.149999999999999" customHeight="1" x14ac:dyDescent="0.25">
      <c r="A1073" s="431">
        <v>34633</v>
      </c>
      <c r="B1073" s="432">
        <v>843.48</v>
      </c>
      <c r="C1073" s="427">
        <f t="shared" si="32"/>
        <v>1994</v>
      </c>
      <c r="D1073" s="433">
        <f t="shared" si="33"/>
        <v>843.48</v>
      </c>
    </row>
    <row r="1074" spans="1:4" ht="16.149999999999999" customHeight="1" x14ac:dyDescent="0.25">
      <c r="A1074" s="431">
        <v>34634</v>
      </c>
      <c r="B1074" s="434">
        <v>841.32</v>
      </c>
      <c r="C1074" s="427">
        <f t="shared" si="32"/>
        <v>1994</v>
      </c>
      <c r="D1074" s="433">
        <f t="shared" si="33"/>
        <v>841.32</v>
      </c>
    </row>
    <row r="1075" spans="1:4" ht="16.149999999999999" customHeight="1" x14ac:dyDescent="0.25">
      <c r="A1075" s="431">
        <v>34635</v>
      </c>
      <c r="B1075" s="432">
        <v>840.05</v>
      </c>
      <c r="C1075" s="427">
        <f t="shared" si="32"/>
        <v>1994</v>
      </c>
      <c r="D1075" s="433">
        <f t="shared" si="33"/>
        <v>840.05</v>
      </c>
    </row>
    <row r="1076" spans="1:4" ht="16.149999999999999" customHeight="1" x14ac:dyDescent="0.25">
      <c r="A1076" s="431">
        <v>34636</v>
      </c>
      <c r="B1076" s="434">
        <v>838.55</v>
      </c>
      <c r="C1076" s="427">
        <f t="shared" si="32"/>
        <v>1994</v>
      </c>
      <c r="D1076" s="433">
        <f t="shared" si="33"/>
        <v>838.55</v>
      </c>
    </row>
    <row r="1077" spans="1:4" ht="16.149999999999999" customHeight="1" x14ac:dyDescent="0.25">
      <c r="A1077" s="431">
        <v>34637</v>
      </c>
      <c r="B1077" s="432">
        <v>838.55</v>
      </c>
      <c r="C1077" s="427">
        <f t="shared" si="32"/>
        <v>1994</v>
      </c>
      <c r="D1077" s="433">
        <f t="shared" si="33"/>
        <v>838.55</v>
      </c>
    </row>
    <row r="1078" spans="1:4" ht="16.149999999999999" customHeight="1" x14ac:dyDescent="0.25">
      <c r="A1078" s="431">
        <v>34638</v>
      </c>
      <c r="B1078" s="434">
        <v>838.55</v>
      </c>
      <c r="C1078" s="427">
        <f t="shared" si="32"/>
        <v>1994</v>
      </c>
      <c r="D1078" s="433">
        <f t="shared" si="33"/>
        <v>838.55</v>
      </c>
    </row>
    <row r="1079" spans="1:4" ht="16.149999999999999" customHeight="1" x14ac:dyDescent="0.25">
      <c r="A1079" s="431">
        <v>34639</v>
      </c>
      <c r="B1079" s="432">
        <v>837.62</v>
      </c>
      <c r="C1079" s="427">
        <f t="shared" si="32"/>
        <v>1994</v>
      </c>
      <c r="D1079" s="433">
        <f t="shared" si="33"/>
        <v>837.62</v>
      </c>
    </row>
    <row r="1080" spans="1:4" ht="16.149999999999999" customHeight="1" x14ac:dyDescent="0.25">
      <c r="A1080" s="431">
        <v>34640</v>
      </c>
      <c r="B1080" s="434">
        <v>837.79</v>
      </c>
      <c r="C1080" s="427">
        <f t="shared" si="32"/>
        <v>1994</v>
      </c>
      <c r="D1080" s="433">
        <f t="shared" si="33"/>
        <v>837.79</v>
      </c>
    </row>
    <row r="1081" spans="1:4" ht="16.149999999999999" customHeight="1" x14ac:dyDescent="0.25">
      <c r="A1081" s="431">
        <v>34641</v>
      </c>
      <c r="B1081" s="432">
        <v>836.18</v>
      </c>
      <c r="C1081" s="427">
        <f t="shared" si="32"/>
        <v>1994</v>
      </c>
      <c r="D1081" s="433">
        <f t="shared" si="33"/>
        <v>836.18</v>
      </c>
    </row>
    <row r="1082" spans="1:4" ht="16.149999999999999" customHeight="1" x14ac:dyDescent="0.25">
      <c r="A1082" s="431">
        <v>34642</v>
      </c>
      <c r="B1082" s="434">
        <v>833.19</v>
      </c>
      <c r="C1082" s="427">
        <f t="shared" si="32"/>
        <v>1994</v>
      </c>
      <c r="D1082" s="433">
        <f t="shared" si="33"/>
        <v>833.19</v>
      </c>
    </row>
    <row r="1083" spans="1:4" ht="16.149999999999999" customHeight="1" x14ac:dyDescent="0.25">
      <c r="A1083" s="431">
        <v>34643</v>
      </c>
      <c r="B1083" s="432">
        <v>831.25</v>
      </c>
      <c r="C1083" s="427">
        <f t="shared" si="32"/>
        <v>1994</v>
      </c>
      <c r="D1083" s="433">
        <f t="shared" si="33"/>
        <v>831.25</v>
      </c>
    </row>
    <row r="1084" spans="1:4" ht="16.149999999999999" customHeight="1" x14ac:dyDescent="0.25">
      <c r="A1084" s="431">
        <v>34644</v>
      </c>
      <c r="B1084" s="434">
        <v>831.25</v>
      </c>
      <c r="C1084" s="427">
        <f t="shared" si="32"/>
        <v>1994</v>
      </c>
      <c r="D1084" s="433">
        <f t="shared" si="33"/>
        <v>831.25</v>
      </c>
    </row>
    <row r="1085" spans="1:4" ht="16.149999999999999" customHeight="1" x14ac:dyDescent="0.25">
      <c r="A1085" s="431">
        <v>34645</v>
      </c>
      <c r="B1085" s="432">
        <v>831.25</v>
      </c>
      <c r="C1085" s="427">
        <f t="shared" si="32"/>
        <v>1994</v>
      </c>
      <c r="D1085" s="433">
        <f t="shared" si="33"/>
        <v>831.25</v>
      </c>
    </row>
    <row r="1086" spans="1:4" ht="16.149999999999999" customHeight="1" x14ac:dyDescent="0.25">
      <c r="A1086" s="431">
        <v>34646</v>
      </c>
      <c r="B1086" s="434">
        <v>831.25</v>
      </c>
      <c r="C1086" s="427">
        <f t="shared" si="32"/>
        <v>1994</v>
      </c>
      <c r="D1086" s="433">
        <f t="shared" si="33"/>
        <v>831.25</v>
      </c>
    </row>
    <row r="1087" spans="1:4" ht="16.149999999999999" customHeight="1" x14ac:dyDescent="0.25">
      <c r="A1087" s="431">
        <v>34647</v>
      </c>
      <c r="B1087" s="432">
        <v>829.09</v>
      </c>
      <c r="C1087" s="427">
        <f t="shared" si="32"/>
        <v>1994</v>
      </c>
      <c r="D1087" s="433">
        <f t="shared" si="33"/>
        <v>829.09</v>
      </c>
    </row>
    <row r="1088" spans="1:4" ht="16.149999999999999" customHeight="1" x14ac:dyDescent="0.25">
      <c r="A1088" s="431">
        <v>34648</v>
      </c>
      <c r="B1088" s="434">
        <v>826.84</v>
      </c>
      <c r="C1088" s="427">
        <f t="shared" si="32"/>
        <v>1994</v>
      </c>
      <c r="D1088" s="433">
        <f t="shared" si="33"/>
        <v>826.84</v>
      </c>
    </row>
    <row r="1089" spans="1:4" ht="16.149999999999999" customHeight="1" x14ac:dyDescent="0.25">
      <c r="A1089" s="431">
        <v>34649</v>
      </c>
      <c r="B1089" s="432">
        <v>825.17</v>
      </c>
      <c r="C1089" s="427">
        <f t="shared" si="32"/>
        <v>1994</v>
      </c>
      <c r="D1089" s="433">
        <f t="shared" si="33"/>
        <v>825.17</v>
      </c>
    </row>
    <row r="1090" spans="1:4" ht="16.149999999999999" customHeight="1" x14ac:dyDescent="0.25">
      <c r="A1090" s="431">
        <v>34650</v>
      </c>
      <c r="B1090" s="434">
        <v>825.87</v>
      </c>
      <c r="C1090" s="427">
        <f t="shared" si="32"/>
        <v>1994</v>
      </c>
      <c r="D1090" s="433">
        <f t="shared" si="33"/>
        <v>825.87</v>
      </c>
    </row>
    <row r="1091" spans="1:4" ht="16.149999999999999" customHeight="1" x14ac:dyDescent="0.25">
      <c r="A1091" s="431">
        <v>34651</v>
      </c>
      <c r="B1091" s="432">
        <v>825.87</v>
      </c>
      <c r="C1091" s="427">
        <f t="shared" si="32"/>
        <v>1994</v>
      </c>
      <c r="D1091" s="433">
        <f t="shared" si="33"/>
        <v>825.87</v>
      </c>
    </row>
    <row r="1092" spans="1:4" ht="16.149999999999999" customHeight="1" x14ac:dyDescent="0.25">
      <c r="A1092" s="431">
        <v>34652</v>
      </c>
      <c r="B1092" s="434">
        <v>825.87</v>
      </c>
      <c r="C1092" s="427">
        <f t="shared" si="32"/>
        <v>1994</v>
      </c>
      <c r="D1092" s="433">
        <f t="shared" si="33"/>
        <v>825.87</v>
      </c>
    </row>
    <row r="1093" spans="1:4" ht="16.149999999999999" customHeight="1" x14ac:dyDescent="0.25">
      <c r="A1093" s="431">
        <v>34653</v>
      </c>
      <c r="B1093" s="432">
        <v>825.87</v>
      </c>
      <c r="C1093" s="427">
        <f t="shared" si="32"/>
        <v>1994</v>
      </c>
      <c r="D1093" s="433">
        <f t="shared" si="33"/>
        <v>825.87</v>
      </c>
    </row>
    <row r="1094" spans="1:4" ht="16.149999999999999" customHeight="1" x14ac:dyDescent="0.25">
      <c r="A1094" s="431">
        <v>34654</v>
      </c>
      <c r="B1094" s="434">
        <v>826.45</v>
      </c>
      <c r="C1094" s="427">
        <f t="shared" si="32"/>
        <v>1994</v>
      </c>
      <c r="D1094" s="433">
        <f t="shared" si="33"/>
        <v>826.45</v>
      </c>
    </row>
    <row r="1095" spans="1:4" ht="16.149999999999999" customHeight="1" x14ac:dyDescent="0.25">
      <c r="A1095" s="431">
        <v>34655</v>
      </c>
      <c r="B1095" s="432">
        <v>828.74</v>
      </c>
      <c r="C1095" s="427">
        <f t="shared" si="32"/>
        <v>1994</v>
      </c>
      <c r="D1095" s="433">
        <f t="shared" si="33"/>
        <v>828.74</v>
      </c>
    </row>
    <row r="1096" spans="1:4" ht="16.149999999999999" customHeight="1" x14ac:dyDescent="0.25">
      <c r="A1096" s="431">
        <v>34656</v>
      </c>
      <c r="B1096" s="434">
        <v>830.49</v>
      </c>
      <c r="C1096" s="427">
        <f t="shared" si="32"/>
        <v>1994</v>
      </c>
      <c r="D1096" s="433">
        <f t="shared" si="33"/>
        <v>830.49</v>
      </c>
    </row>
    <row r="1097" spans="1:4" ht="16.149999999999999" customHeight="1" x14ac:dyDescent="0.25">
      <c r="A1097" s="431">
        <v>34657</v>
      </c>
      <c r="B1097" s="432">
        <v>828.46</v>
      </c>
      <c r="C1097" s="427">
        <f t="shared" si="32"/>
        <v>1994</v>
      </c>
      <c r="D1097" s="433">
        <f t="shared" si="33"/>
        <v>828.46</v>
      </c>
    </row>
    <row r="1098" spans="1:4" ht="16.149999999999999" customHeight="1" x14ac:dyDescent="0.25">
      <c r="A1098" s="431">
        <v>34658</v>
      </c>
      <c r="B1098" s="434">
        <v>828.46</v>
      </c>
      <c r="C1098" s="427">
        <f t="shared" ref="C1098:C1161" si="34">YEAR(A1098)</f>
        <v>1994</v>
      </c>
      <c r="D1098" s="433">
        <f t="shared" ref="D1098:D1161" si="35">B1098</f>
        <v>828.46</v>
      </c>
    </row>
    <row r="1099" spans="1:4" ht="16.149999999999999" customHeight="1" x14ac:dyDescent="0.25">
      <c r="A1099" s="431">
        <v>34659</v>
      </c>
      <c r="B1099" s="432">
        <v>828.46</v>
      </c>
      <c r="C1099" s="427">
        <f t="shared" si="34"/>
        <v>1994</v>
      </c>
      <c r="D1099" s="433">
        <f t="shared" si="35"/>
        <v>828.46</v>
      </c>
    </row>
    <row r="1100" spans="1:4" ht="16.149999999999999" customHeight="1" x14ac:dyDescent="0.25">
      <c r="A1100" s="431">
        <v>34660</v>
      </c>
      <c r="B1100" s="434">
        <v>829.08</v>
      </c>
      <c r="C1100" s="427">
        <f t="shared" si="34"/>
        <v>1994</v>
      </c>
      <c r="D1100" s="433">
        <f t="shared" si="35"/>
        <v>829.08</v>
      </c>
    </row>
    <row r="1101" spans="1:4" ht="16.149999999999999" customHeight="1" x14ac:dyDescent="0.25">
      <c r="A1101" s="431">
        <v>34661</v>
      </c>
      <c r="B1101" s="432">
        <v>830.74</v>
      </c>
      <c r="C1101" s="427">
        <f t="shared" si="34"/>
        <v>1994</v>
      </c>
      <c r="D1101" s="433">
        <f t="shared" si="35"/>
        <v>830.74</v>
      </c>
    </row>
    <row r="1102" spans="1:4" ht="16.149999999999999" customHeight="1" x14ac:dyDescent="0.25">
      <c r="A1102" s="431">
        <v>34662</v>
      </c>
      <c r="B1102" s="434">
        <v>828.67</v>
      </c>
      <c r="C1102" s="427">
        <f t="shared" si="34"/>
        <v>1994</v>
      </c>
      <c r="D1102" s="433">
        <f t="shared" si="35"/>
        <v>828.67</v>
      </c>
    </row>
    <row r="1103" spans="1:4" ht="16.149999999999999" customHeight="1" x14ac:dyDescent="0.25">
      <c r="A1103" s="431">
        <v>34663</v>
      </c>
      <c r="B1103" s="432">
        <v>828.76</v>
      </c>
      <c r="C1103" s="427">
        <f t="shared" si="34"/>
        <v>1994</v>
      </c>
      <c r="D1103" s="433">
        <f t="shared" si="35"/>
        <v>828.76</v>
      </c>
    </row>
    <row r="1104" spans="1:4" ht="16.149999999999999" customHeight="1" x14ac:dyDescent="0.25">
      <c r="A1104" s="431">
        <v>34664</v>
      </c>
      <c r="B1104" s="434">
        <v>828.42</v>
      </c>
      <c r="C1104" s="427">
        <f t="shared" si="34"/>
        <v>1994</v>
      </c>
      <c r="D1104" s="433">
        <f t="shared" si="35"/>
        <v>828.42</v>
      </c>
    </row>
    <row r="1105" spans="1:4" ht="16.149999999999999" customHeight="1" x14ac:dyDescent="0.25">
      <c r="A1105" s="431">
        <v>34665</v>
      </c>
      <c r="B1105" s="432">
        <v>828.42</v>
      </c>
      <c r="C1105" s="427">
        <f t="shared" si="34"/>
        <v>1994</v>
      </c>
      <c r="D1105" s="433">
        <f t="shared" si="35"/>
        <v>828.42</v>
      </c>
    </row>
    <row r="1106" spans="1:4" ht="16.149999999999999" customHeight="1" x14ac:dyDescent="0.25">
      <c r="A1106" s="431">
        <v>34666</v>
      </c>
      <c r="B1106" s="434">
        <v>828.42</v>
      </c>
      <c r="C1106" s="427">
        <f t="shared" si="34"/>
        <v>1994</v>
      </c>
      <c r="D1106" s="433">
        <f t="shared" si="35"/>
        <v>828.42</v>
      </c>
    </row>
    <row r="1107" spans="1:4" ht="16.149999999999999" customHeight="1" x14ac:dyDescent="0.25">
      <c r="A1107" s="431">
        <v>34667</v>
      </c>
      <c r="B1107" s="432">
        <v>828.66</v>
      </c>
      <c r="C1107" s="427">
        <f t="shared" si="34"/>
        <v>1994</v>
      </c>
      <c r="D1107" s="433">
        <f t="shared" si="35"/>
        <v>828.66</v>
      </c>
    </row>
    <row r="1108" spans="1:4" ht="16.149999999999999" customHeight="1" x14ac:dyDescent="0.25">
      <c r="A1108" s="431">
        <v>34668</v>
      </c>
      <c r="B1108" s="434">
        <v>829.03</v>
      </c>
      <c r="C1108" s="427">
        <f t="shared" si="34"/>
        <v>1994</v>
      </c>
      <c r="D1108" s="433">
        <f t="shared" si="35"/>
        <v>829.03</v>
      </c>
    </row>
    <row r="1109" spans="1:4" ht="16.149999999999999" customHeight="1" x14ac:dyDescent="0.25">
      <c r="A1109" s="431">
        <v>34669</v>
      </c>
      <c r="B1109" s="432">
        <v>829.29</v>
      </c>
      <c r="C1109" s="427">
        <f t="shared" si="34"/>
        <v>1994</v>
      </c>
      <c r="D1109" s="433">
        <f t="shared" si="35"/>
        <v>829.29</v>
      </c>
    </row>
    <row r="1110" spans="1:4" ht="16.149999999999999" customHeight="1" x14ac:dyDescent="0.25">
      <c r="A1110" s="431">
        <v>34670</v>
      </c>
      <c r="B1110" s="434">
        <v>829.56</v>
      </c>
      <c r="C1110" s="427">
        <f t="shared" si="34"/>
        <v>1994</v>
      </c>
      <c r="D1110" s="433">
        <f t="shared" si="35"/>
        <v>829.56</v>
      </c>
    </row>
    <row r="1111" spans="1:4" ht="16.149999999999999" customHeight="1" x14ac:dyDescent="0.25">
      <c r="A1111" s="431">
        <v>34671</v>
      </c>
      <c r="B1111" s="432">
        <v>830</v>
      </c>
      <c r="C1111" s="427">
        <f t="shared" si="34"/>
        <v>1994</v>
      </c>
      <c r="D1111" s="433">
        <f t="shared" si="35"/>
        <v>830</v>
      </c>
    </row>
    <row r="1112" spans="1:4" ht="16.149999999999999" customHeight="1" x14ac:dyDescent="0.25">
      <c r="A1112" s="431">
        <v>34672</v>
      </c>
      <c r="B1112" s="434">
        <v>830</v>
      </c>
      <c r="C1112" s="427">
        <f t="shared" si="34"/>
        <v>1994</v>
      </c>
      <c r="D1112" s="433">
        <f t="shared" si="35"/>
        <v>830</v>
      </c>
    </row>
    <row r="1113" spans="1:4" ht="16.149999999999999" customHeight="1" x14ac:dyDescent="0.25">
      <c r="A1113" s="431">
        <v>34673</v>
      </c>
      <c r="B1113" s="432">
        <v>830</v>
      </c>
      <c r="C1113" s="427">
        <f t="shared" si="34"/>
        <v>1994</v>
      </c>
      <c r="D1113" s="433">
        <f t="shared" si="35"/>
        <v>830</v>
      </c>
    </row>
    <row r="1114" spans="1:4" ht="16.149999999999999" customHeight="1" x14ac:dyDescent="0.25">
      <c r="A1114" s="431">
        <v>34674</v>
      </c>
      <c r="B1114" s="434">
        <v>830.37</v>
      </c>
      <c r="C1114" s="427">
        <f t="shared" si="34"/>
        <v>1994</v>
      </c>
      <c r="D1114" s="433">
        <f t="shared" si="35"/>
        <v>830.37</v>
      </c>
    </row>
    <row r="1115" spans="1:4" ht="16.149999999999999" customHeight="1" x14ac:dyDescent="0.25">
      <c r="A1115" s="431">
        <v>34675</v>
      </c>
      <c r="B1115" s="432">
        <v>830.85</v>
      </c>
      <c r="C1115" s="427">
        <f t="shared" si="34"/>
        <v>1994</v>
      </c>
      <c r="D1115" s="433">
        <f t="shared" si="35"/>
        <v>830.85</v>
      </c>
    </row>
    <row r="1116" spans="1:4" ht="16.149999999999999" customHeight="1" x14ac:dyDescent="0.25">
      <c r="A1116" s="431">
        <v>34676</v>
      </c>
      <c r="B1116" s="434">
        <v>831.1</v>
      </c>
      <c r="C1116" s="427">
        <f t="shared" si="34"/>
        <v>1994</v>
      </c>
      <c r="D1116" s="433">
        <f t="shared" si="35"/>
        <v>831.1</v>
      </c>
    </row>
    <row r="1117" spans="1:4" ht="16.149999999999999" customHeight="1" x14ac:dyDescent="0.25">
      <c r="A1117" s="431">
        <v>34677</v>
      </c>
      <c r="B1117" s="432">
        <v>831.1</v>
      </c>
      <c r="C1117" s="427">
        <f t="shared" si="34"/>
        <v>1994</v>
      </c>
      <c r="D1117" s="433">
        <f t="shared" si="35"/>
        <v>831.1</v>
      </c>
    </row>
    <row r="1118" spans="1:4" ht="16.149999999999999" customHeight="1" x14ac:dyDescent="0.25">
      <c r="A1118" s="431">
        <v>34678</v>
      </c>
      <c r="B1118" s="434">
        <v>831.49</v>
      </c>
      <c r="C1118" s="427">
        <f t="shared" si="34"/>
        <v>1994</v>
      </c>
      <c r="D1118" s="433">
        <f t="shared" si="35"/>
        <v>831.49</v>
      </c>
    </row>
    <row r="1119" spans="1:4" ht="16.149999999999999" customHeight="1" x14ac:dyDescent="0.25">
      <c r="A1119" s="431">
        <v>34679</v>
      </c>
      <c r="B1119" s="432">
        <v>831.49</v>
      </c>
      <c r="C1119" s="427">
        <f t="shared" si="34"/>
        <v>1994</v>
      </c>
      <c r="D1119" s="433">
        <f t="shared" si="35"/>
        <v>831.49</v>
      </c>
    </row>
    <row r="1120" spans="1:4" ht="16.149999999999999" customHeight="1" x14ac:dyDescent="0.25">
      <c r="A1120" s="431">
        <v>34680</v>
      </c>
      <c r="B1120" s="434">
        <v>831.49</v>
      </c>
      <c r="C1120" s="427">
        <f t="shared" si="34"/>
        <v>1994</v>
      </c>
      <c r="D1120" s="433">
        <f t="shared" si="35"/>
        <v>831.49</v>
      </c>
    </row>
    <row r="1121" spans="1:4" ht="16.149999999999999" customHeight="1" x14ac:dyDescent="0.25">
      <c r="A1121" s="431">
        <v>34681</v>
      </c>
      <c r="B1121" s="432">
        <v>831.91</v>
      </c>
      <c r="C1121" s="427">
        <f t="shared" si="34"/>
        <v>1994</v>
      </c>
      <c r="D1121" s="433">
        <f t="shared" si="35"/>
        <v>831.91</v>
      </c>
    </row>
    <row r="1122" spans="1:4" ht="16.149999999999999" customHeight="1" x14ac:dyDescent="0.25">
      <c r="A1122" s="431">
        <v>34682</v>
      </c>
      <c r="B1122" s="434">
        <v>824.68</v>
      </c>
      <c r="C1122" s="427">
        <f t="shared" si="34"/>
        <v>1994</v>
      </c>
      <c r="D1122" s="433">
        <f t="shared" si="35"/>
        <v>824.68</v>
      </c>
    </row>
    <row r="1123" spans="1:4" ht="16.149999999999999" customHeight="1" x14ac:dyDescent="0.25">
      <c r="A1123" s="431">
        <v>34683</v>
      </c>
      <c r="B1123" s="432">
        <v>825</v>
      </c>
      <c r="C1123" s="427">
        <f t="shared" si="34"/>
        <v>1994</v>
      </c>
      <c r="D1123" s="433">
        <f t="shared" si="35"/>
        <v>825</v>
      </c>
    </row>
    <row r="1124" spans="1:4" ht="16.149999999999999" customHeight="1" x14ac:dyDescent="0.25">
      <c r="A1124" s="431">
        <v>34684</v>
      </c>
      <c r="B1124" s="434">
        <v>827.6</v>
      </c>
      <c r="C1124" s="427">
        <f t="shared" si="34"/>
        <v>1994</v>
      </c>
      <c r="D1124" s="433">
        <f t="shared" si="35"/>
        <v>827.6</v>
      </c>
    </row>
    <row r="1125" spans="1:4" ht="16.149999999999999" customHeight="1" x14ac:dyDescent="0.25">
      <c r="A1125" s="431">
        <v>34685</v>
      </c>
      <c r="B1125" s="432">
        <v>829.72</v>
      </c>
      <c r="C1125" s="427">
        <f t="shared" si="34"/>
        <v>1994</v>
      </c>
      <c r="D1125" s="433">
        <f t="shared" si="35"/>
        <v>829.72</v>
      </c>
    </row>
    <row r="1126" spans="1:4" ht="16.149999999999999" customHeight="1" x14ac:dyDescent="0.25">
      <c r="A1126" s="431">
        <v>34686</v>
      </c>
      <c r="B1126" s="434">
        <v>829.72</v>
      </c>
      <c r="C1126" s="427">
        <f t="shared" si="34"/>
        <v>1994</v>
      </c>
      <c r="D1126" s="433">
        <f t="shared" si="35"/>
        <v>829.72</v>
      </c>
    </row>
    <row r="1127" spans="1:4" ht="16.149999999999999" customHeight="1" x14ac:dyDescent="0.25">
      <c r="A1127" s="431">
        <v>34687</v>
      </c>
      <c r="B1127" s="432">
        <v>829.72</v>
      </c>
      <c r="C1127" s="427">
        <f t="shared" si="34"/>
        <v>1994</v>
      </c>
      <c r="D1127" s="433">
        <f t="shared" si="35"/>
        <v>829.72</v>
      </c>
    </row>
    <row r="1128" spans="1:4" ht="16.149999999999999" customHeight="1" x14ac:dyDescent="0.25">
      <c r="A1128" s="431">
        <v>34688</v>
      </c>
      <c r="B1128" s="434">
        <v>831.06</v>
      </c>
      <c r="C1128" s="427">
        <f t="shared" si="34"/>
        <v>1994</v>
      </c>
      <c r="D1128" s="433">
        <f t="shared" si="35"/>
        <v>831.06</v>
      </c>
    </row>
    <row r="1129" spans="1:4" ht="16.149999999999999" customHeight="1" x14ac:dyDescent="0.25">
      <c r="A1129" s="431">
        <v>34689</v>
      </c>
      <c r="B1129" s="432">
        <v>830.16</v>
      </c>
      <c r="C1129" s="427">
        <f t="shared" si="34"/>
        <v>1994</v>
      </c>
      <c r="D1129" s="433">
        <f t="shared" si="35"/>
        <v>830.16</v>
      </c>
    </row>
    <row r="1130" spans="1:4" ht="16.149999999999999" customHeight="1" x14ac:dyDescent="0.25">
      <c r="A1130" s="431">
        <v>34690</v>
      </c>
      <c r="B1130" s="434">
        <v>827.95</v>
      </c>
      <c r="C1130" s="427">
        <f t="shared" si="34"/>
        <v>1994</v>
      </c>
      <c r="D1130" s="433">
        <f t="shared" si="35"/>
        <v>827.95</v>
      </c>
    </row>
    <row r="1131" spans="1:4" ht="16.149999999999999" customHeight="1" x14ac:dyDescent="0.25">
      <c r="A1131" s="431">
        <v>34691</v>
      </c>
      <c r="B1131" s="432">
        <v>827.7</v>
      </c>
      <c r="C1131" s="427">
        <f t="shared" si="34"/>
        <v>1994</v>
      </c>
      <c r="D1131" s="433">
        <f t="shared" si="35"/>
        <v>827.7</v>
      </c>
    </row>
    <row r="1132" spans="1:4" ht="16.149999999999999" customHeight="1" x14ac:dyDescent="0.25">
      <c r="A1132" s="431">
        <v>34692</v>
      </c>
      <c r="B1132" s="434">
        <v>826.47</v>
      </c>
      <c r="C1132" s="427">
        <f t="shared" si="34"/>
        <v>1994</v>
      </c>
      <c r="D1132" s="433">
        <f t="shared" si="35"/>
        <v>826.47</v>
      </c>
    </row>
    <row r="1133" spans="1:4" ht="16.149999999999999" customHeight="1" x14ac:dyDescent="0.25">
      <c r="A1133" s="431">
        <v>34693</v>
      </c>
      <c r="B1133" s="432">
        <v>826.47</v>
      </c>
      <c r="C1133" s="427">
        <f t="shared" si="34"/>
        <v>1994</v>
      </c>
      <c r="D1133" s="433">
        <f t="shared" si="35"/>
        <v>826.47</v>
      </c>
    </row>
    <row r="1134" spans="1:4" ht="16.149999999999999" customHeight="1" x14ac:dyDescent="0.25">
      <c r="A1134" s="431">
        <v>34694</v>
      </c>
      <c r="B1134" s="434">
        <v>826.47</v>
      </c>
      <c r="C1134" s="427">
        <f t="shared" si="34"/>
        <v>1994</v>
      </c>
      <c r="D1134" s="433">
        <f t="shared" si="35"/>
        <v>826.47</v>
      </c>
    </row>
    <row r="1135" spans="1:4" ht="16.149999999999999" customHeight="1" x14ac:dyDescent="0.25">
      <c r="A1135" s="431">
        <v>34695</v>
      </c>
      <c r="B1135" s="432">
        <v>827.33</v>
      </c>
      <c r="C1135" s="427">
        <f t="shared" si="34"/>
        <v>1994</v>
      </c>
      <c r="D1135" s="433">
        <f t="shared" si="35"/>
        <v>827.33</v>
      </c>
    </row>
    <row r="1136" spans="1:4" ht="16.149999999999999" customHeight="1" x14ac:dyDescent="0.25">
      <c r="A1136" s="431">
        <v>34696</v>
      </c>
      <c r="B1136" s="434">
        <v>829.95</v>
      </c>
      <c r="C1136" s="427">
        <f t="shared" si="34"/>
        <v>1994</v>
      </c>
      <c r="D1136" s="433">
        <f t="shared" si="35"/>
        <v>829.95</v>
      </c>
    </row>
    <row r="1137" spans="1:4" ht="16.149999999999999" customHeight="1" x14ac:dyDescent="0.25">
      <c r="A1137" s="431">
        <v>34697</v>
      </c>
      <c r="B1137" s="432">
        <v>831.6</v>
      </c>
      <c r="C1137" s="427">
        <f t="shared" si="34"/>
        <v>1994</v>
      </c>
      <c r="D1137" s="433">
        <f t="shared" si="35"/>
        <v>831.6</v>
      </c>
    </row>
    <row r="1138" spans="1:4" ht="16.149999999999999" customHeight="1" x14ac:dyDescent="0.25">
      <c r="A1138" s="431">
        <v>34698</v>
      </c>
      <c r="B1138" s="434">
        <v>831.27</v>
      </c>
      <c r="C1138" s="427">
        <f t="shared" si="34"/>
        <v>1994</v>
      </c>
      <c r="D1138" s="433">
        <f t="shared" si="35"/>
        <v>831.27</v>
      </c>
    </row>
    <row r="1139" spans="1:4" ht="16.149999999999999" customHeight="1" x14ac:dyDescent="0.25">
      <c r="A1139" s="431">
        <v>34699</v>
      </c>
      <c r="B1139" s="432">
        <v>831.27</v>
      </c>
      <c r="C1139" s="427">
        <f t="shared" si="34"/>
        <v>1994</v>
      </c>
      <c r="D1139" s="433">
        <f t="shared" si="35"/>
        <v>831.27</v>
      </c>
    </row>
    <row r="1140" spans="1:4" ht="16.149999999999999" customHeight="1" x14ac:dyDescent="0.25">
      <c r="A1140" s="431">
        <v>34700</v>
      </c>
      <c r="B1140" s="434">
        <v>831.27</v>
      </c>
      <c r="C1140" s="427">
        <f t="shared" si="34"/>
        <v>1995</v>
      </c>
      <c r="D1140" s="433">
        <f t="shared" si="35"/>
        <v>831.27</v>
      </c>
    </row>
    <row r="1141" spans="1:4" ht="16.149999999999999" customHeight="1" x14ac:dyDescent="0.25">
      <c r="A1141" s="431">
        <v>34701</v>
      </c>
      <c r="B1141" s="432">
        <v>831.27</v>
      </c>
      <c r="C1141" s="427">
        <f t="shared" si="34"/>
        <v>1995</v>
      </c>
      <c r="D1141" s="433">
        <f t="shared" si="35"/>
        <v>831.27</v>
      </c>
    </row>
    <row r="1142" spans="1:4" ht="16.149999999999999" customHeight="1" x14ac:dyDescent="0.25">
      <c r="A1142" s="431">
        <v>34702</v>
      </c>
      <c r="B1142" s="434">
        <v>833.18</v>
      </c>
      <c r="C1142" s="427">
        <f t="shared" si="34"/>
        <v>1995</v>
      </c>
      <c r="D1142" s="433">
        <f t="shared" si="35"/>
        <v>833.18</v>
      </c>
    </row>
    <row r="1143" spans="1:4" ht="16.149999999999999" customHeight="1" x14ac:dyDescent="0.25">
      <c r="A1143" s="431">
        <v>34703</v>
      </c>
      <c r="B1143" s="432">
        <v>835.38</v>
      </c>
      <c r="C1143" s="427">
        <f t="shared" si="34"/>
        <v>1995</v>
      </c>
      <c r="D1143" s="433">
        <f t="shared" si="35"/>
        <v>835.38</v>
      </c>
    </row>
    <row r="1144" spans="1:4" ht="16.149999999999999" customHeight="1" x14ac:dyDescent="0.25">
      <c r="A1144" s="431">
        <v>34704</v>
      </c>
      <c r="B1144" s="434">
        <v>838.33</v>
      </c>
      <c r="C1144" s="427">
        <f t="shared" si="34"/>
        <v>1995</v>
      </c>
      <c r="D1144" s="433">
        <f t="shared" si="35"/>
        <v>838.33</v>
      </c>
    </row>
    <row r="1145" spans="1:4" ht="16.149999999999999" customHeight="1" x14ac:dyDescent="0.25">
      <c r="A1145" s="431">
        <v>34705</v>
      </c>
      <c r="B1145" s="432">
        <v>838.87</v>
      </c>
      <c r="C1145" s="427">
        <f t="shared" si="34"/>
        <v>1995</v>
      </c>
      <c r="D1145" s="433">
        <f t="shared" si="35"/>
        <v>838.87</v>
      </c>
    </row>
    <row r="1146" spans="1:4" ht="16.149999999999999" customHeight="1" x14ac:dyDescent="0.25">
      <c r="A1146" s="431">
        <v>34706</v>
      </c>
      <c r="B1146" s="434">
        <v>837.07</v>
      </c>
      <c r="C1146" s="427">
        <f t="shared" si="34"/>
        <v>1995</v>
      </c>
      <c r="D1146" s="433">
        <f t="shared" si="35"/>
        <v>837.07</v>
      </c>
    </row>
    <row r="1147" spans="1:4" ht="16.149999999999999" customHeight="1" x14ac:dyDescent="0.25">
      <c r="A1147" s="431">
        <v>34707</v>
      </c>
      <c r="B1147" s="432">
        <v>837.07</v>
      </c>
      <c r="C1147" s="427">
        <f t="shared" si="34"/>
        <v>1995</v>
      </c>
      <c r="D1147" s="433">
        <f t="shared" si="35"/>
        <v>837.07</v>
      </c>
    </row>
    <row r="1148" spans="1:4" ht="16.149999999999999" customHeight="1" x14ac:dyDescent="0.25">
      <c r="A1148" s="431">
        <v>34708</v>
      </c>
      <c r="B1148" s="434">
        <v>837.07</v>
      </c>
      <c r="C1148" s="427">
        <f t="shared" si="34"/>
        <v>1995</v>
      </c>
      <c r="D1148" s="433">
        <f t="shared" si="35"/>
        <v>837.07</v>
      </c>
    </row>
    <row r="1149" spans="1:4" ht="16.149999999999999" customHeight="1" x14ac:dyDescent="0.25">
      <c r="A1149" s="431">
        <v>34709</v>
      </c>
      <c r="B1149" s="432">
        <v>837.07</v>
      </c>
      <c r="C1149" s="427">
        <f t="shared" si="34"/>
        <v>1995</v>
      </c>
      <c r="D1149" s="433">
        <f t="shared" si="35"/>
        <v>837.07</v>
      </c>
    </row>
    <row r="1150" spans="1:4" ht="16.149999999999999" customHeight="1" x14ac:dyDescent="0.25">
      <c r="A1150" s="431">
        <v>34710</v>
      </c>
      <c r="B1150" s="434">
        <v>840.36</v>
      </c>
      <c r="C1150" s="427">
        <f t="shared" si="34"/>
        <v>1995</v>
      </c>
      <c r="D1150" s="433">
        <f t="shared" si="35"/>
        <v>840.36</v>
      </c>
    </row>
    <row r="1151" spans="1:4" ht="16.149999999999999" customHeight="1" x14ac:dyDescent="0.25">
      <c r="A1151" s="431">
        <v>34711</v>
      </c>
      <c r="B1151" s="432">
        <v>843.69</v>
      </c>
      <c r="C1151" s="427">
        <f t="shared" si="34"/>
        <v>1995</v>
      </c>
      <c r="D1151" s="433">
        <f t="shared" si="35"/>
        <v>843.69</v>
      </c>
    </row>
    <row r="1152" spans="1:4" ht="16.149999999999999" customHeight="1" x14ac:dyDescent="0.25">
      <c r="A1152" s="431">
        <v>34712</v>
      </c>
      <c r="B1152" s="434">
        <v>841.52</v>
      </c>
      <c r="C1152" s="427">
        <f t="shared" si="34"/>
        <v>1995</v>
      </c>
      <c r="D1152" s="433">
        <f t="shared" si="35"/>
        <v>841.52</v>
      </c>
    </row>
    <row r="1153" spans="1:4" ht="16.149999999999999" customHeight="1" x14ac:dyDescent="0.25">
      <c r="A1153" s="431">
        <v>34713</v>
      </c>
      <c r="B1153" s="432">
        <v>843.7</v>
      </c>
      <c r="C1153" s="427">
        <f t="shared" si="34"/>
        <v>1995</v>
      </c>
      <c r="D1153" s="433">
        <f t="shared" si="35"/>
        <v>843.7</v>
      </c>
    </row>
    <row r="1154" spans="1:4" ht="16.149999999999999" customHeight="1" x14ac:dyDescent="0.25">
      <c r="A1154" s="431">
        <v>34714</v>
      </c>
      <c r="B1154" s="434">
        <v>843.7</v>
      </c>
      <c r="C1154" s="427">
        <f t="shared" si="34"/>
        <v>1995</v>
      </c>
      <c r="D1154" s="433">
        <f t="shared" si="35"/>
        <v>843.7</v>
      </c>
    </row>
    <row r="1155" spans="1:4" ht="16.149999999999999" customHeight="1" x14ac:dyDescent="0.25">
      <c r="A1155" s="431">
        <v>34715</v>
      </c>
      <c r="B1155" s="432">
        <v>843.7</v>
      </c>
      <c r="C1155" s="427">
        <f t="shared" si="34"/>
        <v>1995</v>
      </c>
      <c r="D1155" s="433">
        <f t="shared" si="35"/>
        <v>843.7</v>
      </c>
    </row>
    <row r="1156" spans="1:4" ht="16.149999999999999" customHeight="1" x14ac:dyDescent="0.25">
      <c r="A1156" s="431">
        <v>34716</v>
      </c>
      <c r="B1156" s="434">
        <v>846.61</v>
      </c>
      <c r="C1156" s="427">
        <f t="shared" si="34"/>
        <v>1995</v>
      </c>
      <c r="D1156" s="433">
        <f t="shared" si="35"/>
        <v>846.61</v>
      </c>
    </row>
    <row r="1157" spans="1:4" ht="16.149999999999999" customHeight="1" x14ac:dyDescent="0.25">
      <c r="A1157" s="431">
        <v>34717</v>
      </c>
      <c r="B1157" s="432">
        <v>847.61</v>
      </c>
      <c r="C1157" s="427">
        <f t="shared" si="34"/>
        <v>1995</v>
      </c>
      <c r="D1157" s="433">
        <f t="shared" si="35"/>
        <v>847.61</v>
      </c>
    </row>
    <row r="1158" spans="1:4" ht="16.149999999999999" customHeight="1" x14ac:dyDescent="0.25">
      <c r="A1158" s="431">
        <v>34718</v>
      </c>
      <c r="B1158" s="434">
        <v>850.26</v>
      </c>
      <c r="C1158" s="427">
        <f t="shared" si="34"/>
        <v>1995</v>
      </c>
      <c r="D1158" s="433">
        <f t="shared" si="35"/>
        <v>850.26</v>
      </c>
    </row>
    <row r="1159" spans="1:4" ht="16.149999999999999" customHeight="1" x14ac:dyDescent="0.25">
      <c r="A1159" s="431">
        <v>34719</v>
      </c>
      <c r="B1159" s="432">
        <v>852.68</v>
      </c>
      <c r="C1159" s="427">
        <f t="shared" si="34"/>
        <v>1995</v>
      </c>
      <c r="D1159" s="433">
        <f t="shared" si="35"/>
        <v>852.68</v>
      </c>
    </row>
    <row r="1160" spans="1:4" ht="16.149999999999999" customHeight="1" x14ac:dyDescent="0.25">
      <c r="A1160" s="431">
        <v>34720</v>
      </c>
      <c r="B1160" s="434">
        <v>855.54</v>
      </c>
      <c r="C1160" s="427">
        <f t="shared" si="34"/>
        <v>1995</v>
      </c>
      <c r="D1160" s="433">
        <f t="shared" si="35"/>
        <v>855.54</v>
      </c>
    </row>
    <row r="1161" spans="1:4" ht="16.149999999999999" customHeight="1" x14ac:dyDescent="0.25">
      <c r="A1161" s="431">
        <v>34721</v>
      </c>
      <c r="B1161" s="432">
        <v>855.54</v>
      </c>
      <c r="C1161" s="427">
        <f t="shared" si="34"/>
        <v>1995</v>
      </c>
      <c r="D1161" s="433">
        <f t="shared" si="35"/>
        <v>855.54</v>
      </c>
    </row>
    <row r="1162" spans="1:4" ht="16.149999999999999" customHeight="1" x14ac:dyDescent="0.25">
      <c r="A1162" s="431">
        <v>34722</v>
      </c>
      <c r="B1162" s="434">
        <v>855.54</v>
      </c>
      <c r="C1162" s="427">
        <f t="shared" ref="C1162:C1225" si="36">YEAR(A1162)</f>
        <v>1995</v>
      </c>
      <c r="D1162" s="433">
        <f t="shared" ref="D1162:D1225" si="37">B1162</f>
        <v>855.54</v>
      </c>
    </row>
    <row r="1163" spans="1:4" ht="16.149999999999999" customHeight="1" x14ac:dyDescent="0.25">
      <c r="A1163" s="431">
        <v>34723</v>
      </c>
      <c r="B1163" s="432">
        <v>855.49</v>
      </c>
      <c r="C1163" s="427">
        <f t="shared" si="36"/>
        <v>1995</v>
      </c>
      <c r="D1163" s="433">
        <f t="shared" si="37"/>
        <v>855.49</v>
      </c>
    </row>
    <row r="1164" spans="1:4" ht="16.149999999999999" customHeight="1" x14ac:dyDescent="0.25">
      <c r="A1164" s="431">
        <v>34724</v>
      </c>
      <c r="B1164" s="434">
        <v>856.65</v>
      </c>
      <c r="C1164" s="427">
        <f t="shared" si="36"/>
        <v>1995</v>
      </c>
      <c r="D1164" s="433">
        <f t="shared" si="37"/>
        <v>856.65</v>
      </c>
    </row>
    <row r="1165" spans="1:4" ht="16.149999999999999" customHeight="1" x14ac:dyDescent="0.25">
      <c r="A1165" s="431">
        <v>34725</v>
      </c>
      <c r="B1165" s="432">
        <v>857.56</v>
      </c>
      <c r="C1165" s="427">
        <f t="shared" si="36"/>
        <v>1995</v>
      </c>
      <c r="D1165" s="433">
        <f t="shared" si="37"/>
        <v>857.56</v>
      </c>
    </row>
    <row r="1166" spans="1:4" ht="16.149999999999999" customHeight="1" x14ac:dyDescent="0.25">
      <c r="A1166" s="431">
        <v>34726</v>
      </c>
      <c r="B1166" s="434">
        <v>859.3</v>
      </c>
      <c r="C1166" s="427">
        <f t="shared" si="36"/>
        <v>1995</v>
      </c>
      <c r="D1166" s="433">
        <f t="shared" si="37"/>
        <v>859.3</v>
      </c>
    </row>
    <row r="1167" spans="1:4" ht="16.149999999999999" customHeight="1" x14ac:dyDescent="0.25">
      <c r="A1167" s="431">
        <v>34727</v>
      </c>
      <c r="B1167" s="432">
        <v>857.83</v>
      </c>
      <c r="C1167" s="427">
        <f t="shared" si="36"/>
        <v>1995</v>
      </c>
      <c r="D1167" s="433">
        <f t="shared" si="37"/>
        <v>857.83</v>
      </c>
    </row>
    <row r="1168" spans="1:4" ht="16.149999999999999" customHeight="1" x14ac:dyDescent="0.25">
      <c r="A1168" s="431">
        <v>34728</v>
      </c>
      <c r="B1168" s="434">
        <v>857.83</v>
      </c>
      <c r="C1168" s="427">
        <f t="shared" si="36"/>
        <v>1995</v>
      </c>
      <c r="D1168" s="433">
        <f t="shared" si="37"/>
        <v>857.83</v>
      </c>
    </row>
    <row r="1169" spans="1:4" ht="16.149999999999999" customHeight="1" x14ac:dyDescent="0.25">
      <c r="A1169" s="431">
        <v>34729</v>
      </c>
      <c r="B1169" s="432">
        <v>857.83</v>
      </c>
      <c r="C1169" s="427">
        <f t="shared" si="36"/>
        <v>1995</v>
      </c>
      <c r="D1169" s="433">
        <f t="shared" si="37"/>
        <v>857.83</v>
      </c>
    </row>
    <row r="1170" spans="1:4" ht="16.149999999999999" customHeight="1" x14ac:dyDescent="0.25">
      <c r="A1170" s="431">
        <v>34730</v>
      </c>
      <c r="B1170" s="434">
        <v>856.41</v>
      </c>
      <c r="C1170" s="427">
        <f t="shared" si="36"/>
        <v>1995</v>
      </c>
      <c r="D1170" s="433">
        <f t="shared" si="37"/>
        <v>856.41</v>
      </c>
    </row>
    <row r="1171" spans="1:4" ht="16.149999999999999" customHeight="1" x14ac:dyDescent="0.25">
      <c r="A1171" s="431">
        <v>34731</v>
      </c>
      <c r="B1171" s="432">
        <v>857.16</v>
      </c>
      <c r="C1171" s="427">
        <f t="shared" si="36"/>
        <v>1995</v>
      </c>
      <c r="D1171" s="433">
        <f t="shared" si="37"/>
        <v>857.16</v>
      </c>
    </row>
    <row r="1172" spans="1:4" ht="16.149999999999999" customHeight="1" x14ac:dyDescent="0.25">
      <c r="A1172" s="431">
        <v>34732</v>
      </c>
      <c r="B1172" s="434">
        <v>855.76</v>
      </c>
      <c r="C1172" s="427">
        <f t="shared" si="36"/>
        <v>1995</v>
      </c>
      <c r="D1172" s="433">
        <f t="shared" si="37"/>
        <v>855.76</v>
      </c>
    </row>
    <row r="1173" spans="1:4" ht="16.149999999999999" customHeight="1" x14ac:dyDescent="0.25">
      <c r="A1173" s="431">
        <v>34733</v>
      </c>
      <c r="B1173" s="432">
        <v>852.22</v>
      </c>
      <c r="C1173" s="427">
        <f t="shared" si="36"/>
        <v>1995</v>
      </c>
      <c r="D1173" s="433">
        <f t="shared" si="37"/>
        <v>852.22</v>
      </c>
    </row>
    <row r="1174" spans="1:4" ht="16.149999999999999" customHeight="1" x14ac:dyDescent="0.25">
      <c r="A1174" s="431">
        <v>34734</v>
      </c>
      <c r="B1174" s="434">
        <v>848.82</v>
      </c>
      <c r="C1174" s="427">
        <f t="shared" si="36"/>
        <v>1995</v>
      </c>
      <c r="D1174" s="433">
        <f t="shared" si="37"/>
        <v>848.82</v>
      </c>
    </row>
    <row r="1175" spans="1:4" ht="16.149999999999999" customHeight="1" x14ac:dyDescent="0.25">
      <c r="A1175" s="431">
        <v>34735</v>
      </c>
      <c r="B1175" s="432">
        <v>848.82</v>
      </c>
      <c r="C1175" s="427">
        <f t="shared" si="36"/>
        <v>1995</v>
      </c>
      <c r="D1175" s="433">
        <f t="shared" si="37"/>
        <v>848.82</v>
      </c>
    </row>
    <row r="1176" spans="1:4" ht="16.149999999999999" customHeight="1" x14ac:dyDescent="0.25">
      <c r="A1176" s="431">
        <v>34736</v>
      </c>
      <c r="B1176" s="434">
        <v>848.82</v>
      </c>
      <c r="C1176" s="427">
        <f t="shared" si="36"/>
        <v>1995</v>
      </c>
      <c r="D1176" s="433">
        <f t="shared" si="37"/>
        <v>848.82</v>
      </c>
    </row>
    <row r="1177" spans="1:4" ht="16.149999999999999" customHeight="1" x14ac:dyDescent="0.25">
      <c r="A1177" s="431">
        <v>34737</v>
      </c>
      <c r="B1177" s="432">
        <v>848.27</v>
      </c>
      <c r="C1177" s="427">
        <f t="shared" si="36"/>
        <v>1995</v>
      </c>
      <c r="D1177" s="433">
        <f t="shared" si="37"/>
        <v>848.27</v>
      </c>
    </row>
    <row r="1178" spans="1:4" ht="16.149999999999999" customHeight="1" x14ac:dyDescent="0.25">
      <c r="A1178" s="431">
        <v>34738</v>
      </c>
      <c r="B1178" s="434">
        <v>848.43</v>
      </c>
      <c r="C1178" s="427">
        <f t="shared" si="36"/>
        <v>1995</v>
      </c>
      <c r="D1178" s="433">
        <f t="shared" si="37"/>
        <v>848.43</v>
      </c>
    </row>
    <row r="1179" spans="1:4" ht="16.149999999999999" customHeight="1" x14ac:dyDescent="0.25">
      <c r="A1179" s="431">
        <v>34739</v>
      </c>
      <c r="B1179" s="432">
        <v>847.04</v>
      </c>
      <c r="C1179" s="427">
        <f t="shared" si="36"/>
        <v>1995</v>
      </c>
      <c r="D1179" s="433">
        <f t="shared" si="37"/>
        <v>847.04</v>
      </c>
    </row>
    <row r="1180" spans="1:4" ht="16.149999999999999" customHeight="1" x14ac:dyDescent="0.25">
      <c r="A1180" s="431">
        <v>34740</v>
      </c>
      <c r="B1180" s="434">
        <v>845.73</v>
      </c>
      <c r="C1180" s="427">
        <f t="shared" si="36"/>
        <v>1995</v>
      </c>
      <c r="D1180" s="433">
        <f t="shared" si="37"/>
        <v>845.73</v>
      </c>
    </row>
    <row r="1181" spans="1:4" ht="16.149999999999999" customHeight="1" x14ac:dyDescent="0.25">
      <c r="A1181" s="431">
        <v>34741</v>
      </c>
      <c r="B1181" s="432">
        <v>845.37</v>
      </c>
      <c r="C1181" s="427">
        <f t="shared" si="36"/>
        <v>1995</v>
      </c>
      <c r="D1181" s="433">
        <f t="shared" si="37"/>
        <v>845.37</v>
      </c>
    </row>
    <row r="1182" spans="1:4" ht="16.149999999999999" customHeight="1" x14ac:dyDescent="0.25">
      <c r="A1182" s="431">
        <v>34742</v>
      </c>
      <c r="B1182" s="434">
        <v>845.37</v>
      </c>
      <c r="C1182" s="427">
        <f t="shared" si="36"/>
        <v>1995</v>
      </c>
      <c r="D1182" s="433">
        <f t="shared" si="37"/>
        <v>845.37</v>
      </c>
    </row>
    <row r="1183" spans="1:4" ht="16.149999999999999" customHeight="1" x14ac:dyDescent="0.25">
      <c r="A1183" s="431">
        <v>34743</v>
      </c>
      <c r="B1183" s="432">
        <v>845.37</v>
      </c>
      <c r="C1183" s="427">
        <f t="shared" si="36"/>
        <v>1995</v>
      </c>
      <c r="D1183" s="433">
        <f t="shared" si="37"/>
        <v>845.37</v>
      </c>
    </row>
    <row r="1184" spans="1:4" ht="16.149999999999999" customHeight="1" x14ac:dyDescent="0.25">
      <c r="A1184" s="431">
        <v>34744</v>
      </c>
      <c r="B1184" s="434">
        <v>846.2</v>
      </c>
      <c r="C1184" s="427">
        <f t="shared" si="36"/>
        <v>1995</v>
      </c>
      <c r="D1184" s="433">
        <f t="shared" si="37"/>
        <v>846.2</v>
      </c>
    </row>
    <row r="1185" spans="1:4" ht="16.149999999999999" customHeight="1" x14ac:dyDescent="0.25">
      <c r="A1185" s="431">
        <v>34745</v>
      </c>
      <c r="B1185" s="432">
        <v>848.15</v>
      </c>
      <c r="C1185" s="427">
        <f t="shared" si="36"/>
        <v>1995</v>
      </c>
      <c r="D1185" s="433">
        <f t="shared" si="37"/>
        <v>848.15</v>
      </c>
    </row>
    <row r="1186" spans="1:4" ht="16.149999999999999" customHeight="1" x14ac:dyDescent="0.25">
      <c r="A1186" s="431">
        <v>34746</v>
      </c>
      <c r="B1186" s="434">
        <v>848.52</v>
      </c>
      <c r="C1186" s="427">
        <f t="shared" si="36"/>
        <v>1995</v>
      </c>
      <c r="D1186" s="433">
        <f t="shared" si="37"/>
        <v>848.52</v>
      </c>
    </row>
    <row r="1187" spans="1:4" ht="16.149999999999999" customHeight="1" x14ac:dyDescent="0.25">
      <c r="A1187" s="431">
        <v>34747</v>
      </c>
      <c r="B1187" s="432">
        <v>848.9</v>
      </c>
      <c r="C1187" s="427">
        <f t="shared" si="36"/>
        <v>1995</v>
      </c>
      <c r="D1187" s="433">
        <f t="shared" si="37"/>
        <v>848.9</v>
      </c>
    </row>
    <row r="1188" spans="1:4" ht="16.149999999999999" customHeight="1" x14ac:dyDescent="0.25">
      <c r="A1188" s="431">
        <v>34748</v>
      </c>
      <c r="B1188" s="434">
        <v>849.41</v>
      </c>
      <c r="C1188" s="427">
        <f t="shared" si="36"/>
        <v>1995</v>
      </c>
      <c r="D1188" s="433">
        <f t="shared" si="37"/>
        <v>849.41</v>
      </c>
    </row>
    <row r="1189" spans="1:4" ht="16.149999999999999" customHeight="1" x14ac:dyDescent="0.25">
      <c r="A1189" s="431">
        <v>34749</v>
      </c>
      <c r="B1189" s="432">
        <v>849.41</v>
      </c>
      <c r="C1189" s="427">
        <f t="shared" si="36"/>
        <v>1995</v>
      </c>
      <c r="D1189" s="433">
        <f t="shared" si="37"/>
        <v>849.41</v>
      </c>
    </row>
    <row r="1190" spans="1:4" ht="16.149999999999999" customHeight="1" x14ac:dyDescent="0.25">
      <c r="A1190" s="431">
        <v>34750</v>
      </c>
      <c r="B1190" s="434">
        <v>849.41</v>
      </c>
      <c r="C1190" s="427">
        <f t="shared" si="36"/>
        <v>1995</v>
      </c>
      <c r="D1190" s="433">
        <f t="shared" si="37"/>
        <v>849.41</v>
      </c>
    </row>
    <row r="1191" spans="1:4" ht="16.149999999999999" customHeight="1" x14ac:dyDescent="0.25">
      <c r="A1191" s="431">
        <v>34751</v>
      </c>
      <c r="B1191" s="432">
        <v>851.88</v>
      </c>
      <c r="C1191" s="427">
        <f t="shared" si="36"/>
        <v>1995</v>
      </c>
      <c r="D1191" s="433">
        <f t="shared" si="37"/>
        <v>851.88</v>
      </c>
    </row>
    <row r="1192" spans="1:4" ht="16.149999999999999" customHeight="1" x14ac:dyDescent="0.25">
      <c r="A1192" s="431">
        <v>34752</v>
      </c>
      <c r="B1192" s="434">
        <v>853.63</v>
      </c>
      <c r="C1192" s="427">
        <f t="shared" si="36"/>
        <v>1995</v>
      </c>
      <c r="D1192" s="433">
        <f t="shared" si="37"/>
        <v>853.63</v>
      </c>
    </row>
    <row r="1193" spans="1:4" ht="16.149999999999999" customHeight="1" x14ac:dyDescent="0.25">
      <c r="A1193" s="431">
        <v>34753</v>
      </c>
      <c r="B1193" s="432">
        <v>855.32</v>
      </c>
      <c r="C1193" s="427">
        <f t="shared" si="36"/>
        <v>1995</v>
      </c>
      <c r="D1193" s="433">
        <f t="shared" si="37"/>
        <v>855.32</v>
      </c>
    </row>
    <row r="1194" spans="1:4" ht="16.149999999999999" customHeight="1" x14ac:dyDescent="0.25">
      <c r="A1194" s="431">
        <v>34754</v>
      </c>
      <c r="B1194" s="434">
        <v>855.48</v>
      </c>
      <c r="C1194" s="427">
        <f t="shared" si="36"/>
        <v>1995</v>
      </c>
      <c r="D1194" s="433">
        <f t="shared" si="37"/>
        <v>855.48</v>
      </c>
    </row>
    <row r="1195" spans="1:4" ht="16.149999999999999" customHeight="1" x14ac:dyDescent="0.25">
      <c r="A1195" s="431">
        <v>34755</v>
      </c>
      <c r="B1195" s="432">
        <v>854.71</v>
      </c>
      <c r="C1195" s="427">
        <f t="shared" si="36"/>
        <v>1995</v>
      </c>
      <c r="D1195" s="433">
        <f t="shared" si="37"/>
        <v>854.71</v>
      </c>
    </row>
    <row r="1196" spans="1:4" ht="16.149999999999999" customHeight="1" x14ac:dyDescent="0.25">
      <c r="A1196" s="431">
        <v>34756</v>
      </c>
      <c r="B1196" s="434">
        <v>854.71</v>
      </c>
      <c r="C1196" s="427">
        <f t="shared" si="36"/>
        <v>1995</v>
      </c>
      <c r="D1196" s="433">
        <f t="shared" si="37"/>
        <v>854.71</v>
      </c>
    </row>
    <row r="1197" spans="1:4" ht="16.149999999999999" customHeight="1" x14ac:dyDescent="0.25">
      <c r="A1197" s="431">
        <v>34757</v>
      </c>
      <c r="B1197" s="432">
        <v>854.71</v>
      </c>
      <c r="C1197" s="427">
        <f t="shared" si="36"/>
        <v>1995</v>
      </c>
      <c r="D1197" s="433">
        <f t="shared" si="37"/>
        <v>854.71</v>
      </c>
    </row>
    <row r="1198" spans="1:4" ht="16.149999999999999" customHeight="1" x14ac:dyDescent="0.25">
      <c r="A1198" s="431">
        <v>34758</v>
      </c>
      <c r="B1198" s="434">
        <v>856.99</v>
      </c>
      <c r="C1198" s="427">
        <f t="shared" si="36"/>
        <v>1995</v>
      </c>
      <c r="D1198" s="433">
        <f t="shared" si="37"/>
        <v>856.99</v>
      </c>
    </row>
    <row r="1199" spans="1:4" ht="16.149999999999999" customHeight="1" x14ac:dyDescent="0.25">
      <c r="A1199" s="431">
        <v>34759</v>
      </c>
      <c r="B1199" s="432">
        <v>857.85</v>
      </c>
      <c r="C1199" s="427">
        <f t="shared" si="36"/>
        <v>1995</v>
      </c>
      <c r="D1199" s="433">
        <f t="shared" si="37"/>
        <v>857.85</v>
      </c>
    </row>
    <row r="1200" spans="1:4" ht="16.149999999999999" customHeight="1" x14ac:dyDescent="0.25">
      <c r="A1200" s="431">
        <v>34760</v>
      </c>
      <c r="B1200" s="434">
        <v>858.87</v>
      </c>
      <c r="C1200" s="427">
        <f t="shared" si="36"/>
        <v>1995</v>
      </c>
      <c r="D1200" s="433">
        <f t="shared" si="37"/>
        <v>858.87</v>
      </c>
    </row>
    <row r="1201" spans="1:4" ht="16.149999999999999" customHeight="1" x14ac:dyDescent="0.25">
      <c r="A1201" s="431">
        <v>34761</v>
      </c>
      <c r="B1201" s="432">
        <v>861.33</v>
      </c>
      <c r="C1201" s="427">
        <f t="shared" si="36"/>
        <v>1995</v>
      </c>
      <c r="D1201" s="433">
        <f t="shared" si="37"/>
        <v>861.33</v>
      </c>
    </row>
    <row r="1202" spans="1:4" ht="16.149999999999999" customHeight="1" x14ac:dyDescent="0.25">
      <c r="A1202" s="431">
        <v>34762</v>
      </c>
      <c r="B1202" s="434">
        <v>859.65</v>
      </c>
      <c r="C1202" s="427">
        <f t="shared" si="36"/>
        <v>1995</v>
      </c>
      <c r="D1202" s="433">
        <f t="shared" si="37"/>
        <v>859.65</v>
      </c>
    </row>
    <row r="1203" spans="1:4" ht="16.149999999999999" customHeight="1" x14ac:dyDescent="0.25">
      <c r="A1203" s="431">
        <v>34763</v>
      </c>
      <c r="B1203" s="432">
        <v>859.65</v>
      </c>
      <c r="C1203" s="427">
        <f t="shared" si="36"/>
        <v>1995</v>
      </c>
      <c r="D1203" s="433">
        <f t="shared" si="37"/>
        <v>859.65</v>
      </c>
    </row>
    <row r="1204" spans="1:4" ht="16.149999999999999" customHeight="1" x14ac:dyDescent="0.25">
      <c r="A1204" s="431">
        <v>34764</v>
      </c>
      <c r="B1204" s="434">
        <v>859.65</v>
      </c>
      <c r="C1204" s="427">
        <f t="shared" si="36"/>
        <v>1995</v>
      </c>
      <c r="D1204" s="433">
        <f t="shared" si="37"/>
        <v>859.65</v>
      </c>
    </row>
    <row r="1205" spans="1:4" ht="16.149999999999999" customHeight="1" x14ac:dyDescent="0.25">
      <c r="A1205" s="431">
        <v>34765</v>
      </c>
      <c r="B1205" s="432">
        <v>858.95</v>
      </c>
      <c r="C1205" s="427">
        <f t="shared" si="36"/>
        <v>1995</v>
      </c>
      <c r="D1205" s="433">
        <f t="shared" si="37"/>
        <v>858.95</v>
      </c>
    </row>
    <row r="1206" spans="1:4" ht="16.149999999999999" customHeight="1" x14ac:dyDescent="0.25">
      <c r="A1206" s="431">
        <v>34766</v>
      </c>
      <c r="B1206" s="434">
        <v>861.13</v>
      </c>
      <c r="C1206" s="427">
        <f t="shared" si="36"/>
        <v>1995</v>
      </c>
      <c r="D1206" s="433">
        <f t="shared" si="37"/>
        <v>861.13</v>
      </c>
    </row>
    <row r="1207" spans="1:4" ht="16.149999999999999" customHeight="1" x14ac:dyDescent="0.25">
      <c r="A1207" s="431">
        <v>34767</v>
      </c>
      <c r="B1207" s="432">
        <v>862.41</v>
      </c>
      <c r="C1207" s="427">
        <f t="shared" si="36"/>
        <v>1995</v>
      </c>
      <c r="D1207" s="433">
        <f t="shared" si="37"/>
        <v>862.41</v>
      </c>
    </row>
    <row r="1208" spans="1:4" ht="16.149999999999999" customHeight="1" x14ac:dyDescent="0.25">
      <c r="A1208" s="431">
        <v>34768</v>
      </c>
      <c r="B1208" s="434">
        <v>863.06</v>
      </c>
      <c r="C1208" s="427">
        <f t="shared" si="36"/>
        <v>1995</v>
      </c>
      <c r="D1208" s="433">
        <f t="shared" si="37"/>
        <v>863.06</v>
      </c>
    </row>
    <row r="1209" spans="1:4" ht="16.149999999999999" customHeight="1" x14ac:dyDescent="0.25">
      <c r="A1209" s="431">
        <v>34769</v>
      </c>
      <c r="B1209" s="432">
        <v>865.36</v>
      </c>
      <c r="C1209" s="427">
        <f t="shared" si="36"/>
        <v>1995</v>
      </c>
      <c r="D1209" s="433">
        <f t="shared" si="37"/>
        <v>865.36</v>
      </c>
    </row>
    <row r="1210" spans="1:4" ht="16.149999999999999" customHeight="1" x14ac:dyDescent="0.25">
      <c r="A1210" s="431">
        <v>34770</v>
      </c>
      <c r="B1210" s="434">
        <v>865.36</v>
      </c>
      <c r="C1210" s="427">
        <f t="shared" si="36"/>
        <v>1995</v>
      </c>
      <c r="D1210" s="433">
        <f t="shared" si="37"/>
        <v>865.36</v>
      </c>
    </row>
    <row r="1211" spans="1:4" ht="16.149999999999999" customHeight="1" x14ac:dyDescent="0.25">
      <c r="A1211" s="431">
        <v>34771</v>
      </c>
      <c r="B1211" s="432">
        <v>865.36</v>
      </c>
      <c r="C1211" s="427">
        <f t="shared" si="36"/>
        <v>1995</v>
      </c>
      <c r="D1211" s="433">
        <f t="shared" si="37"/>
        <v>865.36</v>
      </c>
    </row>
    <row r="1212" spans="1:4" ht="16.149999999999999" customHeight="1" x14ac:dyDescent="0.25">
      <c r="A1212" s="431">
        <v>34772</v>
      </c>
      <c r="B1212" s="434">
        <v>865.92</v>
      </c>
      <c r="C1212" s="427">
        <f t="shared" si="36"/>
        <v>1995</v>
      </c>
      <c r="D1212" s="433">
        <f t="shared" si="37"/>
        <v>865.92</v>
      </c>
    </row>
    <row r="1213" spans="1:4" ht="16.149999999999999" customHeight="1" x14ac:dyDescent="0.25">
      <c r="A1213" s="431">
        <v>34773</v>
      </c>
      <c r="B1213" s="432">
        <v>866.96</v>
      </c>
      <c r="C1213" s="427">
        <f t="shared" si="36"/>
        <v>1995</v>
      </c>
      <c r="D1213" s="433">
        <f t="shared" si="37"/>
        <v>866.96</v>
      </c>
    </row>
    <row r="1214" spans="1:4" ht="16.149999999999999" customHeight="1" x14ac:dyDescent="0.25">
      <c r="A1214" s="431">
        <v>34774</v>
      </c>
      <c r="B1214" s="434">
        <v>866.4</v>
      </c>
      <c r="C1214" s="427">
        <f t="shared" si="36"/>
        <v>1995</v>
      </c>
      <c r="D1214" s="433">
        <f t="shared" si="37"/>
        <v>866.4</v>
      </c>
    </row>
    <row r="1215" spans="1:4" ht="16.149999999999999" customHeight="1" x14ac:dyDescent="0.25">
      <c r="A1215" s="431">
        <v>34775</v>
      </c>
      <c r="B1215" s="432">
        <v>865.63</v>
      </c>
      <c r="C1215" s="427">
        <f t="shared" si="36"/>
        <v>1995</v>
      </c>
      <c r="D1215" s="433">
        <f t="shared" si="37"/>
        <v>865.63</v>
      </c>
    </row>
    <row r="1216" spans="1:4" ht="16.149999999999999" customHeight="1" x14ac:dyDescent="0.25">
      <c r="A1216" s="431">
        <v>34776</v>
      </c>
      <c r="B1216" s="434">
        <v>863.77</v>
      </c>
      <c r="C1216" s="427">
        <f t="shared" si="36"/>
        <v>1995</v>
      </c>
      <c r="D1216" s="433">
        <f t="shared" si="37"/>
        <v>863.77</v>
      </c>
    </row>
    <row r="1217" spans="1:4" ht="16.149999999999999" customHeight="1" x14ac:dyDescent="0.25">
      <c r="A1217" s="431">
        <v>34777</v>
      </c>
      <c r="B1217" s="432">
        <v>863.77</v>
      </c>
      <c r="C1217" s="427">
        <f t="shared" si="36"/>
        <v>1995</v>
      </c>
      <c r="D1217" s="433">
        <f t="shared" si="37"/>
        <v>863.77</v>
      </c>
    </row>
    <row r="1218" spans="1:4" ht="16.149999999999999" customHeight="1" x14ac:dyDescent="0.25">
      <c r="A1218" s="431">
        <v>34778</v>
      </c>
      <c r="B1218" s="434">
        <v>863.77</v>
      </c>
      <c r="C1218" s="427">
        <f t="shared" si="36"/>
        <v>1995</v>
      </c>
      <c r="D1218" s="433">
        <f t="shared" si="37"/>
        <v>863.77</v>
      </c>
    </row>
    <row r="1219" spans="1:4" ht="16.149999999999999" customHeight="1" x14ac:dyDescent="0.25">
      <c r="A1219" s="431">
        <v>34779</v>
      </c>
      <c r="B1219" s="432">
        <v>863.77</v>
      </c>
      <c r="C1219" s="427">
        <f t="shared" si="36"/>
        <v>1995</v>
      </c>
      <c r="D1219" s="433">
        <f t="shared" si="37"/>
        <v>863.77</v>
      </c>
    </row>
    <row r="1220" spans="1:4" ht="16.149999999999999" customHeight="1" x14ac:dyDescent="0.25">
      <c r="A1220" s="431">
        <v>34780</v>
      </c>
      <c r="B1220" s="434">
        <v>865.89</v>
      </c>
      <c r="C1220" s="427">
        <f t="shared" si="36"/>
        <v>1995</v>
      </c>
      <c r="D1220" s="433">
        <f t="shared" si="37"/>
        <v>865.89</v>
      </c>
    </row>
    <row r="1221" spans="1:4" ht="16.149999999999999" customHeight="1" x14ac:dyDescent="0.25">
      <c r="A1221" s="431">
        <v>34781</v>
      </c>
      <c r="B1221" s="432">
        <v>867.81</v>
      </c>
      <c r="C1221" s="427">
        <f t="shared" si="36"/>
        <v>1995</v>
      </c>
      <c r="D1221" s="433">
        <f t="shared" si="37"/>
        <v>867.81</v>
      </c>
    </row>
    <row r="1222" spans="1:4" ht="16.149999999999999" customHeight="1" x14ac:dyDescent="0.25">
      <c r="A1222" s="431">
        <v>34782</v>
      </c>
      <c r="B1222" s="434">
        <v>868.95</v>
      </c>
      <c r="C1222" s="427">
        <f t="shared" si="36"/>
        <v>1995</v>
      </c>
      <c r="D1222" s="433">
        <f t="shared" si="37"/>
        <v>868.95</v>
      </c>
    </row>
    <row r="1223" spans="1:4" ht="16.149999999999999" customHeight="1" x14ac:dyDescent="0.25">
      <c r="A1223" s="431">
        <v>34783</v>
      </c>
      <c r="B1223" s="432">
        <v>869.22</v>
      </c>
      <c r="C1223" s="427">
        <f t="shared" si="36"/>
        <v>1995</v>
      </c>
      <c r="D1223" s="433">
        <f t="shared" si="37"/>
        <v>869.22</v>
      </c>
    </row>
    <row r="1224" spans="1:4" ht="16.149999999999999" customHeight="1" x14ac:dyDescent="0.25">
      <c r="A1224" s="431">
        <v>34784</v>
      </c>
      <c r="B1224" s="434">
        <v>869.22</v>
      </c>
      <c r="C1224" s="427">
        <f t="shared" si="36"/>
        <v>1995</v>
      </c>
      <c r="D1224" s="433">
        <f t="shared" si="37"/>
        <v>869.22</v>
      </c>
    </row>
    <row r="1225" spans="1:4" ht="16.149999999999999" customHeight="1" x14ac:dyDescent="0.25">
      <c r="A1225" s="431">
        <v>34785</v>
      </c>
      <c r="B1225" s="432">
        <v>869.22</v>
      </c>
      <c r="C1225" s="427">
        <f t="shared" si="36"/>
        <v>1995</v>
      </c>
      <c r="D1225" s="433">
        <f t="shared" si="37"/>
        <v>869.22</v>
      </c>
    </row>
    <row r="1226" spans="1:4" ht="16.149999999999999" customHeight="1" x14ac:dyDescent="0.25">
      <c r="A1226" s="431">
        <v>34786</v>
      </c>
      <c r="B1226" s="434">
        <v>870.14</v>
      </c>
      <c r="C1226" s="427">
        <f t="shared" ref="C1226:C1289" si="38">YEAR(A1226)</f>
        <v>1995</v>
      </c>
      <c r="D1226" s="433">
        <f t="shared" ref="D1226:D1289" si="39">B1226</f>
        <v>870.14</v>
      </c>
    </row>
    <row r="1227" spans="1:4" ht="16.149999999999999" customHeight="1" x14ac:dyDescent="0.25">
      <c r="A1227" s="431">
        <v>34787</v>
      </c>
      <c r="B1227" s="432">
        <v>872.57</v>
      </c>
      <c r="C1227" s="427">
        <f t="shared" si="38"/>
        <v>1995</v>
      </c>
      <c r="D1227" s="433">
        <f t="shared" si="39"/>
        <v>872.57</v>
      </c>
    </row>
    <row r="1228" spans="1:4" ht="16.149999999999999" customHeight="1" x14ac:dyDescent="0.25">
      <c r="A1228" s="431">
        <v>34788</v>
      </c>
      <c r="B1228" s="434">
        <v>876.21</v>
      </c>
      <c r="C1228" s="427">
        <f t="shared" si="38"/>
        <v>1995</v>
      </c>
      <c r="D1228" s="433">
        <f t="shared" si="39"/>
        <v>876.21</v>
      </c>
    </row>
    <row r="1229" spans="1:4" ht="16.149999999999999" customHeight="1" x14ac:dyDescent="0.25">
      <c r="A1229" s="431">
        <v>34789</v>
      </c>
      <c r="B1229" s="432">
        <v>880.23</v>
      </c>
      <c r="C1229" s="427">
        <f t="shared" si="38"/>
        <v>1995</v>
      </c>
      <c r="D1229" s="433">
        <f t="shared" si="39"/>
        <v>880.23</v>
      </c>
    </row>
    <row r="1230" spans="1:4" ht="16.149999999999999" customHeight="1" x14ac:dyDescent="0.25">
      <c r="A1230" s="431">
        <v>34790</v>
      </c>
      <c r="B1230" s="434">
        <v>878.18</v>
      </c>
      <c r="C1230" s="427">
        <f t="shared" si="38"/>
        <v>1995</v>
      </c>
      <c r="D1230" s="433">
        <f t="shared" si="39"/>
        <v>878.18</v>
      </c>
    </row>
    <row r="1231" spans="1:4" ht="16.149999999999999" customHeight="1" x14ac:dyDescent="0.25">
      <c r="A1231" s="431">
        <v>34791</v>
      </c>
      <c r="B1231" s="432">
        <v>878.18</v>
      </c>
      <c r="C1231" s="427">
        <f t="shared" si="38"/>
        <v>1995</v>
      </c>
      <c r="D1231" s="433">
        <f t="shared" si="39"/>
        <v>878.18</v>
      </c>
    </row>
    <row r="1232" spans="1:4" ht="16.149999999999999" customHeight="1" x14ac:dyDescent="0.25">
      <c r="A1232" s="431">
        <v>34792</v>
      </c>
      <c r="B1232" s="434">
        <v>878.18</v>
      </c>
      <c r="C1232" s="427">
        <f t="shared" si="38"/>
        <v>1995</v>
      </c>
      <c r="D1232" s="433">
        <f t="shared" si="39"/>
        <v>878.18</v>
      </c>
    </row>
    <row r="1233" spans="1:4" ht="16.149999999999999" customHeight="1" x14ac:dyDescent="0.25">
      <c r="A1233" s="431">
        <v>34793</v>
      </c>
      <c r="B1233" s="432">
        <v>876</v>
      </c>
      <c r="C1233" s="427">
        <f t="shared" si="38"/>
        <v>1995</v>
      </c>
      <c r="D1233" s="433">
        <f t="shared" si="39"/>
        <v>876</v>
      </c>
    </row>
    <row r="1234" spans="1:4" ht="16.149999999999999" customHeight="1" x14ac:dyDescent="0.25">
      <c r="A1234" s="431">
        <v>34794</v>
      </c>
      <c r="B1234" s="434">
        <v>874.3</v>
      </c>
      <c r="C1234" s="427">
        <f t="shared" si="38"/>
        <v>1995</v>
      </c>
      <c r="D1234" s="433">
        <f t="shared" si="39"/>
        <v>874.3</v>
      </c>
    </row>
    <row r="1235" spans="1:4" ht="16.149999999999999" customHeight="1" x14ac:dyDescent="0.25">
      <c r="A1235" s="431">
        <v>34795</v>
      </c>
      <c r="B1235" s="432">
        <v>871.6</v>
      </c>
      <c r="C1235" s="427">
        <f t="shared" si="38"/>
        <v>1995</v>
      </c>
      <c r="D1235" s="433">
        <f t="shared" si="39"/>
        <v>871.6</v>
      </c>
    </row>
    <row r="1236" spans="1:4" ht="16.149999999999999" customHeight="1" x14ac:dyDescent="0.25">
      <c r="A1236" s="431">
        <v>34796</v>
      </c>
      <c r="B1236" s="434">
        <v>868.96</v>
      </c>
      <c r="C1236" s="427">
        <f t="shared" si="38"/>
        <v>1995</v>
      </c>
      <c r="D1236" s="433">
        <f t="shared" si="39"/>
        <v>868.96</v>
      </c>
    </row>
    <row r="1237" spans="1:4" ht="16.149999999999999" customHeight="1" x14ac:dyDescent="0.25">
      <c r="A1237" s="431">
        <v>34797</v>
      </c>
      <c r="B1237" s="432">
        <v>869.15</v>
      </c>
      <c r="C1237" s="427">
        <f t="shared" si="38"/>
        <v>1995</v>
      </c>
      <c r="D1237" s="433">
        <f t="shared" si="39"/>
        <v>869.15</v>
      </c>
    </row>
    <row r="1238" spans="1:4" ht="16.149999999999999" customHeight="1" x14ac:dyDescent="0.25">
      <c r="A1238" s="431">
        <v>34798</v>
      </c>
      <c r="B1238" s="434">
        <v>869.15</v>
      </c>
      <c r="C1238" s="427">
        <f t="shared" si="38"/>
        <v>1995</v>
      </c>
      <c r="D1238" s="433">
        <f t="shared" si="39"/>
        <v>869.15</v>
      </c>
    </row>
    <row r="1239" spans="1:4" ht="16.149999999999999" customHeight="1" x14ac:dyDescent="0.25">
      <c r="A1239" s="431">
        <v>34799</v>
      </c>
      <c r="B1239" s="432">
        <v>869.15</v>
      </c>
      <c r="C1239" s="427">
        <f t="shared" si="38"/>
        <v>1995</v>
      </c>
      <c r="D1239" s="433">
        <f t="shared" si="39"/>
        <v>869.15</v>
      </c>
    </row>
    <row r="1240" spans="1:4" ht="16.149999999999999" customHeight="1" x14ac:dyDescent="0.25">
      <c r="A1240" s="431">
        <v>34800</v>
      </c>
      <c r="B1240" s="434">
        <v>866.78</v>
      </c>
      <c r="C1240" s="427">
        <f t="shared" si="38"/>
        <v>1995</v>
      </c>
      <c r="D1240" s="433">
        <f t="shared" si="39"/>
        <v>866.78</v>
      </c>
    </row>
    <row r="1241" spans="1:4" ht="16.149999999999999" customHeight="1" x14ac:dyDescent="0.25">
      <c r="A1241" s="431">
        <v>34801</v>
      </c>
      <c r="B1241" s="432">
        <v>868.8</v>
      </c>
      <c r="C1241" s="427">
        <f t="shared" si="38"/>
        <v>1995</v>
      </c>
      <c r="D1241" s="433">
        <f t="shared" si="39"/>
        <v>868.8</v>
      </c>
    </row>
    <row r="1242" spans="1:4" ht="16.149999999999999" customHeight="1" x14ac:dyDescent="0.25">
      <c r="A1242" s="431">
        <v>34802</v>
      </c>
      <c r="B1242" s="434">
        <v>866.25</v>
      </c>
      <c r="C1242" s="427">
        <f t="shared" si="38"/>
        <v>1995</v>
      </c>
      <c r="D1242" s="433">
        <f t="shared" si="39"/>
        <v>866.25</v>
      </c>
    </row>
    <row r="1243" spans="1:4" ht="16.149999999999999" customHeight="1" x14ac:dyDescent="0.25">
      <c r="A1243" s="431">
        <v>34803</v>
      </c>
      <c r="B1243" s="432">
        <v>866.25</v>
      </c>
      <c r="C1243" s="427">
        <f t="shared" si="38"/>
        <v>1995</v>
      </c>
      <c r="D1243" s="433">
        <f t="shared" si="39"/>
        <v>866.25</v>
      </c>
    </row>
    <row r="1244" spans="1:4" ht="16.149999999999999" customHeight="1" x14ac:dyDescent="0.25">
      <c r="A1244" s="431">
        <v>34804</v>
      </c>
      <c r="B1244" s="434">
        <v>866.25</v>
      </c>
      <c r="C1244" s="427">
        <f t="shared" si="38"/>
        <v>1995</v>
      </c>
      <c r="D1244" s="433">
        <f t="shared" si="39"/>
        <v>866.25</v>
      </c>
    </row>
    <row r="1245" spans="1:4" ht="16.149999999999999" customHeight="1" x14ac:dyDescent="0.25">
      <c r="A1245" s="431">
        <v>34805</v>
      </c>
      <c r="B1245" s="432">
        <v>866.25</v>
      </c>
      <c r="C1245" s="427">
        <f t="shared" si="38"/>
        <v>1995</v>
      </c>
      <c r="D1245" s="433">
        <f t="shared" si="39"/>
        <v>866.25</v>
      </c>
    </row>
    <row r="1246" spans="1:4" ht="16.149999999999999" customHeight="1" x14ac:dyDescent="0.25">
      <c r="A1246" s="431">
        <v>34806</v>
      </c>
      <c r="B1246" s="434">
        <v>866.25</v>
      </c>
      <c r="C1246" s="427">
        <f t="shared" si="38"/>
        <v>1995</v>
      </c>
      <c r="D1246" s="433">
        <f t="shared" si="39"/>
        <v>866.25</v>
      </c>
    </row>
    <row r="1247" spans="1:4" ht="16.149999999999999" customHeight="1" x14ac:dyDescent="0.25">
      <c r="A1247" s="431">
        <v>34807</v>
      </c>
      <c r="B1247" s="432">
        <v>871.87</v>
      </c>
      <c r="C1247" s="427">
        <f t="shared" si="38"/>
        <v>1995</v>
      </c>
      <c r="D1247" s="433">
        <f t="shared" si="39"/>
        <v>871.87</v>
      </c>
    </row>
    <row r="1248" spans="1:4" ht="16.149999999999999" customHeight="1" x14ac:dyDescent="0.25">
      <c r="A1248" s="431">
        <v>34808</v>
      </c>
      <c r="B1248" s="434">
        <v>874.37</v>
      </c>
      <c r="C1248" s="427">
        <f t="shared" si="38"/>
        <v>1995</v>
      </c>
      <c r="D1248" s="433">
        <f t="shared" si="39"/>
        <v>874.37</v>
      </c>
    </row>
    <row r="1249" spans="1:4" ht="16.149999999999999" customHeight="1" x14ac:dyDescent="0.25">
      <c r="A1249" s="431">
        <v>34809</v>
      </c>
      <c r="B1249" s="432">
        <v>874.35</v>
      </c>
      <c r="C1249" s="427">
        <f t="shared" si="38"/>
        <v>1995</v>
      </c>
      <c r="D1249" s="433">
        <f t="shared" si="39"/>
        <v>874.35</v>
      </c>
    </row>
    <row r="1250" spans="1:4" ht="16.149999999999999" customHeight="1" x14ac:dyDescent="0.25">
      <c r="A1250" s="431">
        <v>34810</v>
      </c>
      <c r="B1250" s="434">
        <v>877.38</v>
      </c>
      <c r="C1250" s="427">
        <f t="shared" si="38"/>
        <v>1995</v>
      </c>
      <c r="D1250" s="433">
        <f t="shared" si="39"/>
        <v>877.38</v>
      </c>
    </row>
    <row r="1251" spans="1:4" ht="16.149999999999999" customHeight="1" x14ac:dyDescent="0.25">
      <c r="A1251" s="431">
        <v>34811</v>
      </c>
      <c r="B1251" s="432">
        <v>876.55</v>
      </c>
      <c r="C1251" s="427">
        <f t="shared" si="38"/>
        <v>1995</v>
      </c>
      <c r="D1251" s="433">
        <f t="shared" si="39"/>
        <v>876.55</v>
      </c>
    </row>
    <row r="1252" spans="1:4" ht="16.149999999999999" customHeight="1" x14ac:dyDescent="0.25">
      <c r="A1252" s="431">
        <v>34812</v>
      </c>
      <c r="B1252" s="434">
        <v>876.55</v>
      </c>
      <c r="C1252" s="427">
        <f t="shared" si="38"/>
        <v>1995</v>
      </c>
      <c r="D1252" s="433">
        <f t="shared" si="39"/>
        <v>876.55</v>
      </c>
    </row>
    <row r="1253" spans="1:4" ht="16.149999999999999" customHeight="1" x14ac:dyDescent="0.25">
      <c r="A1253" s="431">
        <v>34813</v>
      </c>
      <c r="B1253" s="432">
        <v>876.55</v>
      </c>
      <c r="C1253" s="427">
        <f t="shared" si="38"/>
        <v>1995</v>
      </c>
      <c r="D1253" s="433">
        <f t="shared" si="39"/>
        <v>876.55</v>
      </c>
    </row>
    <row r="1254" spans="1:4" ht="16.149999999999999" customHeight="1" x14ac:dyDescent="0.25">
      <c r="A1254" s="431">
        <v>34814</v>
      </c>
      <c r="B1254" s="434">
        <v>878.2</v>
      </c>
      <c r="C1254" s="427">
        <f t="shared" si="38"/>
        <v>1995</v>
      </c>
      <c r="D1254" s="433">
        <f t="shared" si="39"/>
        <v>878.2</v>
      </c>
    </row>
    <row r="1255" spans="1:4" ht="16.149999999999999" customHeight="1" x14ac:dyDescent="0.25">
      <c r="A1255" s="431">
        <v>34815</v>
      </c>
      <c r="B1255" s="432">
        <v>876.32</v>
      </c>
      <c r="C1255" s="427">
        <f t="shared" si="38"/>
        <v>1995</v>
      </c>
      <c r="D1255" s="433">
        <f t="shared" si="39"/>
        <v>876.32</v>
      </c>
    </row>
    <row r="1256" spans="1:4" ht="16.149999999999999" customHeight="1" x14ac:dyDescent="0.25">
      <c r="A1256" s="431">
        <v>34816</v>
      </c>
      <c r="B1256" s="434">
        <v>875.78</v>
      </c>
      <c r="C1256" s="427">
        <f t="shared" si="38"/>
        <v>1995</v>
      </c>
      <c r="D1256" s="433">
        <f t="shared" si="39"/>
        <v>875.78</v>
      </c>
    </row>
    <row r="1257" spans="1:4" ht="16.149999999999999" customHeight="1" x14ac:dyDescent="0.25">
      <c r="A1257" s="431">
        <v>34817</v>
      </c>
      <c r="B1257" s="432">
        <v>876.21</v>
      </c>
      <c r="C1257" s="427">
        <f t="shared" si="38"/>
        <v>1995</v>
      </c>
      <c r="D1257" s="433">
        <f t="shared" si="39"/>
        <v>876.21</v>
      </c>
    </row>
    <row r="1258" spans="1:4" ht="16.149999999999999" customHeight="1" x14ac:dyDescent="0.25">
      <c r="A1258" s="431">
        <v>34818</v>
      </c>
      <c r="B1258" s="434">
        <v>877.9</v>
      </c>
      <c r="C1258" s="427">
        <f t="shared" si="38"/>
        <v>1995</v>
      </c>
      <c r="D1258" s="433">
        <f t="shared" si="39"/>
        <v>877.9</v>
      </c>
    </row>
    <row r="1259" spans="1:4" ht="16.149999999999999" customHeight="1" x14ac:dyDescent="0.25">
      <c r="A1259" s="431">
        <v>34819</v>
      </c>
      <c r="B1259" s="432">
        <v>877.9</v>
      </c>
      <c r="C1259" s="427">
        <f t="shared" si="38"/>
        <v>1995</v>
      </c>
      <c r="D1259" s="433">
        <f t="shared" si="39"/>
        <v>877.9</v>
      </c>
    </row>
    <row r="1260" spans="1:4" ht="16.149999999999999" customHeight="1" x14ac:dyDescent="0.25">
      <c r="A1260" s="431">
        <v>34820</v>
      </c>
      <c r="B1260" s="434">
        <v>877.9</v>
      </c>
      <c r="C1260" s="427">
        <f t="shared" si="38"/>
        <v>1995</v>
      </c>
      <c r="D1260" s="433">
        <f t="shared" si="39"/>
        <v>877.9</v>
      </c>
    </row>
    <row r="1261" spans="1:4" ht="16.149999999999999" customHeight="1" x14ac:dyDescent="0.25">
      <c r="A1261" s="431">
        <v>34821</v>
      </c>
      <c r="B1261" s="432">
        <v>877.9</v>
      </c>
      <c r="C1261" s="427">
        <f t="shared" si="38"/>
        <v>1995</v>
      </c>
      <c r="D1261" s="433">
        <f t="shared" si="39"/>
        <v>877.9</v>
      </c>
    </row>
    <row r="1262" spans="1:4" ht="16.149999999999999" customHeight="1" x14ac:dyDescent="0.25">
      <c r="A1262" s="431">
        <v>34822</v>
      </c>
      <c r="B1262" s="434">
        <v>880.63</v>
      </c>
      <c r="C1262" s="427">
        <f t="shared" si="38"/>
        <v>1995</v>
      </c>
      <c r="D1262" s="433">
        <f t="shared" si="39"/>
        <v>880.63</v>
      </c>
    </row>
    <row r="1263" spans="1:4" ht="16.149999999999999" customHeight="1" x14ac:dyDescent="0.25">
      <c r="A1263" s="431">
        <v>34823</v>
      </c>
      <c r="B1263" s="432">
        <v>882.97</v>
      </c>
      <c r="C1263" s="427">
        <f t="shared" si="38"/>
        <v>1995</v>
      </c>
      <c r="D1263" s="433">
        <f t="shared" si="39"/>
        <v>882.97</v>
      </c>
    </row>
    <row r="1264" spans="1:4" ht="16.149999999999999" customHeight="1" x14ac:dyDescent="0.25">
      <c r="A1264" s="431">
        <v>34824</v>
      </c>
      <c r="B1264" s="434">
        <v>882.24</v>
      </c>
      <c r="C1264" s="427">
        <f t="shared" si="38"/>
        <v>1995</v>
      </c>
      <c r="D1264" s="433">
        <f t="shared" si="39"/>
        <v>882.24</v>
      </c>
    </row>
    <row r="1265" spans="1:4" ht="16.149999999999999" customHeight="1" x14ac:dyDescent="0.25">
      <c r="A1265" s="431">
        <v>34825</v>
      </c>
      <c r="B1265" s="432">
        <v>881.07</v>
      </c>
      <c r="C1265" s="427">
        <f t="shared" si="38"/>
        <v>1995</v>
      </c>
      <c r="D1265" s="433">
        <f t="shared" si="39"/>
        <v>881.07</v>
      </c>
    </row>
    <row r="1266" spans="1:4" ht="16.149999999999999" customHeight="1" x14ac:dyDescent="0.25">
      <c r="A1266" s="431">
        <v>34826</v>
      </c>
      <c r="B1266" s="434">
        <v>881.07</v>
      </c>
      <c r="C1266" s="427">
        <f t="shared" si="38"/>
        <v>1995</v>
      </c>
      <c r="D1266" s="433">
        <f t="shared" si="39"/>
        <v>881.07</v>
      </c>
    </row>
    <row r="1267" spans="1:4" ht="16.149999999999999" customHeight="1" x14ac:dyDescent="0.25">
      <c r="A1267" s="431">
        <v>34827</v>
      </c>
      <c r="B1267" s="432">
        <v>881.07</v>
      </c>
      <c r="C1267" s="427">
        <f t="shared" si="38"/>
        <v>1995</v>
      </c>
      <c r="D1267" s="433">
        <f t="shared" si="39"/>
        <v>881.07</v>
      </c>
    </row>
    <row r="1268" spans="1:4" ht="16.149999999999999" customHeight="1" x14ac:dyDescent="0.25">
      <c r="A1268" s="431">
        <v>34828</v>
      </c>
      <c r="B1268" s="434">
        <v>881.33</v>
      </c>
      <c r="C1268" s="427">
        <f t="shared" si="38"/>
        <v>1995</v>
      </c>
      <c r="D1268" s="433">
        <f t="shared" si="39"/>
        <v>881.33</v>
      </c>
    </row>
    <row r="1269" spans="1:4" ht="16.149999999999999" customHeight="1" x14ac:dyDescent="0.25">
      <c r="A1269" s="431">
        <v>34829</v>
      </c>
      <c r="B1269" s="432">
        <v>878.87</v>
      </c>
      <c r="C1269" s="427">
        <f t="shared" si="38"/>
        <v>1995</v>
      </c>
      <c r="D1269" s="433">
        <f t="shared" si="39"/>
        <v>878.87</v>
      </c>
    </row>
    <row r="1270" spans="1:4" ht="16.149999999999999" customHeight="1" x14ac:dyDescent="0.25">
      <c r="A1270" s="431">
        <v>34830</v>
      </c>
      <c r="B1270" s="434">
        <v>880.25</v>
      </c>
      <c r="C1270" s="427">
        <f t="shared" si="38"/>
        <v>1995</v>
      </c>
      <c r="D1270" s="433">
        <f t="shared" si="39"/>
        <v>880.25</v>
      </c>
    </row>
    <row r="1271" spans="1:4" ht="16.149999999999999" customHeight="1" x14ac:dyDescent="0.25">
      <c r="A1271" s="431">
        <v>34831</v>
      </c>
      <c r="B1271" s="432">
        <v>881.07</v>
      </c>
      <c r="C1271" s="427">
        <f t="shared" si="38"/>
        <v>1995</v>
      </c>
      <c r="D1271" s="433">
        <f t="shared" si="39"/>
        <v>881.07</v>
      </c>
    </row>
    <row r="1272" spans="1:4" ht="16.149999999999999" customHeight="1" x14ac:dyDescent="0.25">
      <c r="A1272" s="431">
        <v>34832</v>
      </c>
      <c r="B1272" s="434">
        <v>879.35</v>
      </c>
      <c r="C1272" s="427">
        <f t="shared" si="38"/>
        <v>1995</v>
      </c>
      <c r="D1272" s="433">
        <f t="shared" si="39"/>
        <v>879.35</v>
      </c>
    </row>
    <row r="1273" spans="1:4" ht="16.149999999999999" customHeight="1" x14ac:dyDescent="0.25">
      <c r="A1273" s="431">
        <v>34833</v>
      </c>
      <c r="B1273" s="432">
        <v>879.35</v>
      </c>
      <c r="C1273" s="427">
        <f t="shared" si="38"/>
        <v>1995</v>
      </c>
      <c r="D1273" s="433">
        <f t="shared" si="39"/>
        <v>879.35</v>
      </c>
    </row>
    <row r="1274" spans="1:4" ht="16.149999999999999" customHeight="1" x14ac:dyDescent="0.25">
      <c r="A1274" s="431">
        <v>34834</v>
      </c>
      <c r="B1274" s="434">
        <v>879.35</v>
      </c>
      <c r="C1274" s="427">
        <f t="shared" si="38"/>
        <v>1995</v>
      </c>
      <c r="D1274" s="433">
        <f t="shared" si="39"/>
        <v>879.35</v>
      </c>
    </row>
    <row r="1275" spans="1:4" ht="16.149999999999999" customHeight="1" x14ac:dyDescent="0.25">
      <c r="A1275" s="431">
        <v>34835</v>
      </c>
      <c r="B1275" s="432">
        <v>877.45</v>
      </c>
      <c r="C1275" s="427">
        <f t="shared" si="38"/>
        <v>1995</v>
      </c>
      <c r="D1275" s="433">
        <f t="shared" si="39"/>
        <v>877.45</v>
      </c>
    </row>
    <row r="1276" spans="1:4" ht="16.149999999999999" customHeight="1" x14ac:dyDescent="0.25">
      <c r="A1276" s="431">
        <v>34836</v>
      </c>
      <c r="B1276" s="434">
        <v>875.17</v>
      </c>
      <c r="C1276" s="427">
        <f t="shared" si="38"/>
        <v>1995</v>
      </c>
      <c r="D1276" s="433">
        <f t="shared" si="39"/>
        <v>875.17</v>
      </c>
    </row>
    <row r="1277" spans="1:4" ht="16.149999999999999" customHeight="1" x14ac:dyDescent="0.25">
      <c r="A1277" s="431">
        <v>34837</v>
      </c>
      <c r="B1277" s="432">
        <v>874.74</v>
      </c>
      <c r="C1277" s="427">
        <f t="shared" si="38"/>
        <v>1995</v>
      </c>
      <c r="D1277" s="433">
        <f t="shared" si="39"/>
        <v>874.74</v>
      </c>
    </row>
    <row r="1278" spans="1:4" ht="16.149999999999999" customHeight="1" x14ac:dyDescent="0.25">
      <c r="A1278" s="431">
        <v>34838</v>
      </c>
      <c r="B1278" s="434">
        <v>875.75</v>
      </c>
      <c r="C1278" s="427">
        <f t="shared" si="38"/>
        <v>1995</v>
      </c>
      <c r="D1278" s="433">
        <f t="shared" si="39"/>
        <v>875.75</v>
      </c>
    </row>
    <row r="1279" spans="1:4" ht="16.149999999999999" customHeight="1" x14ac:dyDescent="0.25">
      <c r="A1279" s="431">
        <v>34839</v>
      </c>
      <c r="B1279" s="432">
        <v>873.52</v>
      </c>
      <c r="C1279" s="427">
        <f t="shared" si="38"/>
        <v>1995</v>
      </c>
      <c r="D1279" s="433">
        <f t="shared" si="39"/>
        <v>873.52</v>
      </c>
    </row>
    <row r="1280" spans="1:4" ht="16.149999999999999" customHeight="1" x14ac:dyDescent="0.25">
      <c r="A1280" s="431">
        <v>34840</v>
      </c>
      <c r="B1280" s="434">
        <v>873.52</v>
      </c>
      <c r="C1280" s="427">
        <f t="shared" si="38"/>
        <v>1995</v>
      </c>
      <c r="D1280" s="433">
        <f t="shared" si="39"/>
        <v>873.52</v>
      </c>
    </row>
    <row r="1281" spans="1:4" ht="16.149999999999999" customHeight="1" x14ac:dyDescent="0.25">
      <c r="A1281" s="431">
        <v>34841</v>
      </c>
      <c r="B1281" s="432">
        <v>873.52</v>
      </c>
      <c r="C1281" s="427">
        <f t="shared" si="38"/>
        <v>1995</v>
      </c>
      <c r="D1281" s="433">
        <f t="shared" si="39"/>
        <v>873.52</v>
      </c>
    </row>
    <row r="1282" spans="1:4" ht="16.149999999999999" customHeight="1" x14ac:dyDescent="0.25">
      <c r="A1282" s="431">
        <v>34842</v>
      </c>
      <c r="B1282" s="434">
        <v>871.11</v>
      </c>
      <c r="C1282" s="427">
        <f t="shared" si="38"/>
        <v>1995</v>
      </c>
      <c r="D1282" s="433">
        <f t="shared" si="39"/>
        <v>871.11</v>
      </c>
    </row>
    <row r="1283" spans="1:4" ht="16.149999999999999" customHeight="1" x14ac:dyDescent="0.25">
      <c r="A1283" s="431">
        <v>34843</v>
      </c>
      <c r="B1283" s="432">
        <v>869.95</v>
      </c>
      <c r="C1283" s="427">
        <f t="shared" si="38"/>
        <v>1995</v>
      </c>
      <c r="D1283" s="433">
        <f t="shared" si="39"/>
        <v>869.95</v>
      </c>
    </row>
    <row r="1284" spans="1:4" ht="16.149999999999999" customHeight="1" x14ac:dyDescent="0.25">
      <c r="A1284" s="431">
        <v>34844</v>
      </c>
      <c r="B1284" s="434">
        <v>870.55</v>
      </c>
      <c r="C1284" s="427">
        <f t="shared" si="38"/>
        <v>1995</v>
      </c>
      <c r="D1284" s="433">
        <f t="shared" si="39"/>
        <v>870.55</v>
      </c>
    </row>
    <row r="1285" spans="1:4" ht="16.149999999999999" customHeight="1" x14ac:dyDescent="0.25">
      <c r="A1285" s="431">
        <v>34845</v>
      </c>
      <c r="B1285" s="432">
        <v>872.96</v>
      </c>
      <c r="C1285" s="427">
        <f t="shared" si="38"/>
        <v>1995</v>
      </c>
      <c r="D1285" s="433">
        <f t="shared" si="39"/>
        <v>872.96</v>
      </c>
    </row>
    <row r="1286" spans="1:4" ht="16.149999999999999" customHeight="1" x14ac:dyDescent="0.25">
      <c r="A1286" s="431">
        <v>34846</v>
      </c>
      <c r="B1286" s="434">
        <v>872.66</v>
      </c>
      <c r="C1286" s="427">
        <f t="shared" si="38"/>
        <v>1995</v>
      </c>
      <c r="D1286" s="433">
        <f t="shared" si="39"/>
        <v>872.66</v>
      </c>
    </row>
    <row r="1287" spans="1:4" ht="16.149999999999999" customHeight="1" x14ac:dyDescent="0.25">
      <c r="A1287" s="431">
        <v>34847</v>
      </c>
      <c r="B1287" s="432">
        <v>872.66</v>
      </c>
      <c r="C1287" s="427">
        <f t="shared" si="38"/>
        <v>1995</v>
      </c>
      <c r="D1287" s="433">
        <f t="shared" si="39"/>
        <v>872.66</v>
      </c>
    </row>
    <row r="1288" spans="1:4" ht="16.149999999999999" customHeight="1" x14ac:dyDescent="0.25">
      <c r="A1288" s="431">
        <v>34848</v>
      </c>
      <c r="B1288" s="434">
        <v>872.66</v>
      </c>
      <c r="C1288" s="427">
        <f t="shared" si="38"/>
        <v>1995</v>
      </c>
      <c r="D1288" s="433">
        <f t="shared" si="39"/>
        <v>872.66</v>
      </c>
    </row>
    <row r="1289" spans="1:4" ht="16.149999999999999" customHeight="1" x14ac:dyDescent="0.25">
      <c r="A1289" s="431">
        <v>34849</v>
      </c>
      <c r="B1289" s="432">
        <v>872.66</v>
      </c>
      <c r="C1289" s="427">
        <f t="shared" si="38"/>
        <v>1995</v>
      </c>
      <c r="D1289" s="433">
        <f t="shared" si="39"/>
        <v>872.66</v>
      </c>
    </row>
    <row r="1290" spans="1:4" ht="16.149999999999999" customHeight="1" x14ac:dyDescent="0.25">
      <c r="A1290" s="431">
        <v>34850</v>
      </c>
      <c r="B1290" s="434">
        <v>876.36</v>
      </c>
      <c r="C1290" s="427">
        <f t="shared" ref="C1290:C1353" si="40">YEAR(A1290)</f>
        <v>1995</v>
      </c>
      <c r="D1290" s="433">
        <f t="shared" ref="D1290:D1353" si="41">B1290</f>
        <v>876.36</v>
      </c>
    </row>
    <row r="1291" spans="1:4" ht="16.149999999999999" customHeight="1" x14ac:dyDescent="0.25">
      <c r="A1291" s="431">
        <v>34851</v>
      </c>
      <c r="B1291" s="432">
        <v>876.62</v>
      </c>
      <c r="C1291" s="427">
        <f t="shared" si="40"/>
        <v>1995</v>
      </c>
      <c r="D1291" s="433">
        <f t="shared" si="41"/>
        <v>876.62</v>
      </c>
    </row>
    <row r="1292" spans="1:4" ht="16.149999999999999" customHeight="1" x14ac:dyDescent="0.25">
      <c r="A1292" s="431">
        <v>34852</v>
      </c>
      <c r="B1292" s="434">
        <v>877.22</v>
      </c>
      <c r="C1292" s="427">
        <f t="shared" si="40"/>
        <v>1995</v>
      </c>
      <c r="D1292" s="433">
        <f t="shared" si="41"/>
        <v>877.22</v>
      </c>
    </row>
    <row r="1293" spans="1:4" ht="16.149999999999999" customHeight="1" x14ac:dyDescent="0.25">
      <c r="A1293" s="431">
        <v>34853</v>
      </c>
      <c r="B1293" s="432">
        <v>875.99</v>
      </c>
      <c r="C1293" s="427">
        <f t="shared" si="40"/>
        <v>1995</v>
      </c>
      <c r="D1293" s="433">
        <f t="shared" si="41"/>
        <v>875.99</v>
      </c>
    </row>
    <row r="1294" spans="1:4" ht="16.149999999999999" customHeight="1" x14ac:dyDescent="0.25">
      <c r="A1294" s="431">
        <v>34854</v>
      </c>
      <c r="B1294" s="434">
        <v>875.99</v>
      </c>
      <c r="C1294" s="427">
        <f t="shared" si="40"/>
        <v>1995</v>
      </c>
      <c r="D1294" s="433">
        <f t="shared" si="41"/>
        <v>875.99</v>
      </c>
    </row>
    <row r="1295" spans="1:4" ht="16.149999999999999" customHeight="1" x14ac:dyDescent="0.25">
      <c r="A1295" s="431">
        <v>34855</v>
      </c>
      <c r="B1295" s="432">
        <v>875.99</v>
      </c>
      <c r="C1295" s="427">
        <f t="shared" si="40"/>
        <v>1995</v>
      </c>
      <c r="D1295" s="433">
        <f t="shared" si="41"/>
        <v>875.99</v>
      </c>
    </row>
    <row r="1296" spans="1:4" ht="16.149999999999999" customHeight="1" x14ac:dyDescent="0.25">
      <c r="A1296" s="431">
        <v>34856</v>
      </c>
      <c r="B1296" s="434">
        <v>874.81</v>
      </c>
      <c r="C1296" s="427">
        <f t="shared" si="40"/>
        <v>1995</v>
      </c>
      <c r="D1296" s="433">
        <f t="shared" si="41"/>
        <v>874.81</v>
      </c>
    </row>
    <row r="1297" spans="1:4" ht="16.149999999999999" customHeight="1" x14ac:dyDescent="0.25">
      <c r="A1297" s="431">
        <v>34857</v>
      </c>
      <c r="B1297" s="432">
        <v>873.06</v>
      </c>
      <c r="C1297" s="427">
        <f t="shared" si="40"/>
        <v>1995</v>
      </c>
      <c r="D1297" s="433">
        <f t="shared" si="41"/>
        <v>873.06</v>
      </c>
    </row>
    <row r="1298" spans="1:4" ht="16.149999999999999" customHeight="1" x14ac:dyDescent="0.25">
      <c r="A1298" s="431">
        <v>34858</v>
      </c>
      <c r="B1298" s="434">
        <v>871.02</v>
      </c>
      <c r="C1298" s="427">
        <f t="shared" si="40"/>
        <v>1995</v>
      </c>
      <c r="D1298" s="433">
        <f t="shared" si="41"/>
        <v>871.02</v>
      </c>
    </row>
    <row r="1299" spans="1:4" ht="16.149999999999999" customHeight="1" x14ac:dyDescent="0.25">
      <c r="A1299" s="431">
        <v>34859</v>
      </c>
      <c r="B1299" s="432">
        <v>871.93</v>
      </c>
      <c r="C1299" s="427">
        <f t="shared" si="40"/>
        <v>1995</v>
      </c>
      <c r="D1299" s="433">
        <f t="shared" si="41"/>
        <v>871.93</v>
      </c>
    </row>
    <row r="1300" spans="1:4" ht="16.149999999999999" customHeight="1" x14ac:dyDescent="0.25">
      <c r="A1300" s="431">
        <v>34860</v>
      </c>
      <c r="B1300" s="434">
        <v>871.94</v>
      </c>
      <c r="C1300" s="427">
        <f t="shared" si="40"/>
        <v>1995</v>
      </c>
      <c r="D1300" s="433">
        <f t="shared" si="41"/>
        <v>871.94</v>
      </c>
    </row>
    <row r="1301" spans="1:4" ht="16.149999999999999" customHeight="1" x14ac:dyDescent="0.25">
      <c r="A1301" s="431">
        <v>34861</v>
      </c>
      <c r="B1301" s="432">
        <v>871.94</v>
      </c>
      <c r="C1301" s="427">
        <f t="shared" si="40"/>
        <v>1995</v>
      </c>
      <c r="D1301" s="433">
        <f t="shared" si="41"/>
        <v>871.94</v>
      </c>
    </row>
    <row r="1302" spans="1:4" ht="16.149999999999999" customHeight="1" x14ac:dyDescent="0.25">
      <c r="A1302" s="431">
        <v>34862</v>
      </c>
      <c r="B1302" s="434">
        <v>871.94</v>
      </c>
      <c r="C1302" s="427">
        <f t="shared" si="40"/>
        <v>1995</v>
      </c>
      <c r="D1302" s="433">
        <f t="shared" si="41"/>
        <v>871.94</v>
      </c>
    </row>
    <row r="1303" spans="1:4" ht="16.149999999999999" customHeight="1" x14ac:dyDescent="0.25">
      <c r="A1303" s="431">
        <v>34863</v>
      </c>
      <c r="B1303" s="432">
        <v>873.74</v>
      </c>
      <c r="C1303" s="427">
        <f t="shared" si="40"/>
        <v>1995</v>
      </c>
      <c r="D1303" s="433">
        <f t="shared" si="41"/>
        <v>873.74</v>
      </c>
    </row>
    <row r="1304" spans="1:4" ht="16.149999999999999" customHeight="1" x14ac:dyDescent="0.25">
      <c r="A1304" s="431">
        <v>34864</v>
      </c>
      <c r="B1304" s="434">
        <v>875.28</v>
      </c>
      <c r="C1304" s="427">
        <f t="shared" si="40"/>
        <v>1995</v>
      </c>
      <c r="D1304" s="433">
        <f t="shared" si="41"/>
        <v>875.28</v>
      </c>
    </row>
    <row r="1305" spans="1:4" ht="16.149999999999999" customHeight="1" x14ac:dyDescent="0.25">
      <c r="A1305" s="431">
        <v>34865</v>
      </c>
      <c r="B1305" s="432">
        <v>873.78</v>
      </c>
      <c r="C1305" s="427">
        <f t="shared" si="40"/>
        <v>1995</v>
      </c>
      <c r="D1305" s="433">
        <f t="shared" si="41"/>
        <v>873.78</v>
      </c>
    </row>
    <row r="1306" spans="1:4" ht="16.149999999999999" customHeight="1" x14ac:dyDescent="0.25">
      <c r="A1306" s="431">
        <v>34866</v>
      </c>
      <c r="B1306" s="434">
        <v>872.54</v>
      </c>
      <c r="C1306" s="427">
        <f t="shared" si="40"/>
        <v>1995</v>
      </c>
      <c r="D1306" s="433">
        <f t="shared" si="41"/>
        <v>872.54</v>
      </c>
    </row>
    <row r="1307" spans="1:4" ht="16.149999999999999" customHeight="1" x14ac:dyDescent="0.25">
      <c r="A1307" s="431">
        <v>34867</v>
      </c>
      <c r="B1307" s="432">
        <v>873.91</v>
      </c>
      <c r="C1307" s="427">
        <f t="shared" si="40"/>
        <v>1995</v>
      </c>
      <c r="D1307" s="433">
        <f t="shared" si="41"/>
        <v>873.91</v>
      </c>
    </row>
    <row r="1308" spans="1:4" ht="16.149999999999999" customHeight="1" x14ac:dyDescent="0.25">
      <c r="A1308" s="431">
        <v>34868</v>
      </c>
      <c r="B1308" s="434">
        <v>873.91</v>
      </c>
      <c r="C1308" s="427">
        <f t="shared" si="40"/>
        <v>1995</v>
      </c>
      <c r="D1308" s="433">
        <f t="shared" si="41"/>
        <v>873.91</v>
      </c>
    </row>
    <row r="1309" spans="1:4" ht="16.149999999999999" customHeight="1" x14ac:dyDescent="0.25">
      <c r="A1309" s="431">
        <v>34869</v>
      </c>
      <c r="B1309" s="432">
        <v>873.91</v>
      </c>
      <c r="C1309" s="427">
        <f t="shared" si="40"/>
        <v>1995</v>
      </c>
      <c r="D1309" s="433">
        <f t="shared" si="41"/>
        <v>873.91</v>
      </c>
    </row>
    <row r="1310" spans="1:4" ht="16.149999999999999" customHeight="1" x14ac:dyDescent="0.25">
      <c r="A1310" s="431">
        <v>34870</v>
      </c>
      <c r="B1310" s="434">
        <v>873.91</v>
      </c>
      <c r="C1310" s="427">
        <f t="shared" si="40"/>
        <v>1995</v>
      </c>
      <c r="D1310" s="433">
        <f t="shared" si="41"/>
        <v>873.91</v>
      </c>
    </row>
    <row r="1311" spans="1:4" ht="16.149999999999999" customHeight="1" x14ac:dyDescent="0.25">
      <c r="A1311" s="431">
        <v>34871</v>
      </c>
      <c r="B1311" s="432">
        <v>875.59</v>
      </c>
      <c r="C1311" s="427">
        <f t="shared" si="40"/>
        <v>1995</v>
      </c>
      <c r="D1311" s="433">
        <f t="shared" si="41"/>
        <v>875.59</v>
      </c>
    </row>
    <row r="1312" spans="1:4" ht="16.149999999999999" customHeight="1" x14ac:dyDescent="0.25">
      <c r="A1312" s="431">
        <v>34872</v>
      </c>
      <c r="B1312" s="434">
        <v>875.32</v>
      </c>
      <c r="C1312" s="427">
        <f t="shared" si="40"/>
        <v>1995</v>
      </c>
      <c r="D1312" s="433">
        <f t="shared" si="41"/>
        <v>875.32</v>
      </c>
    </row>
    <row r="1313" spans="1:4" ht="16.149999999999999" customHeight="1" x14ac:dyDescent="0.25">
      <c r="A1313" s="431">
        <v>34873</v>
      </c>
      <c r="B1313" s="432">
        <v>874.81</v>
      </c>
      <c r="C1313" s="427">
        <f t="shared" si="40"/>
        <v>1995</v>
      </c>
      <c r="D1313" s="433">
        <f t="shared" si="41"/>
        <v>874.81</v>
      </c>
    </row>
    <row r="1314" spans="1:4" ht="16.149999999999999" customHeight="1" x14ac:dyDescent="0.25">
      <c r="A1314" s="431">
        <v>34874</v>
      </c>
      <c r="B1314" s="434">
        <v>873.64</v>
      </c>
      <c r="C1314" s="427">
        <f t="shared" si="40"/>
        <v>1995</v>
      </c>
      <c r="D1314" s="433">
        <f t="shared" si="41"/>
        <v>873.64</v>
      </c>
    </row>
    <row r="1315" spans="1:4" ht="16.149999999999999" customHeight="1" x14ac:dyDescent="0.25">
      <c r="A1315" s="431">
        <v>34875</v>
      </c>
      <c r="B1315" s="432">
        <v>873.64</v>
      </c>
      <c r="C1315" s="427">
        <f t="shared" si="40"/>
        <v>1995</v>
      </c>
      <c r="D1315" s="433">
        <f t="shared" si="41"/>
        <v>873.64</v>
      </c>
    </row>
    <row r="1316" spans="1:4" ht="16.149999999999999" customHeight="1" x14ac:dyDescent="0.25">
      <c r="A1316" s="431">
        <v>34876</v>
      </c>
      <c r="B1316" s="434">
        <v>873.64</v>
      </c>
      <c r="C1316" s="427">
        <f t="shared" si="40"/>
        <v>1995</v>
      </c>
      <c r="D1316" s="433">
        <f t="shared" si="41"/>
        <v>873.64</v>
      </c>
    </row>
    <row r="1317" spans="1:4" ht="16.149999999999999" customHeight="1" x14ac:dyDescent="0.25">
      <c r="A1317" s="431">
        <v>34877</v>
      </c>
      <c r="B1317" s="432">
        <v>873.64</v>
      </c>
      <c r="C1317" s="427">
        <f t="shared" si="40"/>
        <v>1995</v>
      </c>
      <c r="D1317" s="433">
        <f t="shared" si="41"/>
        <v>873.64</v>
      </c>
    </row>
    <row r="1318" spans="1:4" ht="16.149999999999999" customHeight="1" x14ac:dyDescent="0.25">
      <c r="A1318" s="431">
        <v>34878</v>
      </c>
      <c r="B1318" s="434">
        <v>875.95</v>
      </c>
      <c r="C1318" s="427">
        <f t="shared" si="40"/>
        <v>1995</v>
      </c>
      <c r="D1318" s="433">
        <f t="shared" si="41"/>
        <v>875.95</v>
      </c>
    </row>
    <row r="1319" spans="1:4" ht="16.149999999999999" customHeight="1" x14ac:dyDescent="0.25">
      <c r="A1319" s="431">
        <v>34879</v>
      </c>
      <c r="B1319" s="432">
        <v>878.8</v>
      </c>
      <c r="C1319" s="427">
        <f t="shared" si="40"/>
        <v>1995</v>
      </c>
      <c r="D1319" s="433">
        <f t="shared" si="41"/>
        <v>878.8</v>
      </c>
    </row>
    <row r="1320" spans="1:4" ht="16.149999999999999" customHeight="1" x14ac:dyDescent="0.25">
      <c r="A1320" s="431">
        <v>34880</v>
      </c>
      <c r="B1320" s="434">
        <v>881.23</v>
      </c>
      <c r="C1320" s="427">
        <f t="shared" si="40"/>
        <v>1995</v>
      </c>
      <c r="D1320" s="433">
        <f t="shared" si="41"/>
        <v>881.23</v>
      </c>
    </row>
    <row r="1321" spans="1:4" ht="16.149999999999999" customHeight="1" x14ac:dyDescent="0.25">
      <c r="A1321" s="431">
        <v>34881</v>
      </c>
      <c r="B1321" s="432">
        <v>880.49</v>
      </c>
      <c r="C1321" s="427">
        <f t="shared" si="40"/>
        <v>1995</v>
      </c>
      <c r="D1321" s="433">
        <f t="shared" si="41"/>
        <v>880.49</v>
      </c>
    </row>
    <row r="1322" spans="1:4" ht="16.149999999999999" customHeight="1" x14ac:dyDescent="0.25">
      <c r="A1322" s="431">
        <v>34882</v>
      </c>
      <c r="B1322" s="434">
        <v>880.49</v>
      </c>
      <c r="C1322" s="427">
        <f t="shared" si="40"/>
        <v>1995</v>
      </c>
      <c r="D1322" s="433">
        <f t="shared" si="41"/>
        <v>880.49</v>
      </c>
    </row>
    <row r="1323" spans="1:4" ht="16.149999999999999" customHeight="1" x14ac:dyDescent="0.25">
      <c r="A1323" s="431">
        <v>34883</v>
      </c>
      <c r="B1323" s="432">
        <v>880.49</v>
      </c>
      <c r="C1323" s="427">
        <f t="shared" si="40"/>
        <v>1995</v>
      </c>
      <c r="D1323" s="433">
        <f t="shared" si="41"/>
        <v>880.49</v>
      </c>
    </row>
    <row r="1324" spans="1:4" ht="16.149999999999999" customHeight="1" x14ac:dyDescent="0.25">
      <c r="A1324" s="431">
        <v>34884</v>
      </c>
      <c r="B1324" s="434">
        <v>880.49</v>
      </c>
      <c r="C1324" s="427">
        <f t="shared" si="40"/>
        <v>1995</v>
      </c>
      <c r="D1324" s="433">
        <f t="shared" si="41"/>
        <v>880.49</v>
      </c>
    </row>
    <row r="1325" spans="1:4" ht="16.149999999999999" customHeight="1" x14ac:dyDescent="0.25">
      <c r="A1325" s="431">
        <v>34885</v>
      </c>
      <c r="B1325" s="432">
        <v>883.81</v>
      </c>
      <c r="C1325" s="427">
        <f t="shared" si="40"/>
        <v>1995</v>
      </c>
      <c r="D1325" s="433">
        <f t="shared" si="41"/>
        <v>883.81</v>
      </c>
    </row>
    <row r="1326" spans="1:4" ht="16.149999999999999" customHeight="1" x14ac:dyDescent="0.25">
      <c r="A1326" s="431">
        <v>34886</v>
      </c>
      <c r="B1326" s="434">
        <v>887.3</v>
      </c>
      <c r="C1326" s="427">
        <f t="shared" si="40"/>
        <v>1995</v>
      </c>
      <c r="D1326" s="433">
        <f t="shared" si="41"/>
        <v>887.3</v>
      </c>
    </row>
    <row r="1327" spans="1:4" ht="16.149999999999999" customHeight="1" x14ac:dyDescent="0.25">
      <c r="A1327" s="431">
        <v>34887</v>
      </c>
      <c r="B1327" s="432">
        <v>891.28</v>
      </c>
      <c r="C1327" s="427">
        <f t="shared" si="40"/>
        <v>1995</v>
      </c>
      <c r="D1327" s="433">
        <f t="shared" si="41"/>
        <v>891.28</v>
      </c>
    </row>
    <row r="1328" spans="1:4" ht="16.149999999999999" customHeight="1" x14ac:dyDescent="0.25">
      <c r="A1328" s="431">
        <v>34888</v>
      </c>
      <c r="B1328" s="434">
        <v>891.44</v>
      </c>
      <c r="C1328" s="427">
        <f t="shared" si="40"/>
        <v>1995</v>
      </c>
      <c r="D1328" s="433">
        <f t="shared" si="41"/>
        <v>891.44</v>
      </c>
    </row>
    <row r="1329" spans="1:4" ht="16.149999999999999" customHeight="1" x14ac:dyDescent="0.25">
      <c r="A1329" s="431">
        <v>34889</v>
      </c>
      <c r="B1329" s="432">
        <v>891.44</v>
      </c>
      <c r="C1329" s="427">
        <f t="shared" si="40"/>
        <v>1995</v>
      </c>
      <c r="D1329" s="433">
        <f t="shared" si="41"/>
        <v>891.44</v>
      </c>
    </row>
    <row r="1330" spans="1:4" ht="16.149999999999999" customHeight="1" x14ac:dyDescent="0.25">
      <c r="A1330" s="431">
        <v>34890</v>
      </c>
      <c r="B1330" s="434">
        <v>891.44</v>
      </c>
      <c r="C1330" s="427">
        <f t="shared" si="40"/>
        <v>1995</v>
      </c>
      <c r="D1330" s="433">
        <f t="shared" si="41"/>
        <v>891.44</v>
      </c>
    </row>
    <row r="1331" spans="1:4" ht="16.149999999999999" customHeight="1" x14ac:dyDescent="0.25">
      <c r="A1331" s="431">
        <v>34891</v>
      </c>
      <c r="B1331" s="432">
        <v>897.12</v>
      </c>
      <c r="C1331" s="427">
        <f t="shared" si="40"/>
        <v>1995</v>
      </c>
      <c r="D1331" s="433">
        <f t="shared" si="41"/>
        <v>897.12</v>
      </c>
    </row>
    <row r="1332" spans="1:4" ht="16.149999999999999" customHeight="1" x14ac:dyDescent="0.25">
      <c r="A1332" s="431">
        <v>34892</v>
      </c>
      <c r="B1332" s="434">
        <v>897.51</v>
      </c>
      <c r="C1332" s="427">
        <f t="shared" si="40"/>
        <v>1995</v>
      </c>
      <c r="D1332" s="433">
        <f t="shared" si="41"/>
        <v>897.51</v>
      </c>
    </row>
    <row r="1333" spans="1:4" ht="16.149999999999999" customHeight="1" x14ac:dyDescent="0.25">
      <c r="A1333" s="431">
        <v>34893</v>
      </c>
      <c r="B1333" s="432">
        <v>895.84</v>
      </c>
      <c r="C1333" s="427">
        <f t="shared" si="40"/>
        <v>1995</v>
      </c>
      <c r="D1333" s="433">
        <f t="shared" si="41"/>
        <v>895.84</v>
      </c>
    </row>
    <row r="1334" spans="1:4" ht="16.149999999999999" customHeight="1" x14ac:dyDescent="0.25">
      <c r="A1334" s="431">
        <v>34894</v>
      </c>
      <c r="B1334" s="434">
        <v>892.82</v>
      </c>
      <c r="C1334" s="427">
        <f t="shared" si="40"/>
        <v>1995</v>
      </c>
      <c r="D1334" s="433">
        <f t="shared" si="41"/>
        <v>892.82</v>
      </c>
    </row>
    <row r="1335" spans="1:4" ht="16.149999999999999" customHeight="1" x14ac:dyDescent="0.25">
      <c r="A1335" s="431">
        <v>34895</v>
      </c>
      <c r="B1335" s="432">
        <v>893.36</v>
      </c>
      <c r="C1335" s="427">
        <f t="shared" si="40"/>
        <v>1995</v>
      </c>
      <c r="D1335" s="433">
        <f t="shared" si="41"/>
        <v>893.36</v>
      </c>
    </row>
    <row r="1336" spans="1:4" ht="16.149999999999999" customHeight="1" x14ac:dyDescent="0.25">
      <c r="A1336" s="431">
        <v>34896</v>
      </c>
      <c r="B1336" s="434">
        <v>893.36</v>
      </c>
      <c r="C1336" s="427">
        <f t="shared" si="40"/>
        <v>1995</v>
      </c>
      <c r="D1336" s="433">
        <f t="shared" si="41"/>
        <v>893.36</v>
      </c>
    </row>
    <row r="1337" spans="1:4" ht="16.149999999999999" customHeight="1" x14ac:dyDescent="0.25">
      <c r="A1337" s="431">
        <v>34897</v>
      </c>
      <c r="B1337" s="432">
        <v>893.36</v>
      </c>
      <c r="C1337" s="427">
        <f t="shared" si="40"/>
        <v>1995</v>
      </c>
      <c r="D1337" s="433">
        <f t="shared" si="41"/>
        <v>893.36</v>
      </c>
    </row>
    <row r="1338" spans="1:4" ht="16.149999999999999" customHeight="1" x14ac:dyDescent="0.25">
      <c r="A1338" s="431">
        <v>34898</v>
      </c>
      <c r="B1338" s="434">
        <v>891.76</v>
      </c>
      <c r="C1338" s="427">
        <f t="shared" si="40"/>
        <v>1995</v>
      </c>
      <c r="D1338" s="433">
        <f t="shared" si="41"/>
        <v>891.76</v>
      </c>
    </row>
    <row r="1339" spans="1:4" ht="16.149999999999999" customHeight="1" x14ac:dyDescent="0.25">
      <c r="A1339" s="431">
        <v>34899</v>
      </c>
      <c r="B1339" s="432">
        <v>894.03</v>
      </c>
      <c r="C1339" s="427">
        <f t="shared" si="40"/>
        <v>1995</v>
      </c>
      <c r="D1339" s="433">
        <f t="shared" si="41"/>
        <v>894.03</v>
      </c>
    </row>
    <row r="1340" spans="1:4" ht="16.149999999999999" customHeight="1" x14ac:dyDescent="0.25">
      <c r="A1340" s="431">
        <v>34900</v>
      </c>
      <c r="B1340" s="434">
        <v>894.5</v>
      </c>
      <c r="C1340" s="427">
        <f t="shared" si="40"/>
        <v>1995</v>
      </c>
      <c r="D1340" s="433">
        <f t="shared" si="41"/>
        <v>894.5</v>
      </c>
    </row>
    <row r="1341" spans="1:4" ht="16.149999999999999" customHeight="1" x14ac:dyDescent="0.25">
      <c r="A1341" s="431">
        <v>34901</v>
      </c>
      <c r="B1341" s="432">
        <v>894.5</v>
      </c>
      <c r="C1341" s="427">
        <f t="shared" si="40"/>
        <v>1995</v>
      </c>
      <c r="D1341" s="433">
        <f t="shared" si="41"/>
        <v>894.5</v>
      </c>
    </row>
    <row r="1342" spans="1:4" ht="16.149999999999999" customHeight="1" x14ac:dyDescent="0.25">
      <c r="A1342" s="431">
        <v>34902</v>
      </c>
      <c r="B1342" s="434">
        <v>894.98</v>
      </c>
      <c r="C1342" s="427">
        <f t="shared" si="40"/>
        <v>1995</v>
      </c>
      <c r="D1342" s="433">
        <f t="shared" si="41"/>
        <v>894.98</v>
      </c>
    </row>
    <row r="1343" spans="1:4" ht="16.149999999999999" customHeight="1" x14ac:dyDescent="0.25">
      <c r="A1343" s="431">
        <v>34903</v>
      </c>
      <c r="B1343" s="432">
        <v>894.98</v>
      </c>
      <c r="C1343" s="427">
        <f t="shared" si="40"/>
        <v>1995</v>
      </c>
      <c r="D1343" s="433">
        <f t="shared" si="41"/>
        <v>894.98</v>
      </c>
    </row>
    <row r="1344" spans="1:4" ht="16.149999999999999" customHeight="1" x14ac:dyDescent="0.25">
      <c r="A1344" s="431">
        <v>34904</v>
      </c>
      <c r="B1344" s="434">
        <v>894.98</v>
      </c>
      <c r="C1344" s="427">
        <f t="shared" si="40"/>
        <v>1995</v>
      </c>
      <c r="D1344" s="433">
        <f t="shared" si="41"/>
        <v>894.98</v>
      </c>
    </row>
    <row r="1345" spans="1:4" ht="16.149999999999999" customHeight="1" x14ac:dyDescent="0.25">
      <c r="A1345" s="431">
        <v>34905</v>
      </c>
      <c r="B1345" s="432">
        <v>896.68</v>
      </c>
      <c r="C1345" s="427">
        <f t="shared" si="40"/>
        <v>1995</v>
      </c>
      <c r="D1345" s="433">
        <f t="shared" si="41"/>
        <v>896.68</v>
      </c>
    </row>
    <row r="1346" spans="1:4" ht="16.149999999999999" customHeight="1" x14ac:dyDescent="0.25">
      <c r="A1346" s="431">
        <v>34906</v>
      </c>
      <c r="B1346" s="434">
        <v>897.32</v>
      </c>
      <c r="C1346" s="427">
        <f t="shared" si="40"/>
        <v>1995</v>
      </c>
      <c r="D1346" s="433">
        <f t="shared" si="41"/>
        <v>897.32</v>
      </c>
    </row>
    <row r="1347" spans="1:4" ht="16.149999999999999" customHeight="1" x14ac:dyDescent="0.25">
      <c r="A1347" s="431">
        <v>34907</v>
      </c>
      <c r="B1347" s="432">
        <v>897.77</v>
      </c>
      <c r="C1347" s="427">
        <f t="shared" si="40"/>
        <v>1995</v>
      </c>
      <c r="D1347" s="433">
        <f t="shared" si="41"/>
        <v>897.77</v>
      </c>
    </row>
    <row r="1348" spans="1:4" ht="16.149999999999999" customHeight="1" x14ac:dyDescent="0.25">
      <c r="A1348" s="431">
        <v>34908</v>
      </c>
      <c r="B1348" s="434">
        <v>895.56</v>
      </c>
      <c r="C1348" s="427">
        <f t="shared" si="40"/>
        <v>1995</v>
      </c>
      <c r="D1348" s="433">
        <f t="shared" si="41"/>
        <v>895.56</v>
      </c>
    </row>
    <row r="1349" spans="1:4" ht="16.149999999999999" customHeight="1" x14ac:dyDescent="0.25">
      <c r="A1349" s="431">
        <v>34909</v>
      </c>
      <c r="B1349" s="432">
        <v>897.63</v>
      </c>
      <c r="C1349" s="427">
        <f t="shared" si="40"/>
        <v>1995</v>
      </c>
      <c r="D1349" s="433">
        <f t="shared" si="41"/>
        <v>897.63</v>
      </c>
    </row>
    <row r="1350" spans="1:4" ht="16.149999999999999" customHeight="1" x14ac:dyDescent="0.25">
      <c r="A1350" s="431">
        <v>34910</v>
      </c>
      <c r="B1350" s="434">
        <v>897.63</v>
      </c>
      <c r="C1350" s="427">
        <f t="shared" si="40"/>
        <v>1995</v>
      </c>
      <c r="D1350" s="433">
        <f t="shared" si="41"/>
        <v>897.63</v>
      </c>
    </row>
    <row r="1351" spans="1:4" ht="16.149999999999999" customHeight="1" x14ac:dyDescent="0.25">
      <c r="A1351" s="431">
        <v>34911</v>
      </c>
      <c r="B1351" s="432">
        <v>897.63</v>
      </c>
      <c r="C1351" s="427">
        <f t="shared" si="40"/>
        <v>1995</v>
      </c>
      <c r="D1351" s="433">
        <f t="shared" si="41"/>
        <v>897.63</v>
      </c>
    </row>
    <row r="1352" spans="1:4" ht="16.149999999999999" customHeight="1" x14ac:dyDescent="0.25">
      <c r="A1352" s="431">
        <v>34912</v>
      </c>
      <c r="B1352" s="434">
        <v>898.35</v>
      </c>
      <c r="C1352" s="427">
        <f t="shared" si="40"/>
        <v>1995</v>
      </c>
      <c r="D1352" s="433">
        <f t="shared" si="41"/>
        <v>898.35</v>
      </c>
    </row>
    <row r="1353" spans="1:4" ht="16.149999999999999" customHeight="1" x14ac:dyDescent="0.25">
      <c r="A1353" s="431">
        <v>34913</v>
      </c>
      <c r="B1353" s="432">
        <v>900.78</v>
      </c>
      <c r="C1353" s="427">
        <f t="shared" si="40"/>
        <v>1995</v>
      </c>
      <c r="D1353" s="433">
        <f t="shared" si="41"/>
        <v>900.78</v>
      </c>
    </row>
    <row r="1354" spans="1:4" ht="16.149999999999999" customHeight="1" x14ac:dyDescent="0.25">
      <c r="A1354" s="431">
        <v>34914</v>
      </c>
      <c r="B1354" s="434">
        <v>905.53</v>
      </c>
      <c r="C1354" s="427">
        <f t="shared" ref="C1354:C1417" si="42">YEAR(A1354)</f>
        <v>1995</v>
      </c>
      <c r="D1354" s="433">
        <f t="shared" ref="D1354:D1417" si="43">B1354</f>
        <v>905.53</v>
      </c>
    </row>
    <row r="1355" spans="1:4" ht="16.149999999999999" customHeight="1" x14ac:dyDescent="0.25">
      <c r="A1355" s="431">
        <v>34915</v>
      </c>
      <c r="B1355" s="432">
        <v>917.53</v>
      </c>
      <c r="C1355" s="427">
        <f t="shared" si="42"/>
        <v>1995</v>
      </c>
      <c r="D1355" s="433">
        <f t="shared" si="43"/>
        <v>917.53</v>
      </c>
    </row>
    <row r="1356" spans="1:4" ht="16.149999999999999" customHeight="1" x14ac:dyDescent="0.25">
      <c r="A1356" s="431">
        <v>34916</v>
      </c>
      <c r="B1356" s="434">
        <v>916.14</v>
      </c>
      <c r="C1356" s="427">
        <f t="shared" si="42"/>
        <v>1995</v>
      </c>
      <c r="D1356" s="433">
        <f t="shared" si="43"/>
        <v>916.14</v>
      </c>
    </row>
    <row r="1357" spans="1:4" ht="16.149999999999999" customHeight="1" x14ac:dyDescent="0.25">
      <c r="A1357" s="431">
        <v>34917</v>
      </c>
      <c r="B1357" s="432">
        <v>916.14</v>
      </c>
      <c r="C1357" s="427">
        <f t="shared" si="42"/>
        <v>1995</v>
      </c>
      <c r="D1357" s="433">
        <f t="shared" si="43"/>
        <v>916.14</v>
      </c>
    </row>
    <row r="1358" spans="1:4" ht="16.149999999999999" customHeight="1" x14ac:dyDescent="0.25">
      <c r="A1358" s="431">
        <v>34918</v>
      </c>
      <c r="B1358" s="434">
        <v>916.14</v>
      </c>
      <c r="C1358" s="427">
        <f t="shared" si="42"/>
        <v>1995</v>
      </c>
      <c r="D1358" s="433">
        <f t="shared" si="43"/>
        <v>916.14</v>
      </c>
    </row>
    <row r="1359" spans="1:4" ht="16.149999999999999" customHeight="1" x14ac:dyDescent="0.25">
      <c r="A1359" s="431">
        <v>34919</v>
      </c>
      <c r="B1359" s="432">
        <v>916.14</v>
      </c>
      <c r="C1359" s="427">
        <f t="shared" si="42"/>
        <v>1995</v>
      </c>
      <c r="D1359" s="433">
        <f t="shared" si="43"/>
        <v>916.14</v>
      </c>
    </row>
    <row r="1360" spans="1:4" ht="16.149999999999999" customHeight="1" x14ac:dyDescent="0.25">
      <c r="A1360" s="431">
        <v>34920</v>
      </c>
      <c r="B1360" s="434">
        <v>920.1</v>
      </c>
      <c r="C1360" s="427">
        <f t="shared" si="42"/>
        <v>1995</v>
      </c>
      <c r="D1360" s="433">
        <f t="shared" si="43"/>
        <v>920.1</v>
      </c>
    </row>
    <row r="1361" spans="1:4" ht="16.149999999999999" customHeight="1" x14ac:dyDescent="0.25">
      <c r="A1361" s="431">
        <v>34921</v>
      </c>
      <c r="B1361" s="432">
        <v>919.32</v>
      </c>
      <c r="C1361" s="427">
        <f t="shared" si="42"/>
        <v>1995</v>
      </c>
      <c r="D1361" s="433">
        <f t="shared" si="43"/>
        <v>919.32</v>
      </c>
    </row>
    <row r="1362" spans="1:4" ht="16.149999999999999" customHeight="1" x14ac:dyDescent="0.25">
      <c r="A1362" s="431">
        <v>34922</v>
      </c>
      <c r="B1362" s="434">
        <v>917.13</v>
      </c>
      <c r="C1362" s="427">
        <f t="shared" si="42"/>
        <v>1995</v>
      </c>
      <c r="D1362" s="433">
        <f t="shared" si="43"/>
        <v>917.13</v>
      </c>
    </row>
    <row r="1363" spans="1:4" ht="16.149999999999999" customHeight="1" x14ac:dyDescent="0.25">
      <c r="A1363" s="431">
        <v>34923</v>
      </c>
      <c r="B1363" s="432">
        <v>919.13</v>
      </c>
      <c r="C1363" s="427">
        <f t="shared" si="42"/>
        <v>1995</v>
      </c>
      <c r="D1363" s="433">
        <f t="shared" si="43"/>
        <v>919.13</v>
      </c>
    </row>
    <row r="1364" spans="1:4" ht="16.149999999999999" customHeight="1" x14ac:dyDescent="0.25">
      <c r="A1364" s="431">
        <v>34924</v>
      </c>
      <c r="B1364" s="434">
        <v>919.13</v>
      </c>
      <c r="C1364" s="427">
        <f t="shared" si="42"/>
        <v>1995</v>
      </c>
      <c r="D1364" s="433">
        <f t="shared" si="43"/>
        <v>919.13</v>
      </c>
    </row>
    <row r="1365" spans="1:4" ht="16.149999999999999" customHeight="1" x14ac:dyDescent="0.25">
      <c r="A1365" s="431">
        <v>34925</v>
      </c>
      <c r="B1365" s="432">
        <v>919.13</v>
      </c>
      <c r="C1365" s="427">
        <f t="shared" si="42"/>
        <v>1995</v>
      </c>
      <c r="D1365" s="433">
        <f t="shared" si="43"/>
        <v>919.13</v>
      </c>
    </row>
    <row r="1366" spans="1:4" ht="16.149999999999999" customHeight="1" x14ac:dyDescent="0.25">
      <c r="A1366" s="431">
        <v>34926</v>
      </c>
      <c r="B1366" s="434">
        <v>922.21</v>
      </c>
      <c r="C1366" s="427">
        <f t="shared" si="42"/>
        <v>1995</v>
      </c>
      <c r="D1366" s="433">
        <f t="shared" si="43"/>
        <v>922.21</v>
      </c>
    </row>
    <row r="1367" spans="1:4" ht="16.149999999999999" customHeight="1" x14ac:dyDescent="0.25">
      <c r="A1367" s="431">
        <v>34927</v>
      </c>
      <c r="B1367" s="432">
        <v>928.25</v>
      </c>
      <c r="C1367" s="427">
        <f t="shared" si="42"/>
        <v>1995</v>
      </c>
      <c r="D1367" s="433">
        <f t="shared" si="43"/>
        <v>928.25</v>
      </c>
    </row>
    <row r="1368" spans="1:4" ht="16.149999999999999" customHeight="1" x14ac:dyDescent="0.25">
      <c r="A1368" s="431">
        <v>34928</v>
      </c>
      <c r="B1368" s="434">
        <v>944.55</v>
      </c>
      <c r="C1368" s="427">
        <f t="shared" si="42"/>
        <v>1995</v>
      </c>
      <c r="D1368" s="433">
        <f t="shared" si="43"/>
        <v>944.55</v>
      </c>
    </row>
    <row r="1369" spans="1:4" ht="16.149999999999999" customHeight="1" x14ac:dyDescent="0.25">
      <c r="A1369" s="431">
        <v>34929</v>
      </c>
      <c r="B1369" s="432">
        <v>947.22</v>
      </c>
      <c r="C1369" s="427">
        <f t="shared" si="42"/>
        <v>1995</v>
      </c>
      <c r="D1369" s="433">
        <f t="shared" si="43"/>
        <v>947.22</v>
      </c>
    </row>
    <row r="1370" spans="1:4" ht="16.149999999999999" customHeight="1" x14ac:dyDescent="0.25">
      <c r="A1370" s="431">
        <v>34930</v>
      </c>
      <c r="B1370" s="434">
        <v>946.83</v>
      </c>
      <c r="C1370" s="427">
        <f t="shared" si="42"/>
        <v>1995</v>
      </c>
      <c r="D1370" s="433">
        <f t="shared" si="43"/>
        <v>946.83</v>
      </c>
    </row>
    <row r="1371" spans="1:4" ht="16.149999999999999" customHeight="1" x14ac:dyDescent="0.25">
      <c r="A1371" s="431">
        <v>34931</v>
      </c>
      <c r="B1371" s="432">
        <v>946.83</v>
      </c>
      <c r="C1371" s="427">
        <f t="shared" si="42"/>
        <v>1995</v>
      </c>
      <c r="D1371" s="433">
        <f t="shared" si="43"/>
        <v>946.83</v>
      </c>
    </row>
    <row r="1372" spans="1:4" ht="16.149999999999999" customHeight="1" x14ac:dyDescent="0.25">
      <c r="A1372" s="431">
        <v>34932</v>
      </c>
      <c r="B1372" s="434">
        <v>946.83</v>
      </c>
      <c r="C1372" s="427">
        <f t="shared" si="42"/>
        <v>1995</v>
      </c>
      <c r="D1372" s="433">
        <f t="shared" si="43"/>
        <v>946.83</v>
      </c>
    </row>
    <row r="1373" spans="1:4" ht="16.149999999999999" customHeight="1" x14ac:dyDescent="0.25">
      <c r="A1373" s="431">
        <v>34933</v>
      </c>
      <c r="B1373" s="432">
        <v>946.83</v>
      </c>
      <c r="C1373" s="427">
        <f t="shared" si="42"/>
        <v>1995</v>
      </c>
      <c r="D1373" s="433">
        <f t="shared" si="43"/>
        <v>946.83</v>
      </c>
    </row>
    <row r="1374" spans="1:4" ht="16.149999999999999" customHeight="1" x14ac:dyDescent="0.25">
      <c r="A1374" s="431">
        <v>34934</v>
      </c>
      <c r="B1374" s="434">
        <v>949.51</v>
      </c>
      <c r="C1374" s="427">
        <f t="shared" si="42"/>
        <v>1995</v>
      </c>
      <c r="D1374" s="433">
        <f t="shared" si="43"/>
        <v>949.51</v>
      </c>
    </row>
    <row r="1375" spans="1:4" ht="16.149999999999999" customHeight="1" x14ac:dyDescent="0.25">
      <c r="A1375" s="431">
        <v>34935</v>
      </c>
      <c r="B1375" s="432">
        <v>955.12</v>
      </c>
      <c r="C1375" s="427">
        <f t="shared" si="42"/>
        <v>1995</v>
      </c>
      <c r="D1375" s="433">
        <f t="shared" si="43"/>
        <v>955.12</v>
      </c>
    </row>
    <row r="1376" spans="1:4" ht="16.149999999999999" customHeight="1" x14ac:dyDescent="0.25">
      <c r="A1376" s="431">
        <v>34936</v>
      </c>
      <c r="B1376" s="434">
        <v>962.6</v>
      </c>
      <c r="C1376" s="427">
        <f t="shared" si="42"/>
        <v>1995</v>
      </c>
      <c r="D1376" s="433">
        <f t="shared" si="43"/>
        <v>962.6</v>
      </c>
    </row>
    <row r="1377" spans="1:4" ht="16.149999999999999" customHeight="1" x14ac:dyDescent="0.25">
      <c r="A1377" s="431">
        <v>34937</v>
      </c>
      <c r="B1377" s="432">
        <v>970.65</v>
      </c>
      <c r="C1377" s="427">
        <f t="shared" si="42"/>
        <v>1995</v>
      </c>
      <c r="D1377" s="433">
        <f t="shared" si="43"/>
        <v>970.65</v>
      </c>
    </row>
    <row r="1378" spans="1:4" ht="16.149999999999999" customHeight="1" x14ac:dyDescent="0.25">
      <c r="A1378" s="431">
        <v>34938</v>
      </c>
      <c r="B1378" s="434">
        <v>970.65</v>
      </c>
      <c r="C1378" s="427">
        <f t="shared" si="42"/>
        <v>1995</v>
      </c>
      <c r="D1378" s="433">
        <f t="shared" si="43"/>
        <v>970.65</v>
      </c>
    </row>
    <row r="1379" spans="1:4" ht="16.149999999999999" customHeight="1" x14ac:dyDescent="0.25">
      <c r="A1379" s="431">
        <v>34939</v>
      </c>
      <c r="B1379" s="432">
        <v>970.65</v>
      </c>
      <c r="C1379" s="427">
        <f t="shared" si="42"/>
        <v>1995</v>
      </c>
      <c r="D1379" s="433">
        <f t="shared" si="43"/>
        <v>970.65</v>
      </c>
    </row>
    <row r="1380" spans="1:4" ht="16.149999999999999" customHeight="1" x14ac:dyDescent="0.25">
      <c r="A1380" s="431">
        <v>34940</v>
      </c>
      <c r="B1380" s="434">
        <v>972.03</v>
      </c>
      <c r="C1380" s="427">
        <f t="shared" si="42"/>
        <v>1995</v>
      </c>
      <c r="D1380" s="433">
        <f t="shared" si="43"/>
        <v>972.03</v>
      </c>
    </row>
    <row r="1381" spans="1:4" ht="16.149999999999999" customHeight="1" x14ac:dyDescent="0.25">
      <c r="A1381" s="431">
        <v>34941</v>
      </c>
      <c r="B1381" s="432">
        <v>963.93</v>
      </c>
      <c r="C1381" s="427">
        <f t="shared" si="42"/>
        <v>1995</v>
      </c>
      <c r="D1381" s="433">
        <f t="shared" si="43"/>
        <v>963.93</v>
      </c>
    </row>
    <row r="1382" spans="1:4" ht="16.149999999999999" customHeight="1" x14ac:dyDescent="0.25">
      <c r="A1382" s="431">
        <v>34942</v>
      </c>
      <c r="B1382" s="434">
        <v>960.19</v>
      </c>
      <c r="C1382" s="427">
        <f t="shared" si="42"/>
        <v>1995</v>
      </c>
      <c r="D1382" s="433">
        <f t="shared" si="43"/>
        <v>960.19</v>
      </c>
    </row>
    <row r="1383" spans="1:4" ht="16.149999999999999" customHeight="1" x14ac:dyDescent="0.25">
      <c r="A1383" s="431">
        <v>34943</v>
      </c>
      <c r="B1383" s="432">
        <v>949.35</v>
      </c>
      <c r="C1383" s="427">
        <f t="shared" si="42"/>
        <v>1995</v>
      </c>
      <c r="D1383" s="433">
        <f t="shared" si="43"/>
        <v>949.35</v>
      </c>
    </row>
    <row r="1384" spans="1:4" ht="16.149999999999999" customHeight="1" x14ac:dyDescent="0.25">
      <c r="A1384" s="431">
        <v>34944</v>
      </c>
      <c r="B1384" s="434">
        <v>948.23</v>
      </c>
      <c r="C1384" s="427">
        <f t="shared" si="42"/>
        <v>1995</v>
      </c>
      <c r="D1384" s="433">
        <f t="shared" si="43"/>
        <v>948.23</v>
      </c>
    </row>
    <row r="1385" spans="1:4" ht="16.149999999999999" customHeight="1" x14ac:dyDescent="0.25">
      <c r="A1385" s="431">
        <v>34945</v>
      </c>
      <c r="B1385" s="432">
        <v>948.23</v>
      </c>
      <c r="C1385" s="427">
        <f t="shared" si="42"/>
        <v>1995</v>
      </c>
      <c r="D1385" s="433">
        <f t="shared" si="43"/>
        <v>948.23</v>
      </c>
    </row>
    <row r="1386" spans="1:4" ht="16.149999999999999" customHeight="1" x14ac:dyDescent="0.25">
      <c r="A1386" s="431">
        <v>34946</v>
      </c>
      <c r="B1386" s="434">
        <v>948.23</v>
      </c>
      <c r="C1386" s="427">
        <f t="shared" si="42"/>
        <v>1995</v>
      </c>
      <c r="D1386" s="433">
        <f t="shared" si="43"/>
        <v>948.23</v>
      </c>
    </row>
    <row r="1387" spans="1:4" ht="16.149999999999999" customHeight="1" x14ac:dyDescent="0.25">
      <c r="A1387" s="431">
        <v>34947</v>
      </c>
      <c r="B1387" s="432">
        <v>957.54</v>
      </c>
      <c r="C1387" s="427">
        <f t="shared" si="42"/>
        <v>1995</v>
      </c>
      <c r="D1387" s="433">
        <f t="shared" si="43"/>
        <v>957.54</v>
      </c>
    </row>
    <row r="1388" spans="1:4" ht="16.149999999999999" customHeight="1" x14ac:dyDescent="0.25">
      <c r="A1388" s="431">
        <v>34948</v>
      </c>
      <c r="B1388" s="434">
        <v>958.46</v>
      </c>
      <c r="C1388" s="427">
        <f t="shared" si="42"/>
        <v>1995</v>
      </c>
      <c r="D1388" s="433">
        <f t="shared" si="43"/>
        <v>958.46</v>
      </c>
    </row>
    <row r="1389" spans="1:4" ht="16.149999999999999" customHeight="1" x14ac:dyDescent="0.25">
      <c r="A1389" s="431">
        <v>34949</v>
      </c>
      <c r="B1389" s="432">
        <v>953.63</v>
      </c>
      <c r="C1389" s="427">
        <f t="shared" si="42"/>
        <v>1995</v>
      </c>
      <c r="D1389" s="433">
        <f t="shared" si="43"/>
        <v>953.63</v>
      </c>
    </row>
    <row r="1390" spans="1:4" ht="16.149999999999999" customHeight="1" x14ac:dyDescent="0.25">
      <c r="A1390" s="431">
        <v>34950</v>
      </c>
      <c r="B1390" s="434">
        <v>954.64</v>
      </c>
      <c r="C1390" s="427">
        <f t="shared" si="42"/>
        <v>1995</v>
      </c>
      <c r="D1390" s="433">
        <f t="shared" si="43"/>
        <v>954.64</v>
      </c>
    </row>
    <row r="1391" spans="1:4" ht="16.149999999999999" customHeight="1" x14ac:dyDescent="0.25">
      <c r="A1391" s="431">
        <v>34951</v>
      </c>
      <c r="B1391" s="432">
        <v>958.31</v>
      </c>
      <c r="C1391" s="427">
        <f t="shared" si="42"/>
        <v>1995</v>
      </c>
      <c r="D1391" s="433">
        <f t="shared" si="43"/>
        <v>958.31</v>
      </c>
    </row>
    <row r="1392" spans="1:4" ht="16.149999999999999" customHeight="1" x14ac:dyDescent="0.25">
      <c r="A1392" s="431">
        <v>34952</v>
      </c>
      <c r="B1392" s="434">
        <v>958.31</v>
      </c>
      <c r="C1392" s="427">
        <f t="shared" si="42"/>
        <v>1995</v>
      </c>
      <c r="D1392" s="433">
        <f t="shared" si="43"/>
        <v>958.31</v>
      </c>
    </row>
    <row r="1393" spans="1:4" ht="16.149999999999999" customHeight="1" x14ac:dyDescent="0.25">
      <c r="A1393" s="431">
        <v>34953</v>
      </c>
      <c r="B1393" s="432">
        <v>958.31</v>
      </c>
      <c r="C1393" s="427">
        <f t="shared" si="42"/>
        <v>1995</v>
      </c>
      <c r="D1393" s="433">
        <f t="shared" si="43"/>
        <v>958.31</v>
      </c>
    </row>
    <row r="1394" spans="1:4" ht="16.149999999999999" customHeight="1" x14ac:dyDescent="0.25">
      <c r="A1394" s="431">
        <v>34954</v>
      </c>
      <c r="B1394" s="434">
        <v>958.59</v>
      </c>
      <c r="C1394" s="427">
        <f t="shared" si="42"/>
        <v>1995</v>
      </c>
      <c r="D1394" s="433">
        <f t="shared" si="43"/>
        <v>958.59</v>
      </c>
    </row>
    <row r="1395" spans="1:4" ht="16.149999999999999" customHeight="1" x14ac:dyDescent="0.25">
      <c r="A1395" s="431">
        <v>34955</v>
      </c>
      <c r="B1395" s="432">
        <v>959.18</v>
      </c>
      <c r="C1395" s="427">
        <f t="shared" si="42"/>
        <v>1995</v>
      </c>
      <c r="D1395" s="433">
        <f t="shared" si="43"/>
        <v>959.18</v>
      </c>
    </row>
    <row r="1396" spans="1:4" ht="16.149999999999999" customHeight="1" x14ac:dyDescent="0.25">
      <c r="A1396" s="431">
        <v>34956</v>
      </c>
      <c r="B1396" s="434">
        <v>959.15</v>
      </c>
      <c r="C1396" s="427">
        <f t="shared" si="42"/>
        <v>1995</v>
      </c>
      <c r="D1396" s="433">
        <f t="shared" si="43"/>
        <v>959.15</v>
      </c>
    </row>
    <row r="1397" spans="1:4" ht="16.149999999999999" customHeight="1" x14ac:dyDescent="0.25">
      <c r="A1397" s="431">
        <v>34957</v>
      </c>
      <c r="B1397" s="432">
        <v>960.25</v>
      </c>
      <c r="C1397" s="427">
        <f t="shared" si="42"/>
        <v>1995</v>
      </c>
      <c r="D1397" s="433">
        <f t="shared" si="43"/>
        <v>960.25</v>
      </c>
    </row>
    <row r="1398" spans="1:4" ht="16.149999999999999" customHeight="1" x14ac:dyDescent="0.25">
      <c r="A1398" s="431">
        <v>34958</v>
      </c>
      <c r="B1398" s="434">
        <v>960.91</v>
      </c>
      <c r="C1398" s="427">
        <f t="shared" si="42"/>
        <v>1995</v>
      </c>
      <c r="D1398" s="433">
        <f t="shared" si="43"/>
        <v>960.91</v>
      </c>
    </row>
    <row r="1399" spans="1:4" ht="16.149999999999999" customHeight="1" x14ac:dyDescent="0.25">
      <c r="A1399" s="431">
        <v>34959</v>
      </c>
      <c r="B1399" s="432">
        <v>960.91</v>
      </c>
      <c r="C1399" s="427">
        <f t="shared" si="42"/>
        <v>1995</v>
      </c>
      <c r="D1399" s="433">
        <f t="shared" si="43"/>
        <v>960.91</v>
      </c>
    </row>
    <row r="1400" spans="1:4" ht="16.149999999999999" customHeight="1" x14ac:dyDescent="0.25">
      <c r="A1400" s="431">
        <v>34960</v>
      </c>
      <c r="B1400" s="434">
        <v>960.91</v>
      </c>
      <c r="C1400" s="427">
        <f t="shared" si="42"/>
        <v>1995</v>
      </c>
      <c r="D1400" s="433">
        <f t="shared" si="43"/>
        <v>960.91</v>
      </c>
    </row>
    <row r="1401" spans="1:4" ht="16.149999999999999" customHeight="1" x14ac:dyDescent="0.25">
      <c r="A1401" s="431">
        <v>34961</v>
      </c>
      <c r="B1401" s="432">
        <v>962.5</v>
      </c>
      <c r="C1401" s="427">
        <f t="shared" si="42"/>
        <v>1995</v>
      </c>
      <c r="D1401" s="433">
        <f t="shared" si="43"/>
        <v>962.5</v>
      </c>
    </row>
    <row r="1402" spans="1:4" ht="16.149999999999999" customHeight="1" x14ac:dyDescent="0.25">
      <c r="A1402" s="431">
        <v>34962</v>
      </c>
      <c r="B1402" s="434">
        <v>970.08</v>
      </c>
      <c r="C1402" s="427">
        <f t="shared" si="42"/>
        <v>1995</v>
      </c>
      <c r="D1402" s="433">
        <f t="shared" si="43"/>
        <v>970.08</v>
      </c>
    </row>
    <row r="1403" spans="1:4" ht="16.149999999999999" customHeight="1" x14ac:dyDescent="0.25">
      <c r="A1403" s="431">
        <v>34963</v>
      </c>
      <c r="B1403" s="432">
        <v>974.88</v>
      </c>
      <c r="C1403" s="427">
        <f t="shared" si="42"/>
        <v>1995</v>
      </c>
      <c r="D1403" s="433">
        <f t="shared" si="43"/>
        <v>974.88</v>
      </c>
    </row>
    <row r="1404" spans="1:4" ht="16.149999999999999" customHeight="1" x14ac:dyDescent="0.25">
      <c r="A1404" s="431">
        <v>34964</v>
      </c>
      <c r="B1404" s="434">
        <v>974.23</v>
      </c>
      <c r="C1404" s="427">
        <f t="shared" si="42"/>
        <v>1995</v>
      </c>
      <c r="D1404" s="433">
        <f t="shared" si="43"/>
        <v>974.23</v>
      </c>
    </row>
    <row r="1405" spans="1:4" ht="16.149999999999999" customHeight="1" x14ac:dyDescent="0.25">
      <c r="A1405" s="431">
        <v>34965</v>
      </c>
      <c r="B1405" s="432">
        <v>975.9</v>
      </c>
      <c r="C1405" s="427">
        <f t="shared" si="42"/>
        <v>1995</v>
      </c>
      <c r="D1405" s="433">
        <f t="shared" si="43"/>
        <v>975.9</v>
      </c>
    </row>
    <row r="1406" spans="1:4" ht="16.149999999999999" customHeight="1" x14ac:dyDescent="0.25">
      <c r="A1406" s="431">
        <v>34966</v>
      </c>
      <c r="B1406" s="434">
        <v>975.9</v>
      </c>
      <c r="C1406" s="427">
        <f t="shared" si="42"/>
        <v>1995</v>
      </c>
      <c r="D1406" s="433">
        <f t="shared" si="43"/>
        <v>975.9</v>
      </c>
    </row>
    <row r="1407" spans="1:4" ht="16.149999999999999" customHeight="1" x14ac:dyDescent="0.25">
      <c r="A1407" s="431">
        <v>34967</v>
      </c>
      <c r="B1407" s="432">
        <v>975.9</v>
      </c>
      <c r="C1407" s="427">
        <f t="shared" si="42"/>
        <v>1995</v>
      </c>
      <c r="D1407" s="433">
        <f t="shared" si="43"/>
        <v>975.9</v>
      </c>
    </row>
    <row r="1408" spans="1:4" ht="16.149999999999999" customHeight="1" x14ac:dyDescent="0.25">
      <c r="A1408" s="431">
        <v>34968</v>
      </c>
      <c r="B1408" s="434">
        <v>977.35</v>
      </c>
      <c r="C1408" s="427">
        <f t="shared" si="42"/>
        <v>1995</v>
      </c>
      <c r="D1408" s="433">
        <f t="shared" si="43"/>
        <v>977.35</v>
      </c>
    </row>
    <row r="1409" spans="1:4" ht="16.149999999999999" customHeight="1" x14ac:dyDescent="0.25">
      <c r="A1409" s="431">
        <v>34969</v>
      </c>
      <c r="B1409" s="432">
        <v>980.54</v>
      </c>
      <c r="C1409" s="427">
        <f t="shared" si="42"/>
        <v>1995</v>
      </c>
      <c r="D1409" s="433">
        <f t="shared" si="43"/>
        <v>980.54</v>
      </c>
    </row>
    <row r="1410" spans="1:4" ht="16.149999999999999" customHeight="1" x14ac:dyDescent="0.25">
      <c r="A1410" s="431">
        <v>34970</v>
      </c>
      <c r="B1410" s="434">
        <v>981.09</v>
      </c>
      <c r="C1410" s="427">
        <f t="shared" si="42"/>
        <v>1995</v>
      </c>
      <c r="D1410" s="433">
        <f t="shared" si="43"/>
        <v>981.09</v>
      </c>
    </row>
    <row r="1411" spans="1:4" ht="16.149999999999999" customHeight="1" x14ac:dyDescent="0.25">
      <c r="A1411" s="431">
        <v>34971</v>
      </c>
      <c r="B1411" s="432">
        <v>972.8</v>
      </c>
      <c r="C1411" s="427">
        <f t="shared" si="42"/>
        <v>1995</v>
      </c>
      <c r="D1411" s="433">
        <f t="shared" si="43"/>
        <v>972.8</v>
      </c>
    </row>
    <row r="1412" spans="1:4" ht="16.149999999999999" customHeight="1" x14ac:dyDescent="0.25">
      <c r="A1412" s="431">
        <v>34972</v>
      </c>
      <c r="B1412" s="434">
        <v>966.78</v>
      </c>
      <c r="C1412" s="427">
        <f t="shared" si="42"/>
        <v>1995</v>
      </c>
      <c r="D1412" s="433">
        <f t="shared" si="43"/>
        <v>966.78</v>
      </c>
    </row>
    <row r="1413" spans="1:4" ht="16.149999999999999" customHeight="1" x14ac:dyDescent="0.25">
      <c r="A1413" s="431">
        <v>34973</v>
      </c>
      <c r="B1413" s="432">
        <v>966.78</v>
      </c>
      <c r="C1413" s="427">
        <f t="shared" si="42"/>
        <v>1995</v>
      </c>
      <c r="D1413" s="433">
        <f t="shared" si="43"/>
        <v>966.78</v>
      </c>
    </row>
    <row r="1414" spans="1:4" ht="16.149999999999999" customHeight="1" x14ac:dyDescent="0.25">
      <c r="A1414" s="431">
        <v>34974</v>
      </c>
      <c r="B1414" s="434">
        <v>966.78</v>
      </c>
      <c r="C1414" s="427">
        <f t="shared" si="42"/>
        <v>1995</v>
      </c>
      <c r="D1414" s="433">
        <f t="shared" si="43"/>
        <v>966.78</v>
      </c>
    </row>
    <row r="1415" spans="1:4" ht="16.149999999999999" customHeight="1" x14ac:dyDescent="0.25">
      <c r="A1415" s="431">
        <v>34975</v>
      </c>
      <c r="B1415" s="432">
        <v>971.22</v>
      </c>
      <c r="C1415" s="427">
        <f t="shared" si="42"/>
        <v>1995</v>
      </c>
      <c r="D1415" s="433">
        <f t="shared" si="43"/>
        <v>971.22</v>
      </c>
    </row>
    <row r="1416" spans="1:4" ht="16.149999999999999" customHeight="1" x14ac:dyDescent="0.25">
      <c r="A1416" s="431">
        <v>34976</v>
      </c>
      <c r="B1416" s="434">
        <v>976.76</v>
      </c>
      <c r="C1416" s="427">
        <f t="shared" si="42"/>
        <v>1995</v>
      </c>
      <c r="D1416" s="433">
        <f t="shared" si="43"/>
        <v>976.76</v>
      </c>
    </row>
    <row r="1417" spans="1:4" ht="16.149999999999999" customHeight="1" x14ac:dyDescent="0.25">
      <c r="A1417" s="431">
        <v>34977</v>
      </c>
      <c r="B1417" s="432">
        <v>972.75</v>
      </c>
      <c r="C1417" s="427">
        <f t="shared" si="42"/>
        <v>1995</v>
      </c>
      <c r="D1417" s="433">
        <f t="shared" si="43"/>
        <v>972.75</v>
      </c>
    </row>
    <row r="1418" spans="1:4" ht="16.149999999999999" customHeight="1" x14ac:dyDescent="0.25">
      <c r="A1418" s="431">
        <v>34978</v>
      </c>
      <c r="B1418" s="434">
        <v>972.93</v>
      </c>
      <c r="C1418" s="427">
        <f t="shared" ref="C1418:C1481" si="44">YEAR(A1418)</f>
        <v>1995</v>
      </c>
      <c r="D1418" s="433">
        <f t="shared" ref="D1418:D1481" si="45">B1418</f>
        <v>972.93</v>
      </c>
    </row>
    <row r="1419" spans="1:4" ht="16.149999999999999" customHeight="1" x14ac:dyDescent="0.25">
      <c r="A1419" s="431">
        <v>34979</v>
      </c>
      <c r="B1419" s="432">
        <v>979.16</v>
      </c>
      <c r="C1419" s="427">
        <f t="shared" si="44"/>
        <v>1995</v>
      </c>
      <c r="D1419" s="433">
        <f t="shared" si="45"/>
        <v>979.16</v>
      </c>
    </row>
    <row r="1420" spans="1:4" ht="16.149999999999999" customHeight="1" x14ac:dyDescent="0.25">
      <c r="A1420" s="431">
        <v>34980</v>
      </c>
      <c r="B1420" s="434">
        <v>979.16</v>
      </c>
      <c r="C1420" s="427">
        <f t="shared" si="44"/>
        <v>1995</v>
      </c>
      <c r="D1420" s="433">
        <f t="shared" si="45"/>
        <v>979.16</v>
      </c>
    </row>
    <row r="1421" spans="1:4" ht="16.149999999999999" customHeight="1" x14ac:dyDescent="0.25">
      <c r="A1421" s="431">
        <v>34981</v>
      </c>
      <c r="B1421" s="432">
        <v>979.16</v>
      </c>
      <c r="C1421" s="427">
        <f t="shared" si="44"/>
        <v>1995</v>
      </c>
      <c r="D1421" s="433">
        <f t="shared" si="45"/>
        <v>979.16</v>
      </c>
    </row>
    <row r="1422" spans="1:4" ht="16.149999999999999" customHeight="1" x14ac:dyDescent="0.25">
      <c r="A1422" s="431">
        <v>34982</v>
      </c>
      <c r="B1422" s="434">
        <v>982.84</v>
      </c>
      <c r="C1422" s="427">
        <f t="shared" si="44"/>
        <v>1995</v>
      </c>
      <c r="D1422" s="433">
        <f t="shared" si="45"/>
        <v>982.84</v>
      </c>
    </row>
    <row r="1423" spans="1:4" ht="16.149999999999999" customHeight="1" x14ac:dyDescent="0.25">
      <c r="A1423" s="431">
        <v>34983</v>
      </c>
      <c r="B1423" s="432">
        <v>981.45</v>
      </c>
      <c r="C1423" s="427">
        <f t="shared" si="44"/>
        <v>1995</v>
      </c>
      <c r="D1423" s="433">
        <f t="shared" si="45"/>
        <v>981.45</v>
      </c>
    </row>
    <row r="1424" spans="1:4" ht="16.149999999999999" customHeight="1" x14ac:dyDescent="0.25">
      <c r="A1424" s="431">
        <v>34984</v>
      </c>
      <c r="B1424" s="434">
        <v>981.26</v>
      </c>
      <c r="C1424" s="427">
        <f t="shared" si="44"/>
        <v>1995</v>
      </c>
      <c r="D1424" s="433">
        <f t="shared" si="45"/>
        <v>981.26</v>
      </c>
    </row>
    <row r="1425" spans="1:4" ht="16.149999999999999" customHeight="1" x14ac:dyDescent="0.25">
      <c r="A1425" s="431">
        <v>34985</v>
      </c>
      <c r="B1425" s="432">
        <v>984.88</v>
      </c>
      <c r="C1425" s="427">
        <f t="shared" si="44"/>
        <v>1995</v>
      </c>
      <c r="D1425" s="433">
        <f t="shared" si="45"/>
        <v>984.88</v>
      </c>
    </row>
    <row r="1426" spans="1:4" ht="16.149999999999999" customHeight="1" x14ac:dyDescent="0.25">
      <c r="A1426" s="431">
        <v>34986</v>
      </c>
      <c r="B1426" s="434">
        <v>987</v>
      </c>
      <c r="C1426" s="427">
        <f t="shared" si="44"/>
        <v>1995</v>
      </c>
      <c r="D1426" s="433">
        <f t="shared" si="45"/>
        <v>987</v>
      </c>
    </row>
    <row r="1427" spans="1:4" ht="16.149999999999999" customHeight="1" x14ac:dyDescent="0.25">
      <c r="A1427" s="431">
        <v>34987</v>
      </c>
      <c r="B1427" s="432">
        <v>987</v>
      </c>
      <c r="C1427" s="427">
        <f t="shared" si="44"/>
        <v>1995</v>
      </c>
      <c r="D1427" s="433">
        <f t="shared" si="45"/>
        <v>987</v>
      </c>
    </row>
    <row r="1428" spans="1:4" ht="16.149999999999999" customHeight="1" x14ac:dyDescent="0.25">
      <c r="A1428" s="431">
        <v>34988</v>
      </c>
      <c r="B1428" s="434">
        <v>987</v>
      </c>
      <c r="C1428" s="427">
        <f t="shared" si="44"/>
        <v>1995</v>
      </c>
      <c r="D1428" s="433">
        <f t="shared" si="45"/>
        <v>987</v>
      </c>
    </row>
    <row r="1429" spans="1:4" ht="16.149999999999999" customHeight="1" x14ac:dyDescent="0.25">
      <c r="A1429" s="431">
        <v>34989</v>
      </c>
      <c r="B1429" s="432">
        <v>987</v>
      </c>
      <c r="C1429" s="427">
        <f t="shared" si="44"/>
        <v>1995</v>
      </c>
      <c r="D1429" s="433">
        <f t="shared" si="45"/>
        <v>987</v>
      </c>
    </row>
    <row r="1430" spans="1:4" ht="16.149999999999999" customHeight="1" x14ac:dyDescent="0.25">
      <c r="A1430" s="431">
        <v>34990</v>
      </c>
      <c r="B1430" s="434">
        <v>990.52</v>
      </c>
      <c r="C1430" s="427">
        <f t="shared" si="44"/>
        <v>1995</v>
      </c>
      <c r="D1430" s="433">
        <f t="shared" si="45"/>
        <v>990.52</v>
      </c>
    </row>
    <row r="1431" spans="1:4" ht="16.149999999999999" customHeight="1" x14ac:dyDescent="0.25">
      <c r="A1431" s="431">
        <v>34991</v>
      </c>
      <c r="B1431" s="432">
        <v>991.22</v>
      </c>
      <c r="C1431" s="427">
        <f t="shared" si="44"/>
        <v>1995</v>
      </c>
      <c r="D1431" s="433">
        <f t="shared" si="45"/>
        <v>991.22</v>
      </c>
    </row>
    <row r="1432" spans="1:4" ht="16.149999999999999" customHeight="1" x14ac:dyDescent="0.25">
      <c r="A1432" s="431">
        <v>34992</v>
      </c>
      <c r="B1432" s="434">
        <v>991.52</v>
      </c>
      <c r="C1432" s="427">
        <f t="shared" si="44"/>
        <v>1995</v>
      </c>
      <c r="D1432" s="433">
        <f t="shared" si="45"/>
        <v>991.52</v>
      </c>
    </row>
    <row r="1433" spans="1:4" ht="16.149999999999999" customHeight="1" x14ac:dyDescent="0.25">
      <c r="A1433" s="431">
        <v>34993</v>
      </c>
      <c r="B1433" s="432">
        <v>988.96</v>
      </c>
      <c r="C1433" s="427">
        <f t="shared" si="44"/>
        <v>1995</v>
      </c>
      <c r="D1433" s="433">
        <f t="shared" si="45"/>
        <v>988.96</v>
      </c>
    </row>
    <row r="1434" spans="1:4" ht="16.149999999999999" customHeight="1" x14ac:dyDescent="0.25">
      <c r="A1434" s="431">
        <v>34994</v>
      </c>
      <c r="B1434" s="434">
        <v>988.96</v>
      </c>
      <c r="C1434" s="427">
        <f t="shared" si="44"/>
        <v>1995</v>
      </c>
      <c r="D1434" s="433">
        <f t="shared" si="45"/>
        <v>988.96</v>
      </c>
    </row>
    <row r="1435" spans="1:4" ht="16.149999999999999" customHeight="1" x14ac:dyDescent="0.25">
      <c r="A1435" s="431">
        <v>34995</v>
      </c>
      <c r="B1435" s="432">
        <v>988.96</v>
      </c>
      <c r="C1435" s="427">
        <f t="shared" si="44"/>
        <v>1995</v>
      </c>
      <c r="D1435" s="433">
        <f t="shared" si="45"/>
        <v>988.96</v>
      </c>
    </row>
    <row r="1436" spans="1:4" ht="16.149999999999999" customHeight="1" x14ac:dyDescent="0.25">
      <c r="A1436" s="431">
        <v>34996</v>
      </c>
      <c r="B1436" s="434">
        <v>991.98</v>
      </c>
      <c r="C1436" s="427">
        <f t="shared" si="44"/>
        <v>1995</v>
      </c>
      <c r="D1436" s="433">
        <f t="shared" si="45"/>
        <v>991.98</v>
      </c>
    </row>
    <row r="1437" spans="1:4" ht="16.149999999999999" customHeight="1" x14ac:dyDescent="0.25">
      <c r="A1437" s="431">
        <v>34997</v>
      </c>
      <c r="B1437" s="432">
        <v>993.68</v>
      </c>
      <c r="C1437" s="427">
        <f t="shared" si="44"/>
        <v>1995</v>
      </c>
      <c r="D1437" s="433">
        <f t="shared" si="45"/>
        <v>993.68</v>
      </c>
    </row>
    <row r="1438" spans="1:4" ht="16.149999999999999" customHeight="1" x14ac:dyDescent="0.25">
      <c r="A1438" s="431">
        <v>34998</v>
      </c>
      <c r="B1438" s="434">
        <v>994.77</v>
      </c>
      <c r="C1438" s="427">
        <f t="shared" si="44"/>
        <v>1995</v>
      </c>
      <c r="D1438" s="433">
        <f t="shared" si="45"/>
        <v>994.77</v>
      </c>
    </row>
    <row r="1439" spans="1:4" ht="16.149999999999999" customHeight="1" x14ac:dyDescent="0.25">
      <c r="A1439" s="431">
        <v>34999</v>
      </c>
      <c r="B1439" s="432">
        <v>995.01</v>
      </c>
      <c r="C1439" s="427">
        <f t="shared" si="44"/>
        <v>1995</v>
      </c>
      <c r="D1439" s="433">
        <f t="shared" si="45"/>
        <v>995.01</v>
      </c>
    </row>
    <row r="1440" spans="1:4" ht="16.149999999999999" customHeight="1" x14ac:dyDescent="0.25">
      <c r="A1440" s="431">
        <v>35000</v>
      </c>
      <c r="B1440" s="434">
        <v>994.99</v>
      </c>
      <c r="C1440" s="427">
        <f t="shared" si="44"/>
        <v>1995</v>
      </c>
      <c r="D1440" s="433">
        <f t="shared" si="45"/>
        <v>994.99</v>
      </c>
    </row>
    <row r="1441" spans="1:4" ht="16.149999999999999" customHeight="1" x14ac:dyDescent="0.25">
      <c r="A1441" s="431">
        <v>35001</v>
      </c>
      <c r="B1441" s="432">
        <v>994.99</v>
      </c>
      <c r="C1441" s="427">
        <f t="shared" si="44"/>
        <v>1995</v>
      </c>
      <c r="D1441" s="433">
        <f t="shared" si="45"/>
        <v>994.99</v>
      </c>
    </row>
    <row r="1442" spans="1:4" ht="16.149999999999999" customHeight="1" x14ac:dyDescent="0.25">
      <c r="A1442" s="431">
        <v>35002</v>
      </c>
      <c r="B1442" s="434">
        <v>994.99</v>
      </c>
      <c r="C1442" s="427">
        <f t="shared" si="44"/>
        <v>1995</v>
      </c>
      <c r="D1442" s="433">
        <f t="shared" si="45"/>
        <v>994.99</v>
      </c>
    </row>
    <row r="1443" spans="1:4" ht="16.149999999999999" customHeight="1" x14ac:dyDescent="0.25">
      <c r="A1443" s="431">
        <v>35003</v>
      </c>
      <c r="B1443" s="432">
        <v>994.5</v>
      </c>
      <c r="C1443" s="427">
        <f t="shared" si="44"/>
        <v>1995</v>
      </c>
      <c r="D1443" s="433">
        <f t="shared" si="45"/>
        <v>994.5</v>
      </c>
    </row>
    <row r="1444" spans="1:4" ht="16.149999999999999" customHeight="1" x14ac:dyDescent="0.25">
      <c r="A1444" s="431">
        <v>35004</v>
      </c>
      <c r="B1444" s="434">
        <v>996.76</v>
      </c>
      <c r="C1444" s="427">
        <f t="shared" si="44"/>
        <v>1995</v>
      </c>
      <c r="D1444" s="433">
        <f t="shared" si="45"/>
        <v>996.76</v>
      </c>
    </row>
    <row r="1445" spans="1:4" ht="16.149999999999999" customHeight="1" x14ac:dyDescent="0.25">
      <c r="A1445" s="431">
        <v>35005</v>
      </c>
      <c r="B1445" s="432">
        <v>996.96</v>
      </c>
      <c r="C1445" s="427">
        <f t="shared" si="44"/>
        <v>1995</v>
      </c>
      <c r="D1445" s="433">
        <f t="shared" si="45"/>
        <v>996.96</v>
      </c>
    </row>
    <row r="1446" spans="1:4" ht="16.149999999999999" customHeight="1" x14ac:dyDescent="0.25">
      <c r="A1446" s="431">
        <v>35006</v>
      </c>
      <c r="B1446" s="434">
        <v>998.18</v>
      </c>
      <c r="C1446" s="427">
        <f t="shared" si="44"/>
        <v>1995</v>
      </c>
      <c r="D1446" s="433">
        <f t="shared" si="45"/>
        <v>998.18</v>
      </c>
    </row>
    <row r="1447" spans="1:4" ht="16.149999999999999" customHeight="1" x14ac:dyDescent="0.25">
      <c r="A1447" s="431">
        <v>35007</v>
      </c>
      <c r="B1447" s="432">
        <v>998.49</v>
      </c>
      <c r="C1447" s="427">
        <f t="shared" si="44"/>
        <v>1995</v>
      </c>
      <c r="D1447" s="433">
        <f t="shared" si="45"/>
        <v>998.49</v>
      </c>
    </row>
    <row r="1448" spans="1:4" ht="16.149999999999999" customHeight="1" x14ac:dyDescent="0.25">
      <c r="A1448" s="431">
        <v>35008</v>
      </c>
      <c r="B1448" s="434">
        <v>998.49</v>
      </c>
      <c r="C1448" s="427">
        <f t="shared" si="44"/>
        <v>1995</v>
      </c>
      <c r="D1448" s="433">
        <f t="shared" si="45"/>
        <v>998.49</v>
      </c>
    </row>
    <row r="1449" spans="1:4" ht="16.149999999999999" customHeight="1" x14ac:dyDescent="0.25">
      <c r="A1449" s="431">
        <v>35009</v>
      </c>
      <c r="B1449" s="432">
        <v>998.49</v>
      </c>
      <c r="C1449" s="427">
        <f t="shared" si="44"/>
        <v>1995</v>
      </c>
      <c r="D1449" s="433">
        <f t="shared" si="45"/>
        <v>998.49</v>
      </c>
    </row>
    <row r="1450" spans="1:4" ht="16.149999999999999" customHeight="1" x14ac:dyDescent="0.25">
      <c r="A1450" s="431">
        <v>35010</v>
      </c>
      <c r="B1450" s="434">
        <v>998.49</v>
      </c>
      <c r="C1450" s="427">
        <f t="shared" si="44"/>
        <v>1995</v>
      </c>
      <c r="D1450" s="433">
        <f t="shared" si="45"/>
        <v>998.49</v>
      </c>
    </row>
    <row r="1451" spans="1:4" ht="16.149999999999999" customHeight="1" x14ac:dyDescent="0.25">
      <c r="A1451" s="431">
        <v>35011</v>
      </c>
      <c r="B1451" s="432">
        <v>999.51</v>
      </c>
      <c r="C1451" s="427">
        <f t="shared" si="44"/>
        <v>1995</v>
      </c>
      <c r="D1451" s="433">
        <f t="shared" si="45"/>
        <v>999.51</v>
      </c>
    </row>
    <row r="1452" spans="1:4" ht="16.149999999999999" customHeight="1" x14ac:dyDescent="0.25">
      <c r="A1452" s="431">
        <v>35012</v>
      </c>
      <c r="B1452" s="434">
        <v>999.73</v>
      </c>
      <c r="C1452" s="427">
        <f t="shared" si="44"/>
        <v>1995</v>
      </c>
      <c r="D1452" s="433">
        <f t="shared" si="45"/>
        <v>999.73</v>
      </c>
    </row>
    <row r="1453" spans="1:4" ht="16.149999999999999" customHeight="1" x14ac:dyDescent="0.25">
      <c r="A1453" s="431">
        <v>35013</v>
      </c>
      <c r="B1453" s="432">
        <v>1000.13</v>
      </c>
      <c r="C1453" s="427">
        <f t="shared" si="44"/>
        <v>1995</v>
      </c>
      <c r="D1453" s="433">
        <f t="shared" si="45"/>
        <v>1000.13</v>
      </c>
    </row>
    <row r="1454" spans="1:4" ht="16.149999999999999" customHeight="1" x14ac:dyDescent="0.25">
      <c r="A1454" s="431">
        <v>35014</v>
      </c>
      <c r="B1454" s="434">
        <v>999.77</v>
      </c>
      <c r="C1454" s="427">
        <f t="shared" si="44"/>
        <v>1995</v>
      </c>
      <c r="D1454" s="433">
        <f t="shared" si="45"/>
        <v>999.77</v>
      </c>
    </row>
    <row r="1455" spans="1:4" ht="16.149999999999999" customHeight="1" x14ac:dyDescent="0.25">
      <c r="A1455" s="431">
        <v>35015</v>
      </c>
      <c r="B1455" s="432">
        <v>999.77</v>
      </c>
      <c r="C1455" s="427">
        <f t="shared" si="44"/>
        <v>1995</v>
      </c>
      <c r="D1455" s="433">
        <f t="shared" si="45"/>
        <v>999.77</v>
      </c>
    </row>
    <row r="1456" spans="1:4" ht="16.149999999999999" customHeight="1" x14ac:dyDescent="0.25">
      <c r="A1456" s="431">
        <v>35016</v>
      </c>
      <c r="B1456" s="434">
        <v>999.77</v>
      </c>
      <c r="C1456" s="427">
        <f t="shared" si="44"/>
        <v>1995</v>
      </c>
      <c r="D1456" s="433">
        <f t="shared" si="45"/>
        <v>999.77</v>
      </c>
    </row>
    <row r="1457" spans="1:4" ht="16.149999999999999" customHeight="1" x14ac:dyDescent="0.25">
      <c r="A1457" s="431">
        <v>35017</v>
      </c>
      <c r="B1457" s="432">
        <v>999.77</v>
      </c>
      <c r="C1457" s="427">
        <f t="shared" si="44"/>
        <v>1995</v>
      </c>
      <c r="D1457" s="433">
        <f t="shared" si="45"/>
        <v>999.77</v>
      </c>
    </row>
    <row r="1458" spans="1:4" ht="16.149999999999999" customHeight="1" x14ac:dyDescent="0.25">
      <c r="A1458" s="431">
        <v>35018</v>
      </c>
      <c r="B1458" s="434">
        <v>1001.14</v>
      </c>
      <c r="C1458" s="427">
        <f t="shared" si="44"/>
        <v>1995</v>
      </c>
      <c r="D1458" s="433">
        <f t="shared" si="45"/>
        <v>1001.14</v>
      </c>
    </row>
    <row r="1459" spans="1:4" ht="16.149999999999999" customHeight="1" x14ac:dyDescent="0.25">
      <c r="A1459" s="431">
        <v>35019</v>
      </c>
      <c r="B1459" s="432">
        <v>1001.62</v>
      </c>
      <c r="C1459" s="427">
        <f t="shared" si="44"/>
        <v>1995</v>
      </c>
      <c r="D1459" s="433">
        <f t="shared" si="45"/>
        <v>1001.62</v>
      </c>
    </row>
    <row r="1460" spans="1:4" ht="16.149999999999999" customHeight="1" x14ac:dyDescent="0.25">
      <c r="A1460" s="431">
        <v>35020</v>
      </c>
      <c r="B1460" s="434">
        <v>1002.25</v>
      </c>
      <c r="C1460" s="427">
        <f t="shared" si="44"/>
        <v>1995</v>
      </c>
      <c r="D1460" s="433">
        <f t="shared" si="45"/>
        <v>1002.25</v>
      </c>
    </row>
    <row r="1461" spans="1:4" ht="16.149999999999999" customHeight="1" x14ac:dyDescent="0.25">
      <c r="A1461" s="431">
        <v>35021</v>
      </c>
      <c r="B1461" s="432">
        <v>1002.63</v>
      </c>
      <c r="C1461" s="427">
        <f t="shared" si="44"/>
        <v>1995</v>
      </c>
      <c r="D1461" s="433">
        <f t="shared" si="45"/>
        <v>1002.63</v>
      </c>
    </row>
    <row r="1462" spans="1:4" ht="16.149999999999999" customHeight="1" x14ac:dyDescent="0.25">
      <c r="A1462" s="431">
        <v>35022</v>
      </c>
      <c r="B1462" s="434">
        <v>1002.63</v>
      </c>
      <c r="C1462" s="427">
        <f t="shared" si="44"/>
        <v>1995</v>
      </c>
      <c r="D1462" s="433">
        <f t="shared" si="45"/>
        <v>1002.63</v>
      </c>
    </row>
    <row r="1463" spans="1:4" ht="16.149999999999999" customHeight="1" x14ac:dyDescent="0.25">
      <c r="A1463" s="431">
        <v>35023</v>
      </c>
      <c r="B1463" s="432">
        <v>1002.63</v>
      </c>
      <c r="C1463" s="427">
        <f t="shared" si="44"/>
        <v>1995</v>
      </c>
      <c r="D1463" s="433">
        <f t="shared" si="45"/>
        <v>1002.63</v>
      </c>
    </row>
    <row r="1464" spans="1:4" ht="16.149999999999999" customHeight="1" x14ac:dyDescent="0.25">
      <c r="A1464" s="431">
        <v>35024</v>
      </c>
      <c r="B1464" s="434">
        <v>1003.44</v>
      </c>
      <c r="C1464" s="427">
        <f t="shared" si="44"/>
        <v>1995</v>
      </c>
      <c r="D1464" s="433">
        <f t="shared" si="45"/>
        <v>1003.44</v>
      </c>
    </row>
    <row r="1465" spans="1:4" ht="16.149999999999999" customHeight="1" x14ac:dyDescent="0.25">
      <c r="A1465" s="431">
        <v>35025</v>
      </c>
      <c r="B1465" s="432">
        <v>1003.47</v>
      </c>
      <c r="C1465" s="427">
        <f t="shared" si="44"/>
        <v>1995</v>
      </c>
      <c r="D1465" s="433">
        <f t="shared" si="45"/>
        <v>1003.47</v>
      </c>
    </row>
    <row r="1466" spans="1:4" ht="16.149999999999999" customHeight="1" x14ac:dyDescent="0.25">
      <c r="A1466" s="431">
        <v>35026</v>
      </c>
      <c r="B1466" s="434">
        <v>1002.49</v>
      </c>
      <c r="C1466" s="427">
        <f t="shared" si="44"/>
        <v>1995</v>
      </c>
      <c r="D1466" s="433">
        <f t="shared" si="45"/>
        <v>1002.49</v>
      </c>
    </row>
    <row r="1467" spans="1:4" ht="16.149999999999999" customHeight="1" x14ac:dyDescent="0.25">
      <c r="A1467" s="431">
        <v>35027</v>
      </c>
      <c r="B1467" s="432">
        <v>1001.23</v>
      </c>
      <c r="C1467" s="427">
        <f t="shared" si="44"/>
        <v>1995</v>
      </c>
      <c r="D1467" s="433">
        <f t="shared" si="45"/>
        <v>1001.23</v>
      </c>
    </row>
    <row r="1468" spans="1:4" ht="16.149999999999999" customHeight="1" x14ac:dyDescent="0.25">
      <c r="A1468" s="431">
        <v>35028</v>
      </c>
      <c r="B1468" s="434">
        <v>1000.69</v>
      </c>
      <c r="C1468" s="427">
        <f t="shared" si="44"/>
        <v>1995</v>
      </c>
      <c r="D1468" s="433">
        <f t="shared" si="45"/>
        <v>1000.69</v>
      </c>
    </row>
    <row r="1469" spans="1:4" ht="16.149999999999999" customHeight="1" x14ac:dyDescent="0.25">
      <c r="A1469" s="431">
        <v>35029</v>
      </c>
      <c r="B1469" s="432">
        <v>1000.69</v>
      </c>
      <c r="C1469" s="427">
        <f t="shared" si="44"/>
        <v>1995</v>
      </c>
      <c r="D1469" s="433">
        <f t="shared" si="45"/>
        <v>1000.69</v>
      </c>
    </row>
    <row r="1470" spans="1:4" ht="16.149999999999999" customHeight="1" x14ac:dyDescent="0.25">
      <c r="A1470" s="431">
        <v>35030</v>
      </c>
      <c r="B1470" s="434">
        <v>1000.69</v>
      </c>
      <c r="C1470" s="427">
        <f t="shared" si="44"/>
        <v>1995</v>
      </c>
      <c r="D1470" s="433">
        <f t="shared" si="45"/>
        <v>1000.69</v>
      </c>
    </row>
    <row r="1471" spans="1:4" ht="16.149999999999999" customHeight="1" x14ac:dyDescent="0.25">
      <c r="A1471" s="431">
        <v>35031</v>
      </c>
      <c r="B1471" s="432">
        <v>1003.24</v>
      </c>
      <c r="C1471" s="427">
        <f t="shared" si="44"/>
        <v>1995</v>
      </c>
      <c r="D1471" s="433">
        <f t="shared" si="45"/>
        <v>1003.24</v>
      </c>
    </row>
    <row r="1472" spans="1:4" ht="16.149999999999999" customHeight="1" x14ac:dyDescent="0.25">
      <c r="A1472" s="431">
        <v>35032</v>
      </c>
      <c r="B1472" s="434">
        <v>1001.73</v>
      </c>
      <c r="C1472" s="427">
        <f t="shared" si="44"/>
        <v>1995</v>
      </c>
      <c r="D1472" s="433">
        <f t="shared" si="45"/>
        <v>1001.73</v>
      </c>
    </row>
    <row r="1473" spans="1:4" ht="16.149999999999999" customHeight="1" x14ac:dyDescent="0.25">
      <c r="A1473" s="431">
        <v>35033</v>
      </c>
      <c r="B1473" s="432">
        <v>998.16</v>
      </c>
      <c r="C1473" s="427">
        <f t="shared" si="44"/>
        <v>1995</v>
      </c>
      <c r="D1473" s="433">
        <f t="shared" si="45"/>
        <v>998.16</v>
      </c>
    </row>
    <row r="1474" spans="1:4" ht="16.149999999999999" customHeight="1" x14ac:dyDescent="0.25">
      <c r="A1474" s="431">
        <v>35034</v>
      </c>
      <c r="B1474" s="434">
        <v>998.15</v>
      </c>
      <c r="C1474" s="427">
        <f t="shared" si="44"/>
        <v>1995</v>
      </c>
      <c r="D1474" s="433">
        <f t="shared" si="45"/>
        <v>998.15</v>
      </c>
    </row>
    <row r="1475" spans="1:4" ht="16.149999999999999" customHeight="1" x14ac:dyDescent="0.25">
      <c r="A1475" s="431">
        <v>35035</v>
      </c>
      <c r="B1475" s="432">
        <v>997.87</v>
      </c>
      <c r="C1475" s="427">
        <f t="shared" si="44"/>
        <v>1995</v>
      </c>
      <c r="D1475" s="433">
        <f t="shared" si="45"/>
        <v>997.87</v>
      </c>
    </row>
    <row r="1476" spans="1:4" ht="16.149999999999999" customHeight="1" x14ac:dyDescent="0.25">
      <c r="A1476" s="431">
        <v>35036</v>
      </c>
      <c r="B1476" s="434">
        <v>997.87</v>
      </c>
      <c r="C1476" s="427">
        <f t="shared" si="44"/>
        <v>1995</v>
      </c>
      <c r="D1476" s="433">
        <f t="shared" si="45"/>
        <v>997.87</v>
      </c>
    </row>
    <row r="1477" spans="1:4" ht="16.149999999999999" customHeight="1" x14ac:dyDescent="0.25">
      <c r="A1477" s="431">
        <v>35037</v>
      </c>
      <c r="B1477" s="432">
        <v>997.87</v>
      </c>
      <c r="C1477" s="427">
        <f t="shared" si="44"/>
        <v>1995</v>
      </c>
      <c r="D1477" s="433">
        <f t="shared" si="45"/>
        <v>997.87</v>
      </c>
    </row>
    <row r="1478" spans="1:4" ht="16.149999999999999" customHeight="1" x14ac:dyDescent="0.25">
      <c r="A1478" s="431">
        <v>35038</v>
      </c>
      <c r="B1478" s="434">
        <v>995.93</v>
      </c>
      <c r="C1478" s="427">
        <f t="shared" si="44"/>
        <v>1995</v>
      </c>
      <c r="D1478" s="433">
        <f t="shared" si="45"/>
        <v>995.93</v>
      </c>
    </row>
    <row r="1479" spans="1:4" ht="16.149999999999999" customHeight="1" x14ac:dyDescent="0.25">
      <c r="A1479" s="431">
        <v>35039</v>
      </c>
      <c r="B1479" s="432">
        <v>990.16</v>
      </c>
      <c r="C1479" s="427">
        <f t="shared" si="44"/>
        <v>1995</v>
      </c>
      <c r="D1479" s="433">
        <f t="shared" si="45"/>
        <v>990.16</v>
      </c>
    </row>
    <row r="1480" spans="1:4" ht="16.149999999999999" customHeight="1" x14ac:dyDescent="0.25">
      <c r="A1480" s="431">
        <v>35040</v>
      </c>
      <c r="B1480" s="434">
        <v>983.29</v>
      </c>
      <c r="C1480" s="427">
        <f t="shared" si="44"/>
        <v>1995</v>
      </c>
      <c r="D1480" s="433">
        <f t="shared" si="45"/>
        <v>983.29</v>
      </c>
    </row>
    <row r="1481" spans="1:4" ht="16.149999999999999" customHeight="1" x14ac:dyDescent="0.25">
      <c r="A1481" s="431">
        <v>35041</v>
      </c>
      <c r="B1481" s="432">
        <v>974.04</v>
      </c>
      <c r="C1481" s="427">
        <f t="shared" si="44"/>
        <v>1995</v>
      </c>
      <c r="D1481" s="433">
        <f t="shared" si="45"/>
        <v>974.04</v>
      </c>
    </row>
    <row r="1482" spans="1:4" ht="16.149999999999999" customHeight="1" x14ac:dyDescent="0.25">
      <c r="A1482" s="431">
        <v>35042</v>
      </c>
      <c r="B1482" s="434">
        <v>974.04</v>
      </c>
      <c r="C1482" s="427">
        <f t="shared" ref="C1482:C1545" si="46">YEAR(A1482)</f>
        <v>1995</v>
      </c>
      <c r="D1482" s="433">
        <f t="shared" ref="D1482:D1545" si="47">B1482</f>
        <v>974.04</v>
      </c>
    </row>
    <row r="1483" spans="1:4" ht="16.149999999999999" customHeight="1" x14ac:dyDescent="0.25">
      <c r="A1483" s="431">
        <v>35043</v>
      </c>
      <c r="B1483" s="432">
        <v>974.04</v>
      </c>
      <c r="C1483" s="427">
        <f t="shared" si="46"/>
        <v>1995</v>
      </c>
      <c r="D1483" s="433">
        <f t="shared" si="47"/>
        <v>974.04</v>
      </c>
    </row>
    <row r="1484" spans="1:4" ht="16.149999999999999" customHeight="1" x14ac:dyDescent="0.25">
      <c r="A1484" s="431">
        <v>35044</v>
      </c>
      <c r="B1484" s="434">
        <v>974.04</v>
      </c>
      <c r="C1484" s="427">
        <f t="shared" si="46"/>
        <v>1995</v>
      </c>
      <c r="D1484" s="433">
        <f t="shared" si="47"/>
        <v>974.04</v>
      </c>
    </row>
    <row r="1485" spans="1:4" ht="16.149999999999999" customHeight="1" x14ac:dyDescent="0.25">
      <c r="A1485" s="431">
        <v>35045</v>
      </c>
      <c r="B1485" s="432">
        <v>979.87</v>
      </c>
      <c r="C1485" s="427">
        <f t="shared" si="46"/>
        <v>1995</v>
      </c>
      <c r="D1485" s="433">
        <f t="shared" si="47"/>
        <v>979.87</v>
      </c>
    </row>
    <row r="1486" spans="1:4" ht="16.149999999999999" customHeight="1" x14ac:dyDescent="0.25">
      <c r="A1486" s="431">
        <v>35046</v>
      </c>
      <c r="B1486" s="434">
        <v>986.17</v>
      </c>
      <c r="C1486" s="427">
        <f t="shared" si="46"/>
        <v>1995</v>
      </c>
      <c r="D1486" s="433">
        <f t="shared" si="47"/>
        <v>986.17</v>
      </c>
    </row>
    <row r="1487" spans="1:4" ht="16.149999999999999" customHeight="1" x14ac:dyDescent="0.25">
      <c r="A1487" s="431">
        <v>35047</v>
      </c>
      <c r="B1487" s="432">
        <v>994.57</v>
      </c>
      <c r="C1487" s="427">
        <f t="shared" si="46"/>
        <v>1995</v>
      </c>
      <c r="D1487" s="433">
        <f t="shared" si="47"/>
        <v>994.57</v>
      </c>
    </row>
    <row r="1488" spans="1:4" ht="16.149999999999999" customHeight="1" x14ac:dyDescent="0.25">
      <c r="A1488" s="431">
        <v>35048</v>
      </c>
      <c r="B1488" s="434">
        <v>992.88</v>
      </c>
      <c r="C1488" s="427">
        <f t="shared" si="46"/>
        <v>1995</v>
      </c>
      <c r="D1488" s="433">
        <f t="shared" si="47"/>
        <v>992.88</v>
      </c>
    </row>
    <row r="1489" spans="1:4" ht="16.149999999999999" customHeight="1" x14ac:dyDescent="0.25">
      <c r="A1489" s="431">
        <v>35049</v>
      </c>
      <c r="B1489" s="432">
        <v>988.94</v>
      </c>
      <c r="C1489" s="427">
        <f t="shared" si="46"/>
        <v>1995</v>
      </c>
      <c r="D1489" s="433">
        <f t="shared" si="47"/>
        <v>988.94</v>
      </c>
    </row>
    <row r="1490" spans="1:4" ht="16.149999999999999" customHeight="1" x14ac:dyDescent="0.25">
      <c r="A1490" s="431">
        <v>35050</v>
      </c>
      <c r="B1490" s="434">
        <v>988.94</v>
      </c>
      <c r="C1490" s="427">
        <f t="shared" si="46"/>
        <v>1995</v>
      </c>
      <c r="D1490" s="433">
        <f t="shared" si="47"/>
        <v>988.94</v>
      </c>
    </row>
    <row r="1491" spans="1:4" ht="16.149999999999999" customHeight="1" x14ac:dyDescent="0.25">
      <c r="A1491" s="431">
        <v>35051</v>
      </c>
      <c r="B1491" s="432">
        <v>988.94</v>
      </c>
      <c r="C1491" s="427">
        <f t="shared" si="46"/>
        <v>1995</v>
      </c>
      <c r="D1491" s="433">
        <f t="shared" si="47"/>
        <v>988.94</v>
      </c>
    </row>
    <row r="1492" spans="1:4" ht="16.149999999999999" customHeight="1" x14ac:dyDescent="0.25">
      <c r="A1492" s="431">
        <v>35052</v>
      </c>
      <c r="B1492" s="434">
        <v>986.71</v>
      </c>
      <c r="C1492" s="427">
        <f t="shared" si="46"/>
        <v>1995</v>
      </c>
      <c r="D1492" s="433">
        <f t="shared" si="47"/>
        <v>986.71</v>
      </c>
    </row>
    <row r="1493" spans="1:4" ht="16.149999999999999" customHeight="1" x14ac:dyDescent="0.25">
      <c r="A1493" s="431">
        <v>35053</v>
      </c>
      <c r="B1493" s="432">
        <v>987.22</v>
      </c>
      <c r="C1493" s="427">
        <f t="shared" si="46"/>
        <v>1995</v>
      </c>
      <c r="D1493" s="433">
        <f t="shared" si="47"/>
        <v>987.22</v>
      </c>
    </row>
    <row r="1494" spans="1:4" ht="16.149999999999999" customHeight="1" x14ac:dyDescent="0.25">
      <c r="A1494" s="431">
        <v>35054</v>
      </c>
      <c r="B1494" s="434">
        <v>985.39</v>
      </c>
      <c r="C1494" s="427">
        <f t="shared" si="46"/>
        <v>1995</v>
      </c>
      <c r="D1494" s="433">
        <f t="shared" si="47"/>
        <v>985.39</v>
      </c>
    </row>
    <row r="1495" spans="1:4" ht="16.149999999999999" customHeight="1" x14ac:dyDescent="0.25">
      <c r="A1495" s="431">
        <v>35055</v>
      </c>
      <c r="B1495" s="432">
        <v>984.06</v>
      </c>
      <c r="C1495" s="427">
        <f t="shared" si="46"/>
        <v>1995</v>
      </c>
      <c r="D1495" s="433">
        <f t="shared" si="47"/>
        <v>984.06</v>
      </c>
    </row>
    <row r="1496" spans="1:4" ht="16.149999999999999" customHeight="1" x14ac:dyDescent="0.25">
      <c r="A1496" s="431">
        <v>35056</v>
      </c>
      <c r="B1496" s="434">
        <v>984.96</v>
      </c>
      <c r="C1496" s="427">
        <f t="shared" si="46"/>
        <v>1995</v>
      </c>
      <c r="D1496" s="433">
        <f t="shared" si="47"/>
        <v>984.96</v>
      </c>
    </row>
    <row r="1497" spans="1:4" ht="16.149999999999999" customHeight="1" x14ac:dyDescent="0.25">
      <c r="A1497" s="431">
        <v>35057</v>
      </c>
      <c r="B1497" s="432">
        <v>984.96</v>
      </c>
      <c r="C1497" s="427">
        <f t="shared" si="46"/>
        <v>1995</v>
      </c>
      <c r="D1497" s="433">
        <f t="shared" si="47"/>
        <v>984.96</v>
      </c>
    </row>
    <row r="1498" spans="1:4" ht="16.149999999999999" customHeight="1" x14ac:dyDescent="0.25">
      <c r="A1498" s="431">
        <v>35058</v>
      </c>
      <c r="B1498" s="434">
        <v>984.96</v>
      </c>
      <c r="C1498" s="427">
        <f t="shared" si="46"/>
        <v>1995</v>
      </c>
      <c r="D1498" s="433">
        <f t="shared" si="47"/>
        <v>984.96</v>
      </c>
    </row>
    <row r="1499" spans="1:4" ht="16.149999999999999" customHeight="1" x14ac:dyDescent="0.25">
      <c r="A1499" s="431">
        <v>35059</v>
      </c>
      <c r="B1499" s="432">
        <v>984.96</v>
      </c>
      <c r="C1499" s="427">
        <f t="shared" si="46"/>
        <v>1995</v>
      </c>
      <c r="D1499" s="433">
        <f t="shared" si="47"/>
        <v>984.96</v>
      </c>
    </row>
    <row r="1500" spans="1:4" ht="16.149999999999999" customHeight="1" x14ac:dyDescent="0.25">
      <c r="A1500" s="431">
        <v>35060</v>
      </c>
      <c r="B1500" s="434">
        <v>990.1</v>
      </c>
      <c r="C1500" s="427">
        <f t="shared" si="46"/>
        <v>1995</v>
      </c>
      <c r="D1500" s="433">
        <f t="shared" si="47"/>
        <v>990.1</v>
      </c>
    </row>
    <row r="1501" spans="1:4" ht="16.149999999999999" customHeight="1" x14ac:dyDescent="0.25">
      <c r="A1501" s="431">
        <v>35061</v>
      </c>
      <c r="B1501" s="432">
        <v>986.96</v>
      </c>
      <c r="C1501" s="427">
        <f t="shared" si="46"/>
        <v>1995</v>
      </c>
      <c r="D1501" s="433">
        <f t="shared" si="47"/>
        <v>986.96</v>
      </c>
    </row>
    <row r="1502" spans="1:4" ht="16.149999999999999" customHeight="1" x14ac:dyDescent="0.25">
      <c r="A1502" s="431">
        <v>35062</v>
      </c>
      <c r="B1502" s="434">
        <v>987.65</v>
      </c>
      <c r="C1502" s="427">
        <f t="shared" si="46"/>
        <v>1995</v>
      </c>
      <c r="D1502" s="433">
        <f t="shared" si="47"/>
        <v>987.65</v>
      </c>
    </row>
    <row r="1503" spans="1:4" ht="16.149999999999999" customHeight="1" x14ac:dyDescent="0.25">
      <c r="A1503" s="431">
        <v>35063</v>
      </c>
      <c r="B1503" s="432">
        <v>987.65</v>
      </c>
      <c r="C1503" s="427">
        <f t="shared" si="46"/>
        <v>1995</v>
      </c>
      <c r="D1503" s="433">
        <f t="shared" si="47"/>
        <v>987.65</v>
      </c>
    </row>
    <row r="1504" spans="1:4" ht="16.149999999999999" customHeight="1" x14ac:dyDescent="0.25">
      <c r="A1504" s="431">
        <v>35064</v>
      </c>
      <c r="B1504" s="434">
        <v>987.65</v>
      </c>
      <c r="C1504" s="427">
        <f t="shared" si="46"/>
        <v>1995</v>
      </c>
      <c r="D1504" s="433">
        <f t="shared" si="47"/>
        <v>987.65</v>
      </c>
    </row>
    <row r="1505" spans="1:4" ht="16.149999999999999" customHeight="1" x14ac:dyDescent="0.25">
      <c r="A1505" s="431">
        <v>35065</v>
      </c>
      <c r="B1505" s="432">
        <v>987.65</v>
      </c>
      <c r="C1505" s="427">
        <f t="shared" si="46"/>
        <v>1996</v>
      </c>
      <c r="D1505" s="433">
        <f t="shared" si="47"/>
        <v>987.65</v>
      </c>
    </row>
    <row r="1506" spans="1:4" ht="16.149999999999999" customHeight="1" x14ac:dyDescent="0.25">
      <c r="A1506" s="431">
        <v>35066</v>
      </c>
      <c r="B1506" s="434">
        <v>987.65</v>
      </c>
      <c r="C1506" s="427">
        <f t="shared" si="46"/>
        <v>1996</v>
      </c>
      <c r="D1506" s="433">
        <f t="shared" si="47"/>
        <v>987.65</v>
      </c>
    </row>
    <row r="1507" spans="1:4" ht="16.149999999999999" customHeight="1" x14ac:dyDescent="0.25">
      <c r="A1507" s="431">
        <v>35067</v>
      </c>
      <c r="B1507" s="432">
        <v>994.31</v>
      </c>
      <c r="C1507" s="427">
        <f t="shared" si="46"/>
        <v>1996</v>
      </c>
      <c r="D1507" s="433">
        <f t="shared" si="47"/>
        <v>994.31</v>
      </c>
    </row>
    <row r="1508" spans="1:4" ht="16.149999999999999" customHeight="1" x14ac:dyDescent="0.25">
      <c r="A1508" s="431">
        <v>35068</v>
      </c>
      <c r="B1508" s="434">
        <v>994.5</v>
      </c>
      <c r="C1508" s="427">
        <f t="shared" si="46"/>
        <v>1996</v>
      </c>
      <c r="D1508" s="433">
        <f t="shared" si="47"/>
        <v>994.5</v>
      </c>
    </row>
    <row r="1509" spans="1:4" ht="16.149999999999999" customHeight="1" x14ac:dyDescent="0.25">
      <c r="A1509" s="431">
        <v>35069</v>
      </c>
      <c r="B1509" s="432">
        <v>998.68</v>
      </c>
      <c r="C1509" s="427">
        <f t="shared" si="46"/>
        <v>1996</v>
      </c>
      <c r="D1509" s="433">
        <f t="shared" si="47"/>
        <v>998.68</v>
      </c>
    </row>
    <row r="1510" spans="1:4" ht="16.149999999999999" customHeight="1" x14ac:dyDescent="0.25">
      <c r="A1510" s="431">
        <v>35070</v>
      </c>
      <c r="B1510" s="434">
        <v>997.06</v>
      </c>
      <c r="C1510" s="427">
        <f t="shared" si="46"/>
        <v>1996</v>
      </c>
      <c r="D1510" s="433">
        <f t="shared" si="47"/>
        <v>997.06</v>
      </c>
    </row>
    <row r="1511" spans="1:4" ht="16.149999999999999" customHeight="1" x14ac:dyDescent="0.25">
      <c r="A1511" s="431">
        <v>35071</v>
      </c>
      <c r="B1511" s="432">
        <v>997.06</v>
      </c>
      <c r="C1511" s="427">
        <f t="shared" si="46"/>
        <v>1996</v>
      </c>
      <c r="D1511" s="433">
        <f t="shared" si="47"/>
        <v>997.06</v>
      </c>
    </row>
    <row r="1512" spans="1:4" ht="16.149999999999999" customHeight="1" x14ac:dyDescent="0.25">
      <c r="A1512" s="431">
        <v>35072</v>
      </c>
      <c r="B1512" s="434">
        <v>997.06</v>
      </c>
      <c r="C1512" s="427">
        <f t="shared" si="46"/>
        <v>1996</v>
      </c>
      <c r="D1512" s="433">
        <f t="shared" si="47"/>
        <v>997.06</v>
      </c>
    </row>
    <row r="1513" spans="1:4" ht="16.149999999999999" customHeight="1" x14ac:dyDescent="0.25">
      <c r="A1513" s="431">
        <v>35073</v>
      </c>
      <c r="B1513" s="432">
        <v>997.06</v>
      </c>
      <c r="C1513" s="427">
        <f t="shared" si="46"/>
        <v>1996</v>
      </c>
      <c r="D1513" s="433">
        <f t="shared" si="47"/>
        <v>997.06</v>
      </c>
    </row>
    <row r="1514" spans="1:4" ht="16.149999999999999" customHeight="1" x14ac:dyDescent="0.25">
      <c r="A1514" s="431">
        <v>35074</v>
      </c>
      <c r="B1514" s="434">
        <v>1003.44</v>
      </c>
      <c r="C1514" s="427">
        <f t="shared" si="46"/>
        <v>1996</v>
      </c>
      <c r="D1514" s="433">
        <f t="shared" si="47"/>
        <v>1003.44</v>
      </c>
    </row>
    <row r="1515" spans="1:4" ht="16.149999999999999" customHeight="1" x14ac:dyDescent="0.25">
      <c r="A1515" s="431">
        <v>35075</v>
      </c>
      <c r="B1515" s="432">
        <v>1003.86</v>
      </c>
      <c r="C1515" s="427">
        <f t="shared" si="46"/>
        <v>1996</v>
      </c>
      <c r="D1515" s="433">
        <f t="shared" si="47"/>
        <v>1003.86</v>
      </c>
    </row>
    <row r="1516" spans="1:4" ht="16.149999999999999" customHeight="1" x14ac:dyDescent="0.25">
      <c r="A1516" s="431">
        <v>35076</v>
      </c>
      <c r="B1516" s="434">
        <v>1002.59</v>
      </c>
      <c r="C1516" s="427">
        <f t="shared" si="46"/>
        <v>1996</v>
      </c>
      <c r="D1516" s="433">
        <f t="shared" si="47"/>
        <v>1002.59</v>
      </c>
    </row>
    <row r="1517" spans="1:4" ht="16.149999999999999" customHeight="1" x14ac:dyDescent="0.25">
      <c r="A1517" s="431">
        <v>35077</v>
      </c>
      <c r="B1517" s="432">
        <v>1005.63</v>
      </c>
      <c r="C1517" s="427">
        <f t="shared" si="46"/>
        <v>1996</v>
      </c>
      <c r="D1517" s="433">
        <f t="shared" si="47"/>
        <v>1005.63</v>
      </c>
    </row>
    <row r="1518" spans="1:4" ht="16.149999999999999" customHeight="1" x14ac:dyDescent="0.25">
      <c r="A1518" s="431">
        <v>35078</v>
      </c>
      <c r="B1518" s="434">
        <v>1005.63</v>
      </c>
      <c r="C1518" s="427">
        <f t="shared" si="46"/>
        <v>1996</v>
      </c>
      <c r="D1518" s="433">
        <f t="shared" si="47"/>
        <v>1005.63</v>
      </c>
    </row>
    <row r="1519" spans="1:4" ht="16.149999999999999" customHeight="1" x14ac:dyDescent="0.25">
      <c r="A1519" s="431">
        <v>35079</v>
      </c>
      <c r="B1519" s="432">
        <v>1005.63</v>
      </c>
      <c r="C1519" s="427">
        <f t="shared" si="46"/>
        <v>1996</v>
      </c>
      <c r="D1519" s="433">
        <f t="shared" si="47"/>
        <v>1005.63</v>
      </c>
    </row>
    <row r="1520" spans="1:4" ht="16.149999999999999" customHeight="1" x14ac:dyDescent="0.25">
      <c r="A1520" s="431">
        <v>35080</v>
      </c>
      <c r="B1520" s="434">
        <v>1011.59</v>
      </c>
      <c r="C1520" s="427">
        <f t="shared" si="46"/>
        <v>1996</v>
      </c>
      <c r="D1520" s="433">
        <f t="shared" si="47"/>
        <v>1011.59</v>
      </c>
    </row>
    <row r="1521" spans="1:4" ht="16.149999999999999" customHeight="1" x14ac:dyDescent="0.25">
      <c r="A1521" s="431">
        <v>35081</v>
      </c>
      <c r="B1521" s="432">
        <v>1011.72</v>
      </c>
      <c r="C1521" s="427">
        <f t="shared" si="46"/>
        <v>1996</v>
      </c>
      <c r="D1521" s="433">
        <f t="shared" si="47"/>
        <v>1011.72</v>
      </c>
    </row>
    <row r="1522" spans="1:4" ht="16.149999999999999" customHeight="1" x14ac:dyDescent="0.25">
      <c r="A1522" s="431">
        <v>35082</v>
      </c>
      <c r="B1522" s="434">
        <v>1010.34</v>
      </c>
      <c r="C1522" s="427">
        <f t="shared" si="46"/>
        <v>1996</v>
      </c>
      <c r="D1522" s="433">
        <f t="shared" si="47"/>
        <v>1010.34</v>
      </c>
    </row>
    <row r="1523" spans="1:4" ht="16.149999999999999" customHeight="1" x14ac:dyDescent="0.25">
      <c r="A1523" s="431">
        <v>35083</v>
      </c>
      <c r="B1523" s="432">
        <v>1015.1</v>
      </c>
      <c r="C1523" s="427">
        <f t="shared" si="46"/>
        <v>1996</v>
      </c>
      <c r="D1523" s="433">
        <f t="shared" si="47"/>
        <v>1015.1</v>
      </c>
    </row>
    <row r="1524" spans="1:4" ht="16.149999999999999" customHeight="1" x14ac:dyDescent="0.25">
      <c r="A1524" s="431">
        <v>35084</v>
      </c>
      <c r="B1524" s="434">
        <v>1018.99</v>
      </c>
      <c r="C1524" s="427">
        <f t="shared" si="46"/>
        <v>1996</v>
      </c>
      <c r="D1524" s="433">
        <f t="shared" si="47"/>
        <v>1018.99</v>
      </c>
    </row>
    <row r="1525" spans="1:4" ht="16.149999999999999" customHeight="1" x14ac:dyDescent="0.25">
      <c r="A1525" s="431">
        <v>35085</v>
      </c>
      <c r="B1525" s="432">
        <v>1018.99</v>
      </c>
      <c r="C1525" s="427">
        <f t="shared" si="46"/>
        <v>1996</v>
      </c>
      <c r="D1525" s="433">
        <f t="shared" si="47"/>
        <v>1018.99</v>
      </c>
    </row>
    <row r="1526" spans="1:4" ht="16.149999999999999" customHeight="1" x14ac:dyDescent="0.25">
      <c r="A1526" s="431">
        <v>35086</v>
      </c>
      <c r="B1526" s="434">
        <v>1018.99</v>
      </c>
      <c r="C1526" s="427">
        <f t="shared" si="46"/>
        <v>1996</v>
      </c>
      <c r="D1526" s="433">
        <f t="shared" si="47"/>
        <v>1018.99</v>
      </c>
    </row>
    <row r="1527" spans="1:4" ht="16.149999999999999" customHeight="1" x14ac:dyDescent="0.25">
      <c r="A1527" s="431">
        <v>35087</v>
      </c>
      <c r="B1527" s="432">
        <v>1019.17</v>
      </c>
      <c r="C1527" s="427">
        <f t="shared" si="46"/>
        <v>1996</v>
      </c>
      <c r="D1527" s="433">
        <f t="shared" si="47"/>
        <v>1019.17</v>
      </c>
    </row>
    <row r="1528" spans="1:4" ht="16.149999999999999" customHeight="1" x14ac:dyDescent="0.25">
      <c r="A1528" s="431">
        <v>35088</v>
      </c>
      <c r="B1528" s="434">
        <v>1024.8900000000001</v>
      </c>
      <c r="C1528" s="427">
        <f t="shared" si="46"/>
        <v>1996</v>
      </c>
      <c r="D1528" s="433">
        <f t="shared" si="47"/>
        <v>1024.8900000000001</v>
      </c>
    </row>
    <row r="1529" spans="1:4" ht="16.149999999999999" customHeight="1" x14ac:dyDescent="0.25">
      <c r="A1529" s="431">
        <v>35089</v>
      </c>
      <c r="B1529" s="432">
        <v>1026.08</v>
      </c>
      <c r="C1529" s="427">
        <f t="shared" si="46"/>
        <v>1996</v>
      </c>
      <c r="D1529" s="433">
        <f t="shared" si="47"/>
        <v>1026.08</v>
      </c>
    </row>
    <row r="1530" spans="1:4" ht="16.149999999999999" customHeight="1" x14ac:dyDescent="0.25">
      <c r="A1530" s="431">
        <v>35090</v>
      </c>
      <c r="B1530" s="434">
        <v>1026.78</v>
      </c>
      <c r="C1530" s="427">
        <f t="shared" si="46"/>
        <v>1996</v>
      </c>
      <c r="D1530" s="433">
        <f t="shared" si="47"/>
        <v>1026.78</v>
      </c>
    </row>
    <row r="1531" spans="1:4" ht="16.149999999999999" customHeight="1" x14ac:dyDescent="0.25">
      <c r="A1531" s="431">
        <v>35091</v>
      </c>
      <c r="B1531" s="432">
        <v>1026.8900000000001</v>
      </c>
      <c r="C1531" s="427">
        <f t="shared" si="46"/>
        <v>1996</v>
      </c>
      <c r="D1531" s="433">
        <f t="shared" si="47"/>
        <v>1026.8900000000001</v>
      </c>
    </row>
    <row r="1532" spans="1:4" ht="16.149999999999999" customHeight="1" x14ac:dyDescent="0.25">
      <c r="A1532" s="431">
        <v>35092</v>
      </c>
      <c r="B1532" s="434">
        <v>1026.8900000000001</v>
      </c>
      <c r="C1532" s="427">
        <f t="shared" si="46"/>
        <v>1996</v>
      </c>
      <c r="D1532" s="433">
        <f t="shared" si="47"/>
        <v>1026.8900000000001</v>
      </c>
    </row>
    <row r="1533" spans="1:4" ht="16.149999999999999" customHeight="1" x14ac:dyDescent="0.25">
      <c r="A1533" s="431">
        <v>35093</v>
      </c>
      <c r="B1533" s="432">
        <v>1026.8900000000001</v>
      </c>
      <c r="C1533" s="427">
        <f t="shared" si="46"/>
        <v>1996</v>
      </c>
      <c r="D1533" s="433">
        <f t="shared" si="47"/>
        <v>1026.8900000000001</v>
      </c>
    </row>
    <row r="1534" spans="1:4" ht="16.149999999999999" customHeight="1" x14ac:dyDescent="0.25">
      <c r="A1534" s="431">
        <v>35094</v>
      </c>
      <c r="B1534" s="434">
        <v>1027.6099999999999</v>
      </c>
      <c r="C1534" s="427">
        <f t="shared" si="46"/>
        <v>1996</v>
      </c>
      <c r="D1534" s="433">
        <f t="shared" si="47"/>
        <v>1027.6099999999999</v>
      </c>
    </row>
    <row r="1535" spans="1:4" ht="16.149999999999999" customHeight="1" x14ac:dyDescent="0.25">
      <c r="A1535" s="431">
        <v>35095</v>
      </c>
      <c r="B1535" s="432">
        <v>1028.1400000000001</v>
      </c>
      <c r="C1535" s="427">
        <f t="shared" si="46"/>
        <v>1996</v>
      </c>
      <c r="D1535" s="433">
        <f t="shared" si="47"/>
        <v>1028.1400000000001</v>
      </c>
    </row>
    <row r="1536" spans="1:4" ht="16.149999999999999" customHeight="1" x14ac:dyDescent="0.25">
      <c r="A1536" s="431">
        <v>35096</v>
      </c>
      <c r="B1536" s="434">
        <v>1026.3</v>
      </c>
      <c r="C1536" s="427">
        <f t="shared" si="46"/>
        <v>1996</v>
      </c>
      <c r="D1536" s="433">
        <f t="shared" si="47"/>
        <v>1026.3</v>
      </c>
    </row>
    <row r="1537" spans="1:4" ht="16.149999999999999" customHeight="1" x14ac:dyDescent="0.25">
      <c r="A1537" s="431">
        <v>35097</v>
      </c>
      <c r="B1537" s="432">
        <v>1024.8900000000001</v>
      </c>
      <c r="C1537" s="427">
        <f t="shared" si="46"/>
        <v>1996</v>
      </c>
      <c r="D1537" s="433">
        <f t="shared" si="47"/>
        <v>1024.8900000000001</v>
      </c>
    </row>
    <row r="1538" spans="1:4" ht="16.149999999999999" customHeight="1" x14ac:dyDescent="0.25">
      <c r="A1538" s="431">
        <v>35098</v>
      </c>
      <c r="B1538" s="434">
        <v>1021.29</v>
      </c>
      <c r="C1538" s="427">
        <f t="shared" si="46"/>
        <v>1996</v>
      </c>
      <c r="D1538" s="433">
        <f t="shared" si="47"/>
        <v>1021.29</v>
      </c>
    </row>
    <row r="1539" spans="1:4" ht="16.149999999999999" customHeight="1" x14ac:dyDescent="0.25">
      <c r="A1539" s="431">
        <v>35099</v>
      </c>
      <c r="B1539" s="432">
        <v>1021.29</v>
      </c>
      <c r="C1539" s="427">
        <f t="shared" si="46"/>
        <v>1996</v>
      </c>
      <c r="D1539" s="433">
        <f t="shared" si="47"/>
        <v>1021.29</v>
      </c>
    </row>
    <row r="1540" spans="1:4" ht="16.149999999999999" customHeight="1" x14ac:dyDescent="0.25">
      <c r="A1540" s="431">
        <v>35100</v>
      </c>
      <c r="B1540" s="434">
        <v>1021.29</v>
      </c>
      <c r="C1540" s="427">
        <f t="shared" si="46"/>
        <v>1996</v>
      </c>
      <c r="D1540" s="433">
        <f t="shared" si="47"/>
        <v>1021.29</v>
      </c>
    </row>
    <row r="1541" spans="1:4" ht="16.149999999999999" customHeight="1" x14ac:dyDescent="0.25">
      <c r="A1541" s="431">
        <v>35101</v>
      </c>
      <c r="B1541" s="432">
        <v>1022.93</v>
      </c>
      <c r="C1541" s="427">
        <f t="shared" si="46"/>
        <v>1996</v>
      </c>
      <c r="D1541" s="433">
        <f t="shared" si="47"/>
        <v>1022.93</v>
      </c>
    </row>
    <row r="1542" spans="1:4" ht="16.149999999999999" customHeight="1" x14ac:dyDescent="0.25">
      <c r="A1542" s="431">
        <v>35102</v>
      </c>
      <c r="B1542" s="434">
        <v>1021.3</v>
      </c>
      <c r="C1542" s="427">
        <f t="shared" si="46"/>
        <v>1996</v>
      </c>
      <c r="D1542" s="433">
        <f t="shared" si="47"/>
        <v>1021.3</v>
      </c>
    </row>
    <row r="1543" spans="1:4" ht="16.149999999999999" customHeight="1" x14ac:dyDescent="0.25">
      <c r="A1543" s="431">
        <v>35103</v>
      </c>
      <c r="B1543" s="432">
        <v>1022.28</v>
      </c>
      <c r="C1543" s="427">
        <f t="shared" si="46"/>
        <v>1996</v>
      </c>
      <c r="D1543" s="433">
        <f t="shared" si="47"/>
        <v>1022.28</v>
      </c>
    </row>
    <row r="1544" spans="1:4" ht="16.149999999999999" customHeight="1" x14ac:dyDescent="0.25">
      <c r="A1544" s="431">
        <v>35104</v>
      </c>
      <c r="B1544" s="434">
        <v>1024.17</v>
      </c>
      <c r="C1544" s="427">
        <f t="shared" si="46"/>
        <v>1996</v>
      </c>
      <c r="D1544" s="433">
        <f t="shared" si="47"/>
        <v>1024.17</v>
      </c>
    </row>
    <row r="1545" spans="1:4" ht="16.149999999999999" customHeight="1" x14ac:dyDescent="0.25">
      <c r="A1545" s="431">
        <v>35105</v>
      </c>
      <c r="B1545" s="432">
        <v>1023.07</v>
      </c>
      <c r="C1545" s="427">
        <f t="shared" si="46"/>
        <v>1996</v>
      </c>
      <c r="D1545" s="433">
        <f t="shared" si="47"/>
        <v>1023.07</v>
      </c>
    </row>
    <row r="1546" spans="1:4" ht="16.149999999999999" customHeight="1" x14ac:dyDescent="0.25">
      <c r="A1546" s="431">
        <v>35106</v>
      </c>
      <c r="B1546" s="434">
        <v>1023.07</v>
      </c>
      <c r="C1546" s="427">
        <f t="shared" ref="C1546:C1609" si="48">YEAR(A1546)</f>
        <v>1996</v>
      </c>
      <c r="D1546" s="433">
        <f t="shared" ref="D1546:D1609" si="49">B1546</f>
        <v>1023.07</v>
      </c>
    </row>
    <row r="1547" spans="1:4" ht="16.149999999999999" customHeight="1" x14ac:dyDescent="0.25">
      <c r="A1547" s="431">
        <v>35107</v>
      </c>
      <c r="B1547" s="432">
        <v>1023.07</v>
      </c>
      <c r="C1547" s="427">
        <f t="shared" si="48"/>
        <v>1996</v>
      </c>
      <c r="D1547" s="433">
        <f t="shared" si="49"/>
        <v>1023.07</v>
      </c>
    </row>
    <row r="1548" spans="1:4" ht="16.149999999999999" customHeight="1" x14ac:dyDescent="0.25">
      <c r="A1548" s="431">
        <v>35108</v>
      </c>
      <c r="B1548" s="434">
        <v>1027.54</v>
      </c>
      <c r="C1548" s="427">
        <f t="shared" si="48"/>
        <v>1996</v>
      </c>
      <c r="D1548" s="433">
        <f t="shared" si="49"/>
        <v>1027.54</v>
      </c>
    </row>
    <row r="1549" spans="1:4" ht="16.149999999999999" customHeight="1" x14ac:dyDescent="0.25">
      <c r="A1549" s="431">
        <v>35109</v>
      </c>
      <c r="B1549" s="432">
        <v>1028.58</v>
      </c>
      <c r="C1549" s="427">
        <f t="shared" si="48"/>
        <v>1996</v>
      </c>
      <c r="D1549" s="433">
        <f t="shared" si="49"/>
        <v>1028.58</v>
      </c>
    </row>
    <row r="1550" spans="1:4" ht="16.149999999999999" customHeight="1" x14ac:dyDescent="0.25">
      <c r="A1550" s="431">
        <v>35110</v>
      </c>
      <c r="B1550" s="434">
        <v>1027.57</v>
      </c>
      <c r="C1550" s="427">
        <f t="shared" si="48"/>
        <v>1996</v>
      </c>
      <c r="D1550" s="433">
        <f t="shared" si="49"/>
        <v>1027.57</v>
      </c>
    </row>
    <row r="1551" spans="1:4" ht="16.149999999999999" customHeight="1" x14ac:dyDescent="0.25">
      <c r="A1551" s="431">
        <v>35111</v>
      </c>
      <c r="B1551" s="432">
        <v>1030.67</v>
      </c>
      <c r="C1551" s="427">
        <f t="shared" si="48"/>
        <v>1996</v>
      </c>
      <c r="D1551" s="433">
        <f t="shared" si="49"/>
        <v>1030.67</v>
      </c>
    </row>
    <row r="1552" spans="1:4" ht="16.149999999999999" customHeight="1" x14ac:dyDescent="0.25">
      <c r="A1552" s="431">
        <v>35112</v>
      </c>
      <c r="B1552" s="434">
        <v>1029.5</v>
      </c>
      <c r="C1552" s="427">
        <f t="shared" si="48"/>
        <v>1996</v>
      </c>
      <c r="D1552" s="433">
        <f t="shared" si="49"/>
        <v>1029.5</v>
      </c>
    </row>
    <row r="1553" spans="1:4" ht="16.149999999999999" customHeight="1" x14ac:dyDescent="0.25">
      <c r="A1553" s="431">
        <v>35113</v>
      </c>
      <c r="B1553" s="432">
        <v>1029.5</v>
      </c>
      <c r="C1553" s="427">
        <f t="shared" si="48"/>
        <v>1996</v>
      </c>
      <c r="D1553" s="433">
        <f t="shared" si="49"/>
        <v>1029.5</v>
      </c>
    </row>
    <row r="1554" spans="1:4" ht="16.149999999999999" customHeight="1" x14ac:dyDescent="0.25">
      <c r="A1554" s="431">
        <v>35114</v>
      </c>
      <c r="B1554" s="434">
        <v>1029.5</v>
      </c>
      <c r="C1554" s="427">
        <f t="shared" si="48"/>
        <v>1996</v>
      </c>
      <c r="D1554" s="433">
        <f t="shared" si="49"/>
        <v>1029.5</v>
      </c>
    </row>
    <row r="1555" spans="1:4" ht="16.149999999999999" customHeight="1" x14ac:dyDescent="0.25">
      <c r="A1555" s="431">
        <v>35115</v>
      </c>
      <c r="B1555" s="432">
        <v>1033.4100000000001</v>
      </c>
      <c r="C1555" s="427">
        <f t="shared" si="48"/>
        <v>1996</v>
      </c>
      <c r="D1555" s="433">
        <f t="shared" si="49"/>
        <v>1033.4100000000001</v>
      </c>
    </row>
    <row r="1556" spans="1:4" ht="16.149999999999999" customHeight="1" x14ac:dyDescent="0.25">
      <c r="A1556" s="431">
        <v>35116</v>
      </c>
      <c r="B1556" s="434">
        <v>1034.3399999999999</v>
      </c>
      <c r="C1556" s="427">
        <f t="shared" si="48"/>
        <v>1996</v>
      </c>
      <c r="D1556" s="433">
        <f t="shared" si="49"/>
        <v>1034.3399999999999</v>
      </c>
    </row>
    <row r="1557" spans="1:4" ht="16.149999999999999" customHeight="1" x14ac:dyDescent="0.25">
      <c r="A1557" s="431">
        <v>35117</v>
      </c>
      <c r="B1557" s="432">
        <v>1035.43</v>
      </c>
      <c r="C1557" s="427">
        <f t="shared" si="48"/>
        <v>1996</v>
      </c>
      <c r="D1557" s="433">
        <f t="shared" si="49"/>
        <v>1035.43</v>
      </c>
    </row>
    <row r="1558" spans="1:4" ht="16.149999999999999" customHeight="1" x14ac:dyDescent="0.25">
      <c r="A1558" s="431">
        <v>35118</v>
      </c>
      <c r="B1558" s="434">
        <v>1035.04</v>
      </c>
      <c r="C1558" s="427">
        <f t="shared" si="48"/>
        <v>1996</v>
      </c>
      <c r="D1558" s="433">
        <f t="shared" si="49"/>
        <v>1035.04</v>
      </c>
    </row>
    <row r="1559" spans="1:4" ht="16.149999999999999" customHeight="1" x14ac:dyDescent="0.25">
      <c r="A1559" s="431">
        <v>35119</v>
      </c>
      <c r="B1559" s="432">
        <v>1036.71</v>
      </c>
      <c r="C1559" s="427">
        <f t="shared" si="48"/>
        <v>1996</v>
      </c>
      <c r="D1559" s="433">
        <f t="shared" si="49"/>
        <v>1036.71</v>
      </c>
    </row>
    <row r="1560" spans="1:4" ht="16.149999999999999" customHeight="1" x14ac:dyDescent="0.25">
      <c r="A1560" s="431">
        <v>35120</v>
      </c>
      <c r="B1560" s="434">
        <v>1036.71</v>
      </c>
      <c r="C1560" s="427">
        <f t="shared" si="48"/>
        <v>1996</v>
      </c>
      <c r="D1560" s="433">
        <f t="shared" si="49"/>
        <v>1036.71</v>
      </c>
    </row>
    <row r="1561" spans="1:4" ht="16.149999999999999" customHeight="1" x14ac:dyDescent="0.25">
      <c r="A1561" s="431">
        <v>35121</v>
      </c>
      <c r="B1561" s="432">
        <v>1036.71</v>
      </c>
      <c r="C1561" s="427">
        <f t="shared" si="48"/>
        <v>1996</v>
      </c>
      <c r="D1561" s="433">
        <f t="shared" si="49"/>
        <v>1036.71</v>
      </c>
    </row>
    <row r="1562" spans="1:4" ht="16.149999999999999" customHeight="1" x14ac:dyDescent="0.25">
      <c r="A1562" s="431">
        <v>35122</v>
      </c>
      <c r="B1562" s="434">
        <v>1038.49</v>
      </c>
      <c r="C1562" s="427">
        <f t="shared" si="48"/>
        <v>1996</v>
      </c>
      <c r="D1562" s="433">
        <f t="shared" si="49"/>
        <v>1038.49</v>
      </c>
    </row>
    <row r="1563" spans="1:4" ht="16.149999999999999" customHeight="1" x14ac:dyDescent="0.25">
      <c r="A1563" s="431">
        <v>35123</v>
      </c>
      <c r="B1563" s="432">
        <v>1039.06</v>
      </c>
      <c r="C1563" s="427">
        <f t="shared" si="48"/>
        <v>1996</v>
      </c>
      <c r="D1563" s="433">
        <f t="shared" si="49"/>
        <v>1039.06</v>
      </c>
    </row>
    <row r="1564" spans="1:4" ht="16.149999999999999" customHeight="1" x14ac:dyDescent="0.25">
      <c r="A1564" s="431">
        <v>35124</v>
      </c>
      <c r="B1564" s="434">
        <v>1039.81</v>
      </c>
      <c r="C1564" s="427">
        <f t="shared" si="48"/>
        <v>1996</v>
      </c>
      <c r="D1564" s="433">
        <f t="shared" si="49"/>
        <v>1039.81</v>
      </c>
    </row>
    <row r="1565" spans="1:4" ht="16.149999999999999" customHeight="1" x14ac:dyDescent="0.25">
      <c r="A1565" s="431">
        <v>35125</v>
      </c>
      <c r="B1565" s="432">
        <v>1039.9000000000001</v>
      </c>
      <c r="C1565" s="427">
        <f t="shared" si="48"/>
        <v>1996</v>
      </c>
      <c r="D1565" s="433">
        <f t="shared" si="49"/>
        <v>1039.9000000000001</v>
      </c>
    </row>
    <row r="1566" spans="1:4" ht="16.149999999999999" customHeight="1" x14ac:dyDescent="0.25">
      <c r="A1566" s="431">
        <v>35126</v>
      </c>
      <c r="B1566" s="434">
        <v>1040.7</v>
      </c>
      <c r="C1566" s="427">
        <f t="shared" si="48"/>
        <v>1996</v>
      </c>
      <c r="D1566" s="433">
        <f t="shared" si="49"/>
        <v>1040.7</v>
      </c>
    </row>
    <row r="1567" spans="1:4" ht="16.149999999999999" customHeight="1" x14ac:dyDescent="0.25">
      <c r="A1567" s="431">
        <v>35127</v>
      </c>
      <c r="B1567" s="432">
        <v>1040.7</v>
      </c>
      <c r="C1567" s="427">
        <f t="shared" si="48"/>
        <v>1996</v>
      </c>
      <c r="D1567" s="433">
        <f t="shared" si="49"/>
        <v>1040.7</v>
      </c>
    </row>
    <row r="1568" spans="1:4" ht="16.149999999999999" customHeight="1" x14ac:dyDescent="0.25">
      <c r="A1568" s="431">
        <v>35128</v>
      </c>
      <c r="B1568" s="434">
        <v>1040.7</v>
      </c>
      <c r="C1568" s="427">
        <f t="shared" si="48"/>
        <v>1996</v>
      </c>
      <c r="D1568" s="433">
        <f t="shared" si="49"/>
        <v>1040.7</v>
      </c>
    </row>
    <row r="1569" spans="1:4" ht="16.149999999999999" customHeight="1" x14ac:dyDescent="0.25">
      <c r="A1569" s="431">
        <v>35129</v>
      </c>
      <c r="B1569" s="432">
        <v>1041.28</v>
      </c>
      <c r="C1569" s="427">
        <f t="shared" si="48"/>
        <v>1996</v>
      </c>
      <c r="D1569" s="433">
        <f t="shared" si="49"/>
        <v>1041.28</v>
      </c>
    </row>
    <row r="1570" spans="1:4" ht="16.149999999999999" customHeight="1" x14ac:dyDescent="0.25">
      <c r="A1570" s="431">
        <v>35130</v>
      </c>
      <c r="B1570" s="434">
        <v>1041.83</v>
      </c>
      <c r="C1570" s="427">
        <f t="shared" si="48"/>
        <v>1996</v>
      </c>
      <c r="D1570" s="433">
        <f t="shared" si="49"/>
        <v>1041.83</v>
      </c>
    </row>
    <row r="1571" spans="1:4" ht="16.149999999999999" customHeight="1" x14ac:dyDescent="0.25">
      <c r="A1571" s="431">
        <v>35131</v>
      </c>
      <c r="B1571" s="432">
        <v>1042.03</v>
      </c>
      <c r="C1571" s="427">
        <f t="shared" si="48"/>
        <v>1996</v>
      </c>
      <c r="D1571" s="433">
        <f t="shared" si="49"/>
        <v>1042.03</v>
      </c>
    </row>
    <row r="1572" spans="1:4" ht="16.149999999999999" customHeight="1" x14ac:dyDescent="0.25">
      <c r="A1572" s="431">
        <v>35132</v>
      </c>
      <c r="B1572" s="434">
        <v>1042.6099999999999</v>
      </c>
      <c r="C1572" s="427">
        <f t="shared" si="48"/>
        <v>1996</v>
      </c>
      <c r="D1572" s="433">
        <f t="shared" si="49"/>
        <v>1042.6099999999999</v>
      </c>
    </row>
    <row r="1573" spans="1:4" ht="16.149999999999999" customHeight="1" x14ac:dyDescent="0.25">
      <c r="A1573" s="431">
        <v>35133</v>
      </c>
      <c r="B1573" s="432">
        <v>1042.42</v>
      </c>
      <c r="C1573" s="427">
        <f t="shared" si="48"/>
        <v>1996</v>
      </c>
      <c r="D1573" s="433">
        <f t="shared" si="49"/>
        <v>1042.42</v>
      </c>
    </row>
    <row r="1574" spans="1:4" ht="16.149999999999999" customHeight="1" x14ac:dyDescent="0.25">
      <c r="A1574" s="431">
        <v>35134</v>
      </c>
      <c r="B1574" s="434">
        <v>1042.42</v>
      </c>
      <c r="C1574" s="427">
        <f t="shared" si="48"/>
        <v>1996</v>
      </c>
      <c r="D1574" s="433">
        <f t="shared" si="49"/>
        <v>1042.42</v>
      </c>
    </row>
    <row r="1575" spans="1:4" ht="16.149999999999999" customHeight="1" x14ac:dyDescent="0.25">
      <c r="A1575" s="431">
        <v>35135</v>
      </c>
      <c r="B1575" s="432">
        <v>1042.42</v>
      </c>
      <c r="C1575" s="427">
        <f t="shared" si="48"/>
        <v>1996</v>
      </c>
      <c r="D1575" s="433">
        <f t="shared" si="49"/>
        <v>1042.42</v>
      </c>
    </row>
    <row r="1576" spans="1:4" ht="16.149999999999999" customHeight="1" x14ac:dyDescent="0.25">
      <c r="A1576" s="431">
        <v>35136</v>
      </c>
      <c r="B1576" s="434">
        <v>1043.5</v>
      </c>
      <c r="C1576" s="427">
        <f t="shared" si="48"/>
        <v>1996</v>
      </c>
      <c r="D1576" s="433">
        <f t="shared" si="49"/>
        <v>1043.5</v>
      </c>
    </row>
    <row r="1577" spans="1:4" ht="16.149999999999999" customHeight="1" x14ac:dyDescent="0.25">
      <c r="A1577" s="431">
        <v>35137</v>
      </c>
      <c r="B1577" s="432">
        <v>1044.07</v>
      </c>
      <c r="C1577" s="427">
        <f t="shared" si="48"/>
        <v>1996</v>
      </c>
      <c r="D1577" s="433">
        <f t="shared" si="49"/>
        <v>1044.07</v>
      </c>
    </row>
    <row r="1578" spans="1:4" ht="16.149999999999999" customHeight="1" x14ac:dyDescent="0.25">
      <c r="A1578" s="431">
        <v>35138</v>
      </c>
      <c r="B1578" s="434">
        <v>1044.99</v>
      </c>
      <c r="C1578" s="427">
        <f t="shared" si="48"/>
        <v>1996</v>
      </c>
      <c r="D1578" s="433">
        <f t="shared" si="49"/>
        <v>1044.99</v>
      </c>
    </row>
    <row r="1579" spans="1:4" ht="16.149999999999999" customHeight="1" x14ac:dyDescent="0.25">
      <c r="A1579" s="431">
        <v>35139</v>
      </c>
      <c r="B1579" s="432">
        <v>1045.44</v>
      </c>
      <c r="C1579" s="427">
        <f t="shared" si="48"/>
        <v>1996</v>
      </c>
      <c r="D1579" s="433">
        <f t="shared" si="49"/>
        <v>1045.44</v>
      </c>
    </row>
    <row r="1580" spans="1:4" ht="16.149999999999999" customHeight="1" x14ac:dyDescent="0.25">
      <c r="A1580" s="431">
        <v>35140</v>
      </c>
      <c r="B1580" s="434">
        <v>1046.0899999999999</v>
      </c>
      <c r="C1580" s="427">
        <f t="shared" si="48"/>
        <v>1996</v>
      </c>
      <c r="D1580" s="433">
        <f t="shared" si="49"/>
        <v>1046.0899999999999</v>
      </c>
    </row>
    <row r="1581" spans="1:4" ht="16.149999999999999" customHeight="1" x14ac:dyDescent="0.25">
      <c r="A1581" s="431">
        <v>35141</v>
      </c>
      <c r="B1581" s="432">
        <v>1046.0899999999999</v>
      </c>
      <c r="C1581" s="427">
        <f t="shared" si="48"/>
        <v>1996</v>
      </c>
      <c r="D1581" s="433">
        <f t="shared" si="49"/>
        <v>1046.0899999999999</v>
      </c>
    </row>
    <row r="1582" spans="1:4" ht="16.149999999999999" customHeight="1" x14ac:dyDescent="0.25">
      <c r="A1582" s="431">
        <v>35142</v>
      </c>
      <c r="B1582" s="434">
        <v>1046.0899999999999</v>
      </c>
      <c r="C1582" s="427">
        <f t="shared" si="48"/>
        <v>1996</v>
      </c>
      <c r="D1582" s="433">
        <f t="shared" si="49"/>
        <v>1046.0899999999999</v>
      </c>
    </row>
    <row r="1583" spans="1:4" ht="16.149999999999999" customHeight="1" x14ac:dyDescent="0.25">
      <c r="A1583" s="431">
        <v>35143</v>
      </c>
      <c r="B1583" s="432">
        <v>1046.76</v>
      </c>
      <c r="C1583" s="427">
        <f t="shared" si="48"/>
        <v>1996</v>
      </c>
      <c r="D1583" s="433">
        <f t="shared" si="49"/>
        <v>1046.76</v>
      </c>
    </row>
    <row r="1584" spans="1:4" ht="16.149999999999999" customHeight="1" x14ac:dyDescent="0.25">
      <c r="A1584" s="431">
        <v>35144</v>
      </c>
      <c r="B1584" s="434">
        <v>1047.24</v>
      </c>
      <c r="C1584" s="427">
        <f t="shared" si="48"/>
        <v>1996</v>
      </c>
      <c r="D1584" s="433">
        <f t="shared" si="49"/>
        <v>1047.24</v>
      </c>
    </row>
    <row r="1585" spans="1:4" ht="16.149999999999999" customHeight="1" x14ac:dyDescent="0.25">
      <c r="A1585" s="431">
        <v>35145</v>
      </c>
      <c r="B1585" s="432">
        <v>1047.6500000000001</v>
      </c>
      <c r="C1585" s="427">
        <f t="shared" si="48"/>
        <v>1996</v>
      </c>
      <c r="D1585" s="433">
        <f t="shared" si="49"/>
        <v>1047.6500000000001</v>
      </c>
    </row>
    <row r="1586" spans="1:4" ht="16.149999999999999" customHeight="1" x14ac:dyDescent="0.25">
      <c r="A1586" s="431">
        <v>35146</v>
      </c>
      <c r="B1586" s="434">
        <v>1048.4000000000001</v>
      </c>
      <c r="C1586" s="427">
        <f t="shared" si="48"/>
        <v>1996</v>
      </c>
      <c r="D1586" s="433">
        <f t="shared" si="49"/>
        <v>1048.4000000000001</v>
      </c>
    </row>
    <row r="1587" spans="1:4" ht="16.149999999999999" customHeight="1" x14ac:dyDescent="0.25">
      <c r="A1587" s="431">
        <v>35147</v>
      </c>
      <c r="B1587" s="432">
        <v>1048</v>
      </c>
      <c r="C1587" s="427">
        <f t="shared" si="48"/>
        <v>1996</v>
      </c>
      <c r="D1587" s="433">
        <f t="shared" si="49"/>
        <v>1048</v>
      </c>
    </row>
    <row r="1588" spans="1:4" ht="16.149999999999999" customHeight="1" x14ac:dyDescent="0.25">
      <c r="A1588" s="431">
        <v>35148</v>
      </c>
      <c r="B1588" s="434">
        <v>1048</v>
      </c>
      <c r="C1588" s="427">
        <f t="shared" si="48"/>
        <v>1996</v>
      </c>
      <c r="D1588" s="433">
        <f t="shared" si="49"/>
        <v>1048</v>
      </c>
    </row>
    <row r="1589" spans="1:4" ht="16.149999999999999" customHeight="1" x14ac:dyDescent="0.25">
      <c r="A1589" s="431">
        <v>35149</v>
      </c>
      <c r="B1589" s="432">
        <v>1048</v>
      </c>
      <c r="C1589" s="427">
        <f t="shared" si="48"/>
        <v>1996</v>
      </c>
      <c r="D1589" s="433">
        <f t="shared" si="49"/>
        <v>1048</v>
      </c>
    </row>
    <row r="1590" spans="1:4" ht="16.149999999999999" customHeight="1" x14ac:dyDescent="0.25">
      <c r="A1590" s="431">
        <v>35150</v>
      </c>
      <c r="B1590" s="434">
        <v>1048</v>
      </c>
      <c r="C1590" s="427">
        <f t="shared" si="48"/>
        <v>1996</v>
      </c>
      <c r="D1590" s="433">
        <f t="shared" si="49"/>
        <v>1048</v>
      </c>
    </row>
    <row r="1591" spans="1:4" ht="16.149999999999999" customHeight="1" x14ac:dyDescent="0.25">
      <c r="A1591" s="431">
        <v>35151</v>
      </c>
      <c r="B1591" s="432">
        <v>1049.08</v>
      </c>
      <c r="C1591" s="427">
        <f t="shared" si="48"/>
        <v>1996</v>
      </c>
      <c r="D1591" s="433">
        <f t="shared" si="49"/>
        <v>1049.08</v>
      </c>
    </row>
    <row r="1592" spans="1:4" ht="16.149999999999999" customHeight="1" x14ac:dyDescent="0.25">
      <c r="A1592" s="431">
        <v>35152</v>
      </c>
      <c r="B1592" s="434">
        <v>1049.22</v>
      </c>
      <c r="C1592" s="427">
        <f t="shared" si="48"/>
        <v>1996</v>
      </c>
      <c r="D1592" s="433">
        <f t="shared" si="49"/>
        <v>1049.22</v>
      </c>
    </row>
    <row r="1593" spans="1:4" ht="16.149999999999999" customHeight="1" x14ac:dyDescent="0.25">
      <c r="A1593" s="431">
        <v>35153</v>
      </c>
      <c r="B1593" s="432">
        <v>1048.42</v>
      </c>
      <c r="C1593" s="427">
        <f t="shared" si="48"/>
        <v>1996</v>
      </c>
      <c r="D1593" s="433">
        <f t="shared" si="49"/>
        <v>1048.42</v>
      </c>
    </row>
    <row r="1594" spans="1:4" ht="16.149999999999999" customHeight="1" x14ac:dyDescent="0.25">
      <c r="A1594" s="431">
        <v>35154</v>
      </c>
      <c r="B1594" s="434">
        <v>1046</v>
      </c>
      <c r="C1594" s="427">
        <f t="shared" si="48"/>
        <v>1996</v>
      </c>
      <c r="D1594" s="433">
        <f t="shared" si="49"/>
        <v>1046</v>
      </c>
    </row>
    <row r="1595" spans="1:4" ht="16.149999999999999" customHeight="1" x14ac:dyDescent="0.25">
      <c r="A1595" s="431">
        <v>35155</v>
      </c>
      <c r="B1595" s="432">
        <v>1046</v>
      </c>
      <c r="C1595" s="427">
        <f t="shared" si="48"/>
        <v>1996</v>
      </c>
      <c r="D1595" s="433">
        <f t="shared" si="49"/>
        <v>1046</v>
      </c>
    </row>
    <row r="1596" spans="1:4" ht="16.149999999999999" customHeight="1" x14ac:dyDescent="0.25">
      <c r="A1596" s="431">
        <v>35156</v>
      </c>
      <c r="B1596" s="434">
        <v>1046</v>
      </c>
      <c r="C1596" s="427">
        <f t="shared" si="48"/>
        <v>1996</v>
      </c>
      <c r="D1596" s="433">
        <f t="shared" si="49"/>
        <v>1046</v>
      </c>
    </row>
    <row r="1597" spans="1:4" ht="16.149999999999999" customHeight="1" x14ac:dyDescent="0.25">
      <c r="A1597" s="431">
        <v>35157</v>
      </c>
      <c r="B1597" s="432">
        <v>1042.2</v>
      </c>
      <c r="C1597" s="427">
        <f t="shared" si="48"/>
        <v>1996</v>
      </c>
      <c r="D1597" s="433">
        <f t="shared" si="49"/>
        <v>1042.2</v>
      </c>
    </row>
    <row r="1598" spans="1:4" ht="16.149999999999999" customHeight="1" x14ac:dyDescent="0.25">
      <c r="A1598" s="431">
        <v>35158</v>
      </c>
      <c r="B1598" s="434">
        <v>1045.23</v>
      </c>
      <c r="C1598" s="427">
        <f t="shared" si="48"/>
        <v>1996</v>
      </c>
      <c r="D1598" s="433">
        <f t="shared" si="49"/>
        <v>1045.23</v>
      </c>
    </row>
    <row r="1599" spans="1:4" ht="16.149999999999999" customHeight="1" x14ac:dyDescent="0.25">
      <c r="A1599" s="431">
        <v>35159</v>
      </c>
      <c r="B1599" s="432">
        <v>1046.92</v>
      </c>
      <c r="C1599" s="427">
        <f t="shared" si="48"/>
        <v>1996</v>
      </c>
      <c r="D1599" s="433">
        <f t="shared" si="49"/>
        <v>1046.92</v>
      </c>
    </row>
    <row r="1600" spans="1:4" ht="16.149999999999999" customHeight="1" x14ac:dyDescent="0.25">
      <c r="A1600" s="431">
        <v>35160</v>
      </c>
      <c r="B1600" s="434">
        <v>1046.92</v>
      </c>
      <c r="C1600" s="427">
        <f t="shared" si="48"/>
        <v>1996</v>
      </c>
      <c r="D1600" s="433">
        <f t="shared" si="49"/>
        <v>1046.92</v>
      </c>
    </row>
    <row r="1601" spans="1:4" ht="16.149999999999999" customHeight="1" x14ac:dyDescent="0.25">
      <c r="A1601" s="431">
        <v>35161</v>
      </c>
      <c r="B1601" s="432">
        <v>1046.92</v>
      </c>
      <c r="C1601" s="427">
        <f t="shared" si="48"/>
        <v>1996</v>
      </c>
      <c r="D1601" s="433">
        <f t="shared" si="49"/>
        <v>1046.92</v>
      </c>
    </row>
    <row r="1602" spans="1:4" ht="16.149999999999999" customHeight="1" x14ac:dyDescent="0.25">
      <c r="A1602" s="431">
        <v>35162</v>
      </c>
      <c r="B1602" s="434">
        <v>1046.92</v>
      </c>
      <c r="C1602" s="427">
        <f t="shared" si="48"/>
        <v>1996</v>
      </c>
      <c r="D1602" s="433">
        <f t="shared" si="49"/>
        <v>1046.92</v>
      </c>
    </row>
    <row r="1603" spans="1:4" ht="16.149999999999999" customHeight="1" x14ac:dyDescent="0.25">
      <c r="A1603" s="431">
        <v>35163</v>
      </c>
      <c r="B1603" s="432">
        <v>1046.92</v>
      </c>
      <c r="C1603" s="427">
        <f t="shared" si="48"/>
        <v>1996</v>
      </c>
      <c r="D1603" s="433">
        <f t="shared" si="49"/>
        <v>1046.92</v>
      </c>
    </row>
    <row r="1604" spans="1:4" ht="16.149999999999999" customHeight="1" x14ac:dyDescent="0.25">
      <c r="A1604" s="431">
        <v>35164</v>
      </c>
      <c r="B1604" s="434">
        <v>1050.1199999999999</v>
      </c>
      <c r="C1604" s="427">
        <f t="shared" si="48"/>
        <v>1996</v>
      </c>
      <c r="D1604" s="433">
        <f t="shared" si="49"/>
        <v>1050.1199999999999</v>
      </c>
    </row>
    <row r="1605" spans="1:4" ht="16.149999999999999" customHeight="1" x14ac:dyDescent="0.25">
      <c r="A1605" s="431">
        <v>35165</v>
      </c>
      <c r="B1605" s="432">
        <v>1047.3499999999999</v>
      </c>
      <c r="C1605" s="427">
        <f t="shared" si="48"/>
        <v>1996</v>
      </c>
      <c r="D1605" s="433">
        <f t="shared" si="49"/>
        <v>1047.3499999999999</v>
      </c>
    </row>
    <row r="1606" spans="1:4" ht="16.149999999999999" customHeight="1" x14ac:dyDescent="0.25">
      <c r="A1606" s="431">
        <v>35166</v>
      </c>
      <c r="B1606" s="434">
        <v>1046.55</v>
      </c>
      <c r="C1606" s="427">
        <f t="shared" si="48"/>
        <v>1996</v>
      </c>
      <c r="D1606" s="433">
        <f t="shared" si="49"/>
        <v>1046.55</v>
      </c>
    </row>
    <row r="1607" spans="1:4" ht="16.149999999999999" customHeight="1" x14ac:dyDescent="0.25">
      <c r="A1607" s="431">
        <v>35167</v>
      </c>
      <c r="B1607" s="432">
        <v>1047.48</v>
      </c>
      <c r="C1607" s="427">
        <f t="shared" si="48"/>
        <v>1996</v>
      </c>
      <c r="D1607" s="433">
        <f t="shared" si="49"/>
        <v>1047.48</v>
      </c>
    </row>
    <row r="1608" spans="1:4" ht="16.149999999999999" customHeight="1" x14ac:dyDescent="0.25">
      <c r="A1608" s="431">
        <v>35168</v>
      </c>
      <c r="B1608" s="434">
        <v>1048.8900000000001</v>
      </c>
      <c r="C1608" s="427">
        <f t="shared" si="48"/>
        <v>1996</v>
      </c>
      <c r="D1608" s="433">
        <f t="shared" si="49"/>
        <v>1048.8900000000001</v>
      </c>
    </row>
    <row r="1609" spans="1:4" ht="16.149999999999999" customHeight="1" x14ac:dyDescent="0.25">
      <c r="A1609" s="431">
        <v>35169</v>
      </c>
      <c r="B1609" s="432">
        <v>1048.8900000000001</v>
      </c>
      <c r="C1609" s="427">
        <f t="shared" si="48"/>
        <v>1996</v>
      </c>
      <c r="D1609" s="433">
        <f t="shared" si="49"/>
        <v>1048.8900000000001</v>
      </c>
    </row>
    <row r="1610" spans="1:4" ht="16.149999999999999" customHeight="1" x14ac:dyDescent="0.25">
      <c r="A1610" s="431">
        <v>35170</v>
      </c>
      <c r="B1610" s="434">
        <v>1048.8900000000001</v>
      </c>
      <c r="C1610" s="427">
        <f t="shared" ref="C1610:C1673" si="50">YEAR(A1610)</f>
        <v>1996</v>
      </c>
      <c r="D1610" s="433">
        <f t="shared" ref="D1610:D1673" si="51">B1610</f>
        <v>1048.8900000000001</v>
      </c>
    </row>
    <row r="1611" spans="1:4" ht="16.149999999999999" customHeight="1" x14ac:dyDescent="0.25">
      <c r="A1611" s="431">
        <v>35171</v>
      </c>
      <c r="B1611" s="432">
        <v>1050.73</v>
      </c>
      <c r="C1611" s="427">
        <f t="shared" si="50"/>
        <v>1996</v>
      </c>
      <c r="D1611" s="433">
        <f t="shared" si="51"/>
        <v>1050.73</v>
      </c>
    </row>
    <row r="1612" spans="1:4" ht="16.149999999999999" customHeight="1" x14ac:dyDescent="0.25">
      <c r="A1612" s="431">
        <v>35172</v>
      </c>
      <c r="B1612" s="434">
        <v>1054.4100000000001</v>
      </c>
      <c r="C1612" s="427">
        <f t="shared" si="50"/>
        <v>1996</v>
      </c>
      <c r="D1612" s="433">
        <f t="shared" si="51"/>
        <v>1054.4100000000001</v>
      </c>
    </row>
    <row r="1613" spans="1:4" ht="16.149999999999999" customHeight="1" x14ac:dyDescent="0.25">
      <c r="A1613" s="431">
        <v>35173</v>
      </c>
      <c r="B1613" s="432">
        <v>1054.03</v>
      </c>
      <c r="C1613" s="427">
        <f t="shared" si="50"/>
        <v>1996</v>
      </c>
      <c r="D1613" s="433">
        <f t="shared" si="51"/>
        <v>1054.03</v>
      </c>
    </row>
    <row r="1614" spans="1:4" ht="16.149999999999999" customHeight="1" x14ac:dyDescent="0.25">
      <c r="A1614" s="431">
        <v>35174</v>
      </c>
      <c r="B1614" s="434">
        <v>1052.9000000000001</v>
      </c>
      <c r="C1614" s="427">
        <f t="shared" si="50"/>
        <v>1996</v>
      </c>
      <c r="D1614" s="433">
        <f t="shared" si="51"/>
        <v>1052.9000000000001</v>
      </c>
    </row>
    <row r="1615" spans="1:4" ht="16.149999999999999" customHeight="1" x14ac:dyDescent="0.25">
      <c r="A1615" s="431">
        <v>35175</v>
      </c>
      <c r="B1615" s="432">
        <v>1053.5899999999999</v>
      </c>
      <c r="C1615" s="427">
        <f t="shared" si="50"/>
        <v>1996</v>
      </c>
      <c r="D1615" s="433">
        <f t="shared" si="51"/>
        <v>1053.5899999999999</v>
      </c>
    </row>
    <row r="1616" spans="1:4" ht="16.149999999999999" customHeight="1" x14ac:dyDescent="0.25">
      <c r="A1616" s="431">
        <v>35176</v>
      </c>
      <c r="B1616" s="434">
        <v>1053.5899999999999</v>
      </c>
      <c r="C1616" s="427">
        <f t="shared" si="50"/>
        <v>1996</v>
      </c>
      <c r="D1616" s="433">
        <f t="shared" si="51"/>
        <v>1053.5899999999999</v>
      </c>
    </row>
    <row r="1617" spans="1:4" ht="16.149999999999999" customHeight="1" x14ac:dyDescent="0.25">
      <c r="A1617" s="431">
        <v>35177</v>
      </c>
      <c r="B1617" s="432">
        <v>1053.5899999999999</v>
      </c>
      <c r="C1617" s="427">
        <f t="shared" si="50"/>
        <v>1996</v>
      </c>
      <c r="D1617" s="433">
        <f t="shared" si="51"/>
        <v>1053.5899999999999</v>
      </c>
    </row>
    <row r="1618" spans="1:4" ht="16.149999999999999" customHeight="1" x14ac:dyDescent="0.25">
      <c r="A1618" s="431">
        <v>35178</v>
      </c>
      <c r="B1618" s="434">
        <v>1054.43</v>
      </c>
      <c r="C1618" s="427">
        <f t="shared" si="50"/>
        <v>1996</v>
      </c>
      <c r="D1618" s="433">
        <f t="shared" si="51"/>
        <v>1054.43</v>
      </c>
    </row>
    <row r="1619" spans="1:4" ht="16.149999999999999" customHeight="1" x14ac:dyDescent="0.25">
      <c r="A1619" s="431">
        <v>35179</v>
      </c>
      <c r="B1619" s="432">
        <v>1055.31</v>
      </c>
      <c r="C1619" s="427">
        <f t="shared" si="50"/>
        <v>1996</v>
      </c>
      <c r="D1619" s="433">
        <f t="shared" si="51"/>
        <v>1055.31</v>
      </c>
    </row>
    <row r="1620" spans="1:4" ht="16.149999999999999" customHeight="1" x14ac:dyDescent="0.25">
      <c r="A1620" s="431">
        <v>35180</v>
      </c>
      <c r="B1620" s="434">
        <v>1054.53</v>
      </c>
      <c r="C1620" s="427">
        <f t="shared" si="50"/>
        <v>1996</v>
      </c>
      <c r="D1620" s="433">
        <f t="shared" si="51"/>
        <v>1054.53</v>
      </c>
    </row>
    <row r="1621" spans="1:4" ht="16.149999999999999" customHeight="1" x14ac:dyDescent="0.25">
      <c r="A1621" s="431">
        <v>35181</v>
      </c>
      <c r="B1621" s="432">
        <v>1054.29</v>
      </c>
      <c r="C1621" s="427">
        <f t="shared" si="50"/>
        <v>1996</v>
      </c>
      <c r="D1621" s="433">
        <f t="shared" si="51"/>
        <v>1054.29</v>
      </c>
    </row>
    <row r="1622" spans="1:4" ht="16.149999999999999" customHeight="1" x14ac:dyDescent="0.25">
      <c r="A1622" s="431">
        <v>35182</v>
      </c>
      <c r="B1622" s="434">
        <v>1054.8</v>
      </c>
      <c r="C1622" s="427">
        <f t="shared" si="50"/>
        <v>1996</v>
      </c>
      <c r="D1622" s="433">
        <f t="shared" si="51"/>
        <v>1054.8</v>
      </c>
    </row>
    <row r="1623" spans="1:4" ht="16.149999999999999" customHeight="1" x14ac:dyDescent="0.25">
      <c r="A1623" s="431">
        <v>35183</v>
      </c>
      <c r="B1623" s="432">
        <v>1054.8</v>
      </c>
      <c r="C1623" s="427">
        <f t="shared" si="50"/>
        <v>1996</v>
      </c>
      <c r="D1623" s="433">
        <f t="shared" si="51"/>
        <v>1054.8</v>
      </c>
    </row>
    <row r="1624" spans="1:4" ht="16.149999999999999" customHeight="1" x14ac:dyDescent="0.25">
      <c r="A1624" s="431">
        <v>35184</v>
      </c>
      <c r="B1624" s="434">
        <v>1054.8</v>
      </c>
      <c r="C1624" s="427">
        <f t="shared" si="50"/>
        <v>1996</v>
      </c>
      <c r="D1624" s="433">
        <f t="shared" si="51"/>
        <v>1054.8</v>
      </c>
    </row>
    <row r="1625" spans="1:4" ht="16.149999999999999" customHeight="1" x14ac:dyDescent="0.25">
      <c r="A1625" s="431">
        <v>35185</v>
      </c>
      <c r="B1625" s="432">
        <v>1058.9000000000001</v>
      </c>
      <c r="C1625" s="427">
        <f t="shared" si="50"/>
        <v>1996</v>
      </c>
      <c r="D1625" s="433">
        <f t="shared" si="51"/>
        <v>1058.9000000000001</v>
      </c>
    </row>
    <row r="1626" spans="1:4" ht="16.149999999999999" customHeight="1" x14ac:dyDescent="0.25">
      <c r="A1626" s="431">
        <v>35186</v>
      </c>
      <c r="B1626" s="434">
        <v>1061.55</v>
      </c>
      <c r="C1626" s="427">
        <f t="shared" si="50"/>
        <v>1996</v>
      </c>
      <c r="D1626" s="433">
        <f t="shared" si="51"/>
        <v>1061.55</v>
      </c>
    </row>
    <row r="1627" spans="1:4" ht="16.149999999999999" customHeight="1" x14ac:dyDescent="0.25">
      <c r="A1627" s="431">
        <v>35187</v>
      </c>
      <c r="B1627" s="432">
        <v>1061.55</v>
      </c>
      <c r="C1627" s="427">
        <f t="shared" si="50"/>
        <v>1996</v>
      </c>
      <c r="D1627" s="433">
        <f t="shared" si="51"/>
        <v>1061.55</v>
      </c>
    </row>
    <row r="1628" spans="1:4" ht="16.149999999999999" customHeight="1" x14ac:dyDescent="0.25">
      <c r="A1628" s="431">
        <v>35188</v>
      </c>
      <c r="B1628" s="434">
        <v>1062.56</v>
      </c>
      <c r="C1628" s="427">
        <f t="shared" si="50"/>
        <v>1996</v>
      </c>
      <c r="D1628" s="433">
        <f t="shared" si="51"/>
        <v>1062.56</v>
      </c>
    </row>
    <row r="1629" spans="1:4" ht="16.149999999999999" customHeight="1" x14ac:dyDescent="0.25">
      <c r="A1629" s="431">
        <v>35189</v>
      </c>
      <c r="B1629" s="432">
        <v>1062.4000000000001</v>
      </c>
      <c r="C1629" s="427">
        <f t="shared" si="50"/>
        <v>1996</v>
      </c>
      <c r="D1629" s="433">
        <f t="shared" si="51"/>
        <v>1062.4000000000001</v>
      </c>
    </row>
    <row r="1630" spans="1:4" ht="16.149999999999999" customHeight="1" x14ac:dyDescent="0.25">
      <c r="A1630" s="431">
        <v>35190</v>
      </c>
      <c r="B1630" s="434">
        <v>1062.4000000000001</v>
      </c>
      <c r="C1630" s="427">
        <f t="shared" si="50"/>
        <v>1996</v>
      </c>
      <c r="D1630" s="433">
        <f t="shared" si="51"/>
        <v>1062.4000000000001</v>
      </c>
    </row>
    <row r="1631" spans="1:4" ht="16.149999999999999" customHeight="1" x14ac:dyDescent="0.25">
      <c r="A1631" s="431">
        <v>35191</v>
      </c>
      <c r="B1631" s="432">
        <v>1062.4000000000001</v>
      </c>
      <c r="C1631" s="427">
        <f t="shared" si="50"/>
        <v>1996</v>
      </c>
      <c r="D1631" s="433">
        <f t="shared" si="51"/>
        <v>1062.4000000000001</v>
      </c>
    </row>
    <row r="1632" spans="1:4" ht="16.149999999999999" customHeight="1" x14ac:dyDescent="0.25">
      <c r="A1632" s="431">
        <v>35192</v>
      </c>
      <c r="B1632" s="434">
        <v>1063.4100000000001</v>
      </c>
      <c r="C1632" s="427">
        <f t="shared" si="50"/>
        <v>1996</v>
      </c>
      <c r="D1632" s="433">
        <f t="shared" si="51"/>
        <v>1063.4100000000001</v>
      </c>
    </row>
    <row r="1633" spans="1:4" ht="16.149999999999999" customHeight="1" x14ac:dyDescent="0.25">
      <c r="A1633" s="431">
        <v>35193</v>
      </c>
      <c r="B1633" s="432">
        <v>1063.53</v>
      </c>
      <c r="C1633" s="427">
        <f t="shared" si="50"/>
        <v>1996</v>
      </c>
      <c r="D1633" s="433">
        <f t="shared" si="51"/>
        <v>1063.53</v>
      </c>
    </row>
    <row r="1634" spans="1:4" ht="16.149999999999999" customHeight="1" x14ac:dyDescent="0.25">
      <c r="A1634" s="431">
        <v>35194</v>
      </c>
      <c r="B1634" s="434">
        <v>1061.6300000000001</v>
      </c>
      <c r="C1634" s="427">
        <f t="shared" si="50"/>
        <v>1996</v>
      </c>
      <c r="D1634" s="433">
        <f t="shared" si="51"/>
        <v>1061.6300000000001</v>
      </c>
    </row>
    <row r="1635" spans="1:4" ht="16.149999999999999" customHeight="1" x14ac:dyDescent="0.25">
      <c r="A1635" s="431">
        <v>35195</v>
      </c>
      <c r="B1635" s="432">
        <v>1061.0999999999999</v>
      </c>
      <c r="C1635" s="427">
        <f t="shared" si="50"/>
        <v>1996</v>
      </c>
      <c r="D1635" s="433">
        <f t="shared" si="51"/>
        <v>1061.0999999999999</v>
      </c>
    </row>
    <row r="1636" spans="1:4" ht="16.149999999999999" customHeight="1" x14ac:dyDescent="0.25">
      <c r="A1636" s="431">
        <v>35196</v>
      </c>
      <c r="B1636" s="434">
        <v>1062.08</v>
      </c>
      <c r="C1636" s="427">
        <f t="shared" si="50"/>
        <v>1996</v>
      </c>
      <c r="D1636" s="433">
        <f t="shared" si="51"/>
        <v>1062.08</v>
      </c>
    </row>
    <row r="1637" spans="1:4" ht="16.149999999999999" customHeight="1" x14ac:dyDescent="0.25">
      <c r="A1637" s="431">
        <v>35197</v>
      </c>
      <c r="B1637" s="432">
        <v>1062.08</v>
      </c>
      <c r="C1637" s="427">
        <f t="shared" si="50"/>
        <v>1996</v>
      </c>
      <c r="D1637" s="433">
        <f t="shared" si="51"/>
        <v>1062.08</v>
      </c>
    </row>
    <row r="1638" spans="1:4" ht="16.149999999999999" customHeight="1" x14ac:dyDescent="0.25">
      <c r="A1638" s="431">
        <v>35198</v>
      </c>
      <c r="B1638" s="434">
        <v>1062.08</v>
      </c>
      <c r="C1638" s="427">
        <f t="shared" si="50"/>
        <v>1996</v>
      </c>
      <c r="D1638" s="433">
        <f t="shared" si="51"/>
        <v>1062.08</v>
      </c>
    </row>
    <row r="1639" spans="1:4" ht="16.149999999999999" customHeight="1" x14ac:dyDescent="0.25">
      <c r="A1639" s="431">
        <v>35199</v>
      </c>
      <c r="B1639" s="432">
        <v>1065.78</v>
      </c>
      <c r="C1639" s="427">
        <f t="shared" si="50"/>
        <v>1996</v>
      </c>
      <c r="D1639" s="433">
        <f t="shared" si="51"/>
        <v>1065.78</v>
      </c>
    </row>
    <row r="1640" spans="1:4" ht="16.149999999999999" customHeight="1" x14ac:dyDescent="0.25">
      <c r="A1640" s="431">
        <v>35200</v>
      </c>
      <c r="B1640" s="434">
        <v>1066.24</v>
      </c>
      <c r="C1640" s="427">
        <f t="shared" si="50"/>
        <v>1996</v>
      </c>
      <c r="D1640" s="433">
        <f t="shared" si="51"/>
        <v>1066.24</v>
      </c>
    </row>
    <row r="1641" spans="1:4" ht="16.149999999999999" customHeight="1" x14ac:dyDescent="0.25">
      <c r="A1641" s="431">
        <v>35201</v>
      </c>
      <c r="B1641" s="432">
        <v>1066.6099999999999</v>
      </c>
      <c r="C1641" s="427">
        <f t="shared" si="50"/>
        <v>1996</v>
      </c>
      <c r="D1641" s="433">
        <f t="shared" si="51"/>
        <v>1066.6099999999999</v>
      </c>
    </row>
    <row r="1642" spans="1:4" ht="16.149999999999999" customHeight="1" x14ac:dyDescent="0.25">
      <c r="A1642" s="431">
        <v>35202</v>
      </c>
      <c r="B1642" s="434">
        <v>1065.8800000000001</v>
      </c>
      <c r="C1642" s="427">
        <f t="shared" si="50"/>
        <v>1996</v>
      </c>
      <c r="D1642" s="433">
        <f t="shared" si="51"/>
        <v>1065.8800000000001</v>
      </c>
    </row>
    <row r="1643" spans="1:4" ht="16.149999999999999" customHeight="1" x14ac:dyDescent="0.25">
      <c r="A1643" s="431">
        <v>35203</v>
      </c>
      <c r="B1643" s="432">
        <v>1066.47</v>
      </c>
      <c r="C1643" s="427">
        <f t="shared" si="50"/>
        <v>1996</v>
      </c>
      <c r="D1643" s="433">
        <f t="shared" si="51"/>
        <v>1066.47</v>
      </c>
    </row>
    <row r="1644" spans="1:4" ht="16.149999999999999" customHeight="1" x14ac:dyDescent="0.25">
      <c r="A1644" s="431">
        <v>35204</v>
      </c>
      <c r="B1644" s="434">
        <v>1066.47</v>
      </c>
      <c r="C1644" s="427">
        <f t="shared" si="50"/>
        <v>1996</v>
      </c>
      <c r="D1644" s="433">
        <f t="shared" si="51"/>
        <v>1066.47</v>
      </c>
    </row>
    <row r="1645" spans="1:4" ht="16.149999999999999" customHeight="1" x14ac:dyDescent="0.25">
      <c r="A1645" s="431">
        <v>35205</v>
      </c>
      <c r="B1645" s="432">
        <v>1066.47</v>
      </c>
      <c r="C1645" s="427">
        <f t="shared" si="50"/>
        <v>1996</v>
      </c>
      <c r="D1645" s="433">
        <f t="shared" si="51"/>
        <v>1066.47</v>
      </c>
    </row>
    <row r="1646" spans="1:4" ht="16.149999999999999" customHeight="1" x14ac:dyDescent="0.25">
      <c r="A1646" s="431">
        <v>35206</v>
      </c>
      <c r="B1646" s="434">
        <v>1066.47</v>
      </c>
      <c r="C1646" s="427">
        <f t="shared" si="50"/>
        <v>1996</v>
      </c>
      <c r="D1646" s="433">
        <f t="shared" si="51"/>
        <v>1066.47</v>
      </c>
    </row>
    <row r="1647" spans="1:4" ht="16.149999999999999" customHeight="1" x14ac:dyDescent="0.25">
      <c r="A1647" s="431">
        <v>35207</v>
      </c>
      <c r="B1647" s="432">
        <v>1068.18</v>
      </c>
      <c r="C1647" s="427">
        <f t="shared" si="50"/>
        <v>1996</v>
      </c>
      <c r="D1647" s="433">
        <f t="shared" si="51"/>
        <v>1068.18</v>
      </c>
    </row>
    <row r="1648" spans="1:4" ht="16.149999999999999" customHeight="1" x14ac:dyDescent="0.25">
      <c r="A1648" s="431">
        <v>35208</v>
      </c>
      <c r="B1648" s="434">
        <v>1068.9100000000001</v>
      </c>
      <c r="C1648" s="427">
        <f t="shared" si="50"/>
        <v>1996</v>
      </c>
      <c r="D1648" s="433">
        <f t="shared" si="51"/>
        <v>1068.9100000000001</v>
      </c>
    </row>
    <row r="1649" spans="1:4" ht="16.149999999999999" customHeight="1" x14ac:dyDescent="0.25">
      <c r="A1649" s="431">
        <v>35209</v>
      </c>
      <c r="B1649" s="432">
        <v>1069.47</v>
      </c>
      <c r="C1649" s="427">
        <f t="shared" si="50"/>
        <v>1996</v>
      </c>
      <c r="D1649" s="433">
        <f t="shared" si="51"/>
        <v>1069.47</v>
      </c>
    </row>
    <row r="1650" spans="1:4" ht="16.149999999999999" customHeight="1" x14ac:dyDescent="0.25">
      <c r="A1650" s="431">
        <v>35210</v>
      </c>
      <c r="B1650" s="434">
        <v>1068.94</v>
      </c>
      <c r="C1650" s="427">
        <f t="shared" si="50"/>
        <v>1996</v>
      </c>
      <c r="D1650" s="433">
        <f t="shared" si="51"/>
        <v>1068.94</v>
      </c>
    </row>
    <row r="1651" spans="1:4" ht="16.149999999999999" customHeight="1" x14ac:dyDescent="0.25">
      <c r="A1651" s="431">
        <v>35211</v>
      </c>
      <c r="B1651" s="432">
        <v>1068.94</v>
      </c>
      <c r="C1651" s="427">
        <f t="shared" si="50"/>
        <v>1996</v>
      </c>
      <c r="D1651" s="433">
        <f t="shared" si="51"/>
        <v>1068.94</v>
      </c>
    </row>
    <row r="1652" spans="1:4" ht="16.149999999999999" customHeight="1" x14ac:dyDescent="0.25">
      <c r="A1652" s="431">
        <v>35212</v>
      </c>
      <c r="B1652" s="434">
        <v>1068.94</v>
      </c>
      <c r="C1652" s="427">
        <f t="shared" si="50"/>
        <v>1996</v>
      </c>
      <c r="D1652" s="433">
        <f t="shared" si="51"/>
        <v>1068.94</v>
      </c>
    </row>
    <row r="1653" spans="1:4" ht="16.149999999999999" customHeight="1" x14ac:dyDescent="0.25">
      <c r="A1653" s="431">
        <v>35213</v>
      </c>
      <c r="B1653" s="432">
        <v>1069.8</v>
      </c>
      <c r="C1653" s="427">
        <f t="shared" si="50"/>
        <v>1996</v>
      </c>
      <c r="D1653" s="433">
        <f t="shared" si="51"/>
        <v>1069.8</v>
      </c>
    </row>
    <row r="1654" spans="1:4" ht="16.149999999999999" customHeight="1" x14ac:dyDescent="0.25">
      <c r="A1654" s="431">
        <v>35214</v>
      </c>
      <c r="B1654" s="434">
        <v>1071.19</v>
      </c>
      <c r="C1654" s="427">
        <f t="shared" si="50"/>
        <v>1996</v>
      </c>
      <c r="D1654" s="433">
        <f t="shared" si="51"/>
        <v>1071.19</v>
      </c>
    </row>
    <row r="1655" spans="1:4" ht="16.149999999999999" customHeight="1" x14ac:dyDescent="0.25">
      <c r="A1655" s="431">
        <v>35215</v>
      </c>
      <c r="B1655" s="432">
        <v>1072.24</v>
      </c>
      <c r="C1655" s="427">
        <f t="shared" si="50"/>
        <v>1996</v>
      </c>
      <c r="D1655" s="433">
        <f t="shared" si="51"/>
        <v>1072.24</v>
      </c>
    </row>
    <row r="1656" spans="1:4" ht="16.149999999999999" customHeight="1" x14ac:dyDescent="0.25">
      <c r="A1656" s="431">
        <v>35216</v>
      </c>
      <c r="B1656" s="434">
        <v>1073.06</v>
      </c>
      <c r="C1656" s="427">
        <f t="shared" si="50"/>
        <v>1996</v>
      </c>
      <c r="D1656" s="433">
        <f t="shared" si="51"/>
        <v>1073.06</v>
      </c>
    </row>
    <row r="1657" spans="1:4" ht="16.149999999999999" customHeight="1" x14ac:dyDescent="0.25">
      <c r="A1657" s="431">
        <v>35217</v>
      </c>
      <c r="B1657" s="432">
        <v>1072.5899999999999</v>
      </c>
      <c r="C1657" s="427">
        <f t="shared" si="50"/>
        <v>1996</v>
      </c>
      <c r="D1657" s="433">
        <f t="shared" si="51"/>
        <v>1072.5899999999999</v>
      </c>
    </row>
    <row r="1658" spans="1:4" ht="16.149999999999999" customHeight="1" x14ac:dyDescent="0.25">
      <c r="A1658" s="431">
        <v>35218</v>
      </c>
      <c r="B1658" s="434">
        <v>1072.5899999999999</v>
      </c>
      <c r="C1658" s="427">
        <f t="shared" si="50"/>
        <v>1996</v>
      </c>
      <c r="D1658" s="433">
        <f t="shared" si="51"/>
        <v>1072.5899999999999</v>
      </c>
    </row>
    <row r="1659" spans="1:4" ht="16.149999999999999" customHeight="1" x14ac:dyDescent="0.25">
      <c r="A1659" s="431">
        <v>35219</v>
      </c>
      <c r="B1659" s="432">
        <v>1072.5899999999999</v>
      </c>
      <c r="C1659" s="427">
        <f t="shared" si="50"/>
        <v>1996</v>
      </c>
      <c r="D1659" s="433">
        <f t="shared" si="51"/>
        <v>1072.5899999999999</v>
      </c>
    </row>
    <row r="1660" spans="1:4" ht="16.149999999999999" customHeight="1" x14ac:dyDescent="0.25">
      <c r="A1660" s="431">
        <v>35220</v>
      </c>
      <c r="B1660" s="434">
        <v>1074.7</v>
      </c>
      <c r="C1660" s="427">
        <f t="shared" si="50"/>
        <v>1996</v>
      </c>
      <c r="D1660" s="433">
        <f t="shared" si="51"/>
        <v>1074.7</v>
      </c>
    </row>
    <row r="1661" spans="1:4" ht="16.149999999999999" customHeight="1" x14ac:dyDescent="0.25">
      <c r="A1661" s="431">
        <v>35221</v>
      </c>
      <c r="B1661" s="432">
        <v>1074.72</v>
      </c>
      <c r="C1661" s="427">
        <f t="shared" si="50"/>
        <v>1996</v>
      </c>
      <c r="D1661" s="433">
        <f t="shared" si="51"/>
        <v>1074.72</v>
      </c>
    </row>
    <row r="1662" spans="1:4" ht="16.149999999999999" customHeight="1" x14ac:dyDescent="0.25">
      <c r="A1662" s="431">
        <v>35222</v>
      </c>
      <c r="B1662" s="434">
        <v>1074.27</v>
      </c>
      <c r="C1662" s="427">
        <f t="shared" si="50"/>
        <v>1996</v>
      </c>
      <c r="D1662" s="433">
        <f t="shared" si="51"/>
        <v>1074.27</v>
      </c>
    </row>
    <row r="1663" spans="1:4" ht="16.149999999999999" customHeight="1" x14ac:dyDescent="0.25">
      <c r="A1663" s="431">
        <v>35223</v>
      </c>
      <c r="B1663" s="432">
        <v>1072.95</v>
      </c>
      <c r="C1663" s="427">
        <f t="shared" si="50"/>
        <v>1996</v>
      </c>
      <c r="D1663" s="433">
        <f t="shared" si="51"/>
        <v>1072.95</v>
      </c>
    </row>
    <row r="1664" spans="1:4" ht="16.149999999999999" customHeight="1" x14ac:dyDescent="0.25">
      <c r="A1664" s="431">
        <v>35224</v>
      </c>
      <c r="B1664" s="434">
        <v>1073.06</v>
      </c>
      <c r="C1664" s="427">
        <f t="shared" si="50"/>
        <v>1996</v>
      </c>
      <c r="D1664" s="433">
        <f t="shared" si="51"/>
        <v>1073.06</v>
      </c>
    </row>
    <row r="1665" spans="1:4" ht="16.149999999999999" customHeight="1" x14ac:dyDescent="0.25">
      <c r="A1665" s="431">
        <v>35225</v>
      </c>
      <c r="B1665" s="432">
        <v>1073.06</v>
      </c>
      <c r="C1665" s="427">
        <f t="shared" si="50"/>
        <v>1996</v>
      </c>
      <c r="D1665" s="433">
        <f t="shared" si="51"/>
        <v>1073.06</v>
      </c>
    </row>
    <row r="1666" spans="1:4" ht="16.149999999999999" customHeight="1" x14ac:dyDescent="0.25">
      <c r="A1666" s="431">
        <v>35226</v>
      </c>
      <c r="B1666" s="434">
        <v>1073.06</v>
      </c>
      <c r="C1666" s="427">
        <f t="shared" si="50"/>
        <v>1996</v>
      </c>
      <c r="D1666" s="433">
        <f t="shared" si="51"/>
        <v>1073.06</v>
      </c>
    </row>
    <row r="1667" spans="1:4" ht="16.149999999999999" customHeight="1" x14ac:dyDescent="0.25">
      <c r="A1667" s="431">
        <v>35227</v>
      </c>
      <c r="B1667" s="432">
        <v>1073.06</v>
      </c>
      <c r="C1667" s="427">
        <f t="shared" si="50"/>
        <v>1996</v>
      </c>
      <c r="D1667" s="433">
        <f t="shared" si="51"/>
        <v>1073.06</v>
      </c>
    </row>
    <row r="1668" spans="1:4" ht="16.149999999999999" customHeight="1" x14ac:dyDescent="0.25">
      <c r="A1668" s="431">
        <v>35228</v>
      </c>
      <c r="B1668" s="434">
        <v>1073.6500000000001</v>
      </c>
      <c r="C1668" s="427">
        <f t="shared" si="50"/>
        <v>1996</v>
      </c>
      <c r="D1668" s="433">
        <f t="shared" si="51"/>
        <v>1073.6500000000001</v>
      </c>
    </row>
    <row r="1669" spans="1:4" ht="16.149999999999999" customHeight="1" x14ac:dyDescent="0.25">
      <c r="A1669" s="431">
        <v>35229</v>
      </c>
      <c r="B1669" s="432">
        <v>1070.8</v>
      </c>
      <c r="C1669" s="427">
        <f t="shared" si="50"/>
        <v>1996</v>
      </c>
      <c r="D1669" s="433">
        <f t="shared" si="51"/>
        <v>1070.8</v>
      </c>
    </row>
    <row r="1670" spans="1:4" ht="16.149999999999999" customHeight="1" x14ac:dyDescent="0.25">
      <c r="A1670" s="431">
        <v>35230</v>
      </c>
      <c r="B1670" s="434">
        <v>1072.3399999999999</v>
      </c>
      <c r="C1670" s="427">
        <f t="shared" si="50"/>
        <v>1996</v>
      </c>
      <c r="D1670" s="433">
        <f t="shared" si="51"/>
        <v>1072.3399999999999</v>
      </c>
    </row>
    <row r="1671" spans="1:4" ht="16.149999999999999" customHeight="1" x14ac:dyDescent="0.25">
      <c r="A1671" s="431">
        <v>35231</v>
      </c>
      <c r="B1671" s="432">
        <v>1071.3499999999999</v>
      </c>
      <c r="C1671" s="427">
        <f t="shared" si="50"/>
        <v>1996</v>
      </c>
      <c r="D1671" s="433">
        <f t="shared" si="51"/>
        <v>1071.3499999999999</v>
      </c>
    </row>
    <row r="1672" spans="1:4" ht="16.149999999999999" customHeight="1" x14ac:dyDescent="0.25">
      <c r="A1672" s="431">
        <v>35232</v>
      </c>
      <c r="B1672" s="434">
        <v>1071.3499999999999</v>
      </c>
      <c r="C1672" s="427">
        <f t="shared" si="50"/>
        <v>1996</v>
      </c>
      <c r="D1672" s="433">
        <f t="shared" si="51"/>
        <v>1071.3499999999999</v>
      </c>
    </row>
    <row r="1673" spans="1:4" ht="16.149999999999999" customHeight="1" x14ac:dyDescent="0.25">
      <c r="A1673" s="431">
        <v>35233</v>
      </c>
      <c r="B1673" s="432">
        <v>1071.3499999999999</v>
      </c>
      <c r="C1673" s="427">
        <f t="shared" si="50"/>
        <v>1996</v>
      </c>
      <c r="D1673" s="433">
        <f t="shared" si="51"/>
        <v>1071.3499999999999</v>
      </c>
    </row>
    <row r="1674" spans="1:4" ht="16.149999999999999" customHeight="1" x14ac:dyDescent="0.25">
      <c r="A1674" s="431">
        <v>35234</v>
      </c>
      <c r="B1674" s="434">
        <v>1071.3499999999999</v>
      </c>
      <c r="C1674" s="427">
        <f t="shared" ref="C1674:C1737" si="52">YEAR(A1674)</f>
        <v>1996</v>
      </c>
      <c r="D1674" s="433">
        <f t="shared" ref="D1674:D1737" si="53">B1674</f>
        <v>1071.3499999999999</v>
      </c>
    </row>
    <row r="1675" spans="1:4" ht="16.149999999999999" customHeight="1" x14ac:dyDescent="0.25">
      <c r="A1675" s="431">
        <v>35235</v>
      </c>
      <c r="B1675" s="432">
        <v>1072.74</v>
      </c>
      <c r="C1675" s="427">
        <f t="shared" si="52"/>
        <v>1996</v>
      </c>
      <c r="D1675" s="433">
        <f t="shared" si="53"/>
        <v>1072.74</v>
      </c>
    </row>
    <row r="1676" spans="1:4" ht="16.149999999999999" customHeight="1" x14ac:dyDescent="0.25">
      <c r="A1676" s="431">
        <v>35236</v>
      </c>
      <c r="B1676" s="434">
        <v>1070.94</v>
      </c>
      <c r="C1676" s="427">
        <f t="shared" si="52"/>
        <v>1996</v>
      </c>
      <c r="D1676" s="433">
        <f t="shared" si="53"/>
        <v>1070.94</v>
      </c>
    </row>
    <row r="1677" spans="1:4" ht="16.149999999999999" customHeight="1" x14ac:dyDescent="0.25">
      <c r="A1677" s="431">
        <v>35237</v>
      </c>
      <c r="B1677" s="432">
        <v>1070.8599999999999</v>
      </c>
      <c r="C1677" s="427">
        <f t="shared" si="52"/>
        <v>1996</v>
      </c>
      <c r="D1677" s="433">
        <f t="shared" si="53"/>
        <v>1070.8599999999999</v>
      </c>
    </row>
    <row r="1678" spans="1:4" ht="16.149999999999999" customHeight="1" x14ac:dyDescent="0.25">
      <c r="A1678" s="431">
        <v>35238</v>
      </c>
      <c r="B1678" s="434">
        <v>1068.2</v>
      </c>
      <c r="C1678" s="427">
        <f t="shared" si="52"/>
        <v>1996</v>
      </c>
      <c r="D1678" s="433">
        <f t="shared" si="53"/>
        <v>1068.2</v>
      </c>
    </row>
    <row r="1679" spans="1:4" ht="16.149999999999999" customHeight="1" x14ac:dyDescent="0.25">
      <c r="A1679" s="431">
        <v>35239</v>
      </c>
      <c r="B1679" s="432">
        <v>1068.2</v>
      </c>
      <c r="C1679" s="427">
        <f t="shared" si="52"/>
        <v>1996</v>
      </c>
      <c r="D1679" s="433">
        <f t="shared" si="53"/>
        <v>1068.2</v>
      </c>
    </row>
    <row r="1680" spans="1:4" ht="16.149999999999999" customHeight="1" x14ac:dyDescent="0.25">
      <c r="A1680" s="431">
        <v>35240</v>
      </c>
      <c r="B1680" s="434">
        <v>1068.2</v>
      </c>
      <c r="C1680" s="427">
        <f t="shared" si="52"/>
        <v>1996</v>
      </c>
      <c r="D1680" s="433">
        <f t="shared" si="53"/>
        <v>1068.2</v>
      </c>
    </row>
    <row r="1681" spans="1:4" ht="16.149999999999999" customHeight="1" x14ac:dyDescent="0.25">
      <c r="A1681" s="431">
        <v>35241</v>
      </c>
      <c r="B1681" s="432">
        <v>1070.25</v>
      </c>
      <c r="C1681" s="427">
        <f t="shared" si="52"/>
        <v>1996</v>
      </c>
      <c r="D1681" s="433">
        <f t="shared" si="53"/>
        <v>1070.25</v>
      </c>
    </row>
    <row r="1682" spans="1:4" ht="16.149999999999999" customHeight="1" x14ac:dyDescent="0.25">
      <c r="A1682" s="431">
        <v>35242</v>
      </c>
      <c r="B1682" s="434">
        <v>1069.81</v>
      </c>
      <c r="C1682" s="427">
        <f t="shared" si="52"/>
        <v>1996</v>
      </c>
      <c r="D1682" s="433">
        <f t="shared" si="53"/>
        <v>1069.81</v>
      </c>
    </row>
    <row r="1683" spans="1:4" ht="16.149999999999999" customHeight="1" x14ac:dyDescent="0.25">
      <c r="A1683" s="431">
        <v>35243</v>
      </c>
      <c r="B1683" s="432">
        <v>1072.3699999999999</v>
      </c>
      <c r="C1683" s="427">
        <f t="shared" si="52"/>
        <v>1996</v>
      </c>
      <c r="D1683" s="433">
        <f t="shared" si="53"/>
        <v>1072.3699999999999</v>
      </c>
    </row>
    <row r="1684" spans="1:4" ht="16.149999999999999" customHeight="1" x14ac:dyDescent="0.25">
      <c r="A1684" s="431">
        <v>35244</v>
      </c>
      <c r="B1684" s="434">
        <v>1069.73</v>
      </c>
      <c r="C1684" s="427">
        <f t="shared" si="52"/>
        <v>1996</v>
      </c>
      <c r="D1684" s="433">
        <f t="shared" si="53"/>
        <v>1069.73</v>
      </c>
    </row>
    <row r="1685" spans="1:4" ht="16.149999999999999" customHeight="1" x14ac:dyDescent="0.25">
      <c r="A1685" s="431">
        <v>35245</v>
      </c>
      <c r="B1685" s="432">
        <v>1069.1099999999999</v>
      </c>
      <c r="C1685" s="427">
        <f t="shared" si="52"/>
        <v>1996</v>
      </c>
      <c r="D1685" s="433">
        <f t="shared" si="53"/>
        <v>1069.1099999999999</v>
      </c>
    </row>
    <row r="1686" spans="1:4" ht="16.149999999999999" customHeight="1" x14ac:dyDescent="0.25">
      <c r="A1686" s="431">
        <v>35246</v>
      </c>
      <c r="B1686" s="434">
        <v>1069.1099999999999</v>
      </c>
      <c r="C1686" s="427">
        <f t="shared" si="52"/>
        <v>1996</v>
      </c>
      <c r="D1686" s="433">
        <f t="shared" si="53"/>
        <v>1069.1099999999999</v>
      </c>
    </row>
    <row r="1687" spans="1:4" ht="16.149999999999999" customHeight="1" x14ac:dyDescent="0.25">
      <c r="A1687" s="431">
        <v>35247</v>
      </c>
      <c r="B1687" s="432">
        <v>1069.1099999999999</v>
      </c>
      <c r="C1687" s="427">
        <f t="shared" si="52"/>
        <v>1996</v>
      </c>
      <c r="D1687" s="433">
        <f t="shared" si="53"/>
        <v>1069.1099999999999</v>
      </c>
    </row>
    <row r="1688" spans="1:4" ht="16.149999999999999" customHeight="1" x14ac:dyDescent="0.25">
      <c r="A1688" s="431">
        <v>35248</v>
      </c>
      <c r="B1688" s="434">
        <v>1069.1099999999999</v>
      </c>
      <c r="C1688" s="427">
        <f t="shared" si="52"/>
        <v>1996</v>
      </c>
      <c r="D1688" s="433">
        <f t="shared" si="53"/>
        <v>1069.1099999999999</v>
      </c>
    </row>
    <row r="1689" spans="1:4" ht="16.149999999999999" customHeight="1" x14ac:dyDescent="0.25">
      <c r="A1689" s="431">
        <v>35249</v>
      </c>
      <c r="B1689" s="432">
        <v>1070.55</v>
      </c>
      <c r="C1689" s="427">
        <f t="shared" si="52"/>
        <v>1996</v>
      </c>
      <c r="D1689" s="433">
        <f t="shared" si="53"/>
        <v>1070.55</v>
      </c>
    </row>
    <row r="1690" spans="1:4" ht="16.149999999999999" customHeight="1" x14ac:dyDescent="0.25">
      <c r="A1690" s="431">
        <v>35250</v>
      </c>
      <c r="B1690" s="434">
        <v>1068.1199999999999</v>
      </c>
      <c r="C1690" s="427">
        <f t="shared" si="52"/>
        <v>1996</v>
      </c>
      <c r="D1690" s="433">
        <f t="shared" si="53"/>
        <v>1068.1199999999999</v>
      </c>
    </row>
    <row r="1691" spans="1:4" ht="16.149999999999999" customHeight="1" x14ac:dyDescent="0.25">
      <c r="A1691" s="431">
        <v>35251</v>
      </c>
      <c r="B1691" s="432">
        <v>1068.3</v>
      </c>
      <c r="C1691" s="427">
        <f t="shared" si="52"/>
        <v>1996</v>
      </c>
      <c r="D1691" s="433">
        <f t="shared" si="53"/>
        <v>1068.3</v>
      </c>
    </row>
    <row r="1692" spans="1:4" ht="16.149999999999999" customHeight="1" x14ac:dyDescent="0.25">
      <c r="A1692" s="431">
        <v>35252</v>
      </c>
      <c r="B1692" s="434">
        <v>1067.3499999999999</v>
      </c>
      <c r="C1692" s="427">
        <f t="shared" si="52"/>
        <v>1996</v>
      </c>
      <c r="D1692" s="433">
        <f t="shared" si="53"/>
        <v>1067.3499999999999</v>
      </c>
    </row>
    <row r="1693" spans="1:4" ht="16.149999999999999" customHeight="1" x14ac:dyDescent="0.25">
      <c r="A1693" s="431">
        <v>35253</v>
      </c>
      <c r="B1693" s="432">
        <v>1067.3499999999999</v>
      </c>
      <c r="C1693" s="427">
        <f t="shared" si="52"/>
        <v>1996</v>
      </c>
      <c r="D1693" s="433">
        <f t="shared" si="53"/>
        <v>1067.3499999999999</v>
      </c>
    </row>
    <row r="1694" spans="1:4" ht="16.149999999999999" customHeight="1" x14ac:dyDescent="0.25">
      <c r="A1694" s="431">
        <v>35254</v>
      </c>
      <c r="B1694" s="434">
        <v>1067.3499999999999</v>
      </c>
      <c r="C1694" s="427">
        <f t="shared" si="52"/>
        <v>1996</v>
      </c>
      <c r="D1694" s="433">
        <f t="shared" si="53"/>
        <v>1067.3499999999999</v>
      </c>
    </row>
    <row r="1695" spans="1:4" ht="16.149999999999999" customHeight="1" x14ac:dyDescent="0.25">
      <c r="A1695" s="431">
        <v>35255</v>
      </c>
      <c r="B1695" s="432">
        <v>1068.17</v>
      </c>
      <c r="C1695" s="427">
        <f t="shared" si="52"/>
        <v>1996</v>
      </c>
      <c r="D1695" s="433">
        <f t="shared" si="53"/>
        <v>1068.17</v>
      </c>
    </row>
    <row r="1696" spans="1:4" ht="16.149999999999999" customHeight="1" x14ac:dyDescent="0.25">
      <c r="A1696" s="431">
        <v>35256</v>
      </c>
      <c r="B1696" s="434">
        <v>1067.97</v>
      </c>
      <c r="C1696" s="427">
        <f t="shared" si="52"/>
        <v>1996</v>
      </c>
      <c r="D1696" s="433">
        <f t="shared" si="53"/>
        <v>1067.97</v>
      </c>
    </row>
    <row r="1697" spans="1:4" ht="16.149999999999999" customHeight="1" x14ac:dyDescent="0.25">
      <c r="A1697" s="431">
        <v>35257</v>
      </c>
      <c r="B1697" s="432">
        <v>1065.6500000000001</v>
      </c>
      <c r="C1697" s="427">
        <f t="shared" si="52"/>
        <v>1996</v>
      </c>
      <c r="D1697" s="433">
        <f t="shared" si="53"/>
        <v>1065.6500000000001</v>
      </c>
    </row>
    <row r="1698" spans="1:4" ht="16.149999999999999" customHeight="1" x14ac:dyDescent="0.25">
      <c r="A1698" s="431">
        <v>35258</v>
      </c>
      <c r="B1698" s="434">
        <v>1061.79</v>
      </c>
      <c r="C1698" s="427">
        <f t="shared" si="52"/>
        <v>1996</v>
      </c>
      <c r="D1698" s="433">
        <f t="shared" si="53"/>
        <v>1061.79</v>
      </c>
    </row>
    <row r="1699" spans="1:4" ht="16.149999999999999" customHeight="1" x14ac:dyDescent="0.25">
      <c r="A1699" s="431">
        <v>35259</v>
      </c>
      <c r="B1699" s="432">
        <v>1061.99</v>
      </c>
      <c r="C1699" s="427">
        <f t="shared" si="52"/>
        <v>1996</v>
      </c>
      <c r="D1699" s="433">
        <f t="shared" si="53"/>
        <v>1061.99</v>
      </c>
    </row>
    <row r="1700" spans="1:4" ht="16.149999999999999" customHeight="1" x14ac:dyDescent="0.25">
      <c r="A1700" s="431">
        <v>35260</v>
      </c>
      <c r="B1700" s="434">
        <v>1061.99</v>
      </c>
      <c r="C1700" s="427">
        <f t="shared" si="52"/>
        <v>1996</v>
      </c>
      <c r="D1700" s="433">
        <f t="shared" si="53"/>
        <v>1061.99</v>
      </c>
    </row>
    <row r="1701" spans="1:4" ht="16.149999999999999" customHeight="1" x14ac:dyDescent="0.25">
      <c r="A1701" s="431">
        <v>35261</v>
      </c>
      <c r="B1701" s="432">
        <v>1061.99</v>
      </c>
      <c r="C1701" s="427">
        <f t="shared" si="52"/>
        <v>1996</v>
      </c>
      <c r="D1701" s="433">
        <f t="shared" si="53"/>
        <v>1061.99</v>
      </c>
    </row>
    <row r="1702" spans="1:4" ht="16.149999999999999" customHeight="1" x14ac:dyDescent="0.25">
      <c r="A1702" s="431">
        <v>35262</v>
      </c>
      <c r="B1702" s="434">
        <v>1065.58</v>
      </c>
      <c r="C1702" s="427">
        <f t="shared" si="52"/>
        <v>1996</v>
      </c>
      <c r="D1702" s="433">
        <f t="shared" si="53"/>
        <v>1065.58</v>
      </c>
    </row>
    <row r="1703" spans="1:4" ht="16.149999999999999" customHeight="1" x14ac:dyDescent="0.25">
      <c r="A1703" s="431">
        <v>35263</v>
      </c>
      <c r="B1703" s="432">
        <v>1064.82</v>
      </c>
      <c r="C1703" s="427">
        <f t="shared" si="52"/>
        <v>1996</v>
      </c>
      <c r="D1703" s="433">
        <f t="shared" si="53"/>
        <v>1064.82</v>
      </c>
    </row>
    <row r="1704" spans="1:4" ht="16.149999999999999" customHeight="1" x14ac:dyDescent="0.25">
      <c r="A1704" s="431">
        <v>35264</v>
      </c>
      <c r="B1704" s="434">
        <v>1062.8599999999999</v>
      </c>
      <c r="C1704" s="427">
        <f t="shared" si="52"/>
        <v>1996</v>
      </c>
      <c r="D1704" s="433">
        <f t="shared" si="53"/>
        <v>1062.8599999999999</v>
      </c>
    </row>
    <row r="1705" spans="1:4" ht="16.149999999999999" customHeight="1" x14ac:dyDescent="0.25">
      <c r="A1705" s="431">
        <v>35265</v>
      </c>
      <c r="B1705" s="432">
        <v>1058.92</v>
      </c>
      <c r="C1705" s="427">
        <f t="shared" si="52"/>
        <v>1996</v>
      </c>
      <c r="D1705" s="433">
        <f t="shared" si="53"/>
        <v>1058.92</v>
      </c>
    </row>
    <row r="1706" spans="1:4" ht="16.149999999999999" customHeight="1" x14ac:dyDescent="0.25">
      <c r="A1706" s="431">
        <v>35266</v>
      </c>
      <c r="B1706" s="434">
        <v>1061.02</v>
      </c>
      <c r="C1706" s="427">
        <f t="shared" si="52"/>
        <v>1996</v>
      </c>
      <c r="D1706" s="433">
        <f t="shared" si="53"/>
        <v>1061.02</v>
      </c>
    </row>
    <row r="1707" spans="1:4" ht="16.149999999999999" customHeight="1" x14ac:dyDescent="0.25">
      <c r="A1707" s="431">
        <v>35267</v>
      </c>
      <c r="B1707" s="432">
        <v>1061.02</v>
      </c>
      <c r="C1707" s="427">
        <f t="shared" si="52"/>
        <v>1996</v>
      </c>
      <c r="D1707" s="433">
        <f t="shared" si="53"/>
        <v>1061.02</v>
      </c>
    </row>
    <row r="1708" spans="1:4" ht="16.149999999999999" customHeight="1" x14ac:dyDescent="0.25">
      <c r="A1708" s="431">
        <v>35268</v>
      </c>
      <c r="B1708" s="434">
        <v>1061.02</v>
      </c>
      <c r="C1708" s="427">
        <f t="shared" si="52"/>
        <v>1996</v>
      </c>
      <c r="D1708" s="433">
        <f t="shared" si="53"/>
        <v>1061.02</v>
      </c>
    </row>
    <row r="1709" spans="1:4" ht="16.149999999999999" customHeight="1" x14ac:dyDescent="0.25">
      <c r="A1709" s="431">
        <v>35269</v>
      </c>
      <c r="B1709" s="432">
        <v>1063.53</v>
      </c>
      <c r="C1709" s="427">
        <f t="shared" si="52"/>
        <v>1996</v>
      </c>
      <c r="D1709" s="433">
        <f t="shared" si="53"/>
        <v>1063.53</v>
      </c>
    </row>
    <row r="1710" spans="1:4" ht="16.149999999999999" customHeight="1" x14ac:dyDescent="0.25">
      <c r="A1710" s="431">
        <v>35270</v>
      </c>
      <c r="B1710" s="434">
        <v>1064.56</v>
      </c>
      <c r="C1710" s="427">
        <f t="shared" si="52"/>
        <v>1996</v>
      </c>
      <c r="D1710" s="433">
        <f t="shared" si="53"/>
        <v>1064.56</v>
      </c>
    </row>
    <row r="1711" spans="1:4" ht="16.149999999999999" customHeight="1" x14ac:dyDescent="0.25">
      <c r="A1711" s="431">
        <v>35271</v>
      </c>
      <c r="B1711" s="432">
        <v>1061.46</v>
      </c>
      <c r="C1711" s="427">
        <f t="shared" si="52"/>
        <v>1996</v>
      </c>
      <c r="D1711" s="433">
        <f t="shared" si="53"/>
        <v>1061.46</v>
      </c>
    </row>
    <row r="1712" spans="1:4" ht="16.149999999999999" customHeight="1" x14ac:dyDescent="0.25">
      <c r="A1712" s="431">
        <v>35272</v>
      </c>
      <c r="B1712" s="434">
        <v>1061.03</v>
      </c>
      <c r="C1712" s="427">
        <f t="shared" si="52"/>
        <v>1996</v>
      </c>
      <c r="D1712" s="433">
        <f t="shared" si="53"/>
        <v>1061.03</v>
      </c>
    </row>
    <row r="1713" spans="1:4" ht="16.149999999999999" customHeight="1" x14ac:dyDescent="0.25">
      <c r="A1713" s="431">
        <v>35273</v>
      </c>
      <c r="B1713" s="432">
        <v>1061.48</v>
      </c>
      <c r="C1713" s="427">
        <f t="shared" si="52"/>
        <v>1996</v>
      </c>
      <c r="D1713" s="433">
        <f t="shared" si="53"/>
        <v>1061.48</v>
      </c>
    </row>
    <row r="1714" spans="1:4" ht="16.149999999999999" customHeight="1" x14ac:dyDescent="0.25">
      <c r="A1714" s="431">
        <v>35274</v>
      </c>
      <c r="B1714" s="434">
        <v>1061.48</v>
      </c>
      <c r="C1714" s="427">
        <f t="shared" si="52"/>
        <v>1996</v>
      </c>
      <c r="D1714" s="433">
        <f t="shared" si="53"/>
        <v>1061.48</v>
      </c>
    </row>
    <row r="1715" spans="1:4" ht="16.149999999999999" customHeight="1" x14ac:dyDescent="0.25">
      <c r="A1715" s="431">
        <v>35275</v>
      </c>
      <c r="B1715" s="432">
        <v>1061.48</v>
      </c>
      <c r="C1715" s="427">
        <f t="shared" si="52"/>
        <v>1996</v>
      </c>
      <c r="D1715" s="433">
        <f t="shared" si="53"/>
        <v>1061.48</v>
      </c>
    </row>
    <row r="1716" spans="1:4" ht="16.149999999999999" customHeight="1" x14ac:dyDescent="0.25">
      <c r="A1716" s="431">
        <v>35276</v>
      </c>
      <c r="B1716" s="434">
        <v>1059.18</v>
      </c>
      <c r="C1716" s="427">
        <f t="shared" si="52"/>
        <v>1996</v>
      </c>
      <c r="D1716" s="433">
        <f t="shared" si="53"/>
        <v>1059.18</v>
      </c>
    </row>
    <row r="1717" spans="1:4" ht="16.149999999999999" customHeight="1" x14ac:dyDescent="0.25">
      <c r="A1717" s="431">
        <v>35277</v>
      </c>
      <c r="B1717" s="432">
        <v>1056.74</v>
      </c>
      <c r="C1717" s="427">
        <f t="shared" si="52"/>
        <v>1996</v>
      </c>
      <c r="D1717" s="433">
        <f t="shared" si="53"/>
        <v>1056.74</v>
      </c>
    </row>
    <row r="1718" spans="1:4" ht="16.149999999999999" customHeight="1" x14ac:dyDescent="0.25">
      <c r="A1718" s="431">
        <v>35278</v>
      </c>
      <c r="B1718" s="434">
        <v>1057.47</v>
      </c>
      <c r="C1718" s="427">
        <f t="shared" si="52"/>
        <v>1996</v>
      </c>
      <c r="D1718" s="433">
        <f t="shared" si="53"/>
        <v>1057.47</v>
      </c>
    </row>
    <row r="1719" spans="1:4" ht="16.149999999999999" customHeight="1" x14ac:dyDescent="0.25">
      <c r="A1719" s="431">
        <v>35279</v>
      </c>
      <c r="B1719" s="432">
        <v>1054.8699999999999</v>
      </c>
      <c r="C1719" s="427">
        <f t="shared" si="52"/>
        <v>1996</v>
      </c>
      <c r="D1719" s="433">
        <f t="shared" si="53"/>
        <v>1054.8699999999999</v>
      </c>
    </row>
    <row r="1720" spans="1:4" ht="16.149999999999999" customHeight="1" x14ac:dyDescent="0.25">
      <c r="A1720" s="431">
        <v>35280</v>
      </c>
      <c r="B1720" s="434">
        <v>1054.0999999999999</v>
      </c>
      <c r="C1720" s="427">
        <f t="shared" si="52"/>
        <v>1996</v>
      </c>
      <c r="D1720" s="433">
        <f t="shared" si="53"/>
        <v>1054.0999999999999</v>
      </c>
    </row>
    <row r="1721" spans="1:4" ht="16.149999999999999" customHeight="1" x14ac:dyDescent="0.25">
      <c r="A1721" s="431">
        <v>35281</v>
      </c>
      <c r="B1721" s="432">
        <v>1054.0999999999999</v>
      </c>
      <c r="C1721" s="427">
        <f t="shared" si="52"/>
        <v>1996</v>
      </c>
      <c r="D1721" s="433">
        <f t="shared" si="53"/>
        <v>1054.0999999999999</v>
      </c>
    </row>
    <row r="1722" spans="1:4" ht="16.149999999999999" customHeight="1" x14ac:dyDescent="0.25">
      <c r="A1722" s="431">
        <v>35282</v>
      </c>
      <c r="B1722" s="434">
        <v>1054.0999999999999</v>
      </c>
      <c r="C1722" s="427">
        <f t="shared" si="52"/>
        <v>1996</v>
      </c>
      <c r="D1722" s="433">
        <f t="shared" si="53"/>
        <v>1054.0999999999999</v>
      </c>
    </row>
    <row r="1723" spans="1:4" ht="16.149999999999999" customHeight="1" x14ac:dyDescent="0.25">
      <c r="A1723" s="431">
        <v>35283</v>
      </c>
      <c r="B1723" s="432">
        <v>1051.6099999999999</v>
      </c>
      <c r="C1723" s="427">
        <f t="shared" si="52"/>
        <v>1996</v>
      </c>
      <c r="D1723" s="433">
        <f t="shared" si="53"/>
        <v>1051.6099999999999</v>
      </c>
    </row>
    <row r="1724" spans="1:4" ht="16.149999999999999" customHeight="1" x14ac:dyDescent="0.25">
      <c r="A1724" s="431">
        <v>35284</v>
      </c>
      <c r="B1724" s="434">
        <v>1049.3699999999999</v>
      </c>
      <c r="C1724" s="427">
        <f t="shared" si="52"/>
        <v>1996</v>
      </c>
      <c r="D1724" s="433">
        <f t="shared" si="53"/>
        <v>1049.3699999999999</v>
      </c>
    </row>
    <row r="1725" spans="1:4" ht="16.149999999999999" customHeight="1" x14ac:dyDescent="0.25">
      <c r="A1725" s="431">
        <v>35285</v>
      </c>
      <c r="B1725" s="432">
        <v>1049.3699999999999</v>
      </c>
      <c r="C1725" s="427">
        <f t="shared" si="52"/>
        <v>1996</v>
      </c>
      <c r="D1725" s="433">
        <f t="shared" si="53"/>
        <v>1049.3699999999999</v>
      </c>
    </row>
    <row r="1726" spans="1:4" ht="16.149999999999999" customHeight="1" x14ac:dyDescent="0.25">
      <c r="A1726" s="431">
        <v>35286</v>
      </c>
      <c r="B1726" s="434">
        <v>1044.9000000000001</v>
      </c>
      <c r="C1726" s="427">
        <f t="shared" si="52"/>
        <v>1996</v>
      </c>
      <c r="D1726" s="433">
        <f t="shared" si="53"/>
        <v>1044.9000000000001</v>
      </c>
    </row>
    <row r="1727" spans="1:4" ht="16.149999999999999" customHeight="1" x14ac:dyDescent="0.25">
      <c r="A1727" s="431">
        <v>35287</v>
      </c>
      <c r="B1727" s="432">
        <v>1040.68</v>
      </c>
      <c r="C1727" s="427">
        <f t="shared" si="52"/>
        <v>1996</v>
      </c>
      <c r="D1727" s="433">
        <f t="shared" si="53"/>
        <v>1040.68</v>
      </c>
    </row>
    <row r="1728" spans="1:4" ht="16.149999999999999" customHeight="1" x14ac:dyDescent="0.25">
      <c r="A1728" s="431">
        <v>35288</v>
      </c>
      <c r="B1728" s="434">
        <v>1040.68</v>
      </c>
      <c r="C1728" s="427">
        <f t="shared" si="52"/>
        <v>1996</v>
      </c>
      <c r="D1728" s="433">
        <f t="shared" si="53"/>
        <v>1040.68</v>
      </c>
    </row>
    <row r="1729" spans="1:4" ht="16.149999999999999" customHeight="1" x14ac:dyDescent="0.25">
      <c r="A1729" s="431">
        <v>35289</v>
      </c>
      <c r="B1729" s="432">
        <v>1040.68</v>
      </c>
      <c r="C1729" s="427">
        <f t="shared" si="52"/>
        <v>1996</v>
      </c>
      <c r="D1729" s="433">
        <f t="shared" si="53"/>
        <v>1040.68</v>
      </c>
    </row>
    <row r="1730" spans="1:4" ht="16.149999999999999" customHeight="1" x14ac:dyDescent="0.25">
      <c r="A1730" s="431">
        <v>35290</v>
      </c>
      <c r="B1730" s="434">
        <v>1035.79</v>
      </c>
      <c r="C1730" s="427">
        <f t="shared" si="52"/>
        <v>1996</v>
      </c>
      <c r="D1730" s="433">
        <f t="shared" si="53"/>
        <v>1035.79</v>
      </c>
    </row>
    <row r="1731" spans="1:4" ht="16.149999999999999" customHeight="1" x14ac:dyDescent="0.25">
      <c r="A1731" s="431">
        <v>35291</v>
      </c>
      <c r="B1731" s="432">
        <v>1029.46</v>
      </c>
      <c r="C1731" s="427">
        <f t="shared" si="52"/>
        <v>1996</v>
      </c>
      <c r="D1731" s="433">
        <f t="shared" si="53"/>
        <v>1029.46</v>
      </c>
    </row>
    <row r="1732" spans="1:4" ht="16.149999999999999" customHeight="1" x14ac:dyDescent="0.25">
      <c r="A1732" s="431">
        <v>35292</v>
      </c>
      <c r="B1732" s="434">
        <v>1041.76</v>
      </c>
      <c r="C1732" s="427">
        <f t="shared" si="52"/>
        <v>1996</v>
      </c>
      <c r="D1732" s="433">
        <f t="shared" si="53"/>
        <v>1041.76</v>
      </c>
    </row>
    <row r="1733" spans="1:4" ht="16.149999999999999" customHeight="1" x14ac:dyDescent="0.25">
      <c r="A1733" s="431">
        <v>35293</v>
      </c>
      <c r="B1733" s="432">
        <v>1051.82</v>
      </c>
      <c r="C1733" s="427">
        <f t="shared" si="52"/>
        <v>1996</v>
      </c>
      <c r="D1733" s="433">
        <f t="shared" si="53"/>
        <v>1051.82</v>
      </c>
    </row>
    <row r="1734" spans="1:4" ht="16.149999999999999" customHeight="1" x14ac:dyDescent="0.25">
      <c r="A1734" s="431">
        <v>35294</v>
      </c>
      <c r="B1734" s="434">
        <v>1047.9000000000001</v>
      </c>
      <c r="C1734" s="427">
        <f t="shared" si="52"/>
        <v>1996</v>
      </c>
      <c r="D1734" s="433">
        <f t="shared" si="53"/>
        <v>1047.9000000000001</v>
      </c>
    </row>
    <row r="1735" spans="1:4" ht="16.149999999999999" customHeight="1" x14ac:dyDescent="0.25">
      <c r="A1735" s="431">
        <v>35295</v>
      </c>
      <c r="B1735" s="432">
        <v>1047.9000000000001</v>
      </c>
      <c r="C1735" s="427">
        <f t="shared" si="52"/>
        <v>1996</v>
      </c>
      <c r="D1735" s="433">
        <f t="shared" si="53"/>
        <v>1047.9000000000001</v>
      </c>
    </row>
    <row r="1736" spans="1:4" ht="16.149999999999999" customHeight="1" x14ac:dyDescent="0.25">
      <c r="A1736" s="431">
        <v>35296</v>
      </c>
      <c r="B1736" s="434">
        <v>1047.9000000000001</v>
      </c>
      <c r="C1736" s="427">
        <f t="shared" si="52"/>
        <v>1996</v>
      </c>
      <c r="D1736" s="433">
        <f t="shared" si="53"/>
        <v>1047.9000000000001</v>
      </c>
    </row>
    <row r="1737" spans="1:4" ht="16.149999999999999" customHeight="1" x14ac:dyDescent="0.25">
      <c r="A1737" s="431">
        <v>35297</v>
      </c>
      <c r="B1737" s="432">
        <v>1047.9000000000001</v>
      </c>
      <c r="C1737" s="427">
        <f t="shared" si="52"/>
        <v>1996</v>
      </c>
      <c r="D1737" s="433">
        <f t="shared" si="53"/>
        <v>1047.9000000000001</v>
      </c>
    </row>
    <row r="1738" spans="1:4" ht="16.149999999999999" customHeight="1" x14ac:dyDescent="0.25">
      <c r="A1738" s="431">
        <v>35298</v>
      </c>
      <c r="B1738" s="434">
        <v>1044.54</v>
      </c>
      <c r="C1738" s="427">
        <f t="shared" ref="C1738:C1801" si="54">YEAR(A1738)</f>
        <v>1996</v>
      </c>
      <c r="D1738" s="433">
        <f t="shared" ref="D1738:D1801" si="55">B1738</f>
        <v>1044.54</v>
      </c>
    </row>
    <row r="1739" spans="1:4" ht="16.149999999999999" customHeight="1" x14ac:dyDescent="0.25">
      <c r="A1739" s="431">
        <v>35299</v>
      </c>
      <c r="B1739" s="432">
        <v>1037.43</v>
      </c>
      <c r="C1739" s="427">
        <f t="shared" si="54"/>
        <v>1996</v>
      </c>
      <c r="D1739" s="433">
        <f t="shared" si="55"/>
        <v>1037.43</v>
      </c>
    </row>
    <row r="1740" spans="1:4" ht="16.149999999999999" customHeight="1" x14ac:dyDescent="0.25">
      <c r="A1740" s="431">
        <v>35300</v>
      </c>
      <c r="B1740" s="434">
        <v>1040.1500000000001</v>
      </c>
      <c r="C1740" s="427">
        <f t="shared" si="54"/>
        <v>1996</v>
      </c>
      <c r="D1740" s="433">
        <f t="shared" si="55"/>
        <v>1040.1500000000001</v>
      </c>
    </row>
    <row r="1741" spans="1:4" ht="16.149999999999999" customHeight="1" x14ac:dyDescent="0.25">
      <c r="A1741" s="431">
        <v>35301</v>
      </c>
      <c r="B1741" s="432">
        <v>1037.0999999999999</v>
      </c>
      <c r="C1741" s="427">
        <f t="shared" si="54"/>
        <v>1996</v>
      </c>
      <c r="D1741" s="433">
        <f t="shared" si="55"/>
        <v>1037.0999999999999</v>
      </c>
    </row>
    <row r="1742" spans="1:4" ht="16.149999999999999" customHeight="1" x14ac:dyDescent="0.25">
      <c r="A1742" s="431">
        <v>35302</v>
      </c>
      <c r="B1742" s="434">
        <v>1037.0999999999999</v>
      </c>
      <c r="C1742" s="427">
        <f t="shared" si="54"/>
        <v>1996</v>
      </c>
      <c r="D1742" s="433">
        <f t="shared" si="55"/>
        <v>1037.0999999999999</v>
      </c>
    </row>
    <row r="1743" spans="1:4" ht="16.149999999999999" customHeight="1" x14ac:dyDescent="0.25">
      <c r="A1743" s="431">
        <v>35303</v>
      </c>
      <c r="B1743" s="432">
        <v>1037.0999999999999</v>
      </c>
      <c r="C1743" s="427">
        <f t="shared" si="54"/>
        <v>1996</v>
      </c>
      <c r="D1743" s="433">
        <f t="shared" si="55"/>
        <v>1037.0999999999999</v>
      </c>
    </row>
    <row r="1744" spans="1:4" ht="16.149999999999999" customHeight="1" x14ac:dyDescent="0.25">
      <c r="A1744" s="431">
        <v>35304</v>
      </c>
      <c r="B1744" s="434">
        <v>1041.6400000000001</v>
      </c>
      <c r="C1744" s="427">
        <f t="shared" si="54"/>
        <v>1996</v>
      </c>
      <c r="D1744" s="433">
        <f t="shared" si="55"/>
        <v>1041.6400000000001</v>
      </c>
    </row>
    <row r="1745" spans="1:4" ht="16.149999999999999" customHeight="1" x14ac:dyDescent="0.25">
      <c r="A1745" s="431">
        <v>35305</v>
      </c>
      <c r="B1745" s="432">
        <v>1044.54</v>
      </c>
      <c r="C1745" s="427">
        <f t="shared" si="54"/>
        <v>1996</v>
      </c>
      <c r="D1745" s="433">
        <f t="shared" si="55"/>
        <v>1044.54</v>
      </c>
    </row>
    <row r="1746" spans="1:4" ht="16.149999999999999" customHeight="1" x14ac:dyDescent="0.25">
      <c r="A1746" s="431">
        <v>35306</v>
      </c>
      <c r="B1746" s="434">
        <v>1046.7</v>
      </c>
      <c r="C1746" s="427">
        <f t="shared" si="54"/>
        <v>1996</v>
      </c>
      <c r="D1746" s="433">
        <f t="shared" si="55"/>
        <v>1046.7</v>
      </c>
    </row>
    <row r="1747" spans="1:4" ht="16.149999999999999" customHeight="1" x14ac:dyDescent="0.25">
      <c r="A1747" s="431">
        <v>35307</v>
      </c>
      <c r="B1747" s="432">
        <v>1045.02</v>
      </c>
      <c r="C1747" s="427">
        <f t="shared" si="54"/>
        <v>1996</v>
      </c>
      <c r="D1747" s="433">
        <f t="shared" si="55"/>
        <v>1045.02</v>
      </c>
    </row>
    <row r="1748" spans="1:4" ht="16.149999999999999" customHeight="1" x14ac:dyDescent="0.25">
      <c r="A1748" s="431">
        <v>35308</v>
      </c>
      <c r="B1748" s="434">
        <v>1042.32</v>
      </c>
      <c r="C1748" s="427">
        <f t="shared" si="54"/>
        <v>1996</v>
      </c>
      <c r="D1748" s="433">
        <f t="shared" si="55"/>
        <v>1042.32</v>
      </c>
    </row>
    <row r="1749" spans="1:4" ht="16.149999999999999" customHeight="1" x14ac:dyDescent="0.25">
      <c r="A1749" s="431">
        <v>35309</v>
      </c>
      <c r="B1749" s="432">
        <v>1042.32</v>
      </c>
      <c r="C1749" s="427">
        <f t="shared" si="54"/>
        <v>1996</v>
      </c>
      <c r="D1749" s="433">
        <f t="shared" si="55"/>
        <v>1042.32</v>
      </c>
    </row>
    <row r="1750" spans="1:4" ht="16.149999999999999" customHeight="1" x14ac:dyDescent="0.25">
      <c r="A1750" s="431">
        <v>35310</v>
      </c>
      <c r="B1750" s="434">
        <v>1042.32</v>
      </c>
      <c r="C1750" s="427">
        <f t="shared" si="54"/>
        <v>1996</v>
      </c>
      <c r="D1750" s="433">
        <f t="shared" si="55"/>
        <v>1042.32</v>
      </c>
    </row>
    <row r="1751" spans="1:4" ht="16.149999999999999" customHeight="1" x14ac:dyDescent="0.25">
      <c r="A1751" s="431">
        <v>35311</v>
      </c>
      <c r="B1751" s="432">
        <v>1044.3800000000001</v>
      </c>
      <c r="C1751" s="427">
        <f t="shared" si="54"/>
        <v>1996</v>
      </c>
      <c r="D1751" s="433">
        <f t="shared" si="55"/>
        <v>1044.3800000000001</v>
      </c>
    </row>
    <row r="1752" spans="1:4" ht="16.149999999999999" customHeight="1" x14ac:dyDescent="0.25">
      <c r="A1752" s="431">
        <v>35312</v>
      </c>
      <c r="B1752" s="434">
        <v>1045.27</v>
      </c>
      <c r="C1752" s="427">
        <f t="shared" si="54"/>
        <v>1996</v>
      </c>
      <c r="D1752" s="433">
        <f t="shared" si="55"/>
        <v>1045.27</v>
      </c>
    </row>
    <row r="1753" spans="1:4" ht="16.149999999999999" customHeight="1" x14ac:dyDescent="0.25">
      <c r="A1753" s="431">
        <v>35313</v>
      </c>
      <c r="B1753" s="432">
        <v>1044.0899999999999</v>
      </c>
      <c r="C1753" s="427">
        <f t="shared" si="54"/>
        <v>1996</v>
      </c>
      <c r="D1753" s="433">
        <f t="shared" si="55"/>
        <v>1044.0899999999999</v>
      </c>
    </row>
    <row r="1754" spans="1:4" ht="16.149999999999999" customHeight="1" x14ac:dyDescent="0.25">
      <c r="A1754" s="431">
        <v>35314</v>
      </c>
      <c r="B1754" s="434">
        <v>1043.93</v>
      </c>
      <c r="C1754" s="427">
        <f t="shared" si="54"/>
        <v>1996</v>
      </c>
      <c r="D1754" s="433">
        <f t="shared" si="55"/>
        <v>1043.93</v>
      </c>
    </row>
    <row r="1755" spans="1:4" ht="16.149999999999999" customHeight="1" x14ac:dyDescent="0.25">
      <c r="A1755" s="431">
        <v>35315</v>
      </c>
      <c r="B1755" s="432">
        <v>1045.8699999999999</v>
      </c>
      <c r="C1755" s="427">
        <f t="shared" si="54"/>
        <v>1996</v>
      </c>
      <c r="D1755" s="433">
        <f t="shared" si="55"/>
        <v>1045.8699999999999</v>
      </c>
    </row>
    <row r="1756" spans="1:4" ht="16.149999999999999" customHeight="1" x14ac:dyDescent="0.25">
      <c r="A1756" s="431">
        <v>35316</v>
      </c>
      <c r="B1756" s="434">
        <v>1045.8699999999999</v>
      </c>
      <c r="C1756" s="427">
        <f t="shared" si="54"/>
        <v>1996</v>
      </c>
      <c r="D1756" s="433">
        <f t="shared" si="55"/>
        <v>1045.8699999999999</v>
      </c>
    </row>
    <row r="1757" spans="1:4" ht="16.149999999999999" customHeight="1" x14ac:dyDescent="0.25">
      <c r="A1757" s="431">
        <v>35317</v>
      </c>
      <c r="B1757" s="432">
        <v>1045.8699999999999</v>
      </c>
      <c r="C1757" s="427">
        <f t="shared" si="54"/>
        <v>1996</v>
      </c>
      <c r="D1757" s="433">
        <f t="shared" si="55"/>
        <v>1045.8699999999999</v>
      </c>
    </row>
    <row r="1758" spans="1:4" ht="16.149999999999999" customHeight="1" x14ac:dyDescent="0.25">
      <c r="A1758" s="431">
        <v>35318</v>
      </c>
      <c r="B1758" s="434">
        <v>1047.95</v>
      </c>
      <c r="C1758" s="427">
        <f t="shared" si="54"/>
        <v>1996</v>
      </c>
      <c r="D1758" s="433">
        <f t="shared" si="55"/>
        <v>1047.95</v>
      </c>
    </row>
    <row r="1759" spans="1:4" ht="16.149999999999999" customHeight="1" x14ac:dyDescent="0.25">
      <c r="A1759" s="431">
        <v>35319</v>
      </c>
      <c r="B1759" s="432">
        <v>1051.6400000000001</v>
      </c>
      <c r="C1759" s="427">
        <f t="shared" si="54"/>
        <v>1996</v>
      </c>
      <c r="D1759" s="433">
        <f t="shared" si="55"/>
        <v>1051.6400000000001</v>
      </c>
    </row>
    <row r="1760" spans="1:4" ht="16.149999999999999" customHeight="1" x14ac:dyDescent="0.25">
      <c r="A1760" s="431">
        <v>35320</v>
      </c>
      <c r="B1760" s="434">
        <v>1047.26</v>
      </c>
      <c r="C1760" s="427">
        <f t="shared" si="54"/>
        <v>1996</v>
      </c>
      <c r="D1760" s="433">
        <f t="shared" si="55"/>
        <v>1047.26</v>
      </c>
    </row>
    <row r="1761" spans="1:4" ht="16.149999999999999" customHeight="1" x14ac:dyDescent="0.25">
      <c r="A1761" s="431">
        <v>35321</v>
      </c>
      <c r="B1761" s="432">
        <v>1047.6600000000001</v>
      </c>
      <c r="C1761" s="427">
        <f t="shared" si="54"/>
        <v>1996</v>
      </c>
      <c r="D1761" s="433">
        <f t="shared" si="55"/>
        <v>1047.6600000000001</v>
      </c>
    </row>
    <row r="1762" spans="1:4" ht="16.149999999999999" customHeight="1" x14ac:dyDescent="0.25">
      <c r="A1762" s="431">
        <v>35322</v>
      </c>
      <c r="B1762" s="434">
        <v>1043.8900000000001</v>
      </c>
      <c r="C1762" s="427">
        <f t="shared" si="54"/>
        <v>1996</v>
      </c>
      <c r="D1762" s="433">
        <f t="shared" si="55"/>
        <v>1043.8900000000001</v>
      </c>
    </row>
    <row r="1763" spans="1:4" ht="16.149999999999999" customHeight="1" x14ac:dyDescent="0.25">
      <c r="A1763" s="431">
        <v>35323</v>
      </c>
      <c r="B1763" s="432">
        <v>1043.8900000000001</v>
      </c>
      <c r="C1763" s="427">
        <f t="shared" si="54"/>
        <v>1996</v>
      </c>
      <c r="D1763" s="433">
        <f t="shared" si="55"/>
        <v>1043.8900000000001</v>
      </c>
    </row>
    <row r="1764" spans="1:4" ht="16.149999999999999" customHeight="1" x14ac:dyDescent="0.25">
      <c r="A1764" s="431">
        <v>35324</v>
      </c>
      <c r="B1764" s="434">
        <v>1043.8900000000001</v>
      </c>
      <c r="C1764" s="427">
        <f t="shared" si="54"/>
        <v>1996</v>
      </c>
      <c r="D1764" s="433">
        <f t="shared" si="55"/>
        <v>1043.8900000000001</v>
      </c>
    </row>
    <row r="1765" spans="1:4" ht="16.149999999999999" customHeight="1" x14ac:dyDescent="0.25">
      <c r="A1765" s="431">
        <v>35325</v>
      </c>
      <c r="B1765" s="432">
        <v>1042.8</v>
      </c>
      <c r="C1765" s="427">
        <f t="shared" si="54"/>
        <v>1996</v>
      </c>
      <c r="D1765" s="433">
        <f t="shared" si="55"/>
        <v>1042.8</v>
      </c>
    </row>
    <row r="1766" spans="1:4" ht="16.149999999999999" customHeight="1" x14ac:dyDescent="0.25">
      <c r="A1766" s="431">
        <v>35326</v>
      </c>
      <c r="B1766" s="434">
        <v>1038.9000000000001</v>
      </c>
      <c r="C1766" s="427">
        <f t="shared" si="54"/>
        <v>1996</v>
      </c>
      <c r="D1766" s="433">
        <f t="shared" si="55"/>
        <v>1038.9000000000001</v>
      </c>
    </row>
    <row r="1767" spans="1:4" ht="16.149999999999999" customHeight="1" x14ac:dyDescent="0.25">
      <c r="A1767" s="431">
        <v>35327</v>
      </c>
      <c r="B1767" s="432">
        <v>1035.94</v>
      </c>
      <c r="C1767" s="427">
        <f t="shared" si="54"/>
        <v>1996</v>
      </c>
      <c r="D1767" s="433">
        <f t="shared" si="55"/>
        <v>1035.94</v>
      </c>
    </row>
    <row r="1768" spans="1:4" ht="16.149999999999999" customHeight="1" x14ac:dyDescent="0.25">
      <c r="A1768" s="431">
        <v>35328</v>
      </c>
      <c r="B1768" s="434">
        <v>1037.0999999999999</v>
      </c>
      <c r="C1768" s="427">
        <f t="shared" si="54"/>
        <v>1996</v>
      </c>
      <c r="D1768" s="433">
        <f t="shared" si="55"/>
        <v>1037.0999999999999</v>
      </c>
    </row>
    <row r="1769" spans="1:4" ht="16.149999999999999" customHeight="1" x14ac:dyDescent="0.25">
      <c r="A1769" s="431">
        <v>35329</v>
      </c>
      <c r="B1769" s="432">
        <v>1037.1099999999999</v>
      </c>
      <c r="C1769" s="427">
        <f t="shared" si="54"/>
        <v>1996</v>
      </c>
      <c r="D1769" s="433">
        <f t="shared" si="55"/>
        <v>1037.1099999999999</v>
      </c>
    </row>
    <row r="1770" spans="1:4" ht="16.149999999999999" customHeight="1" x14ac:dyDescent="0.25">
      <c r="A1770" s="431">
        <v>35330</v>
      </c>
      <c r="B1770" s="434">
        <v>1037.1099999999999</v>
      </c>
      <c r="C1770" s="427">
        <f t="shared" si="54"/>
        <v>1996</v>
      </c>
      <c r="D1770" s="433">
        <f t="shared" si="55"/>
        <v>1037.1099999999999</v>
      </c>
    </row>
    <row r="1771" spans="1:4" ht="16.149999999999999" customHeight="1" x14ac:dyDescent="0.25">
      <c r="A1771" s="431">
        <v>35331</v>
      </c>
      <c r="B1771" s="432">
        <v>1037.1099999999999</v>
      </c>
      <c r="C1771" s="427">
        <f t="shared" si="54"/>
        <v>1996</v>
      </c>
      <c r="D1771" s="433">
        <f t="shared" si="55"/>
        <v>1037.1099999999999</v>
      </c>
    </row>
    <row r="1772" spans="1:4" ht="16.149999999999999" customHeight="1" x14ac:dyDescent="0.25">
      <c r="A1772" s="431">
        <v>35332</v>
      </c>
      <c r="B1772" s="434">
        <v>1038.0899999999999</v>
      </c>
      <c r="C1772" s="427">
        <f t="shared" si="54"/>
        <v>1996</v>
      </c>
      <c r="D1772" s="433">
        <f t="shared" si="55"/>
        <v>1038.0899999999999</v>
      </c>
    </row>
    <row r="1773" spans="1:4" ht="16.149999999999999" customHeight="1" x14ac:dyDescent="0.25">
      <c r="A1773" s="431">
        <v>35333</v>
      </c>
      <c r="B1773" s="432">
        <v>1040.3599999999999</v>
      </c>
      <c r="C1773" s="427">
        <f t="shared" si="54"/>
        <v>1996</v>
      </c>
      <c r="D1773" s="433">
        <f t="shared" si="55"/>
        <v>1040.3599999999999</v>
      </c>
    </row>
    <row r="1774" spans="1:4" ht="16.149999999999999" customHeight="1" x14ac:dyDescent="0.25">
      <c r="A1774" s="431">
        <v>35334</v>
      </c>
      <c r="B1774" s="434">
        <v>1030.25</v>
      </c>
      <c r="C1774" s="427">
        <f t="shared" si="54"/>
        <v>1996</v>
      </c>
      <c r="D1774" s="433">
        <f t="shared" si="55"/>
        <v>1030.25</v>
      </c>
    </row>
    <row r="1775" spans="1:4" ht="16.149999999999999" customHeight="1" x14ac:dyDescent="0.25">
      <c r="A1775" s="431">
        <v>35335</v>
      </c>
      <c r="B1775" s="432">
        <v>1027.68</v>
      </c>
      <c r="C1775" s="427">
        <f t="shared" si="54"/>
        <v>1996</v>
      </c>
      <c r="D1775" s="433">
        <f t="shared" si="55"/>
        <v>1027.68</v>
      </c>
    </row>
    <row r="1776" spans="1:4" ht="16.149999999999999" customHeight="1" x14ac:dyDescent="0.25">
      <c r="A1776" s="431">
        <v>35336</v>
      </c>
      <c r="B1776" s="434">
        <v>1025.06</v>
      </c>
      <c r="C1776" s="427">
        <f t="shared" si="54"/>
        <v>1996</v>
      </c>
      <c r="D1776" s="433">
        <f t="shared" si="55"/>
        <v>1025.06</v>
      </c>
    </row>
    <row r="1777" spans="1:4" ht="16.149999999999999" customHeight="1" x14ac:dyDescent="0.25">
      <c r="A1777" s="431">
        <v>35337</v>
      </c>
      <c r="B1777" s="432">
        <v>1025.06</v>
      </c>
      <c r="C1777" s="427">
        <f t="shared" si="54"/>
        <v>1996</v>
      </c>
      <c r="D1777" s="433">
        <f t="shared" si="55"/>
        <v>1025.06</v>
      </c>
    </row>
    <row r="1778" spans="1:4" ht="16.149999999999999" customHeight="1" x14ac:dyDescent="0.25">
      <c r="A1778" s="431">
        <v>35338</v>
      </c>
      <c r="B1778" s="434">
        <v>1025.06</v>
      </c>
      <c r="C1778" s="427">
        <f t="shared" si="54"/>
        <v>1996</v>
      </c>
      <c r="D1778" s="433">
        <f t="shared" si="55"/>
        <v>1025.06</v>
      </c>
    </row>
    <row r="1779" spans="1:4" ht="16.149999999999999" customHeight="1" x14ac:dyDescent="0.25">
      <c r="A1779" s="431">
        <v>35339</v>
      </c>
      <c r="B1779" s="432">
        <v>1027.08</v>
      </c>
      <c r="C1779" s="427">
        <f t="shared" si="54"/>
        <v>1996</v>
      </c>
      <c r="D1779" s="433">
        <f t="shared" si="55"/>
        <v>1027.08</v>
      </c>
    </row>
    <row r="1780" spans="1:4" ht="16.149999999999999" customHeight="1" x14ac:dyDescent="0.25">
      <c r="A1780" s="431">
        <v>35340</v>
      </c>
      <c r="B1780" s="434">
        <v>1030.54</v>
      </c>
      <c r="C1780" s="427">
        <f t="shared" si="54"/>
        <v>1996</v>
      </c>
      <c r="D1780" s="433">
        <f t="shared" si="55"/>
        <v>1030.54</v>
      </c>
    </row>
    <row r="1781" spans="1:4" ht="16.149999999999999" customHeight="1" x14ac:dyDescent="0.25">
      <c r="A1781" s="431">
        <v>35341</v>
      </c>
      <c r="B1781" s="432">
        <v>1019.17</v>
      </c>
      <c r="C1781" s="427">
        <f t="shared" si="54"/>
        <v>1996</v>
      </c>
      <c r="D1781" s="433">
        <f t="shared" si="55"/>
        <v>1019.17</v>
      </c>
    </row>
    <row r="1782" spans="1:4" ht="16.149999999999999" customHeight="1" x14ac:dyDescent="0.25">
      <c r="A1782" s="431">
        <v>35342</v>
      </c>
      <c r="B1782" s="434">
        <v>1015.24</v>
      </c>
      <c r="C1782" s="427">
        <f t="shared" si="54"/>
        <v>1996</v>
      </c>
      <c r="D1782" s="433">
        <f t="shared" si="55"/>
        <v>1015.24</v>
      </c>
    </row>
    <row r="1783" spans="1:4" ht="16.149999999999999" customHeight="1" x14ac:dyDescent="0.25">
      <c r="A1783" s="431">
        <v>35343</v>
      </c>
      <c r="B1783" s="432">
        <v>1014.99</v>
      </c>
      <c r="C1783" s="427">
        <f t="shared" si="54"/>
        <v>1996</v>
      </c>
      <c r="D1783" s="433">
        <f t="shared" si="55"/>
        <v>1014.99</v>
      </c>
    </row>
    <row r="1784" spans="1:4" ht="16.149999999999999" customHeight="1" x14ac:dyDescent="0.25">
      <c r="A1784" s="431">
        <v>35344</v>
      </c>
      <c r="B1784" s="434">
        <v>1014.99</v>
      </c>
      <c r="C1784" s="427">
        <f t="shared" si="54"/>
        <v>1996</v>
      </c>
      <c r="D1784" s="433">
        <f t="shared" si="55"/>
        <v>1014.99</v>
      </c>
    </row>
    <row r="1785" spans="1:4" ht="16.149999999999999" customHeight="1" x14ac:dyDescent="0.25">
      <c r="A1785" s="431">
        <v>35345</v>
      </c>
      <c r="B1785" s="432">
        <v>1014.99</v>
      </c>
      <c r="C1785" s="427">
        <f t="shared" si="54"/>
        <v>1996</v>
      </c>
      <c r="D1785" s="433">
        <f t="shared" si="55"/>
        <v>1014.99</v>
      </c>
    </row>
    <row r="1786" spans="1:4" ht="16.149999999999999" customHeight="1" x14ac:dyDescent="0.25">
      <c r="A1786" s="431">
        <v>35346</v>
      </c>
      <c r="B1786" s="434">
        <v>1012.56</v>
      </c>
      <c r="C1786" s="427">
        <f t="shared" si="54"/>
        <v>1996</v>
      </c>
      <c r="D1786" s="433">
        <f t="shared" si="55"/>
        <v>1012.56</v>
      </c>
    </row>
    <row r="1787" spans="1:4" ht="16.149999999999999" customHeight="1" x14ac:dyDescent="0.25">
      <c r="A1787" s="431">
        <v>35347</v>
      </c>
      <c r="B1787" s="432">
        <v>1010.32</v>
      </c>
      <c r="C1787" s="427">
        <f t="shared" si="54"/>
        <v>1996</v>
      </c>
      <c r="D1787" s="433">
        <f t="shared" si="55"/>
        <v>1010.32</v>
      </c>
    </row>
    <row r="1788" spans="1:4" ht="16.149999999999999" customHeight="1" x14ac:dyDescent="0.25">
      <c r="A1788" s="431">
        <v>35348</v>
      </c>
      <c r="B1788" s="434">
        <v>1012.27</v>
      </c>
      <c r="C1788" s="427">
        <f t="shared" si="54"/>
        <v>1996</v>
      </c>
      <c r="D1788" s="433">
        <f t="shared" si="55"/>
        <v>1012.27</v>
      </c>
    </row>
    <row r="1789" spans="1:4" ht="16.149999999999999" customHeight="1" x14ac:dyDescent="0.25">
      <c r="A1789" s="431">
        <v>35349</v>
      </c>
      <c r="B1789" s="432">
        <v>1013.12</v>
      </c>
      <c r="C1789" s="427">
        <f t="shared" si="54"/>
        <v>1996</v>
      </c>
      <c r="D1789" s="433">
        <f t="shared" si="55"/>
        <v>1013.12</v>
      </c>
    </row>
    <row r="1790" spans="1:4" ht="16.149999999999999" customHeight="1" x14ac:dyDescent="0.25">
      <c r="A1790" s="431">
        <v>35350</v>
      </c>
      <c r="B1790" s="434">
        <v>1015.07</v>
      </c>
      <c r="C1790" s="427">
        <f t="shared" si="54"/>
        <v>1996</v>
      </c>
      <c r="D1790" s="433">
        <f t="shared" si="55"/>
        <v>1015.07</v>
      </c>
    </row>
    <row r="1791" spans="1:4" ht="16.149999999999999" customHeight="1" x14ac:dyDescent="0.25">
      <c r="A1791" s="431">
        <v>35351</v>
      </c>
      <c r="B1791" s="432">
        <v>1015.07</v>
      </c>
      <c r="C1791" s="427">
        <f t="shared" si="54"/>
        <v>1996</v>
      </c>
      <c r="D1791" s="433">
        <f t="shared" si="55"/>
        <v>1015.07</v>
      </c>
    </row>
    <row r="1792" spans="1:4" ht="16.149999999999999" customHeight="1" x14ac:dyDescent="0.25">
      <c r="A1792" s="431">
        <v>35352</v>
      </c>
      <c r="B1792" s="434">
        <v>1015.07</v>
      </c>
      <c r="C1792" s="427">
        <f t="shared" si="54"/>
        <v>1996</v>
      </c>
      <c r="D1792" s="433">
        <f t="shared" si="55"/>
        <v>1015.07</v>
      </c>
    </row>
    <row r="1793" spans="1:4" ht="16.149999999999999" customHeight="1" x14ac:dyDescent="0.25">
      <c r="A1793" s="431">
        <v>35353</v>
      </c>
      <c r="B1793" s="432">
        <v>1015.07</v>
      </c>
      <c r="C1793" s="427">
        <f t="shared" si="54"/>
        <v>1996</v>
      </c>
      <c r="D1793" s="433">
        <f t="shared" si="55"/>
        <v>1015.07</v>
      </c>
    </row>
    <row r="1794" spans="1:4" ht="16.149999999999999" customHeight="1" x14ac:dyDescent="0.25">
      <c r="A1794" s="431">
        <v>35354</v>
      </c>
      <c r="B1794" s="434">
        <v>1019.22</v>
      </c>
      <c r="C1794" s="427">
        <f t="shared" si="54"/>
        <v>1996</v>
      </c>
      <c r="D1794" s="433">
        <f t="shared" si="55"/>
        <v>1019.22</v>
      </c>
    </row>
    <row r="1795" spans="1:4" ht="16.149999999999999" customHeight="1" x14ac:dyDescent="0.25">
      <c r="A1795" s="431">
        <v>35355</v>
      </c>
      <c r="B1795" s="432">
        <v>1018.5</v>
      </c>
      <c r="C1795" s="427">
        <f t="shared" si="54"/>
        <v>1996</v>
      </c>
      <c r="D1795" s="433">
        <f t="shared" si="55"/>
        <v>1018.5</v>
      </c>
    </row>
    <row r="1796" spans="1:4" ht="16.149999999999999" customHeight="1" x14ac:dyDescent="0.25">
      <c r="A1796" s="431">
        <v>35356</v>
      </c>
      <c r="B1796" s="434">
        <v>1015.24</v>
      </c>
      <c r="C1796" s="427">
        <f t="shared" si="54"/>
        <v>1996</v>
      </c>
      <c r="D1796" s="433">
        <f t="shared" si="55"/>
        <v>1015.24</v>
      </c>
    </row>
    <row r="1797" spans="1:4" ht="16.149999999999999" customHeight="1" x14ac:dyDescent="0.25">
      <c r="A1797" s="431">
        <v>35357</v>
      </c>
      <c r="B1797" s="432">
        <v>1016.87</v>
      </c>
      <c r="C1797" s="427">
        <f t="shared" si="54"/>
        <v>1996</v>
      </c>
      <c r="D1797" s="433">
        <f t="shared" si="55"/>
        <v>1016.87</v>
      </c>
    </row>
    <row r="1798" spans="1:4" ht="16.149999999999999" customHeight="1" x14ac:dyDescent="0.25">
      <c r="A1798" s="431">
        <v>35358</v>
      </c>
      <c r="B1798" s="434">
        <v>1016.87</v>
      </c>
      <c r="C1798" s="427">
        <f t="shared" si="54"/>
        <v>1996</v>
      </c>
      <c r="D1798" s="433">
        <f t="shared" si="55"/>
        <v>1016.87</v>
      </c>
    </row>
    <row r="1799" spans="1:4" ht="16.149999999999999" customHeight="1" x14ac:dyDescent="0.25">
      <c r="A1799" s="431">
        <v>35359</v>
      </c>
      <c r="B1799" s="432">
        <v>1016.87</v>
      </c>
      <c r="C1799" s="427">
        <f t="shared" si="54"/>
        <v>1996</v>
      </c>
      <c r="D1799" s="433">
        <f t="shared" si="55"/>
        <v>1016.87</v>
      </c>
    </row>
    <row r="1800" spans="1:4" ht="16.149999999999999" customHeight="1" x14ac:dyDescent="0.25">
      <c r="A1800" s="431">
        <v>35360</v>
      </c>
      <c r="B1800" s="434">
        <v>1018.33</v>
      </c>
      <c r="C1800" s="427">
        <f t="shared" si="54"/>
        <v>1996</v>
      </c>
      <c r="D1800" s="433">
        <f t="shared" si="55"/>
        <v>1018.33</v>
      </c>
    </row>
    <row r="1801" spans="1:4" ht="16.149999999999999" customHeight="1" x14ac:dyDescent="0.25">
      <c r="A1801" s="431">
        <v>35361</v>
      </c>
      <c r="B1801" s="432">
        <v>1018.04</v>
      </c>
      <c r="C1801" s="427">
        <f t="shared" si="54"/>
        <v>1996</v>
      </c>
      <c r="D1801" s="433">
        <f t="shared" si="55"/>
        <v>1018.04</v>
      </c>
    </row>
    <row r="1802" spans="1:4" ht="16.149999999999999" customHeight="1" x14ac:dyDescent="0.25">
      <c r="A1802" s="431">
        <v>35362</v>
      </c>
      <c r="B1802" s="434">
        <v>1017.52</v>
      </c>
      <c r="C1802" s="427">
        <f t="shared" ref="C1802:C1865" si="56">YEAR(A1802)</f>
        <v>1996</v>
      </c>
      <c r="D1802" s="433">
        <f t="shared" ref="D1802:D1865" si="57">B1802</f>
        <v>1017.52</v>
      </c>
    </row>
    <row r="1803" spans="1:4" ht="16.149999999999999" customHeight="1" x14ac:dyDescent="0.25">
      <c r="A1803" s="431">
        <v>35363</v>
      </c>
      <c r="B1803" s="432">
        <v>1015.49</v>
      </c>
      <c r="C1803" s="427">
        <f t="shared" si="56"/>
        <v>1996</v>
      </c>
      <c r="D1803" s="433">
        <f t="shared" si="57"/>
        <v>1015.49</v>
      </c>
    </row>
    <row r="1804" spans="1:4" ht="16.149999999999999" customHeight="1" x14ac:dyDescent="0.25">
      <c r="A1804" s="431">
        <v>35364</v>
      </c>
      <c r="B1804" s="434">
        <v>1011.69</v>
      </c>
      <c r="C1804" s="427">
        <f t="shared" si="56"/>
        <v>1996</v>
      </c>
      <c r="D1804" s="433">
        <f t="shared" si="57"/>
        <v>1011.69</v>
      </c>
    </row>
    <row r="1805" spans="1:4" ht="16.149999999999999" customHeight="1" x14ac:dyDescent="0.25">
      <c r="A1805" s="431">
        <v>35365</v>
      </c>
      <c r="B1805" s="432">
        <v>1011.69</v>
      </c>
      <c r="C1805" s="427">
        <f t="shared" si="56"/>
        <v>1996</v>
      </c>
      <c r="D1805" s="433">
        <f t="shared" si="57"/>
        <v>1011.69</v>
      </c>
    </row>
    <row r="1806" spans="1:4" ht="16.149999999999999" customHeight="1" x14ac:dyDescent="0.25">
      <c r="A1806" s="431">
        <v>35366</v>
      </c>
      <c r="B1806" s="434">
        <v>1011.69</v>
      </c>
      <c r="C1806" s="427">
        <f t="shared" si="56"/>
        <v>1996</v>
      </c>
      <c r="D1806" s="433">
        <f t="shared" si="57"/>
        <v>1011.69</v>
      </c>
    </row>
    <row r="1807" spans="1:4" ht="16.149999999999999" customHeight="1" x14ac:dyDescent="0.25">
      <c r="A1807" s="431">
        <v>35367</v>
      </c>
      <c r="B1807" s="432">
        <v>1012.43</v>
      </c>
      <c r="C1807" s="427">
        <f t="shared" si="56"/>
        <v>1996</v>
      </c>
      <c r="D1807" s="433">
        <f t="shared" si="57"/>
        <v>1012.43</v>
      </c>
    </row>
    <row r="1808" spans="1:4" ht="16.149999999999999" customHeight="1" x14ac:dyDescent="0.25">
      <c r="A1808" s="431">
        <v>35368</v>
      </c>
      <c r="B1808" s="434">
        <v>1007.57</v>
      </c>
      <c r="C1808" s="427">
        <f t="shared" si="56"/>
        <v>1996</v>
      </c>
      <c r="D1808" s="433">
        <f t="shared" si="57"/>
        <v>1007.57</v>
      </c>
    </row>
    <row r="1809" spans="1:4" ht="16.149999999999999" customHeight="1" x14ac:dyDescent="0.25">
      <c r="A1809" s="431">
        <v>35369</v>
      </c>
      <c r="B1809" s="432">
        <v>1005.83</v>
      </c>
      <c r="C1809" s="427">
        <f t="shared" si="56"/>
        <v>1996</v>
      </c>
      <c r="D1809" s="433">
        <f t="shared" si="57"/>
        <v>1005.83</v>
      </c>
    </row>
    <row r="1810" spans="1:4" ht="16.149999999999999" customHeight="1" x14ac:dyDescent="0.25">
      <c r="A1810" s="431">
        <v>35370</v>
      </c>
      <c r="B1810" s="434">
        <v>1000.14</v>
      </c>
      <c r="C1810" s="427">
        <f t="shared" si="56"/>
        <v>1996</v>
      </c>
      <c r="D1810" s="433">
        <f t="shared" si="57"/>
        <v>1000.14</v>
      </c>
    </row>
    <row r="1811" spans="1:4" ht="16.149999999999999" customHeight="1" x14ac:dyDescent="0.25">
      <c r="A1811" s="431">
        <v>35371</v>
      </c>
      <c r="B1811" s="432">
        <v>999.49</v>
      </c>
      <c r="C1811" s="427">
        <f t="shared" si="56"/>
        <v>1996</v>
      </c>
      <c r="D1811" s="433">
        <f t="shared" si="57"/>
        <v>999.49</v>
      </c>
    </row>
    <row r="1812" spans="1:4" ht="16.149999999999999" customHeight="1" x14ac:dyDescent="0.25">
      <c r="A1812" s="431">
        <v>35372</v>
      </c>
      <c r="B1812" s="434">
        <v>999.49</v>
      </c>
      <c r="C1812" s="427">
        <f t="shared" si="56"/>
        <v>1996</v>
      </c>
      <c r="D1812" s="433">
        <f t="shared" si="57"/>
        <v>999.49</v>
      </c>
    </row>
    <row r="1813" spans="1:4" ht="16.149999999999999" customHeight="1" x14ac:dyDescent="0.25">
      <c r="A1813" s="431">
        <v>35373</v>
      </c>
      <c r="B1813" s="432">
        <v>999.49</v>
      </c>
      <c r="C1813" s="427">
        <f t="shared" si="56"/>
        <v>1996</v>
      </c>
      <c r="D1813" s="433">
        <f t="shared" si="57"/>
        <v>999.49</v>
      </c>
    </row>
    <row r="1814" spans="1:4" ht="16.149999999999999" customHeight="1" x14ac:dyDescent="0.25">
      <c r="A1814" s="431">
        <v>35374</v>
      </c>
      <c r="B1814" s="434">
        <v>999.49</v>
      </c>
      <c r="C1814" s="427">
        <f t="shared" si="56"/>
        <v>1996</v>
      </c>
      <c r="D1814" s="433">
        <f t="shared" si="57"/>
        <v>999.49</v>
      </c>
    </row>
    <row r="1815" spans="1:4" ht="16.149999999999999" customHeight="1" x14ac:dyDescent="0.25">
      <c r="A1815" s="431">
        <v>35375</v>
      </c>
      <c r="B1815" s="432">
        <v>1006.36</v>
      </c>
      <c r="C1815" s="427">
        <f t="shared" si="56"/>
        <v>1996</v>
      </c>
      <c r="D1815" s="433">
        <f t="shared" si="57"/>
        <v>1006.36</v>
      </c>
    </row>
    <row r="1816" spans="1:4" ht="16.149999999999999" customHeight="1" x14ac:dyDescent="0.25">
      <c r="A1816" s="431">
        <v>35376</v>
      </c>
      <c r="B1816" s="434">
        <v>1003.75</v>
      </c>
      <c r="C1816" s="427">
        <f t="shared" si="56"/>
        <v>1996</v>
      </c>
      <c r="D1816" s="433">
        <f t="shared" si="57"/>
        <v>1003.75</v>
      </c>
    </row>
    <row r="1817" spans="1:4" ht="16.149999999999999" customHeight="1" x14ac:dyDescent="0.25">
      <c r="A1817" s="431">
        <v>35377</v>
      </c>
      <c r="B1817" s="432">
        <v>999.59</v>
      </c>
      <c r="C1817" s="427">
        <f t="shared" si="56"/>
        <v>1996</v>
      </c>
      <c r="D1817" s="433">
        <f t="shared" si="57"/>
        <v>999.59</v>
      </c>
    </row>
    <row r="1818" spans="1:4" ht="16.149999999999999" customHeight="1" x14ac:dyDescent="0.25">
      <c r="A1818" s="431">
        <v>35378</v>
      </c>
      <c r="B1818" s="434">
        <v>1001.24</v>
      </c>
      <c r="C1818" s="427">
        <f t="shared" si="56"/>
        <v>1996</v>
      </c>
      <c r="D1818" s="433">
        <f t="shared" si="57"/>
        <v>1001.24</v>
      </c>
    </row>
    <row r="1819" spans="1:4" ht="16.149999999999999" customHeight="1" x14ac:dyDescent="0.25">
      <c r="A1819" s="431">
        <v>35379</v>
      </c>
      <c r="B1819" s="432">
        <v>1001.24</v>
      </c>
      <c r="C1819" s="427">
        <f t="shared" si="56"/>
        <v>1996</v>
      </c>
      <c r="D1819" s="433">
        <f t="shared" si="57"/>
        <v>1001.24</v>
      </c>
    </row>
    <row r="1820" spans="1:4" ht="16.149999999999999" customHeight="1" x14ac:dyDescent="0.25">
      <c r="A1820" s="431">
        <v>35380</v>
      </c>
      <c r="B1820" s="434">
        <v>1001.24</v>
      </c>
      <c r="C1820" s="427">
        <f t="shared" si="56"/>
        <v>1996</v>
      </c>
      <c r="D1820" s="433">
        <f t="shared" si="57"/>
        <v>1001.24</v>
      </c>
    </row>
    <row r="1821" spans="1:4" ht="16.149999999999999" customHeight="1" x14ac:dyDescent="0.25">
      <c r="A1821" s="431">
        <v>35381</v>
      </c>
      <c r="B1821" s="432">
        <v>1001.24</v>
      </c>
      <c r="C1821" s="427">
        <f t="shared" si="56"/>
        <v>1996</v>
      </c>
      <c r="D1821" s="433">
        <f t="shared" si="57"/>
        <v>1001.24</v>
      </c>
    </row>
    <row r="1822" spans="1:4" ht="16.149999999999999" customHeight="1" x14ac:dyDescent="0.25">
      <c r="A1822" s="431">
        <v>35382</v>
      </c>
      <c r="B1822" s="434">
        <v>1000.22</v>
      </c>
      <c r="C1822" s="427">
        <f t="shared" si="56"/>
        <v>1996</v>
      </c>
      <c r="D1822" s="433">
        <f t="shared" si="57"/>
        <v>1000.22</v>
      </c>
    </row>
    <row r="1823" spans="1:4" ht="16.149999999999999" customHeight="1" x14ac:dyDescent="0.25">
      <c r="A1823" s="431">
        <v>35383</v>
      </c>
      <c r="B1823" s="432">
        <v>997.38</v>
      </c>
      <c r="C1823" s="427">
        <f t="shared" si="56"/>
        <v>1996</v>
      </c>
      <c r="D1823" s="433">
        <f t="shared" si="57"/>
        <v>997.38</v>
      </c>
    </row>
    <row r="1824" spans="1:4" ht="16.149999999999999" customHeight="1" x14ac:dyDescent="0.25">
      <c r="A1824" s="431">
        <v>35384</v>
      </c>
      <c r="B1824" s="434">
        <v>1001.68</v>
      </c>
      <c r="C1824" s="427">
        <f t="shared" si="56"/>
        <v>1996</v>
      </c>
      <c r="D1824" s="433">
        <f t="shared" si="57"/>
        <v>1001.68</v>
      </c>
    </row>
    <row r="1825" spans="1:4" ht="16.149999999999999" customHeight="1" x14ac:dyDescent="0.25">
      <c r="A1825" s="431">
        <v>35385</v>
      </c>
      <c r="B1825" s="432">
        <v>999.68</v>
      </c>
      <c r="C1825" s="427">
        <f t="shared" si="56"/>
        <v>1996</v>
      </c>
      <c r="D1825" s="433">
        <f t="shared" si="57"/>
        <v>999.68</v>
      </c>
    </row>
    <row r="1826" spans="1:4" ht="16.149999999999999" customHeight="1" x14ac:dyDescent="0.25">
      <c r="A1826" s="431">
        <v>35386</v>
      </c>
      <c r="B1826" s="434">
        <v>999.68</v>
      </c>
      <c r="C1826" s="427">
        <f t="shared" si="56"/>
        <v>1996</v>
      </c>
      <c r="D1826" s="433">
        <f t="shared" si="57"/>
        <v>999.68</v>
      </c>
    </row>
    <row r="1827" spans="1:4" ht="16.149999999999999" customHeight="1" x14ac:dyDescent="0.25">
      <c r="A1827" s="431">
        <v>35387</v>
      </c>
      <c r="B1827" s="432">
        <v>999.68</v>
      </c>
      <c r="C1827" s="427">
        <f t="shared" si="56"/>
        <v>1996</v>
      </c>
      <c r="D1827" s="433">
        <f t="shared" si="57"/>
        <v>999.68</v>
      </c>
    </row>
    <row r="1828" spans="1:4" ht="16.149999999999999" customHeight="1" x14ac:dyDescent="0.25">
      <c r="A1828" s="431">
        <v>35388</v>
      </c>
      <c r="B1828" s="434">
        <v>995.96</v>
      </c>
      <c r="C1828" s="427">
        <f t="shared" si="56"/>
        <v>1996</v>
      </c>
      <c r="D1828" s="433">
        <f t="shared" si="57"/>
        <v>995.96</v>
      </c>
    </row>
    <row r="1829" spans="1:4" ht="16.149999999999999" customHeight="1" x14ac:dyDescent="0.25">
      <c r="A1829" s="431">
        <v>35389</v>
      </c>
      <c r="B1829" s="432">
        <v>994.02</v>
      </c>
      <c r="C1829" s="427">
        <f t="shared" si="56"/>
        <v>1996</v>
      </c>
      <c r="D1829" s="433">
        <f t="shared" si="57"/>
        <v>994.02</v>
      </c>
    </row>
    <row r="1830" spans="1:4" ht="16.149999999999999" customHeight="1" x14ac:dyDescent="0.25">
      <c r="A1830" s="431">
        <v>35390</v>
      </c>
      <c r="B1830" s="434">
        <v>995.2</v>
      </c>
      <c r="C1830" s="427">
        <f t="shared" si="56"/>
        <v>1996</v>
      </c>
      <c r="D1830" s="433">
        <f t="shared" si="57"/>
        <v>995.2</v>
      </c>
    </row>
    <row r="1831" spans="1:4" ht="16.149999999999999" customHeight="1" x14ac:dyDescent="0.25">
      <c r="A1831" s="431">
        <v>35391</v>
      </c>
      <c r="B1831" s="432">
        <v>994.37</v>
      </c>
      <c r="C1831" s="427">
        <f t="shared" si="56"/>
        <v>1996</v>
      </c>
      <c r="D1831" s="433">
        <f t="shared" si="57"/>
        <v>994.37</v>
      </c>
    </row>
    <row r="1832" spans="1:4" ht="16.149999999999999" customHeight="1" x14ac:dyDescent="0.25">
      <c r="A1832" s="431">
        <v>35392</v>
      </c>
      <c r="B1832" s="434">
        <v>995.34</v>
      </c>
      <c r="C1832" s="427">
        <f t="shared" si="56"/>
        <v>1996</v>
      </c>
      <c r="D1832" s="433">
        <f t="shared" si="57"/>
        <v>995.34</v>
      </c>
    </row>
    <row r="1833" spans="1:4" ht="16.149999999999999" customHeight="1" x14ac:dyDescent="0.25">
      <c r="A1833" s="431">
        <v>35393</v>
      </c>
      <c r="B1833" s="432">
        <v>995.34</v>
      </c>
      <c r="C1833" s="427">
        <f t="shared" si="56"/>
        <v>1996</v>
      </c>
      <c r="D1833" s="433">
        <f t="shared" si="57"/>
        <v>995.34</v>
      </c>
    </row>
    <row r="1834" spans="1:4" ht="16.149999999999999" customHeight="1" x14ac:dyDescent="0.25">
      <c r="A1834" s="431">
        <v>35394</v>
      </c>
      <c r="B1834" s="434">
        <v>995.34</v>
      </c>
      <c r="C1834" s="427">
        <f t="shared" si="56"/>
        <v>1996</v>
      </c>
      <c r="D1834" s="433">
        <f t="shared" si="57"/>
        <v>995.34</v>
      </c>
    </row>
    <row r="1835" spans="1:4" ht="16.149999999999999" customHeight="1" x14ac:dyDescent="0.25">
      <c r="A1835" s="431">
        <v>35395</v>
      </c>
      <c r="B1835" s="432">
        <v>995.05</v>
      </c>
      <c r="C1835" s="427">
        <f t="shared" si="56"/>
        <v>1996</v>
      </c>
      <c r="D1835" s="433">
        <f t="shared" si="57"/>
        <v>995.05</v>
      </c>
    </row>
    <row r="1836" spans="1:4" ht="16.149999999999999" customHeight="1" x14ac:dyDescent="0.25">
      <c r="A1836" s="431">
        <v>35396</v>
      </c>
      <c r="B1836" s="434">
        <v>995.05</v>
      </c>
      <c r="C1836" s="427">
        <f t="shared" si="56"/>
        <v>1996</v>
      </c>
      <c r="D1836" s="433">
        <f t="shared" si="57"/>
        <v>995.05</v>
      </c>
    </row>
    <row r="1837" spans="1:4" ht="16.149999999999999" customHeight="1" x14ac:dyDescent="0.25">
      <c r="A1837" s="431">
        <v>35397</v>
      </c>
      <c r="B1837" s="432">
        <v>995.93</v>
      </c>
      <c r="C1837" s="427">
        <f t="shared" si="56"/>
        <v>1996</v>
      </c>
      <c r="D1837" s="433">
        <f t="shared" si="57"/>
        <v>995.93</v>
      </c>
    </row>
    <row r="1838" spans="1:4" ht="16.149999999999999" customHeight="1" x14ac:dyDescent="0.25">
      <c r="A1838" s="431">
        <v>35398</v>
      </c>
      <c r="B1838" s="434">
        <v>994.94</v>
      </c>
      <c r="C1838" s="427">
        <f t="shared" si="56"/>
        <v>1996</v>
      </c>
      <c r="D1838" s="433">
        <f t="shared" si="57"/>
        <v>994.94</v>
      </c>
    </row>
    <row r="1839" spans="1:4" ht="16.149999999999999" customHeight="1" x14ac:dyDescent="0.25">
      <c r="A1839" s="431">
        <v>35399</v>
      </c>
      <c r="B1839" s="432">
        <v>1002.28</v>
      </c>
      <c r="C1839" s="427">
        <f t="shared" si="56"/>
        <v>1996</v>
      </c>
      <c r="D1839" s="433">
        <f t="shared" si="57"/>
        <v>1002.28</v>
      </c>
    </row>
    <row r="1840" spans="1:4" ht="16.149999999999999" customHeight="1" x14ac:dyDescent="0.25">
      <c r="A1840" s="431">
        <v>35400</v>
      </c>
      <c r="B1840" s="434">
        <v>1002.28</v>
      </c>
      <c r="C1840" s="427">
        <f t="shared" si="56"/>
        <v>1996</v>
      </c>
      <c r="D1840" s="433">
        <f t="shared" si="57"/>
        <v>1002.28</v>
      </c>
    </row>
    <row r="1841" spans="1:4" ht="16.149999999999999" customHeight="1" x14ac:dyDescent="0.25">
      <c r="A1841" s="431">
        <v>35401</v>
      </c>
      <c r="B1841" s="432">
        <v>1002.28</v>
      </c>
      <c r="C1841" s="427">
        <f t="shared" si="56"/>
        <v>1996</v>
      </c>
      <c r="D1841" s="433">
        <f t="shared" si="57"/>
        <v>1002.28</v>
      </c>
    </row>
    <row r="1842" spans="1:4" ht="16.149999999999999" customHeight="1" x14ac:dyDescent="0.25">
      <c r="A1842" s="431">
        <v>35402</v>
      </c>
      <c r="B1842" s="434">
        <v>1000.09</v>
      </c>
      <c r="C1842" s="427">
        <f t="shared" si="56"/>
        <v>1996</v>
      </c>
      <c r="D1842" s="433">
        <f t="shared" si="57"/>
        <v>1000.09</v>
      </c>
    </row>
    <row r="1843" spans="1:4" ht="16.149999999999999" customHeight="1" x14ac:dyDescent="0.25">
      <c r="A1843" s="431">
        <v>35403</v>
      </c>
      <c r="B1843" s="432">
        <v>995.73</v>
      </c>
      <c r="C1843" s="427">
        <f t="shared" si="56"/>
        <v>1996</v>
      </c>
      <c r="D1843" s="433">
        <f t="shared" si="57"/>
        <v>995.73</v>
      </c>
    </row>
    <row r="1844" spans="1:4" ht="16.149999999999999" customHeight="1" x14ac:dyDescent="0.25">
      <c r="A1844" s="431">
        <v>35404</v>
      </c>
      <c r="B1844" s="434">
        <v>997.4</v>
      </c>
      <c r="C1844" s="427">
        <f t="shared" si="56"/>
        <v>1996</v>
      </c>
      <c r="D1844" s="433">
        <f t="shared" si="57"/>
        <v>997.4</v>
      </c>
    </row>
    <row r="1845" spans="1:4" ht="16.149999999999999" customHeight="1" x14ac:dyDescent="0.25">
      <c r="A1845" s="431">
        <v>35405</v>
      </c>
      <c r="B1845" s="432">
        <v>997.48</v>
      </c>
      <c r="C1845" s="427">
        <f t="shared" si="56"/>
        <v>1996</v>
      </c>
      <c r="D1845" s="433">
        <f t="shared" si="57"/>
        <v>997.48</v>
      </c>
    </row>
    <row r="1846" spans="1:4" ht="16.149999999999999" customHeight="1" x14ac:dyDescent="0.25">
      <c r="A1846" s="431">
        <v>35406</v>
      </c>
      <c r="B1846" s="434">
        <v>1001.82</v>
      </c>
      <c r="C1846" s="427">
        <f t="shared" si="56"/>
        <v>1996</v>
      </c>
      <c r="D1846" s="433">
        <f t="shared" si="57"/>
        <v>1001.82</v>
      </c>
    </row>
    <row r="1847" spans="1:4" ht="16.149999999999999" customHeight="1" x14ac:dyDescent="0.25">
      <c r="A1847" s="431">
        <v>35407</v>
      </c>
      <c r="B1847" s="432">
        <v>1001.82</v>
      </c>
      <c r="C1847" s="427">
        <f t="shared" si="56"/>
        <v>1996</v>
      </c>
      <c r="D1847" s="433">
        <f t="shared" si="57"/>
        <v>1001.82</v>
      </c>
    </row>
    <row r="1848" spans="1:4" ht="16.149999999999999" customHeight="1" x14ac:dyDescent="0.25">
      <c r="A1848" s="431">
        <v>35408</v>
      </c>
      <c r="B1848" s="434">
        <v>1001.82</v>
      </c>
      <c r="C1848" s="427">
        <f t="shared" si="56"/>
        <v>1996</v>
      </c>
      <c r="D1848" s="433">
        <f t="shared" si="57"/>
        <v>1001.82</v>
      </c>
    </row>
    <row r="1849" spans="1:4" ht="16.149999999999999" customHeight="1" x14ac:dyDescent="0.25">
      <c r="A1849" s="431">
        <v>35409</v>
      </c>
      <c r="B1849" s="432">
        <v>997.99</v>
      </c>
      <c r="C1849" s="427">
        <f t="shared" si="56"/>
        <v>1996</v>
      </c>
      <c r="D1849" s="433">
        <f t="shared" si="57"/>
        <v>997.99</v>
      </c>
    </row>
    <row r="1850" spans="1:4" ht="16.149999999999999" customHeight="1" x14ac:dyDescent="0.25">
      <c r="A1850" s="431">
        <v>35410</v>
      </c>
      <c r="B1850" s="434">
        <v>998.17</v>
      </c>
      <c r="C1850" s="427">
        <f t="shared" si="56"/>
        <v>1996</v>
      </c>
      <c r="D1850" s="433">
        <f t="shared" si="57"/>
        <v>998.17</v>
      </c>
    </row>
    <row r="1851" spans="1:4" ht="16.149999999999999" customHeight="1" x14ac:dyDescent="0.25">
      <c r="A1851" s="431">
        <v>35411</v>
      </c>
      <c r="B1851" s="432">
        <v>998.31</v>
      </c>
      <c r="C1851" s="427">
        <f t="shared" si="56"/>
        <v>1996</v>
      </c>
      <c r="D1851" s="433">
        <f t="shared" si="57"/>
        <v>998.31</v>
      </c>
    </row>
    <row r="1852" spans="1:4" ht="16.149999999999999" customHeight="1" x14ac:dyDescent="0.25">
      <c r="A1852" s="431">
        <v>35412</v>
      </c>
      <c r="B1852" s="434">
        <v>999.47</v>
      </c>
      <c r="C1852" s="427">
        <f t="shared" si="56"/>
        <v>1996</v>
      </c>
      <c r="D1852" s="433">
        <f t="shared" si="57"/>
        <v>999.47</v>
      </c>
    </row>
    <row r="1853" spans="1:4" ht="16.149999999999999" customHeight="1" x14ac:dyDescent="0.25">
      <c r="A1853" s="431">
        <v>35413</v>
      </c>
      <c r="B1853" s="432">
        <v>1002.95</v>
      </c>
      <c r="C1853" s="427">
        <f t="shared" si="56"/>
        <v>1996</v>
      </c>
      <c r="D1853" s="433">
        <f t="shared" si="57"/>
        <v>1002.95</v>
      </c>
    </row>
    <row r="1854" spans="1:4" ht="16.149999999999999" customHeight="1" x14ac:dyDescent="0.25">
      <c r="A1854" s="431">
        <v>35414</v>
      </c>
      <c r="B1854" s="434">
        <v>1002.95</v>
      </c>
      <c r="C1854" s="427">
        <f t="shared" si="56"/>
        <v>1996</v>
      </c>
      <c r="D1854" s="433">
        <f t="shared" si="57"/>
        <v>1002.95</v>
      </c>
    </row>
    <row r="1855" spans="1:4" ht="16.149999999999999" customHeight="1" x14ac:dyDescent="0.25">
      <c r="A1855" s="431">
        <v>35415</v>
      </c>
      <c r="B1855" s="432">
        <v>1002.95</v>
      </c>
      <c r="C1855" s="427">
        <f t="shared" si="56"/>
        <v>1996</v>
      </c>
      <c r="D1855" s="433">
        <f t="shared" si="57"/>
        <v>1002.95</v>
      </c>
    </row>
    <row r="1856" spans="1:4" ht="16.149999999999999" customHeight="1" x14ac:dyDescent="0.25">
      <c r="A1856" s="431">
        <v>35416</v>
      </c>
      <c r="B1856" s="434">
        <v>1001.58</v>
      </c>
      <c r="C1856" s="427">
        <f t="shared" si="56"/>
        <v>1996</v>
      </c>
      <c r="D1856" s="433">
        <f t="shared" si="57"/>
        <v>1001.58</v>
      </c>
    </row>
    <row r="1857" spans="1:4" ht="16.149999999999999" customHeight="1" x14ac:dyDescent="0.25">
      <c r="A1857" s="431">
        <v>35417</v>
      </c>
      <c r="B1857" s="432">
        <v>1000.4</v>
      </c>
      <c r="C1857" s="427">
        <f t="shared" si="56"/>
        <v>1996</v>
      </c>
      <c r="D1857" s="433">
        <f t="shared" si="57"/>
        <v>1000.4</v>
      </c>
    </row>
    <row r="1858" spans="1:4" ht="16.149999999999999" customHeight="1" x14ac:dyDescent="0.25">
      <c r="A1858" s="431">
        <v>35418</v>
      </c>
      <c r="B1858" s="434">
        <v>1001.18</v>
      </c>
      <c r="C1858" s="427">
        <f t="shared" si="56"/>
        <v>1996</v>
      </c>
      <c r="D1858" s="433">
        <f t="shared" si="57"/>
        <v>1001.18</v>
      </c>
    </row>
    <row r="1859" spans="1:4" ht="16.149999999999999" customHeight="1" x14ac:dyDescent="0.25">
      <c r="A1859" s="431">
        <v>35419</v>
      </c>
      <c r="B1859" s="432">
        <v>1001.1</v>
      </c>
      <c r="C1859" s="427">
        <f t="shared" si="56"/>
        <v>1996</v>
      </c>
      <c r="D1859" s="433">
        <f t="shared" si="57"/>
        <v>1001.1</v>
      </c>
    </row>
    <row r="1860" spans="1:4" ht="16.149999999999999" customHeight="1" x14ac:dyDescent="0.25">
      <c r="A1860" s="431">
        <v>35420</v>
      </c>
      <c r="B1860" s="434">
        <v>1003.15</v>
      </c>
      <c r="C1860" s="427">
        <f t="shared" si="56"/>
        <v>1996</v>
      </c>
      <c r="D1860" s="433">
        <f t="shared" si="57"/>
        <v>1003.15</v>
      </c>
    </row>
    <row r="1861" spans="1:4" ht="16.149999999999999" customHeight="1" x14ac:dyDescent="0.25">
      <c r="A1861" s="431">
        <v>35421</v>
      </c>
      <c r="B1861" s="432">
        <v>1003.15</v>
      </c>
      <c r="C1861" s="427">
        <f t="shared" si="56"/>
        <v>1996</v>
      </c>
      <c r="D1861" s="433">
        <f t="shared" si="57"/>
        <v>1003.15</v>
      </c>
    </row>
    <row r="1862" spans="1:4" ht="16.149999999999999" customHeight="1" x14ac:dyDescent="0.25">
      <c r="A1862" s="431">
        <v>35422</v>
      </c>
      <c r="B1862" s="434">
        <v>1003.15</v>
      </c>
      <c r="C1862" s="427">
        <f t="shared" si="56"/>
        <v>1996</v>
      </c>
      <c r="D1862" s="433">
        <f t="shared" si="57"/>
        <v>1003.15</v>
      </c>
    </row>
    <row r="1863" spans="1:4" ht="16.149999999999999" customHeight="1" x14ac:dyDescent="0.25">
      <c r="A1863" s="431">
        <v>35423</v>
      </c>
      <c r="B1863" s="432">
        <v>1002.51</v>
      </c>
      <c r="C1863" s="427">
        <f t="shared" si="56"/>
        <v>1996</v>
      </c>
      <c r="D1863" s="433">
        <f t="shared" si="57"/>
        <v>1002.51</v>
      </c>
    </row>
    <row r="1864" spans="1:4" ht="16.149999999999999" customHeight="1" x14ac:dyDescent="0.25">
      <c r="A1864" s="431">
        <v>35424</v>
      </c>
      <c r="B1864" s="434">
        <v>1002.51</v>
      </c>
      <c r="C1864" s="427">
        <f t="shared" si="56"/>
        <v>1996</v>
      </c>
      <c r="D1864" s="433">
        <f t="shared" si="57"/>
        <v>1002.51</v>
      </c>
    </row>
    <row r="1865" spans="1:4" ht="16.149999999999999" customHeight="1" x14ac:dyDescent="0.25">
      <c r="A1865" s="431">
        <v>35425</v>
      </c>
      <c r="B1865" s="432">
        <v>1002.51</v>
      </c>
      <c r="C1865" s="427">
        <f t="shared" si="56"/>
        <v>1996</v>
      </c>
      <c r="D1865" s="433">
        <f t="shared" si="57"/>
        <v>1002.51</v>
      </c>
    </row>
    <row r="1866" spans="1:4" ht="16.149999999999999" customHeight="1" x14ac:dyDescent="0.25">
      <c r="A1866" s="431">
        <v>35426</v>
      </c>
      <c r="B1866" s="434">
        <v>1003.49</v>
      </c>
      <c r="C1866" s="427">
        <f t="shared" ref="C1866:C1929" si="58">YEAR(A1866)</f>
        <v>1996</v>
      </c>
      <c r="D1866" s="433">
        <f t="shared" ref="D1866:D1929" si="59">B1866</f>
        <v>1003.49</v>
      </c>
    </row>
    <row r="1867" spans="1:4" ht="16.149999999999999" customHeight="1" x14ac:dyDescent="0.25">
      <c r="A1867" s="431">
        <v>35427</v>
      </c>
      <c r="B1867" s="432">
        <v>1005.4</v>
      </c>
      <c r="C1867" s="427">
        <f t="shared" si="58"/>
        <v>1996</v>
      </c>
      <c r="D1867" s="433">
        <f t="shared" si="59"/>
        <v>1005.4</v>
      </c>
    </row>
    <row r="1868" spans="1:4" ht="16.149999999999999" customHeight="1" x14ac:dyDescent="0.25">
      <c r="A1868" s="431">
        <v>35428</v>
      </c>
      <c r="B1868" s="434">
        <v>1005.4</v>
      </c>
      <c r="C1868" s="427">
        <f t="shared" si="58"/>
        <v>1996</v>
      </c>
      <c r="D1868" s="433">
        <f t="shared" si="59"/>
        <v>1005.4</v>
      </c>
    </row>
    <row r="1869" spans="1:4" ht="16.149999999999999" customHeight="1" x14ac:dyDescent="0.25">
      <c r="A1869" s="431">
        <v>35429</v>
      </c>
      <c r="B1869" s="432">
        <v>1005.4</v>
      </c>
      <c r="C1869" s="427">
        <f t="shared" si="58"/>
        <v>1996</v>
      </c>
      <c r="D1869" s="433">
        <f t="shared" si="59"/>
        <v>1005.4</v>
      </c>
    </row>
    <row r="1870" spans="1:4" ht="16.149999999999999" customHeight="1" x14ac:dyDescent="0.25">
      <c r="A1870" s="431">
        <v>35430</v>
      </c>
      <c r="B1870" s="434">
        <v>1005.33</v>
      </c>
      <c r="C1870" s="427">
        <f t="shared" si="58"/>
        <v>1996</v>
      </c>
      <c r="D1870" s="433">
        <f t="shared" si="59"/>
        <v>1005.33</v>
      </c>
    </row>
    <row r="1871" spans="1:4" ht="16.149999999999999" customHeight="1" x14ac:dyDescent="0.25">
      <c r="A1871" s="431">
        <v>35431</v>
      </c>
      <c r="B1871" s="432">
        <v>1005.33</v>
      </c>
      <c r="C1871" s="427">
        <f t="shared" si="58"/>
        <v>1997</v>
      </c>
      <c r="D1871" s="433">
        <f t="shared" si="59"/>
        <v>1005.33</v>
      </c>
    </row>
    <row r="1872" spans="1:4" ht="16.149999999999999" customHeight="1" x14ac:dyDescent="0.25">
      <c r="A1872" s="431">
        <v>35432</v>
      </c>
      <c r="B1872" s="434">
        <v>1005.33</v>
      </c>
      <c r="C1872" s="427">
        <f t="shared" si="58"/>
        <v>1997</v>
      </c>
      <c r="D1872" s="433">
        <f t="shared" si="59"/>
        <v>1005.33</v>
      </c>
    </row>
    <row r="1873" spans="1:4" ht="16.149999999999999" customHeight="1" x14ac:dyDescent="0.25">
      <c r="A1873" s="431">
        <v>35433</v>
      </c>
      <c r="B1873" s="432">
        <v>1007.33</v>
      </c>
      <c r="C1873" s="427">
        <f t="shared" si="58"/>
        <v>1997</v>
      </c>
      <c r="D1873" s="433">
        <f t="shared" si="59"/>
        <v>1007.33</v>
      </c>
    </row>
    <row r="1874" spans="1:4" ht="16.149999999999999" customHeight="1" x14ac:dyDescent="0.25">
      <c r="A1874" s="431">
        <v>35434</v>
      </c>
      <c r="B1874" s="434">
        <v>1016.81</v>
      </c>
      <c r="C1874" s="427">
        <f t="shared" si="58"/>
        <v>1997</v>
      </c>
      <c r="D1874" s="433">
        <f t="shared" si="59"/>
        <v>1016.81</v>
      </c>
    </row>
    <row r="1875" spans="1:4" ht="16.149999999999999" customHeight="1" x14ac:dyDescent="0.25">
      <c r="A1875" s="431">
        <v>35435</v>
      </c>
      <c r="B1875" s="432">
        <v>1016.81</v>
      </c>
      <c r="C1875" s="427">
        <f t="shared" si="58"/>
        <v>1997</v>
      </c>
      <c r="D1875" s="433">
        <f t="shared" si="59"/>
        <v>1016.81</v>
      </c>
    </row>
    <row r="1876" spans="1:4" ht="16.149999999999999" customHeight="1" x14ac:dyDescent="0.25">
      <c r="A1876" s="431">
        <v>35436</v>
      </c>
      <c r="B1876" s="434">
        <v>1016.81</v>
      </c>
      <c r="C1876" s="427">
        <f t="shared" si="58"/>
        <v>1997</v>
      </c>
      <c r="D1876" s="433">
        <f t="shared" si="59"/>
        <v>1016.81</v>
      </c>
    </row>
    <row r="1877" spans="1:4" ht="16.149999999999999" customHeight="1" x14ac:dyDescent="0.25">
      <c r="A1877" s="431">
        <v>35437</v>
      </c>
      <c r="B1877" s="432">
        <v>1016.81</v>
      </c>
      <c r="C1877" s="427">
        <f t="shared" si="58"/>
        <v>1997</v>
      </c>
      <c r="D1877" s="433">
        <f t="shared" si="59"/>
        <v>1016.81</v>
      </c>
    </row>
    <row r="1878" spans="1:4" ht="16.149999999999999" customHeight="1" x14ac:dyDescent="0.25">
      <c r="A1878" s="431">
        <v>35438</v>
      </c>
      <c r="B1878" s="434">
        <v>1022</v>
      </c>
      <c r="C1878" s="427">
        <f t="shared" si="58"/>
        <v>1997</v>
      </c>
      <c r="D1878" s="433">
        <f t="shared" si="59"/>
        <v>1022</v>
      </c>
    </row>
    <row r="1879" spans="1:4" ht="16.149999999999999" customHeight="1" x14ac:dyDescent="0.25">
      <c r="A1879" s="431">
        <v>35439</v>
      </c>
      <c r="B1879" s="432">
        <v>1020.16</v>
      </c>
      <c r="C1879" s="427">
        <f t="shared" si="58"/>
        <v>1997</v>
      </c>
      <c r="D1879" s="433">
        <f t="shared" si="59"/>
        <v>1020.16</v>
      </c>
    </row>
    <row r="1880" spans="1:4" ht="16.149999999999999" customHeight="1" x14ac:dyDescent="0.25">
      <c r="A1880" s="431">
        <v>35440</v>
      </c>
      <c r="B1880" s="434">
        <v>1013.68</v>
      </c>
      <c r="C1880" s="427">
        <f t="shared" si="58"/>
        <v>1997</v>
      </c>
      <c r="D1880" s="433">
        <f t="shared" si="59"/>
        <v>1013.68</v>
      </c>
    </row>
    <row r="1881" spans="1:4" ht="16.149999999999999" customHeight="1" x14ac:dyDescent="0.25">
      <c r="A1881" s="431">
        <v>35441</v>
      </c>
      <c r="B1881" s="432">
        <v>1011.01</v>
      </c>
      <c r="C1881" s="427">
        <f t="shared" si="58"/>
        <v>1997</v>
      </c>
      <c r="D1881" s="433">
        <f t="shared" si="59"/>
        <v>1011.01</v>
      </c>
    </row>
    <row r="1882" spans="1:4" ht="16.149999999999999" customHeight="1" x14ac:dyDescent="0.25">
      <c r="A1882" s="431">
        <v>35442</v>
      </c>
      <c r="B1882" s="434">
        <v>1011.01</v>
      </c>
      <c r="C1882" s="427">
        <f t="shared" si="58"/>
        <v>1997</v>
      </c>
      <c r="D1882" s="433">
        <f t="shared" si="59"/>
        <v>1011.01</v>
      </c>
    </row>
    <row r="1883" spans="1:4" ht="16.149999999999999" customHeight="1" x14ac:dyDescent="0.25">
      <c r="A1883" s="431">
        <v>35443</v>
      </c>
      <c r="B1883" s="432">
        <v>1011.01</v>
      </c>
      <c r="C1883" s="427">
        <f t="shared" si="58"/>
        <v>1997</v>
      </c>
      <c r="D1883" s="433">
        <f t="shared" si="59"/>
        <v>1011.01</v>
      </c>
    </row>
    <row r="1884" spans="1:4" ht="16.149999999999999" customHeight="1" x14ac:dyDescent="0.25">
      <c r="A1884" s="431">
        <v>35444</v>
      </c>
      <c r="B1884" s="434">
        <v>1015.53</v>
      </c>
      <c r="C1884" s="427">
        <f t="shared" si="58"/>
        <v>1997</v>
      </c>
      <c r="D1884" s="433">
        <f t="shared" si="59"/>
        <v>1015.53</v>
      </c>
    </row>
    <row r="1885" spans="1:4" ht="16.149999999999999" customHeight="1" x14ac:dyDescent="0.25">
      <c r="A1885" s="431">
        <v>35445</v>
      </c>
      <c r="B1885" s="432">
        <v>1026.53</v>
      </c>
      <c r="C1885" s="427">
        <f t="shared" si="58"/>
        <v>1997</v>
      </c>
      <c r="D1885" s="433">
        <f t="shared" si="59"/>
        <v>1026.53</v>
      </c>
    </row>
    <row r="1886" spans="1:4" ht="16.149999999999999" customHeight="1" x14ac:dyDescent="0.25">
      <c r="A1886" s="431">
        <v>35446</v>
      </c>
      <c r="B1886" s="434">
        <v>1023.47</v>
      </c>
      <c r="C1886" s="427">
        <f t="shared" si="58"/>
        <v>1997</v>
      </c>
      <c r="D1886" s="433">
        <f t="shared" si="59"/>
        <v>1023.47</v>
      </c>
    </row>
    <row r="1887" spans="1:4" ht="16.149999999999999" customHeight="1" x14ac:dyDescent="0.25">
      <c r="A1887" s="431">
        <v>35447</v>
      </c>
      <c r="B1887" s="432">
        <v>1018.15</v>
      </c>
      <c r="C1887" s="427">
        <f t="shared" si="58"/>
        <v>1997</v>
      </c>
      <c r="D1887" s="433">
        <f t="shared" si="59"/>
        <v>1018.15</v>
      </c>
    </row>
    <row r="1888" spans="1:4" ht="16.149999999999999" customHeight="1" x14ac:dyDescent="0.25">
      <c r="A1888" s="431">
        <v>35448</v>
      </c>
      <c r="B1888" s="434">
        <v>1020.9</v>
      </c>
      <c r="C1888" s="427">
        <f t="shared" si="58"/>
        <v>1997</v>
      </c>
      <c r="D1888" s="433">
        <f t="shared" si="59"/>
        <v>1020.9</v>
      </c>
    </row>
    <row r="1889" spans="1:4" ht="16.149999999999999" customHeight="1" x14ac:dyDescent="0.25">
      <c r="A1889" s="431">
        <v>35449</v>
      </c>
      <c r="B1889" s="432">
        <v>1020.9</v>
      </c>
      <c r="C1889" s="427">
        <f t="shared" si="58"/>
        <v>1997</v>
      </c>
      <c r="D1889" s="433">
        <f t="shared" si="59"/>
        <v>1020.9</v>
      </c>
    </row>
    <row r="1890" spans="1:4" ht="16.149999999999999" customHeight="1" x14ac:dyDescent="0.25">
      <c r="A1890" s="431">
        <v>35450</v>
      </c>
      <c r="B1890" s="434">
        <v>1020.9</v>
      </c>
      <c r="C1890" s="427">
        <f t="shared" si="58"/>
        <v>1997</v>
      </c>
      <c r="D1890" s="433">
        <f t="shared" si="59"/>
        <v>1020.9</v>
      </c>
    </row>
    <row r="1891" spans="1:4" ht="16.149999999999999" customHeight="1" x14ac:dyDescent="0.25">
      <c r="A1891" s="431">
        <v>35451</v>
      </c>
      <c r="B1891" s="432">
        <v>1022.75</v>
      </c>
      <c r="C1891" s="427">
        <f t="shared" si="58"/>
        <v>1997</v>
      </c>
      <c r="D1891" s="433">
        <f t="shared" si="59"/>
        <v>1022.75</v>
      </c>
    </row>
    <row r="1892" spans="1:4" ht="16.149999999999999" customHeight="1" x14ac:dyDescent="0.25">
      <c r="A1892" s="431">
        <v>35452</v>
      </c>
      <c r="B1892" s="434">
        <v>1023.67</v>
      </c>
      <c r="C1892" s="427">
        <f t="shared" si="58"/>
        <v>1997</v>
      </c>
      <c r="D1892" s="433">
        <f t="shared" si="59"/>
        <v>1023.67</v>
      </c>
    </row>
    <row r="1893" spans="1:4" ht="16.149999999999999" customHeight="1" x14ac:dyDescent="0.25">
      <c r="A1893" s="431">
        <v>35453</v>
      </c>
      <c r="B1893" s="432">
        <v>1031.02</v>
      </c>
      <c r="C1893" s="427">
        <f t="shared" si="58"/>
        <v>1997</v>
      </c>
      <c r="D1893" s="433">
        <f t="shared" si="59"/>
        <v>1031.02</v>
      </c>
    </row>
    <row r="1894" spans="1:4" ht="16.149999999999999" customHeight="1" x14ac:dyDescent="0.25">
      <c r="A1894" s="431">
        <v>35454</v>
      </c>
      <c r="B1894" s="434">
        <v>1031.51</v>
      </c>
      <c r="C1894" s="427">
        <f t="shared" si="58"/>
        <v>1997</v>
      </c>
      <c r="D1894" s="433">
        <f t="shared" si="59"/>
        <v>1031.51</v>
      </c>
    </row>
    <row r="1895" spans="1:4" ht="16.149999999999999" customHeight="1" x14ac:dyDescent="0.25">
      <c r="A1895" s="431">
        <v>35455</v>
      </c>
      <c r="B1895" s="432">
        <v>1032.6199999999999</v>
      </c>
      <c r="C1895" s="427">
        <f t="shared" si="58"/>
        <v>1997</v>
      </c>
      <c r="D1895" s="433">
        <f t="shared" si="59"/>
        <v>1032.6199999999999</v>
      </c>
    </row>
    <row r="1896" spans="1:4" ht="16.149999999999999" customHeight="1" x14ac:dyDescent="0.25">
      <c r="A1896" s="431">
        <v>35456</v>
      </c>
      <c r="B1896" s="434">
        <v>1032.6199999999999</v>
      </c>
      <c r="C1896" s="427">
        <f t="shared" si="58"/>
        <v>1997</v>
      </c>
      <c r="D1896" s="433">
        <f t="shared" si="59"/>
        <v>1032.6199999999999</v>
      </c>
    </row>
    <row r="1897" spans="1:4" ht="16.149999999999999" customHeight="1" x14ac:dyDescent="0.25">
      <c r="A1897" s="431">
        <v>35457</v>
      </c>
      <c r="B1897" s="432">
        <v>1032.6199999999999</v>
      </c>
      <c r="C1897" s="427">
        <f t="shared" si="58"/>
        <v>1997</v>
      </c>
      <c r="D1897" s="433">
        <f t="shared" si="59"/>
        <v>1032.6199999999999</v>
      </c>
    </row>
    <row r="1898" spans="1:4" ht="16.149999999999999" customHeight="1" x14ac:dyDescent="0.25">
      <c r="A1898" s="431">
        <v>35458</v>
      </c>
      <c r="B1898" s="434">
        <v>1040.07</v>
      </c>
      <c r="C1898" s="427">
        <f t="shared" si="58"/>
        <v>1997</v>
      </c>
      <c r="D1898" s="433">
        <f t="shared" si="59"/>
        <v>1040.07</v>
      </c>
    </row>
    <row r="1899" spans="1:4" ht="16.149999999999999" customHeight="1" x14ac:dyDescent="0.25">
      <c r="A1899" s="431">
        <v>35459</v>
      </c>
      <c r="B1899" s="432">
        <v>1057</v>
      </c>
      <c r="C1899" s="427">
        <f t="shared" si="58"/>
        <v>1997</v>
      </c>
      <c r="D1899" s="433">
        <f t="shared" si="59"/>
        <v>1057</v>
      </c>
    </row>
    <row r="1900" spans="1:4" ht="16.149999999999999" customHeight="1" x14ac:dyDescent="0.25">
      <c r="A1900" s="431">
        <v>35460</v>
      </c>
      <c r="B1900" s="434">
        <v>1057.82</v>
      </c>
      <c r="C1900" s="427">
        <f t="shared" si="58"/>
        <v>1997</v>
      </c>
      <c r="D1900" s="433">
        <f t="shared" si="59"/>
        <v>1057.82</v>
      </c>
    </row>
    <row r="1901" spans="1:4" ht="16.149999999999999" customHeight="1" x14ac:dyDescent="0.25">
      <c r="A1901" s="431">
        <v>35461</v>
      </c>
      <c r="B1901" s="432">
        <v>1070.97</v>
      </c>
      <c r="C1901" s="427">
        <f t="shared" si="58"/>
        <v>1997</v>
      </c>
      <c r="D1901" s="433">
        <f t="shared" si="59"/>
        <v>1070.97</v>
      </c>
    </row>
    <row r="1902" spans="1:4" ht="16.149999999999999" customHeight="1" x14ac:dyDescent="0.25">
      <c r="A1902" s="431">
        <v>35462</v>
      </c>
      <c r="B1902" s="434">
        <v>1064</v>
      </c>
      <c r="C1902" s="427">
        <f t="shared" si="58"/>
        <v>1997</v>
      </c>
      <c r="D1902" s="433">
        <f t="shared" si="59"/>
        <v>1064</v>
      </c>
    </row>
    <row r="1903" spans="1:4" ht="16.149999999999999" customHeight="1" x14ac:dyDescent="0.25">
      <c r="A1903" s="431">
        <v>35463</v>
      </c>
      <c r="B1903" s="432">
        <v>1064</v>
      </c>
      <c r="C1903" s="427">
        <f t="shared" si="58"/>
        <v>1997</v>
      </c>
      <c r="D1903" s="433">
        <f t="shared" si="59"/>
        <v>1064</v>
      </c>
    </row>
    <row r="1904" spans="1:4" ht="16.149999999999999" customHeight="1" x14ac:dyDescent="0.25">
      <c r="A1904" s="431">
        <v>35464</v>
      </c>
      <c r="B1904" s="434">
        <v>1064</v>
      </c>
      <c r="C1904" s="427">
        <f t="shared" si="58"/>
        <v>1997</v>
      </c>
      <c r="D1904" s="433">
        <f t="shared" si="59"/>
        <v>1064</v>
      </c>
    </row>
    <row r="1905" spans="1:4" ht="16.149999999999999" customHeight="1" x14ac:dyDescent="0.25">
      <c r="A1905" s="431">
        <v>35465</v>
      </c>
      <c r="B1905" s="432">
        <v>1065.98</v>
      </c>
      <c r="C1905" s="427">
        <f t="shared" si="58"/>
        <v>1997</v>
      </c>
      <c r="D1905" s="433">
        <f t="shared" si="59"/>
        <v>1065.98</v>
      </c>
    </row>
    <row r="1906" spans="1:4" ht="16.149999999999999" customHeight="1" x14ac:dyDescent="0.25">
      <c r="A1906" s="431">
        <v>35466</v>
      </c>
      <c r="B1906" s="434">
        <v>1076.25</v>
      </c>
      <c r="C1906" s="427">
        <f t="shared" si="58"/>
        <v>1997</v>
      </c>
      <c r="D1906" s="433">
        <f t="shared" si="59"/>
        <v>1076.25</v>
      </c>
    </row>
    <row r="1907" spans="1:4" ht="16.149999999999999" customHeight="1" x14ac:dyDescent="0.25">
      <c r="A1907" s="431">
        <v>35467</v>
      </c>
      <c r="B1907" s="432">
        <v>1071.8800000000001</v>
      </c>
      <c r="C1907" s="427">
        <f t="shared" si="58"/>
        <v>1997</v>
      </c>
      <c r="D1907" s="433">
        <f t="shared" si="59"/>
        <v>1071.8800000000001</v>
      </c>
    </row>
    <row r="1908" spans="1:4" ht="16.149999999999999" customHeight="1" x14ac:dyDescent="0.25">
      <c r="A1908" s="431">
        <v>35468</v>
      </c>
      <c r="B1908" s="434">
        <v>1070.08</v>
      </c>
      <c r="C1908" s="427">
        <f t="shared" si="58"/>
        <v>1997</v>
      </c>
      <c r="D1908" s="433">
        <f t="shared" si="59"/>
        <v>1070.08</v>
      </c>
    </row>
    <row r="1909" spans="1:4" ht="16.149999999999999" customHeight="1" x14ac:dyDescent="0.25">
      <c r="A1909" s="431">
        <v>35469</v>
      </c>
      <c r="B1909" s="432">
        <v>1066.44</v>
      </c>
      <c r="C1909" s="427">
        <f t="shared" si="58"/>
        <v>1997</v>
      </c>
      <c r="D1909" s="433">
        <f t="shared" si="59"/>
        <v>1066.44</v>
      </c>
    </row>
    <row r="1910" spans="1:4" ht="16.149999999999999" customHeight="1" x14ac:dyDescent="0.25">
      <c r="A1910" s="431">
        <v>35470</v>
      </c>
      <c r="B1910" s="434">
        <v>1066.44</v>
      </c>
      <c r="C1910" s="427">
        <f t="shared" si="58"/>
        <v>1997</v>
      </c>
      <c r="D1910" s="433">
        <f t="shared" si="59"/>
        <v>1066.44</v>
      </c>
    </row>
    <row r="1911" spans="1:4" ht="16.149999999999999" customHeight="1" x14ac:dyDescent="0.25">
      <c r="A1911" s="431">
        <v>35471</v>
      </c>
      <c r="B1911" s="432">
        <v>1066.44</v>
      </c>
      <c r="C1911" s="427">
        <f t="shared" si="58"/>
        <v>1997</v>
      </c>
      <c r="D1911" s="433">
        <f t="shared" si="59"/>
        <v>1066.44</v>
      </c>
    </row>
    <row r="1912" spans="1:4" ht="16.149999999999999" customHeight="1" x14ac:dyDescent="0.25">
      <c r="A1912" s="431">
        <v>35472</v>
      </c>
      <c r="B1912" s="434">
        <v>1074.25</v>
      </c>
      <c r="C1912" s="427">
        <f t="shared" si="58"/>
        <v>1997</v>
      </c>
      <c r="D1912" s="433">
        <f t="shared" si="59"/>
        <v>1074.25</v>
      </c>
    </row>
    <row r="1913" spans="1:4" ht="16.149999999999999" customHeight="1" x14ac:dyDescent="0.25">
      <c r="A1913" s="431">
        <v>35473</v>
      </c>
      <c r="B1913" s="432">
        <v>1075.17</v>
      </c>
      <c r="C1913" s="427">
        <f t="shared" si="58"/>
        <v>1997</v>
      </c>
      <c r="D1913" s="433">
        <f t="shared" si="59"/>
        <v>1075.17</v>
      </c>
    </row>
    <row r="1914" spans="1:4" ht="16.149999999999999" customHeight="1" x14ac:dyDescent="0.25">
      <c r="A1914" s="431">
        <v>35474</v>
      </c>
      <c r="B1914" s="434">
        <v>1075.51</v>
      </c>
      <c r="C1914" s="427">
        <f t="shared" si="58"/>
        <v>1997</v>
      </c>
      <c r="D1914" s="433">
        <f t="shared" si="59"/>
        <v>1075.51</v>
      </c>
    </row>
    <row r="1915" spans="1:4" ht="16.149999999999999" customHeight="1" x14ac:dyDescent="0.25">
      <c r="A1915" s="431">
        <v>35475</v>
      </c>
      <c r="B1915" s="432">
        <v>1073.3599999999999</v>
      </c>
      <c r="C1915" s="427">
        <f t="shared" si="58"/>
        <v>1997</v>
      </c>
      <c r="D1915" s="433">
        <f t="shared" si="59"/>
        <v>1073.3599999999999</v>
      </c>
    </row>
    <row r="1916" spans="1:4" ht="16.149999999999999" customHeight="1" x14ac:dyDescent="0.25">
      <c r="A1916" s="431">
        <v>35476</v>
      </c>
      <c r="B1916" s="434">
        <v>1075</v>
      </c>
      <c r="C1916" s="427">
        <f t="shared" si="58"/>
        <v>1997</v>
      </c>
      <c r="D1916" s="433">
        <f t="shared" si="59"/>
        <v>1075</v>
      </c>
    </row>
    <row r="1917" spans="1:4" ht="16.149999999999999" customHeight="1" x14ac:dyDescent="0.25">
      <c r="A1917" s="431">
        <v>35477</v>
      </c>
      <c r="B1917" s="432">
        <v>1075</v>
      </c>
      <c r="C1917" s="427">
        <f t="shared" si="58"/>
        <v>1997</v>
      </c>
      <c r="D1917" s="433">
        <f t="shared" si="59"/>
        <v>1075</v>
      </c>
    </row>
    <row r="1918" spans="1:4" ht="16.149999999999999" customHeight="1" x14ac:dyDescent="0.25">
      <c r="A1918" s="431">
        <v>35478</v>
      </c>
      <c r="B1918" s="434">
        <v>1075</v>
      </c>
      <c r="C1918" s="427">
        <f t="shared" si="58"/>
        <v>1997</v>
      </c>
      <c r="D1918" s="433">
        <f t="shared" si="59"/>
        <v>1075</v>
      </c>
    </row>
    <row r="1919" spans="1:4" ht="16.149999999999999" customHeight="1" x14ac:dyDescent="0.25">
      <c r="A1919" s="431">
        <v>35479</v>
      </c>
      <c r="B1919" s="432">
        <v>1076.04</v>
      </c>
      <c r="C1919" s="427">
        <f t="shared" si="58"/>
        <v>1997</v>
      </c>
      <c r="D1919" s="433">
        <f t="shared" si="59"/>
        <v>1076.04</v>
      </c>
    </row>
    <row r="1920" spans="1:4" ht="16.149999999999999" customHeight="1" x14ac:dyDescent="0.25">
      <c r="A1920" s="431">
        <v>35480</v>
      </c>
      <c r="B1920" s="434">
        <v>1075.1099999999999</v>
      </c>
      <c r="C1920" s="427">
        <f t="shared" si="58"/>
        <v>1997</v>
      </c>
      <c r="D1920" s="433">
        <f t="shared" si="59"/>
        <v>1075.1099999999999</v>
      </c>
    </row>
    <row r="1921" spans="1:4" ht="16.149999999999999" customHeight="1" x14ac:dyDescent="0.25">
      <c r="A1921" s="431">
        <v>35481</v>
      </c>
      <c r="B1921" s="432">
        <v>1074.5</v>
      </c>
      <c r="C1921" s="427">
        <f t="shared" si="58"/>
        <v>1997</v>
      </c>
      <c r="D1921" s="433">
        <f t="shared" si="59"/>
        <v>1074.5</v>
      </c>
    </row>
    <row r="1922" spans="1:4" ht="16.149999999999999" customHeight="1" x14ac:dyDescent="0.25">
      <c r="A1922" s="431">
        <v>35482</v>
      </c>
      <c r="B1922" s="434">
        <v>1074.0999999999999</v>
      </c>
      <c r="C1922" s="427">
        <f t="shared" si="58"/>
        <v>1997</v>
      </c>
      <c r="D1922" s="433">
        <f t="shared" si="59"/>
        <v>1074.0999999999999</v>
      </c>
    </row>
    <row r="1923" spans="1:4" ht="16.149999999999999" customHeight="1" x14ac:dyDescent="0.25">
      <c r="A1923" s="431">
        <v>35483</v>
      </c>
      <c r="B1923" s="432">
        <v>1073.42</v>
      </c>
      <c r="C1923" s="427">
        <f t="shared" si="58"/>
        <v>1997</v>
      </c>
      <c r="D1923" s="433">
        <f t="shared" si="59"/>
        <v>1073.42</v>
      </c>
    </row>
    <row r="1924" spans="1:4" ht="16.149999999999999" customHeight="1" x14ac:dyDescent="0.25">
      <c r="A1924" s="431">
        <v>35484</v>
      </c>
      <c r="B1924" s="434">
        <v>1073.42</v>
      </c>
      <c r="C1924" s="427">
        <f t="shared" si="58"/>
        <v>1997</v>
      </c>
      <c r="D1924" s="433">
        <f t="shared" si="59"/>
        <v>1073.42</v>
      </c>
    </row>
    <row r="1925" spans="1:4" ht="16.149999999999999" customHeight="1" x14ac:dyDescent="0.25">
      <c r="A1925" s="431">
        <v>35485</v>
      </c>
      <c r="B1925" s="432">
        <v>1073.42</v>
      </c>
      <c r="C1925" s="427">
        <f t="shared" si="58"/>
        <v>1997</v>
      </c>
      <c r="D1925" s="433">
        <f t="shared" si="59"/>
        <v>1073.42</v>
      </c>
    </row>
    <row r="1926" spans="1:4" ht="16.149999999999999" customHeight="1" x14ac:dyDescent="0.25">
      <c r="A1926" s="431">
        <v>35486</v>
      </c>
      <c r="B1926" s="434">
        <v>1078.23</v>
      </c>
      <c r="C1926" s="427">
        <f t="shared" si="58"/>
        <v>1997</v>
      </c>
      <c r="D1926" s="433">
        <f t="shared" si="59"/>
        <v>1078.23</v>
      </c>
    </row>
    <row r="1927" spans="1:4" ht="16.149999999999999" customHeight="1" x14ac:dyDescent="0.25">
      <c r="A1927" s="431">
        <v>35487</v>
      </c>
      <c r="B1927" s="432">
        <v>1084.0899999999999</v>
      </c>
      <c r="C1927" s="427">
        <f t="shared" si="58"/>
        <v>1997</v>
      </c>
      <c r="D1927" s="433">
        <f t="shared" si="59"/>
        <v>1084.0899999999999</v>
      </c>
    </row>
    <row r="1928" spans="1:4" ht="16.149999999999999" customHeight="1" x14ac:dyDescent="0.25">
      <c r="A1928" s="431">
        <v>35488</v>
      </c>
      <c r="B1928" s="434">
        <v>1080.93</v>
      </c>
      <c r="C1928" s="427">
        <f t="shared" si="58"/>
        <v>1997</v>
      </c>
      <c r="D1928" s="433">
        <f t="shared" si="59"/>
        <v>1080.93</v>
      </c>
    </row>
    <row r="1929" spans="1:4" ht="16.149999999999999" customHeight="1" x14ac:dyDescent="0.25">
      <c r="A1929" s="431">
        <v>35489</v>
      </c>
      <c r="B1929" s="432">
        <v>1080.51</v>
      </c>
      <c r="C1929" s="427">
        <f t="shared" si="58"/>
        <v>1997</v>
      </c>
      <c r="D1929" s="433">
        <f t="shared" si="59"/>
        <v>1080.51</v>
      </c>
    </row>
    <row r="1930" spans="1:4" ht="16.149999999999999" customHeight="1" x14ac:dyDescent="0.25">
      <c r="A1930" s="431">
        <v>35490</v>
      </c>
      <c r="B1930" s="434">
        <v>1077.07</v>
      </c>
      <c r="C1930" s="427">
        <f t="shared" ref="C1930:C1993" si="60">YEAR(A1930)</f>
        <v>1997</v>
      </c>
      <c r="D1930" s="433">
        <f t="shared" ref="D1930:D1993" si="61">B1930</f>
        <v>1077.07</v>
      </c>
    </row>
    <row r="1931" spans="1:4" ht="16.149999999999999" customHeight="1" x14ac:dyDescent="0.25">
      <c r="A1931" s="431">
        <v>35491</v>
      </c>
      <c r="B1931" s="432">
        <v>1077.07</v>
      </c>
      <c r="C1931" s="427">
        <f t="shared" si="60"/>
        <v>1997</v>
      </c>
      <c r="D1931" s="433">
        <f t="shared" si="61"/>
        <v>1077.07</v>
      </c>
    </row>
    <row r="1932" spans="1:4" ht="16.149999999999999" customHeight="1" x14ac:dyDescent="0.25">
      <c r="A1932" s="431">
        <v>35492</v>
      </c>
      <c r="B1932" s="434">
        <v>1077.07</v>
      </c>
      <c r="C1932" s="427">
        <f t="shared" si="60"/>
        <v>1997</v>
      </c>
      <c r="D1932" s="433">
        <f t="shared" si="61"/>
        <v>1077.07</v>
      </c>
    </row>
    <row r="1933" spans="1:4" ht="16.149999999999999" customHeight="1" x14ac:dyDescent="0.25">
      <c r="A1933" s="431">
        <v>35493</v>
      </c>
      <c r="B1933" s="432">
        <v>1075.8599999999999</v>
      </c>
      <c r="C1933" s="427">
        <f t="shared" si="60"/>
        <v>1997</v>
      </c>
      <c r="D1933" s="433">
        <f t="shared" si="61"/>
        <v>1075.8599999999999</v>
      </c>
    </row>
    <row r="1934" spans="1:4" ht="16.149999999999999" customHeight="1" x14ac:dyDescent="0.25">
      <c r="A1934" s="431">
        <v>35494</v>
      </c>
      <c r="B1934" s="434">
        <v>1067.77</v>
      </c>
      <c r="C1934" s="427">
        <f t="shared" si="60"/>
        <v>1997</v>
      </c>
      <c r="D1934" s="433">
        <f t="shared" si="61"/>
        <v>1067.77</v>
      </c>
    </row>
    <row r="1935" spans="1:4" ht="16.149999999999999" customHeight="1" x14ac:dyDescent="0.25">
      <c r="A1935" s="431">
        <v>35495</v>
      </c>
      <c r="B1935" s="432">
        <v>1063.44</v>
      </c>
      <c r="C1935" s="427">
        <f t="shared" si="60"/>
        <v>1997</v>
      </c>
      <c r="D1935" s="433">
        <f t="shared" si="61"/>
        <v>1063.44</v>
      </c>
    </row>
    <row r="1936" spans="1:4" ht="16.149999999999999" customHeight="1" x14ac:dyDescent="0.25">
      <c r="A1936" s="431">
        <v>35496</v>
      </c>
      <c r="B1936" s="434">
        <v>1057.58</v>
      </c>
      <c r="C1936" s="427">
        <f t="shared" si="60"/>
        <v>1997</v>
      </c>
      <c r="D1936" s="433">
        <f t="shared" si="61"/>
        <v>1057.58</v>
      </c>
    </row>
    <row r="1937" spans="1:4" ht="16.149999999999999" customHeight="1" x14ac:dyDescent="0.25">
      <c r="A1937" s="431">
        <v>35497</v>
      </c>
      <c r="B1937" s="432">
        <v>1054.05</v>
      </c>
      <c r="C1937" s="427">
        <f t="shared" si="60"/>
        <v>1997</v>
      </c>
      <c r="D1937" s="433">
        <f t="shared" si="61"/>
        <v>1054.05</v>
      </c>
    </row>
    <row r="1938" spans="1:4" ht="16.149999999999999" customHeight="1" x14ac:dyDescent="0.25">
      <c r="A1938" s="431">
        <v>35498</v>
      </c>
      <c r="B1938" s="434">
        <v>1054.05</v>
      </c>
      <c r="C1938" s="427">
        <f t="shared" si="60"/>
        <v>1997</v>
      </c>
      <c r="D1938" s="433">
        <f t="shared" si="61"/>
        <v>1054.05</v>
      </c>
    </row>
    <row r="1939" spans="1:4" ht="16.149999999999999" customHeight="1" x14ac:dyDescent="0.25">
      <c r="A1939" s="431">
        <v>35499</v>
      </c>
      <c r="B1939" s="432">
        <v>1054.05</v>
      </c>
      <c r="C1939" s="427">
        <f t="shared" si="60"/>
        <v>1997</v>
      </c>
      <c r="D1939" s="433">
        <f t="shared" si="61"/>
        <v>1054.05</v>
      </c>
    </row>
    <row r="1940" spans="1:4" ht="16.149999999999999" customHeight="1" x14ac:dyDescent="0.25">
      <c r="A1940" s="431">
        <v>35500</v>
      </c>
      <c r="B1940" s="434">
        <v>1056.92</v>
      </c>
      <c r="C1940" s="427">
        <f t="shared" si="60"/>
        <v>1997</v>
      </c>
      <c r="D1940" s="433">
        <f t="shared" si="61"/>
        <v>1056.92</v>
      </c>
    </row>
    <row r="1941" spans="1:4" ht="16.149999999999999" customHeight="1" x14ac:dyDescent="0.25">
      <c r="A1941" s="431">
        <v>35501</v>
      </c>
      <c r="B1941" s="432">
        <v>1062.73</v>
      </c>
      <c r="C1941" s="427">
        <f t="shared" si="60"/>
        <v>1997</v>
      </c>
      <c r="D1941" s="433">
        <f t="shared" si="61"/>
        <v>1062.73</v>
      </c>
    </row>
    <row r="1942" spans="1:4" ht="16.149999999999999" customHeight="1" x14ac:dyDescent="0.25">
      <c r="A1942" s="431">
        <v>35502</v>
      </c>
      <c r="B1942" s="434">
        <v>1063.33</v>
      </c>
      <c r="C1942" s="427">
        <f t="shared" si="60"/>
        <v>1997</v>
      </c>
      <c r="D1942" s="433">
        <f t="shared" si="61"/>
        <v>1063.33</v>
      </c>
    </row>
    <row r="1943" spans="1:4" ht="16.149999999999999" customHeight="1" x14ac:dyDescent="0.25">
      <c r="A1943" s="431">
        <v>35503</v>
      </c>
      <c r="B1943" s="432">
        <v>1060.3499999999999</v>
      </c>
      <c r="C1943" s="427">
        <f t="shared" si="60"/>
        <v>1997</v>
      </c>
      <c r="D1943" s="433">
        <f t="shared" si="61"/>
        <v>1060.3499999999999</v>
      </c>
    </row>
    <row r="1944" spans="1:4" ht="16.149999999999999" customHeight="1" x14ac:dyDescent="0.25">
      <c r="A1944" s="431">
        <v>35504</v>
      </c>
      <c r="B1944" s="434">
        <v>1060.8599999999999</v>
      </c>
      <c r="C1944" s="427">
        <f t="shared" si="60"/>
        <v>1997</v>
      </c>
      <c r="D1944" s="433">
        <f t="shared" si="61"/>
        <v>1060.8599999999999</v>
      </c>
    </row>
    <row r="1945" spans="1:4" ht="16.149999999999999" customHeight="1" x14ac:dyDescent="0.25">
      <c r="A1945" s="431">
        <v>35505</v>
      </c>
      <c r="B1945" s="432">
        <v>1060.8599999999999</v>
      </c>
      <c r="C1945" s="427">
        <f t="shared" si="60"/>
        <v>1997</v>
      </c>
      <c r="D1945" s="433">
        <f t="shared" si="61"/>
        <v>1060.8599999999999</v>
      </c>
    </row>
    <row r="1946" spans="1:4" ht="16.149999999999999" customHeight="1" x14ac:dyDescent="0.25">
      <c r="A1946" s="431">
        <v>35506</v>
      </c>
      <c r="B1946" s="434">
        <v>1060.8599999999999</v>
      </c>
      <c r="C1946" s="427">
        <f t="shared" si="60"/>
        <v>1997</v>
      </c>
      <c r="D1946" s="433">
        <f t="shared" si="61"/>
        <v>1060.8599999999999</v>
      </c>
    </row>
    <row r="1947" spans="1:4" ht="16.149999999999999" customHeight="1" x14ac:dyDescent="0.25">
      <c r="A1947" s="431">
        <v>35507</v>
      </c>
      <c r="B1947" s="432">
        <v>1059.8699999999999</v>
      </c>
      <c r="C1947" s="427">
        <f t="shared" si="60"/>
        <v>1997</v>
      </c>
      <c r="D1947" s="433">
        <f t="shared" si="61"/>
        <v>1059.8699999999999</v>
      </c>
    </row>
    <row r="1948" spans="1:4" ht="16.149999999999999" customHeight="1" x14ac:dyDescent="0.25">
      <c r="A1948" s="431">
        <v>35508</v>
      </c>
      <c r="B1948" s="434">
        <v>1058.6099999999999</v>
      </c>
      <c r="C1948" s="427">
        <f t="shared" si="60"/>
        <v>1997</v>
      </c>
      <c r="D1948" s="433">
        <f t="shared" si="61"/>
        <v>1058.6099999999999</v>
      </c>
    </row>
    <row r="1949" spans="1:4" ht="16.149999999999999" customHeight="1" x14ac:dyDescent="0.25">
      <c r="A1949" s="431">
        <v>35509</v>
      </c>
      <c r="B1949" s="432">
        <v>1060.31</v>
      </c>
      <c r="C1949" s="427">
        <f t="shared" si="60"/>
        <v>1997</v>
      </c>
      <c r="D1949" s="433">
        <f t="shared" si="61"/>
        <v>1060.31</v>
      </c>
    </row>
    <row r="1950" spans="1:4" ht="16.149999999999999" customHeight="1" x14ac:dyDescent="0.25">
      <c r="A1950" s="431">
        <v>35510</v>
      </c>
      <c r="B1950" s="434">
        <v>1060.6600000000001</v>
      </c>
      <c r="C1950" s="427">
        <f t="shared" si="60"/>
        <v>1997</v>
      </c>
      <c r="D1950" s="433">
        <f t="shared" si="61"/>
        <v>1060.6600000000001</v>
      </c>
    </row>
    <row r="1951" spans="1:4" ht="16.149999999999999" customHeight="1" x14ac:dyDescent="0.25">
      <c r="A1951" s="431">
        <v>35511</v>
      </c>
      <c r="B1951" s="432">
        <v>1060.03</v>
      </c>
      <c r="C1951" s="427">
        <f t="shared" si="60"/>
        <v>1997</v>
      </c>
      <c r="D1951" s="433">
        <f t="shared" si="61"/>
        <v>1060.03</v>
      </c>
    </row>
    <row r="1952" spans="1:4" ht="16.149999999999999" customHeight="1" x14ac:dyDescent="0.25">
      <c r="A1952" s="431">
        <v>35512</v>
      </c>
      <c r="B1952" s="434">
        <v>1060.03</v>
      </c>
      <c r="C1952" s="427">
        <f t="shared" si="60"/>
        <v>1997</v>
      </c>
      <c r="D1952" s="433">
        <f t="shared" si="61"/>
        <v>1060.03</v>
      </c>
    </row>
    <row r="1953" spans="1:4" ht="16.149999999999999" customHeight="1" x14ac:dyDescent="0.25">
      <c r="A1953" s="431">
        <v>35513</v>
      </c>
      <c r="B1953" s="432">
        <v>1060.03</v>
      </c>
      <c r="C1953" s="427">
        <f t="shared" si="60"/>
        <v>1997</v>
      </c>
      <c r="D1953" s="433">
        <f t="shared" si="61"/>
        <v>1060.03</v>
      </c>
    </row>
    <row r="1954" spans="1:4" ht="16.149999999999999" customHeight="1" x14ac:dyDescent="0.25">
      <c r="A1954" s="431">
        <v>35514</v>
      </c>
      <c r="B1954" s="434">
        <v>1060.03</v>
      </c>
      <c r="C1954" s="427">
        <f t="shared" si="60"/>
        <v>1997</v>
      </c>
      <c r="D1954" s="433">
        <f t="shared" si="61"/>
        <v>1060.03</v>
      </c>
    </row>
    <row r="1955" spans="1:4" ht="16.149999999999999" customHeight="1" x14ac:dyDescent="0.25">
      <c r="A1955" s="431">
        <v>35515</v>
      </c>
      <c r="B1955" s="432">
        <v>1059.53</v>
      </c>
      <c r="C1955" s="427">
        <f t="shared" si="60"/>
        <v>1997</v>
      </c>
      <c r="D1955" s="433">
        <f t="shared" si="61"/>
        <v>1059.53</v>
      </c>
    </row>
    <row r="1956" spans="1:4" ht="16.149999999999999" customHeight="1" x14ac:dyDescent="0.25">
      <c r="A1956" s="431">
        <v>35516</v>
      </c>
      <c r="B1956" s="434">
        <v>1059.8800000000001</v>
      </c>
      <c r="C1956" s="427">
        <f t="shared" si="60"/>
        <v>1997</v>
      </c>
      <c r="D1956" s="433">
        <f t="shared" si="61"/>
        <v>1059.8800000000001</v>
      </c>
    </row>
    <row r="1957" spans="1:4" ht="16.149999999999999" customHeight="1" x14ac:dyDescent="0.25">
      <c r="A1957" s="431">
        <v>35517</v>
      </c>
      <c r="B1957" s="432">
        <v>1059.8800000000001</v>
      </c>
      <c r="C1957" s="427">
        <f t="shared" si="60"/>
        <v>1997</v>
      </c>
      <c r="D1957" s="433">
        <f t="shared" si="61"/>
        <v>1059.8800000000001</v>
      </c>
    </row>
    <row r="1958" spans="1:4" ht="16.149999999999999" customHeight="1" x14ac:dyDescent="0.25">
      <c r="A1958" s="431">
        <v>35518</v>
      </c>
      <c r="B1958" s="434">
        <v>1059.8800000000001</v>
      </c>
      <c r="C1958" s="427">
        <f t="shared" si="60"/>
        <v>1997</v>
      </c>
      <c r="D1958" s="433">
        <f t="shared" si="61"/>
        <v>1059.8800000000001</v>
      </c>
    </row>
    <row r="1959" spans="1:4" ht="16.149999999999999" customHeight="1" x14ac:dyDescent="0.25">
      <c r="A1959" s="431">
        <v>35519</v>
      </c>
      <c r="B1959" s="432">
        <v>1059.8800000000001</v>
      </c>
      <c r="C1959" s="427">
        <f t="shared" si="60"/>
        <v>1997</v>
      </c>
      <c r="D1959" s="433">
        <f t="shared" si="61"/>
        <v>1059.8800000000001</v>
      </c>
    </row>
    <row r="1960" spans="1:4" ht="16.149999999999999" customHeight="1" x14ac:dyDescent="0.25">
      <c r="A1960" s="431">
        <v>35520</v>
      </c>
      <c r="B1960" s="434">
        <v>1059.8800000000001</v>
      </c>
      <c r="C1960" s="427">
        <f t="shared" si="60"/>
        <v>1997</v>
      </c>
      <c r="D1960" s="433">
        <f t="shared" si="61"/>
        <v>1059.8800000000001</v>
      </c>
    </row>
    <row r="1961" spans="1:4" ht="16.149999999999999" customHeight="1" x14ac:dyDescent="0.25">
      <c r="A1961" s="431">
        <v>35521</v>
      </c>
      <c r="B1961" s="432">
        <v>1060.93</v>
      </c>
      <c r="C1961" s="427">
        <f t="shared" si="60"/>
        <v>1997</v>
      </c>
      <c r="D1961" s="433">
        <f t="shared" si="61"/>
        <v>1060.93</v>
      </c>
    </row>
    <row r="1962" spans="1:4" ht="16.149999999999999" customHeight="1" x14ac:dyDescent="0.25">
      <c r="A1962" s="431">
        <v>35522</v>
      </c>
      <c r="B1962" s="434">
        <v>1061.98</v>
      </c>
      <c r="C1962" s="427">
        <f t="shared" si="60"/>
        <v>1997</v>
      </c>
      <c r="D1962" s="433">
        <f t="shared" si="61"/>
        <v>1061.98</v>
      </c>
    </row>
    <row r="1963" spans="1:4" ht="16.149999999999999" customHeight="1" x14ac:dyDescent="0.25">
      <c r="A1963" s="431">
        <v>35523</v>
      </c>
      <c r="B1963" s="432">
        <v>1061.95</v>
      </c>
      <c r="C1963" s="427">
        <f t="shared" si="60"/>
        <v>1997</v>
      </c>
      <c r="D1963" s="433">
        <f t="shared" si="61"/>
        <v>1061.95</v>
      </c>
    </row>
    <row r="1964" spans="1:4" ht="16.149999999999999" customHeight="1" x14ac:dyDescent="0.25">
      <c r="A1964" s="431">
        <v>35524</v>
      </c>
      <c r="B1964" s="434">
        <v>1062.46</v>
      </c>
      <c r="C1964" s="427">
        <f t="shared" si="60"/>
        <v>1997</v>
      </c>
      <c r="D1964" s="433">
        <f t="shared" si="61"/>
        <v>1062.46</v>
      </c>
    </row>
    <row r="1965" spans="1:4" ht="16.149999999999999" customHeight="1" x14ac:dyDescent="0.25">
      <c r="A1965" s="431">
        <v>35525</v>
      </c>
      <c r="B1965" s="432">
        <v>1062.58</v>
      </c>
      <c r="C1965" s="427">
        <f t="shared" si="60"/>
        <v>1997</v>
      </c>
      <c r="D1965" s="433">
        <f t="shared" si="61"/>
        <v>1062.58</v>
      </c>
    </row>
    <row r="1966" spans="1:4" ht="16.149999999999999" customHeight="1" x14ac:dyDescent="0.25">
      <c r="A1966" s="431">
        <v>35526</v>
      </c>
      <c r="B1966" s="434">
        <v>1062.58</v>
      </c>
      <c r="C1966" s="427">
        <f t="shared" si="60"/>
        <v>1997</v>
      </c>
      <c r="D1966" s="433">
        <f t="shared" si="61"/>
        <v>1062.58</v>
      </c>
    </row>
    <row r="1967" spans="1:4" ht="16.149999999999999" customHeight="1" x14ac:dyDescent="0.25">
      <c r="A1967" s="431">
        <v>35527</v>
      </c>
      <c r="B1967" s="432">
        <v>1062.58</v>
      </c>
      <c r="C1967" s="427">
        <f t="shared" si="60"/>
        <v>1997</v>
      </c>
      <c r="D1967" s="433">
        <f t="shared" si="61"/>
        <v>1062.58</v>
      </c>
    </row>
    <row r="1968" spans="1:4" ht="16.149999999999999" customHeight="1" x14ac:dyDescent="0.25">
      <c r="A1968" s="431">
        <v>35528</v>
      </c>
      <c r="B1968" s="434">
        <v>1063.3</v>
      </c>
      <c r="C1968" s="427">
        <f t="shared" si="60"/>
        <v>1997</v>
      </c>
      <c r="D1968" s="433">
        <f t="shared" si="61"/>
        <v>1063.3</v>
      </c>
    </row>
    <row r="1969" spans="1:4" ht="16.149999999999999" customHeight="1" x14ac:dyDescent="0.25">
      <c r="A1969" s="431">
        <v>35529</v>
      </c>
      <c r="B1969" s="432">
        <v>1062.67</v>
      </c>
      <c r="C1969" s="427">
        <f t="shared" si="60"/>
        <v>1997</v>
      </c>
      <c r="D1969" s="433">
        <f t="shared" si="61"/>
        <v>1062.67</v>
      </c>
    </row>
    <row r="1970" spans="1:4" ht="16.149999999999999" customHeight="1" x14ac:dyDescent="0.25">
      <c r="A1970" s="431">
        <v>35530</v>
      </c>
      <c r="B1970" s="434">
        <v>1062.78</v>
      </c>
      <c r="C1970" s="427">
        <f t="shared" si="60"/>
        <v>1997</v>
      </c>
      <c r="D1970" s="433">
        <f t="shared" si="61"/>
        <v>1062.78</v>
      </c>
    </row>
    <row r="1971" spans="1:4" ht="16.149999999999999" customHeight="1" x14ac:dyDescent="0.25">
      <c r="A1971" s="431">
        <v>35531</v>
      </c>
      <c r="B1971" s="432">
        <v>1060.71</v>
      </c>
      <c r="C1971" s="427">
        <f t="shared" si="60"/>
        <v>1997</v>
      </c>
      <c r="D1971" s="433">
        <f t="shared" si="61"/>
        <v>1060.71</v>
      </c>
    </row>
    <row r="1972" spans="1:4" ht="16.149999999999999" customHeight="1" x14ac:dyDescent="0.25">
      <c r="A1972" s="431">
        <v>35532</v>
      </c>
      <c r="B1972" s="434">
        <v>1058.76</v>
      </c>
      <c r="C1972" s="427">
        <f t="shared" si="60"/>
        <v>1997</v>
      </c>
      <c r="D1972" s="433">
        <f t="shared" si="61"/>
        <v>1058.76</v>
      </c>
    </row>
    <row r="1973" spans="1:4" ht="16.149999999999999" customHeight="1" x14ac:dyDescent="0.25">
      <c r="A1973" s="431">
        <v>35533</v>
      </c>
      <c r="B1973" s="432">
        <v>1058.76</v>
      </c>
      <c r="C1973" s="427">
        <f t="shared" si="60"/>
        <v>1997</v>
      </c>
      <c r="D1973" s="433">
        <f t="shared" si="61"/>
        <v>1058.76</v>
      </c>
    </row>
    <row r="1974" spans="1:4" ht="16.149999999999999" customHeight="1" x14ac:dyDescent="0.25">
      <c r="A1974" s="431">
        <v>35534</v>
      </c>
      <c r="B1974" s="434">
        <v>1058.76</v>
      </c>
      <c r="C1974" s="427">
        <f t="shared" si="60"/>
        <v>1997</v>
      </c>
      <c r="D1974" s="433">
        <f t="shared" si="61"/>
        <v>1058.76</v>
      </c>
    </row>
    <row r="1975" spans="1:4" ht="16.149999999999999" customHeight="1" x14ac:dyDescent="0.25">
      <c r="A1975" s="431">
        <v>35535</v>
      </c>
      <c r="B1975" s="432">
        <v>1058.73</v>
      </c>
      <c r="C1975" s="427">
        <f t="shared" si="60"/>
        <v>1997</v>
      </c>
      <c r="D1975" s="433">
        <f t="shared" si="61"/>
        <v>1058.73</v>
      </c>
    </row>
    <row r="1976" spans="1:4" ht="16.149999999999999" customHeight="1" x14ac:dyDescent="0.25">
      <c r="A1976" s="431">
        <v>35536</v>
      </c>
      <c r="B1976" s="434">
        <v>1058.97</v>
      </c>
      <c r="C1976" s="427">
        <f t="shared" si="60"/>
        <v>1997</v>
      </c>
      <c r="D1976" s="433">
        <f t="shared" si="61"/>
        <v>1058.97</v>
      </c>
    </row>
    <row r="1977" spans="1:4" ht="16.149999999999999" customHeight="1" x14ac:dyDescent="0.25">
      <c r="A1977" s="431">
        <v>35537</v>
      </c>
      <c r="B1977" s="432">
        <v>1056.9100000000001</v>
      </c>
      <c r="C1977" s="427">
        <f t="shared" si="60"/>
        <v>1997</v>
      </c>
      <c r="D1977" s="433">
        <f t="shared" si="61"/>
        <v>1056.9100000000001</v>
      </c>
    </row>
    <row r="1978" spans="1:4" ht="16.149999999999999" customHeight="1" x14ac:dyDescent="0.25">
      <c r="A1978" s="431">
        <v>35538</v>
      </c>
      <c r="B1978" s="434">
        <v>1054.3499999999999</v>
      </c>
      <c r="C1978" s="427">
        <f t="shared" si="60"/>
        <v>1997</v>
      </c>
      <c r="D1978" s="433">
        <f t="shared" si="61"/>
        <v>1054.3499999999999</v>
      </c>
    </row>
    <row r="1979" spans="1:4" ht="16.149999999999999" customHeight="1" x14ac:dyDescent="0.25">
      <c r="A1979" s="431">
        <v>35539</v>
      </c>
      <c r="B1979" s="432">
        <v>1051.43</v>
      </c>
      <c r="C1979" s="427">
        <f t="shared" si="60"/>
        <v>1997</v>
      </c>
      <c r="D1979" s="433">
        <f t="shared" si="61"/>
        <v>1051.43</v>
      </c>
    </row>
    <row r="1980" spans="1:4" ht="16.149999999999999" customHeight="1" x14ac:dyDescent="0.25">
      <c r="A1980" s="431">
        <v>35540</v>
      </c>
      <c r="B1980" s="434">
        <v>1051.43</v>
      </c>
      <c r="C1980" s="427">
        <f t="shared" si="60"/>
        <v>1997</v>
      </c>
      <c r="D1980" s="433">
        <f t="shared" si="61"/>
        <v>1051.43</v>
      </c>
    </row>
    <row r="1981" spans="1:4" ht="16.149999999999999" customHeight="1" x14ac:dyDescent="0.25">
      <c r="A1981" s="431">
        <v>35541</v>
      </c>
      <c r="B1981" s="432">
        <v>1051.43</v>
      </c>
      <c r="C1981" s="427">
        <f t="shared" si="60"/>
        <v>1997</v>
      </c>
      <c r="D1981" s="433">
        <f t="shared" si="61"/>
        <v>1051.43</v>
      </c>
    </row>
    <row r="1982" spans="1:4" ht="16.149999999999999" customHeight="1" x14ac:dyDescent="0.25">
      <c r="A1982" s="431">
        <v>35542</v>
      </c>
      <c r="B1982" s="434">
        <v>1054.94</v>
      </c>
      <c r="C1982" s="427">
        <f t="shared" si="60"/>
        <v>1997</v>
      </c>
      <c r="D1982" s="433">
        <f t="shared" si="61"/>
        <v>1054.94</v>
      </c>
    </row>
    <row r="1983" spans="1:4" ht="16.149999999999999" customHeight="1" x14ac:dyDescent="0.25">
      <c r="A1983" s="431">
        <v>35543</v>
      </c>
      <c r="B1983" s="432">
        <v>1057.6400000000001</v>
      </c>
      <c r="C1983" s="427">
        <f t="shared" si="60"/>
        <v>1997</v>
      </c>
      <c r="D1983" s="433">
        <f t="shared" si="61"/>
        <v>1057.6400000000001</v>
      </c>
    </row>
    <row r="1984" spans="1:4" ht="16.149999999999999" customHeight="1" x14ac:dyDescent="0.25">
      <c r="A1984" s="431">
        <v>35544</v>
      </c>
      <c r="B1984" s="434">
        <v>1065.48</v>
      </c>
      <c r="C1984" s="427">
        <f t="shared" si="60"/>
        <v>1997</v>
      </c>
      <c r="D1984" s="433">
        <f t="shared" si="61"/>
        <v>1065.48</v>
      </c>
    </row>
    <row r="1985" spans="1:4" ht="16.149999999999999" customHeight="1" x14ac:dyDescent="0.25">
      <c r="A1985" s="431">
        <v>35545</v>
      </c>
      <c r="B1985" s="432">
        <v>1066.77</v>
      </c>
      <c r="C1985" s="427">
        <f t="shared" si="60"/>
        <v>1997</v>
      </c>
      <c r="D1985" s="433">
        <f t="shared" si="61"/>
        <v>1066.77</v>
      </c>
    </row>
    <row r="1986" spans="1:4" ht="16.149999999999999" customHeight="1" x14ac:dyDescent="0.25">
      <c r="A1986" s="431">
        <v>35546</v>
      </c>
      <c r="B1986" s="434">
        <v>1063.83</v>
      </c>
      <c r="C1986" s="427">
        <f t="shared" si="60"/>
        <v>1997</v>
      </c>
      <c r="D1986" s="433">
        <f t="shared" si="61"/>
        <v>1063.83</v>
      </c>
    </row>
    <row r="1987" spans="1:4" ht="16.149999999999999" customHeight="1" x14ac:dyDescent="0.25">
      <c r="A1987" s="431">
        <v>35547</v>
      </c>
      <c r="B1987" s="432">
        <v>1063.83</v>
      </c>
      <c r="C1987" s="427">
        <f t="shared" si="60"/>
        <v>1997</v>
      </c>
      <c r="D1987" s="433">
        <f t="shared" si="61"/>
        <v>1063.83</v>
      </c>
    </row>
    <row r="1988" spans="1:4" ht="16.149999999999999" customHeight="1" x14ac:dyDescent="0.25">
      <c r="A1988" s="431">
        <v>35548</v>
      </c>
      <c r="B1988" s="434">
        <v>1063.83</v>
      </c>
      <c r="C1988" s="427">
        <f t="shared" si="60"/>
        <v>1997</v>
      </c>
      <c r="D1988" s="433">
        <f t="shared" si="61"/>
        <v>1063.83</v>
      </c>
    </row>
    <row r="1989" spans="1:4" ht="16.149999999999999" customHeight="1" x14ac:dyDescent="0.25">
      <c r="A1989" s="431">
        <v>35549</v>
      </c>
      <c r="B1989" s="432">
        <v>1064</v>
      </c>
      <c r="C1989" s="427">
        <f t="shared" si="60"/>
        <v>1997</v>
      </c>
      <c r="D1989" s="433">
        <f t="shared" si="61"/>
        <v>1064</v>
      </c>
    </row>
    <row r="1990" spans="1:4" ht="16.149999999999999" customHeight="1" x14ac:dyDescent="0.25">
      <c r="A1990" s="431">
        <v>35550</v>
      </c>
      <c r="B1990" s="434">
        <v>1063.1099999999999</v>
      </c>
      <c r="C1990" s="427">
        <f t="shared" si="60"/>
        <v>1997</v>
      </c>
      <c r="D1990" s="433">
        <f t="shared" si="61"/>
        <v>1063.1099999999999</v>
      </c>
    </row>
    <row r="1991" spans="1:4" ht="16.149999999999999" customHeight="1" x14ac:dyDescent="0.25">
      <c r="A1991" s="431">
        <v>35551</v>
      </c>
      <c r="B1991" s="432">
        <v>1064.01</v>
      </c>
      <c r="C1991" s="427">
        <f t="shared" si="60"/>
        <v>1997</v>
      </c>
      <c r="D1991" s="433">
        <f t="shared" si="61"/>
        <v>1064.01</v>
      </c>
    </row>
    <row r="1992" spans="1:4" ht="16.149999999999999" customHeight="1" x14ac:dyDescent="0.25">
      <c r="A1992" s="431">
        <v>35552</v>
      </c>
      <c r="B1992" s="434">
        <v>1064.01</v>
      </c>
      <c r="C1992" s="427">
        <f t="shared" si="60"/>
        <v>1997</v>
      </c>
      <c r="D1992" s="433">
        <f t="shared" si="61"/>
        <v>1064.01</v>
      </c>
    </row>
    <row r="1993" spans="1:4" ht="16.149999999999999" customHeight="1" x14ac:dyDescent="0.25">
      <c r="A1993" s="431">
        <v>35553</v>
      </c>
      <c r="B1993" s="432">
        <v>1068.53</v>
      </c>
      <c r="C1993" s="427">
        <f t="shared" si="60"/>
        <v>1997</v>
      </c>
      <c r="D1993" s="433">
        <f t="shared" si="61"/>
        <v>1068.53</v>
      </c>
    </row>
    <row r="1994" spans="1:4" ht="16.149999999999999" customHeight="1" x14ac:dyDescent="0.25">
      <c r="A1994" s="431">
        <v>35554</v>
      </c>
      <c r="B1994" s="434">
        <v>1068.53</v>
      </c>
      <c r="C1994" s="427">
        <f t="shared" ref="C1994:C2057" si="62">YEAR(A1994)</f>
        <v>1997</v>
      </c>
      <c r="D1994" s="433">
        <f t="shared" ref="D1994:D2057" si="63">B1994</f>
        <v>1068.53</v>
      </c>
    </row>
    <row r="1995" spans="1:4" ht="16.149999999999999" customHeight="1" x14ac:dyDescent="0.25">
      <c r="A1995" s="431">
        <v>35555</v>
      </c>
      <c r="B1995" s="432">
        <v>1068.53</v>
      </c>
      <c r="C1995" s="427">
        <f t="shared" si="62"/>
        <v>1997</v>
      </c>
      <c r="D1995" s="433">
        <f t="shared" si="63"/>
        <v>1068.53</v>
      </c>
    </row>
    <row r="1996" spans="1:4" ht="16.149999999999999" customHeight="1" x14ac:dyDescent="0.25">
      <c r="A1996" s="431">
        <v>35556</v>
      </c>
      <c r="B1996" s="434">
        <v>1076.3900000000001</v>
      </c>
      <c r="C1996" s="427">
        <f t="shared" si="62"/>
        <v>1997</v>
      </c>
      <c r="D1996" s="433">
        <f t="shared" si="63"/>
        <v>1076.3900000000001</v>
      </c>
    </row>
    <row r="1997" spans="1:4" ht="16.149999999999999" customHeight="1" x14ac:dyDescent="0.25">
      <c r="A1997" s="431">
        <v>35557</v>
      </c>
      <c r="B1997" s="432">
        <v>1080.48</v>
      </c>
      <c r="C1997" s="427">
        <f t="shared" si="62"/>
        <v>1997</v>
      </c>
      <c r="D1997" s="433">
        <f t="shared" si="63"/>
        <v>1080.48</v>
      </c>
    </row>
    <row r="1998" spans="1:4" ht="16.149999999999999" customHeight="1" x14ac:dyDescent="0.25">
      <c r="A1998" s="431">
        <v>35558</v>
      </c>
      <c r="B1998" s="434">
        <v>1075.05</v>
      </c>
      <c r="C1998" s="427">
        <f t="shared" si="62"/>
        <v>1997</v>
      </c>
      <c r="D1998" s="433">
        <f t="shared" si="63"/>
        <v>1075.05</v>
      </c>
    </row>
    <row r="1999" spans="1:4" ht="16.149999999999999" customHeight="1" x14ac:dyDescent="0.25">
      <c r="A1999" s="431">
        <v>35559</v>
      </c>
      <c r="B1999" s="432">
        <v>1073.77</v>
      </c>
      <c r="C1999" s="427">
        <f t="shared" si="62"/>
        <v>1997</v>
      </c>
      <c r="D1999" s="433">
        <f t="shared" si="63"/>
        <v>1073.77</v>
      </c>
    </row>
    <row r="2000" spans="1:4" ht="16.149999999999999" customHeight="1" x14ac:dyDescent="0.25">
      <c r="A2000" s="431">
        <v>35560</v>
      </c>
      <c r="B2000" s="434">
        <v>1076.93</v>
      </c>
      <c r="C2000" s="427">
        <f t="shared" si="62"/>
        <v>1997</v>
      </c>
      <c r="D2000" s="433">
        <f t="shared" si="63"/>
        <v>1076.93</v>
      </c>
    </row>
    <row r="2001" spans="1:4" ht="16.149999999999999" customHeight="1" x14ac:dyDescent="0.25">
      <c r="A2001" s="431">
        <v>35561</v>
      </c>
      <c r="B2001" s="432">
        <v>1076.93</v>
      </c>
      <c r="C2001" s="427">
        <f t="shared" si="62"/>
        <v>1997</v>
      </c>
      <c r="D2001" s="433">
        <f t="shared" si="63"/>
        <v>1076.93</v>
      </c>
    </row>
    <row r="2002" spans="1:4" ht="16.149999999999999" customHeight="1" x14ac:dyDescent="0.25">
      <c r="A2002" s="431">
        <v>35562</v>
      </c>
      <c r="B2002" s="434">
        <v>1076.93</v>
      </c>
      <c r="C2002" s="427">
        <f t="shared" si="62"/>
        <v>1997</v>
      </c>
      <c r="D2002" s="433">
        <f t="shared" si="63"/>
        <v>1076.93</v>
      </c>
    </row>
    <row r="2003" spans="1:4" ht="16.149999999999999" customHeight="1" x14ac:dyDescent="0.25">
      <c r="A2003" s="431">
        <v>35563</v>
      </c>
      <c r="B2003" s="432">
        <v>1076.93</v>
      </c>
      <c r="C2003" s="427">
        <f t="shared" si="62"/>
        <v>1997</v>
      </c>
      <c r="D2003" s="433">
        <f t="shared" si="63"/>
        <v>1076.93</v>
      </c>
    </row>
    <row r="2004" spans="1:4" ht="16.149999999999999" customHeight="1" x14ac:dyDescent="0.25">
      <c r="A2004" s="431">
        <v>35564</v>
      </c>
      <c r="B2004" s="434">
        <v>1077.3599999999999</v>
      </c>
      <c r="C2004" s="427">
        <f t="shared" si="62"/>
        <v>1997</v>
      </c>
      <c r="D2004" s="433">
        <f t="shared" si="63"/>
        <v>1077.3599999999999</v>
      </c>
    </row>
    <row r="2005" spans="1:4" ht="16.149999999999999" customHeight="1" x14ac:dyDescent="0.25">
      <c r="A2005" s="431">
        <v>35565</v>
      </c>
      <c r="B2005" s="432">
        <v>1074.43</v>
      </c>
      <c r="C2005" s="427">
        <f t="shared" si="62"/>
        <v>1997</v>
      </c>
      <c r="D2005" s="433">
        <f t="shared" si="63"/>
        <v>1074.43</v>
      </c>
    </row>
    <row r="2006" spans="1:4" ht="16.149999999999999" customHeight="1" x14ac:dyDescent="0.25">
      <c r="A2006" s="431">
        <v>35566</v>
      </c>
      <c r="B2006" s="434">
        <v>1074.52</v>
      </c>
      <c r="C2006" s="427">
        <f t="shared" si="62"/>
        <v>1997</v>
      </c>
      <c r="D2006" s="433">
        <f t="shared" si="63"/>
        <v>1074.52</v>
      </c>
    </row>
    <row r="2007" spans="1:4" ht="16.149999999999999" customHeight="1" x14ac:dyDescent="0.25">
      <c r="A2007" s="431">
        <v>35567</v>
      </c>
      <c r="B2007" s="432">
        <v>1072.24</v>
      </c>
      <c r="C2007" s="427">
        <f t="shared" si="62"/>
        <v>1997</v>
      </c>
      <c r="D2007" s="433">
        <f t="shared" si="63"/>
        <v>1072.24</v>
      </c>
    </row>
    <row r="2008" spans="1:4" ht="16.149999999999999" customHeight="1" x14ac:dyDescent="0.25">
      <c r="A2008" s="431">
        <v>35568</v>
      </c>
      <c r="B2008" s="434">
        <v>1072.24</v>
      </c>
      <c r="C2008" s="427">
        <f t="shared" si="62"/>
        <v>1997</v>
      </c>
      <c r="D2008" s="433">
        <f t="shared" si="63"/>
        <v>1072.24</v>
      </c>
    </row>
    <row r="2009" spans="1:4" ht="16.149999999999999" customHeight="1" x14ac:dyDescent="0.25">
      <c r="A2009" s="431">
        <v>35569</v>
      </c>
      <c r="B2009" s="432">
        <v>1072.24</v>
      </c>
      <c r="C2009" s="427">
        <f t="shared" si="62"/>
        <v>1997</v>
      </c>
      <c r="D2009" s="433">
        <f t="shared" si="63"/>
        <v>1072.24</v>
      </c>
    </row>
    <row r="2010" spans="1:4" ht="16.149999999999999" customHeight="1" x14ac:dyDescent="0.25">
      <c r="A2010" s="431">
        <v>35570</v>
      </c>
      <c r="B2010" s="434">
        <v>1073.54</v>
      </c>
      <c r="C2010" s="427">
        <f t="shared" si="62"/>
        <v>1997</v>
      </c>
      <c r="D2010" s="433">
        <f t="shared" si="63"/>
        <v>1073.54</v>
      </c>
    </row>
    <row r="2011" spans="1:4" ht="16.149999999999999" customHeight="1" x14ac:dyDescent="0.25">
      <c r="A2011" s="431">
        <v>35571</v>
      </c>
      <c r="B2011" s="432">
        <v>1075.2</v>
      </c>
      <c r="C2011" s="427">
        <f t="shared" si="62"/>
        <v>1997</v>
      </c>
      <c r="D2011" s="433">
        <f t="shared" si="63"/>
        <v>1075.2</v>
      </c>
    </row>
    <row r="2012" spans="1:4" ht="16.149999999999999" customHeight="1" x14ac:dyDescent="0.25">
      <c r="A2012" s="431">
        <v>35572</v>
      </c>
      <c r="B2012" s="434">
        <v>1080.44</v>
      </c>
      <c r="C2012" s="427">
        <f t="shared" si="62"/>
        <v>1997</v>
      </c>
      <c r="D2012" s="433">
        <f t="shared" si="63"/>
        <v>1080.44</v>
      </c>
    </row>
    <row r="2013" spans="1:4" ht="16.149999999999999" customHeight="1" x14ac:dyDescent="0.25">
      <c r="A2013" s="431">
        <v>35573</v>
      </c>
      <c r="B2013" s="432">
        <v>1080.43</v>
      </c>
      <c r="C2013" s="427">
        <f t="shared" si="62"/>
        <v>1997</v>
      </c>
      <c r="D2013" s="433">
        <f t="shared" si="63"/>
        <v>1080.43</v>
      </c>
    </row>
    <row r="2014" spans="1:4" ht="16.149999999999999" customHeight="1" x14ac:dyDescent="0.25">
      <c r="A2014" s="431">
        <v>35574</v>
      </c>
      <c r="B2014" s="434">
        <v>1076.69</v>
      </c>
      <c r="C2014" s="427">
        <f t="shared" si="62"/>
        <v>1997</v>
      </c>
      <c r="D2014" s="433">
        <f t="shared" si="63"/>
        <v>1076.69</v>
      </c>
    </row>
    <row r="2015" spans="1:4" ht="16.149999999999999" customHeight="1" x14ac:dyDescent="0.25">
      <c r="A2015" s="431">
        <v>35575</v>
      </c>
      <c r="B2015" s="432">
        <v>1076.69</v>
      </c>
      <c r="C2015" s="427">
        <f t="shared" si="62"/>
        <v>1997</v>
      </c>
      <c r="D2015" s="433">
        <f t="shared" si="63"/>
        <v>1076.69</v>
      </c>
    </row>
    <row r="2016" spans="1:4" ht="16.149999999999999" customHeight="1" x14ac:dyDescent="0.25">
      <c r="A2016" s="431">
        <v>35576</v>
      </c>
      <c r="B2016" s="434">
        <v>1076.69</v>
      </c>
      <c r="C2016" s="427">
        <f t="shared" si="62"/>
        <v>1997</v>
      </c>
      <c r="D2016" s="433">
        <f t="shared" si="63"/>
        <v>1076.69</v>
      </c>
    </row>
    <row r="2017" spans="1:4" ht="16.149999999999999" customHeight="1" x14ac:dyDescent="0.25">
      <c r="A2017" s="431">
        <v>35577</v>
      </c>
      <c r="B2017" s="432">
        <v>1076.69</v>
      </c>
      <c r="C2017" s="427">
        <f t="shared" si="62"/>
        <v>1997</v>
      </c>
      <c r="D2017" s="433">
        <f t="shared" si="63"/>
        <v>1076.69</v>
      </c>
    </row>
    <row r="2018" spans="1:4" ht="16.149999999999999" customHeight="1" x14ac:dyDescent="0.25">
      <c r="A2018" s="431">
        <v>35578</v>
      </c>
      <c r="B2018" s="434">
        <v>1076.24</v>
      </c>
      <c r="C2018" s="427">
        <f t="shared" si="62"/>
        <v>1997</v>
      </c>
      <c r="D2018" s="433">
        <f t="shared" si="63"/>
        <v>1076.24</v>
      </c>
    </row>
    <row r="2019" spans="1:4" ht="16.149999999999999" customHeight="1" x14ac:dyDescent="0.25">
      <c r="A2019" s="431">
        <v>35579</v>
      </c>
      <c r="B2019" s="432">
        <v>1074.32</v>
      </c>
      <c r="C2019" s="427">
        <f t="shared" si="62"/>
        <v>1997</v>
      </c>
      <c r="D2019" s="433">
        <f t="shared" si="63"/>
        <v>1074.32</v>
      </c>
    </row>
    <row r="2020" spans="1:4" ht="16.149999999999999" customHeight="1" x14ac:dyDescent="0.25">
      <c r="A2020" s="431">
        <v>35580</v>
      </c>
      <c r="B2020" s="434">
        <v>1076.4000000000001</v>
      </c>
      <c r="C2020" s="427">
        <f t="shared" si="62"/>
        <v>1997</v>
      </c>
      <c r="D2020" s="433">
        <f t="shared" si="63"/>
        <v>1076.4000000000001</v>
      </c>
    </row>
    <row r="2021" spans="1:4" ht="16.149999999999999" customHeight="1" x14ac:dyDescent="0.25">
      <c r="A2021" s="431">
        <v>35581</v>
      </c>
      <c r="B2021" s="432">
        <v>1077.0899999999999</v>
      </c>
      <c r="C2021" s="427">
        <f t="shared" si="62"/>
        <v>1997</v>
      </c>
      <c r="D2021" s="433">
        <f t="shared" si="63"/>
        <v>1077.0899999999999</v>
      </c>
    </row>
    <row r="2022" spans="1:4" ht="16.149999999999999" customHeight="1" x14ac:dyDescent="0.25">
      <c r="A2022" s="431">
        <v>35582</v>
      </c>
      <c r="B2022" s="434">
        <v>1077.0899999999999</v>
      </c>
      <c r="C2022" s="427">
        <f t="shared" si="62"/>
        <v>1997</v>
      </c>
      <c r="D2022" s="433">
        <f t="shared" si="63"/>
        <v>1077.0899999999999</v>
      </c>
    </row>
    <row r="2023" spans="1:4" ht="16.149999999999999" customHeight="1" x14ac:dyDescent="0.25">
      <c r="A2023" s="431">
        <v>35583</v>
      </c>
      <c r="B2023" s="432">
        <v>1077.0899999999999</v>
      </c>
      <c r="C2023" s="427">
        <f t="shared" si="62"/>
        <v>1997</v>
      </c>
      <c r="D2023" s="433">
        <f t="shared" si="63"/>
        <v>1077.0899999999999</v>
      </c>
    </row>
    <row r="2024" spans="1:4" ht="16.149999999999999" customHeight="1" x14ac:dyDescent="0.25">
      <c r="A2024" s="431">
        <v>35584</v>
      </c>
      <c r="B2024" s="434">
        <v>1077.0899999999999</v>
      </c>
      <c r="C2024" s="427">
        <f t="shared" si="62"/>
        <v>1997</v>
      </c>
      <c r="D2024" s="433">
        <f t="shared" si="63"/>
        <v>1077.0899999999999</v>
      </c>
    </row>
    <row r="2025" spans="1:4" ht="16.149999999999999" customHeight="1" x14ac:dyDescent="0.25">
      <c r="A2025" s="431">
        <v>35585</v>
      </c>
      <c r="B2025" s="432">
        <v>1079.0999999999999</v>
      </c>
      <c r="C2025" s="427">
        <f t="shared" si="62"/>
        <v>1997</v>
      </c>
      <c r="D2025" s="433">
        <f t="shared" si="63"/>
        <v>1079.0999999999999</v>
      </c>
    </row>
    <row r="2026" spans="1:4" ht="16.149999999999999" customHeight="1" x14ac:dyDescent="0.25">
      <c r="A2026" s="431">
        <v>35586</v>
      </c>
      <c r="B2026" s="434">
        <v>1077.19</v>
      </c>
      <c r="C2026" s="427">
        <f t="shared" si="62"/>
        <v>1997</v>
      </c>
      <c r="D2026" s="433">
        <f t="shared" si="63"/>
        <v>1077.19</v>
      </c>
    </row>
    <row r="2027" spans="1:4" ht="16.149999999999999" customHeight="1" x14ac:dyDescent="0.25">
      <c r="A2027" s="431">
        <v>35587</v>
      </c>
      <c r="B2027" s="432">
        <v>1076.49</v>
      </c>
      <c r="C2027" s="427">
        <f t="shared" si="62"/>
        <v>1997</v>
      </c>
      <c r="D2027" s="433">
        <f t="shared" si="63"/>
        <v>1076.49</v>
      </c>
    </row>
    <row r="2028" spans="1:4" ht="16.149999999999999" customHeight="1" x14ac:dyDescent="0.25">
      <c r="A2028" s="431">
        <v>35588</v>
      </c>
      <c r="B2028" s="434">
        <v>1076.18</v>
      </c>
      <c r="C2028" s="427">
        <f t="shared" si="62"/>
        <v>1997</v>
      </c>
      <c r="D2028" s="433">
        <f t="shared" si="63"/>
        <v>1076.18</v>
      </c>
    </row>
    <row r="2029" spans="1:4" ht="16.149999999999999" customHeight="1" x14ac:dyDescent="0.25">
      <c r="A2029" s="431">
        <v>35589</v>
      </c>
      <c r="B2029" s="432">
        <v>1076.18</v>
      </c>
      <c r="C2029" s="427">
        <f t="shared" si="62"/>
        <v>1997</v>
      </c>
      <c r="D2029" s="433">
        <f t="shared" si="63"/>
        <v>1076.18</v>
      </c>
    </row>
    <row r="2030" spans="1:4" ht="16.149999999999999" customHeight="1" x14ac:dyDescent="0.25">
      <c r="A2030" s="431">
        <v>35590</v>
      </c>
      <c r="B2030" s="434">
        <v>1076.18</v>
      </c>
      <c r="C2030" s="427">
        <f t="shared" si="62"/>
        <v>1997</v>
      </c>
      <c r="D2030" s="433">
        <f t="shared" si="63"/>
        <v>1076.18</v>
      </c>
    </row>
    <row r="2031" spans="1:4" ht="16.149999999999999" customHeight="1" x14ac:dyDescent="0.25">
      <c r="A2031" s="431">
        <v>35591</v>
      </c>
      <c r="B2031" s="432">
        <v>1076.18</v>
      </c>
      <c r="C2031" s="427">
        <f t="shared" si="62"/>
        <v>1997</v>
      </c>
      <c r="D2031" s="433">
        <f t="shared" si="63"/>
        <v>1076.18</v>
      </c>
    </row>
    <row r="2032" spans="1:4" ht="16.149999999999999" customHeight="1" x14ac:dyDescent="0.25">
      <c r="A2032" s="431">
        <v>35592</v>
      </c>
      <c r="B2032" s="434">
        <v>1078.6400000000001</v>
      </c>
      <c r="C2032" s="427">
        <f t="shared" si="62"/>
        <v>1997</v>
      </c>
      <c r="D2032" s="433">
        <f t="shared" si="63"/>
        <v>1078.6400000000001</v>
      </c>
    </row>
    <row r="2033" spans="1:4" ht="16.149999999999999" customHeight="1" x14ac:dyDescent="0.25">
      <c r="A2033" s="431">
        <v>35593</v>
      </c>
      <c r="B2033" s="432">
        <v>1080.6099999999999</v>
      </c>
      <c r="C2033" s="427">
        <f t="shared" si="62"/>
        <v>1997</v>
      </c>
      <c r="D2033" s="433">
        <f t="shared" si="63"/>
        <v>1080.6099999999999</v>
      </c>
    </row>
    <row r="2034" spans="1:4" ht="16.149999999999999" customHeight="1" x14ac:dyDescent="0.25">
      <c r="A2034" s="431">
        <v>35594</v>
      </c>
      <c r="B2034" s="434">
        <v>1080.46</v>
      </c>
      <c r="C2034" s="427">
        <f t="shared" si="62"/>
        <v>1997</v>
      </c>
      <c r="D2034" s="433">
        <f t="shared" si="63"/>
        <v>1080.46</v>
      </c>
    </row>
    <row r="2035" spans="1:4" ht="16.149999999999999" customHeight="1" x14ac:dyDescent="0.25">
      <c r="A2035" s="431">
        <v>35595</v>
      </c>
      <c r="B2035" s="432">
        <v>1080.5899999999999</v>
      </c>
      <c r="C2035" s="427">
        <f t="shared" si="62"/>
        <v>1997</v>
      </c>
      <c r="D2035" s="433">
        <f t="shared" si="63"/>
        <v>1080.5899999999999</v>
      </c>
    </row>
    <row r="2036" spans="1:4" ht="16.149999999999999" customHeight="1" x14ac:dyDescent="0.25">
      <c r="A2036" s="431">
        <v>35596</v>
      </c>
      <c r="B2036" s="434">
        <v>1080.5899999999999</v>
      </c>
      <c r="C2036" s="427">
        <f t="shared" si="62"/>
        <v>1997</v>
      </c>
      <c r="D2036" s="433">
        <f t="shared" si="63"/>
        <v>1080.5899999999999</v>
      </c>
    </row>
    <row r="2037" spans="1:4" ht="16.149999999999999" customHeight="1" x14ac:dyDescent="0.25">
      <c r="A2037" s="431">
        <v>35597</v>
      </c>
      <c r="B2037" s="432">
        <v>1080.5899999999999</v>
      </c>
      <c r="C2037" s="427">
        <f t="shared" si="62"/>
        <v>1997</v>
      </c>
      <c r="D2037" s="433">
        <f t="shared" si="63"/>
        <v>1080.5899999999999</v>
      </c>
    </row>
    <row r="2038" spans="1:4" ht="16.149999999999999" customHeight="1" x14ac:dyDescent="0.25">
      <c r="A2038" s="431">
        <v>35598</v>
      </c>
      <c r="B2038" s="434">
        <v>1082.43</v>
      </c>
      <c r="C2038" s="427">
        <f t="shared" si="62"/>
        <v>1997</v>
      </c>
      <c r="D2038" s="433">
        <f t="shared" si="63"/>
        <v>1082.43</v>
      </c>
    </row>
    <row r="2039" spans="1:4" ht="16.149999999999999" customHeight="1" x14ac:dyDescent="0.25">
      <c r="A2039" s="431">
        <v>35599</v>
      </c>
      <c r="B2039" s="432">
        <v>1086</v>
      </c>
      <c r="C2039" s="427">
        <f t="shared" si="62"/>
        <v>1997</v>
      </c>
      <c r="D2039" s="433">
        <f t="shared" si="63"/>
        <v>1086</v>
      </c>
    </row>
    <row r="2040" spans="1:4" ht="16.149999999999999" customHeight="1" x14ac:dyDescent="0.25">
      <c r="A2040" s="431">
        <v>35600</v>
      </c>
      <c r="B2040" s="434">
        <v>1084.3800000000001</v>
      </c>
      <c r="C2040" s="427">
        <f t="shared" si="62"/>
        <v>1997</v>
      </c>
      <c r="D2040" s="433">
        <f t="shared" si="63"/>
        <v>1084.3800000000001</v>
      </c>
    </row>
    <row r="2041" spans="1:4" ht="16.149999999999999" customHeight="1" x14ac:dyDescent="0.25">
      <c r="A2041" s="431">
        <v>35601</v>
      </c>
      <c r="B2041" s="432">
        <v>1084.28</v>
      </c>
      <c r="C2041" s="427">
        <f t="shared" si="62"/>
        <v>1997</v>
      </c>
      <c r="D2041" s="433">
        <f t="shared" si="63"/>
        <v>1084.28</v>
      </c>
    </row>
    <row r="2042" spans="1:4" ht="16.149999999999999" customHeight="1" x14ac:dyDescent="0.25">
      <c r="A2042" s="431">
        <v>35602</v>
      </c>
      <c r="B2042" s="434">
        <v>1086.3599999999999</v>
      </c>
      <c r="C2042" s="427">
        <f t="shared" si="62"/>
        <v>1997</v>
      </c>
      <c r="D2042" s="433">
        <f t="shared" si="63"/>
        <v>1086.3599999999999</v>
      </c>
    </row>
    <row r="2043" spans="1:4" ht="16.149999999999999" customHeight="1" x14ac:dyDescent="0.25">
      <c r="A2043" s="431">
        <v>35603</v>
      </c>
      <c r="B2043" s="432">
        <v>1086.3599999999999</v>
      </c>
      <c r="C2043" s="427">
        <f t="shared" si="62"/>
        <v>1997</v>
      </c>
      <c r="D2043" s="433">
        <f t="shared" si="63"/>
        <v>1086.3599999999999</v>
      </c>
    </row>
    <row r="2044" spans="1:4" ht="16.149999999999999" customHeight="1" x14ac:dyDescent="0.25">
      <c r="A2044" s="431">
        <v>35604</v>
      </c>
      <c r="B2044" s="434">
        <v>1086.3599999999999</v>
      </c>
      <c r="C2044" s="427">
        <f t="shared" si="62"/>
        <v>1997</v>
      </c>
      <c r="D2044" s="433">
        <f t="shared" si="63"/>
        <v>1086.3599999999999</v>
      </c>
    </row>
    <row r="2045" spans="1:4" ht="16.149999999999999" customHeight="1" x14ac:dyDescent="0.25">
      <c r="A2045" s="431">
        <v>35605</v>
      </c>
      <c r="B2045" s="432">
        <v>1088.1600000000001</v>
      </c>
      <c r="C2045" s="427">
        <f t="shared" si="62"/>
        <v>1997</v>
      </c>
      <c r="D2045" s="433">
        <f t="shared" si="63"/>
        <v>1088.1600000000001</v>
      </c>
    </row>
    <row r="2046" spans="1:4" ht="16.149999999999999" customHeight="1" x14ac:dyDescent="0.25">
      <c r="A2046" s="431">
        <v>35606</v>
      </c>
      <c r="B2046" s="434">
        <v>1086.47</v>
      </c>
      <c r="C2046" s="427">
        <f t="shared" si="62"/>
        <v>1997</v>
      </c>
      <c r="D2046" s="433">
        <f t="shared" si="63"/>
        <v>1086.47</v>
      </c>
    </row>
    <row r="2047" spans="1:4" ht="16.149999999999999" customHeight="1" x14ac:dyDescent="0.25">
      <c r="A2047" s="431">
        <v>35607</v>
      </c>
      <c r="B2047" s="432">
        <v>1087.72</v>
      </c>
      <c r="C2047" s="427">
        <f t="shared" si="62"/>
        <v>1997</v>
      </c>
      <c r="D2047" s="433">
        <f t="shared" si="63"/>
        <v>1087.72</v>
      </c>
    </row>
    <row r="2048" spans="1:4" ht="16.149999999999999" customHeight="1" x14ac:dyDescent="0.25">
      <c r="A2048" s="431">
        <v>35608</v>
      </c>
      <c r="B2048" s="434">
        <v>1090.58</v>
      </c>
      <c r="C2048" s="427">
        <f t="shared" si="62"/>
        <v>1997</v>
      </c>
      <c r="D2048" s="433">
        <f t="shared" si="63"/>
        <v>1090.58</v>
      </c>
    </row>
    <row r="2049" spans="1:4" ht="16.149999999999999" customHeight="1" x14ac:dyDescent="0.25">
      <c r="A2049" s="431">
        <v>35609</v>
      </c>
      <c r="B2049" s="432">
        <v>1089.01</v>
      </c>
      <c r="C2049" s="427">
        <f t="shared" si="62"/>
        <v>1997</v>
      </c>
      <c r="D2049" s="433">
        <f t="shared" si="63"/>
        <v>1089.01</v>
      </c>
    </row>
    <row r="2050" spans="1:4" ht="16.149999999999999" customHeight="1" x14ac:dyDescent="0.25">
      <c r="A2050" s="431">
        <v>35610</v>
      </c>
      <c r="B2050" s="434">
        <v>1089.01</v>
      </c>
      <c r="C2050" s="427">
        <f t="shared" si="62"/>
        <v>1997</v>
      </c>
      <c r="D2050" s="433">
        <f t="shared" si="63"/>
        <v>1089.01</v>
      </c>
    </row>
    <row r="2051" spans="1:4" ht="16.149999999999999" customHeight="1" x14ac:dyDescent="0.25">
      <c r="A2051" s="431">
        <v>35611</v>
      </c>
      <c r="B2051" s="432">
        <v>1089.01</v>
      </c>
      <c r="C2051" s="427">
        <f t="shared" si="62"/>
        <v>1997</v>
      </c>
      <c r="D2051" s="433">
        <f t="shared" si="63"/>
        <v>1089.01</v>
      </c>
    </row>
    <row r="2052" spans="1:4" ht="16.149999999999999" customHeight="1" x14ac:dyDescent="0.25">
      <c r="A2052" s="431">
        <v>35612</v>
      </c>
      <c r="B2052" s="434">
        <v>1089.01</v>
      </c>
      <c r="C2052" s="427">
        <f t="shared" si="62"/>
        <v>1997</v>
      </c>
      <c r="D2052" s="433">
        <f t="shared" si="63"/>
        <v>1089.01</v>
      </c>
    </row>
    <row r="2053" spans="1:4" ht="16.149999999999999" customHeight="1" x14ac:dyDescent="0.25">
      <c r="A2053" s="431">
        <v>35613</v>
      </c>
      <c r="B2053" s="432">
        <v>1093.25</v>
      </c>
      <c r="C2053" s="427">
        <f t="shared" si="62"/>
        <v>1997</v>
      </c>
      <c r="D2053" s="433">
        <f t="shared" si="63"/>
        <v>1093.25</v>
      </c>
    </row>
    <row r="2054" spans="1:4" ht="16.149999999999999" customHeight="1" x14ac:dyDescent="0.25">
      <c r="A2054" s="431">
        <v>35614</v>
      </c>
      <c r="B2054" s="434">
        <v>1098.72</v>
      </c>
      <c r="C2054" s="427">
        <f t="shared" si="62"/>
        <v>1997</v>
      </c>
      <c r="D2054" s="433">
        <f t="shared" si="63"/>
        <v>1098.72</v>
      </c>
    </row>
    <row r="2055" spans="1:4" ht="16.149999999999999" customHeight="1" x14ac:dyDescent="0.25">
      <c r="A2055" s="431">
        <v>35615</v>
      </c>
      <c r="B2055" s="432">
        <v>1102.8399999999999</v>
      </c>
      <c r="C2055" s="427">
        <f t="shared" si="62"/>
        <v>1997</v>
      </c>
      <c r="D2055" s="433">
        <f t="shared" si="63"/>
        <v>1102.8399999999999</v>
      </c>
    </row>
    <row r="2056" spans="1:4" ht="16.149999999999999" customHeight="1" x14ac:dyDescent="0.25">
      <c r="A2056" s="431">
        <v>35616</v>
      </c>
      <c r="B2056" s="434">
        <v>1101.57</v>
      </c>
      <c r="C2056" s="427">
        <f t="shared" si="62"/>
        <v>1997</v>
      </c>
      <c r="D2056" s="433">
        <f t="shared" si="63"/>
        <v>1101.57</v>
      </c>
    </row>
    <row r="2057" spans="1:4" ht="16.149999999999999" customHeight="1" x14ac:dyDescent="0.25">
      <c r="A2057" s="431">
        <v>35617</v>
      </c>
      <c r="B2057" s="432">
        <v>1101.57</v>
      </c>
      <c r="C2057" s="427">
        <f t="shared" si="62"/>
        <v>1997</v>
      </c>
      <c r="D2057" s="433">
        <f t="shared" si="63"/>
        <v>1101.57</v>
      </c>
    </row>
    <row r="2058" spans="1:4" ht="16.149999999999999" customHeight="1" x14ac:dyDescent="0.25">
      <c r="A2058" s="431">
        <v>35618</v>
      </c>
      <c r="B2058" s="434">
        <v>1101.57</v>
      </c>
      <c r="C2058" s="427">
        <f t="shared" ref="C2058:C2121" si="64">YEAR(A2058)</f>
        <v>1997</v>
      </c>
      <c r="D2058" s="433">
        <f t="shared" ref="D2058:D2121" si="65">B2058</f>
        <v>1101.57</v>
      </c>
    </row>
    <row r="2059" spans="1:4" ht="16.149999999999999" customHeight="1" x14ac:dyDescent="0.25">
      <c r="A2059" s="431">
        <v>35619</v>
      </c>
      <c r="B2059" s="432">
        <v>1102.45</v>
      </c>
      <c r="C2059" s="427">
        <f t="shared" si="64"/>
        <v>1997</v>
      </c>
      <c r="D2059" s="433">
        <f t="shared" si="65"/>
        <v>1102.45</v>
      </c>
    </row>
    <row r="2060" spans="1:4" ht="16.149999999999999" customHeight="1" x14ac:dyDescent="0.25">
      <c r="A2060" s="431">
        <v>35620</v>
      </c>
      <c r="B2060" s="434">
        <v>1101.18</v>
      </c>
      <c r="C2060" s="427">
        <f t="shared" si="64"/>
        <v>1997</v>
      </c>
      <c r="D2060" s="433">
        <f t="shared" si="65"/>
        <v>1101.18</v>
      </c>
    </row>
    <row r="2061" spans="1:4" ht="16.149999999999999" customHeight="1" x14ac:dyDescent="0.25">
      <c r="A2061" s="431">
        <v>35621</v>
      </c>
      <c r="B2061" s="432">
        <v>1098.6400000000001</v>
      </c>
      <c r="C2061" s="427">
        <f t="shared" si="64"/>
        <v>1997</v>
      </c>
      <c r="D2061" s="433">
        <f t="shared" si="65"/>
        <v>1098.6400000000001</v>
      </c>
    </row>
    <row r="2062" spans="1:4" ht="16.149999999999999" customHeight="1" x14ac:dyDescent="0.25">
      <c r="A2062" s="431">
        <v>35622</v>
      </c>
      <c r="B2062" s="434">
        <v>1097.8800000000001</v>
      </c>
      <c r="C2062" s="427">
        <f t="shared" si="64"/>
        <v>1997</v>
      </c>
      <c r="D2062" s="433">
        <f t="shared" si="65"/>
        <v>1097.8800000000001</v>
      </c>
    </row>
    <row r="2063" spans="1:4" ht="16.149999999999999" customHeight="1" x14ac:dyDescent="0.25">
      <c r="A2063" s="431">
        <v>35623</v>
      </c>
      <c r="B2063" s="432">
        <v>1098.46</v>
      </c>
      <c r="C2063" s="427">
        <f t="shared" si="64"/>
        <v>1997</v>
      </c>
      <c r="D2063" s="433">
        <f t="shared" si="65"/>
        <v>1098.46</v>
      </c>
    </row>
    <row r="2064" spans="1:4" ht="16.149999999999999" customHeight="1" x14ac:dyDescent="0.25">
      <c r="A2064" s="431">
        <v>35624</v>
      </c>
      <c r="B2064" s="434">
        <v>1098.46</v>
      </c>
      <c r="C2064" s="427">
        <f t="shared" si="64"/>
        <v>1997</v>
      </c>
      <c r="D2064" s="433">
        <f t="shared" si="65"/>
        <v>1098.46</v>
      </c>
    </row>
    <row r="2065" spans="1:4" ht="16.149999999999999" customHeight="1" x14ac:dyDescent="0.25">
      <c r="A2065" s="431">
        <v>35625</v>
      </c>
      <c r="B2065" s="432">
        <v>1098.46</v>
      </c>
      <c r="C2065" s="427">
        <f t="shared" si="64"/>
        <v>1997</v>
      </c>
      <c r="D2065" s="433">
        <f t="shared" si="65"/>
        <v>1098.46</v>
      </c>
    </row>
    <row r="2066" spans="1:4" ht="16.149999999999999" customHeight="1" x14ac:dyDescent="0.25">
      <c r="A2066" s="431">
        <v>35626</v>
      </c>
      <c r="B2066" s="434">
        <v>1099.56</v>
      </c>
      <c r="C2066" s="427">
        <f t="shared" si="64"/>
        <v>1997</v>
      </c>
      <c r="D2066" s="433">
        <f t="shared" si="65"/>
        <v>1099.56</v>
      </c>
    </row>
    <row r="2067" spans="1:4" ht="16.149999999999999" customHeight="1" x14ac:dyDescent="0.25">
      <c r="A2067" s="431">
        <v>35627</v>
      </c>
      <c r="B2067" s="432">
        <v>1099.25</v>
      </c>
      <c r="C2067" s="427">
        <f t="shared" si="64"/>
        <v>1997</v>
      </c>
      <c r="D2067" s="433">
        <f t="shared" si="65"/>
        <v>1099.25</v>
      </c>
    </row>
    <row r="2068" spans="1:4" ht="16.149999999999999" customHeight="1" x14ac:dyDescent="0.25">
      <c r="A2068" s="431">
        <v>35628</v>
      </c>
      <c r="B2068" s="434">
        <v>1100.83</v>
      </c>
      <c r="C2068" s="427">
        <f t="shared" si="64"/>
        <v>1997</v>
      </c>
      <c r="D2068" s="433">
        <f t="shared" si="65"/>
        <v>1100.83</v>
      </c>
    </row>
    <row r="2069" spans="1:4" ht="16.149999999999999" customHeight="1" x14ac:dyDescent="0.25">
      <c r="A2069" s="431">
        <v>35629</v>
      </c>
      <c r="B2069" s="432">
        <v>1102.48</v>
      </c>
      <c r="C2069" s="427">
        <f t="shared" si="64"/>
        <v>1997</v>
      </c>
      <c r="D2069" s="433">
        <f t="shared" si="65"/>
        <v>1102.48</v>
      </c>
    </row>
    <row r="2070" spans="1:4" ht="16.149999999999999" customHeight="1" x14ac:dyDescent="0.25">
      <c r="A2070" s="431">
        <v>35630</v>
      </c>
      <c r="B2070" s="434">
        <v>1105.33</v>
      </c>
      <c r="C2070" s="427">
        <f t="shared" si="64"/>
        <v>1997</v>
      </c>
      <c r="D2070" s="433">
        <f t="shared" si="65"/>
        <v>1105.33</v>
      </c>
    </row>
    <row r="2071" spans="1:4" ht="16.149999999999999" customHeight="1" x14ac:dyDescent="0.25">
      <c r="A2071" s="431">
        <v>35631</v>
      </c>
      <c r="B2071" s="432">
        <v>1105.33</v>
      </c>
      <c r="C2071" s="427">
        <f t="shared" si="64"/>
        <v>1997</v>
      </c>
      <c r="D2071" s="433">
        <f t="shared" si="65"/>
        <v>1105.33</v>
      </c>
    </row>
    <row r="2072" spans="1:4" ht="16.149999999999999" customHeight="1" x14ac:dyDescent="0.25">
      <c r="A2072" s="431">
        <v>35632</v>
      </c>
      <c r="B2072" s="434">
        <v>1105.33</v>
      </c>
      <c r="C2072" s="427">
        <f t="shared" si="64"/>
        <v>1997</v>
      </c>
      <c r="D2072" s="433">
        <f t="shared" si="65"/>
        <v>1105.33</v>
      </c>
    </row>
    <row r="2073" spans="1:4" ht="16.149999999999999" customHeight="1" x14ac:dyDescent="0.25">
      <c r="A2073" s="431">
        <v>35633</v>
      </c>
      <c r="B2073" s="432">
        <v>1109.46</v>
      </c>
      <c r="C2073" s="427">
        <f t="shared" si="64"/>
        <v>1997</v>
      </c>
      <c r="D2073" s="433">
        <f t="shared" si="65"/>
        <v>1109.46</v>
      </c>
    </row>
    <row r="2074" spans="1:4" ht="16.149999999999999" customHeight="1" x14ac:dyDescent="0.25">
      <c r="A2074" s="431">
        <v>35634</v>
      </c>
      <c r="B2074" s="434">
        <v>1110.32</v>
      </c>
      <c r="C2074" s="427">
        <f t="shared" si="64"/>
        <v>1997</v>
      </c>
      <c r="D2074" s="433">
        <f t="shared" si="65"/>
        <v>1110.32</v>
      </c>
    </row>
    <row r="2075" spans="1:4" ht="16.149999999999999" customHeight="1" x14ac:dyDescent="0.25">
      <c r="A2075" s="431">
        <v>35635</v>
      </c>
      <c r="B2075" s="432">
        <v>1106.7</v>
      </c>
      <c r="C2075" s="427">
        <f t="shared" si="64"/>
        <v>1997</v>
      </c>
      <c r="D2075" s="433">
        <f t="shared" si="65"/>
        <v>1106.7</v>
      </c>
    </row>
    <row r="2076" spans="1:4" ht="16.149999999999999" customHeight="1" x14ac:dyDescent="0.25">
      <c r="A2076" s="431">
        <v>35636</v>
      </c>
      <c r="B2076" s="434">
        <v>1106.6400000000001</v>
      </c>
      <c r="C2076" s="427">
        <f t="shared" si="64"/>
        <v>1997</v>
      </c>
      <c r="D2076" s="433">
        <f t="shared" si="65"/>
        <v>1106.6400000000001</v>
      </c>
    </row>
    <row r="2077" spans="1:4" ht="16.149999999999999" customHeight="1" x14ac:dyDescent="0.25">
      <c r="A2077" s="431">
        <v>35637</v>
      </c>
      <c r="B2077" s="432">
        <v>1106.06</v>
      </c>
      <c r="C2077" s="427">
        <f t="shared" si="64"/>
        <v>1997</v>
      </c>
      <c r="D2077" s="433">
        <f t="shared" si="65"/>
        <v>1106.06</v>
      </c>
    </row>
    <row r="2078" spans="1:4" ht="16.149999999999999" customHeight="1" x14ac:dyDescent="0.25">
      <c r="A2078" s="431">
        <v>35638</v>
      </c>
      <c r="B2078" s="434">
        <v>1106.06</v>
      </c>
      <c r="C2078" s="427">
        <f t="shared" si="64"/>
        <v>1997</v>
      </c>
      <c r="D2078" s="433">
        <f t="shared" si="65"/>
        <v>1106.06</v>
      </c>
    </row>
    <row r="2079" spans="1:4" ht="16.149999999999999" customHeight="1" x14ac:dyDescent="0.25">
      <c r="A2079" s="431">
        <v>35639</v>
      </c>
      <c r="B2079" s="432">
        <v>1106.06</v>
      </c>
      <c r="C2079" s="427">
        <f t="shared" si="64"/>
        <v>1997</v>
      </c>
      <c r="D2079" s="433">
        <f t="shared" si="65"/>
        <v>1106.06</v>
      </c>
    </row>
    <row r="2080" spans="1:4" ht="16.149999999999999" customHeight="1" x14ac:dyDescent="0.25">
      <c r="A2080" s="431">
        <v>35640</v>
      </c>
      <c r="B2080" s="434">
        <v>1108.1600000000001</v>
      </c>
      <c r="C2080" s="427">
        <f t="shared" si="64"/>
        <v>1997</v>
      </c>
      <c r="D2080" s="433">
        <f t="shared" si="65"/>
        <v>1108.1600000000001</v>
      </c>
    </row>
    <row r="2081" spans="1:4" ht="16.149999999999999" customHeight="1" x14ac:dyDescent="0.25">
      <c r="A2081" s="431">
        <v>35641</v>
      </c>
      <c r="B2081" s="432">
        <v>1106.67</v>
      </c>
      <c r="C2081" s="427">
        <f t="shared" si="64"/>
        <v>1997</v>
      </c>
      <c r="D2081" s="433">
        <f t="shared" si="65"/>
        <v>1106.67</v>
      </c>
    </row>
    <row r="2082" spans="1:4" ht="16.149999999999999" customHeight="1" x14ac:dyDescent="0.25">
      <c r="A2082" s="431">
        <v>35642</v>
      </c>
      <c r="B2082" s="434">
        <v>1109.6500000000001</v>
      </c>
      <c r="C2082" s="427">
        <f t="shared" si="64"/>
        <v>1997</v>
      </c>
      <c r="D2082" s="433">
        <f t="shared" si="65"/>
        <v>1109.6500000000001</v>
      </c>
    </row>
    <row r="2083" spans="1:4" ht="16.149999999999999" customHeight="1" x14ac:dyDescent="0.25">
      <c r="A2083" s="431">
        <v>35643</v>
      </c>
      <c r="B2083" s="432">
        <v>1112.53</v>
      </c>
      <c r="C2083" s="427">
        <f t="shared" si="64"/>
        <v>1997</v>
      </c>
      <c r="D2083" s="433">
        <f t="shared" si="65"/>
        <v>1112.53</v>
      </c>
    </row>
    <row r="2084" spans="1:4" ht="16.149999999999999" customHeight="1" x14ac:dyDescent="0.25">
      <c r="A2084" s="431">
        <v>35644</v>
      </c>
      <c r="B2084" s="434">
        <v>1113.43</v>
      </c>
      <c r="C2084" s="427">
        <f t="shared" si="64"/>
        <v>1997</v>
      </c>
      <c r="D2084" s="433">
        <f t="shared" si="65"/>
        <v>1113.43</v>
      </c>
    </row>
    <row r="2085" spans="1:4" ht="16.149999999999999" customHeight="1" x14ac:dyDescent="0.25">
      <c r="A2085" s="431">
        <v>35645</v>
      </c>
      <c r="B2085" s="432">
        <v>1113.43</v>
      </c>
      <c r="C2085" s="427">
        <f t="shared" si="64"/>
        <v>1997</v>
      </c>
      <c r="D2085" s="433">
        <f t="shared" si="65"/>
        <v>1113.43</v>
      </c>
    </row>
    <row r="2086" spans="1:4" ht="16.149999999999999" customHeight="1" x14ac:dyDescent="0.25">
      <c r="A2086" s="431">
        <v>35646</v>
      </c>
      <c r="B2086" s="434">
        <v>1113.43</v>
      </c>
      <c r="C2086" s="427">
        <f t="shared" si="64"/>
        <v>1997</v>
      </c>
      <c r="D2086" s="433">
        <f t="shared" si="65"/>
        <v>1113.43</v>
      </c>
    </row>
    <row r="2087" spans="1:4" ht="16.149999999999999" customHeight="1" x14ac:dyDescent="0.25">
      <c r="A2087" s="431">
        <v>35647</v>
      </c>
      <c r="B2087" s="432">
        <v>1112.83</v>
      </c>
      <c r="C2087" s="427">
        <f t="shared" si="64"/>
        <v>1997</v>
      </c>
      <c r="D2087" s="433">
        <f t="shared" si="65"/>
        <v>1112.83</v>
      </c>
    </row>
    <row r="2088" spans="1:4" ht="16.149999999999999" customHeight="1" x14ac:dyDescent="0.25">
      <c r="A2088" s="431">
        <v>35648</v>
      </c>
      <c r="B2088" s="434">
        <v>1115.43</v>
      </c>
      <c r="C2088" s="427">
        <f t="shared" si="64"/>
        <v>1997</v>
      </c>
      <c r="D2088" s="433">
        <f t="shared" si="65"/>
        <v>1115.43</v>
      </c>
    </row>
    <row r="2089" spans="1:4" ht="16.149999999999999" customHeight="1" x14ac:dyDescent="0.25">
      <c r="A2089" s="431">
        <v>35649</v>
      </c>
      <c r="B2089" s="432">
        <v>1115.2</v>
      </c>
      <c r="C2089" s="427">
        <f t="shared" si="64"/>
        <v>1997</v>
      </c>
      <c r="D2089" s="433">
        <f t="shared" si="65"/>
        <v>1115.2</v>
      </c>
    </row>
    <row r="2090" spans="1:4" ht="16.149999999999999" customHeight="1" x14ac:dyDescent="0.25">
      <c r="A2090" s="431">
        <v>35650</v>
      </c>
      <c r="B2090" s="434">
        <v>1115.2</v>
      </c>
      <c r="C2090" s="427">
        <f t="shared" si="64"/>
        <v>1997</v>
      </c>
      <c r="D2090" s="433">
        <f t="shared" si="65"/>
        <v>1115.2</v>
      </c>
    </row>
    <row r="2091" spans="1:4" ht="16.149999999999999" customHeight="1" x14ac:dyDescent="0.25">
      <c r="A2091" s="431">
        <v>35651</v>
      </c>
      <c r="B2091" s="432">
        <v>1118.96</v>
      </c>
      <c r="C2091" s="427">
        <f t="shared" si="64"/>
        <v>1997</v>
      </c>
      <c r="D2091" s="433">
        <f t="shared" si="65"/>
        <v>1118.96</v>
      </c>
    </row>
    <row r="2092" spans="1:4" ht="16.149999999999999" customHeight="1" x14ac:dyDescent="0.25">
      <c r="A2092" s="431">
        <v>35652</v>
      </c>
      <c r="B2092" s="434">
        <v>1118.96</v>
      </c>
      <c r="C2092" s="427">
        <f t="shared" si="64"/>
        <v>1997</v>
      </c>
      <c r="D2092" s="433">
        <f t="shared" si="65"/>
        <v>1118.96</v>
      </c>
    </row>
    <row r="2093" spans="1:4" ht="16.149999999999999" customHeight="1" x14ac:dyDescent="0.25">
      <c r="A2093" s="431">
        <v>35653</v>
      </c>
      <c r="B2093" s="432">
        <v>1118.96</v>
      </c>
      <c r="C2093" s="427">
        <f t="shared" si="64"/>
        <v>1997</v>
      </c>
      <c r="D2093" s="433">
        <f t="shared" si="65"/>
        <v>1118.96</v>
      </c>
    </row>
    <row r="2094" spans="1:4" ht="16.149999999999999" customHeight="1" x14ac:dyDescent="0.25">
      <c r="A2094" s="431">
        <v>35654</v>
      </c>
      <c r="B2094" s="434">
        <v>1119.3800000000001</v>
      </c>
      <c r="C2094" s="427">
        <f t="shared" si="64"/>
        <v>1997</v>
      </c>
      <c r="D2094" s="433">
        <f t="shared" si="65"/>
        <v>1119.3800000000001</v>
      </c>
    </row>
    <row r="2095" spans="1:4" ht="16.149999999999999" customHeight="1" x14ac:dyDescent="0.25">
      <c r="A2095" s="431">
        <v>35655</v>
      </c>
      <c r="B2095" s="432">
        <v>1120.33</v>
      </c>
      <c r="C2095" s="427">
        <f t="shared" si="64"/>
        <v>1997</v>
      </c>
      <c r="D2095" s="433">
        <f t="shared" si="65"/>
        <v>1120.33</v>
      </c>
    </row>
    <row r="2096" spans="1:4" ht="16.149999999999999" customHeight="1" x14ac:dyDescent="0.25">
      <c r="A2096" s="431">
        <v>35656</v>
      </c>
      <c r="B2096" s="434">
        <v>1125.6199999999999</v>
      </c>
      <c r="C2096" s="427">
        <f t="shared" si="64"/>
        <v>1997</v>
      </c>
      <c r="D2096" s="433">
        <f t="shared" si="65"/>
        <v>1125.6199999999999</v>
      </c>
    </row>
    <row r="2097" spans="1:4" ht="16.149999999999999" customHeight="1" x14ac:dyDescent="0.25">
      <c r="A2097" s="431">
        <v>35657</v>
      </c>
      <c r="B2097" s="432">
        <v>1128.25</v>
      </c>
      <c r="C2097" s="427">
        <f t="shared" si="64"/>
        <v>1997</v>
      </c>
      <c r="D2097" s="433">
        <f t="shared" si="65"/>
        <v>1128.25</v>
      </c>
    </row>
    <row r="2098" spans="1:4" ht="16.149999999999999" customHeight="1" x14ac:dyDescent="0.25">
      <c r="A2098" s="431">
        <v>35658</v>
      </c>
      <c r="B2098" s="434">
        <v>1129.05</v>
      </c>
      <c r="C2098" s="427">
        <f t="shared" si="64"/>
        <v>1997</v>
      </c>
      <c r="D2098" s="433">
        <f t="shared" si="65"/>
        <v>1129.05</v>
      </c>
    </row>
    <row r="2099" spans="1:4" ht="16.149999999999999" customHeight="1" x14ac:dyDescent="0.25">
      <c r="A2099" s="431">
        <v>35659</v>
      </c>
      <c r="B2099" s="432">
        <v>1129.05</v>
      </c>
      <c r="C2099" s="427">
        <f t="shared" si="64"/>
        <v>1997</v>
      </c>
      <c r="D2099" s="433">
        <f t="shared" si="65"/>
        <v>1129.05</v>
      </c>
    </row>
    <row r="2100" spans="1:4" ht="16.149999999999999" customHeight="1" x14ac:dyDescent="0.25">
      <c r="A2100" s="431">
        <v>35660</v>
      </c>
      <c r="B2100" s="434">
        <v>1129.05</v>
      </c>
      <c r="C2100" s="427">
        <f t="shared" si="64"/>
        <v>1997</v>
      </c>
      <c r="D2100" s="433">
        <f t="shared" si="65"/>
        <v>1129.05</v>
      </c>
    </row>
    <row r="2101" spans="1:4" ht="16.149999999999999" customHeight="1" x14ac:dyDescent="0.25">
      <c r="A2101" s="431">
        <v>35661</v>
      </c>
      <c r="B2101" s="432">
        <v>1129.05</v>
      </c>
      <c r="C2101" s="427">
        <f t="shared" si="64"/>
        <v>1997</v>
      </c>
      <c r="D2101" s="433">
        <f t="shared" si="65"/>
        <v>1129.05</v>
      </c>
    </row>
    <row r="2102" spans="1:4" ht="16.149999999999999" customHeight="1" x14ac:dyDescent="0.25">
      <c r="A2102" s="431">
        <v>35662</v>
      </c>
      <c r="B2102" s="434">
        <v>1137.54</v>
      </c>
      <c r="C2102" s="427">
        <f t="shared" si="64"/>
        <v>1997</v>
      </c>
      <c r="D2102" s="433">
        <f t="shared" si="65"/>
        <v>1137.54</v>
      </c>
    </row>
    <row r="2103" spans="1:4" ht="16.149999999999999" customHeight="1" x14ac:dyDescent="0.25">
      <c r="A2103" s="431">
        <v>35663</v>
      </c>
      <c r="B2103" s="432">
        <v>1140.54</v>
      </c>
      <c r="C2103" s="427">
        <f t="shared" si="64"/>
        <v>1997</v>
      </c>
      <c r="D2103" s="433">
        <f t="shared" si="65"/>
        <v>1140.54</v>
      </c>
    </row>
    <row r="2104" spans="1:4" ht="16.149999999999999" customHeight="1" x14ac:dyDescent="0.25">
      <c r="A2104" s="431">
        <v>35664</v>
      </c>
      <c r="B2104" s="434">
        <v>1149.19</v>
      </c>
      <c r="C2104" s="427">
        <f t="shared" si="64"/>
        <v>1997</v>
      </c>
      <c r="D2104" s="433">
        <f t="shared" si="65"/>
        <v>1149.19</v>
      </c>
    </row>
    <row r="2105" spans="1:4" ht="16.149999999999999" customHeight="1" x14ac:dyDescent="0.25">
      <c r="A2105" s="431">
        <v>35665</v>
      </c>
      <c r="B2105" s="432">
        <v>1154.23</v>
      </c>
      <c r="C2105" s="427">
        <f t="shared" si="64"/>
        <v>1997</v>
      </c>
      <c r="D2105" s="433">
        <f t="shared" si="65"/>
        <v>1154.23</v>
      </c>
    </row>
    <row r="2106" spans="1:4" ht="16.149999999999999" customHeight="1" x14ac:dyDescent="0.25">
      <c r="A2106" s="431">
        <v>35666</v>
      </c>
      <c r="B2106" s="434">
        <v>1154.23</v>
      </c>
      <c r="C2106" s="427">
        <f t="shared" si="64"/>
        <v>1997</v>
      </c>
      <c r="D2106" s="433">
        <f t="shared" si="65"/>
        <v>1154.23</v>
      </c>
    </row>
    <row r="2107" spans="1:4" ht="16.149999999999999" customHeight="1" x14ac:dyDescent="0.25">
      <c r="A2107" s="431">
        <v>35667</v>
      </c>
      <c r="B2107" s="432">
        <v>1154.23</v>
      </c>
      <c r="C2107" s="427">
        <f t="shared" si="64"/>
        <v>1997</v>
      </c>
      <c r="D2107" s="433">
        <f t="shared" si="65"/>
        <v>1154.23</v>
      </c>
    </row>
    <row r="2108" spans="1:4" ht="16.149999999999999" customHeight="1" x14ac:dyDescent="0.25">
      <c r="A2108" s="431">
        <v>35668</v>
      </c>
      <c r="B2108" s="434">
        <v>1145.52</v>
      </c>
      <c r="C2108" s="427">
        <f t="shared" si="64"/>
        <v>1997</v>
      </c>
      <c r="D2108" s="433">
        <f t="shared" si="65"/>
        <v>1145.52</v>
      </c>
    </row>
    <row r="2109" spans="1:4" ht="16.149999999999999" customHeight="1" x14ac:dyDescent="0.25">
      <c r="A2109" s="431">
        <v>35669</v>
      </c>
      <c r="B2109" s="432">
        <v>1154.8900000000001</v>
      </c>
      <c r="C2109" s="427">
        <f t="shared" si="64"/>
        <v>1997</v>
      </c>
      <c r="D2109" s="433">
        <f t="shared" si="65"/>
        <v>1154.8900000000001</v>
      </c>
    </row>
    <row r="2110" spans="1:4" ht="16.149999999999999" customHeight="1" x14ac:dyDescent="0.25">
      <c r="A2110" s="431">
        <v>35670</v>
      </c>
      <c r="B2110" s="434">
        <v>1161.1500000000001</v>
      </c>
      <c r="C2110" s="427">
        <f t="shared" si="64"/>
        <v>1997</v>
      </c>
      <c r="D2110" s="433">
        <f t="shared" si="65"/>
        <v>1161.1500000000001</v>
      </c>
    </row>
    <row r="2111" spans="1:4" ht="16.149999999999999" customHeight="1" x14ac:dyDescent="0.25">
      <c r="A2111" s="431">
        <v>35671</v>
      </c>
      <c r="B2111" s="432">
        <v>1167.28</v>
      </c>
      <c r="C2111" s="427">
        <f t="shared" si="64"/>
        <v>1997</v>
      </c>
      <c r="D2111" s="433">
        <f t="shared" si="65"/>
        <v>1167.28</v>
      </c>
    </row>
    <row r="2112" spans="1:4" ht="16.149999999999999" customHeight="1" x14ac:dyDescent="0.25">
      <c r="A2112" s="431">
        <v>35672</v>
      </c>
      <c r="B2112" s="434">
        <v>1172.28</v>
      </c>
      <c r="C2112" s="427">
        <f t="shared" si="64"/>
        <v>1997</v>
      </c>
      <c r="D2112" s="433">
        <f t="shared" si="65"/>
        <v>1172.28</v>
      </c>
    </row>
    <row r="2113" spans="1:4" ht="16.149999999999999" customHeight="1" x14ac:dyDescent="0.25">
      <c r="A2113" s="431">
        <v>35673</v>
      </c>
      <c r="B2113" s="432">
        <v>1172.28</v>
      </c>
      <c r="C2113" s="427">
        <f t="shared" si="64"/>
        <v>1997</v>
      </c>
      <c r="D2113" s="433">
        <f t="shared" si="65"/>
        <v>1172.28</v>
      </c>
    </row>
    <row r="2114" spans="1:4" ht="16.149999999999999" customHeight="1" x14ac:dyDescent="0.25">
      <c r="A2114" s="431">
        <v>35674</v>
      </c>
      <c r="B2114" s="434">
        <v>1172.28</v>
      </c>
      <c r="C2114" s="427">
        <f t="shared" si="64"/>
        <v>1997</v>
      </c>
      <c r="D2114" s="433">
        <f t="shared" si="65"/>
        <v>1172.28</v>
      </c>
    </row>
    <row r="2115" spans="1:4" ht="16.149999999999999" customHeight="1" x14ac:dyDescent="0.25">
      <c r="A2115" s="431">
        <v>35675</v>
      </c>
      <c r="B2115" s="432">
        <v>1174.01</v>
      </c>
      <c r="C2115" s="427">
        <f t="shared" si="64"/>
        <v>1997</v>
      </c>
      <c r="D2115" s="433">
        <f t="shared" si="65"/>
        <v>1174.01</v>
      </c>
    </row>
    <row r="2116" spans="1:4" ht="16.149999999999999" customHeight="1" x14ac:dyDescent="0.25">
      <c r="A2116" s="431">
        <v>35676</v>
      </c>
      <c r="B2116" s="434">
        <v>1169.3800000000001</v>
      </c>
      <c r="C2116" s="427">
        <f t="shared" si="64"/>
        <v>1997</v>
      </c>
      <c r="D2116" s="433">
        <f t="shared" si="65"/>
        <v>1169.3800000000001</v>
      </c>
    </row>
    <row r="2117" spans="1:4" ht="16.149999999999999" customHeight="1" x14ac:dyDescent="0.25">
      <c r="A2117" s="431">
        <v>35677</v>
      </c>
      <c r="B2117" s="432">
        <v>1172.82</v>
      </c>
      <c r="C2117" s="427">
        <f t="shared" si="64"/>
        <v>1997</v>
      </c>
      <c r="D2117" s="433">
        <f t="shared" si="65"/>
        <v>1172.82</v>
      </c>
    </row>
    <row r="2118" spans="1:4" ht="16.149999999999999" customHeight="1" x14ac:dyDescent="0.25">
      <c r="A2118" s="431">
        <v>35678</v>
      </c>
      <c r="B2118" s="434">
        <v>1180.94</v>
      </c>
      <c r="C2118" s="427">
        <f t="shared" si="64"/>
        <v>1997</v>
      </c>
      <c r="D2118" s="433">
        <f t="shared" si="65"/>
        <v>1180.94</v>
      </c>
    </row>
    <row r="2119" spans="1:4" ht="16.149999999999999" customHeight="1" x14ac:dyDescent="0.25">
      <c r="A2119" s="431">
        <v>35679</v>
      </c>
      <c r="B2119" s="432">
        <v>1186.98</v>
      </c>
      <c r="C2119" s="427">
        <f t="shared" si="64"/>
        <v>1997</v>
      </c>
      <c r="D2119" s="433">
        <f t="shared" si="65"/>
        <v>1186.98</v>
      </c>
    </row>
    <row r="2120" spans="1:4" ht="16.149999999999999" customHeight="1" x14ac:dyDescent="0.25">
      <c r="A2120" s="431">
        <v>35680</v>
      </c>
      <c r="B2120" s="434">
        <v>1186.98</v>
      </c>
      <c r="C2120" s="427">
        <f t="shared" si="64"/>
        <v>1997</v>
      </c>
      <c r="D2120" s="433">
        <f t="shared" si="65"/>
        <v>1186.98</v>
      </c>
    </row>
    <row r="2121" spans="1:4" ht="16.149999999999999" customHeight="1" x14ac:dyDescent="0.25">
      <c r="A2121" s="431">
        <v>35681</v>
      </c>
      <c r="B2121" s="432">
        <v>1186.98</v>
      </c>
      <c r="C2121" s="427">
        <f t="shared" si="64"/>
        <v>1997</v>
      </c>
      <c r="D2121" s="433">
        <f t="shared" si="65"/>
        <v>1186.98</v>
      </c>
    </row>
    <row r="2122" spans="1:4" ht="16.149999999999999" customHeight="1" x14ac:dyDescent="0.25">
      <c r="A2122" s="431">
        <v>35682</v>
      </c>
      <c r="B2122" s="434">
        <v>1204.0899999999999</v>
      </c>
      <c r="C2122" s="427">
        <f t="shared" ref="C2122:C2185" si="66">YEAR(A2122)</f>
        <v>1997</v>
      </c>
      <c r="D2122" s="433">
        <f t="shared" ref="D2122:D2185" si="67">B2122</f>
        <v>1204.0899999999999</v>
      </c>
    </row>
    <row r="2123" spans="1:4" ht="16.149999999999999" customHeight="1" x14ac:dyDescent="0.25">
      <c r="A2123" s="431">
        <v>35683</v>
      </c>
      <c r="B2123" s="432">
        <v>1238.21</v>
      </c>
      <c r="C2123" s="427">
        <f t="shared" si="66"/>
        <v>1997</v>
      </c>
      <c r="D2123" s="433">
        <f t="shared" si="67"/>
        <v>1238.21</v>
      </c>
    </row>
    <row r="2124" spans="1:4" ht="16.149999999999999" customHeight="1" x14ac:dyDescent="0.25">
      <c r="A2124" s="431">
        <v>35684</v>
      </c>
      <c r="B2124" s="434">
        <v>1250.03</v>
      </c>
      <c r="C2124" s="427">
        <f t="shared" si="66"/>
        <v>1997</v>
      </c>
      <c r="D2124" s="433">
        <f t="shared" si="67"/>
        <v>1250.03</v>
      </c>
    </row>
    <row r="2125" spans="1:4" ht="16.149999999999999" customHeight="1" x14ac:dyDescent="0.25">
      <c r="A2125" s="431">
        <v>35685</v>
      </c>
      <c r="B2125" s="432">
        <v>1232.1199999999999</v>
      </c>
      <c r="C2125" s="427">
        <f t="shared" si="66"/>
        <v>1997</v>
      </c>
      <c r="D2125" s="433">
        <f t="shared" si="67"/>
        <v>1232.1199999999999</v>
      </c>
    </row>
    <row r="2126" spans="1:4" ht="16.149999999999999" customHeight="1" x14ac:dyDescent="0.25">
      <c r="A2126" s="431">
        <v>35686</v>
      </c>
      <c r="B2126" s="434">
        <v>1228.01</v>
      </c>
      <c r="C2126" s="427">
        <f t="shared" si="66"/>
        <v>1997</v>
      </c>
      <c r="D2126" s="433">
        <f t="shared" si="67"/>
        <v>1228.01</v>
      </c>
    </row>
    <row r="2127" spans="1:4" ht="16.149999999999999" customHeight="1" x14ac:dyDescent="0.25">
      <c r="A2127" s="431">
        <v>35687</v>
      </c>
      <c r="B2127" s="432">
        <v>1228.01</v>
      </c>
      <c r="C2127" s="427">
        <f t="shared" si="66"/>
        <v>1997</v>
      </c>
      <c r="D2127" s="433">
        <f t="shared" si="67"/>
        <v>1228.01</v>
      </c>
    </row>
    <row r="2128" spans="1:4" ht="16.149999999999999" customHeight="1" x14ac:dyDescent="0.25">
      <c r="A2128" s="431">
        <v>35688</v>
      </c>
      <c r="B2128" s="434">
        <v>1228.01</v>
      </c>
      <c r="C2128" s="427">
        <f t="shared" si="66"/>
        <v>1997</v>
      </c>
      <c r="D2128" s="433">
        <f t="shared" si="67"/>
        <v>1228.01</v>
      </c>
    </row>
    <row r="2129" spans="1:4" ht="16.149999999999999" customHeight="1" x14ac:dyDescent="0.25">
      <c r="A2129" s="431">
        <v>35689</v>
      </c>
      <c r="B2129" s="432">
        <v>1245.06</v>
      </c>
      <c r="C2129" s="427">
        <f t="shared" si="66"/>
        <v>1997</v>
      </c>
      <c r="D2129" s="433">
        <f t="shared" si="67"/>
        <v>1245.06</v>
      </c>
    </row>
    <row r="2130" spans="1:4" ht="16.149999999999999" customHeight="1" x14ac:dyDescent="0.25">
      <c r="A2130" s="431">
        <v>35690</v>
      </c>
      <c r="B2130" s="434">
        <v>1243.58</v>
      </c>
      <c r="C2130" s="427">
        <f t="shared" si="66"/>
        <v>1997</v>
      </c>
      <c r="D2130" s="433">
        <f t="shared" si="67"/>
        <v>1243.58</v>
      </c>
    </row>
    <row r="2131" spans="1:4" ht="16.149999999999999" customHeight="1" x14ac:dyDescent="0.25">
      <c r="A2131" s="431">
        <v>35691</v>
      </c>
      <c r="B2131" s="432">
        <v>1241.83</v>
      </c>
      <c r="C2131" s="427">
        <f t="shared" si="66"/>
        <v>1997</v>
      </c>
      <c r="D2131" s="433">
        <f t="shared" si="67"/>
        <v>1241.83</v>
      </c>
    </row>
    <row r="2132" spans="1:4" ht="16.149999999999999" customHeight="1" x14ac:dyDescent="0.25">
      <c r="A2132" s="431">
        <v>35692</v>
      </c>
      <c r="B2132" s="434">
        <v>1236.31</v>
      </c>
      <c r="C2132" s="427">
        <f t="shared" si="66"/>
        <v>1997</v>
      </c>
      <c r="D2132" s="433">
        <f t="shared" si="67"/>
        <v>1236.31</v>
      </c>
    </row>
    <row r="2133" spans="1:4" ht="16.149999999999999" customHeight="1" x14ac:dyDescent="0.25">
      <c r="A2133" s="431">
        <v>35693</v>
      </c>
      <c r="B2133" s="432">
        <v>1238.29</v>
      </c>
      <c r="C2133" s="427">
        <f t="shared" si="66"/>
        <v>1997</v>
      </c>
      <c r="D2133" s="433">
        <f t="shared" si="67"/>
        <v>1238.29</v>
      </c>
    </row>
    <row r="2134" spans="1:4" ht="16.149999999999999" customHeight="1" x14ac:dyDescent="0.25">
      <c r="A2134" s="431">
        <v>35694</v>
      </c>
      <c r="B2134" s="434">
        <v>1238.29</v>
      </c>
      <c r="C2134" s="427">
        <f t="shared" si="66"/>
        <v>1997</v>
      </c>
      <c r="D2134" s="433">
        <f t="shared" si="67"/>
        <v>1238.29</v>
      </c>
    </row>
    <row r="2135" spans="1:4" ht="16.149999999999999" customHeight="1" x14ac:dyDescent="0.25">
      <c r="A2135" s="431">
        <v>35695</v>
      </c>
      <c r="B2135" s="432">
        <v>1238.29</v>
      </c>
      <c r="C2135" s="427">
        <f t="shared" si="66"/>
        <v>1997</v>
      </c>
      <c r="D2135" s="433">
        <f t="shared" si="67"/>
        <v>1238.29</v>
      </c>
    </row>
    <row r="2136" spans="1:4" ht="16.149999999999999" customHeight="1" x14ac:dyDescent="0.25">
      <c r="A2136" s="431">
        <v>35696</v>
      </c>
      <c r="B2136" s="434">
        <v>1242.45</v>
      </c>
      <c r="C2136" s="427">
        <f t="shared" si="66"/>
        <v>1997</v>
      </c>
      <c r="D2136" s="433">
        <f t="shared" si="67"/>
        <v>1242.45</v>
      </c>
    </row>
    <row r="2137" spans="1:4" ht="16.149999999999999" customHeight="1" x14ac:dyDescent="0.25">
      <c r="A2137" s="431">
        <v>35697</v>
      </c>
      <c r="B2137" s="432">
        <v>1248.83</v>
      </c>
      <c r="C2137" s="427">
        <f t="shared" si="66"/>
        <v>1997</v>
      </c>
      <c r="D2137" s="433">
        <f t="shared" si="67"/>
        <v>1248.83</v>
      </c>
    </row>
    <row r="2138" spans="1:4" ht="16.149999999999999" customHeight="1" x14ac:dyDescent="0.25">
      <c r="A2138" s="431">
        <v>35698</v>
      </c>
      <c r="B2138" s="434">
        <v>1251.8800000000001</v>
      </c>
      <c r="C2138" s="427">
        <f t="shared" si="66"/>
        <v>1997</v>
      </c>
      <c r="D2138" s="433">
        <f t="shared" si="67"/>
        <v>1251.8800000000001</v>
      </c>
    </row>
    <row r="2139" spans="1:4" ht="16.149999999999999" customHeight="1" x14ac:dyDescent="0.25">
      <c r="A2139" s="431">
        <v>35699</v>
      </c>
      <c r="B2139" s="432">
        <v>1249.73</v>
      </c>
      <c r="C2139" s="427">
        <f t="shared" si="66"/>
        <v>1997</v>
      </c>
      <c r="D2139" s="433">
        <f t="shared" si="67"/>
        <v>1249.73</v>
      </c>
    </row>
    <row r="2140" spans="1:4" ht="16.149999999999999" customHeight="1" x14ac:dyDescent="0.25">
      <c r="A2140" s="431">
        <v>35700</v>
      </c>
      <c r="B2140" s="434">
        <v>1241.72</v>
      </c>
      <c r="C2140" s="427">
        <f t="shared" si="66"/>
        <v>1997</v>
      </c>
      <c r="D2140" s="433">
        <f t="shared" si="67"/>
        <v>1241.72</v>
      </c>
    </row>
    <row r="2141" spans="1:4" ht="16.149999999999999" customHeight="1" x14ac:dyDescent="0.25">
      <c r="A2141" s="431">
        <v>35701</v>
      </c>
      <c r="B2141" s="432">
        <v>1241.72</v>
      </c>
      <c r="C2141" s="427">
        <f t="shared" si="66"/>
        <v>1997</v>
      </c>
      <c r="D2141" s="433">
        <f t="shared" si="67"/>
        <v>1241.72</v>
      </c>
    </row>
    <row r="2142" spans="1:4" ht="16.149999999999999" customHeight="1" x14ac:dyDescent="0.25">
      <c r="A2142" s="431">
        <v>35702</v>
      </c>
      <c r="B2142" s="434">
        <v>1241.72</v>
      </c>
      <c r="C2142" s="427">
        <f t="shared" si="66"/>
        <v>1997</v>
      </c>
      <c r="D2142" s="433">
        <f t="shared" si="67"/>
        <v>1241.72</v>
      </c>
    </row>
    <row r="2143" spans="1:4" ht="16.149999999999999" customHeight="1" x14ac:dyDescent="0.25">
      <c r="A2143" s="431">
        <v>35703</v>
      </c>
      <c r="B2143" s="432">
        <v>1246.27</v>
      </c>
      <c r="C2143" s="427">
        <f t="shared" si="66"/>
        <v>1997</v>
      </c>
      <c r="D2143" s="433">
        <f t="shared" si="67"/>
        <v>1246.27</v>
      </c>
    </row>
    <row r="2144" spans="1:4" ht="16.149999999999999" customHeight="1" x14ac:dyDescent="0.25">
      <c r="A2144" s="431">
        <v>35704</v>
      </c>
      <c r="B2144" s="434">
        <v>1244.6300000000001</v>
      </c>
      <c r="C2144" s="427">
        <f t="shared" si="66"/>
        <v>1997</v>
      </c>
      <c r="D2144" s="433">
        <f t="shared" si="67"/>
        <v>1244.6300000000001</v>
      </c>
    </row>
    <row r="2145" spans="1:4" ht="16.149999999999999" customHeight="1" x14ac:dyDescent="0.25">
      <c r="A2145" s="431">
        <v>35705</v>
      </c>
      <c r="B2145" s="432">
        <v>1243.27</v>
      </c>
      <c r="C2145" s="427">
        <f t="shared" si="66"/>
        <v>1997</v>
      </c>
      <c r="D2145" s="433">
        <f t="shared" si="67"/>
        <v>1243.27</v>
      </c>
    </row>
    <row r="2146" spans="1:4" ht="16.149999999999999" customHeight="1" x14ac:dyDescent="0.25">
      <c r="A2146" s="431">
        <v>35706</v>
      </c>
      <c r="B2146" s="434">
        <v>1242.1600000000001</v>
      </c>
      <c r="C2146" s="427">
        <f t="shared" si="66"/>
        <v>1997</v>
      </c>
      <c r="D2146" s="433">
        <f t="shared" si="67"/>
        <v>1242.1600000000001</v>
      </c>
    </row>
    <row r="2147" spans="1:4" ht="16.149999999999999" customHeight="1" x14ac:dyDescent="0.25">
      <c r="A2147" s="431">
        <v>35707</v>
      </c>
      <c r="B2147" s="432">
        <v>1244.8399999999999</v>
      </c>
      <c r="C2147" s="427">
        <f t="shared" si="66"/>
        <v>1997</v>
      </c>
      <c r="D2147" s="433">
        <f t="shared" si="67"/>
        <v>1244.8399999999999</v>
      </c>
    </row>
    <row r="2148" spans="1:4" ht="16.149999999999999" customHeight="1" x14ac:dyDescent="0.25">
      <c r="A2148" s="431">
        <v>35708</v>
      </c>
      <c r="B2148" s="434">
        <v>1244.8399999999999</v>
      </c>
      <c r="C2148" s="427">
        <f t="shared" si="66"/>
        <v>1997</v>
      </c>
      <c r="D2148" s="433">
        <f t="shared" si="67"/>
        <v>1244.8399999999999</v>
      </c>
    </row>
    <row r="2149" spans="1:4" ht="16.149999999999999" customHeight="1" x14ac:dyDescent="0.25">
      <c r="A2149" s="431">
        <v>35709</v>
      </c>
      <c r="B2149" s="432">
        <v>1244.8399999999999</v>
      </c>
      <c r="C2149" s="427">
        <f t="shared" si="66"/>
        <v>1997</v>
      </c>
      <c r="D2149" s="433">
        <f t="shared" si="67"/>
        <v>1244.8399999999999</v>
      </c>
    </row>
    <row r="2150" spans="1:4" ht="16.149999999999999" customHeight="1" x14ac:dyDescent="0.25">
      <c r="A2150" s="431">
        <v>35710</v>
      </c>
      <c r="B2150" s="434">
        <v>1250.95</v>
      </c>
      <c r="C2150" s="427">
        <f t="shared" si="66"/>
        <v>1997</v>
      </c>
      <c r="D2150" s="433">
        <f t="shared" si="67"/>
        <v>1250.95</v>
      </c>
    </row>
    <row r="2151" spans="1:4" ht="16.149999999999999" customHeight="1" x14ac:dyDescent="0.25">
      <c r="A2151" s="431">
        <v>35711</v>
      </c>
      <c r="B2151" s="432">
        <v>1247.51</v>
      </c>
      <c r="C2151" s="427">
        <f t="shared" si="66"/>
        <v>1997</v>
      </c>
      <c r="D2151" s="433">
        <f t="shared" si="67"/>
        <v>1247.51</v>
      </c>
    </row>
    <row r="2152" spans="1:4" ht="16.149999999999999" customHeight="1" x14ac:dyDescent="0.25">
      <c r="A2152" s="431">
        <v>35712</v>
      </c>
      <c r="B2152" s="434">
        <v>1252.74</v>
      </c>
      <c r="C2152" s="427">
        <f t="shared" si="66"/>
        <v>1997</v>
      </c>
      <c r="D2152" s="433">
        <f t="shared" si="67"/>
        <v>1252.74</v>
      </c>
    </row>
    <row r="2153" spans="1:4" ht="16.149999999999999" customHeight="1" x14ac:dyDescent="0.25">
      <c r="A2153" s="431">
        <v>35713</v>
      </c>
      <c r="B2153" s="432">
        <v>1258.04</v>
      </c>
      <c r="C2153" s="427">
        <f t="shared" si="66"/>
        <v>1997</v>
      </c>
      <c r="D2153" s="433">
        <f t="shared" si="67"/>
        <v>1258.04</v>
      </c>
    </row>
    <row r="2154" spans="1:4" ht="16.149999999999999" customHeight="1" x14ac:dyDescent="0.25">
      <c r="A2154" s="431">
        <v>35714</v>
      </c>
      <c r="B2154" s="434">
        <v>1265.3800000000001</v>
      </c>
      <c r="C2154" s="427">
        <f t="shared" si="66"/>
        <v>1997</v>
      </c>
      <c r="D2154" s="433">
        <f t="shared" si="67"/>
        <v>1265.3800000000001</v>
      </c>
    </row>
    <row r="2155" spans="1:4" ht="16.149999999999999" customHeight="1" x14ac:dyDescent="0.25">
      <c r="A2155" s="431">
        <v>35715</v>
      </c>
      <c r="B2155" s="432">
        <v>1265.3800000000001</v>
      </c>
      <c r="C2155" s="427">
        <f t="shared" si="66"/>
        <v>1997</v>
      </c>
      <c r="D2155" s="433">
        <f t="shared" si="67"/>
        <v>1265.3800000000001</v>
      </c>
    </row>
    <row r="2156" spans="1:4" ht="16.149999999999999" customHeight="1" x14ac:dyDescent="0.25">
      <c r="A2156" s="431">
        <v>35716</v>
      </c>
      <c r="B2156" s="434">
        <v>1265.3800000000001</v>
      </c>
      <c r="C2156" s="427">
        <f t="shared" si="66"/>
        <v>1997</v>
      </c>
      <c r="D2156" s="433">
        <f t="shared" si="67"/>
        <v>1265.3800000000001</v>
      </c>
    </row>
    <row r="2157" spans="1:4" ht="16.149999999999999" customHeight="1" x14ac:dyDescent="0.25">
      <c r="A2157" s="431">
        <v>35717</v>
      </c>
      <c r="B2157" s="432">
        <v>1265.3800000000001</v>
      </c>
      <c r="C2157" s="427">
        <f t="shared" si="66"/>
        <v>1997</v>
      </c>
      <c r="D2157" s="433">
        <f t="shared" si="67"/>
        <v>1265.3800000000001</v>
      </c>
    </row>
    <row r="2158" spans="1:4" ht="16.149999999999999" customHeight="1" x14ac:dyDescent="0.25">
      <c r="A2158" s="431">
        <v>35718</v>
      </c>
      <c r="B2158" s="434">
        <v>1272.77</v>
      </c>
      <c r="C2158" s="427">
        <f t="shared" si="66"/>
        <v>1997</v>
      </c>
      <c r="D2158" s="433">
        <f t="shared" si="67"/>
        <v>1272.77</v>
      </c>
    </row>
    <row r="2159" spans="1:4" ht="16.149999999999999" customHeight="1" x14ac:dyDescent="0.25">
      <c r="A2159" s="431">
        <v>35719</v>
      </c>
      <c r="B2159" s="432">
        <v>1263.79</v>
      </c>
      <c r="C2159" s="427">
        <f t="shared" si="66"/>
        <v>1997</v>
      </c>
      <c r="D2159" s="433">
        <f t="shared" si="67"/>
        <v>1263.79</v>
      </c>
    </row>
    <row r="2160" spans="1:4" ht="16.149999999999999" customHeight="1" x14ac:dyDescent="0.25">
      <c r="A2160" s="431">
        <v>35720</v>
      </c>
      <c r="B2160" s="434">
        <v>1268.8699999999999</v>
      </c>
      <c r="C2160" s="427">
        <f t="shared" si="66"/>
        <v>1997</v>
      </c>
      <c r="D2160" s="433">
        <f t="shared" si="67"/>
        <v>1268.8699999999999</v>
      </c>
    </row>
    <row r="2161" spans="1:4" ht="16.149999999999999" customHeight="1" x14ac:dyDescent="0.25">
      <c r="A2161" s="431">
        <v>35721</v>
      </c>
      <c r="B2161" s="432">
        <v>1264.7</v>
      </c>
      <c r="C2161" s="427">
        <f t="shared" si="66"/>
        <v>1997</v>
      </c>
      <c r="D2161" s="433">
        <f t="shared" si="67"/>
        <v>1264.7</v>
      </c>
    </row>
    <row r="2162" spans="1:4" ht="16.149999999999999" customHeight="1" x14ac:dyDescent="0.25">
      <c r="A2162" s="431">
        <v>35722</v>
      </c>
      <c r="B2162" s="434">
        <v>1264.7</v>
      </c>
      <c r="C2162" s="427">
        <f t="shared" si="66"/>
        <v>1997</v>
      </c>
      <c r="D2162" s="433">
        <f t="shared" si="67"/>
        <v>1264.7</v>
      </c>
    </row>
    <row r="2163" spans="1:4" ht="16.149999999999999" customHeight="1" x14ac:dyDescent="0.25">
      <c r="A2163" s="431">
        <v>35723</v>
      </c>
      <c r="B2163" s="432">
        <v>1264.7</v>
      </c>
      <c r="C2163" s="427">
        <f t="shared" si="66"/>
        <v>1997</v>
      </c>
      <c r="D2163" s="433">
        <f t="shared" si="67"/>
        <v>1264.7</v>
      </c>
    </row>
    <row r="2164" spans="1:4" ht="16.149999999999999" customHeight="1" x14ac:dyDescent="0.25">
      <c r="A2164" s="431">
        <v>35724</v>
      </c>
      <c r="B2164" s="434">
        <v>1264.5999999999999</v>
      </c>
      <c r="C2164" s="427">
        <f t="shared" si="66"/>
        <v>1997</v>
      </c>
      <c r="D2164" s="433">
        <f t="shared" si="67"/>
        <v>1264.5999999999999</v>
      </c>
    </row>
    <row r="2165" spans="1:4" ht="16.149999999999999" customHeight="1" x14ac:dyDescent="0.25">
      <c r="A2165" s="431">
        <v>35725</v>
      </c>
      <c r="B2165" s="432">
        <v>1264.32</v>
      </c>
      <c r="C2165" s="427">
        <f t="shared" si="66"/>
        <v>1997</v>
      </c>
      <c r="D2165" s="433">
        <f t="shared" si="67"/>
        <v>1264.32</v>
      </c>
    </row>
    <row r="2166" spans="1:4" ht="16.149999999999999" customHeight="1" x14ac:dyDescent="0.25">
      <c r="A2166" s="431">
        <v>35726</v>
      </c>
      <c r="B2166" s="434">
        <v>1267.8699999999999</v>
      </c>
      <c r="C2166" s="427">
        <f t="shared" si="66"/>
        <v>1997</v>
      </c>
      <c r="D2166" s="433">
        <f t="shared" si="67"/>
        <v>1267.8699999999999</v>
      </c>
    </row>
    <row r="2167" spans="1:4" ht="16.149999999999999" customHeight="1" x14ac:dyDescent="0.25">
      <c r="A2167" s="431">
        <v>35727</v>
      </c>
      <c r="B2167" s="432">
        <v>1267.0999999999999</v>
      </c>
      <c r="C2167" s="427">
        <f t="shared" si="66"/>
        <v>1997</v>
      </c>
      <c r="D2167" s="433">
        <f t="shared" si="67"/>
        <v>1267.0999999999999</v>
      </c>
    </row>
    <row r="2168" spans="1:4" ht="16.149999999999999" customHeight="1" x14ac:dyDescent="0.25">
      <c r="A2168" s="431">
        <v>35728</v>
      </c>
      <c r="B2168" s="434">
        <v>1272.02</v>
      </c>
      <c r="C2168" s="427">
        <f t="shared" si="66"/>
        <v>1997</v>
      </c>
      <c r="D2168" s="433">
        <f t="shared" si="67"/>
        <v>1272.02</v>
      </c>
    </row>
    <row r="2169" spans="1:4" ht="16.149999999999999" customHeight="1" x14ac:dyDescent="0.25">
      <c r="A2169" s="431">
        <v>35729</v>
      </c>
      <c r="B2169" s="432">
        <v>1272.02</v>
      </c>
      <c r="C2169" s="427">
        <f t="shared" si="66"/>
        <v>1997</v>
      </c>
      <c r="D2169" s="433">
        <f t="shared" si="67"/>
        <v>1272.02</v>
      </c>
    </row>
    <row r="2170" spans="1:4" ht="16.149999999999999" customHeight="1" x14ac:dyDescent="0.25">
      <c r="A2170" s="431">
        <v>35730</v>
      </c>
      <c r="B2170" s="434">
        <v>1272.02</v>
      </c>
      <c r="C2170" s="427">
        <f t="shared" si="66"/>
        <v>1997</v>
      </c>
      <c r="D2170" s="433">
        <f t="shared" si="67"/>
        <v>1272.02</v>
      </c>
    </row>
    <row r="2171" spans="1:4" ht="16.149999999999999" customHeight="1" x14ac:dyDescent="0.25">
      <c r="A2171" s="431">
        <v>35731</v>
      </c>
      <c r="B2171" s="432">
        <v>1274.05</v>
      </c>
      <c r="C2171" s="427">
        <f t="shared" si="66"/>
        <v>1997</v>
      </c>
      <c r="D2171" s="433">
        <f t="shared" si="67"/>
        <v>1274.05</v>
      </c>
    </row>
    <row r="2172" spans="1:4" ht="16.149999999999999" customHeight="1" x14ac:dyDescent="0.25">
      <c r="A2172" s="431">
        <v>35732</v>
      </c>
      <c r="B2172" s="434">
        <v>1289.8399999999999</v>
      </c>
      <c r="C2172" s="427">
        <f t="shared" si="66"/>
        <v>1997</v>
      </c>
      <c r="D2172" s="433">
        <f t="shared" si="67"/>
        <v>1289.8399999999999</v>
      </c>
    </row>
    <row r="2173" spans="1:4" ht="16.149999999999999" customHeight="1" x14ac:dyDescent="0.25">
      <c r="A2173" s="431">
        <v>35733</v>
      </c>
      <c r="B2173" s="432">
        <v>1282.82</v>
      </c>
      <c r="C2173" s="427">
        <f t="shared" si="66"/>
        <v>1997</v>
      </c>
      <c r="D2173" s="433">
        <f t="shared" si="67"/>
        <v>1282.82</v>
      </c>
    </row>
    <row r="2174" spans="1:4" ht="16.149999999999999" customHeight="1" x14ac:dyDescent="0.25">
      <c r="A2174" s="431">
        <v>35734</v>
      </c>
      <c r="B2174" s="434">
        <v>1281.2</v>
      </c>
      <c r="C2174" s="427">
        <f t="shared" si="66"/>
        <v>1997</v>
      </c>
      <c r="D2174" s="433">
        <f t="shared" si="67"/>
        <v>1281.2</v>
      </c>
    </row>
    <row r="2175" spans="1:4" ht="16.149999999999999" customHeight="1" x14ac:dyDescent="0.25">
      <c r="A2175" s="431">
        <v>35735</v>
      </c>
      <c r="B2175" s="432">
        <v>1284.6500000000001</v>
      </c>
      <c r="C2175" s="427">
        <f t="shared" si="66"/>
        <v>1997</v>
      </c>
      <c r="D2175" s="433">
        <f t="shared" si="67"/>
        <v>1284.6500000000001</v>
      </c>
    </row>
    <row r="2176" spans="1:4" ht="16.149999999999999" customHeight="1" x14ac:dyDescent="0.25">
      <c r="A2176" s="431">
        <v>35736</v>
      </c>
      <c r="B2176" s="434">
        <v>1284.6500000000001</v>
      </c>
      <c r="C2176" s="427">
        <f t="shared" si="66"/>
        <v>1997</v>
      </c>
      <c r="D2176" s="433">
        <f t="shared" si="67"/>
        <v>1284.6500000000001</v>
      </c>
    </row>
    <row r="2177" spans="1:4" ht="16.149999999999999" customHeight="1" x14ac:dyDescent="0.25">
      <c r="A2177" s="431">
        <v>35737</v>
      </c>
      <c r="B2177" s="432">
        <v>1284.6500000000001</v>
      </c>
      <c r="C2177" s="427">
        <f t="shared" si="66"/>
        <v>1997</v>
      </c>
      <c r="D2177" s="433">
        <f t="shared" si="67"/>
        <v>1284.6500000000001</v>
      </c>
    </row>
    <row r="2178" spans="1:4" ht="16.149999999999999" customHeight="1" x14ac:dyDescent="0.25">
      <c r="A2178" s="431">
        <v>35738</v>
      </c>
      <c r="B2178" s="434">
        <v>1284.6500000000001</v>
      </c>
      <c r="C2178" s="427">
        <f t="shared" si="66"/>
        <v>1997</v>
      </c>
      <c r="D2178" s="433">
        <f t="shared" si="67"/>
        <v>1284.6500000000001</v>
      </c>
    </row>
    <row r="2179" spans="1:4" ht="16.149999999999999" customHeight="1" x14ac:dyDescent="0.25">
      <c r="A2179" s="431">
        <v>35739</v>
      </c>
      <c r="B2179" s="432">
        <v>1284.6300000000001</v>
      </c>
      <c r="C2179" s="427">
        <f t="shared" si="66"/>
        <v>1997</v>
      </c>
      <c r="D2179" s="433">
        <f t="shared" si="67"/>
        <v>1284.6300000000001</v>
      </c>
    </row>
    <row r="2180" spans="1:4" ht="16.149999999999999" customHeight="1" x14ac:dyDescent="0.25">
      <c r="A2180" s="431">
        <v>35740</v>
      </c>
      <c r="B2180" s="434">
        <v>1281.18</v>
      </c>
      <c r="C2180" s="427">
        <f t="shared" si="66"/>
        <v>1997</v>
      </c>
      <c r="D2180" s="433">
        <f t="shared" si="67"/>
        <v>1281.18</v>
      </c>
    </row>
    <row r="2181" spans="1:4" ht="16.149999999999999" customHeight="1" x14ac:dyDescent="0.25">
      <c r="A2181" s="431">
        <v>35741</v>
      </c>
      <c r="B2181" s="432">
        <v>1286.73</v>
      </c>
      <c r="C2181" s="427">
        <f t="shared" si="66"/>
        <v>1997</v>
      </c>
      <c r="D2181" s="433">
        <f t="shared" si="67"/>
        <v>1286.73</v>
      </c>
    </row>
    <row r="2182" spans="1:4" ht="16.149999999999999" customHeight="1" x14ac:dyDescent="0.25">
      <c r="A2182" s="431">
        <v>35742</v>
      </c>
      <c r="B2182" s="434">
        <v>1291.3499999999999</v>
      </c>
      <c r="C2182" s="427">
        <f t="shared" si="66"/>
        <v>1997</v>
      </c>
      <c r="D2182" s="433">
        <f t="shared" si="67"/>
        <v>1291.3499999999999</v>
      </c>
    </row>
    <row r="2183" spans="1:4" ht="16.149999999999999" customHeight="1" x14ac:dyDescent="0.25">
      <c r="A2183" s="431">
        <v>35743</v>
      </c>
      <c r="B2183" s="432">
        <v>1291.3499999999999</v>
      </c>
      <c r="C2183" s="427">
        <f t="shared" si="66"/>
        <v>1997</v>
      </c>
      <c r="D2183" s="433">
        <f t="shared" si="67"/>
        <v>1291.3499999999999</v>
      </c>
    </row>
    <row r="2184" spans="1:4" ht="16.149999999999999" customHeight="1" x14ac:dyDescent="0.25">
      <c r="A2184" s="431">
        <v>35744</v>
      </c>
      <c r="B2184" s="434">
        <v>1291.3499999999999</v>
      </c>
      <c r="C2184" s="427">
        <f t="shared" si="66"/>
        <v>1997</v>
      </c>
      <c r="D2184" s="433">
        <f t="shared" si="67"/>
        <v>1291.3499999999999</v>
      </c>
    </row>
    <row r="2185" spans="1:4" ht="16.149999999999999" customHeight="1" x14ac:dyDescent="0.25">
      <c r="A2185" s="431">
        <v>35745</v>
      </c>
      <c r="B2185" s="432">
        <v>1295.52</v>
      </c>
      <c r="C2185" s="427">
        <f t="shared" si="66"/>
        <v>1997</v>
      </c>
      <c r="D2185" s="433">
        <f t="shared" si="67"/>
        <v>1295.52</v>
      </c>
    </row>
    <row r="2186" spans="1:4" ht="16.149999999999999" customHeight="1" x14ac:dyDescent="0.25">
      <c r="A2186" s="431">
        <v>35746</v>
      </c>
      <c r="B2186" s="434">
        <v>1294.51</v>
      </c>
      <c r="C2186" s="427">
        <f t="shared" ref="C2186:C2249" si="68">YEAR(A2186)</f>
        <v>1997</v>
      </c>
      <c r="D2186" s="433">
        <f t="shared" ref="D2186:D2249" si="69">B2186</f>
        <v>1294.51</v>
      </c>
    </row>
    <row r="2187" spans="1:4" ht="16.149999999999999" customHeight="1" x14ac:dyDescent="0.25">
      <c r="A2187" s="431">
        <v>35747</v>
      </c>
      <c r="B2187" s="432">
        <v>1296.6600000000001</v>
      </c>
      <c r="C2187" s="427">
        <f t="shared" si="68"/>
        <v>1997</v>
      </c>
      <c r="D2187" s="433">
        <f t="shared" si="69"/>
        <v>1296.6600000000001</v>
      </c>
    </row>
    <row r="2188" spans="1:4" ht="16.149999999999999" customHeight="1" x14ac:dyDescent="0.25">
      <c r="A2188" s="431">
        <v>35748</v>
      </c>
      <c r="B2188" s="434">
        <v>1297.8699999999999</v>
      </c>
      <c r="C2188" s="427">
        <f t="shared" si="68"/>
        <v>1997</v>
      </c>
      <c r="D2188" s="433">
        <f t="shared" si="69"/>
        <v>1297.8699999999999</v>
      </c>
    </row>
    <row r="2189" spans="1:4" ht="16.149999999999999" customHeight="1" x14ac:dyDescent="0.25">
      <c r="A2189" s="431">
        <v>35749</v>
      </c>
      <c r="B2189" s="432">
        <v>1298.04</v>
      </c>
      <c r="C2189" s="427">
        <f t="shared" si="68"/>
        <v>1997</v>
      </c>
      <c r="D2189" s="433">
        <f t="shared" si="69"/>
        <v>1298.04</v>
      </c>
    </row>
    <row r="2190" spans="1:4" ht="16.149999999999999" customHeight="1" x14ac:dyDescent="0.25">
      <c r="A2190" s="431">
        <v>35750</v>
      </c>
      <c r="B2190" s="434">
        <v>1298.04</v>
      </c>
      <c r="C2190" s="427">
        <f t="shared" si="68"/>
        <v>1997</v>
      </c>
      <c r="D2190" s="433">
        <f t="shared" si="69"/>
        <v>1298.04</v>
      </c>
    </row>
    <row r="2191" spans="1:4" ht="16.149999999999999" customHeight="1" x14ac:dyDescent="0.25">
      <c r="A2191" s="431">
        <v>35751</v>
      </c>
      <c r="B2191" s="432">
        <v>1298.04</v>
      </c>
      <c r="C2191" s="427">
        <f t="shared" si="68"/>
        <v>1997</v>
      </c>
      <c r="D2191" s="433">
        <f t="shared" si="69"/>
        <v>1298.04</v>
      </c>
    </row>
    <row r="2192" spans="1:4" ht="16.149999999999999" customHeight="1" x14ac:dyDescent="0.25">
      <c r="A2192" s="431">
        <v>35752</v>
      </c>
      <c r="B2192" s="434">
        <v>1298.04</v>
      </c>
      <c r="C2192" s="427">
        <f t="shared" si="68"/>
        <v>1997</v>
      </c>
      <c r="D2192" s="433">
        <f t="shared" si="69"/>
        <v>1298.04</v>
      </c>
    </row>
    <row r="2193" spans="1:4" ht="16.149999999999999" customHeight="1" x14ac:dyDescent="0.25">
      <c r="A2193" s="431">
        <v>35753</v>
      </c>
      <c r="B2193" s="432">
        <v>1297.94</v>
      </c>
      <c r="C2193" s="427">
        <f t="shared" si="68"/>
        <v>1997</v>
      </c>
      <c r="D2193" s="433">
        <f t="shared" si="69"/>
        <v>1297.94</v>
      </c>
    </row>
    <row r="2194" spans="1:4" ht="16.149999999999999" customHeight="1" x14ac:dyDescent="0.25">
      <c r="A2194" s="431">
        <v>35754</v>
      </c>
      <c r="B2194" s="434">
        <v>1296.6199999999999</v>
      </c>
      <c r="C2194" s="427">
        <f t="shared" si="68"/>
        <v>1997</v>
      </c>
      <c r="D2194" s="433">
        <f t="shared" si="69"/>
        <v>1296.6199999999999</v>
      </c>
    </row>
    <row r="2195" spans="1:4" ht="16.149999999999999" customHeight="1" x14ac:dyDescent="0.25">
      <c r="A2195" s="431">
        <v>35755</v>
      </c>
      <c r="B2195" s="432">
        <v>1298.19</v>
      </c>
      <c r="C2195" s="427">
        <f t="shared" si="68"/>
        <v>1997</v>
      </c>
      <c r="D2195" s="433">
        <f t="shared" si="69"/>
        <v>1298.19</v>
      </c>
    </row>
    <row r="2196" spans="1:4" ht="16.149999999999999" customHeight="1" x14ac:dyDescent="0.25">
      <c r="A2196" s="431">
        <v>35756</v>
      </c>
      <c r="B2196" s="434">
        <v>1296.3</v>
      </c>
      <c r="C2196" s="427">
        <f t="shared" si="68"/>
        <v>1997</v>
      </c>
      <c r="D2196" s="433">
        <f t="shared" si="69"/>
        <v>1296.3</v>
      </c>
    </row>
    <row r="2197" spans="1:4" ht="16.149999999999999" customHeight="1" x14ac:dyDescent="0.25">
      <c r="A2197" s="431">
        <v>35757</v>
      </c>
      <c r="B2197" s="432">
        <v>1296.3</v>
      </c>
      <c r="C2197" s="427">
        <f t="shared" si="68"/>
        <v>1997</v>
      </c>
      <c r="D2197" s="433">
        <f t="shared" si="69"/>
        <v>1296.3</v>
      </c>
    </row>
    <row r="2198" spans="1:4" ht="16.149999999999999" customHeight="1" x14ac:dyDescent="0.25">
      <c r="A2198" s="431">
        <v>35758</v>
      </c>
      <c r="B2198" s="434">
        <v>1296.3</v>
      </c>
      <c r="C2198" s="427">
        <f t="shared" si="68"/>
        <v>1997</v>
      </c>
      <c r="D2198" s="433">
        <f t="shared" si="69"/>
        <v>1296.3</v>
      </c>
    </row>
    <row r="2199" spans="1:4" ht="16.149999999999999" customHeight="1" x14ac:dyDescent="0.25">
      <c r="A2199" s="431">
        <v>35759</v>
      </c>
      <c r="B2199" s="432">
        <v>1296.3699999999999</v>
      </c>
      <c r="C2199" s="427">
        <f t="shared" si="68"/>
        <v>1997</v>
      </c>
      <c r="D2199" s="433">
        <f t="shared" si="69"/>
        <v>1296.3699999999999</v>
      </c>
    </row>
    <row r="2200" spans="1:4" ht="16.149999999999999" customHeight="1" x14ac:dyDescent="0.25">
      <c r="A2200" s="431">
        <v>35760</v>
      </c>
      <c r="B2200" s="434">
        <v>1299.19</v>
      </c>
      <c r="C2200" s="427">
        <f t="shared" si="68"/>
        <v>1997</v>
      </c>
      <c r="D2200" s="433">
        <f t="shared" si="69"/>
        <v>1299.19</v>
      </c>
    </row>
    <row r="2201" spans="1:4" ht="16.149999999999999" customHeight="1" x14ac:dyDescent="0.25">
      <c r="A2201" s="431">
        <v>35761</v>
      </c>
      <c r="B2201" s="432">
        <v>1303.1500000000001</v>
      </c>
      <c r="C2201" s="427">
        <f t="shared" si="68"/>
        <v>1997</v>
      </c>
      <c r="D2201" s="433">
        <f t="shared" si="69"/>
        <v>1303.1500000000001</v>
      </c>
    </row>
    <row r="2202" spans="1:4" ht="16.149999999999999" customHeight="1" x14ac:dyDescent="0.25">
      <c r="A2202" s="431">
        <v>35762</v>
      </c>
      <c r="B2202" s="434">
        <v>1303.0999999999999</v>
      </c>
      <c r="C2202" s="427">
        <f t="shared" si="68"/>
        <v>1997</v>
      </c>
      <c r="D2202" s="433">
        <f t="shared" si="69"/>
        <v>1303.0999999999999</v>
      </c>
    </row>
    <row r="2203" spans="1:4" ht="16.149999999999999" customHeight="1" x14ac:dyDescent="0.25">
      <c r="A2203" s="431">
        <v>35763</v>
      </c>
      <c r="B2203" s="432">
        <v>1305.6600000000001</v>
      </c>
      <c r="C2203" s="427">
        <f t="shared" si="68"/>
        <v>1997</v>
      </c>
      <c r="D2203" s="433">
        <f t="shared" si="69"/>
        <v>1305.6600000000001</v>
      </c>
    </row>
    <row r="2204" spans="1:4" ht="16.149999999999999" customHeight="1" x14ac:dyDescent="0.25">
      <c r="A2204" s="431">
        <v>35764</v>
      </c>
      <c r="B2204" s="434">
        <v>1305.6600000000001</v>
      </c>
      <c r="C2204" s="427">
        <f t="shared" si="68"/>
        <v>1997</v>
      </c>
      <c r="D2204" s="433">
        <f t="shared" si="69"/>
        <v>1305.6600000000001</v>
      </c>
    </row>
    <row r="2205" spans="1:4" ht="16.149999999999999" customHeight="1" x14ac:dyDescent="0.25">
      <c r="A2205" s="431">
        <v>35765</v>
      </c>
      <c r="B2205" s="432">
        <v>1305.6600000000001</v>
      </c>
      <c r="C2205" s="427">
        <f t="shared" si="68"/>
        <v>1997</v>
      </c>
      <c r="D2205" s="433">
        <f t="shared" si="69"/>
        <v>1305.6600000000001</v>
      </c>
    </row>
    <row r="2206" spans="1:4" ht="16.149999999999999" customHeight="1" x14ac:dyDescent="0.25">
      <c r="A2206" s="431">
        <v>35766</v>
      </c>
      <c r="B2206" s="434">
        <v>1307.54</v>
      </c>
      <c r="C2206" s="427">
        <f t="shared" si="68"/>
        <v>1997</v>
      </c>
      <c r="D2206" s="433">
        <f t="shared" si="69"/>
        <v>1307.54</v>
      </c>
    </row>
    <row r="2207" spans="1:4" ht="16.149999999999999" customHeight="1" x14ac:dyDescent="0.25">
      <c r="A2207" s="431">
        <v>35767</v>
      </c>
      <c r="B2207" s="432">
        <v>1307.01</v>
      </c>
      <c r="C2207" s="427">
        <f t="shared" si="68"/>
        <v>1997</v>
      </c>
      <c r="D2207" s="433">
        <f t="shared" si="69"/>
        <v>1307.01</v>
      </c>
    </row>
    <row r="2208" spans="1:4" ht="16.149999999999999" customHeight="1" x14ac:dyDescent="0.25">
      <c r="A2208" s="431">
        <v>35768</v>
      </c>
      <c r="B2208" s="434">
        <v>1299.43</v>
      </c>
      <c r="C2208" s="427">
        <f t="shared" si="68"/>
        <v>1997</v>
      </c>
      <c r="D2208" s="433">
        <f t="shared" si="69"/>
        <v>1299.43</v>
      </c>
    </row>
    <row r="2209" spans="1:4" ht="16.149999999999999" customHeight="1" x14ac:dyDescent="0.25">
      <c r="A2209" s="431">
        <v>35769</v>
      </c>
      <c r="B2209" s="432">
        <v>1298.6400000000001</v>
      </c>
      <c r="C2209" s="427">
        <f t="shared" si="68"/>
        <v>1997</v>
      </c>
      <c r="D2209" s="433">
        <f t="shared" si="69"/>
        <v>1298.6400000000001</v>
      </c>
    </row>
    <row r="2210" spans="1:4" ht="16.149999999999999" customHeight="1" x14ac:dyDescent="0.25">
      <c r="A2210" s="431">
        <v>35770</v>
      </c>
      <c r="B2210" s="434">
        <v>1300.55</v>
      </c>
      <c r="C2210" s="427">
        <f t="shared" si="68"/>
        <v>1997</v>
      </c>
      <c r="D2210" s="433">
        <f t="shared" si="69"/>
        <v>1300.55</v>
      </c>
    </row>
    <row r="2211" spans="1:4" ht="16.149999999999999" customHeight="1" x14ac:dyDescent="0.25">
      <c r="A2211" s="431">
        <v>35771</v>
      </c>
      <c r="B2211" s="432">
        <v>1300.55</v>
      </c>
      <c r="C2211" s="427">
        <f t="shared" si="68"/>
        <v>1997</v>
      </c>
      <c r="D2211" s="433">
        <f t="shared" si="69"/>
        <v>1300.55</v>
      </c>
    </row>
    <row r="2212" spans="1:4" ht="16.149999999999999" customHeight="1" x14ac:dyDescent="0.25">
      <c r="A2212" s="431">
        <v>35772</v>
      </c>
      <c r="B2212" s="434">
        <v>1300.55</v>
      </c>
      <c r="C2212" s="427">
        <f t="shared" si="68"/>
        <v>1997</v>
      </c>
      <c r="D2212" s="433">
        <f t="shared" si="69"/>
        <v>1300.55</v>
      </c>
    </row>
    <row r="2213" spans="1:4" ht="16.149999999999999" customHeight="1" x14ac:dyDescent="0.25">
      <c r="A2213" s="431">
        <v>35773</v>
      </c>
      <c r="B2213" s="432">
        <v>1300.55</v>
      </c>
      <c r="C2213" s="427">
        <f t="shared" si="68"/>
        <v>1997</v>
      </c>
      <c r="D2213" s="433">
        <f t="shared" si="69"/>
        <v>1300.55</v>
      </c>
    </row>
    <row r="2214" spans="1:4" ht="16.149999999999999" customHeight="1" x14ac:dyDescent="0.25">
      <c r="A2214" s="431">
        <v>35774</v>
      </c>
      <c r="B2214" s="434">
        <v>1298.78</v>
      </c>
      <c r="C2214" s="427">
        <f t="shared" si="68"/>
        <v>1997</v>
      </c>
      <c r="D2214" s="433">
        <f t="shared" si="69"/>
        <v>1298.78</v>
      </c>
    </row>
    <row r="2215" spans="1:4" ht="16.149999999999999" customHeight="1" x14ac:dyDescent="0.25">
      <c r="A2215" s="431">
        <v>35775</v>
      </c>
      <c r="B2215" s="432">
        <v>1301.1500000000001</v>
      </c>
      <c r="C2215" s="427">
        <f t="shared" si="68"/>
        <v>1997</v>
      </c>
      <c r="D2215" s="433">
        <f t="shared" si="69"/>
        <v>1301.1500000000001</v>
      </c>
    </row>
    <row r="2216" spans="1:4" ht="16.149999999999999" customHeight="1" x14ac:dyDescent="0.25">
      <c r="A2216" s="431">
        <v>35776</v>
      </c>
      <c r="B2216" s="434">
        <v>1304.8499999999999</v>
      </c>
      <c r="C2216" s="427">
        <f t="shared" si="68"/>
        <v>1997</v>
      </c>
      <c r="D2216" s="433">
        <f t="shared" si="69"/>
        <v>1304.8499999999999</v>
      </c>
    </row>
    <row r="2217" spans="1:4" ht="16.149999999999999" customHeight="1" x14ac:dyDescent="0.25">
      <c r="A2217" s="431">
        <v>35777</v>
      </c>
      <c r="B2217" s="432">
        <v>1307.42</v>
      </c>
      <c r="C2217" s="427">
        <f t="shared" si="68"/>
        <v>1997</v>
      </c>
      <c r="D2217" s="433">
        <f t="shared" si="69"/>
        <v>1307.42</v>
      </c>
    </row>
    <row r="2218" spans="1:4" ht="16.149999999999999" customHeight="1" x14ac:dyDescent="0.25">
      <c r="A2218" s="431">
        <v>35778</v>
      </c>
      <c r="B2218" s="434">
        <v>1307.42</v>
      </c>
      <c r="C2218" s="427">
        <f t="shared" si="68"/>
        <v>1997</v>
      </c>
      <c r="D2218" s="433">
        <f t="shared" si="69"/>
        <v>1307.42</v>
      </c>
    </row>
    <row r="2219" spans="1:4" ht="16.149999999999999" customHeight="1" x14ac:dyDescent="0.25">
      <c r="A2219" s="431">
        <v>35779</v>
      </c>
      <c r="B2219" s="432">
        <v>1307.42</v>
      </c>
      <c r="C2219" s="427">
        <f t="shared" si="68"/>
        <v>1997</v>
      </c>
      <c r="D2219" s="433">
        <f t="shared" si="69"/>
        <v>1307.42</v>
      </c>
    </row>
    <row r="2220" spans="1:4" ht="16.149999999999999" customHeight="1" x14ac:dyDescent="0.25">
      <c r="A2220" s="431">
        <v>35780</v>
      </c>
      <c r="B2220" s="434">
        <v>1304.02</v>
      </c>
      <c r="C2220" s="427">
        <f t="shared" si="68"/>
        <v>1997</v>
      </c>
      <c r="D2220" s="433">
        <f t="shared" si="69"/>
        <v>1304.02</v>
      </c>
    </row>
    <row r="2221" spans="1:4" ht="16.149999999999999" customHeight="1" x14ac:dyDescent="0.25">
      <c r="A2221" s="431">
        <v>35781</v>
      </c>
      <c r="B2221" s="432">
        <v>1296.3</v>
      </c>
      <c r="C2221" s="427">
        <f t="shared" si="68"/>
        <v>1997</v>
      </c>
      <c r="D2221" s="433">
        <f t="shared" si="69"/>
        <v>1296.3</v>
      </c>
    </row>
    <row r="2222" spans="1:4" ht="16.149999999999999" customHeight="1" x14ac:dyDescent="0.25">
      <c r="A2222" s="431">
        <v>35782</v>
      </c>
      <c r="B2222" s="434">
        <v>1286.74</v>
      </c>
      <c r="C2222" s="427">
        <f t="shared" si="68"/>
        <v>1997</v>
      </c>
      <c r="D2222" s="433">
        <f t="shared" si="69"/>
        <v>1286.74</v>
      </c>
    </row>
    <row r="2223" spans="1:4" ht="16.149999999999999" customHeight="1" x14ac:dyDescent="0.25">
      <c r="A2223" s="431">
        <v>35783</v>
      </c>
      <c r="B2223" s="432">
        <v>1286.1199999999999</v>
      </c>
      <c r="C2223" s="427">
        <f t="shared" si="68"/>
        <v>1997</v>
      </c>
      <c r="D2223" s="433">
        <f t="shared" si="69"/>
        <v>1286.1199999999999</v>
      </c>
    </row>
    <row r="2224" spans="1:4" ht="16.149999999999999" customHeight="1" x14ac:dyDescent="0.25">
      <c r="A2224" s="431">
        <v>35784</v>
      </c>
      <c r="B2224" s="434">
        <v>1287.51</v>
      </c>
      <c r="C2224" s="427">
        <f t="shared" si="68"/>
        <v>1997</v>
      </c>
      <c r="D2224" s="433">
        <f t="shared" si="69"/>
        <v>1287.51</v>
      </c>
    </row>
    <row r="2225" spans="1:4" ht="16.149999999999999" customHeight="1" x14ac:dyDescent="0.25">
      <c r="A2225" s="431">
        <v>35785</v>
      </c>
      <c r="B2225" s="432">
        <v>1287.51</v>
      </c>
      <c r="C2225" s="427">
        <f t="shared" si="68"/>
        <v>1997</v>
      </c>
      <c r="D2225" s="433">
        <f t="shared" si="69"/>
        <v>1287.51</v>
      </c>
    </row>
    <row r="2226" spans="1:4" ht="16.149999999999999" customHeight="1" x14ac:dyDescent="0.25">
      <c r="A2226" s="431">
        <v>35786</v>
      </c>
      <c r="B2226" s="434">
        <v>1287.51</v>
      </c>
      <c r="C2226" s="427">
        <f t="shared" si="68"/>
        <v>1997</v>
      </c>
      <c r="D2226" s="433">
        <f t="shared" si="69"/>
        <v>1287.51</v>
      </c>
    </row>
    <row r="2227" spans="1:4" ht="16.149999999999999" customHeight="1" x14ac:dyDescent="0.25">
      <c r="A2227" s="431">
        <v>35787</v>
      </c>
      <c r="B2227" s="432">
        <v>1288.32</v>
      </c>
      <c r="C2227" s="427">
        <f t="shared" si="68"/>
        <v>1997</v>
      </c>
      <c r="D2227" s="433">
        <f t="shared" si="69"/>
        <v>1288.32</v>
      </c>
    </row>
    <row r="2228" spans="1:4" ht="16.149999999999999" customHeight="1" x14ac:dyDescent="0.25">
      <c r="A2228" s="431">
        <v>35788</v>
      </c>
      <c r="B2228" s="434">
        <v>1281.5999999999999</v>
      </c>
      <c r="C2228" s="427">
        <f t="shared" si="68"/>
        <v>1997</v>
      </c>
      <c r="D2228" s="433">
        <f t="shared" si="69"/>
        <v>1281.5999999999999</v>
      </c>
    </row>
    <row r="2229" spans="1:4" ht="16.149999999999999" customHeight="1" x14ac:dyDescent="0.25">
      <c r="A2229" s="431">
        <v>35789</v>
      </c>
      <c r="B2229" s="432">
        <v>1281.5999999999999</v>
      </c>
      <c r="C2229" s="427">
        <f t="shared" si="68"/>
        <v>1997</v>
      </c>
      <c r="D2229" s="433">
        <f t="shared" si="69"/>
        <v>1281.5999999999999</v>
      </c>
    </row>
    <row r="2230" spans="1:4" ht="16.149999999999999" customHeight="1" x14ac:dyDescent="0.25">
      <c r="A2230" s="431">
        <v>35790</v>
      </c>
      <c r="B2230" s="434">
        <v>1281.5999999999999</v>
      </c>
      <c r="C2230" s="427">
        <f t="shared" si="68"/>
        <v>1997</v>
      </c>
      <c r="D2230" s="433">
        <f t="shared" si="69"/>
        <v>1281.5999999999999</v>
      </c>
    </row>
    <row r="2231" spans="1:4" ht="16.149999999999999" customHeight="1" x14ac:dyDescent="0.25">
      <c r="A2231" s="431">
        <v>35791</v>
      </c>
      <c r="B2231" s="432">
        <v>1286.92</v>
      </c>
      <c r="C2231" s="427">
        <f t="shared" si="68"/>
        <v>1997</v>
      </c>
      <c r="D2231" s="433">
        <f t="shared" si="69"/>
        <v>1286.92</v>
      </c>
    </row>
    <row r="2232" spans="1:4" ht="16.149999999999999" customHeight="1" x14ac:dyDescent="0.25">
      <c r="A2232" s="431">
        <v>35792</v>
      </c>
      <c r="B2232" s="434">
        <v>1286.92</v>
      </c>
      <c r="C2232" s="427">
        <f t="shared" si="68"/>
        <v>1997</v>
      </c>
      <c r="D2232" s="433">
        <f t="shared" si="69"/>
        <v>1286.92</v>
      </c>
    </row>
    <row r="2233" spans="1:4" ht="16.149999999999999" customHeight="1" x14ac:dyDescent="0.25">
      <c r="A2233" s="431">
        <v>35793</v>
      </c>
      <c r="B2233" s="432">
        <v>1286.92</v>
      </c>
      <c r="C2233" s="427">
        <f t="shared" si="68"/>
        <v>1997</v>
      </c>
      <c r="D2233" s="433">
        <f t="shared" si="69"/>
        <v>1286.92</v>
      </c>
    </row>
    <row r="2234" spans="1:4" ht="16.149999999999999" customHeight="1" x14ac:dyDescent="0.25">
      <c r="A2234" s="431">
        <v>35794</v>
      </c>
      <c r="B2234" s="434">
        <v>1291.92</v>
      </c>
      <c r="C2234" s="427">
        <f t="shared" si="68"/>
        <v>1997</v>
      </c>
      <c r="D2234" s="433">
        <f t="shared" si="69"/>
        <v>1291.92</v>
      </c>
    </row>
    <row r="2235" spans="1:4" ht="16.149999999999999" customHeight="1" x14ac:dyDescent="0.25">
      <c r="A2235" s="431">
        <v>35795</v>
      </c>
      <c r="B2235" s="432">
        <v>1293.58</v>
      </c>
      <c r="C2235" s="427">
        <f t="shared" si="68"/>
        <v>1997</v>
      </c>
      <c r="D2235" s="433">
        <f t="shared" si="69"/>
        <v>1293.58</v>
      </c>
    </row>
    <row r="2236" spans="1:4" ht="16.149999999999999" customHeight="1" x14ac:dyDescent="0.25">
      <c r="A2236" s="431">
        <v>35796</v>
      </c>
      <c r="B2236" s="434">
        <v>1293.58</v>
      </c>
      <c r="C2236" s="427">
        <f t="shared" si="68"/>
        <v>1998</v>
      </c>
      <c r="D2236" s="433">
        <f t="shared" si="69"/>
        <v>1293.58</v>
      </c>
    </row>
    <row r="2237" spans="1:4" ht="16.149999999999999" customHeight="1" x14ac:dyDescent="0.25">
      <c r="A2237" s="431">
        <v>35797</v>
      </c>
      <c r="B2237" s="432">
        <v>1293.58</v>
      </c>
      <c r="C2237" s="427">
        <f t="shared" si="68"/>
        <v>1998</v>
      </c>
      <c r="D2237" s="433">
        <f t="shared" si="69"/>
        <v>1293.58</v>
      </c>
    </row>
    <row r="2238" spans="1:4" ht="16.149999999999999" customHeight="1" x14ac:dyDescent="0.25">
      <c r="A2238" s="431">
        <v>35798</v>
      </c>
      <c r="B2238" s="434">
        <v>1304.33</v>
      </c>
      <c r="C2238" s="427">
        <f t="shared" si="68"/>
        <v>1998</v>
      </c>
      <c r="D2238" s="433">
        <f t="shared" si="69"/>
        <v>1304.33</v>
      </c>
    </row>
    <row r="2239" spans="1:4" ht="16.149999999999999" customHeight="1" x14ac:dyDescent="0.25">
      <c r="A2239" s="431">
        <v>35799</v>
      </c>
      <c r="B2239" s="432">
        <v>1304.33</v>
      </c>
      <c r="C2239" s="427">
        <f t="shared" si="68"/>
        <v>1998</v>
      </c>
      <c r="D2239" s="433">
        <f t="shared" si="69"/>
        <v>1304.33</v>
      </c>
    </row>
    <row r="2240" spans="1:4" ht="16.149999999999999" customHeight="1" x14ac:dyDescent="0.25">
      <c r="A2240" s="431">
        <v>35800</v>
      </c>
      <c r="B2240" s="434">
        <v>1304.33</v>
      </c>
      <c r="C2240" s="427">
        <f t="shared" si="68"/>
        <v>1998</v>
      </c>
      <c r="D2240" s="433">
        <f t="shared" si="69"/>
        <v>1304.33</v>
      </c>
    </row>
    <row r="2241" spans="1:4" ht="16.149999999999999" customHeight="1" x14ac:dyDescent="0.25">
      <c r="A2241" s="431">
        <v>35801</v>
      </c>
      <c r="B2241" s="432">
        <v>1317.15</v>
      </c>
      <c r="C2241" s="427">
        <f t="shared" si="68"/>
        <v>1998</v>
      </c>
      <c r="D2241" s="433">
        <f t="shared" si="69"/>
        <v>1317.15</v>
      </c>
    </row>
    <row r="2242" spans="1:4" ht="16.149999999999999" customHeight="1" x14ac:dyDescent="0.25">
      <c r="A2242" s="431">
        <v>35802</v>
      </c>
      <c r="B2242" s="434">
        <v>1318.57</v>
      </c>
      <c r="C2242" s="427">
        <f t="shared" si="68"/>
        <v>1998</v>
      </c>
      <c r="D2242" s="433">
        <f t="shared" si="69"/>
        <v>1318.57</v>
      </c>
    </row>
    <row r="2243" spans="1:4" ht="16.149999999999999" customHeight="1" x14ac:dyDescent="0.25">
      <c r="A2243" s="431">
        <v>35803</v>
      </c>
      <c r="B2243" s="432">
        <v>1315.95</v>
      </c>
      <c r="C2243" s="427">
        <f t="shared" si="68"/>
        <v>1998</v>
      </c>
      <c r="D2243" s="433">
        <f t="shared" si="69"/>
        <v>1315.95</v>
      </c>
    </row>
    <row r="2244" spans="1:4" ht="16.149999999999999" customHeight="1" x14ac:dyDescent="0.25">
      <c r="A2244" s="431">
        <v>35804</v>
      </c>
      <c r="B2244" s="434">
        <v>1313.56</v>
      </c>
      <c r="C2244" s="427">
        <f t="shared" si="68"/>
        <v>1998</v>
      </c>
      <c r="D2244" s="433">
        <f t="shared" si="69"/>
        <v>1313.56</v>
      </c>
    </row>
    <row r="2245" spans="1:4" ht="16.149999999999999" customHeight="1" x14ac:dyDescent="0.25">
      <c r="A2245" s="431">
        <v>35805</v>
      </c>
      <c r="B2245" s="432">
        <v>1315.7</v>
      </c>
      <c r="C2245" s="427">
        <f t="shared" si="68"/>
        <v>1998</v>
      </c>
      <c r="D2245" s="433">
        <f t="shared" si="69"/>
        <v>1315.7</v>
      </c>
    </row>
    <row r="2246" spans="1:4" ht="16.149999999999999" customHeight="1" x14ac:dyDescent="0.25">
      <c r="A2246" s="431">
        <v>35806</v>
      </c>
      <c r="B2246" s="434">
        <v>1315.7</v>
      </c>
      <c r="C2246" s="427">
        <f t="shared" si="68"/>
        <v>1998</v>
      </c>
      <c r="D2246" s="433">
        <f t="shared" si="69"/>
        <v>1315.7</v>
      </c>
    </row>
    <row r="2247" spans="1:4" ht="16.149999999999999" customHeight="1" x14ac:dyDescent="0.25">
      <c r="A2247" s="431">
        <v>35807</v>
      </c>
      <c r="B2247" s="432">
        <v>1315.7</v>
      </c>
      <c r="C2247" s="427">
        <f t="shared" si="68"/>
        <v>1998</v>
      </c>
      <c r="D2247" s="433">
        <f t="shared" si="69"/>
        <v>1315.7</v>
      </c>
    </row>
    <row r="2248" spans="1:4" ht="16.149999999999999" customHeight="1" x14ac:dyDescent="0.25">
      <c r="A2248" s="431">
        <v>35808</v>
      </c>
      <c r="B2248" s="434">
        <v>1315.7</v>
      </c>
      <c r="C2248" s="427">
        <f t="shared" si="68"/>
        <v>1998</v>
      </c>
      <c r="D2248" s="433">
        <f t="shared" si="69"/>
        <v>1315.7</v>
      </c>
    </row>
    <row r="2249" spans="1:4" ht="16.149999999999999" customHeight="1" x14ac:dyDescent="0.25">
      <c r="A2249" s="431">
        <v>35809</v>
      </c>
      <c r="B2249" s="432">
        <v>1318.25</v>
      </c>
      <c r="C2249" s="427">
        <f t="shared" si="68"/>
        <v>1998</v>
      </c>
      <c r="D2249" s="433">
        <f t="shared" si="69"/>
        <v>1318.25</v>
      </c>
    </row>
    <row r="2250" spans="1:4" ht="16.149999999999999" customHeight="1" x14ac:dyDescent="0.25">
      <c r="A2250" s="431">
        <v>35810</v>
      </c>
      <c r="B2250" s="434">
        <v>1318.53</v>
      </c>
      <c r="C2250" s="427">
        <f t="shared" ref="C2250:C2313" si="70">YEAR(A2250)</f>
        <v>1998</v>
      </c>
      <c r="D2250" s="433">
        <f t="shared" ref="D2250:D2313" si="71">B2250</f>
        <v>1318.53</v>
      </c>
    </row>
    <row r="2251" spans="1:4" ht="16.149999999999999" customHeight="1" x14ac:dyDescent="0.25">
      <c r="A2251" s="431">
        <v>35811</v>
      </c>
      <c r="B2251" s="432">
        <v>1319.21</v>
      </c>
      <c r="C2251" s="427">
        <f t="shared" si="70"/>
        <v>1998</v>
      </c>
      <c r="D2251" s="433">
        <f t="shared" si="71"/>
        <v>1319.21</v>
      </c>
    </row>
    <row r="2252" spans="1:4" ht="16.149999999999999" customHeight="1" x14ac:dyDescent="0.25">
      <c r="A2252" s="431">
        <v>35812</v>
      </c>
      <c r="B2252" s="434">
        <v>1322.16</v>
      </c>
      <c r="C2252" s="427">
        <f t="shared" si="70"/>
        <v>1998</v>
      </c>
      <c r="D2252" s="433">
        <f t="shared" si="71"/>
        <v>1322.16</v>
      </c>
    </row>
    <row r="2253" spans="1:4" ht="16.149999999999999" customHeight="1" x14ac:dyDescent="0.25">
      <c r="A2253" s="431">
        <v>35813</v>
      </c>
      <c r="B2253" s="432">
        <v>1322.16</v>
      </c>
      <c r="C2253" s="427">
        <f t="shared" si="70"/>
        <v>1998</v>
      </c>
      <c r="D2253" s="433">
        <f t="shared" si="71"/>
        <v>1322.16</v>
      </c>
    </row>
    <row r="2254" spans="1:4" ht="16.149999999999999" customHeight="1" x14ac:dyDescent="0.25">
      <c r="A2254" s="431">
        <v>35814</v>
      </c>
      <c r="B2254" s="434">
        <v>1322.16</v>
      </c>
      <c r="C2254" s="427">
        <f t="shared" si="70"/>
        <v>1998</v>
      </c>
      <c r="D2254" s="433">
        <f t="shared" si="71"/>
        <v>1322.16</v>
      </c>
    </row>
    <row r="2255" spans="1:4" ht="16.149999999999999" customHeight="1" x14ac:dyDescent="0.25">
      <c r="A2255" s="431">
        <v>35815</v>
      </c>
      <c r="B2255" s="432">
        <v>1325.07</v>
      </c>
      <c r="C2255" s="427">
        <f t="shared" si="70"/>
        <v>1998</v>
      </c>
      <c r="D2255" s="433">
        <f t="shared" si="71"/>
        <v>1325.07</v>
      </c>
    </row>
    <row r="2256" spans="1:4" ht="16.149999999999999" customHeight="1" x14ac:dyDescent="0.25">
      <c r="A2256" s="431">
        <v>35816</v>
      </c>
      <c r="B2256" s="434">
        <v>1327</v>
      </c>
      <c r="C2256" s="427">
        <f t="shared" si="70"/>
        <v>1998</v>
      </c>
      <c r="D2256" s="433">
        <f t="shared" si="71"/>
        <v>1327</v>
      </c>
    </row>
    <row r="2257" spans="1:4" ht="16.149999999999999" customHeight="1" x14ac:dyDescent="0.25">
      <c r="A2257" s="431">
        <v>35817</v>
      </c>
      <c r="B2257" s="432">
        <v>1331.48</v>
      </c>
      <c r="C2257" s="427">
        <f t="shared" si="70"/>
        <v>1998</v>
      </c>
      <c r="D2257" s="433">
        <f t="shared" si="71"/>
        <v>1331.48</v>
      </c>
    </row>
    <row r="2258" spans="1:4" ht="16.149999999999999" customHeight="1" x14ac:dyDescent="0.25">
      <c r="A2258" s="431">
        <v>35818</v>
      </c>
      <c r="B2258" s="434">
        <v>1334.71</v>
      </c>
      <c r="C2258" s="427">
        <f t="shared" si="70"/>
        <v>1998</v>
      </c>
      <c r="D2258" s="433">
        <f t="shared" si="71"/>
        <v>1334.71</v>
      </c>
    </row>
    <row r="2259" spans="1:4" ht="16.149999999999999" customHeight="1" x14ac:dyDescent="0.25">
      <c r="A2259" s="431">
        <v>35819</v>
      </c>
      <c r="B2259" s="432">
        <v>1332.78</v>
      </c>
      <c r="C2259" s="427">
        <f t="shared" si="70"/>
        <v>1998</v>
      </c>
      <c r="D2259" s="433">
        <f t="shared" si="71"/>
        <v>1332.78</v>
      </c>
    </row>
    <row r="2260" spans="1:4" ht="16.149999999999999" customHeight="1" x14ac:dyDescent="0.25">
      <c r="A2260" s="431">
        <v>35820</v>
      </c>
      <c r="B2260" s="434">
        <v>1332.78</v>
      </c>
      <c r="C2260" s="427">
        <f t="shared" si="70"/>
        <v>1998</v>
      </c>
      <c r="D2260" s="433">
        <f t="shared" si="71"/>
        <v>1332.78</v>
      </c>
    </row>
    <row r="2261" spans="1:4" ht="16.149999999999999" customHeight="1" x14ac:dyDescent="0.25">
      <c r="A2261" s="431">
        <v>35821</v>
      </c>
      <c r="B2261" s="432">
        <v>1332.78</v>
      </c>
      <c r="C2261" s="427">
        <f t="shared" si="70"/>
        <v>1998</v>
      </c>
      <c r="D2261" s="433">
        <f t="shared" si="71"/>
        <v>1332.78</v>
      </c>
    </row>
    <row r="2262" spans="1:4" ht="16.149999999999999" customHeight="1" x14ac:dyDescent="0.25">
      <c r="A2262" s="431">
        <v>35822</v>
      </c>
      <c r="B2262" s="434">
        <v>1336.38</v>
      </c>
      <c r="C2262" s="427">
        <f t="shared" si="70"/>
        <v>1998</v>
      </c>
      <c r="D2262" s="433">
        <f t="shared" si="71"/>
        <v>1336.38</v>
      </c>
    </row>
    <row r="2263" spans="1:4" ht="16.149999999999999" customHeight="1" x14ac:dyDescent="0.25">
      <c r="A2263" s="431">
        <v>35823</v>
      </c>
      <c r="B2263" s="432">
        <v>1337.3</v>
      </c>
      <c r="C2263" s="427">
        <f t="shared" si="70"/>
        <v>1998</v>
      </c>
      <c r="D2263" s="433">
        <f t="shared" si="71"/>
        <v>1337.3</v>
      </c>
    </row>
    <row r="2264" spans="1:4" ht="16.149999999999999" customHeight="1" x14ac:dyDescent="0.25">
      <c r="A2264" s="431">
        <v>35824</v>
      </c>
      <c r="B2264" s="434">
        <v>1339.57</v>
      </c>
      <c r="C2264" s="427">
        <f t="shared" si="70"/>
        <v>1998</v>
      </c>
      <c r="D2264" s="433">
        <f t="shared" si="71"/>
        <v>1339.57</v>
      </c>
    </row>
    <row r="2265" spans="1:4" ht="16.149999999999999" customHeight="1" x14ac:dyDescent="0.25">
      <c r="A2265" s="431">
        <v>35825</v>
      </c>
      <c r="B2265" s="432">
        <v>1341.85</v>
      </c>
      <c r="C2265" s="427">
        <f t="shared" si="70"/>
        <v>1998</v>
      </c>
      <c r="D2265" s="433">
        <f t="shared" si="71"/>
        <v>1341.85</v>
      </c>
    </row>
    <row r="2266" spans="1:4" ht="16.149999999999999" customHeight="1" x14ac:dyDescent="0.25">
      <c r="A2266" s="431">
        <v>35826</v>
      </c>
      <c r="B2266" s="434">
        <v>1342</v>
      </c>
      <c r="C2266" s="427">
        <f t="shared" si="70"/>
        <v>1998</v>
      </c>
      <c r="D2266" s="433">
        <f t="shared" si="71"/>
        <v>1342</v>
      </c>
    </row>
    <row r="2267" spans="1:4" ht="16.149999999999999" customHeight="1" x14ac:dyDescent="0.25">
      <c r="A2267" s="431">
        <v>35827</v>
      </c>
      <c r="B2267" s="432">
        <v>1342</v>
      </c>
      <c r="C2267" s="427">
        <f t="shared" si="70"/>
        <v>1998</v>
      </c>
      <c r="D2267" s="433">
        <f t="shared" si="71"/>
        <v>1342</v>
      </c>
    </row>
    <row r="2268" spans="1:4" ht="16.149999999999999" customHeight="1" x14ac:dyDescent="0.25">
      <c r="A2268" s="431">
        <v>35828</v>
      </c>
      <c r="B2268" s="434">
        <v>1342</v>
      </c>
      <c r="C2268" s="427">
        <f t="shared" si="70"/>
        <v>1998</v>
      </c>
      <c r="D2268" s="433">
        <f t="shared" si="71"/>
        <v>1342</v>
      </c>
    </row>
    <row r="2269" spans="1:4" ht="16.149999999999999" customHeight="1" x14ac:dyDescent="0.25">
      <c r="A2269" s="431">
        <v>35829</v>
      </c>
      <c r="B2269" s="432">
        <v>1343.9</v>
      </c>
      <c r="C2269" s="427">
        <f t="shared" si="70"/>
        <v>1998</v>
      </c>
      <c r="D2269" s="433">
        <f t="shared" si="71"/>
        <v>1343.9</v>
      </c>
    </row>
    <row r="2270" spans="1:4" ht="16.149999999999999" customHeight="1" x14ac:dyDescent="0.25">
      <c r="A2270" s="431">
        <v>35830</v>
      </c>
      <c r="B2270" s="434">
        <v>1345.01</v>
      </c>
      <c r="C2270" s="427">
        <f t="shared" si="70"/>
        <v>1998</v>
      </c>
      <c r="D2270" s="433">
        <f t="shared" si="71"/>
        <v>1345.01</v>
      </c>
    </row>
    <row r="2271" spans="1:4" ht="16.149999999999999" customHeight="1" x14ac:dyDescent="0.25">
      <c r="A2271" s="431">
        <v>35831</v>
      </c>
      <c r="B2271" s="432">
        <v>1345.46</v>
      </c>
      <c r="C2271" s="427">
        <f t="shared" si="70"/>
        <v>1998</v>
      </c>
      <c r="D2271" s="433">
        <f t="shared" si="71"/>
        <v>1345.46</v>
      </c>
    </row>
    <row r="2272" spans="1:4" ht="16.149999999999999" customHeight="1" x14ac:dyDescent="0.25">
      <c r="A2272" s="431">
        <v>35832</v>
      </c>
      <c r="B2272" s="434">
        <v>1346.09</v>
      </c>
      <c r="C2272" s="427">
        <f t="shared" si="70"/>
        <v>1998</v>
      </c>
      <c r="D2272" s="433">
        <f t="shared" si="71"/>
        <v>1346.09</v>
      </c>
    </row>
    <row r="2273" spans="1:4" ht="16.149999999999999" customHeight="1" x14ac:dyDescent="0.25">
      <c r="A2273" s="431">
        <v>35833</v>
      </c>
      <c r="B2273" s="432">
        <v>1346.42</v>
      </c>
      <c r="C2273" s="427">
        <f t="shared" si="70"/>
        <v>1998</v>
      </c>
      <c r="D2273" s="433">
        <f t="shared" si="71"/>
        <v>1346.42</v>
      </c>
    </row>
    <row r="2274" spans="1:4" ht="16.149999999999999" customHeight="1" x14ac:dyDescent="0.25">
      <c r="A2274" s="431">
        <v>35834</v>
      </c>
      <c r="B2274" s="434">
        <v>1346.42</v>
      </c>
      <c r="C2274" s="427">
        <f t="shared" si="70"/>
        <v>1998</v>
      </c>
      <c r="D2274" s="433">
        <f t="shared" si="71"/>
        <v>1346.42</v>
      </c>
    </row>
    <row r="2275" spans="1:4" ht="16.149999999999999" customHeight="1" x14ac:dyDescent="0.25">
      <c r="A2275" s="431">
        <v>35835</v>
      </c>
      <c r="B2275" s="432">
        <v>1346.42</v>
      </c>
      <c r="C2275" s="427">
        <f t="shared" si="70"/>
        <v>1998</v>
      </c>
      <c r="D2275" s="433">
        <f t="shared" si="71"/>
        <v>1346.42</v>
      </c>
    </row>
    <row r="2276" spans="1:4" ht="16.149999999999999" customHeight="1" x14ac:dyDescent="0.25">
      <c r="A2276" s="431">
        <v>35836</v>
      </c>
      <c r="B2276" s="434">
        <v>1347.72</v>
      </c>
      <c r="C2276" s="427">
        <f t="shared" si="70"/>
        <v>1998</v>
      </c>
      <c r="D2276" s="433">
        <f t="shared" si="71"/>
        <v>1347.72</v>
      </c>
    </row>
    <row r="2277" spans="1:4" ht="16.149999999999999" customHeight="1" x14ac:dyDescent="0.25">
      <c r="A2277" s="431">
        <v>35837</v>
      </c>
      <c r="B2277" s="432">
        <v>1348.23</v>
      </c>
      <c r="C2277" s="427">
        <f t="shared" si="70"/>
        <v>1998</v>
      </c>
      <c r="D2277" s="433">
        <f t="shared" si="71"/>
        <v>1348.23</v>
      </c>
    </row>
    <row r="2278" spans="1:4" ht="16.149999999999999" customHeight="1" x14ac:dyDescent="0.25">
      <c r="A2278" s="431">
        <v>35838</v>
      </c>
      <c r="B2278" s="434">
        <v>1348.86</v>
      </c>
      <c r="C2278" s="427">
        <f t="shared" si="70"/>
        <v>1998</v>
      </c>
      <c r="D2278" s="433">
        <f t="shared" si="71"/>
        <v>1348.86</v>
      </c>
    </row>
    <row r="2279" spans="1:4" ht="16.149999999999999" customHeight="1" x14ac:dyDescent="0.25">
      <c r="A2279" s="431">
        <v>35839</v>
      </c>
      <c r="B2279" s="432">
        <v>1349.34</v>
      </c>
      <c r="C2279" s="427">
        <f t="shared" si="70"/>
        <v>1998</v>
      </c>
      <c r="D2279" s="433">
        <f t="shared" si="71"/>
        <v>1349.34</v>
      </c>
    </row>
    <row r="2280" spans="1:4" ht="16.149999999999999" customHeight="1" x14ac:dyDescent="0.25">
      <c r="A2280" s="431">
        <v>35840</v>
      </c>
      <c r="B2280" s="434">
        <v>1349.54</v>
      </c>
      <c r="C2280" s="427">
        <f t="shared" si="70"/>
        <v>1998</v>
      </c>
      <c r="D2280" s="433">
        <f t="shared" si="71"/>
        <v>1349.54</v>
      </c>
    </row>
    <row r="2281" spans="1:4" ht="16.149999999999999" customHeight="1" x14ac:dyDescent="0.25">
      <c r="A2281" s="431">
        <v>35841</v>
      </c>
      <c r="B2281" s="432">
        <v>1349.54</v>
      </c>
      <c r="C2281" s="427">
        <f t="shared" si="70"/>
        <v>1998</v>
      </c>
      <c r="D2281" s="433">
        <f t="shared" si="71"/>
        <v>1349.54</v>
      </c>
    </row>
    <row r="2282" spans="1:4" ht="16.149999999999999" customHeight="1" x14ac:dyDescent="0.25">
      <c r="A2282" s="431">
        <v>35842</v>
      </c>
      <c r="B2282" s="434">
        <v>1349.54</v>
      </c>
      <c r="C2282" s="427">
        <f t="shared" si="70"/>
        <v>1998</v>
      </c>
      <c r="D2282" s="433">
        <f t="shared" si="71"/>
        <v>1349.54</v>
      </c>
    </row>
    <row r="2283" spans="1:4" ht="16.149999999999999" customHeight="1" x14ac:dyDescent="0.25">
      <c r="A2283" s="431">
        <v>35843</v>
      </c>
      <c r="B2283" s="432">
        <v>1350.97</v>
      </c>
      <c r="C2283" s="427">
        <f t="shared" si="70"/>
        <v>1998</v>
      </c>
      <c r="D2283" s="433">
        <f t="shared" si="71"/>
        <v>1350.97</v>
      </c>
    </row>
    <row r="2284" spans="1:4" ht="16.149999999999999" customHeight="1" x14ac:dyDescent="0.25">
      <c r="A2284" s="431">
        <v>35844</v>
      </c>
      <c r="B2284" s="434">
        <v>1350.23</v>
      </c>
      <c r="C2284" s="427">
        <f t="shared" si="70"/>
        <v>1998</v>
      </c>
      <c r="D2284" s="433">
        <f t="shared" si="71"/>
        <v>1350.23</v>
      </c>
    </row>
    <row r="2285" spans="1:4" ht="16.149999999999999" customHeight="1" x14ac:dyDescent="0.25">
      <c r="A2285" s="431">
        <v>35845</v>
      </c>
      <c r="B2285" s="432">
        <v>1349.95</v>
      </c>
      <c r="C2285" s="427">
        <f t="shared" si="70"/>
        <v>1998</v>
      </c>
      <c r="D2285" s="433">
        <f t="shared" si="71"/>
        <v>1349.95</v>
      </c>
    </row>
    <row r="2286" spans="1:4" ht="16.149999999999999" customHeight="1" x14ac:dyDescent="0.25">
      <c r="A2286" s="431">
        <v>35846</v>
      </c>
      <c r="B2286" s="434">
        <v>1350.1</v>
      </c>
      <c r="C2286" s="427">
        <f t="shared" si="70"/>
        <v>1998</v>
      </c>
      <c r="D2286" s="433">
        <f t="shared" si="71"/>
        <v>1350.1</v>
      </c>
    </row>
    <row r="2287" spans="1:4" ht="16.149999999999999" customHeight="1" x14ac:dyDescent="0.25">
      <c r="A2287" s="431">
        <v>35847</v>
      </c>
      <c r="B2287" s="432">
        <v>1347.94</v>
      </c>
      <c r="C2287" s="427">
        <f t="shared" si="70"/>
        <v>1998</v>
      </c>
      <c r="D2287" s="433">
        <f t="shared" si="71"/>
        <v>1347.94</v>
      </c>
    </row>
    <row r="2288" spans="1:4" ht="16.149999999999999" customHeight="1" x14ac:dyDescent="0.25">
      <c r="A2288" s="431">
        <v>35848</v>
      </c>
      <c r="B2288" s="434">
        <v>1347.94</v>
      </c>
      <c r="C2288" s="427">
        <f t="shared" si="70"/>
        <v>1998</v>
      </c>
      <c r="D2288" s="433">
        <f t="shared" si="71"/>
        <v>1347.94</v>
      </c>
    </row>
    <row r="2289" spans="1:4" ht="16.149999999999999" customHeight="1" x14ac:dyDescent="0.25">
      <c r="A2289" s="431">
        <v>35849</v>
      </c>
      <c r="B2289" s="432">
        <v>1347.94</v>
      </c>
      <c r="C2289" s="427">
        <f t="shared" si="70"/>
        <v>1998</v>
      </c>
      <c r="D2289" s="433">
        <f t="shared" si="71"/>
        <v>1347.94</v>
      </c>
    </row>
    <row r="2290" spans="1:4" ht="16.149999999999999" customHeight="1" x14ac:dyDescent="0.25">
      <c r="A2290" s="431">
        <v>35850</v>
      </c>
      <c r="B2290" s="434">
        <v>1340.92</v>
      </c>
      <c r="C2290" s="427">
        <f t="shared" si="70"/>
        <v>1998</v>
      </c>
      <c r="D2290" s="433">
        <f t="shared" si="71"/>
        <v>1340.92</v>
      </c>
    </row>
    <row r="2291" spans="1:4" ht="16.149999999999999" customHeight="1" x14ac:dyDescent="0.25">
      <c r="A2291" s="431">
        <v>35851</v>
      </c>
      <c r="B2291" s="432">
        <v>1334.72</v>
      </c>
      <c r="C2291" s="427">
        <f t="shared" si="70"/>
        <v>1998</v>
      </c>
      <c r="D2291" s="433">
        <f t="shared" si="71"/>
        <v>1334.72</v>
      </c>
    </row>
    <row r="2292" spans="1:4" ht="16.149999999999999" customHeight="1" x14ac:dyDescent="0.25">
      <c r="A2292" s="431">
        <v>35852</v>
      </c>
      <c r="B2292" s="434">
        <v>1340.75</v>
      </c>
      <c r="C2292" s="427">
        <f t="shared" si="70"/>
        <v>1998</v>
      </c>
      <c r="D2292" s="433">
        <f t="shared" si="71"/>
        <v>1340.75</v>
      </c>
    </row>
    <row r="2293" spans="1:4" ht="16.149999999999999" customHeight="1" x14ac:dyDescent="0.25">
      <c r="A2293" s="431">
        <v>35853</v>
      </c>
      <c r="B2293" s="432">
        <v>1344.25</v>
      </c>
      <c r="C2293" s="427">
        <f t="shared" si="70"/>
        <v>1998</v>
      </c>
      <c r="D2293" s="433">
        <f t="shared" si="71"/>
        <v>1344.25</v>
      </c>
    </row>
    <row r="2294" spans="1:4" ht="16.149999999999999" customHeight="1" x14ac:dyDescent="0.25">
      <c r="A2294" s="431">
        <v>35854</v>
      </c>
      <c r="B2294" s="434">
        <v>1343.85</v>
      </c>
      <c r="C2294" s="427">
        <f t="shared" si="70"/>
        <v>1998</v>
      </c>
      <c r="D2294" s="433">
        <f t="shared" si="71"/>
        <v>1343.85</v>
      </c>
    </row>
    <row r="2295" spans="1:4" ht="16.149999999999999" customHeight="1" x14ac:dyDescent="0.25">
      <c r="A2295" s="431">
        <v>35855</v>
      </c>
      <c r="B2295" s="432">
        <v>1343.85</v>
      </c>
      <c r="C2295" s="427">
        <f t="shared" si="70"/>
        <v>1998</v>
      </c>
      <c r="D2295" s="433">
        <f t="shared" si="71"/>
        <v>1343.85</v>
      </c>
    </row>
    <row r="2296" spans="1:4" ht="16.149999999999999" customHeight="1" x14ac:dyDescent="0.25">
      <c r="A2296" s="431">
        <v>35856</v>
      </c>
      <c r="B2296" s="434">
        <v>1343.85</v>
      </c>
      <c r="C2296" s="427">
        <f t="shared" si="70"/>
        <v>1998</v>
      </c>
      <c r="D2296" s="433">
        <f t="shared" si="71"/>
        <v>1343.85</v>
      </c>
    </row>
    <row r="2297" spans="1:4" ht="16.149999999999999" customHeight="1" x14ac:dyDescent="0.25">
      <c r="A2297" s="431">
        <v>35857</v>
      </c>
      <c r="B2297" s="432">
        <v>1349.04</v>
      </c>
      <c r="C2297" s="427">
        <f t="shared" si="70"/>
        <v>1998</v>
      </c>
      <c r="D2297" s="433">
        <f t="shared" si="71"/>
        <v>1349.04</v>
      </c>
    </row>
    <row r="2298" spans="1:4" ht="16.149999999999999" customHeight="1" x14ac:dyDescent="0.25">
      <c r="A2298" s="431">
        <v>35858</v>
      </c>
      <c r="B2298" s="434">
        <v>1352.21</v>
      </c>
      <c r="C2298" s="427">
        <f t="shared" si="70"/>
        <v>1998</v>
      </c>
      <c r="D2298" s="433">
        <f t="shared" si="71"/>
        <v>1352.21</v>
      </c>
    </row>
    <row r="2299" spans="1:4" ht="16.149999999999999" customHeight="1" x14ac:dyDescent="0.25">
      <c r="A2299" s="431">
        <v>35859</v>
      </c>
      <c r="B2299" s="432">
        <v>1349.8</v>
      </c>
      <c r="C2299" s="427">
        <f t="shared" si="70"/>
        <v>1998</v>
      </c>
      <c r="D2299" s="433">
        <f t="shared" si="71"/>
        <v>1349.8</v>
      </c>
    </row>
    <row r="2300" spans="1:4" ht="16.149999999999999" customHeight="1" x14ac:dyDescent="0.25">
      <c r="A2300" s="431">
        <v>35860</v>
      </c>
      <c r="B2300" s="434">
        <v>1353.19</v>
      </c>
      <c r="C2300" s="427">
        <f t="shared" si="70"/>
        <v>1998</v>
      </c>
      <c r="D2300" s="433">
        <f t="shared" si="71"/>
        <v>1353.19</v>
      </c>
    </row>
    <row r="2301" spans="1:4" ht="16.149999999999999" customHeight="1" x14ac:dyDescent="0.25">
      <c r="A2301" s="431">
        <v>35861</v>
      </c>
      <c r="B2301" s="432">
        <v>1353.71</v>
      </c>
      <c r="C2301" s="427">
        <f t="shared" si="70"/>
        <v>1998</v>
      </c>
      <c r="D2301" s="433">
        <f t="shared" si="71"/>
        <v>1353.71</v>
      </c>
    </row>
    <row r="2302" spans="1:4" ht="16.149999999999999" customHeight="1" x14ac:dyDescent="0.25">
      <c r="A2302" s="431">
        <v>35862</v>
      </c>
      <c r="B2302" s="434">
        <v>1353.71</v>
      </c>
      <c r="C2302" s="427">
        <f t="shared" si="70"/>
        <v>1998</v>
      </c>
      <c r="D2302" s="433">
        <f t="shared" si="71"/>
        <v>1353.71</v>
      </c>
    </row>
    <row r="2303" spans="1:4" ht="16.149999999999999" customHeight="1" x14ac:dyDescent="0.25">
      <c r="A2303" s="431">
        <v>35863</v>
      </c>
      <c r="B2303" s="432">
        <v>1353.71</v>
      </c>
      <c r="C2303" s="427">
        <f t="shared" si="70"/>
        <v>1998</v>
      </c>
      <c r="D2303" s="433">
        <f t="shared" si="71"/>
        <v>1353.71</v>
      </c>
    </row>
    <row r="2304" spans="1:4" ht="16.149999999999999" customHeight="1" x14ac:dyDescent="0.25">
      <c r="A2304" s="431">
        <v>35864</v>
      </c>
      <c r="B2304" s="434">
        <v>1354.9</v>
      </c>
      <c r="C2304" s="427">
        <f t="shared" si="70"/>
        <v>1998</v>
      </c>
      <c r="D2304" s="433">
        <f t="shared" si="71"/>
        <v>1354.9</v>
      </c>
    </row>
    <row r="2305" spans="1:4" ht="16.149999999999999" customHeight="1" x14ac:dyDescent="0.25">
      <c r="A2305" s="431">
        <v>35865</v>
      </c>
      <c r="B2305" s="432">
        <v>1355.88</v>
      </c>
      <c r="C2305" s="427">
        <f t="shared" si="70"/>
        <v>1998</v>
      </c>
      <c r="D2305" s="433">
        <f t="shared" si="71"/>
        <v>1355.88</v>
      </c>
    </row>
    <row r="2306" spans="1:4" ht="16.149999999999999" customHeight="1" x14ac:dyDescent="0.25">
      <c r="A2306" s="431">
        <v>35866</v>
      </c>
      <c r="B2306" s="434">
        <v>1356.63</v>
      </c>
      <c r="C2306" s="427">
        <f t="shared" si="70"/>
        <v>1998</v>
      </c>
      <c r="D2306" s="433">
        <f t="shared" si="71"/>
        <v>1356.63</v>
      </c>
    </row>
    <row r="2307" spans="1:4" ht="16.149999999999999" customHeight="1" x14ac:dyDescent="0.25">
      <c r="A2307" s="431">
        <v>35867</v>
      </c>
      <c r="B2307" s="432">
        <v>1356.7</v>
      </c>
      <c r="C2307" s="427">
        <f t="shared" si="70"/>
        <v>1998</v>
      </c>
      <c r="D2307" s="433">
        <f t="shared" si="71"/>
        <v>1356.7</v>
      </c>
    </row>
    <row r="2308" spans="1:4" ht="16.149999999999999" customHeight="1" x14ac:dyDescent="0.25">
      <c r="A2308" s="431">
        <v>35868</v>
      </c>
      <c r="B2308" s="434">
        <v>1355.9</v>
      </c>
      <c r="C2308" s="427">
        <f t="shared" si="70"/>
        <v>1998</v>
      </c>
      <c r="D2308" s="433">
        <f t="shared" si="71"/>
        <v>1355.9</v>
      </c>
    </row>
    <row r="2309" spans="1:4" ht="16.149999999999999" customHeight="1" x14ac:dyDescent="0.25">
      <c r="A2309" s="431">
        <v>35869</v>
      </c>
      <c r="B2309" s="432">
        <v>1355.9</v>
      </c>
      <c r="C2309" s="427">
        <f t="shared" si="70"/>
        <v>1998</v>
      </c>
      <c r="D2309" s="433">
        <f t="shared" si="71"/>
        <v>1355.9</v>
      </c>
    </row>
    <row r="2310" spans="1:4" ht="16.149999999999999" customHeight="1" x14ac:dyDescent="0.25">
      <c r="A2310" s="431">
        <v>35870</v>
      </c>
      <c r="B2310" s="434">
        <v>1355.9</v>
      </c>
      <c r="C2310" s="427">
        <f t="shared" si="70"/>
        <v>1998</v>
      </c>
      <c r="D2310" s="433">
        <f t="shared" si="71"/>
        <v>1355.9</v>
      </c>
    </row>
    <row r="2311" spans="1:4" ht="16.149999999999999" customHeight="1" x14ac:dyDescent="0.25">
      <c r="A2311" s="431">
        <v>35871</v>
      </c>
      <c r="B2311" s="432">
        <v>1358.66</v>
      </c>
      <c r="C2311" s="427">
        <f t="shared" si="70"/>
        <v>1998</v>
      </c>
      <c r="D2311" s="433">
        <f t="shared" si="71"/>
        <v>1358.66</v>
      </c>
    </row>
    <row r="2312" spans="1:4" ht="16.149999999999999" customHeight="1" x14ac:dyDescent="0.25">
      <c r="A2312" s="431">
        <v>35872</v>
      </c>
      <c r="B2312" s="434">
        <v>1359.96</v>
      </c>
      <c r="C2312" s="427">
        <f t="shared" si="70"/>
        <v>1998</v>
      </c>
      <c r="D2312" s="433">
        <f t="shared" si="71"/>
        <v>1359.96</v>
      </c>
    </row>
    <row r="2313" spans="1:4" ht="16.149999999999999" customHeight="1" x14ac:dyDescent="0.25">
      <c r="A2313" s="431">
        <v>35873</v>
      </c>
      <c r="B2313" s="432">
        <v>1360.56</v>
      </c>
      <c r="C2313" s="427">
        <f t="shared" si="70"/>
        <v>1998</v>
      </c>
      <c r="D2313" s="433">
        <f t="shared" si="71"/>
        <v>1360.56</v>
      </c>
    </row>
    <row r="2314" spans="1:4" ht="16.149999999999999" customHeight="1" x14ac:dyDescent="0.25">
      <c r="A2314" s="431">
        <v>35874</v>
      </c>
      <c r="B2314" s="434">
        <v>1361.87</v>
      </c>
      <c r="C2314" s="427">
        <f t="shared" ref="C2314:C2377" si="72">YEAR(A2314)</f>
        <v>1998</v>
      </c>
      <c r="D2314" s="433">
        <f t="shared" ref="D2314:D2377" si="73">B2314</f>
        <v>1361.87</v>
      </c>
    </row>
    <row r="2315" spans="1:4" ht="16.149999999999999" customHeight="1" x14ac:dyDescent="0.25">
      <c r="A2315" s="431">
        <v>35875</v>
      </c>
      <c r="B2315" s="432">
        <v>1361.86</v>
      </c>
      <c r="C2315" s="427">
        <f t="shared" si="72"/>
        <v>1998</v>
      </c>
      <c r="D2315" s="433">
        <f t="shared" si="73"/>
        <v>1361.86</v>
      </c>
    </row>
    <row r="2316" spans="1:4" ht="16.149999999999999" customHeight="1" x14ac:dyDescent="0.25">
      <c r="A2316" s="431">
        <v>35876</v>
      </c>
      <c r="B2316" s="434">
        <v>1361.86</v>
      </c>
      <c r="C2316" s="427">
        <f t="shared" si="72"/>
        <v>1998</v>
      </c>
      <c r="D2316" s="433">
        <f t="shared" si="73"/>
        <v>1361.86</v>
      </c>
    </row>
    <row r="2317" spans="1:4" ht="16.149999999999999" customHeight="1" x14ac:dyDescent="0.25">
      <c r="A2317" s="431">
        <v>35877</v>
      </c>
      <c r="B2317" s="432">
        <v>1361.86</v>
      </c>
      <c r="C2317" s="427">
        <f t="shared" si="72"/>
        <v>1998</v>
      </c>
      <c r="D2317" s="433">
        <f t="shared" si="73"/>
        <v>1361.86</v>
      </c>
    </row>
    <row r="2318" spans="1:4" ht="16.149999999999999" customHeight="1" x14ac:dyDescent="0.25">
      <c r="A2318" s="431">
        <v>35878</v>
      </c>
      <c r="B2318" s="434">
        <v>1361.86</v>
      </c>
      <c r="C2318" s="427">
        <f t="shared" si="72"/>
        <v>1998</v>
      </c>
      <c r="D2318" s="433">
        <f t="shared" si="73"/>
        <v>1361.86</v>
      </c>
    </row>
    <row r="2319" spans="1:4" ht="16.149999999999999" customHeight="1" x14ac:dyDescent="0.25">
      <c r="A2319" s="431">
        <v>35879</v>
      </c>
      <c r="B2319" s="432">
        <v>1364.4</v>
      </c>
      <c r="C2319" s="427">
        <f t="shared" si="72"/>
        <v>1998</v>
      </c>
      <c r="D2319" s="433">
        <f t="shared" si="73"/>
        <v>1364.4</v>
      </c>
    </row>
    <row r="2320" spans="1:4" ht="16.149999999999999" customHeight="1" x14ac:dyDescent="0.25">
      <c r="A2320" s="431">
        <v>35880</v>
      </c>
      <c r="B2320" s="434">
        <v>1364.76</v>
      </c>
      <c r="C2320" s="427">
        <f t="shared" si="72"/>
        <v>1998</v>
      </c>
      <c r="D2320" s="433">
        <f t="shared" si="73"/>
        <v>1364.76</v>
      </c>
    </row>
    <row r="2321" spans="1:4" ht="16.149999999999999" customHeight="1" x14ac:dyDescent="0.25">
      <c r="A2321" s="431">
        <v>35881</v>
      </c>
      <c r="B2321" s="432">
        <v>1365.66</v>
      </c>
      <c r="C2321" s="427">
        <f t="shared" si="72"/>
        <v>1998</v>
      </c>
      <c r="D2321" s="433">
        <f t="shared" si="73"/>
        <v>1365.66</v>
      </c>
    </row>
    <row r="2322" spans="1:4" ht="16.149999999999999" customHeight="1" x14ac:dyDescent="0.25">
      <c r="A2322" s="431">
        <v>35882</v>
      </c>
      <c r="B2322" s="434">
        <v>1361.49</v>
      </c>
      <c r="C2322" s="427">
        <f t="shared" si="72"/>
        <v>1998</v>
      </c>
      <c r="D2322" s="433">
        <f t="shared" si="73"/>
        <v>1361.49</v>
      </c>
    </row>
    <row r="2323" spans="1:4" ht="16.149999999999999" customHeight="1" x14ac:dyDescent="0.25">
      <c r="A2323" s="431">
        <v>35883</v>
      </c>
      <c r="B2323" s="432">
        <v>1361.49</v>
      </c>
      <c r="C2323" s="427">
        <f t="shared" si="72"/>
        <v>1998</v>
      </c>
      <c r="D2323" s="433">
        <f t="shared" si="73"/>
        <v>1361.49</v>
      </c>
    </row>
    <row r="2324" spans="1:4" ht="16.149999999999999" customHeight="1" x14ac:dyDescent="0.25">
      <c r="A2324" s="431">
        <v>35884</v>
      </c>
      <c r="B2324" s="434">
        <v>1361.49</v>
      </c>
      <c r="C2324" s="427">
        <f t="shared" si="72"/>
        <v>1998</v>
      </c>
      <c r="D2324" s="433">
        <f t="shared" si="73"/>
        <v>1361.49</v>
      </c>
    </row>
    <row r="2325" spans="1:4" ht="16.149999999999999" customHeight="1" x14ac:dyDescent="0.25">
      <c r="A2325" s="431">
        <v>35885</v>
      </c>
      <c r="B2325" s="432">
        <v>1358.03</v>
      </c>
      <c r="C2325" s="427">
        <f t="shared" si="72"/>
        <v>1998</v>
      </c>
      <c r="D2325" s="433">
        <f t="shared" si="73"/>
        <v>1358.03</v>
      </c>
    </row>
    <row r="2326" spans="1:4" ht="16.149999999999999" customHeight="1" x14ac:dyDescent="0.25">
      <c r="A2326" s="431">
        <v>35886</v>
      </c>
      <c r="B2326" s="434">
        <v>1360.26</v>
      </c>
      <c r="C2326" s="427">
        <f t="shared" si="72"/>
        <v>1998</v>
      </c>
      <c r="D2326" s="433">
        <f t="shared" si="73"/>
        <v>1360.26</v>
      </c>
    </row>
    <row r="2327" spans="1:4" ht="16.149999999999999" customHeight="1" x14ac:dyDescent="0.25">
      <c r="A2327" s="431">
        <v>35887</v>
      </c>
      <c r="B2327" s="432">
        <v>1362.54</v>
      </c>
      <c r="C2327" s="427">
        <f t="shared" si="72"/>
        <v>1998</v>
      </c>
      <c r="D2327" s="433">
        <f t="shared" si="73"/>
        <v>1362.54</v>
      </c>
    </row>
    <row r="2328" spans="1:4" ht="16.149999999999999" customHeight="1" x14ac:dyDescent="0.25">
      <c r="A2328" s="431">
        <v>35888</v>
      </c>
      <c r="B2328" s="434">
        <v>1357.75</v>
      </c>
      <c r="C2328" s="427">
        <f t="shared" si="72"/>
        <v>1998</v>
      </c>
      <c r="D2328" s="433">
        <f t="shared" si="73"/>
        <v>1357.75</v>
      </c>
    </row>
    <row r="2329" spans="1:4" ht="16.149999999999999" customHeight="1" x14ac:dyDescent="0.25">
      <c r="A2329" s="431">
        <v>35889</v>
      </c>
      <c r="B2329" s="432">
        <v>1357.71</v>
      </c>
      <c r="C2329" s="427">
        <f t="shared" si="72"/>
        <v>1998</v>
      </c>
      <c r="D2329" s="433">
        <f t="shared" si="73"/>
        <v>1357.71</v>
      </c>
    </row>
    <row r="2330" spans="1:4" ht="16.149999999999999" customHeight="1" x14ac:dyDescent="0.25">
      <c r="A2330" s="431">
        <v>35890</v>
      </c>
      <c r="B2330" s="434">
        <v>1357.71</v>
      </c>
      <c r="C2330" s="427">
        <f t="shared" si="72"/>
        <v>1998</v>
      </c>
      <c r="D2330" s="433">
        <f t="shared" si="73"/>
        <v>1357.71</v>
      </c>
    </row>
    <row r="2331" spans="1:4" ht="16.149999999999999" customHeight="1" x14ac:dyDescent="0.25">
      <c r="A2331" s="431">
        <v>35891</v>
      </c>
      <c r="B2331" s="432">
        <v>1357.71</v>
      </c>
      <c r="C2331" s="427">
        <f t="shared" si="72"/>
        <v>1998</v>
      </c>
      <c r="D2331" s="433">
        <f t="shared" si="73"/>
        <v>1357.71</v>
      </c>
    </row>
    <row r="2332" spans="1:4" ht="16.149999999999999" customHeight="1" x14ac:dyDescent="0.25">
      <c r="A2332" s="431">
        <v>35892</v>
      </c>
      <c r="B2332" s="434">
        <v>1355.5</v>
      </c>
      <c r="C2332" s="427">
        <f t="shared" si="72"/>
        <v>1998</v>
      </c>
      <c r="D2332" s="433">
        <f t="shared" si="73"/>
        <v>1355.5</v>
      </c>
    </row>
    <row r="2333" spans="1:4" ht="16.149999999999999" customHeight="1" x14ac:dyDescent="0.25">
      <c r="A2333" s="431">
        <v>35893</v>
      </c>
      <c r="B2333" s="432">
        <v>1354.15</v>
      </c>
      <c r="C2333" s="427">
        <f t="shared" si="72"/>
        <v>1998</v>
      </c>
      <c r="D2333" s="433">
        <f t="shared" si="73"/>
        <v>1354.15</v>
      </c>
    </row>
    <row r="2334" spans="1:4" ht="16.149999999999999" customHeight="1" x14ac:dyDescent="0.25">
      <c r="A2334" s="431">
        <v>35894</v>
      </c>
      <c r="B2334" s="434">
        <v>1357.14</v>
      </c>
      <c r="C2334" s="427">
        <f t="shared" si="72"/>
        <v>1998</v>
      </c>
      <c r="D2334" s="433">
        <f t="shared" si="73"/>
        <v>1357.14</v>
      </c>
    </row>
    <row r="2335" spans="1:4" ht="16.149999999999999" customHeight="1" x14ac:dyDescent="0.25">
      <c r="A2335" s="431">
        <v>35895</v>
      </c>
      <c r="B2335" s="432">
        <v>1357.14</v>
      </c>
      <c r="C2335" s="427">
        <f t="shared" si="72"/>
        <v>1998</v>
      </c>
      <c r="D2335" s="433">
        <f t="shared" si="73"/>
        <v>1357.14</v>
      </c>
    </row>
    <row r="2336" spans="1:4" ht="16.149999999999999" customHeight="1" x14ac:dyDescent="0.25">
      <c r="A2336" s="431">
        <v>35896</v>
      </c>
      <c r="B2336" s="434">
        <v>1357.14</v>
      </c>
      <c r="C2336" s="427">
        <f t="shared" si="72"/>
        <v>1998</v>
      </c>
      <c r="D2336" s="433">
        <f t="shared" si="73"/>
        <v>1357.14</v>
      </c>
    </row>
    <row r="2337" spans="1:4" ht="16.149999999999999" customHeight="1" x14ac:dyDescent="0.25">
      <c r="A2337" s="431">
        <v>35897</v>
      </c>
      <c r="B2337" s="432">
        <v>1357.14</v>
      </c>
      <c r="C2337" s="427">
        <f t="shared" si="72"/>
        <v>1998</v>
      </c>
      <c r="D2337" s="433">
        <f t="shared" si="73"/>
        <v>1357.14</v>
      </c>
    </row>
    <row r="2338" spans="1:4" ht="16.149999999999999" customHeight="1" x14ac:dyDescent="0.25">
      <c r="A2338" s="431">
        <v>35898</v>
      </c>
      <c r="B2338" s="434">
        <v>1357.14</v>
      </c>
      <c r="C2338" s="427">
        <f t="shared" si="72"/>
        <v>1998</v>
      </c>
      <c r="D2338" s="433">
        <f t="shared" si="73"/>
        <v>1357.14</v>
      </c>
    </row>
    <row r="2339" spans="1:4" ht="16.149999999999999" customHeight="1" x14ac:dyDescent="0.25">
      <c r="A2339" s="431">
        <v>35899</v>
      </c>
      <c r="B2339" s="432">
        <v>1363.38</v>
      </c>
      <c r="C2339" s="427">
        <f t="shared" si="72"/>
        <v>1998</v>
      </c>
      <c r="D2339" s="433">
        <f t="shared" si="73"/>
        <v>1363.38</v>
      </c>
    </row>
    <row r="2340" spans="1:4" ht="16.149999999999999" customHeight="1" x14ac:dyDescent="0.25">
      <c r="A2340" s="431">
        <v>35900</v>
      </c>
      <c r="B2340" s="434">
        <v>1365.21</v>
      </c>
      <c r="C2340" s="427">
        <f t="shared" si="72"/>
        <v>1998</v>
      </c>
      <c r="D2340" s="433">
        <f t="shared" si="73"/>
        <v>1365.21</v>
      </c>
    </row>
    <row r="2341" spans="1:4" ht="16.149999999999999" customHeight="1" x14ac:dyDescent="0.25">
      <c r="A2341" s="431">
        <v>35901</v>
      </c>
      <c r="B2341" s="432">
        <v>1364.06</v>
      </c>
      <c r="C2341" s="427">
        <f t="shared" si="72"/>
        <v>1998</v>
      </c>
      <c r="D2341" s="433">
        <f t="shared" si="73"/>
        <v>1364.06</v>
      </c>
    </row>
    <row r="2342" spans="1:4" ht="16.149999999999999" customHeight="1" x14ac:dyDescent="0.25">
      <c r="A2342" s="431">
        <v>35902</v>
      </c>
      <c r="B2342" s="434">
        <v>1360.74</v>
      </c>
      <c r="C2342" s="427">
        <f t="shared" si="72"/>
        <v>1998</v>
      </c>
      <c r="D2342" s="433">
        <f t="shared" si="73"/>
        <v>1360.74</v>
      </c>
    </row>
    <row r="2343" spans="1:4" ht="16.149999999999999" customHeight="1" x14ac:dyDescent="0.25">
      <c r="A2343" s="431">
        <v>35903</v>
      </c>
      <c r="B2343" s="432">
        <v>1360.49</v>
      </c>
      <c r="C2343" s="427">
        <f t="shared" si="72"/>
        <v>1998</v>
      </c>
      <c r="D2343" s="433">
        <f t="shared" si="73"/>
        <v>1360.49</v>
      </c>
    </row>
    <row r="2344" spans="1:4" ht="16.149999999999999" customHeight="1" x14ac:dyDescent="0.25">
      <c r="A2344" s="431">
        <v>35904</v>
      </c>
      <c r="B2344" s="434">
        <v>1360.49</v>
      </c>
      <c r="C2344" s="427">
        <f t="shared" si="72"/>
        <v>1998</v>
      </c>
      <c r="D2344" s="433">
        <f t="shared" si="73"/>
        <v>1360.49</v>
      </c>
    </row>
    <row r="2345" spans="1:4" ht="16.149999999999999" customHeight="1" x14ac:dyDescent="0.25">
      <c r="A2345" s="431">
        <v>35905</v>
      </c>
      <c r="B2345" s="432">
        <v>1360.49</v>
      </c>
      <c r="C2345" s="427">
        <f t="shared" si="72"/>
        <v>1998</v>
      </c>
      <c r="D2345" s="433">
        <f t="shared" si="73"/>
        <v>1360.49</v>
      </c>
    </row>
    <row r="2346" spans="1:4" ht="16.149999999999999" customHeight="1" x14ac:dyDescent="0.25">
      <c r="A2346" s="431">
        <v>35906</v>
      </c>
      <c r="B2346" s="434">
        <v>1360.42</v>
      </c>
      <c r="C2346" s="427">
        <f t="shared" si="72"/>
        <v>1998</v>
      </c>
      <c r="D2346" s="433">
        <f t="shared" si="73"/>
        <v>1360.42</v>
      </c>
    </row>
    <row r="2347" spans="1:4" ht="16.149999999999999" customHeight="1" x14ac:dyDescent="0.25">
      <c r="A2347" s="431">
        <v>35907</v>
      </c>
      <c r="B2347" s="432">
        <v>1357.51</v>
      </c>
      <c r="C2347" s="427">
        <f t="shared" si="72"/>
        <v>1998</v>
      </c>
      <c r="D2347" s="433">
        <f t="shared" si="73"/>
        <v>1357.51</v>
      </c>
    </row>
    <row r="2348" spans="1:4" ht="16.149999999999999" customHeight="1" x14ac:dyDescent="0.25">
      <c r="A2348" s="431">
        <v>35908</v>
      </c>
      <c r="B2348" s="434">
        <v>1355.94</v>
      </c>
      <c r="C2348" s="427">
        <f t="shared" si="72"/>
        <v>1998</v>
      </c>
      <c r="D2348" s="433">
        <f t="shared" si="73"/>
        <v>1355.94</v>
      </c>
    </row>
    <row r="2349" spans="1:4" ht="16.149999999999999" customHeight="1" x14ac:dyDescent="0.25">
      <c r="A2349" s="431">
        <v>35909</v>
      </c>
      <c r="B2349" s="432">
        <v>1354.91</v>
      </c>
      <c r="C2349" s="427">
        <f t="shared" si="72"/>
        <v>1998</v>
      </c>
      <c r="D2349" s="433">
        <f t="shared" si="73"/>
        <v>1354.91</v>
      </c>
    </row>
    <row r="2350" spans="1:4" ht="16.149999999999999" customHeight="1" x14ac:dyDescent="0.25">
      <c r="A2350" s="431">
        <v>35910</v>
      </c>
      <c r="B2350" s="434">
        <v>1359.99</v>
      </c>
      <c r="C2350" s="427">
        <f t="shared" si="72"/>
        <v>1998</v>
      </c>
      <c r="D2350" s="433">
        <f t="shared" si="73"/>
        <v>1359.99</v>
      </c>
    </row>
    <row r="2351" spans="1:4" ht="16.149999999999999" customHeight="1" x14ac:dyDescent="0.25">
      <c r="A2351" s="431">
        <v>35911</v>
      </c>
      <c r="B2351" s="432">
        <v>1359.99</v>
      </c>
      <c r="C2351" s="427">
        <f t="shared" si="72"/>
        <v>1998</v>
      </c>
      <c r="D2351" s="433">
        <f t="shared" si="73"/>
        <v>1359.99</v>
      </c>
    </row>
    <row r="2352" spans="1:4" ht="16.149999999999999" customHeight="1" x14ac:dyDescent="0.25">
      <c r="A2352" s="431">
        <v>35912</v>
      </c>
      <c r="B2352" s="434">
        <v>1359.99</v>
      </c>
      <c r="C2352" s="427">
        <f t="shared" si="72"/>
        <v>1998</v>
      </c>
      <c r="D2352" s="433">
        <f t="shared" si="73"/>
        <v>1359.99</v>
      </c>
    </row>
    <row r="2353" spans="1:4" ht="16.149999999999999" customHeight="1" x14ac:dyDescent="0.25">
      <c r="A2353" s="431">
        <v>35913</v>
      </c>
      <c r="B2353" s="432">
        <v>1368.17</v>
      </c>
      <c r="C2353" s="427">
        <f t="shared" si="72"/>
        <v>1998</v>
      </c>
      <c r="D2353" s="433">
        <f t="shared" si="73"/>
        <v>1368.17</v>
      </c>
    </row>
    <row r="2354" spans="1:4" ht="16.149999999999999" customHeight="1" x14ac:dyDescent="0.25">
      <c r="A2354" s="431">
        <v>35914</v>
      </c>
      <c r="B2354" s="434">
        <v>1371.35</v>
      </c>
      <c r="C2354" s="427">
        <f t="shared" si="72"/>
        <v>1998</v>
      </c>
      <c r="D2354" s="433">
        <f t="shared" si="73"/>
        <v>1371.35</v>
      </c>
    </row>
    <row r="2355" spans="1:4" ht="16.149999999999999" customHeight="1" x14ac:dyDescent="0.25">
      <c r="A2355" s="431">
        <v>35915</v>
      </c>
      <c r="B2355" s="432">
        <v>1365.72</v>
      </c>
      <c r="C2355" s="427">
        <f t="shared" si="72"/>
        <v>1998</v>
      </c>
      <c r="D2355" s="433">
        <f t="shared" si="73"/>
        <v>1365.72</v>
      </c>
    </row>
    <row r="2356" spans="1:4" ht="16.149999999999999" customHeight="1" x14ac:dyDescent="0.25">
      <c r="A2356" s="431">
        <v>35916</v>
      </c>
      <c r="B2356" s="434">
        <v>1364.07</v>
      </c>
      <c r="C2356" s="427">
        <f t="shared" si="72"/>
        <v>1998</v>
      </c>
      <c r="D2356" s="433">
        <f t="shared" si="73"/>
        <v>1364.07</v>
      </c>
    </row>
    <row r="2357" spans="1:4" ht="16.149999999999999" customHeight="1" x14ac:dyDescent="0.25">
      <c r="A2357" s="431">
        <v>35917</v>
      </c>
      <c r="B2357" s="432">
        <v>1364.07</v>
      </c>
      <c r="C2357" s="427">
        <f t="shared" si="72"/>
        <v>1998</v>
      </c>
      <c r="D2357" s="433">
        <f t="shared" si="73"/>
        <v>1364.07</v>
      </c>
    </row>
    <row r="2358" spans="1:4" ht="16.149999999999999" customHeight="1" x14ac:dyDescent="0.25">
      <c r="A2358" s="431">
        <v>35918</v>
      </c>
      <c r="B2358" s="434">
        <v>1364.07</v>
      </c>
      <c r="C2358" s="427">
        <f t="shared" si="72"/>
        <v>1998</v>
      </c>
      <c r="D2358" s="433">
        <f t="shared" si="73"/>
        <v>1364.07</v>
      </c>
    </row>
    <row r="2359" spans="1:4" ht="16.149999999999999" customHeight="1" x14ac:dyDescent="0.25">
      <c r="A2359" s="431">
        <v>35919</v>
      </c>
      <c r="B2359" s="432">
        <v>1364.07</v>
      </c>
      <c r="C2359" s="427">
        <f t="shared" si="72"/>
        <v>1998</v>
      </c>
      <c r="D2359" s="433">
        <f t="shared" si="73"/>
        <v>1364.07</v>
      </c>
    </row>
    <row r="2360" spans="1:4" ht="16.149999999999999" customHeight="1" x14ac:dyDescent="0.25">
      <c r="A2360" s="431">
        <v>35920</v>
      </c>
      <c r="B2360" s="434">
        <v>1369.31</v>
      </c>
      <c r="C2360" s="427">
        <f t="shared" si="72"/>
        <v>1998</v>
      </c>
      <c r="D2360" s="433">
        <f t="shared" si="73"/>
        <v>1369.31</v>
      </c>
    </row>
    <row r="2361" spans="1:4" ht="16.149999999999999" customHeight="1" x14ac:dyDescent="0.25">
      <c r="A2361" s="431">
        <v>35921</v>
      </c>
      <c r="B2361" s="432">
        <v>1375.39</v>
      </c>
      <c r="C2361" s="427">
        <f t="shared" si="72"/>
        <v>1998</v>
      </c>
      <c r="D2361" s="433">
        <f t="shared" si="73"/>
        <v>1375.39</v>
      </c>
    </row>
    <row r="2362" spans="1:4" ht="16.149999999999999" customHeight="1" x14ac:dyDescent="0.25">
      <c r="A2362" s="431">
        <v>35922</v>
      </c>
      <c r="B2362" s="434">
        <v>1382.27</v>
      </c>
      <c r="C2362" s="427">
        <f t="shared" si="72"/>
        <v>1998</v>
      </c>
      <c r="D2362" s="433">
        <f t="shared" si="73"/>
        <v>1382.27</v>
      </c>
    </row>
    <row r="2363" spans="1:4" ht="16.149999999999999" customHeight="1" x14ac:dyDescent="0.25">
      <c r="A2363" s="431">
        <v>35923</v>
      </c>
      <c r="B2363" s="432">
        <v>1383.04</v>
      </c>
      <c r="C2363" s="427">
        <f t="shared" si="72"/>
        <v>1998</v>
      </c>
      <c r="D2363" s="433">
        <f t="shared" si="73"/>
        <v>1383.04</v>
      </c>
    </row>
    <row r="2364" spans="1:4" ht="16.149999999999999" customHeight="1" x14ac:dyDescent="0.25">
      <c r="A2364" s="431">
        <v>35924</v>
      </c>
      <c r="B2364" s="434">
        <v>1385.38</v>
      </c>
      <c r="C2364" s="427">
        <f t="shared" si="72"/>
        <v>1998</v>
      </c>
      <c r="D2364" s="433">
        <f t="shared" si="73"/>
        <v>1385.38</v>
      </c>
    </row>
    <row r="2365" spans="1:4" ht="16.149999999999999" customHeight="1" x14ac:dyDescent="0.25">
      <c r="A2365" s="431">
        <v>35925</v>
      </c>
      <c r="B2365" s="432">
        <v>1385.38</v>
      </c>
      <c r="C2365" s="427">
        <f t="shared" si="72"/>
        <v>1998</v>
      </c>
      <c r="D2365" s="433">
        <f t="shared" si="73"/>
        <v>1385.38</v>
      </c>
    </row>
    <row r="2366" spans="1:4" ht="16.149999999999999" customHeight="1" x14ac:dyDescent="0.25">
      <c r="A2366" s="431">
        <v>35926</v>
      </c>
      <c r="B2366" s="434">
        <v>1385.38</v>
      </c>
      <c r="C2366" s="427">
        <f t="shared" si="72"/>
        <v>1998</v>
      </c>
      <c r="D2366" s="433">
        <f t="shared" si="73"/>
        <v>1385.38</v>
      </c>
    </row>
    <row r="2367" spans="1:4" ht="16.149999999999999" customHeight="1" x14ac:dyDescent="0.25">
      <c r="A2367" s="431">
        <v>35927</v>
      </c>
      <c r="B2367" s="432">
        <v>1387.78</v>
      </c>
      <c r="C2367" s="427">
        <f t="shared" si="72"/>
        <v>1998</v>
      </c>
      <c r="D2367" s="433">
        <f t="shared" si="73"/>
        <v>1387.78</v>
      </c>
    </row>
    <row r="2368" spans="1:4" ht="16.149999999999999" customHeight="1" x14ac:dyDescent="0.25">
      <c r="A2368" s="431">
        <v>35928</v>
      </c>
      <c r="B2368" s="434">
        <v>1388.04</v>
      </c>
      <c r="C2368" s="427">
        <f t="shared" si="72"/>
        <v>1998</v>
      </c>
      <c r="D2368" s="433">
        <f t="shared" si="73"/>
        <v>1388.04</v>
      </c>
    </row>
    <row r="2369" spans="1:4" ht="16.149999999999999" customHeight="1" x14ac:dyDescent="0.25">
      <c r="A2369" s="431">
        <v>35929</v>
      </c>
      <c r="B2369" s="432">
        <v>1387.15</v>
      </c>
      <c r="C2369" s="427">
        <f t="shared" si="72"/>
        <v>1998</v>
      </c>
      <c r="D2369" s="433">
        <f t="shared" si="73"/>
        <v>1387.15</v>
      </c>
    </row>
    <row r="2370" spans="1:4" ht="16.149999999999999" customHeight="1" x14ac:dyDescent="0.25">
      <c r="A2370" s="431">
        <v>35930</v>
      </c>
      <c r="B2370" s="434">
        <v>1384.97</v>
      </c>
      <c r="C2370" s="427">
        <f t="shared" si="72"/>
        <v>1998</v>
      </c>
      <c r="D2370" s="433">
        <f t="shared" si="73"/>
        <v>1384.97</v>
      </c>
    </row>
    <row r="2371" spans="1:4" ht="16.149999999999999" customHeight="1" x14ac:dyDescent="0.25">
      <c r="A2371" s="431">
        <v>35931</v>
      </c>
      <c r="B2371" s="432">
        <v>1383.31</v>
      </c>
      <c r="C2371" s="427">
        <f t="shared" si="72"/>
        <v>1998</v>
      </c>
      <c r="D2371" s="433">
        <f t="shared" si="73"/>
        <v>1383.31</v>
      </c>
    </row>
    <row r="2372" spans="1:4" ht="16.149999999999999" customHeight="1" x14ac:dyDescent="0.25">
      <c r="A2372" s="431">
        <v>35932</v>
      </c>
      <c r="B2372" s="434">
        <v>1383.31</v>
      </c>
      <c r="C2372" s="427">
        <f t="shared" si="72"/>
        <v>1998</v>
      </c>
      <c r="D2372" s="433">
        <f t="shared" si="73"/>
        <v>1383.31</v>
      </c>
    </row>
    <row r="2373" spans="1:4" ht="16.149999999999999" customHeight="1" x14ac:dyDescent="0.25">
      <c r="A2373" s="431">
        <v>35933</v>
      </c>
      <c r="B2373" s="432">
        <v>1383.31</v>
      </c>
      <c r="C2373" s="427">
        <f t="shared" si="72"/>
        <v>1998</v>
      </c>
      <c r="D2373" s="433">
        <f t="shared" si="73"/>
        <v>1383.31</v>
      </c>
    </row>
    <row r="2374" spans="1:4" ht="16.149999999999999" customHeight="1" x14ac:dyDescent="0.25">
      <c r="A2374" s="431">
        <v>35934</v>
      </c>
      <c r="B2374" s="434">
        <v>1387.26</v>
      </c>
      <c r="C2374" s="427">
        <f t="shared" si="72"/>
        <v>1998</v>
      </c>
      <c r="D2374" s="433">
        <f t="shared" si="73"/>
        <v>1387.26</v>
      </c>
    </row>
    <row r="2375" spans="1:4" ht="16.149999999999999" customHeight="1" x14ac:dyDescent="0.25">
      <c r="A2375" s="431">
        <v>35935</v>
      </c>
      <c r="B2375" s="432">
        <v>1390.89</v>
      </c>
      <c r="C2375" s="427">
        <f t="shared" si="72"/>
        <v>1998</v>
      </c>
      <c r="D2375" s="433">
        <f t="shared" si="73"/>
        <v>1390.89</v>
      </c>
    </row>
    <row r="2376" spans="1:4" ht="16.149999999999999" customHeight="1" x14ac:dyDescent="0.25">
      <c r="A2376" s="431">
        <v>35936</v>
      </c>
      <c r="B2376" s="434">
        <v>1392.18</v>
      </c>
      <c r="C2376" s="427">
        <f t="shared" si="72"/>
        <v>1998</v>
      </c>
      <c r="D2376" s="433">
        <f t="shared" si="73"/>
        <v>1392.18</v>
      </c>
    </row>
    <row r="2377" spans="1:4" ht="16.149999999999999" customHeight="1" x14ac:dyDescent="0.25">
      <c r="A2377" s="431">
        <v>35937</v>
      </c>
      <c r="B2377" s="432">
        <v>1393.62</v>
      </c>
      <c r="C2377" s="427">
        <f t="shared" si="72"/>
        <v>1998</v>
      </c>
      <c r="D2377" s="433">
        <f t="shared" si="73"/>
        <v>1393.62</v>
      </c>
    </row>
    <row r="2378" spans="1:4" ht="16.149999999999999" customHeight="1" x14ac:dyDescent="0.25">
      <c r="A2378" s="431">
        <v>35938</v>
      </c>
      <c r="B2378" s="434">
        <v>1394.33</v>
      </c>
      <c r="C2378" s="427">
        <f t="shared" ref="C2378:C2441" si="74">YEAR(A2378)</f>
        <v>1998</v>
      </c>
      <c r="D2378" s="433">
        <f t="shared" ref="D2378:D2441" si="75">B2378</f>
        <v>1394.33</v>
      </c>
    </row>
    <row r="2379" spans="1:4" ht="16.149999999999999" customHeight="1" x14ac:dyDescent="0.25">
      <c r="A2379" s="431">
        <v>35939</v>
      </c>
      <c r="B2379" s="432">
        <v>1394.33</v>
      </c>
      <c r="C2379" s="427">
        <f t="shared" si="74"/>
        <v>1998</v>
      </c>
      <c r="D2379" s="433">
        <f t="shared" si="75"/>
        <v>1394.33</v>
      </c>
    </row>
    <row r="2380" spans="1:4" ht="16.149999999999999" customHeight="1" x14ac:dyDescent="0.25">
      <c r="A2380" s="431">
        <v>35940</v>
      </c>
      <c r="B2380" s="434">
        <v>1394.33</v>
      </c>
      <c r="C2380" s="427">
        <f t="shared" si="74"/>
        <v>1998</v>
      </c>
      <c r="D2380" s="433">
        <f t="shared" si="75"/>
        <v>1394.33</v>
      </c>
    </row>
    <row r="2381" spans="1:4" ht="16.149999999999999" customHeight="1" x14ac:dyDescent="0.25">
      <c r="A2381" s="431">
        <v>35941</v>
      </c>
      <c r="B2381" s="432">
        <v>1394.33</v>
      </c>
      <c r="C2381" s="427">
        <f t="shared" si="74"/>
        <v>1998</v>
      </c>
      <c r="D2381" s="433">
        <f t="shared" si="75"/>
        <v>1394.33</v>
      </c>
    </row>
    <row r="2382" spans="1:4" ht="16.149999999999999" customHeight="1" x14ac:dyDescent="0.25">
      <c r="A2382" s="431">
        <v>35942</v>
      </c>
      <c r="B2382" s="434">
        <v>1396.51</v>
      </c>
      <c r="C2382" s="427">
        <f t="shared" si="74"/>
        <v>1998</v>
      </c>
      <c r="D2382" s="433">
        <f t="shared" si="75"/>
        <v>1396.51</v>
      </c>
    </row>
    <row r="2383" spans="1:4" ht="16.149999999999999" customHeight="1" x14ac:dyDescent="0.25">
      <c r="A2383" s="431">
        <v>35943</v>
      </c>
      <c r="B2383" s="432">
        <v>1397.12</v>
      </c>
      <c r="C2383" s="427">
        <f t="shared" si="74"/>
        <v>1998</v>
      </c>
      <c r="D2383" s="433">
        <f t="shared" si="75"/>
        <v>1397.12</v>
      </c>
    </row>
    <row r="2384" spans="1:4" ht="16.149999999999999" customHeight="1" x14ac:dyDescent="0.25">
      <c r="A2384" s="431">
        <v>35944</v>
      </c>
      <c r="B2384" s="434">
        <v>1396.69</v>
      </c>
      <c r="C2384" s="427">
        <f t="shared" si="74"/>
        <v>1998</v>
      </c>
      <c r="D2384" s="433">
        <f t="shared" si="75"/>
        <v>1396.69</v>
      </c>
    </row>
    <row r="2385" spans="1:4" ht="16.149999999999999" customHeight="1" x14ac:dyDescent="0.25">
      <c r="A2385" s="431">
        <v>35945</v>
      </c>
      <c r="B2385" s="432">
        <v>1397.07</v>
      </c>
      <c r="C2385" s="427">
        <f t="shared" si="74"/>
        <v>1998</v>
      </c>
      <c r="D2385" s="433">
        <f t="shared" si="75"/>
        <v>1397.07</v>
      </c>
    </row>
    <row r="2386" spans="1:4" ht="16.149999999999999" customHeight="1" x14ac:dyDescent="0.25">
      <c r="A2386" s="431">
        <v>35946</v>
      </c>
      <c r="B2386" s="434">
        <v>1397.07</v>
      </c>
      <c r="C2386" s="427">
        <f t="shared" si="74"/>
        <v>1998</v>
      </c>
      <c r="D2386" s="433">
        <f t="shared" si="75"/>
        <v>1397.07</v>
      </c>
    </row>
    <row r="2387" spans="1:4" ht="16.149999999999999" customHeight="1" x14ac:dyDescent="0.25">
      <c r="A2387" s="431">
        <v>35947</v>
      </c>
      <c r="B2387" s="432">
        <v>1397.07</v>
      </c>
      <c r="C2387" s="427">
        <f t="shared" si="74"/>
        <v>1998</v>
      </c>
      <c r="D2387" s="433">
        <f t="shared" si="75"/>
        <v>1397.07</v>
      </c>
    </row>
    <row r="2388" spans="1:4" ht="16.149999999999999" customHeight="1" x14ac:dyDescent="0.25">
      <c r="A2388" s="431">
        <v>35948</v>
      </c>
      <c r="B2388" s="434">
        <v>1398.53</v>
      </c>
      <c r="C2388" s="427">
        <f t="shared" si="74"/>
        <v>1998</v>
      </c>
      <c r="D2388" s="433">
        <f t="shared" si="75"/>
        <v>1398.53</v>
      </c>
    </row>
    <row r="2389" spans="1:4" ht="16.149999999999999" customHeight="1" x14ac:dyDescent="0.25">
      <c r="A2389" s="431">
        <v>35949</v>
      </c>
      <c r="B2389" s="432">
        <v>1399.56</v>
      </c>
      <c r="C2389" s="427">
        <f t="shared" si="74"/>
        <v>1998</v>
      </c>
      <c r="D2389" s="433">
        <f t="shared" si="75"/>
        <v>1399.56</v>
      </c>
    </row>
    <row r="2390" spans="1:4" ht="16.149999999999999" customHeight="1" x14ac:dyDescent="0.25">
      <c r="A2390" s="431">
        <v>35950</v>
      </c>
      <c r="B2390" s="434">
        <v>1399.02</v>
      </c>
      <c r="C2390" s="427">
        <f t="shared" si="74"/>
        <v>1998</v>
      </c>
      <c r="D2390" s="433">
        <f t="shared" si="75"/>
        <v>1399.02</v>
      </c>
    </row>
    <row r="2391" spans="1:4" ht="16.149999999999999" customHeight="1" x14ac:dyDescent="0.25">
      <c r="A2391" s="431">
        <v>35951</v>
      </c>
      <c r="B2391" s="432">
        <v>1397.63</v>
      </c>
      <c r="C2391" s="427">
        <f t="shared" si="74"/>
        <v>1998</v>
      </c>
      <c r="D2391" s="433">
        <f t="shared" si="75"/>
        <v>1397.63</v>
      </c>
    </row>
    <row r="2392" spans="1:4" ht="16.149999999999999" customHeight="1" x14ac:dyDescent="0.25">
      <c r="A2392" s="431">
        <v>35952</v>
      </c>
      <c r="B2392" s="434">
        <v>1387.12</v>
      </c>
      <c r="C2392" s="427">
        <f t="shared" si="74"/>
        <v>1998</v>
      </c>
      <c r="D2392" s="433">
        <f t="shared" si="75"/>
        <v>1387.12</v>
      </c>
    </row>
    <row r="2393" spans="1:4" ht="16.149999999999999" customHeight="1" x14ac:dyDescent="0.25">
      <c r="A2393" s="431">
        <v>35953</v>
      </c>
      <c r="B2393" s="432">
        <v>1387.12</v>
      </c>
      <c r="C2393" s="427">
        <f t="shared" si="74"/>
        <v>1998</v>
      </c>
      <c r="D2393" s="433">
        <f t="shared" si="75"/>
        <v>1387.12</v>
      </c>
    </row>
    <row r="2394" spans="1:4" ht="16.149999999999999" customHeight="1" x14ac:dyDescent="0.25">
      <c r="A2394" s="431">
        <v>35954</v>
      </c>
      <c r="B2394" s="434">
        <v>1387.12</v>
      </c>
      <c r="C2394" s="427">
        <f t="shared" si="74"/>
        <v>1998</v>
      </c>
      <c r="D2394" s="433">
        <f t="shared" si="75"/>
        <v>1387.12</v>
      </c>
    </row>
    <row r="2395" spans="1:4" ht="16.149999999999999" customHeight="1" x14ac:dyDescent="0.25">
      <c r="A2395" s="431">
        <v>35955</v>
      </c>
      <c r="B2395" s="432">
        <v>1386.53</v>
      </c>
      <c r="C2395" s="427">
        <f t="shared" si="74"/>
        <v>1998</v>
      </c>
      <c r="D2395" s="433">
        <f t="shared" si="75"/>
        <v>1386.53</v>
      </c>
    </row>
    <row r="2396" spans="1:4" ht="16.149999999999999" customHeight="1" x14ac:dyDescent="0.25">
      <c r="A2396" s="431">
        <v>35956</v>
      </c>
      <c r="B2396" s="434">
        <v>1376.25</v>
      </c>
      <c r="C2396" s="427">
        <f t="shared" si="74"/>
        <v>1998</v>
      </c>
      <c r="D2396" s="433">
        <f t="shared" si="75"/>
        <v>1376.25</v>
      </c>
    </row>
    <row r="2397" spans="1:4" ht="16.149999999999999" customHeight="1" x14ac:dyDescent="0.25">
      <c r="A2397" s="431">
        <v>35957</v>
      </c>
      <c r="B2397" s="432">
        <v>1383.23</v>
      </c>
      <c r="C2397" s="427">
        <f t="shared" si="74"/>
        <v>1998</v>
      </c>
      <c r="D2397" s="433">
        <f t="shared" si="75"/>
        <v>1383.23</v>
      </c>
    </row>
    <row r="2398" spans="1:4" ht="16.149999999999999" customHeight="1" x14ac:dyDescent="0.25">
      <c r="A2398" s="431">
        <v>35958</v>
      </c>
      <c r="B2398" s="434">
        <v>1388.76</v>
      </c>
      <c r="C2398" s="427">
        <f t="shared" si="74"/>
        <v>1998</v>
      </c>
      <c r="D2398" s="433">
        <f t="shared" si="75"/>
        <v>1388.76</v>
      </c>
    </row>
    <row r="2399" spans="1:4" ht="16.149999999999999" customHeight="1" x14ac:dyDescent="0.25">
      <c r="A2399" s="431">
        <v>35959</v>
      </c>
      <c r="B2399" s="432">
        <v>1380.51</v>
      </c>
      <c r="C2399" s="427">
        <f t="shared" si="74"/>
        <v>1998</v>
      </c>
      <c r="D2399" s="433">
        <f t="shared" si="75"/>
        <v>1380.51</v>
      </c>
    </row>
    <row r="2400" spans="1:4" ht="16.149999999999999" customHeight="1" x14ac:dyDescent="0.25">
      <c r="A2400" s="431">
        <v>35960</v>
      </c>
      <c r="B2400" s="434">
        <v>1380.51</v>
      </c>
      <c r="C2400" s="427">
        <f t="shared" si="74"/>
        <v>1998</v>
      </c>
      <c r="D2400" s="433">
        <f t="shared" si="75"/>
        <v>1380.51</v>
      </c>
    </row>
    <row r="2401" spans="1:4" ht="16.149999999999999" customHeight="1" x14ac:dyDescent="0.25">
      <c r="A2401" s="431">
        <v>35961</v>
      </c>
      <c r="B2401" s="432">
        <v>1380.51</v>
      </c>
      <c r="C2401" s="427">
        <f t="shared" si="74"/>
        <v>1998</v>
      </c>
      <c r="D2401" s="433">
        <f t="shared" si="75"/>
        <v>1380.51</v>
      </c>
    </row>
    <row r="2402" spans="1:4" ht="16.149999999999999" customHeight="1" x14ac:dyDescent="0.25">
      <c r="A2402" s="431">
        <v>35962</v>
      </c>
      <c r="B2402" s="434">
        <v>1380.51</v>
      </c>
      <c r="C2402" s="427">
        <f t="shared" si="74"/>
        <v>1998</v>
      </c>
      <c r="D2402" s="433">
        <f t="shared" si="75"/>
        <v>1380.51</v>
      </c>
    </row>
    <row r="2403" spans="1:4" ht="16.149999999999999" customHeight="1" x14ac:dyDescent="0.25">
      <c r="A2403" s="431">
        <v>35963</v>
      </c>
      <c r="B2403" s="432">
        <v>1388.5</v>
      </c>
      <c r="C2403" s="427">
        <f t="shared" si="74"/>
        <v>1998</v>
      </c>
      <c r="D2403" s="433">
        <f t="shared" si="75"/>
        <v>1388.5</v>
      </c>
    </row>
    <row r="2404" spans="1:4" ht="16.149999999999999" customHeight="1" x14ac:dyDescent="0.25">
      <c r="A2404" s="431">
        <v>35964</v>
      </c>
      <c r="B2404" s="434">
        <v>1394.39</v>
      </c>
      <c r="C2404" s="427">
        <f t="shared" si="74"/>
        <v>1998</v>
      </c>
      <c r="D2404" s="433">
        <f t="shared" si="75"/>
        <v>1394.39</v>
      </c>
    </row>
    <row r="2405" spans="1:4" ht="16.149999999999999" customHeight="1" x14ac:dyDescent="0.25">
      <c r="A2405" s="431">
        <v>35965</v>
      </c>
      <c r="B2405" s="432">
        <v>1390.85</v>
      </c>
      <c r="C2405" s="427">
        <f t="shared" si="74"/>
        <v>1998</v>
      </c>
      <c r="D2405" s="433">
        <f t="shared" si="75"/>
        <v>1390.85</v>
      </c>
    </row>
    <row r="2406" spans="1:4" ht="16.149999999999999" customHeight="1" x14ac:dyDescent="0.25">
      <c r="A2406" s="431">
        <v>35966</v>
      </c>
      <c r="B2406" s="434">
        <v>1394.8</v>
      </c>
      <c r="C2406" s="427">
        <f t="shared" si="74"/>
        <v>1998</v>
      </c>
      <c r="D2406" s="433">
        <f t="shared" si="75"/>
        <v>1394.8</v>
      </c>
    </row>
    <row r="2407" spans="1:4" ht="16.149999999999999" customHeight="1" x14ac:dyDescent="0.25">
      <c r="A2407" s="431">
        <v>35967</v>
      </c>
      <c r="B2407" s="432">
        <v>1394.8</v>
      </c>
      <c r="C2407" s="427">
        <f t="shared" si="74"/>
        <v>1998</v>
      </c>
      <c r="D2407" s="433">
        <f t="shared" si="75"/>
        <v>1394.8</v>
      </c>
    </row>
    <row r="2408" spans="1:4" ht="16.149999999999999" customHeight="1" x14ac:dyDescent="0.25">
      <c r="A2408" s="431">
        <v>35968</v>
      </c>
      <c r="B2408" s="434">
        <v>1394.8</v>
      </c>
      <c r="C2408" s="427">
        <f t="shared" si="74"/>
        <v>1998</v>
      </c>
      <c r="D2408" s="433">
        <f t="shared" si="75"/>
        <v>1394.8</v>
      </c>
    </row>
    <row r="2409" spans="1:4" ht="16.149999999999999" customHeight="1" x14ac:dyDescent="0.25">
      <c r="A2409" s="431">
        <v>35969</v>
      </c>
      <c r="B2409" s="432">
        <v>1394.8</v>
      </c>
      <c r="C2409" s="427">
        <f t="shared" si="74"/>
        <v>1998</v>
      </c>
      <c r="D2409" s="433">
        <f t="shared" si="75"/>
        <v>1394.8</v>
      </c>
    </row>
    <row r="2410" spans="1:4" ht="16.149999999999999" customHeight="1" x14ac:dyDescent="0.25">
      <c r="A2410" s="431">
        <v>35970</v>
      </c>
      <c r="B2410" s="434">
        <v>1381.11</v>
      </c>
      <c r="C2410" s="427">
        <f t="shared" si="74"/>
        <v>1998</v>
      </c>
      <c r="D2410" s="433">
        <f t="shared" si="75"/>
        <v>1381.11</v>
      </c>
    </row>
    <row r="2411" spans="1:4" ht="16.149999999999999" customHeight="1" x14ac:dyDescent="0.25">
      <c r="A2411" s="431">
        <v>35971</v>
      </c>
      <c r="B2411" s="432">
        <v>1375.02</v>
      </c>
      <c r="C2411" s="427">
        <f t="shared" si="74"/>
        <v>1998</v>
      </c>
      <c r="D2411" s="433">
        <f t="shared" si="75"/>
        <v>1375.02</v>
      </c>
    </row>
    <row r="2412" spans="1:4" ht="16.149999999999999" customHeight="1" x14ac:dyDescent="0.25">
      <c r="A2412" s="431">
        <v>35972</v>
      </c>
      <c r="B2412" s="434">
        <v>1363.67</v>
      </c>
      <c r="C2412" s="427">
        <f t="shared" si="74"/>
        <v>1998</v>
      </c>
      <c r="D2412" s="433">
        <f t="shared" si="75"/>
        <v>1363.67</v>
      </c>
    </row>
    <row r="2413" spans="1:4" ht="16.149999999999999" customHeight="1" x14ac:dyDescent="0.25">
      <c r="A2413" s="431">
        <v>35973</v>
      </c>
      <c r="B2413" s="432">
        <v>1363.04</v>
      </c>
      <c r="C2413" s="427">
        <f t="shared" si="74"/>
        <v>1998</v>
      </c>
      <c r="D2413" s="433">
        <f t="shared" si="75"/>
        <v>1363.04</v>
      </c>
    </row>
    <row r="2414" spans="1:4" ht="16.149999999999999" customHeight="1" x14ac:dyDescent="0.25">
      <c r="A2414" s="431">
        <v>35974</v>
      </c>
      <c r="B2414" s="434">
        <v>1363.04</v>
      </c>
      <c r="C2414" s="427">
        <f t="shared" si="74"/>
        <v>1998</v>
      </c>
      <c r="D2414" s="433">
        <f t="shared" si="75"/>
        <v>1363.04</v>
      </c>
    </row>
    <row r="2415" spans="1:4" ht="16.149999999999999" customHeight="1" x14ac:dyDescent="0.25">
      <c r="A2415" s="431">
        <v>35975</v>
      </c>
      <c r="B2415" s="432">
        <v>1363.04</v>
      </c>
      <c r="C2415" s="427">
        <f t="shared" si="74"/>
        <v>1998</v>
      </c>
      <c r="D2415" s="433">
        <f t="shared" si="75"/>
        <v>1363.04</v>
      </c>
    </row>
    <row r="2416" spans="1:4" ht="16.149999999999999" customHeight="1" x14ac:dyDescent="0.25">
      <c r="A2416" s="431">
        <v>35976</v>
      </c>
      <c r="B2416" s="434">
        <v>1363.04</v>
      </c>
      <c r="C2416" s="427">
        <f t="shared" si="74"/>
        <v>1998</v>
      </c>
      <c r="D2416" s="433">
        <f t="shared" si="75"/>
        <v>1363.04</v>
      </c>
    </row>
    <row r="2417" spans="1:4" ht="16.149999999999999" customHeight="1" x14ac:dyDescent="0.25">
      <c r="A2417" s="431">
        <v>35977</v>
      </c>
      <c r="B2417" s="432">
        <v>1369.88</v>
      </c>
      <c r="C2417" s="427">
        <f t="shared" si="74"/>
        <v>1998</v>
      </c>
      <c r="D2417" s="433">
        <f t="shared" si="75"/>
        <v>1369.88</v>
      </c>
    </row>
    <row r="2418" spans="1:4" ht="16.149999999999999" customHeight="1" x14ac:dyDescent="0.25">
      <c r="A2418" s="431">
        <v>35978</v>
      </c>
      <c r="B2418" s="434">
        <v>1358.05</v>
      </c>
      <c r="C2418" s="427">
        <f t="shared" si="74"/>
        <v>1998</v>
      </c>
      <c r="D2418" s="433">
        <f t="shared" si="75"/>
        <v>1358.05</v>
      </c>
    </row>
    <row r="2419" spans="1:4" ht="16.149999999999999" customHeight="1" x14ac:dyDescent="0.25">
      <c r="A2419" s="431">
        <v>35979</v>
      </c>
      <c r="B2419" s="432">
        <v>1345.65</v>
      </c>
      <c r="C2419" s="427">
        <f t="shared" si="74"/>
        <v>1998</v>
      </c>
      <c r="D2419" s="433">
        <f t="shared" si="75"/>
        <v>1345.65</v>
      </c>
    </row>
    <row r="2420" spans="1:4" ht="16.149999999999999" customHeight="1" x14ac:dyDescent="0.25">
      <c r="A2420" s="431">
        <v>35980</v>
      </c>
      <c r="B2420" s="434">
        <v>1348.06</v>
      </c>
      <c r="C2420" s="427">
        <f t="shared" si="74"/>
        <v>1998</v>
      </c>
      <c r="D2420" s="433">
        <f t="shared" si="75"/>
        <v>1348.06</v>
      </c>
    </row>
    <row r="2421" spans="1:4" ht="16.149999999999999" customHeight="1" x14ac:dyDescent="0.25">
      <c r="A2421" s="431">
        <v>35981</v>
      </c>
      <c r="B2421" s="432">
        <v>1348.06</v>
      </c>
      <c r="C2421" s="427">
        <f t="shared" si="74"/>
        <v>1998</v>
      </c>
      <c r="D2421" s="433">
        <f t="shared" si="75"/>
        <v>1348.06</v>
      </c>
    </row>
    <row r="2422" spans="1:4" ht="16.149999999999999" customHeight="1" x14ac:dyDescent="0.25">
      <c r="A2422" s="431">
        <v>35982</v>
      </c>
      <c r="B2422" s="434">
        <v>1348.06</v>
      </c>
      <c r="C2422" s="427">
        <f t="shared" si="74"/>
        <v>1998</v>
      </c>
      <c r="D2422" s="433">
        <f t="shared" si="75"/>
        <v>1348.06</v>
      </c>
    </row>
    <row r="2423" spans="1:4" ht="16.149999999999999" customHeight="1" x14ac:dyDescent="0.25">
      <c r="A2423" s="431">
        <v>35983</v>
      </c>
      <c r="B2423" s="432">
        <v>1357.78</v>
      </c>
      <c r="C2423" s="427">
        <f t="shared" si="74"/>
        <v>1998</v>
      </c>
      <c r="D2423" s="433">
        <f t="shared" si="75"/>
        <v>1357.78</v>
      </c>
    </row>
    <row r="2424" spans="1:4" ht="16.149999999999999" customHeight="1" x14ac:dyDescent="0.25">
      <c r="A2424" s="431">
        <v>35984</v>
      </c>
      <c r="B2424" s="434">
        <v>1368.16</v>
      </c>
      <c r="C2424" s="427">
        <f t="shared" si="74"/>
        <v>1998</v>
      </c>
      <c r="D2424" s="433">
        <f t="shared" si="75"/>
        <v>1368.16</v>
      </c>
    </row>
    <row r="2425" spans="1:4" ht="16.149999999999999" customHeight="1" x14ac:dyDescent="0.25">
      <c r="A2425" s="431">
        <v>35985</v>
      </c>
      <c r="B2425" s="432">
        <v>1369.12</v>
      </c>
      <c r="C2425" s="427">
        <f t="shared" si="74"/>
        <v>1998</v>
      </c>
      <c r="D2425" s="433">
        <f t="shared" si="75"/>
        <v>1369.12</v>
      </c>
    </row>
    <row r="2426" spans="1:4" ht="16.149999999999999" customHeight="1" x14ac:dyDescent="0.25">
      <c r="A2426" s="431">
        <v>35986</v>
      </c>
      <c r="B2426" s="434">
        <v>1370.45</v>
      </c>
      <c r="C2426" s="427">
        <f t="shared" si="74"/>
        <v>1998</v>
      </c>
      <c r="D2426" s="433">
        <f t="shared" si="75"/>
        <v>1370.45</v>
      </c>
    </row>
    <row r="2427" spans="1:4" ht="16.149999999999999" customHeight="1" x14ac:dyDescent="0.25">
      <c r="A2427" s="431">
        <v>35987</v>
      </c>
      <c r="B2427" s="432">
        <v>1374.23</v>
      </c>
      <c r="C2427" s="427">
        <f t="shared" si="74"/>
        <v>1998</v>
      </c>
      <c r="D2427" s="433">
        <f t="shared" si="75"/>
        <v>1374.23</v>
      </c>
    </row>
    <row r="2428" spans="1:4" ht="16.149999999999999" customHeight="1" x14ac:dyDescent="0.25">
      <c r="A2428" s="431">
        <v>35988</v>
      </c>
      <c r="B2428" s="434">
        <v>1374.23</v>
      </c>
      <c r="C2428" s="427">
        <f t="shared" si="74"/>
        <v>1998</v>
      </c>
      <c r="D2428" s="433">
        <f t="shared" si="75"/>
        <v>1374.23</v>
      </c>
    </row>
    <row r="2429" spans="1:4" ht="16.149999999999999" customHeight="1" x14ac:dyDescent="0.25">
      <c r="A2429" s="431">
        <v>35989</v>
      </c>
      <c r="B2429" s="432">
        <v>1374.23</v>
      </c>
      <c r="C2429" s="427">
        <f t="shared" si="74"/>
        <v>1998</v>
      </c>
      <c r="D2429" s="433">
        <f t="shared" si="75"/>
        <v>1374.23</v>
      </c>
    </row>
    <row r="2430" spans="1:4" ht="16.149999999999999" customHeight="1" x14ac:dyDescent="0.25">
      <c r="A2430" s="431">
        <v>35990</v>
      </c>
      <c r="B2430" s="434">
        <v>1380.27</v>
      </c>
      <c r="C2430" s="427">
        <f t="shared" si="74"/>
        <v>1998</v>
      </c>
      <c r="D2430" s="433">
        <f t="shared" si="75"/>
        <v>1380.27</v>
      </c>
    </row>
    <row r="2431" spans="1:4" ht="16.149999999999999" customHeight="1" x14ac:dyDescent="0.25">
      <c r="A2431" s="431">
        <v>35991</v>
      </c>
      <c r="B2431" s="432">
        <v>1381.22</v>
      </c>
      <c r="C2431" s="427">
        <f t="shared" si="74"/>
        <v>1998</v>
      </c>
      <c r="D2431" s="433">
        <f t="shared" si="75"/>
        <v>1381.22</v>
      </c>
    </row>
    <row r="2432" spans="1:4" ht="16.149999999999999" customHeight="1" x14ac:dyDescent="0.25">
      <c r="A2432" s="431">
        <v>35992</v>
      </c>
      <c r="B2432" s="434">
        <v>1378.01</v>
      </c>
      <c r="C2432" s="427">
        <f t="shared" si="74"/>
        <v>1998</v>
      </c>
      <c r="D2432" s="433">
        <f t="shared" si="75"/>
        <v>1378.01</v>
      </c>
    </row>
    <row r="2433" spans="1:4" ht="16.149999999999999" customHeight="1" x14ac:dyDescent="0.25">
      <c r="A2433" s="431">
        <v>35993</v>
      </c>
      <c r="B2433" s="432">
        <v>1376.74</v>
      </c>
      <c r="C2433" s="427">
        <f t="shared" si="74"/>
        <v>1998</v>
      </c>
      <c r="D2433" s="433">
        <f t="shared" si="75"/>
        <v>1376.74</v>
      </c>
    </row>
    <row r="2434" spans="1:4" ht="16.149999999999999" customHeight="1" x14ac:dyDescent="0.25">
      <c r="A2434" s="431">
        <v>35994</v>
      </c>
      <c r="B2434" s="434">
        <v>1381.54</v>
      </c>
      <c r="C2434" s="427">
        <f t="shared" si="74"/>
        <v>1998</v>
      </c>
      <c r="D2434" s="433">
        <f t="shared" si="75"/>
        <v>1381.54</v>
      </c>
    </row>
    <row r="2435" spans="1:4" ht="16.149999999999999" customHeight="1" x14ac:dyDescent="0.25">
      <c r="A2435" s="431">
        <v>35995</v>
      </c>
      <c r="B2435" s="432">
        <v>1381.54</v>
      </c>
      <c r="C2435" s="427">
        <f t="shared" si="74"/>
        <v>1998</v>
      </c>
      <c r="D2435" s="433">
        <f t="shared" si="75"/>
        <v>1381.54</v>
      </c>
    </row>
    <row r="2436" spans="1:4" ht="16.149999999999999" customHeight="1" x14ac:dyDescent="0.25">
      <c r="A2436" s="431">
        <v>35996</v>
      </c>
      <c r="B2436" s="434">
        <v>1381.54</v>
      </c>
      <c r="C2436" s="427">
        <f t="shared" si="74"/>
        <v>1998</v>
      </c>
      <c r="D2436" s="433">
        <f t="shared" si="75"/>
        <v>1381.54</v>
      </c>
    </row>
    <row r="2437" spans="1:4" ht="16.149999999999999" customHeight="1" x14ac:dyDescent="0.25">
      <c r="A2437" s="431">
        <v>35997</v>
      </c>
      <c r="B2437" s="432">
        <v>1381.54</v>
      </c>
      <c r="C2437" s="427">
        <f t="shared" si="74"/>
        <v>1998</v>
      </c>
      <c r="D2437" s="433">
        <f t="shared" si="75"/>
        <v>1381.54</v>
      </c>
    </row>
    <row r="2438" spans="1:4" ht="16.149999999999999" customHeight="1" x14ac:dyDescent="0.25">
      <c r="A2438" s="431">
        <v>35998</v>
      </c>
      <c r="B2438" s="434">
        <v>1380.87</v>
      </c>
      <c r="C2438" s="427">
        <f t="shared" si="74"/>
        <v>1998</v>
      </c>
      <c r="D2438" s="433">
        <f t="shared" si="75"/>
        <v>1380.87</v>
      </c>
    </row>
    <row r="2439" spans="1:4" ht="16.149999999999999" customHeight="1" x14ac:dyDescent="0.25">
      <c r="A2439" s="431">
        <v>35999</v>
      </c>
      <c r="B2439" s="432">
        <v>1376.87</v>
      </c>
      <c r="C2439" s="427">
        <f t="shared" si="74"/>
        <v>1998</v>
      </c>
      <c r="D2439" s="433">
        <f t="shared" si="75"/>
        <v>1376.87</v>
      </c>
    </row>
    <row r="2440" spans="1:4" ht="16.149999999999999" customHeight="1" x14ac:dyDescent="0.25">
      <c r="A2440" s="431">
        <v>36000</v>
      </c>
      <c r="B2440" s="434">
        <v>1378.88</v>
      </c>
      <c r="C2440" s="427">
        <f t="shared" si="74"/>
        <v>1998</v>
      </c>
      <c r="D2440" s="433">
        <f t="shared" si="75"/>
        <v>1378.88</v>
      </c>
    </row>
    <row r="2441" spans="1:4" ht="16.149999999999999" customHeight="1" x14ac:dyDescent="0.25">
      <c r="A2441" s="431">
        <v>36001</v>
      </c>
      <c r="B2441" s="432">
        <v>1379.61</v>
      </c>
      <c r="C2441" s="427">
        <f t="shared" si="74"/>
        <v>1998</v>
      </c>
      <c r="D2441" s="433">
        <f t="shared" si="75"/>
        <v>1379.61</v>
      </c>
    </row>
    <row r="2442" spans="1:4" ht="16.149999999999999" customHeight="1" x14ac:dyDescent="0.25">
      <c r="A2442" s="431">
        <v>36002</v>
      </c>
      <c r="B2442" s="434">
        <v>1379.61</v>
      </c>
      <c r="C2442" s="427">
        <f t="shared" ref="C2442:C2505" si="76">YEAR(A2442)</f>
        <v>1998</v>
      </c>
      <c r="D2442" s="433">
        <f t="shared" ref="D2442:D2505" si="77">B2442</f>
        <v>1379.61</v>
      </c>
    </row>
    <row r="2443" spans="1:4" ht="16.149999999999999" customHeight="1" x14ac:dyDescent="0.25">
      <c r="A2443" s="431">
        <v>36003</v>
      </c>
      <c r="B2443" s="432">
        <v>1379.61</v>
      </c>
      <c r="C2443" s="427">
        <f t="shared" si="76"/>
        <v>1998</v>
      </c>
      <c r="D2443" s="433">
        <f t="shared" si="77"/>
        <v>1379.61</v>
      </c>
    </row>
    <row r="2444" spans="1:4" ht="16.149999999999999" customHeight="1" x14ac:dyDescent="0.25">
      <c r="A2444" s="431">
        <v>36004</v>
      </c>
      <c r="B2444" s="434">
        <v>1378.33</v>
      </c>
      <c r="C2444" s="427">
        <f t="shared" si="76"/>
        <v>1998</v>
      </c>
      <c r="D2444" s="433">
        <f t="shared" si="77"/>
        <v>1378.33</v>
      </c>
    </row>
    <row r="2445" spans="1:4" ht="16.149999999999999" customHeight="1" x14ac:dyDescent="0.25">
      <c r="A2445" s="431">
        <v>36005</v>
      </c>
      <c r="B2445" s="432">
        <v>1376.12</v>
      </c>
      <c r="C2445" s="427">
        <f t="shared" si="76"/>
        <v>1998</v>
      </c>
      <c r="D2445" s="433">
        <f t="shared" si="77"/>
        <v>1376.12</v>
      </c>
    </row>
    <row r="2446" spans="1:4" ht="16.149999999999999" customHeight="1" x14ac:dyDescent="0.25">
      <c r="A2446" s="431">
        <v>36006</v>
      </c>
      <c r="B2446" s="434">
        <v>1373.49</v>
      </c>
      <c r="C2446" s="427">
        <f t="shared" si="76"/>
        <v>1998</v>
      </c>
      <c r="D2446" s="433">
        <f t="shared" si="77"/>
        <v>1373.49</v>
      </c>
    </row>
    <row r="2447" spans="1:4" ht="16.149999999999999" customHeight="1" x14ac:dyDescent="0.25">
      <c r="A2447" s="431">
        <v>36007</v>
      </c>
      <c r="B2447" s="432">
        <v>1370.65</v>
      </c>
      <c r="C2447" s="427">
        <f t="shared" si="76"/>
        <v>1998</v>
      </c>
      <c r="D2447" s="433">
        <f t="shared" si="77"/>
        <v>1370.65</v>
      </c>
    </row>
    <row r="2448" spans="1:4" ht="16.149999999999999" customHeight="1" x14ac:dyDescent="0.25">
      <c r="A2448" s="431">
        <v>36008</v>
      </c>
      <c r="B2448" s="434">
        <v>1372.14</v>
      </c>
      <c r="C2448" s="427">
        <f t="shared" si="76"/>
        <v>1998</v>
      </c>
      <c r="D2448" s="433">
        <f t="shared" si="77"/>
        <v>1372.14</v>
      </c>
    </row>
    <row r="2449" spans="1:4" ht="16.149999999999999" customHeight="1" x14ac:dyDescent="0.25">
      <c r="A2449" s="431">
        <v>36009</v>
      </c>
      <c r="B2449" s="432">
        <v>1372.14</v>
      </c>
      <c r="C2449" s="427">
        <f t="shared" si="76"/>
        <v>1998</v>
      </c>
      <c r="D2449" s="433">
        <f t="shared" si="77"/>
        <v>1372.14</v>
      </c>
    </row>
    <row r="2450" spans="1:4" ht="16.149999999999999" customHeight="1" x14ac:dyDescent="0.25">
      <c r="A2450" s="431">
        <v>36010</v>
      </c>
      <c r="B2450" s="434">
        <v>1372.14</v>
      </c>
      <c r="C2450" s="427">
        <f t="shared" si="76"/>
        <v>1998</v>
      </c>
      <c r="D2450" s="433">
        <f t="shared" si="77"/>
        <v>1372.14</v>
      </c>
    </row>
    <row r="2451" spans="1:4" ht="16.149999999999999" customHeight="1" x14ac:dyDescent="0.25">
      <c r="A2451" s="431">
        <v>36011</v>
      </c>
      <c r="B2451" s="432">
        <v>1371.16</v>
      </c>
      <c r="C2451" s="427">
        <f t="shared" si="76"/>
        <v>1998</v>
      </c>
      <c r="D2451" s="433">
        <f t="shared" si="77"/>
        <v>1371.16</v>
      </c>
    </row>
    <row r="2452" spans="1:4" ht="16.149999999999999" customHeight="1" x14ac:dyDescent="0.25">
      <c r="A2452" s="431">
        <v>36012</v>
      </c>
      <c r="B2452" s="434">
        <v>1368.24</v>
      </c>
      <c r="C2452" s="427">
        <f t="shared" si="76"/>
        <v>1998</v>
      </c>
      <c r="D2452" s="433">
        <f t="shared" si="77"/>
        <v>1368.24</v>
      </c>
    </row>
    <row r="2453" spans="1:4" ht="16.149999999999999" customHeight="1" x14ac:dyDescent="0.25">
      <c r="A2453" s="431">
        <v>36013</v>
      </c>
      <c r="B2453" s="432">
        <v>1366.44</v>
      </c>
      <c r="C2453" s="427">
        <f t="shared" si="76"/>
        <v>1998</v>
      </c>
      <c r="D2453" s="433">
        <f t="shared" si="77"/>
        <v>1366.44</v>
      </c>
    </row>
    <row r="2454" spans="1:4" ht="16.149999999999999" customHeight="1" x14ac:dyDescent="0.25">
      <c r="A2454" s="431">
        <v>36014</v>
      </c>
      <c r="B2454" s="434">
        <v>1364.9</v>
      </c>
      <c r="C2454" s="427">
        <f t="shared" si="76"/>
        <v>1998</v>
      </c>
      <c r="D2454" s="433">
        <f t="shared" si="77"/>
        <v>1364.9</v>
      </c>
    </row>
    <row r="2455" spans="1:4" ht="16.149999999999999" customHeight="1" x14ac:dyDescent="0.25">
      <c r="A2455" s="431">
        <v>36015</v>
      </c>
      <c r="B2455" s="432">
        <v>1364.9</v>
      </c>
      <c r="C2455" s="427">
        <f t="shared" si="76"/>
        <v>1998</v>
      </c>
      <c r="D2455" s="433">
        <f t="shared" si="77"/>
        <v>1364.9</v>
      </c>
    </row>
    <row r="2456" spans="1:4" ht="16.149999999999999" customHeight="1" x14ac:dyDescent="0.25">
      <c r="A2456" s="431">
        <v>36016</v>
      </c>
      <c r="B2456" s="434">
        <v>1364.9</v>
      </c>
      <c r="C2456" s="427">
        <f t="shared" si="76"/>
        <v>1998</v>
      </c>
      <c r="D2456" s="433">
        <f t="shared" si="77"/>
        <v>1364.9</v>
      </c>
    </row>
    <row r="2457" spans="1:4" ht="16.149999999999999" customHeight="1" x14ac:dyDescent="0.25">
      <c r="A2457" s="431">
        <v>36017</v>
      </c>
      <c r="B2457" s="432">
        <v>1364.9</v>
      </c>
      <c r="C2457" s="427">
        <f t="shared" si="76"/>
        <v>1998</v>
      </c>
      <c r="D2457" s="433">
        <f t="shared" si="77"/>
        <v>1364.9</v>
      </c>
    </row>
    <row r="2458" spans="1:4" ht="16.149999999999999" customHeight="1" x14ac:dyDescent="0.25">
      <c r="A2458" s="431">
        <v>36018</v>
      </c>
      <c r="B2458" s="434">
        <v>1359.22</v>
      </c>
      <c r="C2458" s="427">
        <f t="shared" si="76"/>
        <v>1998</v>
      </c>
      <c r="D2458" s="433">
        <f t="shared" si="77"/>
        <v>1359.22</v>
      </c>
    </row>
    <row r="2459" spans="1:4" ht="16.149999999999999" customHeight="1" x14ac:dyDescent="0.25">
      <c r="A2459" s="431">
        <v>36019</v>
      </c>
      <c r="B2459" s="432">
        <v>1365.58</v>
      </c>
      <c r="C2459" s="427">
        <f t="shared" si="76"/>
        <v>1998</v>
      </c>
      <c r="D2459" s="433">
        <f t="shared" si="77"/>
        <v>1365.58</v>
      </c>
    </row>
    <row r="2460" spans="1:4" ht="16.149999999999999" customHeight="1" x14ac:dyDescent="0.25">
      <c r="A2460" s="431">
        <v>36020</v>
      </c>
      <c r="B2460" s="434">
        <v>1371.23</v>
      </c>
      <c r="C2460" s="427">
        <f t="shared" si="76"/>
        <v>1998</v>
      </c>
      <c r="D2460" s="433">
        <f t="shared" si="77"/>
        <v>1371.23</v>
      </c>
    </row>
    <row r="2461" spans="1:4" ht="16.149999999999999" customHeight="1" x14ac:dyDescent="0.25">
      <c r="A2461" s="431">
        <v>36021</v>
      </c>
      <c r="B2461" s="432">
        <v>1377.08</v>
      </c>
      <c r="C2461" s="427">
        <f t="shared" si="76"/>
        <v>1998</v>
      </c>
      <c r="D2461" s="433">
        <f t="shared" si="77"/>
        <v>1377.08</v>
      </c>
    </row>
    <row r="2462" spans="1:4" ht="16.149999999999999" customHeight="1" x14ac:dyDescent="0.25">
      <c r="A2462" s="431">
        <v>36022</v>
      </c>
      <c r="B2462" s="434">
        <v>1386.02</v>
      </c>
      <c r="C2462" s="427">
        <f t="shared" si="76"/>
        <v>1998</v>
      </c>
      <c r="D2462" s="433">
        <f t="shared" si="77"/>
        <v>1386.02</v>
      </c>
    </row>
    <row r="2463" spans="1:4" ht="16.149999999999999" customHeight="1" x14ac:dyDescent="0.25">
      <c r="A2463" s="431">
        <v>36023</v>
      </c>
      <c r="B2463" s="432">
        <v>1386.02</v>
      </c>
      <c r="C2463" s="427">
        <f t="shared" si="76"/>
        <v>1998</v>
      </c>
      <c r="D2463" s="433">
        <f t="shared" si="77"/>
        <v>1386.02</v>
      </c>
    </row>
    <row r="2464" spans="1:4" ht="16.149999999999999" customHeight="1" x14ac:dyDescent="0.25">
      <c r="A2464" s="431">
        <v>36024</v>
      </c>
      <c r="B2464" s="434">
        <v>1386.02</v>
      </c>
      <c r="C2464" s="427">
        <f t="shared" si="76"/>
        <v>1998</v>
      </c>
      <c r="D2464" s="433">
        <f t="shared" si="77"/>
        <v>1386.02</v>
      </c>
    </row>
    <row r="2465" spans="1:4" ht="16.149999999999999" customHeight="1" x14ac:dyDescent="0.25">
      <c r="A2465" s="431">
        <v>36025</v>
      </c>
      <c r="B2465" s="432">
        <v>1386.02</v>
      </c>
      <c r="C2465" s="427">
        <f t="shared" si="76"/>
        <v>1998</v>
      </c>
      <c r="D2465" s="433">
        <f t="shared" si="77"/>
        <v>1386.02</v>
      </c>
    </row>
    <row r="2466" spans="1:4" ht="16.149999999999999" customHeight="1" x14ac:dyDescent="0.25">
      <c r="A2466" s="431">
        <v>36026</v>
      </c>
      <c r="B2466" s="434">
        <v>1385.77</v>
      </c>
      <c r="C2466" s="427">
        <f t="shared" si="76"/>
        <v>1998</v>
      </c>
      <c r="D2466" s="433">
        <f t="shared" si="77"/>
        <v>1385.77</v>
      </c>
    </row>
    <row r="2467" spans="1:4" ht="16.149999999999999" customHeight="1" x14ac:dyDescent="0.25">
      <c r="A2467" s="431">
        <v>36027</v>
      </c>
      <c r="B2467" s="432">
        <v>1384.24</v>
      </c>
      <c r="C2467" s="427">
        <f t="shared" si="76"/>
        <v>1998</v>
      </c>
      <c r="D2467" s="433">
        <f t="shared" si="77"/>
        <v>1384.24</v>
      </c>
    </row>
    <row r="2468" spans="1:4" ht="16.149999999999999" customHeight="1" x14ac:dyDescent="0.25">
      <c r="A2468" s="431">
        <v>36028</v>
      </c>
      <c r="B2468" s="434">
        <v>1391.55</v>
      </c>
      <c r="C2468" s="427">
        <f t="shared" si="76"/>
        <v>1998</v>
      </c>
      <c r="D2468" s="433">
        <f t="shared" si="77"/>
        <v>1391.55</v>
      </c>
    </row>
    <row r="2469" spans="1:4" ht="16.149999999999999" customHeight="1" x14ac:dyDescent="0.25">
      <c r="A2469" s="431">
        <v>36029</v>
      </c>
      <c r="B2469" s="432">
        <v>1407.27</v>
      </c>
      <c r="C2469" s="427">
        <f t="shared" si="76"/>
        <v>1998</v>
      </c>
      <c r="D2469" s="433">
        <f t="shared" si="77"/>
        <v>1407.27</v>
      </c>
    </row>
    <row r="2470" spans="1:4" ht="16.149999999999999" customHeight="1" x14ac:dyDescent="0.25">
      <c r="A2470" s="431">
        <v>36030</v>
      </c>
      <c r="B2470" s="434">
        <v>1407.27</v>
      </c>
      <c r="C2470" s="427">
        <f t="shared" si="76"/>
        <v>1998</v>
      </c>
      <c r="D2470" s="433">
        <f t="shared" si="77"/>
        <v>1407.27</v>
      </c>
    </row>
    <row r="2471" spans="1:4" ht="16.149999999999999" customHeight="1" x14ac:dyDescent="0.25">
      <c r="A2471" s="431">
        <v>36031</v>
      </c>
      <c r="B2471" s="432">
        <v>1407.27</v>
      </c>
      <c r="C2471" s="427">
        <f t="shared" si="76"/>
        <v>1998</v>
      </c>
      <c r="D2471" s="433">
        <f t="shared" si="77"/>
        <v>1407.27</v>
      </c>
    </row>
    <row r="2472" spans="1:4" ht="16.149999999999999" customHeight="1" x14ac:dyDescent="0.25">
      <c r="A2472" s="431">
        <v>36032</v>
      </c>
      <c r="B2472" s="434">
        <v>1418.22</v>
      </c>
      <c r="C2472" s="427">
        <f t="shared" si="76"/>
        <v>1998</v>
      </c>
      <c r="D2472" s="433">
        <f t="shared" si="77"/>
        <v>1418.22</v>
      </c>
    </row>
    <row r="2473" spans="1:4" ht="16.149999999999999" customHeight="1" x14ac:dyDescent="0.25">
      <c r="A2473" s="431">
        <v>36033</v>
      </c>
      <c r="B2473" s="432">
        <v>1420.27</v>
      </c>
      <c r="C2473" s="427">
        <f t="shared" si="76"/>
        <v>1998</v>
      </c>
      <c r="D2473" s="433">
        <f t="shared" si="77"/>
        <v>1420.27</v>
      </c>
    </row>
    <row r="2474" spans="1:4" ht="16.149999999999999" customHeight="1" x14ac:dyDescent="0.25">
      <c r="A2474" s="431">
        <v>36034</v>
      </c>
      <c r="B2474" s="434">
        <v>1430.33</v>
      </c>
      <c r="C2474" s="427">
        <f t="shared" si="76"/>
        <v>1998</v>
      </c>
      <c r="D2474" s="433">
        <f t="shared" si="77"/>
        <v>1430.33</v>
      </c>
    </row>
    <row r="2475" spans="1:4" ht="16.149999999999999" customHeight="1" x14ac:dyDescent="0.25">
      <c r="A2475" s="431">
        <v>36035</v>
      </c>
      <c r="B2475" s="432">
        <v>1438.16</v>
      </c>
      <c r="C2475" s="427">
        <f t="shared" si="76"/>
        <v>1998</v>
      </c>
      <c r="D2475" s="433">
        <f t="shared" si="77"/>
        <v>1438.16</v>
      </c>
    </row>
    <row r="2476" spans="1:4" ht="16.149999999999999" customHeight="1" x14ac:dyDescent="0.25">
      <c r="A2476" s="431">
        <v>36036</v>
      </c>
      <c r="B2476" s="434">
        <v>1440.87</v>
      </c>
      <c r="C2476" s="427">
        <f t="shared" si="76"/>
        <v>1998</v>
      </c>
      <c r="D2476" s="433">
        <f t="shared" si="77"/>
        <v>1440.87</v>
      </c>
    </row>
    <row r="2477" spans="1:4" ht="16.149999999999999" customHeight="1" x14ac:dyDescent="0.25">
      <c r="A2477" s="431">
        <v>36037</v>
      </c>
      <c r="B2477" s="432">
        <v>1440.87</v>
      </c>
      <c r="C2477" s="427">
        <f t="shared" si="76"/>
        <v>1998</v>
      </c>
      <c r="D2477" s="433">
        <f t="shared" si="77"/>
        <v>1440.87</v>
      </c>
    </row>
    <row r="2478" spans="1:4" ht="16.149999999999999" customHeight="1" x14ac:dyDescent="0.25">
      <c r="A2478" s="431">
        <v>36038</v>
      </c>
      <c r="B2478" s="434">
        <v>1440.87</v>
      </c>
      <c r="C2478" s="427">
        <f t="shared" si="76"/>
        <v>1998</v>
      </c>
      <c r="D2478" s="433">
        <f t="shared" si="77"/>
        <v>1440.87</v>
      </c>
    </row>
    <row r="2479" spans="1:4" ht="16.149999999999999" customHeight="1" x14ac:dyDescent="0.25">
      <c r="A2479" s="431">
        <v>36039</v>
      </c>
      <c r="B2479" s="432">
        <v>1441.86</v>
      </c>
      <c r="C2479" s="427">
        <f t="shared" si="76"/>
        <v>1998</v>
      </c>
      <c r="D2479" s="433">
        <f t="shared" si="77"/>
        <v>1441.86</v>
      </c>
    </row>
    <row r="2480" spans="1:4" ht="16.149999999999999" customHeight="1" x14ac:dyDescent="0.25">
      <c r="A2480" s="431">
        <v>36040</v>
      </c>
      <c r="B2480" s="434">
        <v>1442.95</v>
      </c>
      <c r="C2480" s="427">
        <f t="shared" si="76"/>
        <v>1998</v>
      </c>
      <c r="D2480" s="433">
        <f t="shared" si="77"/>
        <v>1442.95</v>
      </c>
    </row>
    <row r="2481" spans="1:4" ht="16.149999999999999" customHeight="1" x14ac:dyDescent="0.25">
      <c r="A2481" s="431">
        <v>36041</v>
      </c>
      <c r="B2481" s="432">
        <v>1518.56</v>
      </c>
      <c r="C2481" s="427">
        <f t="shared" si="76"/>
        <v>1998</v>
      </c>
      <c r="D2481" s="433">
        <f t="shared" si="77"/>
        <v>1518.56</v>
      </c>
    </row>
    <row r="2482" spans="1:4" ht="16.149999999999999" customHeight="1" x14ac:dyDescent="0.25">
      <c r="A2482" s="431">
        <v>36042</v>
      </c>
      <c r="B2482" s="434">
        <v>1532.19</v>
      </c>
      <c r="C2482" s="427">
        <f t="shared" si="76"/>
        <v>1998</v>
      </c>
      <c r="D2482" s="433">
        <f t="shared" si="77"/>
        <v>1532.19</v>
      </c>
    </row>
    <row r="2483" spans="1:4" ht="16.149999999999999" customHeight="1" x14ac:dyDescent="0.25">
      <c r="A2483" s="431">
        <v>36043</v>
      </c>
      <c r="B2483" s="432">
        <v>1538.84</v>
      </c>
      <c r="C2483" s="427">
        <f t="shared" si="76"/>
        <v>1998</v>
      </c>
      <c r="D2483" s="433">
        <f t="shared" si="77"/>
        <v>1538.84</v>
      </c>
    </row>
    <row r="2484" spans="1:4" ht="16.149999999999999" customHeight="1" x14ac:dyDescent="0.25">
      <c r="A2484" s="431">
        <v>36044</v>
      </c>
      <c r="B2484" s="434">
        <v>1538.84</v>
      </c>
      <c r="C2484" s="427">
        <f t="shared" si="76"/>
        <v>1998</v>
      </c>
      <c r="D2484" s="433">
        <f t="shared" si="77"/>
        <v>1538.84</v>
      </c>
    </row>
    <row r="2485" spans="1:4" ht="16.149999999999999" customHeight="1" x14ac:dyDescent="0.25">
      <c r="A2485" s="431">
        <v>36045</v>
      </c>
      <c r="B2485" s="432">
        <v>1538.84</v>
      </c>
      <c r="C2485" s="427">
        <f t="shared" si="76"/>
        <v>1998</v>
      </c>
      <c r="D2485" s="433">
        <f t="shared" si="77"/>
        <v>1538.84</v>
      </c>
    </row>
    <row r="2486" spans="1:4" ht="16.149999999999999" customHeight="1" x14ac:dyDescent="0.25">
      <c r="A2486" s="431">
        <v>36046</v>
      </c>
      <c r="B2486" s="434">
        <v>1511.55</v>
      </c>
      <c r="C2486" s="427">
        <f t="shared" si="76"/>
        <v>1998</v>
      </c>
      <c r="D2486" s="433">
        <f t="shared" si="77"/>
        <v>1511.55</v>
      </c>
    </row>
    <row r="2487" spans="1:4" ht="16.149999999999999" customHeight="1" x14ac:dyDescent="0.25">
      <c r="A2487" s="431">
        <v>36047</v>
      </c>
      <c r="B2487" s="432">
        <v>1505.66</v>
      </c>
      <c r="C2487" s="427">
        <f t="shared" si="76"/>
        <v>1998</v>
      </c>
      <c r="D2487" s="433">
        <f t="shared" si="77"/>
        <v>1505.66</v>
      </c>
    </row>
    <row r="2488" spans="1:4" ht="16.149999999999999" customHeight="1" x14ac:dyDescent="0.25">
      <c r="A2488" s="431">
        <v>36048</v>
      </c>
      <c r="B2488" s="434">
        <v>1493.4</v>
      </c>
      <c r="C2488" s="427">
        <f t="shared" si="76"/>
        <v>1998</v>
      </c>
      <c r="D2488" s="433">
        <f t="shared" si="77"/>
        <v>1493.4</v>
      </c>
    </row>
    <row r="2489" spans="1:4" ht="16.149999999999999" customHeight="1" x14ac:dyDescent="0.25">
      <c r="A2489" s="431">
        <v>36049</v>
      </c>
      <c r="B2489" s="432">
        <v>1506.27</v>
      </c>
      <c r="C2489" s="427">
        <f t="shared" si="76"/>
        <v>1998</v>
      </c>
      <c r="D2489" s="433">
        <f t="shared" si="77"/>
        <v>1506.27</v>
      </c>
    </row>
    <row r="2490" spans="1:4" ht="16.149999999999999" customHeight="1" x14ac:dyDescent="0.25">
      <c r="A2490" s="431">
        <v>36050</v>
      </c>
      <c r="B2490" s="434">
        <v>1505.85</v>
      </c>
      <c r="C2490" s="427">
        <f t="shared" si="76"/>
        <v>1998</v>
      </c>
      <c r="D2490" s="433">
        <f t="shared" si="77"/>
        <v>1505.85</v>
      </c>
    </row>
    <row r="2491" spans="1:4" ht="16.149999999999999" customHeight="1" x14ac:dyDescent="0.25">
      <c r="A2491" s="431">
        <v>36051</v>
      </c>
      <c r="B2491" s="432">
        <v>1505.85</v>
      </c>
      <c r="C2491" s="427">
        <f t="shared" si="76"/>
        <v>1998</v>
      </c>
      <c r="D2491" s="433">
        <f t="shared" si="77"/>
        <v>1505.85</v>
      </c>
    </row>
    <row r="2492" spans="1:4" ht="16.149999999999999" customHeight="1" x14ac:dyDescent="0.25">
      <c r="A2492" s="431">
        <v>36052</v>
      </c>
      <c r="B2492" s="434">
        <v>1505.85</v>
      </c>
      <c r="C2492" s="427">
        <f t="shared" si="76"/>
        <v>1998</v>
      </c>
      <c r="D2492" s="433">
        <f t="shared" si="77"/>
        <v>1505.85</v>
      </c>
    </row>
    <row r="2493" spans="1:4" ht="16.149999999999999" customHeight="1" x14ac:dyDescent="0.25">
      <c r="A2493" s="431">
        <v>36053</v>
      </c>
      <c r="B2493" s="432">
        <v>1510.41</v>
      </c>
      <c r="C2493" s="427">
        <f t="shared" si="76"/>
        <v>1998</v>
      </c>
      <c r="D2493" s="433">
        <f t="shared" si="77"/>
        <v>1510.41</v>
      </c>
    </row>
    <row r="2494" spans="1:4" ht="16.149999999999999" customHeight="1" x14ac:dyDescent="0.25">
      <c r="A2494" s="431">
        <v>36054</v>
      </c>
      <c r="B2494" s="434">
        <v>1516.92</v>
      </c>
      <c r="C2494" s="427">
        <f t="shared" si="76"/>
        <v>1998</v>
      </c>
      <c r="D2494" s="433">
        <f t="shared" si="77"/>
        <v>1516.92</v>
      </c>
    </row>
    <row r="2495" spans="1:4" ht="16.149999999999999" customHeight="1" x14ac:dyDescent="0.25">
      <c r="A2495" s="431">
        <v>36055</v>
      </c>
      <c r="B2495" s="432">
        <v>1520.63</v>
      </c>
      <c r="C2495" s="427">
        <f t="shared" si="76"/>
        <v>1998</v>
      </c>
      <c r="D2495" s="433">
        <f t="shared" si="77"/>
        <v>1520.63</v>
      </c>
    </row>
    <row r="2496" spans="1:4" ht="16.149999999999999" customHeight="1" x14ac:dyDescent="0.25">
      <c r="A2496" s="431">
        <v>36056</v>
      </c>
      <c r="B2496" s="434">
        <v>1531.49</v>
      </c>
      <c r="C2496" s="427">
        <f t="shared" si="76"/>
        <v>1998</v>
      </c>
      <c r="D2496" s="433">
        <f t="shared" si="77"/>
        <v>1531.49</v>
      </c>
    </row>
    <row r="2497" spans="1:4" ht="16.149999999999999" customHeight="1" x14ac:dyDescent="0.25">
      <c r="A2497" s="431">
        <v>36057</v>
      </c>
      <c r="B2497" s="432">
        <v>1533.95</v>
      </c>
      <c r="C2497" s="427">
        <f t="shared" si="76"/>
        <v>1998</v>
      </c>
      <c r="D2497" s="433">
        <f t="shared" si="77"/>
        <v>1533.95</v>
      </c>
    </row>
    <row r="2498" spans="1:4" ht="16.149999999999999" customHeight="1" x14ac:dyDescent="0.25">
      <c r="A2498" s="431">
        <v>36058</v>
      </c>
      <c r="B2498" s="434">
        <v>1533.95</v>
      </c>
      <c r="C2498" s="427">
        <f t="shared" si="76"/>
        <v>1998</v>
      </c>
      <c r="D2498" s="433">
        <f t="shared" si="77"/>
        <v>1533.95</v>
      </c>
    </row>
    <row r="2499" spans="1:4" ht="16.149999999999999" customHeight="1" x14ac:dyDescent="0.25">
      <c r="A2499" s="431">
        <v>36059</v>
      </c>
      <c r="B2499" s="432">
        <v>1533.95</v>
      </c>
      <c r="C2499" s="427">
        <f t="shared" si="76"/>
        <v>1998</v>
      </c>
      <c r="D2499" s="433">
        <f t="shared" si="77"/>
        <v>1533.95</v>
      </c>
    </row>
    <row r="2500" spans="1:4" ht="16.149999999999999" customHeight="1" x14ac:dyDescent="0.25">
      <c r="A2500" s="431">
        <v>36060</v>
      </c>
      <c r="B2500" s="434">
        <v>1529.26</v>
      </c>
      <c r="C2500" s="427">
        <f t="shared" si="76"/>
        <v>1998</v>
      </c>
      <c r="D2500" s="433">
        <f t="shared" si="77"/>
        <v>1529.26</v>
      </c>
    </row>
    <row r="2501" spans="1:4" ht="16.149999999999999" customHeight="1" x14ac:dyDescent="0.25">
      <c r="A2501" s="431">
        <v>36061</v>
      </c>
      <c r="B2501" s="432">
        <v>1541.16</v>
      </c>
      <c r="C2501" s="427">
        <f t="shared" si="76"/>
        <v>1998</v>
      </c>
      <c r="D2501" s="433">
        <f t="shared" si="77"/>
        <v>1541.16</v>
      </c>
    </row>
    <row r="2502" spans="1:4" ht="16.149999999999999" customHeight="1" x14ac:dyDescent="0.25">
      <c r="A2502" s="431">
        <v>36062</v>
      </c>
      <c r="B2502" s="434">
        <v>1561.28</v>
      </c>
      <c r="C2502" s="427">
        <f t="shared" si="76"/>
        <v>1998</v>
      </c>
      <c r="D2502" s="433">
        <f t="shared" si="77"/>
        <v>1561.28</v>
      </c>
    </row>
    <row r="2503" spans="1:4" ht="16.149999999999999" customHeight="1" x14ac:dyDescent="0.25">
      <c r="A2503" s="431">
        <v>36063</v>
      </c>
      <c r="B2503" s="432">
        <v>1548.95</v>
      </c>
      <c r="C2503" s="427">
        <f t="shared" si="76"/>
        <v>1998</v>
      </c>
      <c r="D2503" s="433">
        <f t="shared" si="77"/>
        <v>1548.95</v>
      </c>
    </row>
    <row r="2504" spans="1:4" ht="16.149999999999999" customHeight="1" x14ac:dyDescent="0.25">
      <c r="A2504" s="431">
        <v>36064</v>
      </c>
      <c r="B2504" s="434">
        <v>1547.81</v>
      </c>
      <c r="C2504" s="427">
        <f t="shared" si="76"/>
        <v>1998</v>
      </c>
      <c r="D2504" s="433">
        <f t="shared" si="77"/>
        <v>1547.81</v>
      </c>
    </row>
    <row r="2505" spans="1:4" ht="16.149999999999999" customHeight="1" x14ac:dyDescent="0.25">
      <c r="A2505" s="431">
        <v>36065</v>
      </c>
      <c r="B2505" s="432">
        <v>1547.81</v>
      </c>
      <c r="C2505" s="427">
        <f t="shared" si="76"/>
        <v>1998</v>
      </c>
      <c r="D2505" s="433">
        <f t="shared" si="77"/>
        <v>1547.81</v>
      </c>
    </row>
    <row r="2506" spans="1:4" ht="16.149999999999999" customHeight="1" x14ac:dyDescent="0.25">
      <c r="A2506" s="431">
        <v>36066</v>
      </c>
      <c r="B2506" s="434">
        <v>1547.81</v>
      </c>
      <c r="C2506" s="427">
        <f t="shared" ref="C2506:C2569" si="78">YEAR(A2506)</f>
        <v>1998</v>
      </c>
      <c r="D2506" s="433">
        <f t="shared" ref="D2506:D2569" si="79">B2506</f>
        <v>1547.81</v>
      </c>
    </row>
    <row r="2507" spans="1:4" ht="16.149999999999999" customHeight="1" x14ac:dyDescent="0.25">
      <c r="A2507" s="431">
        <v>36067</v>
      </c>
      <c r="B2507" s="432">
        <v>1556.25</v>
      </c>
      <c r="C2507" s="427">
        <f t="shared" si="78"/>
        <v>1998</v>
      </c>
      <c r="D2507" s="433">
        <f t="shared" si="79"/>
        <v>1556.25</v>
      </c>
    </row>
    <row r="2508" spans="1:4" ht="16.149999999999999" customHeight="1" x14ac:dyDescent="0.25">
      <c r="A2508" s="431">
        <v>36068</v>
      </c>
      <c r="B2508" s="434">
        <v>1556.15</v>
      </c>
      <c r="C2508" s="427">
        <f t="shared" si="78"/>
        <v>1998</v>
      </c>
      <c r="D2508" s="433">
        <f t="shared" si="79"/>
        <v>1556.15</v>
      </c>
    </row>
    <row r="2509" spans="1:4" ht="16.149999999999999" customHeight="1" x14ac:dyDescent="0.25">
      <c r="A2509" s="431">
        <v>36069</v>
      </c>
      <c r="B2509" s="432">
        <v>1556.52</v>
      </c>
      <c r="C2509" s="427">
        <f t="shared" si="78"/>
        <v>1998</v>
      </c>
      <c r="D2509" s="433">
        <f t="shared" si="79"/>
        <v>1556.52</v>
      </c>
    </row>
    <row r="2510" spans="1:4" ht="16.149999999999999" customHeight="1" x14ac:dyDescent="0.25">
      <c r="A2510" s="431">
        <v>36070</v>
      </c>
      <c r="B2510" s="434">
        <v>1573.22</v>
      </c>
      <c r="C2510" s="427">
        <f t="shared" si="78"/>
        <v>1998</v>
      </c>
      <c r="D2510" s="433">
        <f t="shared" si="79"/>
        <v>1573.22</v>
      </c>
    </row>
    <row r="2511" spans="1:4" ht="16.149999999999999" customHeight="1" x14ac:dyDescent="0.25">
      <c r="A2511" s="431">
        <v>36071</v>
      </c>
      <c r="B2511" s="432">
        <v>1578.96</v>
      </c>
      <c r="C2511" s="427">
        <f t="shared" si="78"/>
        <v>1998</v>
      </c>
      <c r="D2511" s="433">
        <f t="shared" si="79"/>
        <v>1578.96</v>
      </c>
    </row>
    <row r="2512" spans="1:4" ht="16.149999999999999" customHeight="1" x14ac:dyDescent="0.25">
      <c r="A2512" s="431">
        <v>36072</v>
      </c>
      <c r="B2512" s="434">
        <v>1578.96</v>
      </c>
      <c r="C2512" s="427">
        <f t="shared" si="78"/>
        <v>1998</v>
      </c>
      <c r="D2512" s="433">
        <f t="shared" si="79"/>
        <v>1578.96</v>
      </c>
    </row>
    <row r="2513" spans="1:4" ht="16.149999999999999" customHeight="1" x14ac:dyDescent="0.25">
      <c r="A2513" s="431">
        <v>36073</v>
      </c>
      <c r="B2513" s="432">
        <v>1578.96</v>
      </c>
      <c r="C2513" s="427">
        <f t="shared" si="78"/>
        <v>1998</v>
      </c>
      <c r="D2513" s="433">
        <f t="shared" si="79"/>
        <v>1578.96</v>
      </c>
    </row>
    <row r="2514" spans="1:4" ht="16.149999999999999" customHeight="1" x14ac:dyDescent="0.25">
      <c r="A2514" s="431">
        <v>36074</v>
      </c>
      <c r="B2514" s="434">
        <v>1585.64</v>
      </c>
      <c r="C2514" s="427">
        <f t="shared" si="78"/>
        <v>1998</v>
      </c>
      <c r="D2514" s="433">
        <f t="shared" si="79"/>
        <v>1585.64</v>
      </c>
    </row>
    <row r="2515" spans="1:4" ht="16.149999999999999" customHeight="1" x14ac:dyDescent="0.25">
      <c r="A2515" s="431">
        <v>36075</v>
      </c>
      <c r="B2515" s="432">
        <v>1588.64</v>
      </c>
      <c r="C2515" s="427">
        <f t="shared" si="78"/>
        <v>1998</v>
      </c>
      <c r="D2515" s="433">
        <f t="shared" si="79"/>
        <v>1588.64</v>
      </c>
    </row>
    <row r="2516" spans="1:4" ht="16.149999999999999" customHeight="1" x14ac:dyDescent="0.25">
      <c r="A2516" s="431">
        <v>36076</v>
      </c>
      <c r="B2516" s="434">
        <v>1586.53</v>
      </c>
      <c r="C2516" s="427">
        <f t="shared" si="78"/>
        <v>1998</v>
      </c>
      <c r="D2516" s="433">
        <f t="shared" si="79"/>
        <v>1586.53</v>
      </c>
    </row>
    <row r="2517" spans="1:4" ht="16.149999999999999" customHeight="1" x14ac:dyDescent="0.25">
      <c r="A2517" s="431">
        <v>36077</v>
      </c>
      <c r="B2517" s="432">
        <v>1587.46</v>
      </c>
      <c r="C2517" s="427">
        <f t="shared" si="78"/>
        <v>1998</v>
      </c>
      <c r="D2517" s="433">
        <f t="shared" si="79"/>
        <v>1587.46</v>
      </c>
    </row>
    <row r="2518" spans="1:4" ht="16.149999999999999" customHeight="1" x14ac:dyDescent="0.25">
      <c r="A2518" s="431">
        <v>36078</v>
      </c>
      <c r="B2518" s="434">
        <v>1590.64</v>
      </c>
      <c r="C2518" s="427">
        <f t="shared" si="78"/>
        <v>1998</v>
      </c>
      <c r="D2518" s="433">
        <f t="shared" si="79"/>
        <v>1590.64</v>
      </c>
    </row>
    <row r="2519" spans="1:4" ht="16.149999999999999" customHeight="1" x14ac:dyDescent="0.25">
      <c r="A2519" s="431">
        <v>36079</v>
      </c>
      <c r="B2519" s="432">
        <v>1590.64</v>
      </c>
      <c r="C2519" s="427">
        <f t="shared" si="78"/>
        <v>1998</v>
      </c>
      <c r="D2519" s="433">
        <f t="shared" si="79"/>
        <v>1590.64</v>
      </c>
    </row>
    <row r="2520" spans="1:4" ht="16.149999999999999" customHeight="1" x14ac:dyDescent="0.25">
      <c r="A2520" s="431">
        <v>36080</v>
      </c>
      <c r="B2520" s="434">
        <v>1590.64</v>
      </c>
      <c r="C2520" s="427">
        <f t="shared" si="78"/>
        <v>1998</v>
      </c>
      <c r="D2520" s="433">
        <f t="shared" si="79"/>
        <v>1590.64</v>
      </c>
    </row>
    <row r="2521" spans="1:4" ht="16.149999999999999" customHeight="1" x14ac:dyDescent="0.25">
      <c r="A2521" s="431">
        <v>36081</v>
      </c>
      <c r="B2521" s="432">
        <v>1590.64</v>
      </c>
      <c r="C2521" s="427">
        <f t="shared" si="78"/>
        <v>1998</v>
      </c>
      <c r="D2521" s="433">
        <f t="shared" si="79"/>
        <v>1590.64</v>
      </c>
    </row>
    <row r="2522" spans="1:4" ht="16.149999999999999" customHeight="1" x14ac:dyDescent="0.25">
      <c r="A2522" s="431">
        <v>36082</v>
      </c>
      <c r="B2522" s="434">
        <v>1592.11</v>
      </c>
      <c r="C2522" s="427">
        <f t="shared" si="78"/>
        <v>1998</v>
      </c>
      <c r="D2522" s="433">
        <f t="shared" si="79"/>
        <v>1592.11</v>
      </c>
    </row>
    <row r="2523" spans="1:4" ht="16.149999999999999" customHeight="1" x14ac:dyDescent="0.25">
      <c r="A2523" s="431">
        <v>36083</v>
      </c>
      <c r="B2523" s="432">
        <v>1591.01</v>
      </c>
      <c r="C2523" s="427">
        <f t="shared" si="78"/>
        <v>1998</v>
      </c>
      <c r="D2523" s="433">
        <f t="shared" si="79"/>
        <v>1591.01</v>
      </c>
    </row>
    <row r="2524" spans="1:4" ht="16.149999999999999" customHeight="1" x14ac:dyDescent="0.25">
      <c r="A2524" s="431">
        <v>36084</v>
      </c>
      <c r="B2524" s="434">
        <v>1594.19</v>
      </c>
      <c r="C2524" s="427">
        <f t="shared" si="78"/>
        <v>1998</v>
      </c>
      <c r="D2524" s="433">
        <f t="shared" si="79"/>
        <v>1594.19</v>
      </c>
    </row>
    <row r="2525" spans="1:4" ht="16.149999999999999" customHeight="1" x14ac:dyDescent="0.25">
      <c r="A2525" s="431">
        <v>36085</v>
      </c>
      <c r="B2525" s="432">
        <v>1596.21</v>
      </c>
      <c r="C2525" s="427">
        <f t="shared" si="78"/>
        <v>1998</v>
      </c>
      <c r="D2525" s="433">
        <f t="shared" si="79"/>
        <v>1596.21</v>
      </c>
    </row>
    <row r="2526" spans="1:4" ht="16.149999999999999" customHeight="1" x14ac:dyDescent="0.25">
      <c r="A2526" s="431">
        <v>36086</v>
      </c>
      <c r="B2526" s="434">
        <v>1596.21</v>
      </c>
      <c r="C2526" s="427">
        <f t="shared" si="78"/>
        <v>1998</v>
      </c>
      <c r="D2526" s="433">
        <f t="shared" si="79"/>
        <v>1596.21</v>
      </c>
    </row>
    <row r="2527" spans="1:4" ht="16.149999999999999" customHeight="1" x14ac:dyDescent="0.25">
      <c r="A2527" s="431">
        <v>36087</v>
      </c>
      <c r="B2527" s="432">
        <v>1596.21</v>
      </c>
      <c r="C2527" s="427">
        <f t="shared" si="78"/>
        <v>1998</v>
      </c>
      <c r="D2527" s="433">
        <f t="shared" si="79"/>
        <v>1596.21</v>
      </c>
    </row>
    <row r="2528" spans="1:4" ht="16.149999999999999" customHeight="1" x14ac:dyDescent="0.25">
      <c r="A2528" s="431">
        <v>36088</v>
      </c>
      <c r="B2528" s="434">
        <v>1598.18</v>
      </c>
      <c r="C2528" s="427">
        <f t="shared" si="78"/>
        <v>1998</v>
      </c>
      <c r="D2528" s="433">
        <f t="shared" si="79"/>
        <v>1598.18</v>
      </c>
    </row>
    <row r="2529" spans="1:4" ht="16.149999999999999" customHeight="1" x14ac:dyDescent="0.25">
      <c r="A2529" s="431">
        <v>36089</v>
      </c>
      <c r="B2529" s="432">
        <v>1598.61</v>
      </c>
      <c r="C2529" s="427">
        <f t="shared" si="78"/>
        <v>1998</v>
      </c>
      <c r="D2529" s="433">
        <f t="shared" si="79"/>
        <v>1598.61</v>
      </c>
    </row>
    <row r="2530" spans="1:4" ht="16.149999999999999" customHeight="1" x14ac:dyDescent="0.25">
      <c r="A2530" s="431">
        <v>36090</v>
      </c>
      <c r="B2530" s="434">
        <v>1597.79</v>
      </c>
      <c r="C2530" s="427">
        <f t="shared" si="78"/>
        <v>1998</v>
      </c>
      <c r="D2530" s="433">
        <f t="shared" si="79"/>
        <v>1597.79</v>
      </c>
    </row>
    <row r="2531" spans="1:4" ht="16.149999999999999" customHeight="1" x14ac:dyDescent="0.25">
      <c r="A2531" s="431">
        <v>36091</v>
      </c>
      <c r="B2531" s="432">
        <v>1599.15</v>
      </c>
      <c r="C2531" s="427">
        <f t="shared" si="78"/>
        <v>1998</v>
      </c>
      <c r="D2531" s="433">
        <f t="shared" si="79"/>
        <v>1599.15</v>
      </c>
    </row>
    <row r="2532" spans="1:4" ht="16.149999999999999" customHeight="1" x14ac:dyDescent="0.25">
      <c r="A2532" s="431">
        <v>36092</v>
      </c>
      <c r="B2532" s="434">
        <v>1597.97</v>
      </c>
      <c r="C2532" s="427">
        <f t="shared" si="78"/>
        <v>1998</v>
      </c>
      <c r="D2532" s="433">
        <f t="shared" si="79"/>
        <v>1597.97</v>
      </c>
    </row>
    <row r="2533" spans="1:4" ht="16.149999999999999" customHeight="1" x14ac:dyDescent="0.25">
      <c r="A2533" s="431">
        <v>36093</v>
      </c>
      <c r="B2533" s="432">
        <v>1597.97</v>
      </c>
      <c r="C2533" s="427">
        <f t="shared" si="78"/>
        <v>1998</v>
      </c>
      <c r="D2533" s="433">
        <f t="shared" si="79"/>
        <v>1597.97</v>
      </c>
    </row>
    <row r="2534" spans="1:4" ht="16.149999999999999" customHeight="1" x14ac:dyDescent="0.25">
      <c r="A2534" s="431">
        <v>36094</v>
      </c>
      <c r="B2534" s="434">
        <v>1597.97</v>
      </c>
      <c r="C2534" s="427">
        <f t="shared" si="78"/>
        <v>1998</v>
      </c>
      <c r="D2534" s="433">
        <f t="shared" si="79"/>
        <v>1597.97</v>
      </c>
    </row>
    <row r="2535" spans="1:4" ht="16.149999999999999" customHeight="1" x14ac:dyDescent="0.25">
      <c r="A2535" s="431">
        <v>36095</v>
      </c>
      <c r="B2535" s="432">
        <v>1590.64</v>
      </c>
      <c r="C2535" s="427">
        <f t="shared" si="78"/>
        <v>1998</v>
      </c>
      <c r="D2535" s="433">
        <f t="shared" si="79"/>
        <v>1590.64</v>
      </c>
    </row>
    <row r="2536" spans="1:4" ht="16.149999999999999" customHeight="1" x14ac:dyDescent="0.25">
      <c r="A2536" s="431">
        <v>36096</v>
      </c>
      <c r="B2536" s="434">
        <v>1576.38</v>
      </c>
      <c r="C2536" s="427">
        <f t="shared" si="78"/>
        <v>1998</v>
      </c>
      <c r="D2536" s="433">
        <f t="shared" si="79"/>
        <v>1576.38</v>
      </c>
    </row>
    <row r="2537" spans="1:4" ht="16.149999999999999" customHeight="1" x14ac:dyDescent="0.25">
      <c r="A2537" s="431">
        <v>36097</v>
      </c>
      <c r="B2537" s="432">
        <v>1577.9</v>
      </c>
      <c r="C2537" s="427">
        <f t="shared" si="78"/>
        <v>1998</v>
      </c>
      <c r="D2537" s="433">
        <f t="shared" si="79"/>
        <v>1577.9</v>
      </c>
    </row>
    <row r="2538" spans="1:4" ht="16.149999999999999" customHeight="1" x14ac:dyDescent="0.25">
      <c r="A2538" s="431">
        <v>36098</v>
      </c>
      <c r="B2538" s="434">
        <v>1577.19</v>
      </c>
      <c r="C2538" s="427">
        <f t="shared" si="78"/>
        <v>1998</v>
      </c>
      <c r="D2538" s="433">
        <f t="shared" si="79"/>
        <v>1577.19</v>
      </c>
    </row>
    <row r="2539" spans="1:4" ht="16.149999999999999" customHeight="1" x14ac:dyDescent="0.25">
      <c r="A2539" s="431">
        <v>36099</v>
      </c>
      <c r="B2539" s="432">
        <v>1575.08</v>
      </c>
      <c r="C2539" s="427">
        <f t="shared" si="78"/>
        <v>1998</v>
      </c>
      <c r="D2539" s="433">
        <f t="shared" si="79"/>
        <v>1575.08</v>
      </c>
    </row>
    <row r="2540" spans="1:4" ht="16.149999999999999" customHeight="1" x14ac:dyDescent="0.25">
      <c r="A2540" s="431">
        <v>36100</v>
      </c>
      <c r="B2540" s="434">
        <v>1575.08</v>
      </c>
      <c r="C2540" s="427">
        <f t="shared" si="78"/>
        <v>1998</v>
      </c>
      <c r="D2540" s="433">
        <f t="shared" si="79"/>
        <v>1575.08</v>
      </c>
    </row>
    <row r="2541" spans="1:4" ht="16.149999999999999" customHeight="1" x14ac:dyDescent="0.25">
      <c r="A2541" s="431">
        <v>36101</v>
      </c>
      <c r="B2541" s="432">
        <v>1575.08</v>
      </c>
      <c r="C2541" s="427">
        <f t="shared" si="78"/>
        <v>1998</v>
      </c>
      <c r="D2541" s="433">
        <f t="shared" si="79"/>
        <v>1575.08</v>
      </c>
    </row>
    <row r="2542" spans="1:4" ht="16.149999999999999" customHeight="1" x14ac:dyDescent="0.25">
      <c r="A2542" s="431">
        <v>36102</v>
      </c>
      <c r="B2542" s="434">
        <v>1575.08</v>
      </c>
      <c r="C2542" s="427">
        <f t="shared" si="78"/>
        <v>1998</v>
      </c>
      <c r="D2542" s="433">
        <f t="shared" si="79"/>
        <v>1575.08</v>
      </c>
    </row>
    <row r="2543" spans="1:4" ht="16.149999999999999" customHeight="1" x14ac:dyDescent="0.25">
      <c r="A2543" s="431">
        <v>36103</v>
      </c>
      <c r="B2543" s="432">
        <v>1569.93</v>
      </c>
      <c r="C2543" s="427">
        <f t="shared" si="78"/>
        <v>1998</v>
      </c>
      <c r="D2543" s="433">
        <f t="shared" si="79"/>
        <v>1569.93</v>
      </c>
    </row>
    <row r="2544" spans="1:4" ht="16.149999999999999" customHeight="1" x14ac:dyDescent="0.25">
      <c r="A2544" s="431">
        <v>36104</v>
      </c>
      <c r="B2544" s="434">
        <v>1568.54</v>
      </c>
      <c r="C2544" s="427">
        <f t="shared" si="78"/>
        <v>1998</v>
      </c>
      <c r="D2544" s="433">
        <f t="shared" si="79"/>
        <v>1568.54</v>
      </c>
    </row>
    <row r="2545" spans="1:4" ht="16.149999999999999" customHeight="1" x14ac:dyDescent="0.25">
      <c r="A2545" s="431">
        <v>36105</v>
      </c>
      <c r="B2545" s="432">
        <v>1563.32</v>
      </c>
      <c r="C2545" s="427">
        <f t="shared" si="78"/>
        <v>1998</v>
      </c>
      <c r="D2545" s="433">
        <f t="shared" si="79"/>
        <v>1563.32</v>
      </c>
    </row>
    <row r="2546" spans="1:4" ht="16.149999999999999" customHeight="1" x14ac:dyDescent="0.25">
      <c r="A2546" s="431">
        <v>36106</v>
      </c>
      <c r="B2546" s="434">
        <v>1553.71</v>
      </c>
      <c r="C2546" s="427">
        <f t="shared" si="78"/>
        <v>1998</v>
      </c>
      <c r="D2546" s="433">
        <f t="shared" si="79"/>
        <v>1553.71</v>
      </c>
    </row>
    <row r="2547" spans="1:4" ht="16.149999999999999" customHeight="1" x14ac:dyDescent="0.25">
      <c r="A2547" s="431">
        <v>36107</v>
      </c>
      <c r="B2547" s="432">
        <v>1553.71</v>
      </c>
      <c r="C2547" s="427">
        <f t="shared" si="78"/>
        <v>1998</v>
      </c>
      <c r="D2547" s="433">
        <f t="shared" si="79"/>
        <v>1553.71</v>
      </c>
    </row>
    <row r="2548" spans="1:4" ht="16.149999999999999" customHeight="1" x14ac:dyDescent="0.25">
      <c r="A2548" s="431">
        <v>36108</v>
      </c>
      <c r="B2548" s="434">
        <v>1553.71</v>
      </c>
      <c r="C2548" s="427">
        <f t="shared" si="78"/>
        <v>1998</v>
      </c>
      <c r="D2548" s="433">
        <f t="shared" si="79"/>
        <v>1553.71</v>
      </c>
    </row>
    <row r="2549" spans="1:4" ht="16.149999999999999" customHeight="1" x14ac:dyDescent="0.25">
      <c r="A2549" s="431">
        <v>36109</v>
      </c>
      <c r="B2549" s="432">
        <v>1559.35</v>
      </c>
      <c r="C2549" s="427">
        <f t="shared" si="78"/>
        <v>1998</v>
      </c>
      <c r="D2549" s="433">
        <f t="shared" si="79"/>
        <v>1559.35</v>
      </c>
    </row>
    <row r="2550" spans="1:4" ht="16.149999999999999" customHeight="1" x14ac:dyDescent="0.25">
      <c r="A2550" s="431">
        <v>36110</v>
      </c>
      <c r="B2550" s="434">
        <v>1571.76</v>
      </c>
      <c r="C2550" s="427">
        <f t="shared" si="78"/>
        <v>1998</v>
      </c>
      <c r="D2550" s="433">
        <f t="shared" si="79"/>
        <v>1571.76</v>
      </c>
    </row>
    <row r="2551" spans="1:4" ht="16.149999999999999" customHeight="1" x14ac:dyDescent="0.25">
      <c r="A2551" s="431">
        <v>36111</v>
      </c>
      <c r="B2551" s="432">
        <v>1577.61</v>
      </c>
      <c r="C2551" s="427">
        <f t="shared" si="78"/>
        <v>1998</v>
      </c>
      <c r="D2551" s="433">
        <f t="shared" si="79"/>
        <v>1577.61</v>
      </c>
    </row>
    <row r="2552" spans="1:4" ht="16.149999999999999" customHeight="1" x14ac:dyDescent="0.25">
      <c r="A2552" s="431">
        <v>36112</v>
      </c>
      <c r="B2552" s="434">
        <v>1578.79</v>
      </c>
      <c r="C2552" s="427">
        <f t="shared" si="78"/>
        <v>1998</v>
      </c>
      <c r="D2552" s="433">
        <f t="shared" si="79"/>
        <v>1578.79</v>
      </c>
    </row>
    <row r="2553" spans="1:4" ht="16.149999999999999" customHeight="1" x14ac:dyDescent="0.25">
      <c r="A2553" s="431">
        <v>36113</v>
      </c>
      <c r="B2553" s="432">
        <v>1580.99</v>
      </c>
      <c r="C2553" s="427">
        <f t="shared" si="78"/>
        <v>1998</v>
      </c>
      <c r="D2553" s="433">
        <f t="shared" si="79"/>
        <v>1580.99</v>
      </c>
    </row>
    <row r="2554" spans="1:4" ht="16.149999999999999" customHeight="1" x14ac:dyDescent="0.25">
      <c r="A2554" s="431">
        <v>36114</v>
      </c>
      <c r="B2554" s="434">
        <v>1580.99</v>
      </c>
      <c r="C2554" s="427">
        <f t="shared" si="78"/>
        <v>1998</v>
      </c>
      <c r="D2554" s="433">
        <f t="shared" si="79"/>
        <v>1580.99</v>
      </c>
    </row>
    <row r="2555" spans="1:4" ht="16.149999999999999" customHeight="1" x14ac:dyDescent="0.25">
      <c r="A2555" s="431">
        <v>36115</v>
      </c>
      <c r="B2555" s="432">
        <v>1580.99</v>
      </c>
      <c r="C2555" s="427">
        <f t="shared" si="78"/>
        <v>1998</v>
      </c>
      <c r="D2555" s="433">
        <f t="shared" si="79"/>
        <v>1580.99</v>
      </c>
    </row>
    <row r="2556" spans="1:4" ht="16.149999999999999" customHeight="1" x14ac:dyDescent="0.25">
      <c r="A2556" s="431">
        <v>36116</v>
      </c>
      <c r="B2556" s="434">
        <v>1580.99</v>
      </c>
      <c r="C2556" s="427">
        <f t="shared" si="78"/>
        <v>1998</v>
      </c>
      <c r="D2556" s="433">
        <f t="shared" si="79"/>
        <v>1580.99</v>
      </c>
    </row>
    <row r="2557" spans="1:4" ht="16.149999999999999" customHeight="1" x14ac:dyDescent="0.25">
      <c r="A2557" s="431">
        <v>36117</v>
      </c>
      <c r="B2557" s="432">
        <v>1583.29</v>
      </c>
      <c r="C2557" s="427">
        <f t="shared" si="78"/>
        <v>1998</v>
      </c>
      <c r="D2557" s="433">
        <f t="shared" si="79"/>
        <v>1583.29</v>
      </c>
    </row>
    <row r="2558" spans="1:4" ht="16.149999999999999" customHeight="1" x14ac:dyDescent="0.25">
      <c r="A2558" s="431">
        <v>36118</v>
      </c>
      <c r="B2558" s="434">
        <v>1569.6</v>
      </c>
      <c r="C2558" s="427">
        <f t="shared" si="78"/>
        <v>1998</v>
      </c>
      <c r="D2558" s="433">
        <f t="shared" si="79"/>
        <v>1569.6</v>
      </c>
    </row>
    <row r="2559" spans="1:4" ht="16.149999999999999" customHeight="1" x14ac:dyDescent="0.25">
      <c r="A2559" s="431">
        <v>36119</v>
      </c>
      <c r="B2559" s="432">
        <v>1558.49</v>
      </c>
      <c r="C2559" s="427">
        <f t="shared" si="78"/>
        <v>1998</v>
      </c>
      <c r="D2559" s="433">
        <f t="shared" si="79"/>
        <v>1558.49</v>
      </c>
    </row>
    <row r="2560" spans="1:4" ht="16.149999999999999" customHeight="1" x14ac:dyDescent="0.25">
      <c r="A2560" s="431">
        <v>36120</v>
      </c>
      <c r="B2560" s="434">
        <v>1539.38</v>
      </c>
      <c r="C2560" s="427">
        <f t="shared" si="78"/>
        <v>1998</v>
      </c>
      <c r="D2560" s="433">
        <f t="shared" si="79"/>
        <v>1539.38</v>
      </c>
    </row>
    <row r="2561" spans="1:4" ht="16.149999999999999" customHeight="1" x14ac:dyDescent="0.25">
      <c r="A2561" s="431">
        <v>36121</v>
      </c>
      <c r="B2561" s="432">
        <v>1539.38</v>
      </c>
      <c r="C2561" s="427">
        <f t="shared" si="78"/>
        <v>1998</v>
      </c>
      <c r="D2561" s="433">
        <f t="shared" si="79"/>
        <v>1539.38</v>
      </c>
    </row>
    <row r="2562" spans="1:4" ht="16.149999999999999" customHeight="1" x14ac:dyDescent="0.25">
      <c r="A2562" s="431">
        <v>36122</v>
      </c>
      <c r="B2562" s="434">
        <v>1539.38</v>
      </c>
      <c r="C2562" s="427">
        <f t="shared" si="78"/>
        <v>1998</v>
      </c>
      <c r="D2562" s="433">
        <f t="shared" si="79"/>
        <v>1539.38</v>
      </c>
    </row>
    <row r="2563" spans="1:4" ht="16.149999999999999" customHeight="1" x14ac:dyDescent="0.25">
      <c r="A2563" s="431">
        <v>36123</v>
      </c>
      <c r="B2563" s="432">
        <v>1547.92</v>
      </c>
      <c r="C2563" s="427">
        <f t="shared" si="78"/>
        <v>1998</v>
      </c>
      <c r="D2563" s="433">
        <f t="shared" si="79"/>
        <v>1547.92</v>
      </c>
    </row>
    <row r="2564" spans="1:4" ht="16.149999999999999" customHeight="1" x14ac:dyDescent="0.25">
      <c r="A2564" s="431">
        <v>36124</v>
      </c>
      <c r="B2564" s="434">
        <v>1557.57</v>
      </c>
      <c r="C2564" s="427">
        <f t="shared" si="78"/>
        <v>1998</v>
      </c>
      <c r="D2564" s="433">
        <f t="shared" si="79"/>
        <v>1557.57</v>
      </c>
    </row>
    <row r="2565" spans="1:4" ht="16.149999999999999" customHeight="1" x14ac:dyDescent="0.25">
      <c r="A2565" s="431">
        <v>36125</v>
      </c>
      <c r="B2565" s="432">
        <v>1545.53</v>
      </c>
      <c r="C2565" s="427">
        <f t="shared" si="78"/>
        <v>1998</v>
      </c>
      <c r="D2565" s="433">
        <f t="shared" si="79"/>
        <v>1545.53</v>
      </c>
    </row>
    <row r="2566" spans="1:4" ht="16.149999999999999" customHeight="1" x14ac:dyDescent="0.25">
      <c r="A2566" s="431">
        <v>36126</v>
      </c>
      <c r="B2566" s="434">
        <v>1543.45</v>
      </c>
      <c r="C2566" s="427">
        <f t="shared" si="78"/>
        <v>1998</v>
      </c>
      <c r="D2566" s="433">
        <f t="shared" si="79"/>
        <v>1543.45</v>
      </c>
    </row>
    <row r="2567" spans="1:4" ht="16.149999999999999" customHeight="1" x14ac:dyDescent="0.25">
      <c r="A2567" s="431">
        <v>36127</v>
      </c>
      <c r="B2567" s="432">
        <v>1547.11</v>
      </c>
      <c r="C2567" s="427">
        <f t="shared" si="78"/>
        <v>1998</v>
      </c>
      <c r="D2567" s="433">
        <f t="shared" si="79"/>
        <v>1547.11</v>
      </c>
    </row>
    <row r="2568" spans="1:4" ht="16.149999999999999" customHeight="1" x14ac:dyDescent="0.25">
      <c r="A2568" s="431">
        <v>36128</v>
      </c>
      <c r="B2568" s="434">
        <v>1547.11</v>
      </c>
      <c r="C2568" s="427">
        <f t="shared" si="78"/>
        <v>1998</v>
      </c>
      <c r="D2568" s="433">
        <f t="shared" si="79"/>
        <v>1547.11</v>
      </c>
    </row>
    <row r="2569" spans="1:4" ht="16.149999999999999" customHeight="1" x14ac:dyDescent="0.25">
      <c r="A2569" s="431">
        <v>36129</v>
      </c>
      <c r="B2569" s="432">
        <v>1547.11</v>
      </c>
      <c r="C2569" s="427">
        <f t="shared" si="78"/>
        <v>1998</v>
      </c>
      <c r="D2569" s="433">
        <f t="shared" si="79"/>
        <v>1547.11</v>
      </c>
    </row>
    <row r="2570" spans="1:4" ht="16.149999999999999" customHeight="1" x14ac:dyDescent="0.25">
      <c r="A2570" s="431">
        <v>36130</v>
      </c>
      <c r="B2570" s="434">
        <v>1545.88</v>
      </c>
      <c r="C2570" s="427">
        <f t="shared" ref="C2570:C2633" si="80">YEAR(A2570)</f>
        <v>1998</v>
      </c>
      <c r="D2570" s="433">
        <f t="shared" ref="D2570:D2633" si="81">B2570</f>
        <v>1545.88</v>
      </c>
    </row>
    <row r="2571" spans="1:4" ht="16.149999999999999" customHeight="1" x14ac:dyDescent="0.25">
      <c r="A2571" s="431">
        <v>36131</v>
      </c>
      <c r="B2571" s="432">
        <v>1545.82</v>
      </c>
      <c r="C2571" s="427">
        <f t="shared" si="80"/>
        <v>1998</v>
      </c>
      <c r="D2571" s="433">
        <f t="shared" si="81"/>
        <v>1545.82</v>
      </c>
    </row>
    <row r="2572" spans="1:4" ht="16.149999999999999" customHeight="1" x14ac:dyDescent="0.25">
      <c r="A2572" s="431">
        <v>36132</v>
      </c>
      <c r="B2572" s="434">
        <v>1539.32</v>
      </c>
      <c r="C2572" s="427">
        <f t="shared" si="80"/>
        <v>1998</v>
      </c>
      <c r="D2572" s="433">
        <f t="shared" si="81"/>
        <v>1539.32</v>
      </c>
    </row>
    <row r="2573" spans="1:4" ht="16.149999999999999" customHeight="1" x14ac:dyDescent="0.25">
      <c r="A2573" s="431">
        <v>36133</v>
      </c>
      <c r="B2573" s="432">
        <v>1545.89</v>
      </c>
      <c r="C2573" s="427">
        <f t="shared" si="80"/>
        <v>1998</v>
      </c>
      <c r="D2573" s="433">
        <f t="shared" si="81"/>
        <v>1545.89</v>
      </c>
    </row>
    <row r="2574" spans="1:4" ht="16.149999999999999" customHeight="1" x14ac:dyDescent="0.25">
      <c r="A2574" s="431">
        <v>36134</v>
      </c>
      <c r="B2574" s="434">
        <v>1552.48</v>
      </c>
      <c r="C2574" s="427">
        <f t="shared" si="80"/>
        <v>1998</v>
      </c>
      <c r="D2574" s="433">
        <f t="shared" si="81"/>
        <v>1552.48</v>
      </c>
    </row>
    <row r="2575" spans="1:4" ht="16.149999999999999" customHeight="1" x14ac:dyDescent="0.25">
      <c r="A2575" s="431">
        <v>36135</v>
      </c>
      <c r="B2575" s="432">
        <v>1552.48</v>
      </c>
      <c r="C2575" s="427">
        <f t="shared" si="80"/>
        <v>1998</v>
      </c>
      <c r="D2575" s="433">
        <f t="shared" si="81"/>
        <v>1552.48</v>
      </c>
    </row>
    <row r="2576" spans="1:4" ht="16.149999999999999" customHeight="1" x14ac:dyDescent="0.25">
      <c r="A2576" s="431">
        <v>36136</v>
      </c>
      <c r="B2576" s="434">
        <v>1552.48</v>
      </c>
      <c r="C2576" s="427">
        <f t="shared" si="80"/>
        <v>1998</v>
      </c>
      <c r="D2576" s="433">
        <f t="shared" si="81"/>
        <v>1552.48</v>
      </c>
    </row>
    <row r="2577" spans="1:4" ht="16.149999999999999" customHeight="1" x14ac:dyDescent="0.25">
      <c r="A2577" s="431">
        <v>36137</v>
      </c>
      <c r="B2577" s="432">
        <v>1548.63</v>
      </c>
      <c r="C2577" s="427">
        <f t="shared" si="80"/>
        <v>1998</v>
      </c>
      <c r="D2577" s="433">
        <f t="shared" si="81"/>
        <v>1548.63</v>
      </c>
    </row>
    <row r="2578" spans="1:4" ht="16.149999999999999" customHeight="1" x14ac:dyDescent="0.25">
      <c r="A2578" s="431">
        <v>36138</v>
      </c>
      <c r="B2578" s="434">
        <v>1548.63</v>
      </c>
      <c r="C2578" s="427">
        <f t="shared" si="80"/>
        <v>1998</v>
      </c>
      <c r="D2578" s="433">
        <f t="shared" si="81"/>
        <v>1548.63</v>
      </c>
    </row>
    <row r="2579" spans="1:4" ht="16.149999999999999" customHeight="1" x14ac:dyDescent="0.25">
      <c r="A2579" s="431">
        <v>36139</v>
      </c>
      <c r="B2579" s="432">
        <v>1541.14</v>
      </c>
      <c r="C2579" s="427">
        <f t="shared" si="80"/>
        <v>1998</v>
      </c>
      <c r="D2579" s="433">
        <f t="shared" si="81"/>
        <v>1541.14</v>
      </c>
    </row>
    <row r="2580" spans="1:4" ht="16.149999999999999" customHeight="1" x14ac:dyDescent="0.25">
      <c r="A2580" s="431">
        <v>36140</v>
      </c>
      <c r="B2580" s="434">
        <v>1530.63</v>
      </c>
      <c r="C2580" s="427">
        <f t="shared" si="80"/>
        <v>1998</v>
      </c>
      <c r="D2580" s="433">
        <f t="shared" si="81"/>
        <v>1530.63</v>
      </c>
    </row>
    <row r="2581" spans="1:4" ht="16.149999999999999" customHeight="1" x14ac:dyDescent="0.25">
      <c r="A2581" s="431">
        <v>36141</v>
      </c>
      <c r="B2581" s="432">
        <v>1531.13</v>
      </c>
      <c r="C2581" s="427">
        <f t="shared" si="80"/>
        <v>1998</v>
      </c>
      <c r="D2581" s="433">
        <f t="shared" si="81"/>
        <v>1531.13</v>
      </c>
    </row>
    <row r="2582" spans="1:4" ht="16.149999999999999" customHeight="1" x14ac:dyDescent="0.25">
      <c r="A2582" s="431">
        <v>36142</v>
      </c>
      <c r="B2582" s="434">
        <v>1531.13</v>
      </c>
      <c r="C2582" s="427">
        <f t="shared" si="80"/>
        <v>1998</v>
      </c>
      <c r="D2582" s="433">
        <f t="shared" si="81"/>
        <v>1531.13</v>
      </c>
    </row>
    <row r="2583" spans="1:4" ht="16.149999999999999" customHeight="1" x14ac:dyDescent="0.25">
      <c r="A2583" s="431">
        <v>36143</v>
      </c>
      <c r="B2583" s="432">
        <v>1531.13</v>
      </c>
      <c r="C2583" s="427">
        <f t="shared" si="80"/>
        <v>1998</v>
      </c>
      <c r="D2583" s="433">
        <f t="shared" si="81"/>
        <v>1531.13</v>
      </c>
    </row>
    <row r="2584" spans="1:4" ht="16.149999999999999" customHeight="1" x14ac:dyDescent="0.25">
      <c r="A2584" s="431">
        <v>36144</v>
      </c>
      <c r="B2584" s="434">
        <v>1532.76</v>
      </c>
      <c r="C2584" s="427">
        <f t="shared" si="80"/>
        <v>1998</v>
      </c>
      <c r="D2584" s="433">
        <f t="shared" si="81"/>
        <v>1532.76</v>
      </c>
    </row>
    <row r="2585" spans="1:4" ht="16.149999999999999" customHeight="1" x14ac:dyDescent="0.25">
      <c r="A2585" s="431">
        <v>36145</v>
      </c>
      <c r="B2585" s="432">
        <v>1529.07</v>
      </c>
      <c r="C2585" s="427">
        <f t="shared" si="80"/>
        <v>1998</v>
      </c>
      <c r="D2585" s="433">
        <f t="shared" si="81"/>
        <v>1529.07</v>
      </c>
    </row>
    <row r="2586" spans="1:4" ht="16.149999999999999" customHeight="1" x14ac:dyDescent="0.25">
      <c r="A2586" s="431">
        <v>36146</v>
      </c>
      <c r="B2586" s="434">
        <v>1523.8</v>
      </c>
      <c r="C2586" s="427">
        <f t="shared" si="80"/>
        <v>1998</v>
      </c>
      <c r="D2586" s="433">
        <f t="shared" si="81"/>
        <v>1523.8</v>
      </c>
    </row>
    <row r="2587" spans="1:4" ht="16.149999999999999" customHeight="1" x14ac:dyDescent="0.25">
      <c r="A2587" s="431">
        <v>36147</v>
      </c>
      <c r="B2587" s="432">
        <v>1515.98</v>
      </c>
      <c r="C2587" s="427">
        <f t="shared" si="80"/>
        <v>1998</v>
      </c>
      <c r="D2587" s="433">
        <f t="shared" si="81"/>
        <v>1515.98</v>
      </c>
    </row>
    <row r="2588" spans="1:4" ht="16.149999999999999" customHeight="1" x14ac:dyDescent="0.25">
      <c r="A2588" s="431">
        <v>36148</v>
      </c>
      <c r="B2588" s="434">
        <v>1494.11</v>
      </c>
      <c r="C2588" s="427">
        <f t="shared" si="80"/>
        <v>1998</v>
      </c>
      <c r="D2588" s="433">
        <f t="shared" si="81"/>
        <v>1494.11</v>
      </c>
    </row>
    <row r="2589" spans="1:4" ht="16.149999999999999" customHeight="1" x14ac:dyDescent="0.25">
      <c r="A2589" s="431">
        <v>36149</v>
      </c>
      <c r="B2589" s="432">
        <v>1494.11</v>
      </c>
      <c r="C2589" s="427">
        <f t="shared" si="80"/>
        <v>1998</v>
      </c>
      <c r="D2589" s="433">
        <f t="shared" si="81"/>
        <v>1494.11</v>
      </c>
    </row>
    <row r="2590" spans="1:4" ht="16.149999999999999" customHeight="1" x14ac:dyDescent="0.25">
      <c r="A2590" s="431">
        <v>36150</v>
      </c>
      <c r="B2590" s="434">
        <v>1494.11</v>
      </c>
      <c r="C2590" s="427">
        <f t="shared" si="80"/>
        <v>1998</v>
      </c>
      <c r="D2590" s="433">
        <f t="shared" si="81"/>
        <v>1494.11</v>
      </c>
    </row>
    <row r="2591" spans="1:4" ht="16.149999999999999" customHeight="1" x14ac:dyDescent="0.25">
      <c r="A2591" s="431">
        <v>36151</v>
      </c>
      <c r="B2591" s="432">
        <v>1477.51</v>
      </c>
      <c r="C2591" s="427">
        <f t="shared" si="80"/>
        <v>1998</v>
      </c>
      <c r="D2591" s="433">
        <f t="shared" si="81"/>
        <v>1477.51</v>
      </c>
    </row>
    <row r="2592" spans="1:4" ht="16.149999999999999" customHeight="1" x14ac:dyDescent="0.25">
      <c r="A2592" s="431">
        <v>36152</v>
      </c>
      <c r="B2592" s="434">
        <v>1467.04</v>
      </c>
      <c r="C2592" s="427">
        <f t="shared" si="80"/>
        <v>1998</v>
      </c>
      <c r="D2592" s="433">
        <f t="shared" si="81"/>
        <v>1467.04</v>
      </c>
    </row>
    <row r="2593" spans="1:4" ht="16.149999999999999" customHeight="1" x14ac:dyDescent="0.25">
      <c r="A2593" s="431">
        <v>36153</v>
      </c>
      <c r="B2593" s="432">
        <v>1484.88</v>
      </c>
      <c r="C2593" s="427">
        <f t="shared" si="80"/>
        <v>1998</v>
      </c>
      <c r="D2593" s="433">
        <f t="shared" si="81"/>
        <v>1484.88</v>
      </c>
    </row>
    <row r="2594" spans="1:4" ht="16.149999999999999" customHeight="1" x14ac:dyDescent="0.25">
      <c r="A2594" s="431">
        <v>36154</v>
      </c>
      <c r="B2594" s="434">
        <v>1484.88</v>
      </c>
      <c r="C2594" s="427">
        <f t="shared" si="80"/>
        <v>1998</v>
      </c>
      <c r="D2594" s="433">
        <f t="shared" si="81"/>
        <v>1484.88</v>
      </c>
    </row>
    <row r="2595" spans="1:4" ht="16.149999999999999" customHeight="1" x14ac:dyDescent="0.25">
      <c r="A2595" s="431">
        <v>36155</v>
      </c>
      <c r="B2595" s="432">
        <v>1484.88</v>
      </c>
      <c r="C2595" s="427">
        <f t="shared" si="80"/>
        <v>1998</v>
      </c>
      <c r="D2595" s="433">
        <f t="shared" si="81"/>
        <v>1484.88</v>
      </c>
    </row>
    <row r="2596" spans="1:4" ht="16.149999999999999" customHeight="1" x14ac:dyDescent="0.25">
      <c r="A2596" s="431">
        <v>36156</v>
      </c>
      <c r="B2596" s="434">
        <v>1484.88</v>
      </c>
      <c r="C2596" s="427">
        <f t="shared" si="80"/>
        <v>1998</v>
      </c>
      <c r="D2596" s="433">
        <f t="shared" si="81"/>
        <v>1484.88</v>
      </c>
    </row>
    <row r="2597" spans="1:4" ht="16.149999999999999" customHeight="1" x14ac:dyDescent="0.25">
      <c r="A2597" s="431">
        <v>36157</v>
      </c>
      <c r="B2597" s="432">
        <v>1484.88</v>
      </c>
      <c r="C2597" s="427">
        <f t="shared" si="80"/>
        <v>1998</v>
      </c>
      <c r="D2597" s="433">
        <f t="shared" si="81"/>
        <v>1484.88</v>
      </c>
    </row>
    <row r="2598" spans="1:4" ht="16.149999999999999" customHeight="1" x14ac:dyDescent="0.25">
      <c r="A2598" s="431">
        <v>36158</v>
      </c>
      <c r="B2598" s="434">
        <v>1507.52</v>
      </c>
      <c r="C2598" s="427">
        <f t="shared" si="80"/>
        <v>1998</v>
      </c>
      <c r="D2598" s="433">
        <f t="shared" si="81"/>
        <v>1507.52</v>
      </c>
    </row>
    <row r="2599" spans="1:4" ht="16.149999999999999" customHeight="1" x14ac:dyDescent="0.25">
      <c r="A2599" s="431">
        <v>36159</v>
      </c>
      <c r="B2599" s="432">
        <v>1535.55</v>
      </c>
      <c r="C2599" s="427">
        <f t="shared" si="80"/>
        <v>1998</v>
      </c>
      <c r="D2599" s="433">
        <f t="shared" si="81"/>
        <v>1535.55</v>
      </c>
    </row>
    <row r="2600" spans="1:4" ht="16.149999999999999" customHeight="1" x14ac:dyDescent="0.25">
      <c r="A2600" s="431">
        <v>36160</v>
      </c>
      <c r="B2600" s="434">
        <v>1542.11</v>
      </c>
      <c r="C2600" s="427">
        <f t="shared" si="80"/>
        <v>1998</v>
      </c>
      <c r="D2600" s="433">
        <f t="shared" si="81"/>
        <v>1542.11</v>
      </c>
    </row>
    <row r="2601" spans="1:4" ht="16.149999999999999" customHeight="1" x14ac:dyDescent="0.25">
      <c r="A2601" s="431">
        <v>36161</v>
      </c>
      <c r="B2601" s="432">
        <v>1542.11</v>
      </c>
      <c r="C2601" s="427">
        <f t="shared" si="80"/>
        <v>1999</v>
      </c>
      <c r="D2601" s="433">
        <f t="shared" si="81"/>
        <v>1542.11</v>
      </c>
    </row>
    <row r="2602" spans="1:4" ht="16.149999999999999" customHeight="1" x14ac:dyDescent="0.25">
      <c r="A2602" s="431">
        <v>36162</v>
      </c>
      <c r="B2602" s="434">
        <v>1542.11</v>
      </c>
      <c r="C2602" s="427">
        <f t="shared" si="80"/>
        <v>1999</v>
      </c>
      <c r="D2602" s="433">
        <f t="shared" si="81"/>
        <v>1542.11</v>
      </c>
    </row>
    <row r="2603" spans="1:4" ht="16.149999999999999" customHeight="1" x14ac:dyDescent="0.25">
      <c r="A2603" s="431">
        <v>36163</v>
      </c>
      <c r="B2603" s="432">
        <v>1542.11</v>
      </c>
      <c r="C2603" s="427">
        <f t="shared" si="80"/>
        <v>1999</v>
      </c>
      <c r="D2603" s="433">
        <f t="shared" si="81"/>
        <v>1542.11</v>
      </c>
    </row>
    <row r="2604" spans="1:4" ht="16.149999999999999" customHeight="1" x14ac:dyDescent="0.25">
      <c r="A2604" s="431">
        <v>36164</v>
      </c>
      <c r="B2604" s="434">
        <v>1542.11</v>
      </c>
      <c r="C2604" s="427">
        <f t="shared" si="80"/>
        <v>1999</v>
      </c>
      <c r="D2604" s="433">
        <f t="shared" si="81"/>
        <v>1542.11</v>
      </c>
    </row>
    <row r="2605" spans="1:4" ht="16.149999999999999" customHeight="1" x14ac:dyDescent="0.25">
      <c r="A2605" s="431">
        <v>36165</v>
      </c>
      <c r="B2605" s="432">
        <v>1545.11</v>
      </c>
      <c r="C2605" s="427">
        <f t="shared" si="80"/>
        <v>1999</v>
      </c>
      <c r="D2605" s="433">
        <f t="shared" si="81"/>
        <v>1545.11</v>
      </c>
    </row>
    <row r="2606" spans="1:4" ht="16.149999999999999" customHeight="1" x14ac:dyDescent="0.25">
      <c r="A2606" s="431">
        <v>36166</v>
      </c>
      <c r="B2606" s="434">
        <v>1528.28</v>
      </c>
      <c r="C2606" s="427">
        <f t="shared" si="80"/>
        <v>1999</v>
      </c>
      <c r="D2606" s="433">
        <f t="shared" si="81"/>
        <v>1528.28</v>
      </c>
    </row>
    <row r="2607" spans="1:4" ht="16.149999999999999" customHeight="1" x14ac:dyDescent="0.25">
      <c r="A2607" s="431">
        <v>36167</v>
      </c>
      <c r="B2607" s="432">
        <v>1530.48</v>
      </c>
      <c r="C2607" s="427">
        <f t="shared" si="80"/>
        <v>1999</v>
      </c>
      <c r="D2607" s="433">
        <f t="shared" si="81"/>
        <v>1530.48</v>
      </c>
    </row>
    <row r="2608" spans="1:4" ht="16.149999999999999" customHeight="1" x14ac:dyDescent="0.25">
      <c r="A2608" s="431">
        <v>36168</v>
      </c>
      <c r="B2608" s="434">
        <v>1543.22</v>
      </c>
      <c r="C2608" s="427">
        <f t="shared" si="80"/>
        <v>1999</v>
      </c>
      <c r="D2608" s="433">
        <f t="shared" si="81"/>
        <v>1543.22</v>
      </c>
    </row>
    <row r="2609" spans="1:4" ht="16.149999999999999" customHeight="1" x14ac:dyDescent="0.25">
      <c r="A2609" s="431">
        <v>36169</v>
      </c>
      <c r="B2609" s="432">
        <v>1535.96</v>
      </c>
      <c r="C2609" s="427">
        <f t="shared" si="80"/>
        <v>1999</v>
      </c>
      <c r="D2609" s="433">
        <f t="shared" si="81"/>
        <v>1535.96</v>
      </c>
    </row>
    <row r="2610" spans="1:4" ht="16.149999999999999" customHeight="1" x14ac:dyDescent="0.25">
      <c r="A2610" s="431">
        <v>36170</v>
      </c>
      <c r="B2610" s="434">
        <v>1535.96</v>
      </c>
      <c r="C2610" s="427">
        <f t="shared" si="80"/>
        <v>1999</v>
      </c>
      <c r="D2610" s="433">
        <f t="shared" si="81"/>
        <v>1535.96</v>
      </c>
    </row>
    <row r="2611" spans="1:4" ht="16.149999999999999" customHeight="1" x14ac:dyDescent="0.25">
      <c r="A2611" s="431">
        <v>36171</v>
      </c>
      <c r="B2611" s="432">
        <v>1535.96</v>
      </c>
      <c r="C2611" s="427">
        <f t="shared" si="80"/>
        <v>1999</v>
      </c>
      <c r="D2611" s="433">
        <f t="shared" si="81"/>
        <v>1535.96</v>
      </c>
    </row>
    <row r="2612" spans="1:4" ht="16.149999999999999" customHeight="1" x14ac:dyDescent="0.25">
      <c r="A2612" s="431">
        <v>36172</v>
      </c>
      <c r="B2612" s="434">
        <v>1535.96</v>
      </c>
      <c r="C2612" s="427">
        <f t="shared" si="80"/>
        <v>1999</v>
      </c>
      <c r="D2612" s="433">
        <f t="shared" si="81"/>
        <v>1535.96</v>
      </c>
    </row>
    <row r="2613" spans="1:4" ht="16.149999999999999" customHeight="1" x14ac:dyDescent="0.25">
      <c r="A2613" s="431">
        <v>36173</v>
      </c>
      <c r="B2613" s="432">
        <v>1549.35</v>
      </c>
      <c r="C2613" s="427">
        <f t="shared" si="80"/>
        <v>1999</v>
      </c>
      <c r="D2613" s="433">
        <f t="shared" si="81"/>
        <v>1549.35</v>
      </c>
    </row>
    <row r="2614" spans="1:4" ht="16.149999999999999" customHeight="1" x14ac:dyDescent="0.25">
      <c r="A2614" s="431">
        <v>36174</v>
      </c>
      <c r="B2614" s="434">
        <v>1588.8</v>
      </c>
      <c r="C2614" s="427">
        <f t="shared" si="80"/>
        <v>1999</v>
      </c>
      <c r="D2614" s="433">
        <f t="shared" si="81"/>
        <v>1588.8</v>
      </c>
    </row>
    <row r="2615" spans="1:4" ht="16.149999999999999" customHeight="1" x14ac:dyDescent="0.25">
      <c r="A2615" s="431">
        <v>36175</v>
      </c>
      <c r="B2615" s="432">
        <v>1584.42</v>
      </c>
      <c r="C2615" s="427">
        <f t="shared" si="80"/>
        <v>1999</v>
      </c>
      <c r="D2615" s="433">
        <f t="shared" si="81"/>
        <v>1584.42</v>
      </c>
    </row>
    <row r="2616" spans="1:4" ht="16.149999999999999" customHeight="1" x14ac:dyDescent="0.25">
      <c r="A2616" s="431">
        <v>36176</v>
      </c>
      <c r="B2616" s="434">
        <v>1596.59</v>
      </c>
      <c r="C2616" s="427">
        <f t="shared" si="80"/>
        <v>1999</v>
      </c>
      <c r="D2616" s="433">
        <f t="shared" si="81"/>
        <v>1596.59</v>
      </c>
    </row>
    <row r="2617" spans="1:4" ht="16.149999999999999" customHeight="1" x14ac:dyDescent="0.25">
      <c r="A2617" s="431">
        <v>36177</v>
      </c>
      <c r="B2617" s="432">
        <v>1596.59</v>
      </c>
      <c r="C2617" s="427">
        <f t="shared" si="80"/>
        <v>1999</v>
      </c>
      <c r="D2617" s="433">
        <f t="shared" si="81"/>
        <v>1596.59</v>
      </c>
    </row>
    <row r="2618" spans="1:4" ht="16.149999999999999" customHeight="1" x14ac:dyDescent="0.25">
      <c r="A2618" s="431">
        <v>36178</v>
      </c>
      <c r="B2618" s="434">
        <v>1596.59</v>
      </c>
      <c r="C2618" s="427">
        <f t="shared" si="80"/>
        <v>1999</v>
      </c>
      <c r="D2618" s="433">
        <f t="shared" si="81"/>
        <v>1596.59</v>
      </c>
    </row>
    <row r="2619" spans="1:4" ht="16.149999999999999" customHeight="1" x14ac:dyDescent="0.25">
      <c r="A2619" s="431">
        <v>36179</v>
      </c>
      <c r="B2619" s="432">
        <v>1580.4</v>
      </c>
      <c r="C2619" s="427">
        <f t="shared" si="80"/>
        <v>1999</v>
      </c>
      <c r="D2619" s="433">
        <f t="shared" si="81"/>
        <v>1580.4</v>
      </c>
    </row>
    <row r="2620" spans="1:4" ht="16.149999999999999" customHeight="1" x14ac:dyDescent="0.25">
      <c r="A2620" s="431">
        <v>36180</v>
      </c>
      <c r="B2620" s="434">
        <v>1587.18</v>
      </c>
      <c r="C2620" s="427">
        <f t="shared" si="80"/>
        <v>1999</v>
      </c>
      <c r="D2620" s="433">
        <f t="shared" si="81"/>
        <v>1587.18</v>
      </c>
    </row>
    <row r="2621" spans="1:4" ht="16.149999999999999" customHeight="1" x14ac:dyDescent="0.25">
      <c r="A2621" s="431">
        <v>36181</v>
      </c>
      <c r="B2621" s="432">
        <v>1582.57</v>
      </c>
      <c r="C2621" s="427">
        <f t="shared" si="80"/>
        <v>1999</v>
      </c>
      <c r="D2621" s="433">
        <f t="shared" si="81"/>
        <v>1582.57</v>
      </c>
    </row>
    <row r="2622" spans="1:4" ht="16.149999999999999" customHeight="1" x14ac:dyDescent="0.25">
      <c r="A2622" s="431">
        <v>36182</v>
      </c>
      <c r="B2622" s="434">
        <v>1589.65</v>
      </c>
      <c r="C2622" s="427">
        <f t="shared" si="80"/>
        <v>1999</v>
      </c>
      <c r="D2622" s="433">
        <f t="shared" si="81"/>
        <v>1589.65</v>
      </c>
    </row>
    <row r="2623" spans="1:4" ht="16.149999999999999" customHeight="1" x14ac:dyDescent="0.25">
      <c r="A2623" s="431">
        <v>36183</v>
      </c>
      <c r="B2623" s="432">
        <v>1591.81</v>
      </c>
      <c r="C2623" s="427">
        <f t="shared" si="80"/>
        <v>1999</v>
      </c>
      <c r="D2623" s="433">
        <f t="shared" si="81"/>
        <v>1591.81</v>
      </c>
    </row>
    <row r="2624" spans="1:4" ht="16.149999999999999" customHeight="1" x14ac:dyDescent="0.25">
      <c r="A2624" s="431">
        <v>36184</v>
      </c>
      <c r="B2624" s="434">
        <v>1591.81</v>
      </c>
      <c r="C2624" s="427">
        <f t="shared" si="80"/>
        <v>1999</v>
      </c>
      <c r="D2624" s="433">
        <f t="shared" si="81"/>
        <v>1591.81</v>
      </c>
    </row>
    <row r="2625" spans="1:4" ht="16.149999999999999" customHeight="1" x14ac:dyDescent="0.25">
      <c r="A2625" s="431">
        <v>36185</v>
      </c>
      <c r="B2625" s="432">
        <v>1591.81</v>
      </c>
      <c r="C2625" s="427">
        <f t="shared" si="80"/>
        <v>1999</v>
      </c>
      <c r="D2625" s="433">
        <f t="shared" si="81"/>
        <v>1591.81</v>
      </c>
    </row>
    <row r="2626" spans="1:4" ht="16.149999999999999" customHeight="1" x14ac:dyDescent="0.25">
      <c r="A2626" s="431">
        <v>36186</v>
      </c>
      <c r="B2626" s="434">
        <v>1591.58</v>
      </c>
      <c r="C2626" s="427">
        <f t="shared" si="80"/>
        <v>1999</v>
      </c>
      <c r="D2626" s="433">
        <f t="shared" si="81"/>
        <v>1591.58</v>
      </c>
    </row>
    <row r="2627" spans="1:4" ht="16.149999999999999" customHeight="1" x14ac:dyDescent="0.25">
      <c r="A2627" s="431">
        <v>36187</v>
      </c>
      <c r="B2627" s="432">
        <v>1591.69</v>
      </c>
      <c r="C2627" s="427">
        <f t="shared" si="80"/>
        <v>1999</v>
      </c>
      <c r="D2627" s="433">
        <f t="shared" si="81"/>
        <v>1591.69</v>
      </c>
    </row>
    <row r="2628" spans="1:4" ht="16.149999999999999" customHeight="1" x14ac:dyDescent="0.25">
      <c r="A2628" s="431">
        <v>36188</v>
      </c>
      <c r="B2628" s="434">
        <v>1590.33</v>
      </c>
      <c r="C2628" s="427">
        <f t="shared" si="80"/>
        <v>1999</v>
      </c>
      <c r="D2628" s="433">
        <f t="shared" si="81"/>
        <v>1590.33</v>
      </c>
    </row>
    <row r="2629" spans="1:4" ht="16.149999999999999" customHeight="1" x14ac:dyDescent="0.25">
      <c r="A2629" s="431">
        <v>36189</v>
      </c>
      <c r="B2629" s="432">
        <v>1580.72</v>
      </c>
      <c r="C2629" s="427">
        <f t="shared" si="80"/>
        <v>1999</v>
      </c>
      <c r="D2629" s="433">
        <f t="shared" si="81"/>
        <v>1580.72</v>
      </c>
    </row>
    <row r="2630" spans="1:4" ht="16.149999999999999" customHeight="1" x14ac:dyDescent="0.25">
      <c r="A2630" s="431">
        <v>36190</v>
      </c>
      <c r="B2630" s="434">
        <v>1582.9</v>
      </c>
      <c r="C2630" s="427">
        <f t="shared" si="80"/>
        <v>1999</v>
      </c>
      <c r="D2630" s="433">
        <f t="shared" si="81"/>
        <v>1582.9</v>
      </c>
    </row>
    <row r="2631" spans="1:4" ht="16.149999999999999" customHeight="1" x14ac:dyDescent="0.25">
      <c r="A2631" s="431">
        <v>36191</v>
      </c>
      <c r="B2631" s="432">
        <v>1582.9</v>
      </c>
      <c r="C2631" s="427">
        <f t="shared" si="80"/>
        <v>1999</v>
      </c>
      <c r="D2631" s="433">
        <f t="shared" si="81"/>
        <v>1582.9</v>
      </c>
    </row>
    <row r="2632" spans="1:4" ht="16.149999999999999" customHeight="1" x14ac:dyDescent="0.25">
      <c r="A2632" s="431">
        <v>36192</v>
      </c>
      <c r="B2632" s="434">
        <v>1582.9</v>
      </c>
      <c r="C2632" s="427">
        <f t="shared" si="80"/>
        <v>1999</v>
      </c>
      <c r="D2632" s="433">
        <f t="shared" si="81"/>
        <v>1582.9</v>
      </c>
    </row>
    <row r="2633" spans="1:4" ht="16.149999999999999" customHeight="1" x14ac:dyDescent="0.25">
      <c r="A2633" s="431">
        <v>36193</v>
      </c>
      <c r="B2633" s="432">
        <v>1581.27</v>
      </c>
      <c r="C2633" s="427">
        <f t="shared" si="80"/>
        <v>1999</v>
      </c>
      <c r="D2633" s="433">
        <f t="shared" si="81"/>
        <v>1581.27</v>
      </c>
    </row>
    <row r="2634" spans="1:4" ht="16.149999999999999" customHeight="1" x14ac:dyDescent="0.25">
      <c r="A2634" s="431">
        <v>36194</v>
      </c>
      <c r="B2634" s="434">
        <v>1576.22</v>
      </c>
      <c r="C2634" s="427">
        <f t="shared" ref="C2634:C2697" si="82">YEAR(A2634)</f>
        <v>1999</v>
      </c>
      <c r="D2634" s="433">
        <f t="shared" ref="D2634:D2697" si="83">B2634</f>
        <v>1576.22</v>
      </c>
    </row>
    <row r="2635" spans="1:4" ht="16.149999999999999" customHeight="1" x14ac:dyDescent="0.25">
      <c r="A2635" s="431">
        <v>36195</v>
      </c>
      <c r="B2635" s="432">
        <v>1574.07</v>
      </c>
      <c r="C2635" s="427">
        <f t="shared" si="82"/>
        <v>1999</v>
      </c>
      <c r="D2635" s="433">
        <f t="shared" si="83"/>
        <v>1574.07</v>
      </c>
    </row>
    <row r="2636" spans="1:4" ht="16.149999999999999" customHeight="1" x14ac:dyDescent="0.25">
      <c r="A2636" s="431">
        <v>36196</v>
      </c>
      <c r="B2636" s="434">
        <v>1575.69</v>
      </c>
      <c r="C2636" s="427">
        <f t="shared" si="82"/>
        <v>1999</v>
      </c>
      <c r="D2636" s="433">
        <f t="shared" si="83"/>
        <v>1575.69</v>
      </c>
    </row>
    <row r="2637" spans="1:4" ht="16.149999999999999" customHeight="1" x14ac:dyDescent="0.25">
      <c r="A2637" s="431">
        <v>36197</v>
      </c>
      <c r="B2637" s="432">
        <v>1570.94</v>
      </c>
      <c r="C2637" s="427">
        <f t="shared" si="82"/>
        <v>1999</v>
      </c>
      <c r="D2637" s="433">
        <f t="shared" si="83"/>
        <v>1570.94</v>
      </c>
    </row>
    <row r="2638" spans="1:4" ht="16.149999999999999" customHeight="1" x14ac:dyDescent="0.25">
      <c r="A2638" s="431">
        <v>36198</v>
      </c>
      <c r="B2638" s="434">
        <v>1570.94</v>
      </c>
      <c r="C2638" s="427">
        <f t="shared" si="82"/>
        <v>1999</v>
      </c>
      <c r="D2638" s="433">
        <f t="shared" si="83"/>
        <v>1570.94</v>
      </c>
    </row>
    <row r="2639" spans="1:4" ht="16.149999999999999" customHeight="1" x14ac:dyDescent="0.25">
      <c r="A2639" s="431">
        <v>36199</v>
      </c>
      <c r="B2639" s="432">
        <v>1570.94</v>
      </c>
      <c r="C2639" s="427">
        <f t="shared" si="82"/>
        <v>1999</v>
      </c>
      <c r="D2639" s="433">
        <f t="shared" si="83"/>
        <v>1570.94</v>
      </c>
    </row>
    <row r="2640" spans="1:4" ht="16.149999999999999" customHeight="1" x14ac:dyDescent="0.25">
      <c r="A2640" s="431">
        <v>36200</v>
      </c>
      <c r="B2640" s="434">
        <v>1562.14</v>
      </c>
      <c r="C2640" s="427">
        <f t="shared" si="82"/>
        <v>1999</v>
      </c>
      <c r="D2640" s="433">
        <f t="shared" si="83"/>
        <v>1562.14</v>
      </c>
    </row>
    <row r="2641" spans="1:4" ht="16.149999999999999" customHeight="1" x14ac:dyDescent="0.25">
      <c r="A2641" s="431">
        <v>36201</v>
      </c>
      <c r="B2641" s="432">
        <v>1563.39</v>
      </c>
      <c r="C2641" s="427">
        <f t="shared" si="82"/>
        <v>1999</v>
      </c>
      <c r="D2641" s="433">
        <f t="shared" si="83"/>
        <v>1563.39</v>
      </c>
    </row>
    <row r="2642" spans="1:4" ht="16.149999999999999" customHeight="1" x14ac:dyDescent="0.25">
      <c r="A2642" s="431">
        <v>36202</v>
      </c>
      <c r="B2642" s="434">
        <v>1570.81</v>
      </c>
      <c r="C2642" s="427">
        <f t="shared" si="82"/>
        <v>1999</v>
      </c>
      <c r="D2642" s="433">
        <f t="shared" si="83"/>
        <v>1570.81</v>
      </c>
    </row>
    <row r="2643" spans="1:4" ht="16.149999999999999" customHeight="1" x14ac:dyDescent="0.25">
      <c r="A2643" s="431">
        <v>36203</v>
      </c>
      <c r="B2643" s="432">
        <v>1564.04</v>
      </c>
      <c r="C2643" s="427">
        <f t="shared" si="82"/>
        <v>1999</v>
      </c>
      <c r="D2643" s="433">
        <f t="shared" si="83"/>
        <v>1564.04</v>
      </c>
    </row>
    <row r="2644" spans="1:4" ht="16.149999999999999" customHeight="1" x14ac:dyDescent="0.25">
      <c r="A2644" s="431">
        <v>36204</v>
      </c>
      <c r="B2644" s="434">
        <v>1565.57</v>
      </c>
      <c r="C2644" s="427">
        <f t="shared" si="82"/>
        <v>1999</v>
      </c>
      <c r="D2644" s="433">
        <f t="shared" si="83"/>
        <v>1565.57</v>
      </c>
    </row>
    <row r="2645" spans="1:4" ht="16.149999999999999" customHeight="1" x14ac:dyDescent="0.25">
      <c r="A2645" s="431">
        <v>36205</v>
      </c>
      <c r="B2645" s="432">
        <v>1565.57</v>
      </c>
      <c r="C2645" s="427">
        <f t="shared" si="82"/>
        <v>1999</v>
      </c>
      <c r="D2645" s="433">
        <f t="shared" si="83"/>
        <v>1565.57</v>
      </c>
    </row>
    <row r="2646" spans="1:4" ht="16.149999999999999" customHeight="1" x14ac:dyDescent="0.25">
      <c r="A2646" s="431">
        <v>36206</v>
      </c>
      <c r="B2646" s="434">
        <v>1565.57</v>
      </c>
      <c r="C2646" s="427">
        <f t="shared" si="82"/>
        <v>1999</v>
      </c>
      <c r="D2646" s="433">
        <f t="shared" si="83"/>
        <v>1565.57</v>
      </c>
    </row>
    <row r="2647" spans="1:4" ht="16.149999999999999" customHeight="1" x14ac:dyDescent="0.25">
      <c r="A2647" s="431">
        <v>36207</v>
      </c>
      <c r="B2647" s="432">
        <v>1557.79</v>
      </c>
      <c r="C2647" s="427">
        <f t="shared" si="82"/>
        <v>1999</v>
      </c>
      <c r="D2647" s="433">
        <f t="shared" si="83"/>
        <v>1557.79</v>
      </c>
    </row>
    <row r="2648" spans="1:4" ht="16.149999999999999" customHeight="1" x14ac:dyDescent="0.25">
      <c r="A2648" s="431">
        <v>36208</v>
      </c>
      <c r="B2648" s="434">
        <v>1561.53</v>
      </c>
      <c r="C2648" s="427">
        <f t="shared" si="82"/>
        <v>1999</v>
      </c>
      <c r="D2648" s="433">
        <f t="shared" si="83"/>
        <v>1561.53</v>
      </c>
    </row>
    <row r="2649" spans="1:4" ht="16.149999999999999" customHeight="1" x14ac:dyDescent="0.25">
      <c r="A2649" s="431">
        <v>36209</v>
      </c>
      <c r="B2649" s="432">
        <v>1569.4</v>
      </c>
      <c r="C2649" s="427">
        <f t="shared" si="82"/>
        <v>1999</v>
      </c>
      <c r="D2649" s="433">
        <f t="shared" si="83"/>
        <v>1569.4</v>
      </c>
    </row>
    <row r="2650" spans="1:4" ht="16.149999999999999" customHeight="1" x14ac:dyDescent="0.25">
      <c r="A2650" s="431">
        <v>36210</v>
      </c>
      <c r="B2650" s="434">
        <v>1567.17</v>
      </c>
      <c r="C2650" s="427">
        <f t="shared" si="82"/>
        <v>1999</v>
      </c>
      <c r="D2650" s="433">
        <f t="shared" si="83"/>
        <v>1567.17</v>
      </c>
    </row>
    <row r="2651" spans="1:4" ht="16.149999999999999" customHeight="1" x14ac:dyDescent="0.25">
      <c r="A2651" s="431">
        <v>36211</v>
      </c>
      <c r="B2651" s="432">
        <v>1560.46</v>
      </c>
      <c r="C2651" s="427">
        <f t="shared" si="82"/>
        <v>1999</v>
      </c>
      <c r="D2651" s="433">
        <f t="shared" si="83"/>
        <v>1560.46</v>
      </c>
    </row>
    <row r="2652" spans="1:4" ht="16.149999999999999" customHeight="1" x14ac:dyDescent="0.25">
      <c r="A2652" s="431">
        <v>36212</v>
      </c>
      <c r="B2652" s="434">
        <v>1560.46</v>
      </c>
      <c r="C2652" s="427">
        <f t="shared" si="82"/>
        <v>1999</v>
      </c>
      <c r="D2652" s="433">
        <f t="shared" si="83"/>
        <v>1560.46</v>
      </c>
    </row>
    <row r="2653" spans="1:4" ht="16.149999999999999" customHeight="1" x14ac:dyDescent="0.25">
      <c r="A2653" s="431">
        <v>36213</v>
      </c>
      <c r="B2653" s="432">
        <v>1560.46</v>
      </c>
      <c r="C2653" s="427">
        <f t="shared" si="82"/>
        <v>1999</v>
      </c>
      <c r="D2653" s="433">
        <f t="shared" si="83"/>
        <v>1560.46</v>
      </c>
    </row>
    <row r="2654" spans="1:4" ht="16.149999999999999" customHeight="1" x14ac:dyDescent="0.25">
      <c r="A2654" s="431">
        <v>36214</v>
      </c>
      <c r="B2654" s="434">
        <v>1556.65</v>
      </c>
      <c r="C2654" s="427">
        <f t="shared" si="82"/>
        <v>1999</v>
      </c>
      <c r="D2654" s="433">
        <f t="shared" si="83"/>
        <v>1556.65</v>
      </c>
    </row>
    <row r="2655" spans="1:4" ht="16.149999999999999" customHeight="1" x14ac:dyDescent="0.25">
      <c r="A2655" s="431">
        <v>36215</v>
      </c>
      <c r="B2655" s="432">
        <v>1550.88</v>
      </c>
      <c r="C2655" s="427">
        <f t="shared" si="82"/>
        <v>1999</v>
      </c>
      <c r="D2655" s="433">
        <f t="shared" si="83"/>
        <v>1550.88</v>
      </c>
    </row>
    <row r="2656" spans="1:4" ht="16.149999999999999" customHeight="1" x14ac:dyDescent="0.25">
      <c r="A2656" s="431">
        <v>36216</v>
      </c>
      <c r="B2656" s="434">
        <v>1557.97</v>
      </c>
      <c r="C2656" s="427">
        <f t="shared" si="82"/>
        <v>1999</v>
      </c>
      <c r="D2656" s="433">
        <f t="shared" si="83"/>
        <v>1557.97</v>
      </c>
    </row>
    <row r="2657" spans="1:4" ht="16.149999999999999" customHeight="1" x14ac:dyDescent="0.25">
      <c r="A2657" s="431">
        <v>36217</v>
      </c>
      <c r="B2657" s="432">
        <v>1572.46</v>
      </c>
      <c r="C2657" s="427">
        <f t="shared" si="82"/>
        <v>1999</v>
      </c>
      <c r="D2657" s="433">
        <f t="shared" si="83"/>
        <v>1572.46</v>
      </c>
    </row>
    <row r="2658" spans="1:4" ht="16.149999999999999" customHeight="1" x14ac:dyDescent="0.25">
      <c r="A2658" s="431">
        <v>36218</v>
      </c>
      <c r="B2658" s="434">
        <v>1568.3</v>
      </c>
      <c r="C2658" s="427">
        <f t="shared" si="82"/>
        <v>1999</v>
      </c>
      <c r="D2658" s="433">
        <f t="shared" si="83"/>
        <v>1568.3</v>
      </c>
    </row>
    <row r="2659" spans="1:4" ht="16.149999999999999" customHeight="1" x14ac:dyDescent="0.25">
      <c r="A2659" s="431">
        <v>36219</v>
      </c>
      <c r="B2659" s="432">
        <v>1568.3</v>
      </c>
      <c r="C2659" s="427">
        <f t="shared" si="82"/>
        <v>1999</v>
      </c>
      <c r="D2659" s="433">
        <f t="shared" si="83"/>
        <v>1568.3</v>
      </c>
    </row>
    <row r="2660" spans="1:4" ht="16.149999999999999" customHeight="1" x14ac:dyDescent="0.25">
      <c r="A2660" s="431">
        <v>36220</v>
      </c>
      <c r="B2660" s="434">
        <v>1568.3</v>
      </c>
      <c r="C2660" s="427">
        <f t="shared" si="82"/>
        <v>1999</v>
      </c>
      <c r="D2660" s="433">
        <f t="shared" si="83"/>
        <v>1568.3</v>
      </c>
    </row>
    <row r="2661" spans="1:4" ht="16.149999999999999" customHeight="1" x14ac:dyDescent="0.25">
      <c r="A2661" s="431">
        <v>36221</v>
      </c>
      <c r="B2661" s="432">
        <v>1560.4</v>
      </c>
      <c r="C2661" s="427">
        <f t="shared" si="82"/>
        <v>1999</v>
      </c>
      <c r="D2661" s="433">
        <f t="shared" si="83"/>
        <v>1560.4</v>
      </c>
    </row>
    <row r="2662" spans="1:4" ht="16.149999999999999" customHeight="1" x14ac:dyDescent="0.25">
      <c r="A2662" s="431">
        <v>36222</v>
      </c>
      <c r="B2662" s="434">
        <v>1557.94</v>
      </c>
      <c r="C2662" s="427">
        <f t="shared" si="82"/>
        <v>1999</v>
      </c>
      <c r="D2662" s="433">
        <f t="shared" si="83"/>
        <v>1557.94</v>
      </c>
    </row>
    <row r="2663" spans="1:4" ht="16.149999999999999" customHeight="1" x14ac:dyDescent="0.25">
      <c r="A2663" s="431">
        <v>36223</v>
      </c>
      <c r="B2663" s="432">
        <v>1558.66</v>
      </c>
      <c r="C2663" s="427">
        <f t="shared" si="82"/>
        <v>1999</v>
      </c>
      <c r="D2663" s="433">
        <f t="shared" si="83"/>
        <v>1558.66</v>
      </c>
    </row>
    <row r="2664" spans="1:4" ht="16.149999999999999" customHeight="1" x14ac:dyDescent="0.25">
      <c r="A2664" s="431">
        <v>36224</v>
      </c>
      <c r="B2664" s="434">
        <v>1555.84</v>
      </c>
      <c r="C2664" s="427">
        <f t="shared" si="82"/>
        <v>1999</v>
      </c>
      <c r="D2664" s="433">
        <f t="shared" si="83"/>
        <v>1555.84</v>
      </c>
    </row>
    <row r="2665" spans="1:4" ht="16.149999999999999" customHeight="1" x14ac:dyDescent="0.25">
      <c r="A2665" s="431">
        <v>36225</v>
      </c>
      <c r="B2665" s="432">
        <v>1552.37</v>
      </c>
      <c r="C2665" s="427">
        <f t="shared" si="82"/>
        <v>1999</v>
      </c>
      <c r="D2665" s="433">
        <f t="shared" si="83"/>
        <v>1552.37</v>
      </c>
    </row>
    <row r="2666" spans="1:4" ht="16.149999999999999" customHeight="1" x14ac:dyDescent="0.25">
      <c r="A2666" s="431">
        <v>36226</v>
      </c>
      <c r="B2666" s="434">
        <v>1552.37</v>
      </c>
      <c r="C2666" s="427">
        <f t="shared" si="82"/>
        <v>1999</v>
      </c>
      <c r="D2666" s="433">
        <f t="shared" si="83"/>
        <v>1552.37</v>
      </c>
    </row>
    <row r="2667" spans="1:4" ht="16.149999999999999" customHeight="1" x14ac:dyDescent="0.25">
      <c r="A2667" s="431">
        <v>36227</v>
      </c>
      <c r="B2667" s="432">
        <v>1552.37</v>
      </c>
      <c r="C2667" s="427">
        <f t="shared" si="82"/>
        <v>1999</v>
      </c>
      <c r="D2667" s="433">
        <f t="shared" si="83"/>
        <v>1552.37</v>
      </c>
    </row>
    <row r="2668" spans="1:4" ht="16.149999999999999" customHeight="1" x14ac:dyDescent="0.25">
      <c r="A2668" s="431">
        <v>36228</v>
      </c>
      <c r="B2668" s="434">
        <v>1552.44</v>
      </c>
      <c r="C2668" s="427">
        <f t="shared" si="82"/>
        <v>1999</v>
      </c>
      <c r="D2668" s="433">
        <f t="shared" si="83"/>
        <v>1552.44</v>
      </c>
    </row>
    <row r="2669" spans="1:4" ht="16.149999999999999" customHeight="1" x14ac:dyDescent="0.25">
      <c r="A2669" s="431">
        <v>36229</v>
      </c>
      <c r="B2669" s="432">
        <v>1550.33</v>
      </c>
      <c r="C2669" s="427">
        <f t="shared" si="82"/>
        <v>1999</v>
      </c>
      <c r="D2669" s="433">
        <f t="shared" si="83"/>
        <v>1550.33</v>
      </c>
    </row>
    <row r="2670" spans="1:4" ht="16.149999999999999" customHeight="1" x14ac:dyDescent="0.25">
      <c r="A2670" s="431">
        <v>36230</v>
      </c>
      <c r="B2670" s="434">
        <v>1545.09</v>
      </c>
      <c r="C2670" s="427">
        <f t="shared" si="82"/>
        <v>1999</v>
      </c>
      <c r="D2670" s="433">
        <f t="shared" si="83"/>
        <v>1545.09</v>
      </c>
    </row>
    <row r="2671" spans="1:4" ht="16.149999999999999" customHeight="1" x14ac:dyDescent="0.25">
      <c r="A2671" s="431">
        <v>36231</v>
      </c>
      <c r="B2671" s="432">
        <v>1552.28</v>
      </c>
      <c r="C2671" s="427">
        <f t="shared" si="82"/>
        <v>1999</v>
      </c>
      <c r="D2671" s="433">
        <f t="shared" si="83"/>
        <v>1552.28</v>
      </c>
    </row>
    <row r="2672" spans="1:4" ht="16.149999999999999" customHeight="1" x14ac:dyDescent="0.25">
      <c r="A2672" s="431">
        <v>36232</v>
      </c>
      <c r="B2672" s="434">
        <v>1562.91</v>
      </c>
      <c r="C2672" s="427">
        <f t="shared" si="82"/>
        <v>1999</v>
      </c>
      <c r="D2672" s="433">
        <f t="shared" si="83"/>
        <v>1562.91</v>
      </c>
    </row>
    <row r="2673" spans="1:4" ht="16.149999999999999" customHeight="1" x14ac:dyDescent="0.25">
      <c r="A2673" s="431">
        <v>36233</v>
      </c>
      <c r="B2673" s="432">
        <v>1562.91</v>
      </c>
      <c r="C2673" s="427">
        <f t="shared" si="82"/>
        <v>1999</v>
      </c>
      <c r="D2673" s="433">
        <f t="shared" si="83"/>
        <v>1562.91</v>
      </c>
    </row>
    <row r="2674" spans="1:4" ht="16.149999999999999" customHeight="1" x14ac:dyDescent="0.25">
      <c r="A2674" s="431">
        <v>36234</v>
      </c>
      <c r="B2674" s="434">
        <v>1562.91</v>
      </c>
      <c r="C2674" s="427">
        <f t="shared" si="82"/>
        <v>1999</v>
      </c>
      <c r="D2674" s="433">
        <f t="shared" si="83"/>
        <v>1562.91</v>
      </c>
    </row>
    <row r="2675" spans="1:4" ht="16.149999999999999" customHeight="1" x14ac:dyDescent="0.25">
      <c r="A2675" s="431">
        <v>36235</v>
      </c>
      <c r="B2675" s="432">
        <v>1563.97</v>
      </c>
      <c r="C2675" s="427">
        <f t="shared" si="82"/>
        <v>1999</v>
      </c>
      <c r="D2675" s="433">
        <f t="shared" si="83"/>
        <v>1563.97</v>
      </c>
    </row>
    <row r="2676" spans="1:4" ht="16.149999999999999" customHeight="1" x14ac:dyDescent="0.25">
      <c r="A2676" s="431">
        <v>36236</v>
      </c>
      <c r="B2676" s="434">
        <v>1561.74</v>
      </c>
      <c r="C2676" s="427">
        <f t="shared" si="82"/>
        <v>1999</v>
      </c>
      <c r="D2676" s="433">
        <f t="shared" si="83"/>
        <v>1561.74</v>
      </c>
    </row>
    <row r="2677" spans="1:4" ht="16.149999999999999" customHeight="1" x14ac:dyDescent="0.25">
      <c r="A2677" s="431">
        <v>36237</v>
      </c>
      <c r="B2677" s="432">
        <v>1554.85</v>
      </c>
      <c r="C2677" s="427">
        <f t="shared" si="82"/>
        <v>1999</v>
      </c>
      <c r="D2677" s="433">
        <f t="shared" si="83"/>
        <v>1554.85</v>
      </c>
    </row>
    <row r="2678" spans="1:4" ht="16.149999999999999" customHeight="1" x14ac:dyDescent="0.25">
      <c r="A2678" s="431">
        <v>36238</v>
      </c>
      <c r="B2678" s="434">
        <v>1550.03</v>
      </c>
      <c r="C2678" s="427">
        <f t="shared" si="82"/>
        <v>1999</v>
      </c>
      <c r="D2678" s="433">
        <f t="shared" si="83"/>
        <v>1550.03</v>
      </c>
    </row>
    <row r="2679" spans="1:4" ht="16.149999999999999" customHeight="1" x14ac:dyDescent="0.25">
      <c r="A2679" s="431">
        <v>36239</v>
      </c>
      <c r="B2679" s="432">
        <v>1546.77</v>
      </c>
      <c r="C2679" s="427">
        <f t="shared" si="82"/>
        <v>1999</v>
      </c>
      <c r="D2679" s="433">
        <f t="shared" si="83"/>
        <v>1546.77</v>
      </c>
    </row>
    <row r="2680" spans="1:4" ht="16.149999999999999" customHeight="1" x14ac:dyDescent="0.25">
      <c r="A2680" s="431">
        <v>36240</v>
      </c>
      <c r="B2680" s="434">
        <v>1546.77</v>
      </c>
      <c r="C2680" s="427">
        <f t="shared" si="82"/>
        <v>1999</v>
      </c>
      <c r="D2680" s="433">
        <f t="shared" si="83"/>
        <v>1546.77</v>
      </c>
    </row>
    <row r="2681" spans="1:4" ht="16.149999999999999" customHeight="1" x14ac:dyDescent="0.25">
      <c r="A2681" s="431">
        <v>36241</v>
      </c>
      <c r="B2681" s="432">
        <v>1546.77</v>
      </c>
      <c r="C2681" s="427">
        <f t="shared" si="82"/>
        <v>1999</v>
      </c>
      <c r="D2681" s="433">
        <f t="shared" si="83"/>
        <v>1546.77</v>
      </c>
    </row>
    <row r="2682" spans="1:4" ht="16.149999999999999" customHeight="1" x14ac:dyDescent="0.25">
      <c r="A2682" s="431">
        <v>36242</v>
      </c>
      <c r="B2682" s="434">
        <v>1546.77</v>
      </c>
      <c r="C2682" s="427">
        <f t="shared" si="82"/>
        <v>1999</v>
      </c>
      <c r="D2682" s="433">
        <f t="shared" si="83"/>
        <v>1546.77</v>
      </c>
    </row>
    <row r="2683" spans="1:4" ht="16.149999999999999" customHeight="1" x14ac:dyDescent="0.25">
      <c r="A2683" s="431">
        <v>36243</v>
      </c>
      <c r="B2683" s="432">
        <v>1544.6</v>
      </c>
      <c r="C2683" s="427">
        <f t="shared" si="82"/>
        <v>1999</v>
      </c>
      <c r="D2683" s="433">
        <f t="shared" si="83"/>
        <v>1544.6</v>
      </c>
    </row>
    <row r="2684" spans="1:4" ht="16.149999999999999" customHeight="1" x14ac:dyDescent="0.25">
      <c r="A2684" s="431">
        <v>36244</v>
      </c>
      <c r="B2684" s="434">
        <v>1541.74</v>
      </c>
      <c r="C2684" s="427">
        <f t="shared" si="82"/>
        <v>1999</v>
      </c>
      <c r="D2684" s="433">
        <f t="shared" si="83"/>
        <v>1541.74</v>
      </c>
    </row>
    <row r="2685" spans="1:4" ht="16.149999999999999" customHeight="1" x14ac:dyDescent="0.25">
      <c r="A2685" s="431">
        <v>36245</v>
      </c>
      <c r="B2685" s="432">
        <v>1534.28</v>
      </c>
      <c r="C2685" s="427">
        <f t="shared" si="82"/>
        <v>1999</v>
      </c>
      <c r="D2685" s="433">
        <f t="shared" si="83"/>
        <v>1534.28</v>
      </c>
    </row>
    <row r="2686" spans="1:4" ht="16.149999999999999" customHeight="1" x14ac:dyDescent="0.25">
      <c r="A2686" s="431">
        <v>36246</v>
      </c>
      <c r="B2686" s="434">
        <v>1525.59</v>
      </c>
      <c r="C2686" s="427">
        <f t="shared" si="82"/>
        <v>1999</v>
      </c>
      <c r="D2686" s="433">
        <f t="shared" si="83"/>
        <v>1525.59</v>
      </c>
    </row>
    <row r="2687" spans="1:4" ht="16.149999999999999" customHeight="1" x14ac:dyDescent="0.25">
      <c r="A2687" s="431">
        <v>36247</v>
      </c>
      <c r="B2687" s="432">
        <v>1525.59</v>
      </c>
      <c r="C2687" s="427">
        <f t="shared" si="82"/>
        <v>1999</v>
      </c>
      <c r="D2687" s="433">
        <f t="shared" si="83"/>
        <v>1525.59</v>
      </c>
    </row>
    <row r="2688" spans="1:4" ht="16.149999999999999" customHeight="1" x14ac:dyDescent="0.25">
      <c r="A2688" s="431">
        <v>36248</v>
      </c>
      <c r="B2688" s="434">
        <v>1525.59</v>
      </c>
      <c r="C2688" s="427">
        <f t="shared" si="82"/>
        <v>1999</v>
      </c>
      <c r="D2688" s="433">
        <f t="shared" si="83"/>
        <v>1525.59</v>
      </c>
    </row>
    <row r="2689" spans="1:4" ht="16.149999999999999" customHeight="1" x14ac:dyDescent="0.25">
      <c r="A2689" s="431">
        <v>36249</v>
      </c>
      <c r="B2689" s="432">
        <v>1529.59</v>
      </c>
      <c r="C2689" s="427">
        <f t="shared" si="82"/>
        <v>1999</v>
      </c>
      <c r="D2689" s="433">
        <f t="shared" si="83"/>
        <v>1529.59</v>
      </c>
    </row>
    <row r="2690" spans="1:4" ht="16.149999999999999" customHeight="1" x14ac:dyDescent="0.25">
      <c r="A2690" s="431">
        <v>36250</v>
      </c>
      <c r="B2690" s="434">
        <v>1533.51</v>
      </c>
      <c r="C2690" s="427">
        <f t="shared" si="82"/>
        <v>1999</v>
      </c>
      <c r="D2690" s="433">
        <f t="shared" si="83"/>
        <v>1533.51</v>
      </c>
    </row>
    <row r="2691" spans="1:4" ht="16.149999999999999" customHeight="1" x14ac:dyDescent="0.25">
      <c r="A2691" s="431">
        <v>36251</v>
      </c>
      <c r="B2691" s="432">
        <v>1533.32</v>
      </c>
      <c r="C2691" s="427">
        <f t="shared" si="82"/>
        <v>1999</v>
      </c>
      <c r="D2691" s="433">
        <f t="shared" si="83"/>
        <v>1533.32</v>
      </c>
    </row>
    <row r="2692" spans="1:4" ht="16.149999999999999" customHeight="1" x14ac:dyDescent="0.25">
      <c r="A2692" s="431">
        <v>36252</v>
      </c>
      <c r="B2692" s="434">
        <v>1533.32</v>
      </c>
      <c r="C2692" s="427">
        <f t="shared" si="82"/>
        <v>1999</v>
      </c>
      <c r="D2692" s="433">
        <f t="shared" si="83"/>
        <v>1533.32</v>
      </c>
    </row>
    <row r="2693" spans="1:4" ht="16.149999999999999" customHeight="1" x14ac:dyDescent="0.25">
      <c r="A2693" s="431">
        <v>36253</v>
      </c>
      <c r="B2693" s="432">
        <v>1533.32</v>
      </c>
      <c r="C2693" s="427">
        <f t="shared" si="82"/>
        <v>1999</v>
      </c>
      <c r="D2693" s="433">
        <f t="shared" si="83"/>
        <v>1533.32</v>
      </c>
    </row>
    <row r="2694" spans="1:4" ht="16.149999999999999" customHeight="1" x14ac:dyDescent="0.25">
      <c r="A2694" s="431">
        <v>36254</v>
      </c>
      <c r="B2694" s="434">
        <v>1533.32</v>
      </c>
      <c r="C2694" s="427">
        <f t="shared" si="82"/>
        <v>1999</v>
      </c>
      <c r="D2694" s="433">
        <f t="shared" si="83"/>
        <v>1533.32</v>
      </c>
    </row>
    <row r="2695" spans="1:4" ht="16.149999999999999" customHeight="1" x14ac:dyDescent="0.25">
      <c r="A2695" s="431">
        <v>36255</v>
      </c>
      <c r="B2695" s="432">
        <v>1533.32</v>
      </c>
      <c r="C2695" s="427">
        <f t="shared" si="82"/>
        <v>1999</v>
      </c>
      <c r="D2695" s="433">
        <f t="shared" si="83"/>
        <v>1533.32</v>
      </c>
    </row>
    <row r="2696" spans="1:4" ht="16.149999999999999" customHeight="1" x14ac:dyDescent="0.25">
      <c r="A2696" s="431">
        <v>36256</v>
      </c>
      <c r="B2696" s="434">
        <v>1532.48</v>
      </c>
      <c r="C2696" s="427">
        <f t="shared" si="82"/>
        <v>1999</v>
      </c>
      <c r="D2696" s="433">
        <f t="shared" si="83"/>
        <v>1532.48</v>
      </c>
    </row>
    <row r="2697" spans="1:4" ht="16.149999999999999" customHeight="1" x14ac:dyDescent="0.25">
      <c r="A2697" s="431">
        <v>36257</v>
      </c>
      <c r="B2697" s="432">
        <v>1534.13</v>
      </c>
      <c r="C2697" s="427">
        <f t="shared" si="82"/>
        <v>1999</v>
      </c>
      <c r="D2697" s="433">
        <f t="shared" si="83"/>
        <v>1534.13</v>
      </c>
    </row>
    <row r="2698" spans="1:4" ht="16.149999999999999" customHeight="1" x14ac:dyDescent="0.25">
      <c r="A2698" s="431">
        <v>36258</v>
      </c>
      <c r="B2698" s="434">
        <v>1548.14</v>
      </c>
      <c r="C2698" s="427">
        <f t="shared" ref="C2698:C2761" si="84">YEAR(A2698)</f>
        <v>1999</v>
      </c>
      <c r="D2698" s="433">
        <f t="shared" ref="D2698:D2761" si="85">B2698</f>
        <v>1548.14</v>
      </c>
    </row>
    <row r="2699" spans="1:4" ht="16.149999999999999" customHeight="1" x14ac:dyDescent="0.25">
      <c r="A2699" s="431">
        <v>36259</v>
      </c>
      <c r="B2699" s="432">
        <v>1574.77</v>
      </c>
      <c r="C2699" s="427">
        <f t="shared" si="84"/>
        <v>1999</v>
      </c>
      <c r="D2699" s="433">
        <f t="shared" si="85"/>
        <v>1574.77</v>
      </c>
    </row>
    <row r="2700" spans="1:4" ht="16.149999999999999" customHeight="1" x14ac:dyDescent="0.25">
      <c r="A2700" s="431">
        <v>36260</v>
      </c>
      <c r="B2700" s="434">
        <v>1588.17</v>
      </c>
      <c r="C2700" s="427">
        <f t="shared" si="84"/>
        <v>1999</v>
      </c>
      <c r="D2700" s="433">
        <f t="shared" si="85"/>
        <v>1588.17</v>
      </c>
    </row>
    <row r="2701" spans="1:4" ht="16.149999999999999" customHeight="1" x14ac:dyDescent="0.25">
      <c r="A2701" s="431">
        <v>36261</v>
      </c>
      <c r="B2701" s="432">
        <v>1588.17</v>
      </c>
      <c r="C2701" s="427">
        <f t="shared" si="84"/>
        <v>1999</v>
      </c>
      <c r="D2701" s="433">
        <f t="shared" si="85"/>
        <v>1588.17</v>
      </c>
    </row>
    <row r="2702" spans="1:4" ht="16.149999999999999" customHeight="1" x14ac:dyDescent="0.25">
      <c r="A2702" s="431">
        <v>36262</v>
      </c>
      <c r="B2702" s="434">
        <v>1588.17</v>
      </c>
      <c r="C2702" s="427">
        <f t="shared" si="84"/>
        <v>1999</v>
      </c>
      <c r="D2702" s="433">
        <f t="shared" si="85"/>
        <v>1588.17</v>
      </c>
    </row>
    <row r="2703" spans="1:4" ht="16.149999999999999" customHeight="1" x14ac:dyDescent="0.25">
      <c r="A2703" s="431">
        <v>36263</v>
      </c>
      <c r="B2703" s="432">
        <v>1588.19</v>
      </c>
      <c r="C2703" s="427">
        <f t="shared" si="84"/>
        <v>1999</v>
      </c>
      <c r="D2703" s="433">
        <f t="shared" si="85"/>
        <v>1588.19</v>
      </c>
    </row>
    <row r="2704" spans="1:4" ht="16.149999999999999" customHeight="1" x14ac:dyDescent="0.25">
      <c r="A2704" s="431">
        <v>36264</v>
      </c>
      <c r="B2704" s="434">
        <v>1603.95</v>
      </c>
      <c r="C2704" s="427">
        <f t="shared" si="84"/>
        <v>1999</v>
      </c>
      <c r="D2704" s="433">
        <f t="shared" si="85"/>
        <v>1603.95</v>
      </c>
    </row>
    <row r="2705" spans="1:4" ht="16.149999999999999" customHeight="1" x14ac:dyDescent="0.25">
      <c r="A2705" s="431">
        <v>36265</v>
      </c>
      <c r="B2705" s="432">
        <v>1593.17</v>
      </c>
      <c r="C2705" s="427">
        <f t="shared" si="84"/>
        <v>1999</v>
      </c>
      <c r="D2705" s="433">
        <f t="shared" si="85"/>
        <v>1593.17</v>
      </c>
    </row>
    <row r="2706" spans="1:4" ht="16.149999999999999" customHeight="1" x14ac:dyDescent="0.25">
      <c r="A2706" s="431">
        <v>36266</v>
      </c>
      <c r="B2706" s="434">
        <v>1586.04</v>
      </c>
      <c r="C2706" s="427">
        <f t="shared" si="84"/>
        <v>1999</v>
      </c>
      <c r="D2706" s="433">
        <f t="shared" si="85"/>
        <v>1586.04</v>
      </c>
    </row>
    <row r="2707" spans="1:4" ht="16.149999999999999" customHeight="1" x14ac:dyDescent="0.25">
      <c r="A2707" s="431">
        <v>36267</v>
      </c>
      <c r="B2707" s="432">
        <v>1578.93</v>
      </c>
      <c r="C2707" s="427">
        <f t="shared" si="84"/>
        <v>1999</v>
      </c>
      <c r="D2707" s="433">
        <f t="shared" si="85"/>
        <v>1578.93</v>
      </c>
    </row>
    <row r="2708" spans="1:4" ht="16.149999999999999" customHeight="1" x14ac:dyDescent="0.25">
      <c r="A2708" s="431">
        <v>36268</v>
      </c>
      <c r="B2708" s="434">
        <v>1578.93</v>
      </c>
      <c r="C2708" s="427">
        <f t="shared" si="84"/>
        <v>1999</v>
      </c>
      <c r="D2708" s="433">
        <f t="shared" si="85"/>
        <v>1578.93</v>
      </c>
    </row>
    <row r="2709" spans="1:4" ht="16.149999999999999" customHeight="1" x14ac:dyDescent="0.25">
      <c r="A2709" s="431">
        <v>36269</v>
      </c>
      <c r="B2709" s="432">
        <v>1578.93</v>
      </c>
      <c r="C2709" s="427">
        <f t="shared" si="84"/>
        <v>1999</v>
      </c>
      <c r="D2709" s="433">
        <f t="shared" si="85"/>
        <v>1578.93</v>
      </c>
    </row>
    <row r="2710" spans="1:4" ht="16.149999999999999" customHeight="1" x14ac:dyDescent="0.25">
      <c r="A2710" s="431">
        <v>36270</v>
      </c>
      <c r="B2710" s="434">
        <v>1570.53</v>
      </c>
      <c r="C2710" s="427">
        <f t="shared" si="84"/>
        <v>1999</v>
      </c>
      <c r="D2710" s="433">
        <f t="shared" si="85"/>
        <v>1570.53</v>
      </c>
    </row>
    <row r="2711" spans="1:4" ht="16.149999999999999" customHeight="1" x14ac:dyDescent="0.25">
      <c r="A2711" s="431">
        <v>36271</v>
      </c>
      <c r="B2711" s="432">
        <v>1563.94</v>
      </c>
      <c r="C2711" s="427">
        <f t="shared" si="84"/>
        <v>1999</v>
      </c>
      <c r="D2711" s="433">
        <f t="shared" si="85"/>
        <v>1563.94</v>
      </c>
    </row>
    <row r="2712" spans="1:4" ht="16.149999999999999" customHeight="1" x14ac:dyDescent="0.25">
      <c r="A2712" s="431">
        <v>36272</v>
      </c>
      <c r="B2712" s="434">
        <v>1570.34</v>
      </c>
      <c r="C2712" s="427">
        <f t="shared" si="84"/>
        <v>1999</v>
      </c>
      <c r="D2712" s="433">
        <f t="shared" si="85"/>
        <v>1570.34</v>
      </c>
    </row>
    <row r="2713" spans="1:4" ht="16.149999999999999" customHeight="1" x14ac:dyDescent="0.25">
      <c r="A2713" s="431">
        <v>36273</v>
      </c>
      <c r="B2713" s="432">
        <v>1573.86</v>
      </c>
      <c r="C2713" s="427">
        <f t="shared" si="84"/>
        <v>1999</v>
      </c>
      <c r="D2713" s="433">
        <f t="shared" si="85"/>
        <v>1573.86</v>
      </c>
    </row>
    <row r="2714" spans="1:4" ht="16.149999999999999" customHeight="1" x14ac:dyDescent="0.25">
      <c r="A2714" s="431">
        <v>36274</v>
      </c>
      <c r="B2714" s="434">
        <v>1578.98</v>
      </c>
      <c r="C2714" s="427">
        <f t="shared" si="84"/>
        <v>1999</v>
      </c>
      <c r="D2714" s="433">
        <f t="shared" si="85"/>
        <v>1578.98</v>
      </c>
    </row>
    <row r="2715" spans="1:4" ht="16.149999999999999" customHeight="1" x14ac:dyDescent="0.25">
      <c r="A2715" s="431">
        <v>36275</v>
      </c>
      <c r="B2715" s="432">
        <v>1578.98</v>
      </c>
      <c r="C2715" s="427">
        <f t="shared" si="84"/>
        <v>1999</v>
      </c>
      <c r="D2715" s="433">
        <f t="shared" si="85"/>
        <v>1578.98</v>
      </c>
    </row>
    <row r="2716" spans="1:4" ht="16.149999999999999" customHeight="1" x14ac:dyDescent="0.25">
      <c r="A2716" s="431">
        <v>36276</v>
      </c>
      <c r="B2716" s="434">
        <v>1578.98</v>
      </c>
      <c r="C2716" s="427">
        <f t="shared" si="84"/>
        <v>1999</v>
      </c>
      <c r="D2716" s="433">
        <f t="shared" si="85"/>
        <v>1578.98</v>
      </c>
    </row>
    <row r="2717" spans="1:4" ht="16.149999999999999" customHeight="1" x14ac:dyDescent="0.25">
      <c r="A2717" s="431">
        <v>36277</v>
      </c>
      <c r="B2717" s="432">
        <v>1580.78</v>
      </c>
      <c r="C2717" s="427">
        <f t="shared" si="84"/>
        <v>1999</v>
      </c>
      <c r="D2717" s="433">
        <f t="shared" si="85"/>
        <v>1580.78</v>
      </c>
    </row>
    <row r="2718" spans="1:4" ht="16.149999999999999" customHeight="1" x14ac:dyDescent="0.25">
      <c r="A2718" s="431">
        <v>36278</v>
      </c>
      <c r="B2718" s="434">
        <v>1590.53</v>
      </c>
      <c r="C2718" s="427">
        <f t="shared" si="84"/>
        <v>1999</v>
      </c>
      <c r="D2718" s="433">
        <f t="shared" si="85"/>
        <v>1590.53</v>
      </c>
    </row>
    <row r="2719" spans="1:4" ht="16.149999999999999" customHeight="1" x14ac:dyDescent="0.25">
      <c r="A2719" s="431">
        <v>36279</v>
      </c>
      <c r="B2719" s="432">
        <v>1598.69</v>
      </c>
      <c r="C2719" s="427">
        <f t="shared" si="84"/>
        <v>1999</v>
      </c>
      <c r="D2719" s="433">
        <f t="shared" si="85"/>
        <v>1598.69</v>
      </c>
    </row>
    <row r="2720" spans="1:4" ht="16.149999999999999" customHeight="1" x14ac:dyDescent="0.25">
      <c r="A2720" s="431">
        <v>36280</v>
      </c>
      <c r="B2720" s="434">
        <v>1604.44</v>
      </c>
      <c r="C2720" s="427">
        <f t="shared" si="84"/>
        <v>1999</v>
      </c>
      <c r="D2720" s="433">
        <f t="shared" si="85"/>
        <v>1604.44</v>
      </c>
    </row>
    <row r="2721" spans="1:4" ht="16.149999999999999" customHeight="1" x14ac:dyDescent="0.25">
      <c r="A2721" s="431">
        <v>36281</v>
      </c>
      <c r="B2721" s="432">
        <v>1611.48</v>
      </c>
      <c r="C2721" s="427">
        <f t="shared" si="84"/>
        <v>1999</v>
      </c>
      <c r="D2721" s="433">
        <f t="shared" si="85"/>
        <v>1611.48</v>
      </c>
    </row>
    <row r="2722" spans="1:4" ht="16.149999999999999" customHeight="1" x14ac:dyDescent="0.25">
      <c r="A2722" s="431">
        <v>36282</v>
      </c>
      <c r="B2722" s="434">
        <v>1611.48</v>
      </c>
      <c r="C2722" s="427">
        <f t="shared" si="84"/>
        <v>1999</v>
      </c>
      <c r="D2722" s="433">
        <f t="shared" si="85"/>
        <v>1611.48</v>
      </c>
    </row>
    <row r="2723" spans="1:4" ht="16.149999999999999" customHeight="1" x14ac:dyDescent="0.25">
      <c r="A2723" s="431">
        <v>36283</v>
      </c>
      <c r="B2723" s="432">
        <v>1611.48</v>
      </c>
      <c r="C2723" s="427">
        <f t="shared" si="84"/>
        <v>1999</v>
      </c>
      <c r="D2723" s="433">
        <f t="shared" si="85"/>
        <v>1611.48</v>
      </c>
    </row>
    <row r="2724" spans="1:4" ht="16.149999999999999" customHeight="1" x14ac:dyDescent="0.25">
      <c r="A2724" s="431">
        <v>36284</v>
      </c>
      <c r="B2724" s="434">
        <v>1613.61</v>
      </c>
      <c r="C2724" s="427">
        <f t="shared" si="84"/>
        <v>1999</v>
      </c>
      <c r="D2724" s="433">
        <f t="shared" si="85"/>
        <v>1613.61</v>
      </c>
    </row>
    <row r="2725" spans="1:4" ht="16.149999999999999" customHeight="1" x14ac:dyDescent="0.25">
      <c r="A2725" s="431">
        <v>36285</v>
      </c>
      <c r="B2725" s="432">
        <v>1603.97</v>
      </c>
      <c r="C2725" s="427">
        <f t="shared" si="84"/>
        <v>1999</v>
      </c>
      <c r="D2725" s="433">
        <f t="shared" si="85"/>
        <v>1603.97</v>
      </c>
    </row>
    <row r="2726" spans="1:4" ht="16.149999999999999" customHeight="1" x14ac:dyDescent="0.25">
      <c r="A2726" s="431">
        <v>36286</v>
      </c>
      <c r="B2726" s="434">
        <v>1610.66</v>
      </c>
      <c r="C2726" s="427">
        <f t="shared" si="84"/>
        <v>1999</v>
      </c>
      <c r="D2726" s="433">
        <f t="shared" si="85"/>
        <v>1610.66</v>
      </c>
    </row>
    <row r="2727" spans="1:4" ht="16.149999999999999" customHeight="1" x14ac:dyDescent="0.25">
      <c r="A2727" s="431">
        <v>36287</v>
      </c>
      <c r="B2727" s="432">
        <v>1618</v>
      </c>
      <c r="C2727" s="427">
        <f t="shared" si="84"/>
        <v>1999</v>
      </c>
      <c r="D2727" s="433">
        <f t="shared" si="85"/>
        <v>1618</v>
      </c>
    </row>
    <row r="2728" spans="1:4" ht="16.149999999999999" customHeight="1" x14ac:dyDescent="0.25">
      <c r="A2728" s="431">
        <v>36288</v>
      </c>
      <c r="B2728" s="434">
        <v>1631.71</v>
      </c>
      <c r="C2728" s="427">
        <f t="shared" si="84"/>
        <v>1999</v>
      </c>
      <c r="D2728" s="433">
        <f t="shared" si="85"/>
        <v>1631.71</v>
      </c>
    </row>
    <row r="2729" spans="1:4" ht="16.149999999999999" customHeight="1" x14ac:dyDescent="0.25">
      <c r="A2729" s="431">
        <v>36289</v>
      </c>
      <c r="B2729" s="432">
        <v>1631.71</v>
      </c>
      <c r="C2729" s="427">
        <f t="shared" si="84"/>
        <v>1999</v>
      </c>
      <c r="D2729" s="433">
        <f t="shared" si="85"/>
        <v>1631.71</v>
      </c>
    </row>
    <row r="2730" spans="1:4" ht="16.149999999999999" customHeight="1" x14ac:dyDescent="0.25">
      <c r="A2730" s="431">
        <v>36290</v>
      </c>
      <c r="B2730" s="434">
        <v>1631.71</v>
      </c>
      <c r="C2730" s="427">
        <f t="shared" si="84"/>
        <v>1999</v>
      </c>
      <c r="D2730" s="433">
        <f t="shared" si="85"/>
        <v>1631.71</v>
      </c>
    </row>
    <row r="2731" spans="1:4" ht="16.149999999999999" customHeight="1" x14ac:dyDescent="0.25">
      <c r="A2731" s="431">
        <v>36291</v>
      </c>
      <c r="B2731" s="432">
        <v>1627.3</v>
      </c>
      <c r="C2731" s="427">
        <f t="shared" si="84"/>
        <v>1999</v>
      </c>
      <c r="D2731" s="433">
        <f t="shared" si="85"/>
        <v>1627.3</v>
      </c>
    </row>
    <row r="2732" spans="1:4" ht="16.149999999999999" customHeight="1" x14ac:dyDescent="0.25">
      <c r="A2732" s="431">
        <v>36292</v>
      </c>
      <c r="B2732" s="434">
        <v>1631.02</v>
      </c>
      <c r="C2732" s="427">
        <f t="shared" si="84"/>
        <v>1999</v>
      </c>
      <c r="D2732" s="433">
        <f t="shared" si="85"/>
        <v>1631.02</v>
      </c>
    </row>
    <row r="2733" spans="1:4" ht="16.149999999999999" customHeight="1" x14ac:dyDescent="0.25">
      <c r="A2733" s="431">
        <v>36293</v>
      </c>
      <c r="B2733" s="432">
        <v>1631.95</v>
      </c>
      <c r="C2733" s="427">
        <f t="shared" si="84"/>
        <v>1999</v>
      </c>
      <c r="D2733" s="433">
        <f t="shared" si="85"/>
        <v>1631.95</v>
      </c>
    </row>
    <row r="2734" spans="1:4" ht="16.149999999999999" customHeight="1" x14ac:dyDescent="0.25">
      <c r="A2734" s="431">
        <v>36294</v>
      </c>
      <c r="B2734" s="434">
        <v>1630.08</v>
      </c>
      <c r="C2734" s="427">
        <f t="shared" si="84"/>
        <v>1999</v>
      </c>
      <c r="D2734" s="433">
        <f t="shared" si="85"/>
        <v>1630.08</v>
      </c>
    </row>
    <row r="2735" spans="1:4" ht="16.149999999999999" customHeight="1" x14ac:dyDescent="0.25">
      <c r="A2735" s="431">
        <v>36295</v>
      </c>
      <c r="B2735" s="432">
        <v>1640.15</v>
      </c>
      <c r="C2735" s="427">
        <f t="shared" si="84"/>
        <v>1999</v>
      </c>
      <c r="D2735" s="433">
        <f t="shared" si="85"/>
        <v>1640.15</v>
      </c>
    </row>
    <row r="2736" spans="1:4" ht="16.149999999999999" customHeight="1" x14ac:dyDescent="0.25">
      <c r="A2736" s="431">
        <v>36296</v>
      </c>
      <c r="B2736" s="434">
        <v>1640.15</v>
      </c>
      <c r="C2736" s="427">
        <f t="shared" si="84"/>
        <v>1999</v>
      </c>
      <c r="D2736" s="433">
        <f t="shared" si="85"/>
        <v>1640.15</v>
      </c>
    </row>
    <row r="2737" spans="1:4" ht="16.149999999999999" customHeight="1" x14ac:dyDescent="0.25">
      <c r="A2737" s="431">
        <v>36297</v>
      </c>
      <c r="B2737" s="432">
        <v>1640.15</v>
      </c>
      <c r="C2737" s="427">
        <f t="shared" si="84"/>
        <v>1999</v>
      </c>
      <c r="D2737" s="433">
        <f t="shared" si="85"/>
        <v>1640.15</v>
      </c>
    </row>
    <row r="2738" spans="1:4" ht="16.149999999999999" customHeight="1" x14ac:dyDescent="0.25">
      <c r="A2738" s="431">
        <v>36298</v>
      </c>
      <c r="B2738" s="434">
        <v>1640.15</v>
      </c>
      <c r="C2738" s="427">
        <f t="shared" si="84"/>
        <v>1999</v>
      </c>
      <c r="D2738" s="433">
        <f t="shared" si="85"/>
        <v>1640.15</v>
      </c>
    </row>
    <row r="2739" spans="1:4" ht="16.149999999999999" customHeight="1" x14ac:dyDescent="0.25">
      <c r="A2739" s="431">
        <v>36299</v>
      </c>
      <c r="B2739" s="432">
        <v>1644.11</v>
      </c>
      <c r="C2739" s="427">
        <f t="shared" si="84"/>
        <v>1999</v>
      </c>
      <c r="D2739" s="433">
        <f t="shared" si="85"/>
        <v>1644.11</v>
      </c>
    </row>
    <row r="2740" spans="1:4" ht="16.149999999999999" customHeight="1" x14ac:dyDescent="0.25">
      <c r="A2740" s="431">
        <v>36300</v>
      </c>
      <c r="B2740" s="434">
        <v>1643.05</v>
      </c>
      <c r="C2740" s="427">
        <f t="shared" si="84"/>
        <v>1999</v>
      </c>
      <c r="D2740" s="433">
        <f t="shared" si="85"/>
        <v>1643.05</v>
      </c>
    </row>
    <row r="2741" spans="1:4" ht="16.149999999999999" customHeight="1" x14ac:dyDescent="0.25">
      <c r="A2741" s="431">
        <v>36301</v>
      </c>
      <c r="B2741" s="432">
        <v>1644.6</v>
      </c>
      <c r="C2741" s="427">
        <f t="shared" si="84"/>
        <v>1999</v>
      </c>
      <c r="D2741" s="433">
        <f t="shared" si="85"/>
        <v>1644.6</v>
      </c>
    </row>
    <row r="2742" spans="1:4" ht="16.149999999999999" customHeight="1" x14ac:dyDescent="0.25">
      <c r="A2742" s="431">
        <v>36302</v>
      </c>
      <c r="B2742" s="434">
        <v>1665.36</v>
      </c>
      <c r="C2742" s="427">
        <f t="shared" si="84"/>
        <v>1999</v>
      </c>
      <c r="D2742" s="433">
        <f t="shared" si="85"/>
        <v>1665.36</v>
      </c>
    </row>
    <row r="2743" spans="1:4" ht="16.149999999999999" customHeight="1" x14ac:dyDescent="0.25">
      <c r="A2743" s="431">
        <v>36303</v>
      </c>
      <c r="B2743" s="432">
        <v>1665.36</v>
      </c>
      <c r="C2743" s="427">
        <f t="shared" si="84"/>
        <v>1999</v>
      </c>
      <c r="D2743" s="433">
        <f t="shared" si="85"/>
        <v>1665.36</v>
      </c>
    </row>
    <row r="2744" spans="1:4" ht="16.149999999999999" customHeight="1" x14ac:dyDescent="0.25">
      <c r="A2744" s="431">
        <v>36304</v>
      </c>
      <c r="B2744" s="434">
        <v>1665.36</v>
      </c>
      <c r="C2744" s="427">
        <f t="shared" si="84"/>
        <v>1999</v>
      </c>
      <c r="D2744" s="433">
        <f t="shared" si="85"/>
        <v>1665.36</v>
      </c>
    </row>
    <row r="2745" spans="1:4" ht="16.149999999999999" customHeight="1" x14ac:dyDescent="0.25">
      <c r="A2745" s="431">
        <v>36305</v>
      </c>
      <c r="B2745" s="432">
        <v>1671.2</v>
      </c>
      <c r="C2745" s="427">
        <f t="shared" si="84"/>
        <v>1999</v>
      </c>
      <c r="D2745" s="433">
        <f t="shared" si="85"/>
        <v>1671.2</v>
      </c>
    </row>
    <row r="2746" spans="1:4" ht="16.149999999999999" customHeight="1" x14ac:dyDescent="0.25">
      <c r="A2746" s="431">
        <v>36306</v>
      </c>
      <c r="B2746" s="434">
        <v>1669.27</v>
      </c>
      <c r="C2746" s="427">
        <f t="shared" si="84"/>
        <v>1999</v>
      </c>
      <c r="D2746" s="433">
        <f t="shared" si="85"/>
        <v>1669.27</v>
      </c>
    </row>
    <row r="2747" spans="1:4" ht="16.149999999999999" customHeight="1" x14ac:dyDescent="0.25">
      <c r="A2747" s="431">
        <v>36307</v>
      </c>
      <c r="B2747" s="432">
        <v>1682.12</v>
      </c>
      <c r="C2747" s="427">
        <f t="shared" si="84"/>
        <v>1999</v>
      </c>
      <c r="D2747" s="433">
        <f t="shared" si="85"/>
        <v>1682.12</v>
      </c>
    </row>
    <row r="2748" spans="1:4" ht="16.149999999999999" customHeight="1" x14ac:dyDescent="0.25">
      <c r="A2748" s="431">
        <v>36308</v>
      </c>
      <c r="B2748" s="434">
        <v>1685.33</v>
      </c>
      <c r="C2748" s="427">
        <f t="shared" si="84"/>
        <v>1999</v>
      </c>
      <c r="D2748" s="433">
        <f t="shared" si="85"/>
        <v>1685.33</v>
      </c>
    </row>
    <row r="2749" spans="1:4" ht="16.149999999999999" customHeight="1" x14ac:dyDescent="0.25">
      <c r="A2749" s="431">
        <v>36309</v>
      </c>
      <c r="B2749" s="432">
        <v>1671.67</v>
      </c>
      <c r="C2749" s="427">
        <f t="shared" si="84"/>
        <v>1999</v>
      </c>
      <c r="D2749" s="433">
        <f t="shared" si="85"/>
        <v>1671.67</v>
      </c>
    </row>
    <row r="2750" spans="1:4" ht="16.149999999999999" customHeight="1" x14ac:dyDescent="0.25">
      <c r="A2750" s="431">
        <v>36310</v>
      </c>
      <c r="B2750" s="434">
        <v>1671.67</v>
      </c>
      <c r="C2750" s="427">
        <f t="shared" si="84"/>
        <v>1999</v>
      </c>
      <c r="D2750" s="433">
        <f t="shared" si="85"/>
        <v>1671.67</v>
      </c>
    </row>
    <row r="2751" spans="1:4" ht="16.149999999999999" customHeight="1" x14ac:dyDescent="0.25">
      <c r="A2751" s="431">
        <v>36311</v>
      </c>
      <c r="B2751" s="432">
        <v>1671.67</v>
      </c>
      <c r="C2751" s="427">
        <f t="shared" si="84"/>
        <v>1999</v>
      </c>
      <c r="D2751" s="433">
        <f t="shared" si="85"/>
        <v>1671.67</v>
      </c>
    </row>
    <row r="2752" spans="1:4" ht="16.149999999999999" customHeight="1" x14ac:dyDescent="0.25">
      <c r="A2752" s="431">
        <v>36312</v>
      </c>
      <c r="B2752" s="434">
        <v>1663.55</v>
      </c>
      <c r="C2752" s="427">
        <f t="shared" si="84"/>
        <v>1999</v>
      </c>
      <c r="D2752" s="433">
        <f t="shared" si="85"/>
        <v>1663.55</v>
      </c>
    </row>
    <row r="2753" spans="1:4" ht="16.149999999999999" customHeight="1" x14ac:dyDescent="0.25">
      <c r="A2753" s="431">
        <v>36313</v>
      </c>
      <c r="B2753" s="432">
        <v>1657.7</v>
      </c>
      <c r="C2753" s="427">
        <f t="shared" si="84"/>
        <v>1999</v>
      </c>
      <c r="D2753" s="433">
        <f t="shared" si="85"/>
        <v>1657.7</v>
      </c>
    </row>
    <row r="2754" spans="1:4" ht="16.149999999999999" customHeight="1" x14ac:dyDescent="0.25">
      <c r="A2754" s="431">
        <v>36314</v>
      </c>
      <c r="B2754" s="434">
        <v>1667.88</v>
      </c>
      <c r="C2754" s="427">
        <f t="shared" si="84"/>
        <v>1999</v>
      </c>
      <c r="D2754" s="433">
        <f t="shared" si="85"/>
        <v>1667.88</v>
      </c>
    </row>
    <row r="2755" spans="1:4" ht="16.149999999999999" customHeight="1" x14ac:dyDescent="0.25">
      <c r="A2755" s="431">
        <v>36315</v>
      </c>
      <c r="B2755" s="432">
        <v>1654.75</v>
      </c>
      <c r="C2755" s="427">
        <f t="shared" si="84"/>
        <v>1999</v>
      </c>
      <c r="D2755" s="433">
        <f t="shared" si="85"/>
        <v>1654.75</v>
      </c>
    </row>
    <row r="2756" spans="1:4" ht="16.149999999999999" customHeight="1" x14ac:dyDescent="0.25">
      <c r="A2756" s="431">
        <v>36316</v>
      </c>
      <c r="B2756" s="434">
        <v>1653.96</v>
      </c>
      <c r="C2756" s="427">
        <f t="shared" si="84"/>
        <v>1999</v>
      </c>
      <c r="D2756" s="433">
        <f t="shared" si="85"/>
        <v>1653.96</v>
      </c>
    </row>
    <row r="2757" spans="1:4" ht="16.149999999999999" customHeight="1" x14ac:dyDescent="0.25">
      <c r="A2757" s="431">
        <v>36317</v>
      </c>
      <c r="B2757" s="432">
        <v>1653.96</v>
      </c>
      <c r="C2757" s="427">
        <f t="shared" si="84"/>
        <v>1999</v>
      </c>
      <c r="D2757" s="433">
        <f t="shared" si="85"/>
        <v>1653.96</v>
      </c>
    </row>
    <row r="2758" spans="1:4" ht="16.149999999999999" customHeight="1" x14ac:dyDescent="0.25">
      <c r="A2758" s="431">
        <v>36318</v>
      </c>
      <c r="B2758" s="434">
        <v>1653.96</v>
      </c>
      <c r="C2758" s="427">
        <f t="shared" si="84"/>
        <v>1999</v>
      </c>
      <c r="D2758" s="433">
        <f t="shared" si="85"/>
        <v>1653.96</v>
      </c>
    </row>
    <row r="2759" spans="1:4" ht="16.149999999999999" customHeight="1" x14ac:dyDescent="0.25">
      <c r="A2759" s="431">
        <v>36319</v>
      </c>
      <c r="B2759" s="432">
        <v>1653.96</v>
      </c>
      <c r="C2759" s="427">
        <f t="shared" si="84"/>
        <v>1999</v>
      </c>
      <c r="D2759" s="433">
        <f t="shared" si="85"/>
        <v>1653.96</v>
      </c>
    </row>
    <row r="2760" spans="1:4" ht="16.149999999999999" customHeight="1" x14ac:dyDescent="0.25">
      <c r="A2760" s="431">
        <v>36320</v>
      </c>
      <c r="B2760" s="434">
        <v>1672.01</v>
      </c>
      <c r="C2760" s="427">
        <f t="shared" si="84"/>
        <v>1999</v>
      </c>
      <c r="D2760" s="433">
        <f t="shared" si="85"/>
        <v>1672.01</v>
      </c>
    </row>
    <row r="2761" spans="1:4" ht="16.149999999999999" customHeight="1" x14ac:dyDescent="0.25">
      <c r="A2761" s="431">
        <v>36321</v>
      </c>
      <c r="B2761" s="432">
        <v>1679.12</v>
      </c>
      <c r="C2761" s="427">
        <f t="shared" si="84"/>
        <v>1999</v>
      </c>
      <c r="D2761" s="433">
        <f t="shared" si="85"/>
        <v>1679.12</v>
      </c>
    </row>
    <row r="2762" spans="1:4" ht="16.149999999999999" customHeight="1" x14ac:dyDescent="0.25">
      <c r="A2762" s="431">
        <v>36322</v>
      </c>
      <c r="B2762" s="434">
        <v>1686.08</v>
      </c>
      <c r="C2762" s="427">
        <f t="shared" ref="C2762:C2825" si="86">YEAR(A2762)</f>
        <v>1999</v>
      </c>
      <c r="D2762" s="433">
        <f t="shared" ref="D2762:D2825" si="87">B2762</f>
        <v>1686.08</v>
      </c>
    </row>
    <row r="2763" spans="1:4" ht="16.149999999999999" customHeight="1" x14ac:dyDescent="0.25">
      <c r="A2763" s="431">
        <v>36323</v>
      </c>
      <c r="B2763" s="432">
        <v>1682.09</v>
      </c>
      <c r="C2763" s="427">
        <f t="shared" si="86"/>
        <v>1999</v>
      </c>
      <c r="D2763" s="433">
        <f t="shared" si="87"/>
        <v>1682.09</v>
      </c>
    </row>
    <row r="2764" spans="1:4" ht="16.149999999999999" customHeight="1" x14ac:dyDescent="0.25">
      <c r="A2764" s="431">
        <v>36324</v>
      </c>
      <c r="B2764" s="434">
        <v>1682.09</v>
      </c>
      <c r="C2764" s="427">
        <f t="shared" si="86"/>
        <v>1999</v>
      </c>
      <c r="D2764" s="433">
        <f t="shared" si="87"/>
        <v>1682.09</v>
      </c>
    </row>
    <row r="2765" spans="1:4" ht="16.149999999999999" customHeight="1" x14ac:dyDescent="0.25">
      <c r="A2765" s="431">
        <v>36325</v>
      </c>
      <c r="B2765" s="432">
        <v>1682.09</v>
      </c>
      <c r="C2765" s="427">
        <f t="shared" si="86"/>
        <v>1999</v>
      </c>
      <c r="D2765" s="433">
        <f t="shared" si="87"/>
        <v>1682.09</v>
      </c>
    </row>
    <row r="2766" spans="1:4" ht="16.149999999999999" customHeight="1" x14ac:dyDescent="0.25">
      <c r="A2766" s="431">
        <v>36326</v>
      </c>
      <c r="B2766" s="434">
        <v>1682.09</v>
      </c>
      <c r="C2766" s="427">
        <f t="shared" si="86"/>
        <v>1999</v>
      </c>
      <c r="D2766" s="433">
        <f t="shared" si="87"/>
        <v>1682.09</v>
      </c>
    </row>
    <row r="2767" spans="1:4" ht="16.149999999999999" customHeight="1" x14ac:dyDescent="0.25">
      <c r="A2767" s="431">
        <v>36327</v>
      </c>
      <c r="B2767" s="432">
        <v>1694.56</v>
      </c>
      <c r="C2767" s="427">
        <f t="shared" si="86"/>
        <v>1999</v>
      </c>
      <c r="D2767" s="433">
        <f t="shared" si="87"/>
        <v>1694.56</v>
      </c>
    </row>
    <row r="2768" spans="1:4" ht="16.149999999999999" customHeight="1" x14ac:dyDescent="0.25">
      <c r="A2768" s="431">
        <v>36328</v>
      </c>
      <c r="B2768" s="434">
        <v>1698.55</v>
      </c>
      <c r="C2768" s="427">
        <f t="shared" si="86"/>
        <v>1999</v>
      </c>
      <c r="D2768" s="433">
        <f t="shared" si="87"/>
        <v>1698.55</v>
      </c>
    </row>
    <row r="2769" spans="1:4" ht="16.149999999999999" customHeight="1" x14ac:dyDescent="0.25">
      <c r="A2769" s="431">
        <v>36329</v>
      </c>
      <c r="B2769" s="432">
        <v>1693.75</v>
      </c>
      <c r="C2769" s="427">
        <f t="shared" si="86"/>
        <v>1999</v>
      </c>
      <c r="D2769" s="433">
        <f t="shared" si="87"/>
        <v>1693.75</v>
      </c>
    </row>
    <row r="2770" spans="1:4" ht="16.149999999999999" customHeight="1" x14ac:dyDescent="0.25">
      <c r="A2770" s="431">
        <v>36330</v>
      </c>
      <c r="B2770" s="434">
        <v>1692.36</v>
      </c>
      <c r="C2770" s="427">
        <f t="shared" si="86"/>
        <v>1999</v>
      </c>
      <c r="D2770" s="433">
        <f t="shared" si="87"/>
        <v>1692.36</v>
      </c>
    </row>
    <row r="2771" spans="1:4" ht="16.149999999999999" customHeight="1" x14ac:dyDescent="0.25">
      <c r="A2771" s="431">
        <v>36331</v>
      </c>
      <c r="B2771" s="432">
        <v>1692.36</v>
      </c>
      <c r="C2771" s="427">
        <f t="shared" si="86"/>
        <v>1999</v>
      </c>
      <c r="D2771" s="433">
        <f t="shared" si="87"/>
        <v>1692.36</v>
      </c>
    </row>
    <row r="2772" spans="1:4" ht="16.149999999999999" customHeight="1" x14ac:dyDescent="0.25">
      <c r="A2772" s="431">
        <v>36332</v>
      </c>
      <c r="B2772" s="434">
        <v>1692.36</v>
      </c>
      <c r="C2772" s="427">
        <f t="shared" si="86"/>
        <v>1999</v>
      </c>
      <c r="D2772" s="433">
        <f t="shared" si="87"/>
        <v>1692.36</v>
      </c>
    </row>
    <row r="2773" spans="1:4" ht="16.149999999999999" customHeight="1" x14ac:dyDescent="0.25">
      <c r="A2773" s="431">
        <v>36333</v>
      </c>
      <c r="B2773" s="432">
        <v>1694.26</v>
      </c>
      <c r="C2773" s="427">
        <f t="shared" si="86"/>
        <v>1999</v>
      </c>
      <c r="D2773" s="433">
        <f t="shared" si="87"/>
        <v>1694.26</v>
      </c>
    </row>
    <row r="2774" spans="1:4" ht="16.149999999999999" customHeight="1" x14ac:dyDescent="0.25">
      <c r="A2774" s="431">
        <v>36334</v>
      </c>
      <c r="B2774" s="434">
        <v>1710.03</v>
      </c>
      <c r="C2774" s="427">
        <f t="shared" si="86"/>
        <v>1999</v>
      </c>
      <c r="D2774" s="433">
        <f t="shared" si="87"/>
        <v>1710.03</v>
      </c>
    </row>
    <row r="2775" spans="1:4" ht="16.149999999999999" customHeight="1" x14ac:dyDescent="0.25">
      <c r="A2775" s="431">
        <v>36335</v>
      </c>
      <c r="B2775" s="432">
        <v>1723.26</v>
      </c>
      <c r="C2775" s="427">
        <f t="shared" si="86"/>
        <v>1999</v>
      </c>
      <c r="D2775" s="433">
        <f t="shared" si="87"/>
        <v>1723.26</v>
      </c>
    </row>
    <row r="2776" spans="1:4" ht="16.149999999999999" customHeight="1" x14ac:dyDescent="0.25">
      <c r="A2776" s="431">
        <v>36336</v>
      </c>
      <c r="B2776" s="434">
        <v>1734.83</v>
      </c>
      <c r="C2776" s="427">
        <f t="shared" si="86"/>
        <v>1999</v>
      </c>
      <c r="D2776" s="433">
        <f t="shared" si="87"/>
        <v>1734.83</v>
      </c>
    </row>
    <row r="2777" spans="1:4" ht="16.149999999999999" customHeight="1" x14ac:dyDescent="0.25">
      <c r="A2777" s="431">
        <v>36337</v>
      </c>
      <c r="B2777" s="432">
        <v>1737.91</v>
      </c>
      <c r="C2777" s="427">
        <f t="shared" si="86"/>
        <v>1999</v>
      </c>
      <c r="D2777" s="433">
        <f t="shared" si="87"/>
        <v>1737.91</v>
      </c>
    </row>
    <row r="2778" spans="1:4" ht="16.149999999999999" customHeight="1" x14ac:dyDescent="0.25">
      <c r="A2778" s="431">
        <v>36338</v>
      </c>
      <c r="B2778" s="434">
        <v>1737.91</v>
      </c>
      <c r="C2778" s="427">
        <f t="shared" si="86"/>
        <v>1999</v>
      </c>
      <c r="D2778" s="433">
        <f t="shared" si="87"/>
        <v>1737.91</v>
      </c>
    </row>
    <row r="2779" spans="1:4" ht="16.149999999999999" customHeight="1" x14ac:dyDescent="0.25">
      <c r="A2779" s="431">
        <v>36339</v>
      </c>
      <c r="B2779" s="432">
        <v>1737.91</v>
      </c>
      <c r="C2779" s="427">
        <f t="shared" si="86"/>
        <v>1999</v>
      </c>
      <c r="D2779" s="433">
        <f t="shared" si="87"/>
        <v>1737.91</v>
      </c>
    </row>
    <row r="2780" spans="1:4" ht="16.149999999999999" customHeight="1" x14ac:dyDescent="0.25">
      <c r="A2780" s="431">
        <v>36340</v>
      </c>
      <c r="B2780" s="434">
        <v>1751</v>
      </c>
      <c r="C2780" s="427">
        <f t="shared" si="86"/>
        <v>1999</v>
      </c>
      <c r="D2780" s="433">
        <f t="shared" si="87"/>
        <v>1751</v>
      </c>
    </row>
    <row r="2781" spans="1:4" ht="16.149999999999999" customHeight="1" x14ac:dyDescent="0.25">
      <c r="A2781" s="431">
        <v>36341</v>
      </c>
      <c r="B2781" s="432">
        <v>1732.1</v>
      </c>
      <c r="C2781" s="427">
        <f t="shared" si="86"/>
        <v>1999</v>
      </c>
      <c r="D2781" s="433">
        <f t="shared" si="87"/>
        <v>1732.1</v>
      </c>
    </row>
    <row r="2782" spans="1:4" ht="16.149999999999999" customHeight="1" x14ac:dyDescent="0.25">
      <c r="A2782" s="431">
        <v>36342</v>
      </c>
      <c r="B2782" s="434">
        <v>1736.03</v>
      </c>
      <c r="C2782" s="427">
        <f t="shared" si="86"/>
        <v>1999</v>
      </c>
      <c r="D2782" s="433">
        <f t="shared" si="87"/>
        <v>1736.03</v>
      </c>
    </row>
    <row r="2783" spans="1:4" ht="16.149999999999999" customHeight="1" x14ac:dyDescent="0.25">
      <c r="A2783" s="431">
        <v>36343</v>
      </c>
      <c r="B2783" s="432">
        <v>1751.26</v>
      </c>
      <c r="C2783" s="427">
        <f t="shared" si="86"/>
        <v>1999</v>
      </c>
      <c r="D2783" s="433">
        <f t="shared" si="87"/>
        <v>1751.26</v>
      </c>
    </row>
    <row r="2784" spans="1:4" ht="16.149999999999999" customHeight="1" x14ac:dyDescent="0.25">
      <c r="A2784" s="431">
        <v>36344</v>
      </c>
      <c r="B2784" s="434">
        <v>1755.31</v>
      </c>
      <c r="C2784" s="427">
        <f t="shared" si="86"/>
        <v>1999</v>
      </c>
      <c r="D2784" s="433">
        <f t="shared" si="87"/>
        <v>1755.31</v>
      </c>
    </row>
    <row r="2785" spans="1:4" ht="16.149999999999999" customHeight="1" x14ac:dyDescent="0.25">
      <c r="A2785" s="431">
        <v>36345</v>
      </c>
      <c r="B2785" s="432">
        <v>1755.31</v>
      </c>
      <c r="C2785" s="427">
        <f t="shared" si="86"/>
        <v>1999</v>
      </c>
      <c r="D2785" s="433">
        <f t="shared" si="87"/>
        <v>1755.31</v>
      </c>
    </row>
    <row r="2786" spans="1:4" ht="16.149999999999999" customHeight="1" x14ac:dyDescent="0.25">
      <c r="A2786" s="431">
        <v>36346</v>
      </c>
      <c r="B2786" s="434">
        <v>1755.31</v>
      </c>
      <c r="C2786" s="427">
        <f t="shared" si="86"/>
        <v>1999</v>
      </c>
      <c r="D2786" s="433">
        <f t="shared" si="87"/>
        <v>1755.31</v>
      </c>
    </row>
    <row r="2787" spans="1:4" ht="16.149999999999999" customHeight="1" x14ac:dyDescent="0.25">
      <c r="A2787" s="431">
        <v>36347</v>
      </c>
      <c r="B2787" s="432">
        <v>1755.31</v>
      </c>
      <c r="C2787" s="427">
        <f t="shared" si="86"/>
        <v>1999</v>
      </c>
      <c r="D2787" s="433">
        <f t="shared" si="87"/>
        <v>1755.31</v>
      </c>
    </row>
    <row r="2788" spans="1:4" ht="16.149999999999999" customHeight="1" x14ac:dyDescent="0.25">
      <c r="A2788" s="431">
        <v>36348</v>
      </c>
      <c r="B2788" s="434">
        <v>1772.69</v>
      </c>
      <c r="C2788" s="427">
        <f t="shared" si="86"/>
        <v>1999</v>
      </c>
      <c r="D2788" s="433">
        <f t="shared" si="87"/>
        <v>1772.69</v>
      </c>
    </row>
    <row r="2789" spans="1:4" ht="16.149999999999999" customHeight="1" x14ac:dyDescent="0.25">
      <c r="A2789" s="431">
        <v>36349</v>
      </c>
      <c r="B2789" s="432">
        <v>1795.36</v>
      </c>
      <c r="C2789" s="427">
        <f t="shared" si="86"/>
        <v>1999</v>
      </c>
      <c r="D2789" s="433">
        <f t="shared" si="87"/>
        <v>1795.36</v>
      </c>
    </row>
    <row r="2790" spans="1:4" ht="16.149999999999999" customHeight="1" x14ac:dyDescent="0.25">
      <c r="A2790" s="431">
        <v>36350</v>
      </c>
      <c r="B2790" s="434">
        <v>1831.1</v>
      </c>
      <c r="C2790" s="427">
        <f t="shared" si="86"/>
        <v>1999</v>
      </c>
      <c r="D2790" s="433">
        <f t="shared" si="87"/>
        <v>1831.1</v>
      </c>
    </row>
    <row r="2791" spans="1:4" ht="16.149999999999999" customHeight="1" x14ac:dyDescent="0.25">
      <c r="A2791" s="431">
        <v>36351</v>
      </c>
      <c r="B2791" s="432">
        <v>1840.38</v>
      </c>
      <c r="C2791" s="427">
        <f t="shared" si="86"/>
        <v>1999</v>
      </c>
      <c r="D2791" s="433">
        <f t="shared" si="87"/>
        <v>1840.38</v>
      </c>
    </row>
    <row r="2792" spans="1:4" ht="16.149999999999999" customHeight="1" x14ac:dyDescent="0.25">
      <c r="A2792" s="431">
        <v>36352</v>
      </c>
      <c r="B2792" s="434">
        <v>1840.38</v>
      </c>
      <c r="C2792" s="427">
        <f t="shared" si="86"/>
        <v>1999</v>
      </c>
      <c r="D2792" s="433">
        <f t="shared" si="87"/>
        <v>1840.38</v>
      </c>
    </row>
    <row r="2793" spans="1:4" ht="16.149999999999999" customHeight="1" x14ac:dyDescent="0.25">
      <c r="A2793" s="431">
        <v>36353</v>
      </c>
      <c r="B2793" s="432">
        <v>1840.38</v>
      </c>
      <c r="C2793" s="427">
        <f t="shared" si="86"/>
        <v>1999</v>
      </c>
      <c r="D2793" s="433">
        <f t="shared" si="87"/>
        <v>1840.38</v>
      </c>
    </row>
    <row r="2794" spans="1:4" ht="16.149999999999999" customHeight="1" x14ac:dyDescent="0.25">
      <c r="A2794" s="431">
        <v>36354</v>
      </c>
      <c r="B2794" s="434">
        <v>1887.17</v>
      </c>
      <c r="C2794" s="427">
        <f t="shared" si="86"/>
        <v>1999</v>
      </c>
      <c r="D2794" s="433">
        <f t="shared" si="87"/>
        <v>1887.17</v>
      </c>
    </row>
    <row r="2795" spans="1:4" ht="16.149999999999999" customHeight="1" x14ac:dyDescent="0.25">
      <c r="A2795" s="431">
        <v>36355</v>
      </c>
      <c r="B2795" s="432">
        <v>1926.55</v>
      </c>
      <c r="C2795" s="427">
        <f t="shared" si="86"/>
        <v>1999</v>
      </c>
      <c r="D2795" s="433">
        <f t="shared" si="87"/>
        <v>1926.55</v>
      </c>
    </row>
    <row r="2796" spans="1:4" ht="16.149999999999999" customHeight="1" x14ac:dyDescent="0.25">
      <c r="A2796" s="431">
        <v>36356</v>
      </c>
      <c r="B2796" s="434">
        <v>1881.42</v>
      </c>
      <c r="C2796" s="427">
        <f t="shared" si="86"/>
        <v>1999</v>
      </c>
      <c r="D2796" s="433">
        <f t="shared" si="87"/>
        <v>1881.42</v>
      </c>
    </row>
    <row r="2797" spans="1:4" ht="16.149999999999999" customHeight="1" x14ac:dyDescent="0.25">
      <c r="A2797" s="431">
        <v>36357</v>
      </c>
      <c r="B2797" s="432">
        <v>1823.29</v>
      </c>
      <c r="C2797" s="427">
        <f t="shared" si="86"/>
        <v>1999</v>
      </c>
      <c r="D2797" s="433">
        <f t="shared" si="87"/>
        <v>1823.29</v>
      </c>
    </row>
    <row r="2798" spans="1:4" ht="16.149999999999999" customHeight="1" x14ac:dyDescent="0.25">
      <c r="A2798" s="431">
        <v>36358</v>
      </c>
      <c r="B2798" s="434">
        <v>1821.95</v>
      </c>
      <c r="C2798" s="427">
        <f t="shared" si="86"/>
        <v>1999</v>
      </c>
      <c r="D2798" s="433">
        <f t="shared" si="87"/>
        <v>1821.95</v>
      </c>
    </row>
    <row r="2799" spans="1:4" ht="16.149999999999999" customHeight="1" x14ac:dyDescent="0.25">
      <c r="A2799" s="431">
        <v>36359</v>
      </c>
      <c r="B2799" s="432">
        <v>1821.95</v>
      </c>
      <c r="C2799" s="427">
        <f t="shared" si="86"/>
        <v>1999</v>
      </c>
      <c r="D2799" s="433">
        <f t="shared" si="87"/>
        <v>1821.95</v>
      </c>
    </row>
    <row r="2800" spans="1:4" ht="16.149999999999999" customHeight="1" x14ac:dyDescent="0.25">
      <c r="A2800" s="431">
        <v>36360</v>
      </c>
      <c r="B2800" s="434">
        <v>1821.95</v>
      </c>
      <c r="C2800" s="427">
        <f t="shared" si="86"/>
        <v>1999</v>
      </c>
      <c r="D2800" s="433">
        <f t="shared" si="87"/>
        <v>1821.95</v>
      </c>
    </row>
    <row r="2801" spans="1:4" ht="16.149999999999999" customHeight="1" x14ac:dyDescent="0.25">
      <c r="A2801" s="431">
        <v>36361</v>
      </c>
      <c r="B2801" s="432">
        <v>1819.04</v>
      </c>
      <c r="C2801" s="427">
        <f t="shared" si="86"/>
        <v>1999</v>
      </c>
      <c r="D2801" s="433">
        <f t="shared" si="87"/>
        <v>1819.04</v>
      </c>
    </row>
    <row r="2802" spans="1:4" ht="16.149999999999999" customHeight="1" x14ac:dyDescent="0.25">
      <c r="A2802" s="431">
        <v>36362</v>
      </c>
      <c r="B2802" s="434">
        <v>1819.04</v>
      </c>
      <c r="C2802" s="427">
        <f t="shared" si="86"/>
        <v>1999</v>
      </c>
      <c r="D2802" s="433">
        <f t="shared" si="87"/>
        <v>1819.04</v>
      </c>
    </row>
    <row r="2803" spans="1:4" ht="16.149999999999999" customHeight="1" x14ac:dyDescent="0.25">
      <c r="A2803" s="431">
        <v>36363</v>
      </c>
      <c r="B2803" s="432">
        <v>1809.56</v>
      </c>
      <c r="C2803" s="427">
        <f t="shared" si="86"/>
        <v>1999</v>
      </c>
      <c r="D2803" s="433">
        <f t="shared" si="87"/>
        <v>1809.56</v>
      </c>
    </row>
    <row r="2804" spans="1:4" ht="16.149999999999999" customHeight="1" x14ac:dyDescent="0.25">
      <c r="A2804" s="431">
        <v>36364</v>
      </c>
      <c r="B2804" s="434">
        <v>1807.9</v>
      </c>
      <c r="C2804" s="427">
        <f t="shared" si="86"/>
        <v>1999</v>
      </c>
      <c r="D2804" s="433">
        <f t="shared" si="87"/>
        <v>1807.9</v>
      </c>
    </row>
    <row r="2805" spans="1:4" ht="16.149999999999999" customHeight="1" x14ac:dyDescent="0.25">
      <c r="A2805" s="431">
        <v>36365</v>
      </c>
      <c r="B2805" s="432">
        <v>1831.19</v>
      </c>
      <c r="C2805" s="427">
        <f t="shared" si="86"/>
        <v>1999</v>
      </c>
      <c r="D2805" s="433">
        <f t="shared" si="87"/>
        <v>1831.19</v>
      </c>
    </row>
    <row r="2806" spans="1:4" ht="16.149999999999999" customHeight="1" x14ac:dyDescent="0.25">
      <c r="A2806" s="431">
        <v>36366</v>
      </c>
      <c r="B2806" s="434">
        <v>1831.19</v>
      </c>
      <c r="C2806" s="427">
        <f t="shared" si="86"/>
        <v>1999</v>
      </c>
      <c r="D2806" s="433">
        <f t="shared" si="87"/>
        <v>1831.19</v>
      </c>
    </row>
    <row r="2807" spans="1:4" ht="16.149999999999999" customHeight="1" x14ac:dyDescent="0.25">
      <c r="A2807" s="431">
        <v>36367</v>
      </c>
      <c r="B2807" s="432">
        <v>1831.19</v>
      </c>
      <c r="C2807" s="427">
        <f t="shared" si="86"/>
        <v>1999</v>
      </c>
      <c r="D2807" s="433">
        <f t="shared" si="87"/>
        <v>1831.19</v>
      </c>
    </row>
    <row r="2808" spans="1:4" ht="16.149999999999999" customHeight="1" x14ac:dyDescent="0.25">
      <c r="A2808" s="431">
        <v>36368</v>
      </c>
      <c r="B2808" s="434">
        <v>1829.63</v>
      </c>
      <c r="C2808" s="427">
        <f t="shared" si="86"/>
        <v>1999</v>
      </c>
      <c r="D2808" s="433">
        <f t="shared" si="87"/>
        <v>1829.63</v>
      </c>
    </row>
    <row r="2809" spans="1:4" ht="16.149999999999999" customHeight="1" x14ac:dyDescent="0.25">
      <c r="A2809" s="431">
        <v>36369</v>
      </c>
      <c r="B2809" s="432">
        <v>1829.06</v>
      </c>
      <c r="C2809" s="427">
        <f t="shared" si="86"/>
        <v>1999</v>
      </c>
      <c r="D2809" s="433">
        <f t="shared" si="87"/>
        <v>1829.06</v>
      </c>
    </row>
    <row r="2810" spans="1:4" ht="16.149999999999999" customHeight="1" x14ac:dyDescent="0.25">
      <c r="A2810" s="431">
        <v>36370</v>
      </c>
      <c r="B2810" s="434">
        <v>1817.09</v>
      </c>
      <c r="C2810" s="427">
        <f t="shared" si="86"/>
        <v>1999</v>
      </c>
      <c r="D2810" s="433">
        <f t="shared" si="87"/>
        <v>1817.09</v>
      </c>
    </row>
    <row r="2811" spans="1:4" ht="16.149999999999999" customHeight="1" x14ac:dyDescent="0.25">
      <c r="A2811" s="431">
        <v>36371</v>
      </c>
      <c r="B2811" s="432">
        <v>1806.52</v>
      </c>
      <c r="C2811" s="427">
        <f t="shared" si="86"/>
        <v>1999</v>
      </c>
      <c r="D2811" s="433">
        <f t="shared" si="87"/>
        <v>1806.52</v>
      </c>
    </row>
    <row r="2812" spans="1:4" ht="16.149999999999999" customHeight="1" x14ac:dyDescent="0.25">
      <c r="A2812" s="431">
        <v>36372</v>
      </c>
      <c r="B2812" s="434">
        <v>1809.5</v>
      </c>
      <c r="C2812" s="427">
        <f t="shared" si="86"/>
        <v>1999</v>
      </c>
      <c r="D2812" s="433">
        <f t="shared" si="87"/>
        <v>1809.5</v>
      </c>
    </row>
    <row r="2813" spans="1:4" ht="16.149999999999999" customHeight="1" x14ac:dyDescent="0.25">
      <c r="A2813" s="431">
        <v>36373</v>
      </c>
      <c r="B2813" s="432">
        <v>1809.5</v>
      </c>
      <c r="C2813" s="427">
        <f t="shared" si="86"/>
        <v>1999</v>
      </c>
      <c r="D2813" s="433">
        <f t="shared" si="87"/>
        <v>1809.5</v>
      </c>
    </row>
    <row r="2814" spans="1:4" ht="16.149999999999999" customHeight="1" x14ac:dyDescent="0.25">
      <c r="A2814" s="431">
        <v>36374</v>
      </c>
      <c r="B2814" s="434">
        <v>1809.5</v>
      </c>
      <c r="C2814" s="427">
        <f t="shared" si="86"/>
        <v>1999</v>
      </c>
      <c r="D2814" s="433">
        <f t="shared" si="87"/>
        <v>1809.5</v>
      </c>
    </row>
    <row r="2815" spans="1:4" ht="16.149999999999999" customHeight="1" x14ac:dyDescent="0.25">
      <c r="A2815" s="431">
        <v>36375</v>
      </c>
      <c r="B2815" s="432">
        <v>1813.6</v>
      </c>
      <c r="C2815" s="427">
        <f t="shared" si="86"/>
        <v>1999</v>
      </c>
      <c r="D2815" s="433">
        <f t="shared" si="87"/>
        <v>1813.6</v>
      </c>
    </row>
    <row r="2816" spans="1:4" ht="16.149999999999999" customHeight="1" x14ac:dyDescent="0.25">
      <c r="A2816" s="431">
        <v>36376</v>
      </c>
      <c r="B2816" s="434">
        <v>1800.79</v>
      </c>
      <c r="C2816" s="427">
        <f t="shared" si="86"/>
        <v>1999</v>
      </c>
      <c r="D2816" s="433">
        <f t="shared" si="87"/>
        <v>1800.79</v>
      </c>
    </row>
    <row r="2817" spans="1:4" ht="16.149999999999999" customHeight="1" x14ac:dyDescent="0.25">
      <c r="A2817" s="431">
        <v>36377</v>
      </c>
      <c r="B2817" s="432">
        <v>1822.84</v>
      </c>
      <c r="C2817" s="427">
        <f t="shared" si="86"/>
        <v>1999</v>
      </c>
      <c r="D2817" s="433">
        <f t="shared" si="87"/>
        <v>1822.84</v>
      </c>
    </row>
    <row r="2818" spans="1:4" ht="16.149999999999999" customHeight="1" x14ac:dyDescent="0.25">
      <c r="A2818" s="431">
        <v>36378</v>
      </c>
      <c r="B2818" s="434">
        <v>1834.97</v>
      </c>
      <c r="C2818" s="427">
        <f t="shared" si="86"/>
        <v>1999</v>
      </c>
      <c r="D2818" s="433">
        <f t="shared" si="87"/>
        <v>1834.97</v>
      </c>
    </row>
    <row r="2819" spans="1:4" ht="16.149999999999999" customHeight="1" x14ac:dyDescent="0.25">
      <c r="A2819" s="431">
        <v>36379</v>
      </c>
      <c r="B2819" s="432">
        <v>1849.12</v>
      </c>
      <c r="C2819" s="427">
        <f t="shared" si="86"/>
        <v>1999</v>
      </c>
      <c r="D2819" s="433">
        <f t="shared" si="87"/>
        <v>1849.12</v>
      </c>
    </row>
    <row r="2820" spans="1:4" ht="16.149999999999999" customHeight="1" x14ac:dyDescent="0.25">
      <c r="A2820" s="431">
        <v>36380</v>
      </c>
      <c r="B2820" s="434">
        <v>1849.12</v>
      </c>
      <c r="C2820" s="427">
        <f t="shared" si="86"/>
        <v>1999</v>
      </c>
      <c r="D2820" s="433">
        <f t="shared" si="87"/>
        <v>1849.12</v>
      </c>
    </row>
    <row r="2821" spans="1:4" ht="16.149999999999999" customHeight="1" x14ac:dyDescent="0.25">
      <c r="A2821" s="431">
        <v>36381</v>
      </c>
      <c r="B2821" s="432">
        <v>1849.12</v>
      </c>
      <c r="C2821" s="427">
        <f t="shared" si="86"/>
        <v>1999</v>
      </c>
      <c r="D2821" s="433">
        <f t="shared" si="87"/>
        <v>1849.12</v>
      </c>
    </row>
    <row r="2822" spans="1:4" ht="16.149999999999999" customHeight="1" x14ac:dyDescent="0.25">
      <c r="A2822" s="431">
        <v>36382</v>
      </c>
      <c r="B2822" s="434">
        <v>1852.8</v>
      </c>
      <c r="C2822" s="427">
        <f t="shared" si="86"/>
        <v>1999</v>
      </c>
      <c r="D2822" s="433">
        <f t="shared" si="87"/>
        <v>1852.8</v>
      </c>
    </row>
    <row r="2823" spans="1:4" ht="16.149999999999999" customHeight="1" x14ac:dyDescent="0.25">
      <c r="A2823" s="431">
        <v>36383</v>
      </c>
      <c r="B2823" s="432">
        <v>1855.03</v>
      </c>
      <c r="C2823" s="427">
        <f t="shared" si="86"/>
        <v>1999</v>
      </c>
      <c r="D2823" s="433">
        <f t="shared" si="87"/>
        <v>1855.03</v>
      </c>
    </row>
    <row r="2824" spans="1:4" ht="16.149999999999999" customHeight="1" x14ac:dyDescent="0.25">
      <c r="A2824" s="431">
        <v>36384</v>
      </c>
      <c r="B2824" s="434">
        <v>1865.3</v>
      </c>
      <c r="C2824" s="427">
        <f t="shared" si="86"/>
        <v>1999</v>
      </c>
      <c r="D2824" s="433">
        <f t="shared" si="87"/>
        <v>1865.3</v>
      </c>
    </row>
    <row r="2825" spans="1:4" ht="16.149999999999999" customHeight="1" x14ac:dyDescent="0.25">
      <c r="A2825" s="431">
        <v>36385</v>
      </c>
      <c r="B2825" s="432">
        <v>1893.25</v>
      </c>
      <c r="C2825" s="427">
        <f t="shared" si="86"/>
        <v>1999</v>
      </c>
      <c r="D2825" s="433">
        <f t="shared" si="87"/>
        <v>1893.25</v>
      </c>
    </row>
    <row r="2826" spans="1:4" ht="16.149999999999999" customHeight="1" x14ac:dyDescent="0.25">
      <c r="A2826" s="431">
        <v>36386</v>
      </c>
      <c r="B2826" s="434">
        <v>1879.15</v>
      </c>
      <c r="C2826" s="427">
        <f t="shared" ref="C2826:C2889" si="88">YEAR(A2826)</f>
        <v>1999</v>
      </c>
      <c r="D2826" s="433">
        <f t="shared" ref="D2826:D2889" si="89">B2826</f>
        <v>1879.15</v>
      </c>
    </row>
    <row r="2827" spans="1:4" ht="16.149999999999999" customHeight="1" x14ac:dyDescent="0.25">
      <c r="A2827" s="431">
        <v>36387</v>
      </c>
      <c r="B2827" s="432">
        <v>1879.15</v>
      </c>
      <c r="C2827" s="427">
        <f t="shared" si="88"/>
        <v>1999</v>
      </c>
      <c r="D2827" s="433">
        <f t="shared" si="89"/>
        <v>1879.15</v>
      </c>
    </row>
    <row r="2828" spans="1:4" ht="16.149999999999999" customHeight="1" x14ac:dyDescent="0.25">
      <c r="A2828" s="431">
        <v>36388</v>
      </c>
      <c r="B2828" s="434">
        <v>1879.15</v>
      </c>
      <c r="C2828" s="427">
        <f t="shared" si="88"/>
        <v>1999</v>
      </c>
      <c r="D2828" s="433">
        <f t="shared" si="89"/>
        <v>1879.15</v>
      </c>
    </row>
    <row r="2829" spans="1:4" ht="16.149999999999999" customHeight="1" x14ac:dyDescent="0.25">
      <c r="A2829" s="431">
        <v>36389</v>
      </c>
      <c r="B2829" s="432">
        <v>1879.15</v>
      </c>
      <c r="C2829" s="427">
        <f t="shared" si="88"/>
        <v>1999</v>
      </c>
      <c r="D2829" s="433">
        <f t="shared" si="89"/>
        <v>1879.15</v>
      </c>
    </row>
    <row r="2830" spans="1:4" ht="16.149999999999999" customHeight="1" x14ac:dyDescent="0.25">
      <c r="A2830" s="431">
        <v>36390</v>
      </c>
      <c r="B2830" s="434">
        <v>1880.39</v>
      </c>
      <c r="C2830" s="427">
        <f t="shared" si="88"/>
        <v>1999</v>
      </c>
      <c r="D2830" s="433">
        <f t="shared" si="89"/>
        <v>1880.39</v>
      </c>
    </row>
    <row r="2831" spans="1:4" ht="16.149999999999999" customHeight="1" x14ac:dyDescent="0.25">
      <c r="A2831" s="431">
        <v>36391</v>
      </c>
      <c r="B2831" s="432">
        <v>1898.03</v>
      </c>
      <c r="C2831" s="427">
        <f t="shared" si="88"/>
        <v>1999</v>
      </c>
      <c r="D2831" s="433">
        <f t="shared" si="89"/>
        <v>1898.03</v>
      </c>
    </row>
    <row r="2832" spans="1:4" ht="16.149999999999999" customHeight="1" x14ac:dyDescent="0.25">
      <c r="A2832" s="431">
        <v>36392</v>
      </c>
      <c r="B2832" s="434">
        <v>1892.5</v>
      </c>
      <c r="C2832" s="427">
        <f t="shared" si="88"/>
        <v>1999</v>
      </c>
      <c r="D2832" s="433">
        <f t="shared" si="89"/>
        <v>1892.5</v>
      </c>
    </row>
    <row r="2833" spans="1:4" ht="16.149999999999999" customHeight="1" x14ac:dyDescent="0.25">
      <c r="A2833" s="431">
        <v>36393</v>
      </c>
      <c r="B2833" s="432">
        <v>1907.94</v>
      </c>
      <c r="C2833" s="427">
        <f t="shared" si="88"/>
        <v>1999</v>
      </c>
      <c r="D2833" s="433">
        <f t="shared" si="89"/>
        <v>1907.94</v>
      </c>
    </row>
    <row r="2834" spans="1:4" ht="16.149999999999999" customHeight="1" x14ac:dyDescent="0.25">
      <c r="A2834" s="431">
        <v>36394</v>
      </c>
      <c r="B2834" s="434">
        <v>1907.94</v>
      </c>
      <c r="C2834" s="427">
        <f t="shared" si="88"/>
        <v>1999</v>
      </c>
      <c r="D2834" s="433">
        <f t="shared" si="89"/>
        <v>1907.94</v>
      </c>
    </row>
    <row r="2835" spans="1:4" ht="16.149999999999999" customHeight="1" x14ac:dyDescent="0.25">
      <c r="A2835" s="431">
        <v>36395</v>
      </c>
      <c r="B2835" s="432">
        <v>1907.94</v>
      </c>
      <c r="C2835" s="427">
        <f t="shared" si="88"/>
        <v>1999</v>
      </c>
      <c r="D2835" s="433">
        <f t="shared" si="89"/>
        <v>1907.94</v>
      </c>
    </row>
    <row r="2836" spans="1:4" ht="16.149999999999999" customHeight="1" x14ac:dyDescent="0.25">
      <c r="A2836" s="431">
        <v>36396</v>
      </c>
      <c r="B2836" s="434">
        <v>1912.27</v>
      </c>
      <c r="C2836" s="427">
        <f t="shared" si="88"/>
        <v>1999</v>
      </c>
      <c r="D2836" s="433">
        <f t="shared" si="89"/>
        <v>1912.27</v>
      </c>
    </row>
    <row r="2837" spans="1:4" ht="16.149999999999999" customHeight="1" x14ac:dyDescent="0.25">
      <c r="A2837" s="431">
        <v>36397</v>
      </c>
      <c r="B2837" s="432">
        <v>1921.87</v>
      </c>
      <c r="C2837" s="427">
        <f t="shared" si="88"/>
        <v>1999</v>
      </c>
      <c r="D2837" s="433">
        <f t="shared" si="89"/>
        <v>1921.87</v>
      </c>
    </row>
    <row r="2838" spans="1:4" ht="16.149999999999999" customHeight="1" x14ac:dyDescent="0.25">
      <c r="A2838" s="431">
        <v>36398</v>
      </c>
      <c r="B2838" s="434">
        <v>1921.16</v>
      </c>
      <c r="C2838" s="427">
        <f t="shared" si="88"/>
        <v>1999</v>
      </c>
      <c r="D2838" s="433">
        <f t="shared" si="89"/>
        <v>1921.16</v>
      </c>
    </row>
    <row r="2839" spans="1:4" ht="16.149999999999999" customHeight="1" x14ac:dyDescent="0.25">
      <c r="A2839" s="431">
        <v>36399</v>
      </c>
      <c r="B2839" s="432">
        <v>1914.22</v>
      </c>
      <c r="C2839" s="427">
        <f t="shared" si="88"/>
        <v>1999</v>
      </c>
      <c r="D2839" s="433">
        <f t="shared" si="89"/>
        <v>1914.22</v>
      </c>
    </row>
    <row r="2840" spans="1:4" ht="16.149999999999999" customHeight="1" x14ac:dyDescent="0.25">
      <c r="A2840" s="431">
        <v>36400</v>
      </c>
      <c r="B2840" s="434">
        <v>1936.12</v>
      </c>
      <c r="C2840" s="427">
        <f t="shared" si="88"/>
        <v>1999</v>
      </c>
      <c r="D2840" s="433">
        <f t="shared" si="89"/>
        <v>1936.12</v>
      </c>
    </row>
    <row r="2841" spans="1:4" ht="16.149999999999999" customHeight="1" x14ac:dyDescent="0.25">
      <c r="A2841" s="431">
        <v>36401</v>
      </c>
      <c r="B2841" s="432">
        <v>1936.12</v>
      </c>
      <c r="C2841" s="427">
        <f t="shared" si="88"/>
        <v>1999</v>
      </c>
      <c r="D2841" s="433">
        <f t="shared" si="89"/>
        <v>1936.12</v>
      </c>
    </row>
    <row r="2842" spans="1:4" ht="16.149999999999999" customHeight="1" x14ac:dyDescent="0.25">
      <c r="A2842" s="431">
        <v>36402</v>
      </c>
      <c r="B2842" s="434">
        <v>1936.12</v>
      </c>
      <c r="C2842" s="427">
        <f t="shared" si="88"/>
        <v>1999</v>
      </c>
      <c r="D2842" s="433">
        <f t="shared" si="89"/>
        <v>1936.12</v>
      </c>
    </row>
    <row r="2843" spans="1:4" ht="16.149999999999999" customHeight="1" x14ac:dyDescent="0.25">
      <c r="A2843" s="431">
        <v>36403</v>
      </c>
      <c r="B2843" s="432">
        <v>1954.72</v>
      </c>
      <c r="C2843" s="427">
        <f t="shared" si="88"/>
        <v>1999</v>
      </c>
      <c r="D2843" s="433">
        <f t="shared" si="89"/>
        <v>1954.72</v>
      </c>
    </row>
    <row r="2844" spans="1:4" ht="16.149999999999999" customHeight="1" x14ac:dyDescent="0.25">
      <c r="A2844" s="431">
        <v>36404</v>
      </c>
      <c r="B2844" s="434">
        <v>1941.25</v>
      </c>
      <c r="C2844" s="427">
        <f t="shared" si="88"/>
        <v>1999</v>
      </c>
      <c r="D2844" s="433">
        <f t="shared" si="89"/>
        <v>1941.25</v>
      </c>
    </row>
    <row r="2845" spans="1:4" ht="16.149999999999999" customHeight="1" x14ac:dyDescent="0.25">
      <c r="A2845" s="431">
        <v>36405</v>
      </c>
      <c r="B2845" s="432">
        <v>1934.46</v>
      </c>
      <c r="C2845" s="427">
        <f t="shared" si="88"/>
        <v>1999</v>
      </c>
      <c r="D2845" s="433">
        <f t="shared" si="89"/>
        <v>1934.46</v>
      </c>
    </row>
    <row r="2846" spans="1:4" ht="16.149999999999999" customHeight="1" x14ac:dyDescent="0.25">
      <c r="A2846" s="431">
        <v>36406</v>
      </c>
      <c r="B2846" s="434">
        <v>1943.23</v>
      </c>
      <c r="C2846" s="427">
        <f t="shared" si="88"/>
        <v>1999</v>
      </c>
      <c r="D2846" s="433">
        <f t="shared" si="89"/>
        <v>1943.23</v>
      </c>
    </row>
    <row r="2847" spans="1:4" ht="16.149999999999999" customHeight="1" x14ac:dyDescent="0.25">
      <c r="A2847" s="431">
        <v>36407</v>
      </c>
      <c r="B2847" s="432">
        <v>1943.24</v>
      </c>
      <c r="C2847" s="427">
        <f t="shared" si="88"/>
        <v>1999</v>
      </c>
      <c r="D2847" s="433">
        <f t="shared" si="89"/>
        <v>1943.24</v>
      </c>
    </row>
    <row r="2848" spans="1:4" ht="16.149999999999999" customHeight="1" x14ac:dyDescent="0.25">
      <c r="A2848" s="431">
        <v>36408</v>
      </c>
      <c r="B2848" s="434">
        <v>1943.24</v>
      </c>
      <c r="C2848" s="427">
        <f t="shared" si="88"/>
        <v>1999</v>
      </c>
      <c r="D2848" s="433">
        <f t="shared" si="89"/>
        <v>1943.24</v>
      </c>
    </row>
    <row r="2849" spans="1:4" ht="16.149999999999999" customHeight="1" x14ac:dyDescent="0.25">
      <c r="A2849" s="431">
        <v>36409</v>
      </c>
      <c r="B2849" s="432">
        <v>1943.24</v>
      </c>
      <c r="C2849" s="427">
        <f t="shared" si="88"/>
        <v>1999</v>
      </c>
      <c r="D2849" s="433">
        <f t="shared" si="89"/>
        <v>1943.24</v>
      </c>
    </row>
    <row r="2850" spans="1:4" ht="16.149999999999999" customHeight="1" x14ac:dyDescent="0.25">
      <c r="A2850" s="431">
        <v>36410</v>
      </c>
      <c r="B2850" s="434">
        <v>1947.31</v>
      </c>
      <c r="C2850" s="427">
        <f t="shared" si="88"/>
        <v>1999</v>
      </c>
      <c r="D2850" s="433">
        <f t="shared" si="89"/>
        <v>1947.31</v>
      </c>
    </row>
    <row r="2851" spans="1:4" ht="16.149999999999999" customHeight="1" x14ac:dyDescent="0.25">
      <c r="A2851" s="431">
        <v>36411</v>
      </c>
      <c r="B2851" s="432">
        <v>1969.82</v>
      </c>
      <c r="C2851" s="427">
        <f t="shared" si="88"/>
        <v>1999</v>
      </c>
      <c r="D2851" s="433">
        <f t="shared" si="89"/>
        <v>1969.82</v>
      </c>
    </row>
    <row r="2852" spans="1:4" ht="16.149999999999999" customHeight="1" x14ac:dyDescent="0.25">
      <c r="A2852" s="431">
        <v>36412</v>
      </c>
      <c r="B2852" s="434">
        <v>1972.35</v>
      </c>
      <c r="C2852" s="427">
        <f t="shared" si="88"/>
        <v>1999</v>
      </c>
      <c r="D2852" s="433">
        <f t="shared" si="89"/>
        <v>1972.35</v>
      </c>
    </row>
    <row r="2853" spans="1:4" ht="16.149999999999999" customHeight="1" x14ac:dyDescent="0.25">
      <c r="A2853" s="431">
        <v>36413</v>
      </c>
      <c r="B2853" s="432">
        <v>1976.07</v>
      </c>
      <c r="C2853" s="427">
        <f t="shared" si="88"/>
        <v>1999</v>
      </c>
      <c r="D2853" s="433">
        <f t="shared" si="89"/>
        <v>1976.07</v>
      </c>
    </row>
    <row r="2854" spans="1:4" ht="16.149999999999999" customHeight="1" x14ac:dyDescent="0.25">
      <c r="A2854" s="431">
        <v>36414</v>
      </c>
      <c r="B2854" s="434">
        <v>1981.41</v>
      </c>
      <c r="C2854" s="427">
        <f t="shared" si="88"/>
        <v>1999</v>
      </c>
      <c r="D2854" s="433">
        <f t="shared" si="89"/>
        <v>1981.41</v>
      </c>
    </row>
    <row r="2855" spans="1:4" ht="16.149999999999999" customHeight="1" x14ac:dyDescent="0.25">
      <c r="A2855" s="431">
        <v>36415</v>
      </c>
      <c r="B2855" s="432">
        <v>1981.41</v>
      </c>
      <c r="C2855" s="427">
        <f t="shared" si="88"/>
        <v>1999</v>
      </c>
      <c r="D2855" s="433">
        <f t="shared" si="89"/>
        <v>1981.41</v>
      </c>
    </row>
    <row r="2856" spans="1:4" ht="16.149999999999999" customHeight="1" x14ac:dyDescent="0.25">
      <c r="A2856" s="431">
        <v>36416</v>
      </c>
      <c r="B2856" s="434">
        <v>1981.41</v>
      </c>
      <c r="C2856" s="427">
        <f t="shared" si="88"/>
        <v>1999</v>
      </c>
      <c r="D2856" s="433">
        <f t="shared" si="89"/>
        <v>1981.41</v>
      </c>
    </row>
    <row r="2857" spans="1:4" ht="16.149999999999999" customHeight="1" x14ac:dyDescent="0.25">
      <c r="A2857" s="431">
        <v>36417</v>
      </c>
      <c r="B2857" s="432">
        <v>1977.85</v>
      </c>
      <c r="C2857" s="427">
        <f t="shared" si="88"/>
        <v>1999</v>
      </c>
      <c r="D2857" s="433">
        <f t="shared" si="89"/>
        <v>1977.85</v>
      </c>
    </row>
    <row r="2858" spans="1:4" ht="16.149999999999999" customHeight="1" x14ac:dyDescent="0.25">
      <c r="A2858" s="431">
        <v>36418</v>
      </c>
      <c r="B2858" s="434">
        <v>1970.54</v>
      </c>
      <c r="C2858" s="427">
        <f t="shared" si="88"/>
        <v>1999</v>
      </c>
      <c r="D2858" s="433">
        <f t="shared" si="89"/>
        <v>1970.54</v>
      </c>
    </row>
    <row r="2859" spans="1:4" ht="16.149999999999999" customHeight="1" x14ac:dyDescent="0.25">
      <c r="A2859" s="431">
        <v>36419</v>
      </c>
      <c r="B2859" s="432">
        <v>1967.58</v>
      </c>
      <c r="C2859" s="427">
        <f t="shared" si="88"/>
        <v>1999</v>
      </c>
      <c r="D2859" s="433">
        <f t="shared" si="89"/>
        <v>1967.58</v>
      </c>
    </row>
    <row r="2860" spans="1:4" ht="16.149999999999999" customHeight="1" x14ac:dyDescent="0.25">
      <c r="A2860" s="431">
        <v>36420</v>
      </c>
      <c r="B2860" s="434">
        <v>1977.52</v>
      </c>
      <c r="C2860" s="427">
        <f t="shared" si="88"/>
        <v>1999</v>
      </c>
      <c r="D2860" s="433">
        <f t="shared" si="89"/>
        <v>1977.52</v>
      </c>
    </row>
    <row r="2861" spans="1:4" ht="16.149999999999999" customHeight="1" x14ac:dyDescent="0.25">
      <c r="A2861" s="431">
        <v>36421</v>
      </c>
      <c r="B2861" s="432">
        <v>1987.08</v>
      </c>
      <c r="C2861" s="427">
        <f t="shared" si="88"/>
        <v>1999</v>
      </c>
      <c r="D2861" s="433">
        <f t="shared" si="89"/>
        <v>1987.08</v>
      </c>
    </row>
    <row r="2862" spans="1:4" ht="16.149999999999999" customHeight="1" x14ac:dyDescent="0.25">
      <c r="A2862" s="431">
        <v>36422</v>
      </c>
      <c r="B2862" s="434">
        <v>1987.08</v>
      </c>
      <c r="C2862" s="427">
        <f t="shared" si="88"/>
        <v>1999</v>
      </c>
      <c r="D2862" s="433">
        <f t="shared" si="89"/>
        <v>1987.08</v>
      </c>
    </row>
    <row r="2863" spans="1:4" ht="16.149999999999999" customHeight="1" x14ac:dyDescent="0.25">
      <c r="A2863" s="431">
        <v>36423</v>
      </c>
      <c r="B2863" s="432">
        <v>1987.08</v>
      </c>
      <c r="C2863" s="427">
        <f t="shared" si="88"/>
        <v>1999</v>
      </c>
      <c r="D2863" s="433">
        <f t="shared" si="89"/>
        <v>1987.08</v>
      </c>
    </row>
    <row r="2864" spans="1:4" ht="16.149999999999999" customHeight="1" x14ac:dyDescent="0.25">
      <c r="A2864" s="431">
        <v>36424</v>
      </c>
      <c r="B2864" s="434">
        <v>1981.64</v>
      </c>
      <c r="C2864" s="427">
        <f t="shared" si="88"/>
        <v>1999</v>
      </c>
      <c r="D2864" s="433">
        <f t="shared" si="89"/>
        <v>1981.64</v>
      </c>
    </row>
    <row r="2865" spans="1:4" ht="16.149999999999999" customHeight="1" x14ac:dyDescent="0.25">
      <c r="A2865" s="431">
        <v>36425</v>
      </c>
      <c r="B2865" s="432">
        <v>1975.46</v>
      </c>
      <c r="C2865" s="427">
        <f t="shared" si="88"/>
        <v>1999</v>
      </c>
      <c r="D2865" s="433">
        <f t="shared" si="89"/>
        <v>1975.46</v>
      </c>
    </row>
    <row r="2866" spans="1:4" ht="16.149999999999999" customHeight="1" x14ac:dyDescent="0.25">
      <c r="A2866" s="431">
        <v>36426</v>
      </c>
      <c r="B2866" s="434">
        <v>1992.36</v>
      </c>
      <c r="C2866" s="427">
        <f t="shared" si="88"/>
        <v>1999</v>
      </c>
      <c r="D2866" s="433">
        <f t="shared" si="89"/>
        <v>1992.36</v>
      </c>
    </row>
    <row r="2867" spans="1:4" ht="16.149999999999999" customHeight="1" x14ac:dyDescent="0.25">
      <c r="A2867" s="431">
        <v>36427</v>
      </c>
      <c r="B2867" s="432">
        <v>1994.86</v>
      </c>
      <c r="C2867" s="427">
        <f t="shared" si="88"/>
        <v>1999</v>
      </c>
      <c r="D2867" s="433">
        <f t="shared" si="89"/>
        <v>1994.86</v>
      </c>
    </row>
    <row r="2868" spans="1:4" ht="16.149999999999999" customHeight="1" x14ac:dyDescent="0.25">
      <c r="A2868" s="431">
        <v>36428</v>
      </c>
      <c r="B2868" s="434">
        <v>1995.64</v>
      </c>
      <c r="C2868" s="427">
        <f t="shared" si="88"/>
        <v>1999</v>
      </c>
      <c r="D2868" s="433">
        <f t="shared" si="89"/>
        <v>1995.64</v>
      </c>
    </row>
    <row r="2869" spans="1:4" ht="16.149999999999999" customHeight="1" x14ac:dyDescent="0.25">
      <c r="A2869" s="431">
        <v>36429</v>
      </c>
      <c r="B2869" s="432">
        <v>1995.64</v>
      </c>
      <c r="C2869" s="427">
        <f t="shared" si="88"/>
        <v>1999</v>
      </c>
      <c r="D2869" s="433">
        <f t="shared" si="89"/>
        <v>1995.64</v>
      </c>
    </row>
    <row r="2870" spans="1:4" ht="16.149999999999999" customHeight="1" x14ac:dyDescent="0.25">
      <c r="A2870" s="431">
        <v>36430</v>
      </c>
      <c r="B2870" s="434">
        <v>1995.64</v>
      </c>
      <c r="C2870" s="427">
        <f t="shared" si="88"/>
        <v>1999</v>
      </c>
      <c r="D2870" s="433">
        <f t="shared" si="89"/>
        <v>1995.64</v>
      </c>
    </row>
    <row r="2871" spans="1:4" ht="16.149999999999999" customHeight="1" x14ac:dyDescent="0.25">
      <c r="A2871" s="431">
        <v>36431</v>
      </c>
      <c r="B2871" s="432">
        <v>2013.24</v>
      </c>
      <c r="C2871" s="427">
        <f t="shared" si="88"/>
        <v>1999</v>
      </c>
      <c r="D2871" s="433">
        <f t="shared" si="89"/>
        <v>2013.24</v>
      </c>
    </row>
    <row r="2872" spans="1:4" ht="16.149999999999999" customHeight="1" x14ac:dyDescent="0.25">
      <c r="A2872" s="431">
        <v>36432</v>
      </c>
      <c r="B2872" s="434">
        <v>2003.82</v>
      </c>
      <c r="C2872" s="427">
        <f t="shared" si="88"/>
        <v>1999</v>
      </c>
      <c r="D2872" s="433">
        <f t="shared" si="89"/>
        <v>2003.82</v>
      </c>
    </row>
    <row r="2873" spans="1:4" ht="16.149999999999999" customHeight="1" x14ac:dyDescent="0.25">
      <c r="A2873" s="431">
        <v>36433</v>
      </c>
      <c r="B2873" s="432">
        <v>2017.27</v>
      </c>
      <c r="C2873" s="427">
        <f t="shared" si="88"/>
        <v>1999</v>
      </c>
      <c r="D2873" s="433">
        <f t="shared" si="89"/>
        <v>2017.27</v>
      </c>
    </row>
    <row r="2874" spans="1:4" ht="16.149999999999999" customHeight="1" x14ac:dyDescent="0.25">
      <c r="A2874" s="431">
        <v>36434</v>
      </c>
      <c r="B2874" s="434">
        <v>2015.15</v>
      </c>
      <c r="C2874" s="427">
        <f t="shared" si="88"/>
        <v>1999</v>
      </c>
      <c r="D2874" s="433">
        <f t="shared" si="89"/>
        <v>2015.15</v>
      </c>
    </row>
    <row r="2875" spans="1:4" ht="16.149999999999999" customHeight="1" x14ac:dyDescent="0.25">
      <c r="A2875" s="431">
        <v>36435</v>
      </c>
      <c r="B2875" s="432">
        <v>2004.22</v>
      </c>
      <c r="C2875" s="427">
        <f t="shared" si="88"/>
        <v>1999</v>
      </c>
      <c r="D2875" s="433">
        <f t="shared" si="89"/>
        <v>2004.22</v>
      </c>
    </row>
    <row r="2876" spans="1:4" ht="16.149999999999999" customHeight="1" x14ac:dyDescent="0.25">
      <c r="A2876" s="431">
        <v>36436</v>
      </c>
      <c r="B2876" s="434">
        <v>2004.22</v>
      </c>
      <c r="C2876" s="427">
        <f t="shared" si="88"/>
        <v>1999</v>
      </c>
      <c r="D2876" s="433">
        <f t="shared" si="89"/>
        <v>2004.22</v>
      </c>
    </row>
    <row r="2877" spans="1:4" ht="16.149999999999999" customHeight="1" x14ac:dyDescent="0.25">
      <c r="A2877" s="431">
        <v>36437</v>
      </c>
      <c r="B2877" s="432">
        <v>2004.22</v>
      </c>
      <c r="C2877" s="427">
        <f t="shared" si="88"/>
        <v>1999</v>
      </c>
      <c r="D2877" s="433">
        <f t="shared" si="89"/>
        <v>2004.22</v>
      </c>
    </row>
    <row r="2878" spans="1:4" ht="16.149999999999999" customHeight="1" x14ac:dyDescent="0.25">
      <c r="A2878" s="431">
        <v>36438</v>
      </c>
      <c r="B2878" s="434">
        <v>1992.65</v>
      </c>
      <c r="C2878" s="427">
        <f t="shared" si="88"/>
        <v>1999</v>
      </c>
      <c r="D2878" s="433">
        <f t="shared" si="89"/>
        <v>1992.65</v>
      </c>
    </row>
    <row r="2879" spans="1:4" ht="16.149999999999999" customHeight="1" x14ac:dyDescent="0.25">
      <c r="A2879" s="431">
        <v>36439</v>
      </c>
      <c r="B2879" s="432">
        <v>2000.48</v>
      </c>
      <c r="C2879" s="427">
        <f t="shared" si="88"/>
        <v>1999</v>
      </c>
      <c r="D2879" s="433">
        <f t="shared" si="89"/>
        <v>2000.48</v>
      </c>
    </row>
    <row r="2880" spans="1:4" ht="16.149999999999999" customHeight="1" x14ac:dyDescent="0.25">
      <c r="A2880" s="431">
        <v>36440</v>
      </c>
      <c r="B2880" s="434">
        <v>1995.71</v>
      </c>
      <c r="C2880" s="427">
        <f t="shared" si="88"/>
        <v>1999</v>
      </c>
      <c r="D2880" s="433">
        <f t="shared" si="89"/>
        <v>1995.71</v>
      </c>
    </row>
    <row r="2881" spans="1:4" ht="16.149999999999999" customHeight="1" x14ac:dyDescent="0.25">
      <c r="A2881" s="431">
        <v>36441</v>
      </c>
      <c r="B2881" s="432">
        <v>1993.18</v>
      </c>
      <c r="C2881" s="427">
        <f t="shared" si="88"/>
        <v>1999</v>
      </c>
      <c r="D2881" s="433">
        <f t="shared" si="89"/>
        <v>1993.18</v>
      </c>
    </row>
    <row r="2882" spans="1:4" ht="16.149999999999999" customHeight="1" x14ac:dyDescent="0.25">
      <c r="A2882" s="431">
        <v>36442</v>
      </c>
      <c r="B2882" s="434">
        <v>1992.74</v>
      </c>
      <c r="C2882" s="427">
        <f t="shared" si="88"/>
        <v>1999</v>
      </c>
      <c r="D2882" s="433">
        <f t="shared" si="89"/>
        <v>1992.74</v>
      </c>
    </row>
    <row r="2883" spans="1:4" ht="16.149999999999999" customHeight="1" x14ac:dyDescent="0.25">
      <c r="A2883" s="431">
        <v>36443</v>
      </c>
      <c r="B2883" s="432">
        <v>1992.74</v>
      </c>
      <c r="C2883" s="427">
        <f t="shared" si="88"/>
        <v>1999</v>
      </c>
      <c r="D2883" s="433">
        <f t="shared" si="89"/>
        <v>1992.74</v>
      </c>
    </row>
    <row r="2884" spans="1:4" ht="16.149999999999999" customHeight="1" x14ac:dyDescent="0.25">
      <c r="A2884" s="431">
        <v>36444</v>
      </c>
      <c r="B2884" s="434">
        <v>1992.74</v>
      </c>
      <c r="C2884" s="427">
        <f t="shared" si="88"/>
        <v>1999</v>
      </c>
      <c r="D2884" s="433">
        <f t="shared" si="89"/>
        <v>1992.74</v>
      </c>
    </row>
    <row r="2885" spans="1:4" ht="16.149999999999999" customHeight="1" x14ac:dyDescent="0.25">
      <c r="A2885" s="431">
        <v>36445</v>
      </c>
      <c r="B2885" s="432">
        <v>1992.03</v>
      </c>
      <c r="C2885" s="427">
        <f t="shared" si="88"/>
        <v>1999</v>
      </c>
      <c r="D2885" s="433">
        <f t="shared" si="89"/>
        <v>1992.03</v>
      </c>
    </row>
    <row r="2886" spans="1:4" ht="16.149999999999999" customHeight="1" x14ac:dyDescent="0.25">
      <c r="A2886" s="431">
        <v>36446</v>
      </c>
      <c r="B2886" s="434">
        <v>1988.7</v>
      </c>
      <c r="C2886" s="427">
        <f t="shared" si="88"/>
        <v>1999</v>
      </c>
      <c r="D2886" s="433">
        <f t="shared" si="89"/>
        <v>1988.7</v>
      </c>
    </row>
    <row r="2887" spans="1:4" ht="16.149999999999999" customHeight="1" x14ac:dyDescent="0.25">
      <c r="A2887" s="431">
        <v>36447</v>
      </c>
      <c r="B2887" s="432">
        <v>1981.14</v>
      </c>
      <c r="C2887" s="427">
        <f t="shared" si="88"/>
        <v>1999</v>
      </c>
      <c r="D2887" s="433">
        <f t="shared" si="89"/>
        <v>1981.14</v>
      </c>
    </row>
    <row r="2888" spans="1:4" ht="16.149999999999999" customHeight="1" x14ac:dyDescent="0.25">
      <c r="A2888" s="431">
        <v>36448</v>
      </c>
      <c r="B2888" s="434">
        <v>1975.8</v>
      </c>
      <c r="C2888" s="427">
        <f t="shared" si="88"/>
        <v>1999</v>
      </c>
      <c r="D2888" s="433">
        <f t="shared" si="89"/>
        <v>1975.8</v>
      </c>
    </row>
    <row r="2889" spans="1:4" ht="16.149999999999999" customHeight="1" x14ac:dyDescent="0.25">
      <c r="A2889" s="431">
        <v>36449</v>
      </c>
      <c r="B2889" s="432">
        <v>1977.04</v>
      </c>
      <c r="C2889" s="427">
        <f t="shared" si="88"/>
        <v>1999</v>
      </c>
      <c r="D2889" s="433">
        <f t="shared" si="89"/>
        <v>1977.04</v>
      </c>
    </row>
    <row r="2890" spans="1:4" ht="16.149999999999999" customHeight="1" x14ac:dyDescent="0.25">
      <c r="A2890" s="431">
        <v>36450</v>
      </c>
      <c r="B2890" s="434">
        <v>1977.04</v>
      </c>
      <c r="C2890" s="427">
        <f t="shared" ref="C2890:C2953" si="90">YEAR(A2890)</f>
        <v>1999</v>
      </c>
      <c r="D2890" s="433">
        <f t="shared" ref="D2890:D2953" si="91">B2890</f>
        <v>1977.04</v>
      </c>
    </row>
    <row r="2891" spans="1:4" ht="16.149999999999999" customHeight="1" x14ac:dyDescent="0.25">
      <c r="A2891" s="431">
        <v>36451</v>
      </c>
      <c r="B2891" s="432">
        <v>1977.04</v>
      </c>
      <c r="C2891" s="427">
        <f t="shared" si="90"/>
        <v>1999</v>
      </c>
      <c r="D2891" s="433">
        <f t="shared" si="91"/>
        <v>1977.04</v>
      </c>
    </row>
    <row r="2892" spans="1:4" ht="16.149999999999999" customHeight="1" x14ac:dyDescent="0.25">
      <c r="A2892" s="431">
        <v>36452</v>
      </c>
      <c r="B2892" s="434">
        <v>1977.04</v>
      </c>
      <c r="C2892" s="427">
        <f t="shared" si="90"/>
        <v>1999</v>
      </c>
      <c r="D2892" s="433">
        <f t="shared" si="91"/>
        <v>1977.04</v>
      </c>
    </row>
    <row r="2893" spans="1:4" ht="16.149999999999999" customHeight="1" x14ac:dyDescent="0.25">
      <c r="A2893" s="431">
        <v>36453</v>
      </c>
      <c r="B2893" s="432">
        <v>1965.92</v>
      </c>
      <c r="C2893" s="427">
        <f t="shared" si="90"/>
        <v>1999</v>
      </c>
      <c r="D2893" s="433">
        <f t="shared" si="91"/>
        <v>1965.92</v>
      </c>
    </row>
    <row r="2894" spans="1:4" ht="16.149999999999999" customHeight="1" x14ac:dyDescent="0.25">
      <c r="A2894" s="431">
        <v>36454</v>
      </c>
      <c r="B2894" s="434">
        <v>1957.53</v>
      </c>
      <c r="C2894" s="427">
        <f t="shared" si="90"/>
        <v>1999</v>
      </c>
      <c r="D2894" s="433">
        <f t="shared" si="91"/>
        <v>1957.53</v>
      </c>
    </row>
    <row r="2895" spans="1:4" ht="16.149999999999999" customHeight="1" x14ac:dyDescent="0.25">
      <c r="A2895" s="431">
        <v>36455</v>
      </c>
      <c r="B2895" s="432">
        <v>1946</v>
      </c>
      <c r="C2895" s="427">
        <f t="shared" si="90"/>
        <v>1999</v>
      </c>
      <c r="D2895" s="433">
        <f t="shared" si="91"/>
        <v>1946</v>
      </c>
    </row>
    <row r="2896" spans="1:4" ht="16.149999999999999" customHeight="1" x14ac:dyDescent="0.25">
      <c r="A2896" s="431">
        <v>36456</v>
      </c>
      <c r="B2896" s="434">
        <v>1946.24</v>
      </c>
      <c r="C2896" s="427">
        <f t="shared" si="90"/>
        <v>1999</v>
      </c>
      <c r="D2896" s="433">
        <f t="shared" si="91"/>
        <v>1946.24</v>
      </c>
    </row>
    <row r="2897" spans="1:4" ht="16.149999999999999" customHeight="1" x14ac:dyDescent="0.25">
      <c r="A2897" s="431">
        <v>36457</v>
      </c>
      <c r="B2897" s="432">
        <v>1946.24</v>
      </c>
      <c r="C2897" s="427">
        <f t="shared" si="90"/>
        <v>1999</v>
      </c>
      <c r="D2897" s="433">
        <f t="shared" si="91"/>
        <v>1946.24</v>
      </c>
    </row>
    <row r="2898" spans="1:4" ht="16.149999999999999" customHeight="1" x14ac:dyDescent="0.25">
      <c r="A2898" s="431">
        <v>36458</v>
      </c>
      <c r="B2898" s="434">
        <v>1946.24</v>
      </c>
      <c r="C2898" s="427">
        <f t="shared" si="90"/>
        <v>1999</v>
      </c>
      <c r="D2898" s="433">
        <f t="shared" si="91"/>
        <v>1946.24</v>
      </c>
    </row>
    <row r="2899" spans="1:4" ht="16.149999999999999" customHeight="1" x14ac:dyDescent="0.25">
      <c r="A2899" s="431">
        <v>36459</v>
      </c>
      <c r="B2899" s="432">
        <v>1949.33</v>
      </c>
      <c r="C2899" s="427">
        <f t="shared" si="90"/>
        <v>1999</v>
      </c>
      <c r="D2899" s="433">
        <f t="shared" si="91"/>
        <v>1949.33</v>
      </c>
    </row>
    <row r="2900" spans="1:4" ht="16.149999999999999" customHeight="1" x14ac:dyDescent="0.25">
      <c r="A2900" s="431">
        <v>36460</v>
      </c>
      <c r="B2900" s="434">
        <v>1966.07</v>
      </c>
      <c r="C2900" s="427">
        <f t="shared" si="90"/>
        <v>1999</v>
      </c>
      <c r="D2900" s="433">
        <f t="shared" si="91"/>
        <v>1966.07</v>
      </c>
    </row>
    <row r="2901" spans="1:4" ht="16.149999999999999" customHeight="1" x14ac:dyDescent="0.25">
      <c r="A2901" s="431">
        <v>36461</v>
      </c>
      <c r="B2901" s="432">
        <v>1968.9</v>
      </c>
      <c r="C2901" s="427">
        <f t="shared" si="90"/>
        <v>1999</v>
      </c>
      <c r="D2901" s="433">
        <f t="shared" si="91"/>
        <v>1968.9</v>
      </c>
    </row>
    <row r="2902" spans="1:4" ht="16.149999999999999" customHeight="1" x14ac:dyDescent="0.25">
      <c r="A2902" s="431">
        <v>36462</v>
      </c>
      <c r="B2902" s="434">
        <v>1965.44</v>
      </c>
      <c r="C2902" s="427">
        <f t="shared" si="90"/>
        <v>1999</v>
      </c>
      <c r="D2902" s="433">
        <f t="shared" si="91"/>
        <v>1965.44</v>
      </c>
    </row>
    <row r="2903" spans="1:4" ht="16.149999999999999" customHeight="1" x14ac:dyDescent="0.25">
      <c r="A2903" s="431">
        <v>36463</v>
      </c>
      <c r="B2903" s="432">
        <v>1971.59</v>
      </c>
      <c r="C2903" s="427">
        <f t="shared" si="90"/>
        <v>1999</v>
      </c>
      <c r="D2903" s="433">
        <f t="shared" si="91"/>
        <v>1971.59</v>
      </c>
    </row>
    <row r="2904" spans="1:4" ht="16.149999999999999" customHeight="1" x14ac:dyDescent="0.25">
      <c r="A2904" s="431">
        <v>36464</v>
      </c>
      <c r="B2904" s="434">
        <v>1971.59</v>
      </c>
      <c r="C2904" s="427">
        <f t="shared" si="90"/>
        <v>1999</v>
      </c>
      <c r="D2904" s="433">
        <f t="shared" si="91"/>
        <v>1971.59</v>
      </c>
    </row>
    <row r="2905" spans="1:4" ht="16.149999999999999" customHeight="1" x14ac:dyDescent="0.25">
      <c r="A2905" s="431">
        <v>36465</v>
      </c>
      <c r="B2905" s="432">
        <v>1971.59</v>
      </c>
      <c r="C2905" s="427">
        <f t="shared" si="90"/>
        <v>1999</v>
      </c>
      <c r="D2905" s="433">
        <f t="shared" si="91"/>
        <v>1971.59</v>
      </c>
    </row>
    <row r="2906" spans="1:4" ht="16.149999999999999" customHeight="1" x14ac:dyDescent="0.25">
      <c r="A2906" s="431">
        <v>36466</v>
      </c>
      <c r="B2906" s="434">
        <v>1971.59</v>
      </c>
      <c r="C2906" s="427">
        <f t="shared" si="90"/>
        <v>1999</v>
      </c>
      <c r="D2906" s="433">
        <f t="shared" si="91"/>
        <v>1971.59</v>
      </c>
    </row>
    <row r="2907" spans="1:4" ht="16.149999999999999" customHeight="1" x14ac:dyDescent="0.25">
      <c r="A2907" s="431">
        <v>36467</v>
      </c>
      <c r="B2907" s="432">
        <v>1966.5</v>
      </c>
      <c r="C2907" s="427">
        <f t="shared" si="90"/>
        <v>1999</v>
      </c>
      <c r="D2907" s="433">
        <f t="shared" si="91"/>
        <v>1966.5</v>
      </c>
    </row>
    <row r="2908" spans="1:4" ht="16.149999999999999" customHeight="1" x14ac:dyDescent="0.25">
      <c r="A2908" s="431">
        <v>36468</v>
      </c>
      <c r="B2908" s="434">
        <v>1960.7</v>
      </c>
      <c r="C2908" s="427">
        <f t="shared" si="90"/>
        <v>1999</v>
      </c>
      <c r="D2908" s="433">
        <f t="shared" si="91"/>
        <v>1960.7</v>
      </c>
    </row>
    <row r="2909" spans="1:4" ht="16.149999999999999" customHeight="1" x14ac:dyDescent="0.25">
      <c r="A2909" s="431">
        <v>36469</v>
      </c>
      <c r="B2909" s="432">
        <v>1962.16</v>
      </c>
      <c r="C2909" s="427">
        <f t="shared" si="90"/>
        <v>1999</v>
      </c>
      <c r="D2909" s="433">
        <f t="shared" si="91"/>
        <v>1962.16</v>
      </c>
    </row>
    <row r="2910" spans="1:4" ht="16.149999999999999" customHeight="1" x14ac:dyDescent="0.25">
      <c r="A2910" s="431">
        <v>36470</v>
      </c>
      <c r="B2910" s="434">
        <v>1959.46</v>
      </c>
      <c r="C2910" s="427">
        <f t="shared" si="90"/>
        <v>1999</v>
      </c>
      <c r="D2910" s="433">
        <f t="shared" si="91"/>
        <v>1959.46</v>
      </c>
    </row>
    <row r="2911" spans="1:4" ht="16.149999999999999" customHeight="1" x14ac:dyDescent="0.25">
      <c r="A2911" s="431">
        <v>36471</v>
      </c>
      <c r="B2911" s="432">
        <v>1959.46</v>
      </c>
      <c r="C2911" s="427">
        <f t="shared" si="90"/>
        <v>1999</v>
      </c>
      <c r="D2911" s="433">
        <f t="shared" si="91"/>
        <v>1959.46</v>
      </c>
    </row>
    <row r="2912" spans="1:4" ht="16.149999999999999" customHeight="1" x14ac:dyDescent="0.25">
      <c r="A2912" s="431">
        <v>36472</v>
      </c>
      <c r="B2912" s="434">
        <v>1959.46</v>
      </c>
      <c r="C2912" s="427">
        <f t="shared" si="90"/>
        <v>1999</v>
      </c>
      <c r="D2912" s="433">
        <f t="shared" si="91"/>
        <v>1959.46</v>
      </c>
    </row>
    <row r="2913" spans="1:4" ht="16.149999999999999" customHeight="1" x14ac:dyDescent="0.25">
      <c r="A2913" s="431">
        <v>36473</v>
      </c>
      <c r="B2913" s="432">
        <v>1954.56</v>
      </c>
      <c r="C2913" s="427">
        <f t="shared" si="90"/>
        <v>1999</v>
      </c>
      <c r="D2913" s="433">
        <f t="shared" si="91"/>
        <v>1954.56</v>
      </c>
    </row>
    <row r="2914" spans="1:4" ht="16.149999999999999" customHeight="1" x14ac:dyDescent="0.25">
      <c r="A2914" s="431">
        <v>36474</v>
      </c>
      <c r="B2914" s="434">
        <v>1948.05</v>
      </c>
      <c r="C2914" s="427">
        <f t="shared" si="90"/>
        <v>1999</v>
      </c>
      <c r="D2914" s="433">
        <f t="shared" si="91"/>
        <v>1948.05</v>
      </c>
    </row>
    <row r="2915" spans="1:4" ht="16.149999999999999" customHeight="1" x14ac:dyDescent="0.25">
      <c r="A2915" s="431">
        <v>36475</v>
      </c>
      <c r="B2915" s="432">
        <v>1951.11</v>
      </c>
      <c r="C2915" s="427">
        <f t="shared" si="90"/>
        <v>1999</v>
      </c>
      <c r="D2915" s="433">
        <f t="shared" si="91"/>
        <v>1951.11</v>
      </c>
    </row>
    <row r="2916" spans="1:4" ht="16.149999999999999" customHeight="1" x14ac:dyDescent="0.25">
      <c r="A2916" s="431">
        <v>36476</v>
      </c>
      <c r="B2916" s="434">
        <v>1958.41</v>
      </c>
      <c r="C2916" s="427">
        <f t="shared" si="90"/>
        <v>1999</v>
      </c>
      <c r="D2916" s="433">
        <f t="shared" si="91"/>
        <v>1958.41</v>
      </c>
    </row>
    <row r="2917" spans="1:4" ht="16.149999999999999" customHeight="1" x14ac:dyDescent="0.25">
      <c r="A2917" s="431">
        <v>36477</v>
      </c>
      <c r="B2917" s="432">
        <v>1961.8</v>
      </c>
      <c r="C2917" s="427">
        <f t="shared" si="90"/>
        <v>1999</v>
      </c>
      <c r="D2917" s="433">
        <f t="shared" si="91"/>
        <v>1961.8</v>
      </c>
    </row>
    <row r="2918" spans="1:4" ht="16.149999999999999" customHeight="1" x14ac:dyDescent="0.25">
      <c r="A2918" s="431">
        <v>36478</v>
      </c>
      <c r="B2918" s="434">
        <v>1961.8</v>
      </c>
      <c r="C2918" s="427">
        <f t="shared" si="90"/>
        <v>1999</v>
      </c>
      <c r="D2918" s="433">
        <f t="shared" si="91"/>
        <v>1961.8</v>
      </c>
    </row>
    <row r="2919" spans="1:4" ht="16.149999999999999" customHeight="1" x14ac:dyDescent="0.25">
      <c r="A2919" s="431">
        <v>36479</v>
      </c>
      <c r="B2919" s="432">
        <v>1961.8</v>
      </c>
      <c r="C2919" s="427">
        <f t="shared" si="90"/>
        <v>1999</v>
      </c>
      <c r="D2919" s="433">
        <f t="shared" si="91"/>
        <v>1961.8</v>
      </c>
    </row>
    <row r="2920" spans="1:4" ht="16.149999999999999" customHeight="1" x14ac:dyDescent="0.25">
      <c r="A2920" s="431">
        <v>36480</v>
      </c>
      <c r="B2920" s="434">
        <v>1961.8</v>
      </c>
      <c r="C2920" s="427">
        <f t="shared" si="90"/>
        <v>1999</v>
      </c>
      <c r="D2920" s="433">
        <f t="shared" si="91"/>
        <v>1961.8</v>
      </c>
    </row>
    <row r="2921" spans="1:4" ht="16.149999999999999" customHeight="1" x14ac:dyDescent="0.25">
      <c r="A2921" s="431">
        <v>36481</v>
      </c>
      <c r="B2921" s="432">
        <v>1961.7</v>
      </c>
      <c r="C2921" s="427">
        <f t="shared" si="90"/>
        <v>1999</v>
      </c>
      <c r="D2921" s="433">
        <f t="shared" si="91"/>
        <v>1961.7</v>
      </c>
    </row>
    <row r="2922" spans="1:4" ht="16.149999999999999" customHeight="1" x14ac:dyDescent="0.25">
      <c r="A2922" s="431">
        <v>36482</v>
      </c>
      <c r="B2922" s="434">
        <v>1946.27</v>
      </c>
      <c r="C2922" s="427">
        <f t="shared" si="90"/>
        <v>1999</v>
      </c>
      <c r="D2922" s="433">
        <f t="shared" si="91"/>
        <v>1946.27</v>
      </c>
    </row>
    <row r="2923" spans="1:4" ht="16.149999999999999" customHeight="1" x14ac:dyDescent="0.25">
      <c r="A2923" s="431">
        <v>36483</v>
      </c>
      <c r="B2923" s="432">
        <v>1927.47</v>
      </c>
      <c r="C2923" s="427">
        <f t="shared" si="90"/>
        <v>1999</v>
      </c>
      <c r="D2923" s="433">
        <f t="shared" si="91"/>
        <v>1927.47</v>
      </c>
    </row>
    <row r="2924" spans="1:4" ht="16.149999999999999" customHeight="1" x14ac:dyDescent="0.25">
      <c r="A2924" s="431">
        <v>36484</v>
      </c>
      <c r="B2924" s="434">
        <v>1925.11</v>
      </c>
      <c r="C2924" s="427">
        <f t="shared" si="90"/>
        <v>1999</v>
      </c>
      <c r="D2924" s="433">
        <f t="shared" si="91"/>
        <v>1925.11</v>
      </c>
    </row>
    <row r="2925" spans="1:4" ht="16.149999999999999" customHeight="1" x14ac:dyDescent="0.25">
      <c r="A2925" s="431">
        <v>36485</v>
      </c>
      <c r="B2925" s="432">
        <v>1925.11</v>
      </c>
      <c r="C2925" s="427">
        <f t="shared" si="90"/>
        <v>1999</v>
      </c>
      <c r="D2925" s="433">
        <f t="shared" si="91"/>
        <v>1925.11</v>
      </c>
    </row>
    <row r="2926" spans="1:4" ht="16.149999999999999" customHeight="1" x14ac:dyDescent="0.25">
      <c r="A2926" s="431">
        <v>36486</v>
      </c>
      <c r="B2926" s="434">
        <v>1925.11</v>
      </c>
      <c r="C2926" s="427">
        <f t="shared" si="90"/>
        <v>1999</v>
      </c>
      <c r="D2926" s="433">
        <f t="shared" si="91"/>
        <v>1925.11</v>
      </c>
    </row>
    <row r="2927" spans="1:4" ht="16.149999999999999" customHeight="1" x14ac:dyDescent="0.25">
      <c r="A2927" s="431">
        <v>36487</v>
      </c>
      <c r="B2927" s="432">
        <v>1935.48</v>
      </c>
      <c r="C2927" s="427">
        <f t="shared" si="90"/>
        <v>1999</v>
      </c>
      <c r="D2927" s="433">
        <f t="shared" si="91"/>
        <v>1935.48</v>
      </c>
    </row>
    <row r="2928" spans="1:4" ht="16.149999999999999" customHeight="1" x14ac:dyDescent="0.25">
      <c r="A2928" s="431">
        <v>36488</v>
      </c>
      <c r="B2928" s="434">
        <v>1925</v>
      </c>
      <c r="C2928" s="427">
        <f t="shared" si="90"/>
        <v>1999</v>
      </c>
      <c r="D2928" s="433">
        <f t="shared" si="91"/>
        <v>1925</v>
      </c>
    </row>
    <row r="2929" spans="1:4" ht="16.149999999999999" customHeight="1" x14ac:dyDescent="0.25">
      <c r="A2929" s="431">
        <v>36489</v>
      </c>
      <c r="B2929" s="432">
        <v>1912.86</v>
      </c>
      <c r="C2929" s="427">
        <f t="shared" si="90"/>
        <v>1999</v>
      </c>
      <c r="D2929" s="433">
        <f t="shared" si="91"/>
        <v>1912.86</v>
      </c>
    </row>
    <row r="2930" spans="1:4" ht="16.149999999999999" customHeight="1" x14ac:dyDescent="0.25">
      <c r="A2930" s="431">
        <v>36490</v>
      </c>
      <c r="B2930" s="434">
        <v>1918.85</v>
      </c>
      <c r="C2930" s="427">
        <f t="shared" si="90"/>
        <v>1999</v>
      </c>
      <c r="D2930" s="433">
        <f t="shared" si="91"/>
        <v>1918.85</v>
      </c>
    </row>
    <row r="2931" spans="1:4" ht="16.149999999999999" customHeight="1" x14ac:dyDescent="0.25">
      <c r="A2931" s="431">
        <v>36491</v>
      </c>
      <c r="B2931" s="432">
        <v>1921.93</v>
      </c>
      <c r="C2931" s="427">
        <f t="shared" si="90"/>
        <v>1999</v>
      </c>
      <c r="D2931" s="433">
        <f t="shared" si="91"/>
        <v>1921.93</v>
      </c>
    </row>
    <row r="2932" spans="1:4" ht="16.149999999999999" customHeight="1" x14ac:dyDescent="0.25">
      <c r="A2932" s="431">
        <v>36492</v>
      </c>
      <c r="B2932" s="434">
        <v>1921.93</v>
      </c>
      <c r="C2932" s="427">
        <f t="shared" si="90"/>
        <v>1999</v>
      </c>
      <c r="D2932" s="433">
        <f t="shared" si="91"/>
        <v>1921.93</v>
      </c>
    </row>
    <row r="2933" spans="1:4" ht="16.149999999999999" customHeight="1" x14ac:dyDescent="0.25">
      <c r="A2933" s="431">
        <v>36493</v>
      </c>
      <c r="B2933" s="432">
        <v>1921.93</v>
      </c>
      <c r="C2933" s="427">
        <f t="shared" si="90"/>
        <v>1999</v>
      </c>
      <c r="D2933" s="433">
        <f t="shared" si="91"/>
        <v>1921.93</v>
      </c>
    </row>
    <row r="2934" spans="1:4" ht="16.149999999999999" customHeight="1" x14ac:dyDescent="0.25">
      <c r="A2934" s="431">
        <v>36494</v>
      </c>
      <c r="B2934" s="434">
        <v>1923.77</v>
      </c>
      <c r="C2934" s="427">
        <f t="shared" si="90"/>
        <v>1999</v>
      </c>
      <c r="D2934" s="433">
        <f t="shared" si="91"/>
        <v>1923.77</v>
      </c>
    </row>
    <row r="2935" spans="1:4" ht="16.149999999999999" customHeight="1" x14ac:dyDescent="0.25">
      <c r="A2935" s="431">
        <v>36495</v>
      </c>
      <c r="B2935" s="432">
        <v>1922.47</v>
      </c>
      <c r="C2935" s="427">
        <f t="shared" si="90"/>
        <v>1999</v>
      </c>
      <c r="D2935" s="433">
        <f t="shared" si="91"/>
        <v>1922.47</v>
      </c>
    </row>
    <row r="2936" spans="1:4" ht="16.149999999999999" customHeight="1" x14ac:dyDescent="0.25">
      <c r="A2936" s="431">
        <v>36496</v>
      </c>
      <c r="B2936" s="434">
        <v>1918.63</v>
      </c>
      <c r="C2936" s="427">
        <f t="shared" si="90"/>
        <v>1999</v>
      </c>
      <c r="D2936" s="433">
        <f t="shared" si="91"/>
        <v>1918.63</v>
      </c>
    </row>
    <row r="2937" spans="1:4" ht="16.149999999999999" customHeight="1" x14ac:dyDescent="0.25">
      <c r="A2937" s="431">
        <v>36497</v>
      </c>
      <c r="B2937" s="432">
        <v>1911.35</v>
      </c>
      <c r="C2937" s="427">
        <f t="shared" si="90"/>
        <v>1999</v>
      </c>
      <c r="D2937" s="433">
        <f t="shared" si="91"/>
        <v>1911.35</v>
      </c>
    </row>
    <row r="2938" spans="1:4" ht="16.149999999999999" customHeight="1" x14ac:dyDescent="0.25">
      <c r="A2938" s="431">
        <v>36498</v>
      </c>
      <c r="B2938" s="434">
        <v>1903.8</v>
      </c>
      <c r="C2938" s="427">
        <f t="shared" si="90"/>
        <v>1999</v>
      </c>
      <c r="D2938" s="433">
        <f t="shared" si="91"/>
        <v>1903.8</v>
      </c>
    </row>
    <row r="2939" spans="1:4" ht="16.149999999999999" customHeight="1" x14ac:dyDescent="0.25">
      <c r="A2939" s="431">
        <v>36499</v>
      </c>
      <c r="B2939" s="432">
        <v>1903.8</v>
      </c>
      <c r="C2939" s="427">
        <f t="shared" si="90"/>
        <v>1999</v>
      </c>
      <c r="D2939" s="433">
        <f t="shared" si="91"/>
        <v>1903.8</v>
      </c>
    </row>
    <row r="2940" spans="1:4" ht="16.149999999999999" customHeight="1" x14ac:dyDescent="0.25">
      <c r="A2940" s="431">
        <v>36500</v>
      </c>
      <c r="B2940" s="434">
        <v>1903.8</v>
      </c>
      <c r="C2940" s="427">
        <f t="shared" si="90"/>
        <v>1999</v>
      </c>
      <c r="D2940" s="433">
        <f t="shared" si="91"/>
        <v>1903.8</v>
      </c>
    </row>
    <row r="2941" spans="1:4" ht="16.149999999999999" customHeight="1" x14ac:dyDescent="0.25">
      <c r="A2941" s="431">
        <v>36501</v>
      </c>
      <c r="B2941" s="432">
        <v>1886.46</v>
      </c>
      <c r="C2941" s="427">
        <f t="shared" si="90"/>
        <v>1999</v>
      </c>
      <c r="D2941" s="433">
        <f t="shared" si="91"/>
        <v>1886.46</v>
      </c>
    </row>
    <row r="2942" spans="1:4" ht="16.149999999999999" customHeight="1" x14ac:dyDescent="0.25">
      <c r="A2942" s="431">
        <v>36502</v>
      </c>
      <c r="B2942" s="434">
        <v>1888.99</v>
      </c>
      <c r="C2942" s="427">
        <f t="shared" si="90"/>
        <v>1999</v>
      </c>
      <c r="D2942" s="433">
        <f t="shared" si="91"/>
        <v>1888.99</v>
      </c>
    </row>
    <row r="2943" spans="1:4" ht="16.149999999999999" customHeight="1" x14ac:dyDescent="0.25">
      <c r="A2943" s="431">
        <v>36503</v>
      </c>
      <c r="B2943" s="432">
        <v>1888.99</v>
      </c>
      <c r="C2943" s="427">
        <f t="shared" si="90"/>
        <v>1999</v>
      </c>
      <c r="D2943" s="433">
        <f t="shared" si="91"/>
        <v>1888.99</v>
      </c>
    </row>
    <row r="2944" spans="1:4" ht="16.149999999999999" customHeight="1" x14ac:dyDescent="0.25">
      <c r="A2944" s="431">
        <v>36504</v>
      </c>
      <c r="B2944" s="434">
        <v>1906.91</v>
      </c>
      <c r="C2944" s="427">
        <f t="shared" si="90"/>
        <v>1999</v>
      </c>
      <c r="D2944" s="433">
        <f t="shared" si="91"/>
        <v>1906.91</v>
      </c>
    </row>
    <row r="2945" spans="1:4" ht="16.149999999999999" customHeight="1" x14ac:dyDescent="0.25">
      <c r="A2945" s="431">
        <v>36505</v>
      </c>
      <c r="B2945" s="432">
        <v>1900.22</v>
      </c>
      <c r="C2945" s="427">
        <f t="shared" si="90"/>
        <v>1999</v>
      </c>
      <c r="D2945" s="433">
        <f t="shared" si="91"/>
        <v>1900.22</v>
      </c>
    </row>
    <row r="2946" spans="1:4" ht="16.149999999999999" customHeight="1" x14ac:dyDescent="0.25">
      <c r="A2946" s="431">
        <v>36506</v>
      </c>
      <c r="B2946" s="434">
        <v>1900.22</v>
      </c>
      <c r="C2946" s="427">
        <f t="shared" si="90"/>
        <v>1999</v>
      </c>
      <c r="D2946" s="433">
        <f t="shared" si="91"/>
        <v>1900.22</v>
      </c>
    </row>
    <row r="2947" spans="1:4" ht="16.149999999999999" customHeight="1" x14ac:dyDescent="0.25">
      <c r="A2947" s="431">
        <v>36507</v>
      </c>
      <c r="B2947" s="432">
        <v>1900.22</v>
      </c>
      <c r="C2947" s="427">
        <f t="shared" si="90"/>
        <v>1999</v>
      </c>
      <c r="D2947" s="433">
        <f t="shared" si="91"/>
        <v>1900.22</v>
      </c>
    </row>
    <row r="2948" spans="1:4" ht="16.149999999999999" customHeight="1" x14ac:dyDescent="0.25">
      <c r="A2948" s="431">
        <v>36508</v>
      </c>
      <c r="B2948" s="434">
        <v>1905.5</v>
      </c>
      <c r="C2948" s="427">
        <f t="shared" si="90"/>
        <v>1999</v>
      </c>
      <c r="D2948" s="433">
        <f t="shared" si="91"/>
        <v>1905.5</v>
      </c>
    </row>
    <row r="2949" spans="1:4" ht="16.149999999999999" customHeight="1" x14ac:dyDescent="0.25">
      <c r="A2949" s="431">
        <v>36509</v>
      </c>
      <c r="B2949" s="432">
        <v>1891.67</v>
      </c>
      <c r="C2949" s="427">
        <f t="shared" si="90"/>
        <v>1999</v>
      </c>
      <c r="D2949" s="433">
        <f t="shared" si="91"/>
        <v>1891.67</v>
      </c>
    </row>
    <row r="2950" spans="1:4" ht="16.149999999999999" customHeight="1" x14ac:dyDescent="0.25">
      <c r="A2950" s="431">
        <v>36510</v>
      </c>
      <c r="B2950" s="434">
        <v>1874.14</v>
      </c>
      <c r="C2950" s="427">
        <f t="shared" si="90"/>
        <v>1999</v>
      </c>
      <c r="D2950" s="433">
        <f t="shared" si="91"/>
        <v>1874.14</v>
      </c>
    </row>
    <row r="2951" spans="1:4" ht="16.149999999999999" customHeight="1" x14ac:dyDescent="0.25">
      <c r="A2951" s="431">
        <v>36511</v>
      </c>
      <c r="B2951" s="432">
        <v>1879.55</v>
      </c>
      <c r="C2951" s="427">
        <f t="shared" si="90"/>
        <v>1999</v>
      </c>
      <c r="D2951" s="433">
        <f t="shared" si="91"/>
        <v>1879.55</v>
      </c>
    </row>
    <row r="2952" spans="1:4" ht="16.149999999999999" customHeight="1" x14ac:dyDescent="0.25">
      <c r="A2952" s="431">
        <v>36512</v>
      </c>
      <c r="B2952" s="434">
        <v>1867.02</v>
      </c>
      <c r="C2952" s="427">
        <f t="shared" si="90"/>
        <v>1999</v>
      </c>
      <c r="D2952" s="433">
        <f t="shared" si="91"/>
        <v>1867.02</v>
      </c>
    </row>
    <row r="2953" spans="1:4" ht="16.149999999999999" customHeight="1" x14ac:dyDescent="0.25">
      <c r="A2953" s="431">
        <v>36513</v>
      </c>
      <c r="B2953" s="432">
        <v>1867.02</v>
      </c>
      <c r="C2953" s="427">
        <f t="shared" si="90"/>
        <v>1999</v>
      </c>
      <c r="D2953" s="433">
        <f t="shared" si="91"/>
        <v>1867.02</v>
      </c>
    </row>
    <row r="2954" spans="1:4" ht="16.149999999999999" customHeight="1" x14ac:dyDescent="0.25">
      <c r="A2954" s="431">
        <v>36514</v>
      </c>
      <c r="B2954" s="434">
        <v>1867.02</v>
      </c>
      <c r="C2954" s="427">
        <f t="shared" ref="C2954:C3017" si="92">YEAR(A2954)</f>
        <v>1999</v>
      </c>
      <c r="D2954" s="433">
        <f t="shared" ref="D2954:D3017" si="93">B2954</f>
        <v>1867.02</v>
      </c>
    </row>
    <row r="2955" spans="1:4" ht="16.149999999999999" customHeight="1" x14ac:dyDescent="0.25">
      <c r="A2955" s="431">
        <v>36515</v>
      </c>
      <c r="B2955" s="432">
        <v>1868.47</v>
      </c>
      <c r="C2955" s="427">
        <f t="shared" si="92"/>
        <v>1999</v>
      </c>
      <c r="D2955" s="433">
        <f t="shared" si="93"/>
        <v>1868.47</v>
      </c>
    </row>
    <row r="2956" spans="1:4" ht="16.149999999999999" customHeight="1" x14ac:dyDescent="0.25">
      <c r="A2956" s="431">
        <v>36516</v>
      </c>
      <c r="B2956" s="434">
        <v>1884.64</v>
      </c>
      <c r="C2956" s="427">
        <f t="shared" si="92"/>
        <v>1999</v>
      </c>
      <c r="D2956" s="433">
        <f t="shared" si="93"/>
        <v>1884.64</v>
      </c>
    </row>
    <row r="2957" spans="1:4" ht="16.149999999999999" customHeight="1" x14ac:dyDescent="0.25">
      <c r="A2957" s="431">
        <v>36517</v>
      </c>
      <c r="B2957" s="432">
        <v>1886.27</v>
      </c>
      <c r="C2957" s="427">
        <f t="shared" si="92"/>
        <v>1999</v>
      </c>
      <c r="D2957" s="433">
        <f t="shared" si="93"/>
        <v>1886.27</v>
      </c>
    </row>
    <row r="2958" spans="1:4" ht="16.149999999999999" customHeight="1" x14ac:dyDescent="0.25">
      <c r="A2958" s="431">
        <v>36518</v>
      </c>
      <c r="B2958" s="434">
        <v>1874.77</v>
      </c>
      <c r="C2958" s="427">
        <f t="shared" si="92"/>
        <v>1999</v>
      </c>
      <c r="D2958" s="433">
        <f t="shared" si="93"/>
        <v>1874.77</v>
      </c>
    </row>
    <row r="2959" spans="1:4" ht="16.149999999999999" customHeight="1" x14ac:dyDescent="0.25">
      <c r="A2959" s="431">
        <v>36519</v>
      </c>
      <c r="B2959" s="432">
        <v>1874.58</v>
      </c>
      <c r="C2959" s="427">
        <f t="shared" si="92"/>
        <v>1999</v>
      </c>
      <c r="D2959" s="433">
        <f t="shared" si="93"/>
        <v>1874.58</v>
      </c>
    </row>
    <row r="2960" spans="1:4" ht="16.149999999999999" customHeight="1" x14ac:dyDescent="0.25">
      <c r="A2960" s="431">
        <v>36520</v>
      </c>
      <c r="B2960" s="434">
        <v>1874.58</v>
      </c>
      <c r="C2960" s="427">
        <f t="shared" si="92"/>
        <v>1999</v>
      </c>
      <c r="D2960" s="433">
        <f t="shared" si="93"/>
        <v>1874.58</v>
      </c>
    </row>
    <row r="2961" spans="1:4" ht="16.149999999999999" customHeight="1" x14ac:dyDescent="0.25">
      <c r="A2961" s="431">
        <v>36521</v>
      </c>
      <c r="B2961" s="432">
        <v>1874.58</v>
      </c>
      <c r="C2961" s="427">
        <f t="shared" si="92"/>
        <v>1999</v>
      </c>
      <c r="D2961" s="433">
        <f t="shared" si="93"/>
        <v>1874.58</v>
      </c>
    </row>
    <row r="2962" spans="1:4" ht="16.149999999999999" customHeight="1" x14ac:dyDescent="0.25">
      <c r="A2962" s="431">
        <v>36522</v>
      </c>
      <c r="B2962" s="434">
        <v>1870.65</v>
      </c>
      <c r="C2962" s="427">
        <f t="shared" si="92"/>
        <v>1999</v>
      </c>
      <c r="D2962" s="433">
        <f t="shared" si="93"/>
        <v>1870.65</v>
      </c>
    </row>
    <row r="2963" spans="1:4" ht="16.149999999999999" customHeight="1" x14ac:dyDescent="0.25">
      <c r="A2963" s="431">
        <v>36523</v>
      </c>
      <c r="B2963" s="432">
        <v>1867.82</v>
      </c>
      <c r="C2963" s="427">
        <f t="shared" si="92"/>
        <v>1999</v>
      </c>
      <c r="D2963" s="433">
        <f t="shared" si="93"/>
        <v>1867.82</v>
      </c>
    </row>
    <row r="2964" spans="1:4" ht="16.149999999999999" customHeight="1" x14ac:dyDescent="0.25">
      <c r="A2964" s="431">
        <v>36524</v>
      </c>
      <c r="B2964" s="434">
        <v>1873.77</v>
      </c>
      <c r="C2964" s="427">
        <f t="shared" si="92"/>
        <v>1999</v>
      </c>
      <c r="D2964" s="433">
        <f t="shared" si="93"/>
        <v>1873.77</v>
      </c>
    </row>
    <row r="2965" spans="1:4" ht="16.149999999999999" customHeight="1" x14ac:dyDescent="0.25">
      <c r="A2965" s="431">
        <v>36525</v>
      </c>
      <c r="B2965" s="432">
        <v>1873.77</v>
      </c>
      <c r="C2965" s="427">
        <f t="shared" si="92"/>
        <v>1999</v>
      </c>
      <c r="D2965" s="433">
        <f t="shared" si="93"/>
        <v>1873.77</v>
      </c>
    </row>
    <row r="2966" spans="1:4" ht="16.149999999999999" customHeight="1" x14ac:dyDescent="0.25">
      <c r="A2966" s="431">
        <v>36526</v>
      </c>
      <c r="B2966" s="434">
        <v>1873.77</v>
      </c>
      <c r="C2966" s="427">
        <f t="shared" si="92"/>
        <v>2000</v>
      </c>
      <c r="D2966" s="433">
        <f t="shared" si="93"/>
        <v>1873.77</v>
      </c>
    </row>
    <row r="2967" spans="1:4" ht="16.149999999999999" customHeight="1" x14ac:dyDescent="0.25">
      <c r="A2967" s="431">
        <v>36527</v>
      </c>
      <c r="B2967" s="432">
        <v>1873.77</v>
      </c>
      <c r="C2967" s="427">
        <f t="shared" si="92"/>
        <v>2000</v>
      </c>
      <c r="D2967" s="433">
        <f t="shared" si="93"/>
        <v>1873.77</v>
      </c>
    </row>
    <row r="2968" spans="1:4" ht="16.149999999999999" customHeight="1" x14ac:dyDescent="0.25">
      <c r="A2968" s="431">
        <v>36528</v>
      </c>
      <c r="B2968" s="434">
        <v>1873.77</v>
      </c>
      <c r="C2968" s="427">
        <f t="shared" si="92"/>
        <v>2000</v>
      </c>
      <c r="D2968" s="433">
        <f t="shared" si="93"/>
        <v>1873.77</v>
      </c>
    </row>
    <row r="2969" spans="1:4" ht="16.149999999999999" customHeight="1" x14ac:dyDescent="0.25">
      <c r="A2969" s="431">
        <v>36529</v>
      </c>
      <c r="B2969" s="432">
        <v>1874.35</v>
      </c>
      <c r="C2969" s="427">
        <f t="shared" si="92"/>
        <v>2000</v>
      </c>
      <c r="D2969" s="433">
        <f t="shared" si="93"/>
        <v>1874.35</v>
      </c>
    </row>
    <row r="2970" spans="1:4" ht="16.149999999999999" customHeight="1" x14ac:dyDescent="0.25">
      <c r="A2970" s="431">
        <v>36530</v>
      </c>
      <c r="B2970" s="434">
        <v>1895.97</v>
      </c>
      <c r="C2970" s="427">
        <f t="shared" si="92"/>
        <v>2000</v>
      </c>
      <c r="D2970" s="433">
        <f t="shared" si="93"/>
        <v>1895.97</v>
      </c>
    </row>
    <row r="2971" spans="1:4" ht="16.149999999999999" customHeight="1" x14ac:dyDescent="0.25">
      <c r="A2971" s="431">
        <v>36531</v>
      </c>
      <c r="B2971" s="432">
        <v>1912.69</v>
      </c>
      <c r="C2971" s="427">
        <f t="shared" si="92"/>
        <v>2000</v>
      </c>
      <c r="D2971" s="433">
        <f t="shared" si="93"/>
        <v>1912.69</v>
      </c>
    </row>
    <row r="2972" spans="1:4" ht="16.149999999999999" customHeight="1" x14ac:dyDescent="0.25">
      <c r="A2972" s="431">
        <v>36532</v>
      </c>
      <c r="B2972" s="434">
        <v>1911.33</v>
      </c>
      <c r="C2972" s="427">
        <f t="shared" si="92"/>
        <v>2000</v>
      </c>
      <c r="D2972" s="433">
        <f t="shared" si="93"/>
        <v>1911.33</v>
      </c>
    </row>
    <row r="2973" spans="1:4" ht="16.149999999999999" customHeight="1" x14ac:dyDescent="0.25">
      <c r="A2973" s="431">
        <v>36533</v>
      </c>
      <c r="B2973" s="432">
        <v>1900.14</v>
      </c>
      <c r="C2973" s="427">
        <f t="shared" si="92"/>
        <v>2000</v>
      </c>
      <c r="D2973" s="433">
        <f t="shared" si="93"/>
        <v>1900.14</v>
      </c>
    </row>
    <row r="2974" spans="1:4" ht="16.149999999999999" customHeight="1" x14ac:dyDescent="0.25">
      <c r="A2974" s="431">
        <v>36534</v>
      </c>
      <c r="B2974" s="434">
        <v>1900.14</v>
      </c>
      <c r="C2974" s="427">
        <f t="shared" si="92"/>
        <v>2000</v>
      </c>
      <c r="D2974" s="433">
        <f t="shared" si="93"/>
        <v>1900.14</v>
      </c>
    </row>
    <row r="2975" spans="1:4" ht="16.149999999999999" customHeight="1" x14ac:dyDescent="0.25">
      <c r="A2975" s="431">
        <v>36535</v>
      </c>
      <c r="B2975" s="432">
        <v>1900.14</v>
      </c>
      <c r="C2975" s="427">
        <f t="shared" si="92"/>
        <v>2000</v>
      </c>
      <c r="D2975" s="433">
        <f t="shared" si="93"/>
        <v>1900.14</v>
      </c>
    </row>
    <row r="2976" spans="1:4" ht="16.149999999999999" customHeight="1" x14ac:dyDescent="0.25">
      <c r="A2976" s="431">
        <v>36536</v>
      </c>
      <c r="B2976" s="434">
        <v>1900.14</v>
      </c>
      <c r="C2976" s="427">
        <f t="shared" si="92"/>
        <v>2000</v>
      </c>
      <c r="D2976" s="433">
        <f t="shared" si="93"/>
        <v>1900.14</v>
      </c>
    </row>
    <row r="2977" spans="1:4" ht="16.149999999999999" customHeight="1" x14ac:dyDescent="0.25">
      <c r="A2977" s="431">
        <v>36537</v>
      </c>
      <c r="B2977" s="432">
        <v>1902.25</v>
      </c>
      <c r="C2977" s="427">
        <f t="shared" si="92"/>
        <v>2000</v>
      </c>
      <c r="D2977" s="433">
        <f t="shared" si="93"/>
        <v>1902.25</v>
      </c>
    </row>
    <row r="2978" spans="1:4" ht="16.149999999999999" customHeight="1" x14ac:dyDescent="0.25">
      <c r="A2978" s="431">
        <v>36538</v>
      </c>
      <c r="B2978" s="434">
        <v>1904.54</v>
      </c>
      <c r="C2978" s="427">
        <f t="shared" si="92"/>
        <v>2000</v>
      </c>
      <c r="D2978" s="433">
        <f t="shared" si="93"/>
        <v>1904.54</v>
      </c>
    </row>
    <row r="2979" spans="1:4" ht="16.149999999999999" customHeight="1" x14ac:dyDescent="0.25">
      <c r="A2979" s="431">
        <v>36539</v>
      </c>
      <c r="B2979" s="432">
        <v>1917.38</v>
      </c>
      <c r="C2979" s="427">
        <f t="shared" si="92"/>
        <v>2000</v>
      </c>
      <c r="D2979" s="433">
        <f t="shared" si="93"/>
        <v>1917.38</v>
      </c>
    </row>
    <row r="2980" spans="1:4" ht="16.149999999999999" customHeight="1" x14ac:dyDescent="0.25">
      <c r="A2980" s="431">
        <v>36540</v>
      </c>
      <c r="B2980" s="434">
        <v>1920.83</v>
      </c>
      <c r="C2980" s="427">
        <f t="shared" si="92"/>
        <v>2000</v>
      </c>
      <c r="D2980" s="433">
        <f t="shared" si="93"/>
        <v>1920.83</v>
      </c>
    </row>
    <row r="2981" spans="1:4" ht="16.149999999999999" customHeight="1" x14ac:dyDescent="0.25">
      <c r="A2981" s="431">
        <v>36541</v>
      </c>
      <c r="B2981" s="432">
        <v>1920.83</v>
      </c>
      <c r="C2981" s="427">
        <f t="shared" si="92"/>
        <v>2000</v>
      </c>
      <c r="D2981" s="433">
        <f t="shared" si="93"/>
        <v>1920.83</v>
      </c>
    </row>
    <row r="2982" spans="1:4" ht="16.149999999999999" customHeight="1" x14ac:dyDescent="0.25">
      <c r="A2982" s="431">
        <v>36542</v>
      </c>
      <c r="B2982" s="434">
        <v>1920.83</v>
      </c>
      <c r="C2982" s="427">
        <f t="shared" si="92"/>
        <v>2000</v>
      </c>
      <c r="D2982" s="433">
        <f t="shared" si="93"/>
        <v>1920.83</v>
      </c>
    </row>
    <row r="2983" spans="1:4" ht="16.149999999999999" customHeight="1" x14ac:dyDescent="0.25">
      <c r="A2983" s="431">
        <v>36543</v>
      </c>
      <c r="B2983" s="432">
        <v>1919.21</v>
      </c>
      <c r="C2983" s="427">
        <f t="shared" si="92"/>
        <v>2000</v>
      </c>
      <c r="D2983" s="433">
        <f t="shared" si="93"/>
        <v>1919.21</v>
      </c>
    </row>
    <row r="2984" spans="1:4" ht="16.149999999999999" customHeight="1" x14ac:dyDescent="0.25">
      <c r="A2984" s="431">
        <v>36544</v>
      </c>
      <c r="B2984" s="434">
        <v>1928.51</v>
      </c>
      <c r="C2984" s="427">
        <f t="shared" si="92"/>
        <v>2000</v>
      </c>
      <c r="D2984" s="433">
        <f t="shared" si="93"/>
        <v>1928.51</v>
      </c>
    </row>
    <row r="2985" spans="1:4" ht="16.149999999999999" customHeight="1" x14ac:dyDescent="0.25">
      <c r="A2985" s="431">
        <v>36545</v>
      </c>
      <c r="B2985" s="432">
        <v>1945.17</v>
      </c>
      <c r="C2985" s="427">
        <f t="shared" si="92"/>
        <v>2000</v>
      </c>
      <c r="D2985" s="433">
        <f t="shared" si="93"/>
        <v>1945.17</v>
      </c>
    </row>
    <row r="2986" spans="1:4" ht="16.149999999999999" customHeight="1" x14ac:dyDescent="0.25">
      <c r="A2986" s="431">
        <v>36546</v>
      </c>
      <c r="B2986" s="434">
        <v>1938.84</v>
      </c>
      <c r="C2986" s="427">
        <f t="shared" si="92"/>
        <v>2000</v>
      </c>
      <c r="D2986" s="433">
        <f t="shared" si="93"/>
        <v>1938.84</v>
      </c>
    </row>
    <row r="2987" spans="1:4" ht="16.149999999999999" customHeight="1" x14ac:dyDescent="0.25">
      <c r="A2987" s="431">
        <v>36547</v>
      </c>
      <c r="B2987" s="432">
        <v>1931.97</v>
      </c>
      <c r="C2987" s="427">
        <f t="shared" si="92"/>
        <v>2000</v>
      </c>
      <c r="D2987" s="433">
        <f t="shared" si="93"/>
        <v>1931.97</v>
      </c>
    </row>
    <row r="2988" spans="1:4" ht="16.149999999999999" customHeight="1" x14ac:dyDescent="0.25">
      <c r="A2988" s="431">
        <v>36548</v>
      </c>
      <c r="B2988" s="434">
        <v>1931.97</v>
      </c>
      <c r="C2988" s="427">
        <f t="shared" si="92"/>
        <v>2000</v>
      </c>
      <c r="D2988" s="433">
        <f t="shared" si="93"/>
        <v>1931.97</v>
      </c>
    </row>
    <row r="2989" spans="1:4" ht="16.149999999999999" customHeight="1" x14ac:dyDescent="0.25">
      <c r="A2989" s="431">
        <v>36549</v>
      </c>
      <c r="B2989" s="432">
        <v>1931.97</v>
      </c>
      <c r="C2989" s="427">
        <f t="shared" si="92"/>
        <v>2000</v>
      </c>
      <c r="D2989" s="433">
        <f t="shared" si="93"/>
        <v>1931.97</v>
      </c>
    </row>
    <row r="2990" spans="1:4" ht="16.149999999999999" customHeight="1" x14ac:dyDescent="0.25">
      <c r="A2990" s="431">
        <v>36550</v>
      </c>
      <c r="B2990" s="434">
        <v>1943.88</v>
      </c>
      <c r="C2990" s="427">
        <f t="shared" si="92"/>
        <v>2000</v>
      </c>
      <c r="D2990" s="433">
        <f t="shared" si="93"/>
        <v>1943.88</v>
      </c>
    </row>
    <row r="2991" spans="1:4" ht="16.149999999999999" customHeight="1" x14ac:dyDescent="0.25">
      <c r="A2991" s="431">
        <v>36551</v>
      </c>
      <c r="B2991" s="432">
        <v>1939.63</v>
      </c>
      <c r="C2991" s="427">
        <f t="shared" si="92"/>
        <v>2000</v>
      </c>
      <c r="D2991" s="433">
        <f t="shared" si="93"/>
        <v>1939.63</v>
      </c>
    </row>
    <row r="2992" spans="1:4" ht="16.149999999999999" customHeight="1" x14ac:dyDescent="0.25">
      <c r="A2992" s="431">
        <v>36552</v>
      </c>
      <c r="B2992" s="434">
        <v>1958.17</v>
      </c>
      <c r="C2992" s="427">
        <f t="shared" si="92"/>
        <v>2000</v>
      </c>
      <c r="D2992" s="433">
        <f t="shared" si="93"/>
        <v>1958.17</v>
      </c>
    </row>
    <row r="2993" spans="1:4" ht="16.149999999999999" customHeight="1" x14ac:dyDescent="0.25">
      <c r="A2993" s="431">
        <v>36553</v>
      </c>
      <c r="B2993" s="432">
        <v>1976.14</v>
      </c>
      <c r="C2993" s="427">
        <f t="shared" si="92"/>
        <v>2000</v>
      </c>
      <c r="D2993" s="433">
        <f t="shared" si="93"/>
        <v>1976.14</v>
      </c>
    </row>
    <row r="2994" spans="1:4" ht="16.149999999999999" customHeight="1" x14ac:dyDescent="0.25">
      <c r="A2994" s="431">
        <v>36554</v>
      </c>
      <c r="B2994" s="434">
        <v>1976.72</v>
      </c>
      <c r="C2994" s="427">
        <f t="shared" si="92"/>
        <v>2000</v>
      </c>
      <c r="D2994" s="433">
        <f t="shared" si="93"/>
        <v>1976.72</v>
      </c>
    </row>
    <row r="2995" spans="1:4" ht="16.149999999999999" customHeight="1" x14ac:dyDescent="0.25">
      <c r="A2995" s="431">
        <v>36555</v>
      </c>
      <c r="B2995" s="432">
        <v>1976.72</v>
      </c>
      <c r="C2995" s="427">
        <f t="shared" si="92"/>
        <v>2000</v>
      </c>
      <c r="D2995" s="433">
        <f t="shared" si="93"/>
        <v>1976.72</v>
      </c>
    </row>
    <row r="2996" spans="1:4" ht="16.149999999999999" customHeight="1" x14ac:dyDescent="0.25">
      <c r="A2996" s="431">
        <v>36556</v>
      </c>
      <c r="B2996" s="434">
        <v>1976.72</v>
      </c>
      <c r="C2996" s="427">
        <f t="shared" si="92"/>
        <v>2000</v>
      </c>
      <c r="D2996" s="433">
        <f t="shared" si="93"/>
        <v>1976.72</v>
      </c>
    </row>
    <row r="2997" spans="1:4" ht="16.149999999999999" customHeight="1" x14ac:dyDescent="0.25">
      <c r="A2997" s="431">
        <v>36557</v>
      </c>
      <c r="B2997" s="432">
        <v>1973.36</v>
      </c>
      <c r="C2997" s="427">
        <f t="shared" si="92"/>
        <v>2000</v>
      </c>
      <c r="D2997" s="433">
        <f t="shared" si="93"/>
        <v>1973.36</v>
      </c>
    </row>
    <row r="2998" spans="1:4" ht="16.149999999999999" customHeight="1" x14ac:dyDescent="0.25">
      <c r="A2998" s="431">
        <v>36558</v>
      </c>
      <c r="B2998" s="434">
        <v>1970.61</v>
      </c>
      <c r="C2998" s="427">
        <f t="shared" si="92"/>
        <v>2000</v>
      </c>
      <c r="D2998" s="433">
        <f t="shared" si="93"/>
        <v>1970.61</v>
      </c>
    </row>
    <row r="2999" spans="1:4" ht="16.149999999999999" customHeight="1" x14ac:dyDescent="0.25">
      <c r="A2999" s="431">
        <v>36559</v>
      </c>
      <c r="B2999" s="432">
        <v>1965.61</v>
      </c>
      <c r="C2999" s="427">
        <f t="shared" si="92"/>
        <v>2000</v>
      </c>
      <c r="D2999" s="433">
        <f t="shared" si="93"/>
        <v>1965.61</v>
      </c>
    </row>
    <row r="3000" spans="1:4" ht="16.149999999999999" customHeight="1" x14ac:dyDescent="0.25">
      <c r="A3000" s="431">
        <v>36560</v>
      </c>
      <c r="B3000" s="434">
        <v>1947.55</v>
      </c>
      <c r="C3000" s="427">
        <f t="shared" si="92"/>
        <v>2000</v>
      </c>
      <c r="D3000" s="433">
        <f t="shared" si="93"/>
        <v>1947.55</v>
      </c>
    </row>
    <row r="3001" spans="1:4" ht="16.149999999999999" customHeight="1" x14ac:dyDescent="0.25">
      <c r="A3001" s="431">
        <v>36561</v>
      </c>
      <c r="B3001" s="432">
        <v>1948.6</v>
      </c>
      <c r="C3001" s="427">
        <f t="shared" si="92"/>
        <v>2000</v>
      </c>
      <c r="D3001" s="433">
        <f t="shared" si="93"/>
        <v>1948.6</v>
      </c>
    </row>
    <row r="3002" spans="1:4" ht="16.149999999999999" customHeight="1" x14ac:dyDescent="0.25">
      <c r="A3002" s="431">
        <v>36562</v>
      </c>
      <c r="B3002" s="434">
        <v>1948.6</v>
      </c>
      <c r="C3002" s="427">
        <f t="shared" si="92"/>
        <v>2000</v>
      </c>
      <c r="D3002" s="433">
        <f t="shared" si="93"/>
        <v>1948.6</v>
      </c>
    </row>
    <row r="3003" spans="1:4" ht="16.149999999999999" customHeight="1" x14ac:dyDescent="0.25">
      <c r="A3003" s="431">
        <v>36563</v>
      </c>
      <c r="B3003" s="432">
        <v>1948.6</v>
      </c>
      <c r="C3003" s="427">
        <f t="shared" si="92"/>
        <v>2000</v>
      </c>
      <c r="D3003" s="433">
        <f t="shared" si="93"/>
        <v>1948.6</v>
      </c>
    </row>
    <row r="3004" spans="1:4" ht="16.149999999999999" customHeight="1" x14ac:dyDescent="0.25">
      <c r="A3004" s="431">
        <v>36564</v>
      </c>
      <c r="B3004" s="434">
        <v>1950.59</v>
      </c>
      <c r="C3004" s="427">
        <f t="shared" si="92"/>
        <v>2000</v>
      </c>
      <c r="D3004" s="433">
        <f t="shared" si="93"/>
        <v>1950.59</v>
      </c>
    </row>
    <row r="3005" spans="1:4" ht="16.149999999999999" customHeight="1" x14ac:dyDescent="0.25">
      <c r="A3005" s="431">
        <v>36565</v>
      </c>
      <c r="B3005" s="432">
        <v>1949.54</v>
      </c>
      <c r="C3005" s="427">
        <f t="shared" si="92"/>
        <v>2000</v>
      </c>
      <c r="D3005" s="433">
        <f t="shared" si="93"/>
        <v>1949.54</v>
      </c>
    </row>
    <row r="3006" spans="1:4" ht="16.149999999999999" customHeight="1" x14ac:dyDescent="0.25">
      <c r="A3006" s="431">
        <v>36566</v>
      </c>
      <c r="B3006" s="434">
        <v>1946.51</v>
      </c>
      <c r="C3006" s="427">
        <f t="shared" si="92"/>
        <v>2000</v>
      </c>
      <c r="D3006" s="433">
        <f t="shared" si="93"/>
        <v>1946.51</v>
      </c>
    </row>
    <row r="3007" spans="1:4" ht="16.149999999999999" customHeight="1" x14ac:dyDescent="0.25">
      <c r="A3007" s="431">
        <v>36567</v>
      </c>
      <c r="B3007" s="432">
        <v>1952.29</v>
      </c>
      <c r="C3007" s="427">
        <f t="shared" si="92"/>
        <v>2000</v>
      </c>
      <c r="D3007" s="433">
        <f t="shared" si="93"/>
        <v>1952.29</v>
      </c>
    </row>
    <row r="3008" spans="1:4" ht="16.149999999999999" customHeight="1" x14ac:dyDescent="0.25">
      <c r="A3008" s="431">
        <v>36568</v>
      </c>
      <c r="B3008" s="434">
        <v>1948.16</v>
      </c>
      <c r="C3008" s="427">
        <f t="shared" si="92"/>
        <v>2000</v>
      </c>
      <c r="D3008" s="433">
        <f t="shared" si="93"/>
        <v>1948.16</v>
      </c>
    </row>
    <row r="3009" spans="1:4" ht="16.149999999999999" customHeight="1" x14ac:dyDescent="0.25">
      <c r="A3009" s="431">
        <v>36569</v>
      </c>
      <c r="B3009" s="432">
        <v>1948.16</v>
      </c>
      <c r="C3009" s="427">
        <f t="shared" si="92"/>
        <v>2000</v>
      </c>
      <c r="D3009" s="433">
        <f t="shared" si="93"/>
        <v>1948.16</v>
      </c>
    </row>
    <row r="3010" spans="1:4" ht="16.149999999999999" customHeight="1" x14ac:dyDescent="0.25">
      <c r="A3010" s="431">
        <v>36570</v>
      </c>
      <c r="B3010" s="434">
        <v>1948.16</v>
      </c>
      <c r="C3010" s="427">
        <f t="shared" si="92"/>
        <v>2000</v>
      </c>
      <c r="D3010" s="433">
        <f t="shared" si="93"/>
        <v>1948.16</v>
      </c>
    </row>
    <row r="3011" spans="1:4" ht="16.149999999999999" customHeight="1" x14ac:dyDescent="0.25">
      <c r="A3011" s="431">
        <v>36571</v>
      </c>
      <c r="B3011" s="432">
        <v>1950.77</v>
      </c>
      <c r="C3011" s="427">
        <f t="shared" si="92"/>
        <v>2000</v>
      </c>
      <c r="D3011" s="433">
        <f t="shared" si="93"/>
        <v>1950.77</v>
      </c>
    </row>
    <row r="3012" spans="1:4" ht="16.149999999999999" customHeight="1" x14ac:dyDescent="0.25">
      <c r="A3012" s="431">
        <v>36572</v>
      </c>
      <c r="B3012" s="434">
        <v>1949.61</v>
      </c>
      <c r="C3012" s="427">
        <f t="shared" si="92"/>
        <v>2000</v>
      </c>
      <c r="D3012" s="433">
        <f t="shared" si="93"/>
        <v>1949.61</v>
      </c>
    </row>
    <row r="3013" spans="1:4" ht="16.149999999999999" customHeight="1" x14ac:dyDescent="0.25">
      <c r="A3013" s="431">
        <v>36573</v>
      </c>
      <c r="B3013" s="432">
        <v>1946.79</v>
      </c>
      <c r="C3013" s="427">
        <f t="shared" si="92"/>
        <v>2000</v>
      </c>
      <c r="D3013" s="433">
        <f t="shared" si="93"/>
        <v>1946.79</v>
      </c>
    </row>
    <row r="3014" spans="1:4" ht="16.149999999999999" customHeight="1" x14ac:dyDescent="0.25">
      <c r="A3014" s="431">
        <v>36574</v>
      </c>
      <c r="B3014" s="434">
        <v>1945.31</v>
      </c>
      <c r="C3014" s="427">
        <f t="shared" si="92"/>
        <v>2000</v>
      </c>
      <c r="D3014" s="433">
        <f t="shared" si="93"/>
        <v>1945.31</v>
      </c>
    </row>
    <row r="3015" spans="1:4" ht="16.149999999999999" customHeight="1" x14ac:dyDescent="0.25">
      <c r="A3015" s="431">
        <v>36575</v>
      </c>
      <c r="B3015" s="432">
        <v>1947.41</v>
      </c>
      <c r="C3015" s="427">
        <f t="shared" si="92"/>
        <v>2000</v>
      </c>
      <c r="D3015" s="433">
        <f t="shared" si="93"/>
        <v>1947.41</v>
      </c>
    </row>
    <row r="3016" spans="1:4" ht="16.149999999999999" customHeight="1" x14ac:dyDescent="0.25">
      <c r="A3016" s="431">
        <v>36576</v>
      </c>
      <c r="B3016" s="434">
        <v>1947.41</v>
      </c>
      <c r="C3016" s="427">
        <f t="shared" si="92"/>
        <v>2000</v>
      </c>
      <c r="D3016" s="433">
        <f t="shared" si="93"/>
        <v>1947.41</v>
      </c>
    </row>
    <row r="3017" spans="1:4" ht="16.149999999999999" customHeight="1" x14ac:dyDescent="0.25">
      <c r="A3017" s="431">
        <v>36577</v>
      </c>
      <c r="B3017" s="432">
        <v>1947.41</v>
      </c>
      <c r="C3017" s="427">
        <f t="shared" si="92"/>
        <v>2000</v>
      </c>
      <c r="D3017" s="433">
        <f t="shared" si="93"/>
        <v>1947.41</v>
      </c>
    </row>
    <row r="3018" spans="1:4" ht="16.149999999999999" customHeight="1" x14ac:dyDescent="0.25">
      <c r="A3018" s="431">
        <v>36578</v>
      </c>
      <c r="B3018" s="434">
        <v>1943.83</v>
      </c>
      <c r="C3018" s="427">
        <f t="shared" ref="C3018:C3081" si="94">YEAR(A3018)</f>
        <v>2000</v>
      </c>
      <c r="D3018" s="433">
        <f t="shared" ref="D3018:D3081" si="95">B3018</f>
        <v>1943.83</v>
      </c>
    </row>
    <row r="3019" spans="1:4" ht="16.149999999999999" customHeight="1" x14ac:dyDescent="0.25">
      <c r="A3019" s="431">
        <v>36579</v>
      </c>
      <c r="B3019" s="432">
        <v>1941.54</v>
      </c>
      <c r="C3019" s="427">
        <f t="shared" si="94"/>
        <v>2000</v>
      </c>
      <c r="D3019" s="433">
        <f t="shared" si="95"/>
        <v>1941.54</v>
      </c>
    </row>
    <row r="3020" spans="1:4" ht="16.149999999999999" customHeight="1" x14ac:dyDescent="0.25">
      <c r="A3020" s="431">
        <v>36580</v>
      </c>
      <c r="B3020" s="434">
        <v>1944.18</v>
      </c>
      <c r="C3020" s="427">
        <f t="shared" si="94"/>
        <v>2000</v>
      </c>
      <c r="D3020" s="433">
        <f t="shared" si="95"/>
        <v>1944.18</v>
      </c>
    </row>
    <row r="3021" spans="1:4" ht="16.149999999999999" customHeight="1" x14ac:dyDescent="0.25">
      <c r="A3021" s="431">
        <v>36581</v>
      </c>
      <c r="B3021" s="432">
        <v>1947.72</v>
      </c>
      <c r="C3021" s="427">
        <f t="shared" si="94"/>
        <v>2000</v>
      </c>
      <c r="D3021" s="433">
        <f t="shared" si="95"/>
        <v>1947.72</v>
      </c>
    </row>
    <row r="3022" spans="1:4" ht="16.149999999999999" customHeight="1" x14ac:dyDescent="0.25">
      <c r="A3022" s="431">
        <v>36582</v>
      </c>
      <c r="B3022" s="434">
        <v>1947.28</v>
      </c>
      <c r="C3022" s="427">
        <f t="shared" si="94"/>
        <v>2000</v>
      </c>
      <c r="D3022" s="433">
        <f t="shared" si="95"/>
        <v>1947.28</v>
      </c>
    </row>
    <row r="3023" spans="1:4" ht="16.149999999999999" customHeight="1" x14ac:dyDescent="0.25">
      <c r="A3023" s="431">
        <v>36583</v>
      </c>
      <c r="B3023" s="432">
        <v>1947.28</v>
      </c>
      <c r="C3023" s="427">
        <f t="shared" si="94"/>
        <v>2000</v>
      </c>
      <c r="D3023" s="433">
        <f t="shared" si="95"/>
        <v>1947.28</v>
      </c>
    </row>
    <row r="3024" spans="1:4" ht="16.149999999999999" customHeight="1" x14ac:dyDescent="0.25">
      <c r="A3024" s="431">
        <v>36584</v>
      </c>
      <c r="B3024" s="434">
        <v>1947.28</v>
      </c>
      <c r="C3024" s="427">
        <f t="shared" si="94"/>
        <v>2000</v>
      </c>
      <c r="D3024" s="433">
        <f t="shared" si="95"/>
        <v>1947.28</v>
      </c>
    </row>
    <row r="3025" spans="1:4" ht="16.149999999999999" customHeight="1" x14ac:dyDescent="0.25">
      <c r="A3025" s="431">
        <v>36585</v>
      </c>
      <c r="B3025" s="432">
        <v>1946.17</v>
      </c>
      <c r="C3025" s="427">
        <f t="shared" si="94"/>
        <v>2000</v>
      </c>
      <c r="D3025" s="433">
        <f t="shared" si="95"/>
        <v>1946.17</v>
      </c>
    </row>
    <row r="3026" spans="1:4" ht="16.149999999999999" customHeight="1" x14ac:dyDescent="0.25">
      <c r="A3026" s="431">
        <v>36586</v>
      </c>
      <c r="B3026" s="434">
        <v>1948.05</v>
      </c>
      <c r="C3026" s="427">
        <f t="shared" si="94"/>
        <v>2000</v>
      </c>
      <c r="D3026" s="433">
        <f t="shared" si="95"/>
        <v>1948.05</v>
      </c>
    </row>
    <row r="3027" spans="1:4" ht="16.149999999999999" customHeight="1" x14ac:dyDescent="0.25">
      <c r="A3027" s="431">
        <v>36587</v>
      </c>
      <c r="B3027" s="432">
        <v>1950.88</v>
      </c>
      <c r="C3027" s="427">
        <f t="shared" si="94"/>
        <v>2000</v>
      </c>
      <c r="D3027" s="433">
        <f t="shared" si="95"/>
        <v>1950.88</v>
      </c>
    </row>
    <row r="3028" spans="1:4" ht="16.149999999999999" customHeight="1" x14ac:dyDescent="0.25">
      <c r="A3028" s="431">
        <v>36588</v>
      </c>
      <c r="B3028" s="434">
        <v>1956.8</v>
      </c>
      <c r="C3028" s="427">
        <f t="shared" si="94"/>
        <v>2000</v>
      </c>
      <c r="D3028" s="433">
        <f t="shared" si="95"/>
        <v>1956.8</v>
      </c>
    </row>
    <row r="3029" spans="1:4" ht="16.149999999999999" customHeight="1" x14ac:dyDescent="0.25">
      <c r="A3029" s="431">
        <v>36589</v>
      </c>
      <c r="B3029" s="432">
        <v>1961.16</v>
      </c>
      <c r="C3029" s="427">
        <f t="shared" si="94"/>
        <v>2000</v>
      </c>
      <c r="D3029" s="433">
        <f t="shared" si="95"/>
        <v>1961.16</v>
      </c>
    </row>
    <row r="3030" spans="1:4" ht="16.149999999999999" customHeight="1" x14ac:dyDescent="0.25">
      <c r="A3030" s="431">
        <v>36590</v>
      </c>
      <c r="B3030" s="434">
        <v>1961.16</v>
      </c>
      <c r="C3030" s="427">
        <f t="shared" si="94"/>
        <v>2000</v>
      </c>
      <c r="D3030" s="433">
        <f t="shared" si="95"/>
        <v>1961.16</v>
      </c>
    </row>
    <row r="3031" spans="1:4" ht="16.149999999999999" customHeight="1" x14ac:dyDescent="0.25">
      <c r="A3031" s="431">
        <v>36591</v>
      </c>
      <c r="B3031" s="432">
        <v>1961.16</v>
      </c>
      <c r="C3031" s="427">
        <f t="shared" si="94"/>
        <v>2000</v>
      </c>
      <c r="D3031" s="433">
        <f t="shared" si="95"/>
        <v>1961.16</v>
      </c>
    </row>
    <row r="3032" spans="1:4" ht="16.149999999999999" customHeight="1" x14ac:dyDescent="0.25">
      <c r="A3032" s="431">
        <v>36592</v>
      </c>
      <c r="B3032" s="434">
        <v>1965.63</v>
      </c>
      <c r="C3032" s="427">
        <f t="shared" si="94"/>
        <v>2000</v>
      </c>
      <c r="D3032" s="433">
        <f t="shared" si="95"/>
        <v>1965.63</v>
      </c>
    </row>
    <row r="3033" spans="1:4" ht="16.149999999999999" customHeight="1" x14ac:dyDescent="0.25">
      <c r="A3033" s="431">
        <v>36593</v>
      </c>
      <c r="B3033" s="432">
        <v>1964.26</v>
      </c>
      <c r="C3033" s="427">
        <f t="shared" si="94"/>
        <v>2000</v>
      </c>
      <c r="D3033" s="433">
        <f t="shared" si="95"/>
        <v>1964.26</v>
      </c>
    </row>
    <row r="3034" spans="1:4" ht="16.149999999999999" customHeight="1" x14ac:dyDescent="0.25">
      <c r="A3034" s="431">
        <v>36594</v>
      </c>
      <c r="B3034" s="434">
        <v>1960.47</v>
      </c>
      <c r="C3034" s="427">
        <f t="shared" si="94"/>
        <v>2000</v>
      </c>
      <c r="D3034" s="433">
        <f t="shared" si="95"/>
        <v>1960.47</v>
      </c>
    </row>
    <row r="3035" spans="1:4" ht="16.149999999999999" customHeight="1" x14ac:dyDescent="0.25">
      <c r="A3035" s="431">
        <v>36595</v>
      </c>
      <c r="B3035" s="432">
        <v>1959.77</v>
      </c>
      <c r="C3035" s="427">
        <f t="shared" si="94"/>
        <v>2000</v>
      </c>
      <c r="D3035" s="433">
        <f t="shared" si="95"/>
        <v>1959.77</v>
      </c>
    </row>
    <row r="3036" spans="1:4" ht="16.149999999999999" customHeight="1" x14ac:dyDescent="0.25">
      <c r="A3036" s="431">
        <v>36596</v>
      </c>
      <c r="B3036" s="434">
        <v>1958.48</v>
      </c>
      <c r="C3036" s="427">
        <f t="shared" si="94"/>
        <v>2000</v>
      </c>
      <c r="D3036" s="433">
        <f t="shared" si="95"/>
        <v>1958.48</v>
      </c>
    </row>
    <row r="3037" spans="1:4" ht="16.149999999999999" customHeight="1" x14ac:dyDescent="0.25">
      <c r="A3037" s="431">
        <v>36597</v>
      </c>
      <c r="B3037" s="432">
        <v>1958.48</v>
      </c>
      <c r="C3037" s="427">
        <f t="shared" si="94"/>
        <v>2000</v>
      </c>
      <c r="D3037" s="433">
        <f t="shared" si="95"/>
        <v>1958.48</v>
      </c>
    </row>
    <row r="3038" spans="1:4" ht="16.149999999999999" customHeight="1" x14ac:dyDescent="0.25">
      <c r="A3038" s="431">
        <v>36598</v>
      </c>
      <c r="B3038" s="434">
        <v>1958.48</v>
      </c>
      <c r="C3038" s="427">
        <f t="shared" si="94"/>
        <v>2000</v>
      </c>
      <c r="D3038" s="433">
        <f t="shared" si="95"/>
        <v>1958.48</v>
      </c>
    </row>
    <row r="3039" spans="1:4" ht="16.149999999999999" customHeight="1" x14ac:dyDescent="0.25">
      <c r="A3039" s="431">
        <v>36599</v>
      </c>
      <c r="B3039" s="432">
        <v>1957.5</v>
      </c>
      <c r="C3039" s="427">
        <f t="shared" si="94"/>
        <v>2000</v>
      </c>
      <c r="D3039" s="433">
        <f t="shared" si="95"/>
        <v>1957.5</v>
      </c>
    </row>
    <row r="3040" spans="1:4" ht="16.149999999999999" customHeight="1" x14ac:dyDescent="0.25">
      <c r="A3040" s="431">
        <v>36600</v>
      </c>
      <c r="B3040" s="434">
        <v>1955.75</v>
      </c>
      <c r="C3040" s="427">
        <f t="shared" si="94"/>
        <v>2000</v>
      </c>
      <c r="D3040" s="433">
        <f t="shared" si="95"/>
        <v>1955.75</v>
      </c>
    </row>
    <row r="3041" spans="1:4" ht="16.149999999999999" customHeight="1" x14ac:dyDescent="0.25">
      <c r="A3041" s="431">
        <v>36601</v>
      </c>
      <c r="B3041" s="432">
        <v>1954.26</v>
      </c>
      <c r="C3041" s="427">
        <f t="shared" si="94"/>
        <v>2000</v>
      </c>
      <c r="D3041" s="433">
        <f t="shared" si="95"/>
        <v>1954.26</v>
      </c>
    </row>
    <row r="3042" spans="1:4" ht="16.149999999999999" customHeight="1" x14ac:dyDescent="0.25">
      <c r="A3042" s="431">
        <v>36602</v>
      </c>
      <c r="B3042" s="434">
        <v>1950.01</v>
      </c>
      <c r="C3042" s="427">
        <f t="shared" si="94"/>
        <v>2000</v>
      </c>
      <c r="D3042" s="433">
        <f t="shared" si="95"/>
        <v>1950.01</v>
      </c>
    </row>
    <row r="3043" spans="1:4" ht="16.149999999999999" customHeight="1" x14ac:dyDescent="0.25">
      <c r="A3043" s="431">
        <v>36603</v>
      </c>
      <c r="B3043" s="432">
        <v>1952.98</v>
      </c>
      <c r="C3043" s="427">
        <f t="shared" si="94"/>
        <v>2000</v>
      </c>
      <c r="D3043" s="433">
        <f t="shared" si="95"/>
        <v>1952.98</v>
      </c>
    </row>
    <row r="3044" spans="1:4" ht="16.149999999999999" customHeight="1" x14ac:dyDescent="0.25">
      <c r="A3044" s="431">
        <v>36604</v>
      </c>
      <c r="B3044" s="434">
        <v>1952.98</v>
      </c>
      <c r="C3044" s="427">
        <f t="shared" si="94"/>
        <v>2000</v>
      </c>
      <c r="D3044" s="433">
        <f t="shared" si="95"/>
        <v>1952.98</v>
      </c>
    </row>
    <row r="3045" spans="1:4" ht="16.149999999999999" customHeight="1" x14ac:dyDescent="0.25">
      <c r="A3045" s="431">
        <v>36605</v>
      </c>
      <c r="B3045" s="432">
        <v>1952.98</v>
      </c>
      <c r="C3045" s="427">
        <f t="shared" si="94"/>
        <v>2000</v>
      </c>
      <c r="D3045" s="433">
        <f t="shared" si="95"/>
        <v>1952.98</v>
      </c>
    </row>
    <row r="3046" spans="1:4" ht="16.149999999999999" customHeight="1" x14ac:dyDescent="0.25">
      <c r="A3046" s="431">
        <v>36606</v>
      </c>
      <c r="B3046" s="434">
        <v>1952.98</v>
      </c>
      <c r="C3046" s="427">
        <f t="shared" si="94"/>
        <v>2000</v>
      </c>
      <c r="D3046" s="433">
        <f t="shared" si="95"/>
        <v>1952.98</v>
      </c>
    </row>
    <row r="3047" spans="1:4" ht="16.149999999999999" customHeight="1" x14ac:dyDescent="0.25">
      <c r="A3047" s="431">
        <v>36607</v>
      </c>
      <c r="B3047" s="432">
        <v>1956.98</v>
      </c>
      <c r="C3047" s="427">
        <f t="shared" si="94"/>
        <v>2000</v>
      </c>
      <c r="D3047" s="433">
        <f t="shared" si="95"/>
        <v>1956.98</v>
      </c>
    </row>
    <row r="3048" spans="1:4" ht="16.149999999999999" customHeight="1" x14ac:dyDescent="0.25">
      <c r="A3048" s="431">
        <v>36608</v>
      </c>
      <c r="B3048" s="434">
        <v>1959.84</v>
      </c>
      <c r="C3048" s="427">
        <f t="shared" si="94"/>
        <v>2000</v>
      </c>
      <c r="D3048" s="433">
        <f t="shared" si="95"/>
        <v>1959.84</v>
      </c>
    </row>
    <row r="3049" spans="1:4" ht="16.149999999999999" customHeight="1" x14ac:dyDescent="0.25">
      <c r="A3049" s="431">
        <v>36609</v>
      </c>
      <c r="B3049" s="432">
        <v>1954.57</v>
      </c>
      <c r="C3049" s="427">
        <f t="shared" si="94"/>
        <v>2000</v>
      </c>
      <c r="D3049" s="433">
        <f t="shared" si="95"/>
        <v>1954.57</v>
      </c>
    </row>
    <row r="3050" spans="1:4" ht="16.149999999999999" customHeight="1" x14ac:dyDescent="0.25">
      <c r="A3050" s="431">
        <v>36610</v>
      </c>
      <c r="B3050" s="434">
        <v>1954.83</v>
      </c>
      <c r="C3050" s="427">
        <f t="shared" si="94"/>
        <v>2000</v>
      </c>
      <c r="D3050" s="433">
        <f t="shared" si="95"/>
        <v>1954.83</v>
      </c>
    </row>
    <row r="3051" spans="1:4" ht="16.149999999999999" customHeight="1" x14ac:dyDescent="0.25">
      <c r="A3051" s="431">
        <v>36611</v>
      </c>
      <c r="B3051" s="432">
        <v>1954.83</v>
      </c>
      <c r="C3051" s="427">
        <f t="shared" si="94"/>
        <v>2000</v>
      </c>
      <c r="D3051" s="433">
        <f t="shared" si="95"/>
        <v>1954.83</v>
      </c>
    </row>
    <row r="3052" spans="1:4" ht="16.149999999999999" customHeight="1" x14ac:dyDescent="0.25">
      <c r="A3052" s="431">
        <v>36612</v>
      </c>
      <c r="B3052" s="434">
        <v>1954.83</v>
      </c>
      <c r="C3052" s="427">
        <f t="shared" si="94"/>
        <v>2000</v>
      </c>
      <c r="D3052" s="433">
        <f t="shared" si="95"/>
        <v>1954.83</v>
      </c>
    </row>
    <row r="3053" spans="1:4" ht="16.149999999999999" customHeight="1" x14ac:dyDescent="0.25">
      <c r="A3053" s="431">
        <v>36613</v>
      </c>
      <c r="B3053" s="432">
        <v>1958.93</v>
      </c>
      <c r="C3053" s="427">
        <f t="shared" si="94"/>
        <v>2000</v>
      </c>
      <c r="D3053" s="433">
        <f t="shared" si="95"/>
        <v>1958.93</v>
      </c>
    </row>
    <row r="3054" spans="1:4" ht="16.149999999999999" customHeight="1" x14ac:dyDescent="0.25">
      <c r="A3054" s="431">
        <v>36614</v>
      </c>
      <c r="B3054" s="434">
        <v>1955.14</v>
      </c>
      <c r="C3054" s="427">
        <f t="shared" si="94"/>
        <v>2000</v>
      </c>
      <c r="D3054" s="433">
        <f t="shared" si="95"/>
        <v>1955.14</v>
      </c>
    </row>
    <row r="3055" spans="1:4" ht="16.149999999999999" customHeight="1" x14ac:dyDescent="0.25">
      <c r="A3055" s="431">
        <v>36615</v>
      </c>
      <c r="B3055" s="432">
        <v>1949.75</v>
      </c>
      <c r="C3055" s="427">
        <f t="shared" si="94"/>
        <v>2000</v>
      </c>
      <c r="D3055" s="433">
        <f t="shared" si="95"/>
        <v>1949.75</v>
      </c>
    </row>
    <row r="3056" spans="1:4" ht="16.149999999999999" customHeight="1" x14ac:dyDescent="0.25">
      <c r="A3056" s="431">
        <v>36616</v>
      </c>
      <c r="B3056" s="434">
        <v>1951.56</v>
      </c>
      <c r="C3056" s="427">
        <f t="shared" si="94"/>
        <v>2000</v>
      </c>
      <c r="D3056" s="433">
        <f t="shared" si="95"/>
        <v>1951.56</v>
      </c>
    </row>
    <row r="3057" spans="1:4" ht="16.149999999999999" customHeight="1" x14ac:dyDescent="0.25">
      <c r="A3057" s="431">
        <v>36617</v>
      </c>
      <c r="B3057" s="432">
        <v>1958.12</v>
      </c>
      <c r="C3057" s="427">
        <f t="shared" si="94"/>
        <v>2000</v>
      </c>
      <c r="D3057" s="433">
        <f t="shared" si="95"/>
        <v>1958.12</v>
      </c>
    </row>
    <row r="3058" spans="1:4" ht="16.149999999999999" customHeight="1" x14ac:dyDescent="0.25">
      <c r="A3058" s="431">
        <v>36618</v>
      </c>
      <c r="B3058" s="434">
        <v>1958.12</v>
      </c>
      <c r="C3058" s="427">
        <f t="shared" si="94"/>
        <v>2000</v>
      </c>
      <c r="D3058" s="433">
        <f t="shared" si="95"/>
        <v>1958.12</v>
      </c>
    </row>
    <row r="3059" spans="1:4" ht="16.149999999999999" customHeight="1" x14ac:dyDescent="0.25">
      <c r="A3059" s="431">
        <v>36619</v>
      </c>
      <c r="B3059" s="432">
        <v>1958.12</v>
      </c>
      <c r="C3059" s="427">
        <f t="shared" si="94"/>
        <v>2000</v>
      </c>
      <c r="D3059" s="433">
        <f t="shared" si="95"/>
        <v>1958.12</v>
      </c>
    </row>
    <row r="3060" spans="1:4" ht="16.149999999999999" customHeight="1" x14ac:dyDescent="0.25">
      <c r="A3060" s="431">
        <v>36620</v>
      </c>
      <c r="B3060" s="434">
        <v>1963.22</v>
      </c>
      <c r="C3060" s="427">
        <f t="shared" si="94"/>
        <v>2000</v>
      </c>
      <c r="D3060" s="433">
        <f t="shared" si="95"/>
        <v>1963.22</v>
      </c>
    </row>
    <row r="3061" spans="1:4" ht="16.149999999999999" customHeight="1" x14ac:dyDescent="0.25">
      <c r="A3061" s="431">
        <v>36621</v>
      </c>
      <c r="B3061" s="432">
        <v>1964.1</v>
      </c>
      <c r="C3061" s="427">
        <f t="shared" si="94"/>
        <v>2000</v>
      </c>
      <c r="D3061" s="433">
        <f t="shared" si="95"/>
        <v>1964.1</v>
      </c>
    </row>
    <row r="3062" spans="1:4" ht="16.149999999999999" customHeight="1" x14ac:dyDescent="0.25">
      <c r="A3062" s="431">
        <v>36622</v>
      </c>
      <c r="B3062" s="434">
        <v>1968.92</v>
      </c>
      <c r="C3062" s="427">
        <f t="shared" si="94"/>
        <v>2000</v>
      </c>
      <c r="D3062" s="433">
        <f t="shared" si="95"/>
        <v>1968.92</v>
      </c>
    </row>
    <row r="3063" spans="1:4" ht="16.149999999999999" customHeight="1" x14ac:dyDescent="0.25">
      <c r="A3063" s="431">
        <v>36623</v>
      </c>
      <c r="B3063" s="432">
        <v>1986.96</v>
      </c>
      <c r="C3063" s="427">
        <f t="shared" si="94"/>
        <v>2000</v>
      </c>
      <c r="D3063" s="433">
        <f t="shared" si="95"/>
        <v>1986.96</v>
      </c>
    </row>
    <row r="3064" spans="1:4" ht="16.149999999999999" customHeight="1" x14ac:dyDescent="0.25">
      <c r="A3064" s="431">
        <v>36624</v>
      </c>
      <c r="B3064" s="434">
        <v>1996.24</v>
      </c>
      <c r="C3064" s="427">
        <f t="shared" si="94"/>
        <v>2000</v>
      </c>
      <c r="D3064" s="433">
        <f t="shared" si="95"/>
        <v>1996.24</v>
      </c>
    </row>
    <row r="3065" spans="1:4" ht="16.149999999999999" customHeight="1" x14ac:dyDescent="0.25">
      <c r="A3065" s="431">
        <v>36625</v>
      </c>
      <c r="B3065" s="432">
        <v>1996.24</v>
      </c>
      <c r="C3065" s="427">
        <f t="shared" si="94"/>
        <v>2000</v>
      </c>
      <c r="D3065" s="433">
        <f t="shared" si="95"/>
        <v>1996.24</v>
      </c>
    </row>
    <row r="3066" spans="1:4" ht="16.149999999999999" customHeight="1" x14ac:dyDescent="0.25">
      <c r="A3066" s="431">
        <v>36626</v>
      </c>
      <c r="B3066" s="434">
        <v>1996.24</v>
      </c>
      <c r="C3066" s="427">
        <f t="shared" si="94"/>
        <v>2000</v>
      </c>
      <c r="D3066" s="433">
        <f t="shared" si="95"/>
        <v>1996.24</v>
      </c>
    </row>
    <row r="3067" spans="1:4" ht="16.149999999999999" customHeight="1" x14ac:dyDescent="0.25">
      <c r="A3067" s="431">
        <v>36627</v>
      </c>
      <c r="B3067" s="432">
        <v>1998.25</v>
      </c>
      <c r="C3067" s="427">
        <f t="shared" si="94"/>
        <v>2000</v>
      </c>
      <c r="D3067" s="433">
        <f t="shared" si="95"/>
        <v>1998.25</v>
      </c>
    </row>
    <row r="3068" spans="1:4" ht="16.149999999999999" customHeight="1" x14ac:dyDescent="0.25">
      <c r="A3068" s="431">
        <v>36628</v>
      </c>
      <c r="B3068" s="434">
        <v>1986.75</v>
      </c>
      <c r="C3068" s="427">
        <f t="shared" si="94"/>
        <v>2000</v>
      </c>
      <c r="D3068" s="433">
        <f t="shared" si="95"/>
        <v>1986.75</v>
      </c>
    </row>
    <row r="3069" spans="1:4" ht="16.149999999999999" customHeight="1" x14ac:dyDescent="0.25">
      <c r="A3069" s="431">
        <v>36629</v>
      </c>
      <c r="B3069" s="432">
        <v>1987.38</v>
      </c>
      <c r="C3069" s="427">
        <f t="shared" si="94"/>
        <v>2000</v>
      </c>
      <c r="D3069" s="433">
        <f t="shared" si="95"/>
        <v>1987.38</v>
      </c>
    </row>
    <row r="3070" spans="1:4" ht="16.149999999999999" customHeight="1" x14ac:dyDescent="0.25">
      <c r="A3070" s="431">
        <v>36630</v>
      </c>
      <c r="B3070" s="434">
        <v>1987.36</v>
      </c>
      <c r="C3070" s="427">
        <f t="shared" si="94"/>
        <v>2000</v>
      </c>
      <c r="D3070" s="433">
        <f t="shared" si="95"/>
        <v>1987.36</v>
      </c>
    </row>
    <row r="3071" spans="1:4" ht="16.149999999999999" customHeight="1" x14ac:dyDescent="0.25">
      <c r="A3071" s="431">
        <v>36631</v>
      </c>
      <c r="B3071" s="432">
        <v>1987.39</v>
      </c>
      <c r="C3071" s="427">
        <f t="shared" si="94"/>
        <v>2000</v>
      </c>
      <c r="D3071" s="433">
        <f t="shared" si="95"/>
        <v>1987.39</v>
      </c>
    </row>
    <row r="3072" spans="1:4" ht="16.149999999999999" customHeight="1" x14ac:dyDescent="0.25">
      <c r="A3072" s="431">
        <v>36632</v>
      </c>
      <c r="B3072" s="434">
        <v>1987.39</v>
      </c>
      <c r="C3072" s="427">
        <f t="shared" si="94"/>
        <v>2000</v>
      </c>
      <c r="D3072" s="433">
        <f t="shared" si="95"/>
        <v>1987.39</v>
      </c>
    </row>
    <row r="3073" spans="1:4" ht="16.149999999999999" customHeight="1" x14ac:dyDescent="0.25">
      <c r="A3073" s="431">
        <v>36633</v>
      </c>
      <c r="B3073" s="432">
        <v>1987.39</v>
      </c>
      <c r="C3073" s="427">
        <f t="shared" si="94"/>
        <v>2000</v>
      </c>
      <c r="D3073" s="433">
        <f t="shared" si="95"/>
        <v>1987.39</v>
      </c>
    </row>
    <row r="3074" spans="1:4" ht="16.149999999999999" customHeight="1" x14ac:dyDescent="0.25">
      <c r="A3074" s="431">
        <v>36634</v>
      </c>
      <c r="B3074" s="434">
        <v>1996.29</v>
      </c>
      <c r="C3074" s="427">
        <f t="shared" si="94"/>
        <v>2000</v>
      </c>
      <c r="D3074" s="433">
        <f t="shared" si="95"/>
        <v>1996.29</v>
      </c>
    </row>
    <row r="3075" spans="1:4" ht="16.149999999999999" customHeight="1" x14ac:dyDescent="0.25">
      <c r="A3075" s="431">
        <v>36635</v>
      </c>
      <c r="B3075" s="432">
        <v>2003.02</v>
      </c>
      <c r="C3075" s="427">
        <f t="shared" si="94"/>
        <v>2000</v>
      </c>
      <c r="D3075" s="433">
        <f t="shared" si="95"/>
        <v>2003.02</v>
      </c>
    </row>
    <row r="3076" spans="1:4" ht="16.149999999999999" customHeight="1" x14ac:dyDescent="0.25">
      <c r="A3076" s="431">
        <v>36636</v>
      </c>
      <c r="B3076" s="434">
        <v>1996.07</v>
      </c>
      <c r="C3076" s="427">
        <f t="shared" si="94"/>
        <v>2000</v>
      </c>
      <c r="D3076" s="433">
        <f t="shared" si="95"/>
        <v>1996.07</v>
      </c>
    </row>
    <row r="3077" spans="1:4" ht="16.149999999999999" customHeight="1" x14ac:dyDescent="0.25">
      <c r="A3077" s="431">
        <v>36637</v>
      </c>
      <c r="B3077" s="432">
        <v>1996.07</v>
      </c>
      <c r="C3077" s="427">
        <f t="shared" si="94"/>
        <v>2000</v>
      </c>
      <c r="D3077" s="433">
        <f t="shared" si="95"/>
        <v>1996.07</v>
      </c>
    </row>
    <row r="3078" spans="1:4" ht="16.149999999999999" customHeight="1" x14ac:dyDescent="0.25">
      <c r="A3078" s="431">
        <v>36638</v>
      </c>
      <c r="B3078" s="434">
        <v>1996.07</v>
      </c>
      <c r="C3078" s="427">
        <f t="shared" si="94"/>
        <v>2000</v>
      </c>
      <c r="D3078" s="433">
        <f t="shared" si="95"/>
        <v>1996.07</v>
      </c>
    </row>
    <row r="3079" spans="1:4" ht="16.149999999999999" customHeight="1" x14ac:dyDescent="0.25">
      <c r="A3079" s="431">
        <v>36639</v>
      </c>
      <c r="B3079" s="432">
        <v>1996.07</v>
      </c>
      <c r="C3079" s="427">
        <f t="shared" si="94"/>
        <v>2000</v>
      </c>
      <c r="D3079" s="433">
        <f t="shared" si="95"/>
        <v>1996.07</v>
      </c>
    </row>
    <row r="3080" spans="1:4" ht="16.149999999999999" customHeight="1" x14ac:dyDescent="0.25">
      <c r="A3080" s="431">
        <v>36640</v>
      </c>
      <c r="B3080" s="434">
        <v>1996.07</v>
      </c>
      <c r="C3080" s="427">
        <f t="shared" si="94"/>
        <v>2000</v>
      </c>
      <c r="D3080" s="433">
        <f t="shared" si="95"/>
        <v>1996.07</v>
      </c>
    </row>
    <row r="3081" spans="1:4" ht="16.149999999999999" customHeight="1" x14ac:dyDescent="0.25">
      <c r="A3081" s="431">
        <v>36641</v>
      </c>
      <c r="B3081" s="432">
        <v>1991.17</v>
      </c>
      <c r="C3081" s="427">
        <f t="shared" si="94"/>
        <v>2000</v>
      </c>
      <c r="D3081" s="433">
        <f t="shared" si="95"/>
        <v>1991.17</v>
      </c>
    </row>
    <row r="3082" spans="1:4" ht="16.149999999999999" customHeight="1" x14ac:dyDescent="0.25">
      <c r="A3082" s="431">
        <v>36642</v>
      </c>
      <c r="B3082" s="434">
        <v>1988.65</v>
      </c>
      <c r="C3082" s="427">
        <f t="shared" ref="C3082:C3145" si="96">YEAR(A3082)</f>
        <v>2000</v>
      </c>
      <c r="D3082" s="433">
        <f t="shared" ref="D3082:D3145" si="97">B3082</f>
        <v>1988.65</v>
      </c>
    </row>
    <row r="3083" spans="1:4" ht="16.149999999999999" customHeight="1" x14ac:dyDescent="0.25">
      <c r="A3083" s="431">
        <v>36643</v>
      </c>
      <c r="B3083" s="432">
        <v>1998.95</v>
      </c>
      <c r="C3083" s="427">
        <f t="shared" si="96"/>
        <v>2000</v>
      </c>
      <c r="D3083" s="433">
        <f t="shared" si="97"/>
        <v>1998.95</v>
      </c>
    </row>
    <row r="3084" spans="1:4" ht="16.149999999999999" customHeight="1" x14ac:dyDescent="0.25">
      <c r="A3084" s="431">
        <v>36644</v>
      </c>
      <c r="B3084" s="434">
        <v>2002.95</v>
      </c>
      <c r="C3084" s="427">
        <f t="shared" si="96"/>
        <v>2000</v>
      </c>
      <c r="D3084" s="433">
        <f t="shared" si="97"/>
        <v>2002.95</v>
      </c>
    </row>
    <row r="3085" spans="1:4" ht="16.149999999999999" customHeight="1" x14ac:dyDescent="0.25">
      <c r="A3085" s="431">
        <v>36645</v>
      </c>
      <c r="B3085" s="432">
        <v>2004.47</v>
      </c>
      <c r="C3085" s="427">
        <f t="shared" si="96"/>
        <v>2000</v>
      </c>
      <c r="D3085" s="433">
        <f t="shared" si="97"/>
        <v>2004.47</v>
      </c>
    </row>
    <row r="3086" spans="1:4" ht="16.149999999999999" customHeight="1" x14ac:dyDescent="0.25">
      <c r="A3086" s="431">
        <v>36646</v>
      </c>
      <c r="B3086" s="434">
        <v>2004.47</v>
      </c>
      <c r="C3086" s="427">
        <f t="shared" si="96"/>
        <v>2000</v>
      </c>
      <c r="D3086" s="433">
        <f t="shared" si="97"/>
        <v>2004.47</v>
      </c>
    </row>
    <row r="3087" spans="1:4" ht="16.149999999999999" customHeight="1" x14ac:dyDescent="0.25">
      <c r="A3087" s="431">
        <v>36647</v>
      </c>
      <c r="B3087" s="432">
        <v>2004.47</v>
      </c>
      <c r="C3087" s="427">
        <f t="shared" si="96"/>
        <v>2000</v>
      </c>
      <c r="D3087" s="433">
        <f t="shared" si="97"/>
        <v>2004.47</v>
      </c>
    </row>
    <row r="3088" spans="1:4" ht="16.149999999999999" customHeight="1" x14ac:dyDescent="0.25">
      <c r="A3088" s="431">
        <v>36648</v>
      </c>
      <c r="B3088" s="434">
        <v>2004.47</v>
      </c>
      <c r="C3088" s="427">
        <f t="shared" si="96"/>
        <v>2000</v>
      </c>
      <c r="D3088" s="433">
        <f t="shared" si="97"/>
        <v>2004.47</v>
      </c>
    </row>
    <row r="3089" spans="1:4" ht="16.149999999999999" customHeight="1" x14ac:dyDescent="0.25">
      <c r="A3089" s="431">
        <v>36649</v>
      </c>
      <c r="B3089" s="432">
        <v>2001.62</v>
      </c>
      <c r="C3089" s="427">
        <f t="shared" si="96"/>
        <v>2000</v>
      </c>
      <c r="D3089" s="433">
        <f t="shared" si="97"/>
        <v>2001.62</v>
      </c>
    </row>
    <row r="3090" spans="1:4" ht="16.149999999999999" customHeight="1" x14ac:dyDescent="0.25">
      <c r="A3090" s="431">
        <v>36650</v>
      </c>
      <c r="B3090" s="434">
        <v>2015.92</v>
      </c>
      <c r="C3090" s="427">
        <f t="shared" si="96"/>
        <v>2000</v>
      </c>
      <c r="D3090" s="433">
        <f t="shared" si="97"/>
        <v>2015.92</v>
      </c>
    </row>
    <row r="3091" spans="1:4" ht="16.149999999999999" customHeight="1" x14ac:dyDescent="0.25">
      <c r="A3091" s="431">
        <v>36651</v>
      </c>
      <c r="B3091" s="432">
        <v>2027.26</v>
      </c>
      <c r="C3091" s="427">
        <f t="shared" si="96"/>
        <v>2000</v>
      </c>
      <c r="D3091" s="433">
        <f t="shared" si="97"/>
        <v>2027.26</v>
      </c>
    </row>
    <row r="3092" spans="1:4" ht="16.149999999999999" customHeight="1" x14ac:dyDescent="0.25">
      <c r="A3092" s="431">
        <v>36652</v>
      </c>
      <c r="B3092" s="434">
        <v>2033.17</v>
      </c>
      <c r="C3092" s="427">
        <f t="shared" si="96"/>
        <v>2000</v>
      </c>
      <c r="D3092" s="433">
        <f t="shared" si="97"/>
        <v>2033.17</v>
      </c>
    </row>
    <row r="3093" spans="1:4" ht="16.149999999999999" customHeight="1" x14ac:dyDescent="0.25">
      <c r="A3093" s="431">
        <v>36653</v>
      </c>
      <c r="B3093" s="432">
        <v>2033.17</v>
      </c>
      <c r="C3093" s="427">
        <f t="shared" si="96"/>
        <v>2000</v>
      </c>
      <c r="D3093" s="433">
        <f t="shared" si="97"/>
        <v>2033.17</v>
      </c>
    </row>
    <row r="3094" spans="1:4" ht="16.149999999999999" customHeight="1" x14ac:dyDescent="0.25">
      <c r="A3094" s="431">
        <v>36654</v>
      </c>
      <c r="B3094" s="434">
        <v>2033.17</v>
      </c>
      <c r="C3094" s="427">
        <f t="shared" si="96"/>
        <v>2000</v>
      </c>
      <c r="D3094" s="433">
        <f t="shared" si="97"/>
        <v>2033.17</v>
      </c>
    </row>
    <row r="3095" spans="1:4" ht="16.149999999999999" customHeight="1" x14ac:dyDescent="0.25">
      <c r="A3095" s="431">
        <v>36655</v>
      </c>
      <c r="B3095" s="432">
        <v>2044.59</v>
      </c>
      <c r="C3095" s="427">
        <f t="shared" si="96"/>
        <v>2000</v>
      </c>
      <c r="D3095" s="433">
        <f t="shared" si="97"/>
        <v>2044.59</v>
      </c>
    </row>
    <row r="3096" spans="1:4" ht="16.149999999999999" customHeight="1" x14ac:dyDescent="0.25">
      <c r="A3096" s="431">
        <v>36656</v>
      </c>
      <c r="B3096" s="434">
        <v>2031.86</v>
      </c>
      <c r="C3096" s="427">
        <f t="shared" si="96"/>
        <v>2000</v>
      </c>
      <c r="D3096" s="433">
        <f t="shared" si="97"/>
        <v>2031.86</v>
      </c>
    </row>
    <row r="3097" spans="1:4" ht="16.149999999999999" customHeight="1" x14ac:dyDescent="0.25">
      <c r="A3097" s="431">
        <v>36657</v>
      </c>
      <c r="B3097" s="432">
        <v>2021.68</v>
      </c>
      <c r="C3097" s="427">
        <f t="shared" si="96"/>
        <v>2000</v>
      </c>
      <c r="D3097" s="433">
        <f t="shared" si="97"/>
        <v>2021.68</v>
      </c>
    </row>
    <row r="3098" spans="1:4" ht="16.149999999999999" customHeight="1" x14ac:dyDescent="0.25">
      <c r="A3098" s="431">
        <v>36658</v>
      </c>
      <c r="B3098" s="434">
        <v>2031.96</v>
      </c>
      <c r="C3098" s="427">
        <f t="shared" si="96"/>
        <v>2000</v>
      </c>
      <c r="D3098" s="433">
        <f t="shared" si="97"/>
        <v>2031.96</v>
      </c>
    </row>
    <row r="3099" spans="1:4" ht="16.149999999999999" customHeight="1" x14ac:dyDescent="0.25">
      <c r="A3099" s="431">
        <v>36659</v>
      </c>
      <c r="B3099" s="432">
        <v>2039.29</v>
      </c>
      <c r="C3099" s="427">
        <f t="shared" si="96"/>
        <v>2000</v>
      </c>
      <c r="D3099" s="433">
        <f t="shared" si="97"/>
        <v>2039.29</v>
      </c>
    </row>
    <row r="3100" spans="1:4" ht="16.149999999999999" customHeight="1" x14ac:dyDescent="0.25">
      <c r="A3100" s="431">
        <v>36660</v>
      </c>
      <c r="B3100" s="434">
        <v>2039.29</v>
      </c>
      <c r="C3100" s="427">
        <f t="shared" si="96"/>
        <v>2000</v>
      </c>
      <c r="D3100" s="433">
        <f t="shared" si="97"/>
        <v>2039.29</v>
      </c>
    </row>
    <row r="3101" spans="1:4" ht="16.149999999999999" customHeight="1" x14ac:dyDescent="0.25">
      <c r="A3101" s="431">
        <v>36661</v>
      </c>
      <c r="B3101" s="432">
        <v>2039.29</v>
      </c>
      <c r="C3101" s="427">
        <f t="shared" si="96"/>
        <v>2000</v>
      </c>
      <c r="D3101" s="433">
        <f t="shared" si="97"/>
        <v>2039.29</v>
      </c>
    </row>
    <row r="3102" spans="1:4" ht="16.149999999999999" customHeight="1" x14ac:dyDescent="0.25">
      <c r="A3102" s="431">
        <v>36662</v>
      </c>
      <c r="B3102" s="434">
        <v>2035.54</v>
      </c>
      <c r="C3102" s="427">
        <f t="shared" si="96"/>
        <v>2000</v>
      </c>
      <c r="D3102" s="433">
        <f t="shared" si="97"/>
        <v>2035.54</v>
      </c>
    </row>
    <row r="3103" spans="1:4" ht="16.149999999999999" customHeight="1" x14ac:dyDescent="0.25">
      <c r="A3103" s="431">
        <v>36663</v>
      </c>
      <c r="B3103" s="432">
        <v>2037.1</v>
      </c>
      <c r="C3103" s="427">
        <f t="shared" si="96"/>
        <v>2000</v>
      </c>
      <c r="D3103" s="433">
        <f t="shared" si="97"/>
        <v>2037.1</v>
      </c>
    </row>
    <row r="3104" spans="1:4" ht="16.149999999999999" customHeight="1" x14ac:dyDescent="0.25">
      <c r="A3104" s="431">
        <v>36664</v>
      </c>
      <c r="B3104" s="434">
        <v>2047.79</v>
      </c>
      <c r="C3104" s="427">
        <f t="shared" si="96"/>
        <v>2000</v>
      </c>
      <c r="D3104" s="433">
        <f t="shared" si="97"/>
        <v>2047.79</v>
      </c>
    </row>
    <row r="3105" spans="1:4" ht="16.149999999999999" customHeight="1" x14ac:dyDescent="0.25">
      <c r="A3105" s="431">
        <v>36665</v>
      </c>
      <c r="B3105" s="432">
        <v>2055.35</v>
      </c>
      <c r="C3105" s="427">
        <f t="shared" si="96"/>
        <v>2000</v>
      </c>
      <c r="D3105" s="433">
        <f t="shared" si="97"/>
        <v>2055.35</v>
      </c>
    </row>
    <row r="3106" spans="1:4" ht="16.149999999999999" customHeight="1" x14ac:dyDescent="0.25">
      <c r="A3106" s="431">
        <v>36666</v>
      </c>
      <c r="B3106" s="434">
        <v>2076.85</v>
      </c>
      <c r="C3106" s="427">
        <f t="shared" si="96"/>
        <v>2000</v>
      </c>
      <c r="D3106" s="433">
        <f t="shared" si="97"/>
        <v>2076.85</v>
      </c>
    </row>
    <row r="3107" spans="1:4" ht="16.149999999999999" customHeight="1" x14ac:dyDescent="0.25">
      <c r="A3107" s="431">
        <v>36667</v>
      </c>
      <c r="B3107" s="432">
        <v>2076.85</v>
      </c>
      <c r="C3107" s="427">
        <f t="shared" si="96"/>
        <v>2000</v>
      </c>
      <c r="D3107" s="433">
        <f t="shared" si="97"/>
        <v>2076.85</v>
      </c>
    </row>
    <row r="3108" spans="1:4" ht="16.149999999999999" customHeight="1" x14ac:dyDescent="0.25">
      <c r="A3108" s="431">
        <v>36668</v>
      </c>
      <c r="B3108" s="434">
        <v>2076.85</v>
      </c>
      <c r="C3108" s="427">
        <f t="shared" si="96"/>
        <v>2000</v>
      </c>
      <c r="D3108" s="433">
        <f t="shared" si="97"/>
        <v>2076.85</v>
      </c>
    </row>
    <row r="3109" spans="1:4" ht="16.149999999999999" customHeight="1" x14ac:dyDescent="0.25">
      <c r="A3109" s="431">
        <v>36669</v>
      </c>
      <c r="B3109" s="432">
        <v>2094.73</v>
      </c>
      <c r="C3109" s="427">
        <f t="shared" si="96"/>
        <v>2000</v>
      </c>
      <c r="D3109" s="433">
        <f t="shared" si="97"/>
        <v>2094.73</v>
      </c>
    </row>
    <row r="3110" spans="1:4" ht="16.149999999999999" customHeight="1" x14ac:dyDescent="0.25">
      <c r="A3110" s="431">
        <v>36670</v>
      </c>
      <c r="B3110" s="434">
        <v>2111.94</v>
      </c>
      <c r="C3110" s="427">
        <f t="shared" si="96"/>
        <v>2000</v>
      </c>
      <c r="D3110" s="433">
        <f t="shared" si="97"/>
        <v>2111.94</v>
      </c>
    </row>
    <row r="3111" spans="1:4" ht="16.149999999999999" customHeight="1" x14ac:dyDescent="0.25">
      <c r="A3111" s="431">
        <v>36671</v>
      </c>
      <c r="B3111" s="432">
        <v>2142.14</v>
      </c>
      <c r="C3111" s="427">
        <f t="shared" si="96"/>
        <v>2000</v>
      </c>
      <c r="D3111" s="433">
        <f t="shared" si="97"/>
        <v>2142.14</v>
      </c>
    </row>
    <row r="3112" spans="1:4" ht="16.149999999999999" customHeight="1" x14ac:dyDescent="0.25">
      <c r="A3112" s="431">
        <v>36672</v>
      </c>
      <c r="B3112" s="434">
        <v>2113.2800000000002</v>
      </c>
      <c r="C3112" s="427">
        <f t="shared" si="96"/>
        <v>2000</v>
      </c>
      <c r="D3112" s="433">
        <f t="shared" si="97"/>
        <v>2113.2800000000002</v>
      </c>
    </row>
    <row r="3113" spans="1:4" ht="16.149999999999999" customHeight="1" x14ac:dyDescent="0.25">
      <c r="A3113" s="431">
        <v>36673</v>
      </c>
      <c r="B3113" s="432">
        <v>2096.52</v>
      </c>
      <c r="C3113" s="427">
        <f t="shared" si="96"/>
        <v>2000</v>
      </c>
      <c r="D3113" s="433">
        <f t="shared" si="97"/>
        <v>2096.52</v>
      </c>
    </row>
    <row r="3114" spans="1:4" ht="16.149999999999999" customHeight="1" x14ac:dyDescent="0.25">
      <c r="A3114" s="431">
        <v>36674</v>
      </c>
      <c r="B3114" s="434">
        <v>2096.52</v>
      </c>
      <c r="C3114" s="427">
        <f t="shared" si="96"/>
        <v>2000</v>
      </c>
      <c r="D3114" s="433">
        <f t="shared" si="97"/>
        <v>2096.52</v>
      </c>
    </row>
    <row r="3115" spans="1:4" ht="16.149999999999999" customHeight="1" x14ac:dyDescent="0.25">
      <c r="A3115" s="431">
        <v>36675</v>
      </c>
      <c r="B3115" s="432">
        <v>2096.52</v>
      </c>
      <c r="C3115" s="427">
        <f t="shared" si="96"/>
        <v>2000</v>
      </c>
      <c r="D3115" s="433">
        <f t="shared" si="97"/>
        <v>2096.52</v>
      </c>
    </row>
    <row r="3116" spans="1:4" ht="16.149999999999999" customHeight="1" x14ac:dyDescent="0.25">
      <c r="A3116" s="431">
        <v>36676</v>
      </c>
      <c r="B3116" s="434">
        <v>2077.2800000000002</v>
      </c>
      <c r="C3116" s="427">
        <f t="shared" si="96"/>
        <v>2000</v>
      </c>
      <c r="D3116" s="433">
        <f t="shared" si="97"/>
        <v>2077.2800000000002</v>
      </c>
    </row>
    <row r="3117" spans="1:4" ht="16.149999999999999" customHeight="1" x14ac:dyDescent="0.25">
      <c r="A3117" s="431">
        <v>36677</v>
      </c>
      <c r="B3117" s="432">
        <v>2084.92</v>
      </c>
      <c r="C3117" s="427">
        <f t="shared" si="96"/>
        <v>2000</v>
      </c>
      <c r="D3117" s="433">
        <f t="shared" si="97"/>
        <v>2084.92</v>
      </c>
    </row>
    <row r="3118" spans="1:4" ht="16.149999999999999" customHeight="1" x14ac:dyDescent="0.25">
      <c r="A3118" s="431">
        <v>36678</v>
      </c>
      <c r="B3118" s="434">
        <v>2096.96</v>
      </c>
      <c r="C3118" s="427">
        <f t="shared" si="96"/>
        <v>2000</v>
      </c>
      <c r="D3118" s="433">
        <f t="shared" si="97"/>
        <v>2096.96</v>
      </c>
    </row>
    <row r="3119" spans="1:4" ht="16.149999999999999" customHeight="1" x14ac:dyDescent="0.25">
      <c r="A3119" s="431">
        <v>36679</v>
      </c>
      <c r="B3119" s="432">
        <v>2095.1</v>
      </c>
      <c r="C3119" s="427">
        <f t="shared" si="96"/>
        <v>2000</v>
      </c>
      <c r="D3119" s="433">
        <f t="shared" si="97"/>
        <v>2095.1</v>
      </c>
    </row>
    <row r="3120" spans="1:4" ht="16.149999999999999" customHeight="1" x14ac:dyDescent="0.25">
      <c r="A3120" s="431">
        <v>36680</v>
      </c>
      <c r="B3120" s="434">
        <v>2118.5700000000002</v>
      </c>
      <c r="C3120" s="427">
        <f t="shared" si="96"/>
        <v>2000</v>
      </c>
      <c r="D3120" s="433">
        <f t="shared" si="97"/>
        <v>2118.5700000000002</v>
      </c>
    </row>
    <row r="3121" spans="1:4" ht="16.149999999999999" customHeight="1" x14ac:dyDescent="0.25">
      <c r="A3121" s="431">
        <v>36681</v>
      </c>
      <c r="B3121" s="432">
        <v>2118.5700000000002</v>
      </c>
      <c r="C3121" s="427">
        <f t="shared" si="96"/>
        <v>2000</v>
      </c>
      <c r="D3121" s="433">
        <f t="shared" si="97"/>
        <v>2118.5700000000002</v>
      </c>
    </row>
    <row r="3122" spans="1:4" ht="16.149999999999999" customHeight="1" x14ac:dyDescent="0.25">
      <c r="A3122" s="431">
        <v>36682</v>
      </c>
      <c r="B3122" s="434">
        <v>2118.5700000000002</v>
      </c>
      <c r="C3122" s="427">
        <f t="shared" si="96"/>
        <v>2000</v>
      </c>
      <c r="D3122" s="433">
        <f t="shared" si="97"/>
        <v>2118.5700000000002</v>
      </c>
    </row>
    <row r="3123" spans="1:4" ht="16.149999999999999" customHeight="1" x14ac:dyDescent="0.25">
      <c r="A3123" s="431">
        <v>36683</v>
      </c>
      <c r="B3123" s="432">
        <v>2118.5700000000002</v>
      </c>
      <c r="C3123" s="427">
        <f t="shared" si="96"/>
        <v>2000</v>
      </c>
      <c r="D3123" s="433">
        <f t="shared" si="97"/>
        <v>2118.5700000000002</v>
      </c>
    </row>
    <row r="3124" spans="1:4" ht="16.149999999999999" customHeight="1" x14ac:dyDescent="0.25">
      <c r="A3124" s="431">
        <v>36684</v>
      </c>
      <c r="B3124" s="434">
        <v>2121.73</v>
      </c>
      <c r="C3124" s="427">
        <f t="shared" si="96"/>
        <v>2000</v>
      </c>
      <c r="D3124" s="433">
        <f t="shared" si="97"/>
        <v>2121.73</v>
      </c>
    </row>
    <row r="3125" spans="1:4" ht="16.149999999999999" customHeight="1" x14ac:dyDescent="0.25">
      <c r="A3125" s="431">
        <v>36685</v>
      </c>
      <c r="B3125" s="432">
        <v>2127.0300000000002</v>
      </c>
      <c r="C3125" s="427">
        <f t="shared" si="96"/>
        <v>2000</v>
      </c>
      <c r="D3125" s="433">
        <f t="shared" si="97"/>
        <v>2127.0300000000002</v>
      </c>
    </row>
    <row r="3126" spans="1:4" ht="16.149999999999999" customHeight="1" x14ac:dyDescent="0.25">
      <c r="A3126" s="431">
        <v>36686</v>
      </c>
      <c r="B3126" s="434">
        <v>2125.3000000000002</v>
      </c>
      <c r="C3126" s="427">
        <f t="shared" si="96"/>
        <v>2000</v>
      </c>
      <c r="D3126" s="433">
        <f t="shared" si="97"/>
        <v>2125.3000000000002</v>
      </c>
    </row>
    <row r="3127" spans="1:4" ht="16.149999999999999" customHeight="1" x14ac:dyDescent="0.25">
      <c r="A3127" s="431">
        <v>36687</v>
      </c>
      <c r="B3127" s="432">
        <v>2115.86</v>
      </c>
      <c r="C3127" s="427">
        <f t="shared" si="96"/>
        <v>2000</v>
      </c>
      <c r="D3127" s="433">
        <f t="shared" si="97"/>
        <v>2115.86</v>
      </c>
    </row>
    <row r="3128" spans="1:4" ht="16.149999999999999" customHeight="1" x14ac:dyDescent="0.25">
      <c r="A3128" s="431">
        <v>36688</v>
      </c>
      <c r="B3128" s="434">
        <v>2115.86</v>
      </c>
      <c r="C3128" s="427">
        <f t="shared" si="96"/>
        <v>2000</v>
      </c>
      <c r="D3128" s="433">
        <f t="shared" si="97"/>
        <v>2115.86</v>
      </c>
    </row>
    <row r="3129" spans="1:4" ht="16.149999999999999" customHeight="1" x14ac:dyDescent="0.25">
      <c r="A3129" s="431">
        <v>36689</v>
      </c>
      <c r="B3129" s="432">
        <v>2115.86</v>
      </c>
      <c r="C3129" s="427">
        <f t="shared" si="96"/>
        <v>2000</v>
      </c>
      <c r="D3129" s="433">
        <f t="shared" si="97"/>
        <v>2115.86</v>
      </c>
    </row>
    <row r="3130" spans="1:4" ht="16.149999999999999" customHeight="1" x14ac:dyDescent="0.25">
      <c r="A3130" s="431">
        <v>36690</v>
      </c>
      <c r="B3130" s="434">
        <v>2106.9699999999998</v>
      </c>
      <c r="C3130" s="427">
        <f t="shared" si="96"/>
        <v>2000</v>
      </c>
      <c r="D3130" s="433">
        <f t="shared" si="97"/>
        <v>2106.9699999999998</v>
      </c>
    </row>
    <row r="3131" spans="1:4" ht="16.149999999999999" customHeight="1" x14ac:dyDescent="0.25">
      <c r="A3131" s="431">
        <v>36691</v>
      </c>
      <c r="B3131" s="432">
        <v>2122.2399999999998</v>
      </c>
      <c r="C3131" s="427">
        <f t="shared" si="96"/>
        <v>2000</v>
      </c>
      <c r="D3131" s="433">
        <f t="shared" si="97"/>
        <v>2122.2399999999998</v>
      </c>
    </row>
    <row r="3132" spans="1:4" ht="16.149999999999999" customHeight="1" x14ac:dyDescent="0.25">
      <c r="A3132" s="431">
        <v>36692</v>
      </c>
      <c r="B3132" s="434">
        <v>2111.09</v>
      </c>
      <c r="C3132" s="427">
        <f t="shared" si="96"/>
        <v>2000</v>
      </c>
      <c r="D3132" s="433">
        <f t="shared" si="97"/>
        <v>2111.09</v>
      </c>
    </row>
    <row r="3133" spans="1:4" ht="16.149999999999999" customHeight="1" x14ac:dyDescent="0.25">
      <c r="A3133" s="431">
        <v>36693</v>
      </c>
      <c r="B3133" s="432">
        <v>2110.5700000000002</v>
      </c>
      <c r="C3133" s="427">
        <f t="shared" si="96"/>
        <v>2000</v>
      </c>
      <c r="D3133" s="433">
        <f t="shared" si="97"/>
        <v>2110.5700000000002</v>
      </c>
    </row>
    <row r="3134" spans="1:4" ht="16.149999999999999" customHeight="1" x14ac:dyDescent="0.25">
      <c r="A3134" s="431">
        <v>36694</v>
      </c>
      <c r="B3134" s="434">
        <v>2114.8000000000002</v>
      </c>
      <c r="C3134" s="427">
        <f t="shared" si="96"/>
        <v>2000</v>
      </c>
      <c r="D3134" s="433">
        <f t="shared" si="97"/>
        <v>2114.8000000000002</v>
      </c>
    </row>
    <row r="3135" spans="1:4" ht="16.149999999999999" customHeight="1" x14ac:dyDescent="0.25">
      <c r="A3135" s="431">
        <v>36695</v>
      </c>
      <c r="B3135" s="432">
        <v>2114.8000000000002</v>
      </c>
      <c r="C3135" s="427">
        <f t="shared" si="96"/>
        <v>2000</v>
      </c>
      <c r="D3135" s="433">
        <f t="shared" si="97"/>
        <v>2114.8000000000002</v>
      </c>
    </row>
    <row r="3136" spans="1:4" ht="16.149999999999999" customHeight="1" x14ac:dyDescent="0.25">
      <c r="A3136" s="431">
        <v>36696</v>
      </c>
      <c r="B3136" s="434">
        <v>2114.8000000000002</v>
      </c>
      <c r="C3136" s="427">
        <f t="shared" si="96"/>
        <v>2000</v>
      </c>
      <c r="D3136" s="433">
        <f t="shared" si="97"/>
        <v>2114.8000000000002</v>
      </c>
    </row>
    <row r="3137" spans="1:4" ht="16.149999999999999" customHeight="1" x14ac:dyDescent="0.25">
      <c r="A3137" s="431">
        <v>36697</v>
      </c>
      <c r="B3137" s="432">
        <v>2115.15</v>
      </c>
      <c r="C3137" s="427">
        <f t="shared" si="96"/>
        <v>2000</v>
      </c>
      <c r="D3137" s="433">
        <f t="shared" si="97"/>
        <v>2115.15</v>
      </c>
    </row>
    <row r="3138" spans="1:4" ht="16.149999999999999" customHeight="1" x14ac:dyDescent="0.25">
      <c r="A3138" s="431">
        <v>36698</v>
      </c>
      <c r="B3138" s="434">
        <v>2123.58</v>
      </c>
      <c r="C3138" s="427">
        <f t="shared" si="96"/>
        <v>2000</v>
      </c>
      <c r="D3138" s="433">
        <f t="shared" si="97"/>
        <v>2123.58</v>
      </c>
    </row>
    <row r="3139" spans="1:4" ht="16.149999999999999" customHeight="1" x14ac:dyDescent="0.25">
      <c r="A3139" s="431">
        <v>36699</v>
      </c>
      <c r="B3139" s="432">
        <v>2134.34</v>
      </c>
      <c r="C3139" s="427">
        <f t="shared" si="96"/>
        <v>2000</v>
      </c>
      <c r="D3139" s="433">
        <f t="shared" si="97"/>
        <v>2134.34</v>
      </c>
    </row>
    <row r="3140" spans="1:4" ht="16.149999999999999" customHeight="1" x14ac:dyDescent="0.25">
      <c r="A3140" s="431">
        <v>36700</v>
      </c>
      <c r="B3140" s="434">
        <v>2129.13</v>
      </c>
      <c r="C3140" s="427">
        <f t="shared" si="96"/>
        <v>2000</v>
      </c>
      <c r="D3140" s="433">
        <f t="shared" si="97"/>
        <v>2129.13</v>
      </c>
    </row>
    <row r="3141" spans="1:4" ht="16.149999999999999" customHeight="1" x14ac:dyDescent="0.25">
      <c r="A3141" s="431">
        <v>36701</v>
      </c>
      <c r="B3141" s="432">
        <v>2123.9899999999998</v>
      </c>
      <c r="C3141" s="427">
        <f t="shared" si="96"/>
        <v>2000</v>
      </c>
      <c r="D3141" s="433">
        <f t="shared" si="97"/>
        <v>2123.9899999999998</v>
      </c>
    </row>
    <row r="3142" spans="1:4" ht="16.149999999999999" customHeight="1" x14ac:dyDescent="0.25">
      <c r="A3142" s="431">
        <v>36702</v>
      </c>
      <c r="B3142" s="434">
        <v>2123.9899999999998</v>
      </c>
      <c r="C3142" s="427">
        <f t="shared" si="96"/>
        <v>2000</v>
      </c>
      <c r="D3142" s="433">
        <f t="shared" si="97"/>
        <v>2123.9899999999998</v>
      </c>
    </row>
    <row r="3143" spans="1:4" ht="16.149999999999999" customHeight="1" x14ac:dyDescent="0.25">
      <c r="A3143" s="431">
        <v>36703</v>
      </c>
      <c r="B3143" s="432">
        <v>2123.9899999999998</v>
      </c>
      <c r="C3143" s="427">
        <f t="shared" si="96"/>
        <v>2000</v>
      </c>
      <c r="D3143" s="433">
        <f t="shared" si="97"/>
        <v>2123.9899999999998</v>
      </c>
    </row>
    <row r="3144" spans="1:4" ht="16.149999999999999" customHeight="1" x14ac:dyDescent="0.25">
      <c r="A3144" s="431">
        <v>36704</v>
      </c>
      <c r="B3144" s="434">
        <v>2123.9899999999998</v>
      </c>
      <c r="C3144" s="427">
        <f t="shared" si="96"/>
        <v>2000</v>
      </c>
      <c r="D3144" s="433">
        <f t="shared" si="97"/>
        <v>2123.9899999999998</v>
      </c>
    </row>
    <row r="3145" spans="1:4" ht="16.149999999999999" customHeight="1" x14ac:dyDescent="0.25">
      <c r="A3145" s="431">
        <v>36705</v>
      </c>
      <c r="B3145" s="432">
        <v>2135.65</v>
      </c>
      <c r="C3145" s="427">
        <f t="shared" si="96"/>
        <v>2000</v>
      </c>
      <c r="D3145" s="433">
        <f t="shared" si="97"/>
        <v>2135.65</v>
      </c>
    </row>
    <row r="3146" spans="1:4" ht="16.149999999999999" customHeight="1" x14ac:dyDescent="0.25">
      <c r="A3146" s="431">
        <v>36706</v>
      </c>
      <c r="B3146" s="434">
        <v>2136.2199999999998</v>
      </c>
      <c r="C3146" s="427">
        <f t="shared" ref="C3146:C3209" si="98">YEAR(A3146)</f>
        <v>2000</v>
      </c>
      <c r="D3146" s="433">
        <f t="shared" ref="D3146:D3209" si="99">B3146</f>
        <v>2136.2199999999998</v>
      </c>
    </row>
    <row r="3147" spans="1:4" ht="16.149999999999999" customHeight="1" x14ac:dyDescent="0.25">
      <c r="A3147" s="431">
        <v>36707</v>
      </c>
      <c r="B3147" s="432">
        <v>2139.11</v>
      </c>
      <c r="C3147" s="427">
        <f t="shared" si="98"/>
        <v>2000</v>
      </c>
      <c r="D3147" s="433">
        <f t="shared" si="99"/>
        <v>2139.11</v>
      </c>
    </row>
    <row r="3148" spans="1:4" ht="16.149999999999999" customHeight="1" x14ac:dyDescent="0.25">
      <c r="A3148" s="431">
        <v>36708</v>
      </c>
      <c r="B3148" s="434">
        <v>2150.7600000000002</v>
      </c>
      <c r="C3148" s="427">
        <f t="shared" si="98"/>
        <v>2000</v>
      </c>
      <c r="D3148" s="433">
        <f t="shared" si="99"/>
        <v>2150.7600000000002</v>
      </c>
    </row>
    <row r="3149" spans="1:4" ht="16.149999999999999" customHeight="1" x14ac:dyDescent="0.25">
      <c r="A3149" s="431">
        <v>36709</v>
      </c>
      <c r="B3149" s="432">
        <v>2150.7600000000002</v>
      </c>
      <c r="C3149" s="427">
        <f t="shared" si="98"/>
        <v>2000</v>
      </c>
      <c r="D3149" s="433">
        <f t="shared" si="99"/>
        <v>2150.7600000000002</v>
      </c>
    </row>
    <row r="3150" spans="1:4" ht="16.149999999999999" customHeight="1" x14ac:dyDescent="0.25">
      <c r="A3150" s="431">
        <v>36710</v>
      </c>
      <c r="B3150" s="434">
        <v>2150.7600000000002</v>
      </c>
      <c r="C3150" s="427">
        <f t="shared" si="98"/>
        <v>2000</v>
      </c>
      <c r="D3150" s="433">
        <f t="shared" si="99"/>
        <v>2150.7600000000002</v>
      </c>
    </row>
    <row r="3151" spans="1:4" ht="16.149999999999999" customHeight="1" x14ac:dyDescent="0.25">
      <c r="A3151" s="431">
        <v>36711</v>
      </c>
      <c r="B3151" s="432">
        <v>2150.7600000000002</v>
      </c>
      <c r="C3151" s="427">
        <f t="shared" si="98"/>
        <v>2000</v>
      </c>
      <c r="D3151" s="433">
        <f t="shared" si="99"/>
        <v>2150.7600000000002</v>
      </c>
    </row>
    <row r="3152" spans="1:4" ht="16.149999999999999" customHeight="1" x14ac:dyDescent="0.25">
      <c r="A3152" s="431">
        <v>36712</v>
      </c>
      <c r="B3152" s="434">
        <v>2151.0500000000002</v>
      </c>
      <c r="C3152" s="427">
        <f t="shared" si="98"/>
        <v>2000</v>
      </c>
      <c r="D3152" s="433">
        <f t="shared" si="99"/>
        <v>2151.0500000000002</v>
      </c>
    </row>
    <row r="3153" spans="1:4" ht="16.149999999999999" customHeight="1" x14ac:dyDescent="0.25">
      <c r="A3153" s="431">
        <v>36713</v>
      </c>
      <c r="B3153" s="432">
        <v>2163.44</v>
      </c>
      <c r="C3153" s="427">
        <f t="shared" si="98"/>
        <v>2000</v>
      </c>
      <c r="D3153" s="433">
        <f t="shared" si="99"/>
        <v>2163.44</v>
      </c>
    </row>
    <row r="3154" spans="1:4" ht="16.149999999999999" customHeight="1" x14ac:dyDescent="0.25">
      <c r="A3154" s="431">
        <v>36714</v>
      </c>
      <c r="B3154" s="434">
        <v>2168.65</v>
      </c>
      <c r="C3154" s="427">
        <f t="shared" si="98"/>
        <v>2000</v>
      </c>
      <c r="D3154" s="433">
        <f t="shared" si="99"/>
        <v>2168.65</v>
      </c>
    </row>
    <row r="3155" spans="1:4" ht="16.149999999999999" customHeight="1" x14ac:dyDescent="0.25">
      <c r="A3155" s="431">
        <v>36715</v>
      </c>
      <c r="B3155" s="432">
        <v>2165.5100000000002</v>
      </c>
      <c r="C3155" s="427">
        <f t="shared" si="98"/>
        <v>2000</v>
      </c>
      <c r="D3155" s="433">
        <f t="shared" si="99"/>
        <v>2165.5100000000002</v>
      </c>
    </row>
    <row r="3156" spans="1:4" ht="16.149999999999999" customHeight="1" x14ac:dyDescent="0.25">
      <c r="A3156" s="431">
        <v>36716</v>
      </c>
      <c r="B3156" s="434">
        <v>2165.5100000000002</v>
      </c>
      <c r="C3156" s="427">
        <f t="shared" si="98"/>
        <v>2000</v>
      </c>
      <c r="D3156" s="433">
        <f t="shared" si="99"/>
        <v>2165.5100000000002</v>
      </c>
    </row>
    <row r="3157" spans="1:4" ht="16.149999999999999" customHeight="1" x14ac:dyDescent="0.25">
      <c r="A3157" s="431">
        <v>36717</v>
      </c>
      <c r="B3157" s="432">
        <v>2165.5100000000002</v>
      </c>
      <c r="C3157" s="427">
        <f t="shared" si="98"/>
        <v>2000</v>
      </c>
      <c r="D3157" s="433">
        <f t="shared" si="99"/>
        <v>2165.5100000000002</v>
      </c>
    </row>
    <row r="3158" spans="1:4" ht="16.149999999999999" customHeight="1" x14ac:dyDescent="0.25">
      <c r="A3158" s="431">
        <v>36718</v>
      </c>
      <c r="B3158" s="434">
        <v>2171.63</v>
      </c>
      <c r="C3158" s="427">
        <f t="shared" si="98"/>
        <v>2000</v>
      </c>
      <c r="D3158" s="433">
        <f t="shared" si="99"/>
        <v>2171.63</v>
      </c>
    </row>
    <row r="3159" spans="1:4" ht="16.149999999999999" customHeight="1" x14ac:dyDescent="0.25">
      <c r="A3159" s="431">
        <v>36719</v>
      </c>
      <c r="B3159" s="432">
        <v>2182.56</v>
      </c>
      <c r="C3159" s="427">
        <f t="shared" si="98"/>
        <v>2000</v>
      </c>
      <c r="D3159" s="433">
        <f t="shared" si="99"/>
        <v>2182.56</v>
      </c>
    </row>
    <row r="3160" spans="1:4" ht="16.149999999999999" customHeight="1" x14ac:dyDescent="0.25">
      <c r="A3160" s="431">
        <v>36720</v>
      </c>
      <c r="B3160" s="434">
        <v>2172.16</v>
      </c>
      <c r="C3160" s="427">
        <f t="shared" si="98"/>
        <v>2000</v>
      </c>
      <c r="D3160" s="433">
        <f t="shared" si="99"/>
        <v>2172.16</v>
      </c>
    </row>
    <row r="3161" spans="1:4" ht="16.149999999999999" customHeight="1" x14ac:dyDescent="0.25">
      <c r="A3161" s="431">
        <v>36721</v>
      </c>
      <c r="B3161" s="432">
        <v>2166.2199999999998</v>
      </c>
      <c r="C3161" s="427">
        <f t="shared" si="98"/>
        <v>2000</v>
      </c>
      <c r="D3161" s="433">
        <f t="shared" si="99"/>
        <v>2166.2199999999998</v>
      </c>
    </row>
    <row r="3162" spans="1:4" ht="16.149999999999999" customHeight="1" x14ac:dyDescent="0.25">
      <c r="A3162" s="431">
        <v>36722</v>
      </c>
      <c r="B3162" s="434">
        <v>2156.3200000000002</v>
      </c>
      <c r="C3162" s="427">
        <f t="shared" si="98"/>
        <v>2000</v>
      </c>
      <c r="D3162" s="433">
        <f t="shared" si="99"/>
        <v>2156.3200000000002</v>
      </c>
    </row>
    <row r="3163" spans="1:4" ht="16.149999999999999" customHeight="1" x14ac:dyDescent="0.25">
      <c r="A3163" s="431">
        <v>36723</v>
      </c>
      <c r="B3163" s="432">
        <v>2156.3200000000002</v>
      </c>
      <c r="C3163" s="427">
        <f t="shared" si="98"/>
        <v>2000</v>
      </c>
      <c r="D3163" s="433">
        <f t="shared" si="99"/>
        <v>2156.3200000000002</v>
      </c>
    </row>
    <row r="3164" spans="1:4" ht="16.149999999999999" customHeight="1" x14ac:dyDescent="0.25">
      <c r="A3164" s="431">
        <v>36724</v>
      </c>
      <c r="B3164" s="434">
        <v>2156.3200000000002</v>
      </c>
      <c r="C3164" s="427">
        <f t="shared" si="98"/>
        <v>2000</v>
      </c>
      <c r="D3164" s="433">
        <f t="shared" si="99"/>
        <v>2156.3200000000002</v>
      </c>
    </row>
    <row r="3165" spans="1:4" ht="16.149999999999999" customHeight="1" x14ac:dyDescent="0.25">
      <c r="A3165" s="431">
        <v>36725</v>
      </c>
      <c r="B3165" s="432">
        <v>2144.0100000000002</v>
      </c>
      <c r="C3165" s="427">
        <f t="shared" si="98"/>
        <v>2000</v>
      </c>
      <c r="D3165" s="433">
        <f t="shared" si="99"/>
        <v>2144.0100000000002</v>
      </c>
    </row>
    <row r="3166" spans="1:4" ht="16.149999999999999" customHeight="1" x14ac:dyDescent="0.25">
      <c r="A3166" s="431">
        <v>36726</v>
      </c>
      <c r="B3166" s="434">
        <v>2151.56</v>
      </c>
      <c r="C3166" s="427">
        <f t="shared" si="98"/>
        <v>2000</v>
      </c>
      <c r="D3166" s="433">
        <f t="shared" si="99"/>
        <v>2151.56</v>
      </c>
    </row>
    <row r="3167" spans="1:4" ht="16.149999999999999" customHeight="1" x14ac:dyDescent="0.25">
      <c r="A3167" s="431">
        <v>36727</v>
      </c>
      <c r="B3167" s="432">
        <v>2155.81</v>
      </c>
      <c r="C3167" s="427">
        <f t="shared" si="98"/>
        <v>2000</v>
      </c>
      <c r="D3167" s="433">
        <f t="shared" si="99"/>
        <v>2155.81</v>
      </c>
    </row>
    <row r="3168" spans="1:4" ht="16.149999999999999" customHeight="1" x14ac:dyDescent="0.25">
      <c r="A3168" s="431">
        <v>36728</v>
      </c>
      <c r="B3168" s="434">
        <v>2155.81</v>
      </c>
      <c r="C3168" s="427">
        <f t="shared" si="98"/>
        <v>2000</v>
      </c>
      <c r="D3168" s="433">
        <f t="shared" si="99"/>
        <v>2155.81</v>
      </c>
    </row>
    <row r="3169" spans="1:4" ht="16.149999999999999" customHeight="1" x14ac:dyDescent="0.25">
      <c r="A3169" s="431">
        <v>36729</v>
      </c>
      <c r="B3169" s="432">
        <v>2152.3000000000002</v>
      </c>
      <c r="C3169" s="427">
        <f t="shared" si="98"/>
        <v>2000</v>
      </c>
      <c r="D3169" s="433">
        <f t="shared" si="99"/>
        <v>2152.3000000000002</v>
      </c>
    </row>
    <row r="3170" spans="1:4" ht="16.149999999999999" customHeight="1" x14ac:dyDescent="0.25">
      <c r="A3170" s="431">
        <v>36730</v>
      </c>
      <c r="B3170" s="434">
        <v>2152.3000000000002</v>
      </c>
      <c r="C3170" s="427">
        <f t="shared" si="98"/>
        <v>2000</v>
      </c>
      <c r="D3170" s="433">
        <f t="shared" si="99"/>
        <v>2152.3000000000002</v>
      </c>
    </row>
    <row r="3171" spans="1:4" ht="16.149999999999999" customHeight="1" x14ac:dyDescent="0.25">
      <c r="A3171" s="431">
        <v>36731</v>
      </c>
      <c r="B3171" s="432">
        <v>2152.3000000000002</v>
      </c>
      <c r="C3171" s="427">
        <f t="shared" si="98"/>
        <v>2000</v>
      </c>
      <c r="D3171" s="433">
        <f t="shared" si="99"/>
        <v>2152.3000000000002</v>
      </c>
    </row>
    <row r="3172" spans="1:4" ht="16.149999999999999" customHeight="1" x14ac:dyDescent="0.25">
      <c r="A3172" s="431">
        <v>36732</v>
      </c>
      <c r="B3172" s="434">
        <v>2147.65</v>
      </c>
      <c r="C3172" s="427">
        <f t="shared" si="98"/>
        <v>2000</v>
      </c>
      <c r="D3172" s="433">
        <f t="shared" si="99"/>
        <v>2147.65</v>
      </c>
    </row>
    <row r="3173" spans="1:4" ht="16.149999999999999" customHeight="1" x14ac:dyDescent="0.25">
      <c r="A3173" s="431">
        <v>36733</v>
      </c>
      <c r="B3173" s="432">
        <v>2153.91</v>
      </c>
      <c r="C3173" s="427">
        <f t="shared" si="98"/>
        <v>2000</v>
      </c>
      <c r="D3173" s="433">
        <f t="shared" si="99"/>
        <v>2153.91</v>
      </c>
    </row>
    <row r="3174" spans="1:4" ht="16.149999999999999" customHeight="1" x14ac:dyDescent="0.25">
      <c r="A3174" s="431">
        <v>36734</v>
      </c>
      <c r="B3174" s="434">
        <v>2165.37</v>
      </c>
      <c r="C3174" s="427">
        <f t="shared" si="98"/>
        <v>2000</v>
      </c>
      <c r="D3174" s="433">
        <f t="shared" si="99"/>
        <v>2165.37</v>
      </c>
    </row>
    <row r="3175" spans="1:4" ht="16.149999999999999" customHeight="1" x14ac:dyDescent="0.25">
      <c r="A3175" s="431">
        <v>36735</v>
      </c>
      <c r="B3175" s="432">
        <v>2173.7800000000002</v>
      </c>
      <c r="C3175" s="427">
        <f t="shared" si="98"/>
        <v>2000</v>
      </c>
      <c r="D3175" s="433">
        <f t="shared" si="99"/>
        <v>2173.7800000000002</v>
      </c>
    </row>
    <row r="3176" spans="1:4" ht="16.149999999999999" customHeight="1" x14ac:dyDescent="0.25">
      <c r="A3176" s="431">
        <v>36736</v>
      </c>
      <c r="B3176" s="434">
        <v>2172.79</v>
      </c>
      <c r="C3176" s="427">
        <f t="shared" si="98"/>
        <v>2000</v>
      </c>
      <c r="D3176" s="433">
        <f t="shared" si="99"/>
        <v>2172.79</v>
      </c>
    </row>
    <row r="3177" spans="1:4" ht="16.149999999999999" customHeight="1" x14ac:dyDescent="0.25">
      <c r="A3177" s="431">
        <v>36737</v>
      </c>
      <c r="B3177" s="432">
        <v>2172.79</v>
      </c>
      <c r="C3177" s="427">
        <f t="shared" si="98"/>
        <v>2000</v>
      </c>
      <c r="D3177" s="433">
        <f t="shared" si="99"/>
        <v>2172.79</v>
      </c>
    </row>
    <row r="3178" spans="1:4" ht="16.149999999999999" customHeight="1" x14ac:dyDescent="0.25">
      <c r="A3178" s="431">
        <v>36738</v>
      </c>
      <c r="B3178" s="434">
        <v>2172.79</v>
      </c>
      <c r="C3178" s="427">
        <f t="shared" si="98"/>
        <v>2000</v>
      </c>
      <c r="D3178" s="433">
        <f t="shared" si="99"/>
        <v>2172.79</v>
      </c>
    </row>
    <row r="3179" spans="1:4" ht="16.149999999999999" customHeight="1" x14ac:dyDescent="0.25">
      <c r="A3179" s="431">
        <v>36739</v>
      </c>
      <c r="B3179" s="432">
        <v>2174.5500000000002</v>
      </c>
      <c r="C3179" s="427">
        <f t="shared" si="98"/>
        <v>2000</v>
      </c>
      <c r="D3179" s="433">
        <f t="shared" si="99"/>
        <v>2174.5500000000002</v>
      </c>
    </row>
    <row r="3180" spans="1:4" ht="16.149999999999999" customHeight="1" x14ac:dyDescent="0.25">
      <c r="A3180" s="431">
        <v>36740</v>
      </c>
      <c r="B3180" s="434">
        <v>2175.02</v>
      </c>
      <c r="C3180" s="427">
        <f t="shared" si="98"/>
        <v>2000</v>
      </c>
      <c r="D3180" s="433">
        <f t="shared" si="99"/>
        <v>2175.02</v>
      </c>
    </row>
    <row r="3181" spans="1:4" ht="16.149999999999999" customHeight="1" x14ac:dyDescent="0.25">
      <c r="A3181" s="431">
        <v>36741</v>
      </c>
      <c r="B3181" s="432">
        <v>2173.62</v>
      </c>
      <c r="C3181" s="427">
        <f t="shared" si="98"/>
        <v>2000</v>
      </c>
      <c r="D3181" s="433">
        <f t="shared" si="99"/>
        <v>2173.62</v>
      </c>
    </row>
    <row r="3182" spans="1:4" ht="16.149999999999999" customHeight="1" x14ac:dyDescent="0.25">
      <c r="A3182" s="431">
        <v>36742</v>
      </c>
      <c r="B3182" s="434">
        <v>2177.67</v>
      </c>
      <c r="C3182" s="427">
        <f t="shared" si="98"/>
        <v>2000</v>
      </c>
      <c r="D3182" s="433">
        <f t="shared" si="99"/>
        <v>2177.67</v>
      </c>
    </row>
    <row r="3183" spans="1:4" ht="16.149999999999999" customHeight="1" x14ac:dyDescent="0.25">
      <c r="A3183" s="431">
        <v>36743</v>
      </c>
      <c r="B3183" s="432">
        <v>2180.64</v>
      </c>
      <c r="C3183" s="427">
        <f t="shared" si="98"/>
        <v>2000</v>
      </c>
      <c r="D3183" s="433">
        <f t="shared" si="99"/>
        <v>2180.64</v>
      </c>
    </row>
    <row r="3184" spans="1:4" ht="16.149999999999999" customHeight="1" x14ac:dyDescent="0.25">
      <c r="A3184" s="431">
        <v>36744</v>
      </c>
      <c r="B3184" s="434">
        <v>2180.64</v>
      </c>
      <c r="C3184" s="427">
        <f t="shared" si="98"/>
        <v>2000</v>
      </c>
      <c r="D3184" s="433">
        <f t="shared" si="99"/>
        <v>2180.64</v>
      </c>
    </row>
    <row r="3185" spans="1:4" ht="16.149999999999999" customHeight="1" x14ac:dyDescent="0.25">
      <c r="A3185" s="431">
        <v>36745</v>
      </c>
      <c r="B3185" s="432">
        <v>2180.64</v>
      </c>
      <c r="C3185" s="427">
        <f t="shared" si="98"/>
        <v>2000</v>
      </c>
      <c r="D3185" s="433">
        <f t="shared" si="99"/>
        <v>2180.64</v>
      </c>
    </row>
    <row r="3186" spans="1:4" ht="16.149999999999999" customHeight="1" x14ac:dyDescent="0.25">
      <c r="A3186" s="431">
        <v>36746</v>
      </c>
      <c r="B3186" s="434">
        <v>2180.64</v>
      </c>
      <c r="C3186" s="427">
        <f t="shared" si="98"/>
        <v>2000</v>
      </c>
      <c r="D3186" s="433">
        <f t="shared" si="99"/>
        <v>2180.64</v>
      </c>
    </row>
    <row r="3187" spans="1:4" ht="16.149999999999999" customHeight="1" x14ac:dyDescent="0.25">
      <c r="A3187" s="431">
        <v>36747</v>
      </c>
      <c r="B3187" s="432">
        <v>2176.52</v>
      </c>
      <c r="C3187" s="427">
        <f t="shared" si="98"/>
        <v>2000</v>
      </c>
      <c r="D3187" s="433">
        <f t="shared" si="99"/>
        <v>2176.52</v>
      </c>
    </row>
    <row r="3188" spans="1:4" ht="16.149999999999999" customHeight="1" x14ac:dyDescent="0.25">
      <c r="A3188" s="431">
        <v>36748</v>
      </c>
      <c r="B3188" s="434">
        <v>2176.17</v>
      </c>
      <c r="C3188" s="427">
        <f t="shared" si="98"/>
        <v>2000</v>
      </c>
      <c r="D3188" s="433">
        <f t="shared" si="99"/>
        <v>2176.17</v>
      </c>
    </row>
    <row r="3189" spans="1:4" ht="16.149999999999999" customHeight="1" x14ac:dyDescent="0.25">
      <c r="A3189" s="431">
        <v>36749</v>
      </c>
      <c r="B3189" s="432">
        <v>2179.6</v>
      </c>
      <c r="C3189" s="427">
        <f t="shared" si="98"/>
        <v>2000</v>
      </c>
      <c r="D3189" s="433">
        <f t="shared" si="99"/>
        <v>2179.6</v>
      </c>
    </row>
    <row r="3190" spans="1:4" ht="16.149999999999999" customHeight="1" x14ac:dyDescent="0.25">
      <c r="A3190" s="431">
        <v>36750</v>
      </c>
      <c r="B3190" s="434">
        <v>2180.89</v>
      </c>
      <c r="C3190" s="427">
        <f t="shared" si="98"/>
        <v>2000</v>
      </c>
      <c r="D3190" s="433">
        <f t="shared" si="99"/>
        <v>2180.89</v>
      </c>
    </row>
    <row r="3191" spans="1:4" ht="16.149999999999999" customHeight="1" x14ac:dyDescent="0.25">
      <c r="A3191" s="431">
        <v>36751</v>
      </c>
      <c r="B3191" s="432">
        <v>2180.89</v>
      </c>
      <c r="C3191" s="427">
        <f t="shared" si="98"/>
        <v>2000</v>
      </c>
      <c r="D3191" s="433">
        <f t="shared" si="99"/>
        <v>2180.89</v>
      </c>
    </row>
    <row r="3192" spans="1:4" ht="16.149999999999999" customHeight="1" x14ac:dyDescent="0.25">
      <c r="A3192" s="431">
        <v>36752</v>
      </c>
      <c r="B3192" s="434">
        <v>2180.89</v>
      </c>
      <c r="C3192" s="427">
        <f t="shared" si="98"/>
        <v>2000</v>
      </c>
      <c r="D3192" s="433">
        <f t="shared" si="99"/>
        <v>2180.89</v>
      </c>
    </row>
    <row r="3193" spans="1:4" ht="16.149999999999999" customHeight="1" x14ac:dyDescent="0.25">
      <c r="A3193" s="431">
        <v>36753</v>
      </c>
      <c r="B3193" s="432">
        <v>2180.9899999999998</v>
      </c>
      <c r="C3193" s="427">
        <f t="shared" si="98"/>
        <v>2000</v>
      </c>
      <c r="D3193" s="433">
        <f t="shared" si="99"/>
        <v>2180.9899999999998</v>
      </c>
    </row>
    <row r="3194" spans="1:4" ht="16.149999999999999" customHeight="1" x14ac:dyDescent="0.25">
      <c r="A3194" s="431">
        <v>36754</v>
      </c>
      <c r="B3194" s="434">
        <v>2185.4499999999998</v>
      </c>
      <c r="C3194" s="427">
        <f t="shared" si="98"/>
        <v>2000</v>
      </c>
      <c r="D3194" s="433">
        <f t="shared" si="99"/>
        <v>2185.4499999999998</v>
      </c>
    </row>
    <row r="3195" spans="1:4" ht="16.149999999999999" customHeight="1" x14ac:dyDescent="0.25">
      <c r="A3195" s="431">
        <v>36755</v>
      </c>
      <c r="B3195" s="432">
        <v>2185.46</v>
      </c>
      <c r="C3195" s="427">
        <f t="shared" si="98"/>
        <v>2000</v>
      </c>
      <c r="D3195" s="433">
        <f t="shared" si="99"/>
        <v>2185.46</v>
      </c>
    </row>
    <row r="3196" spans="1:4" ht="16.149999999999999" customHeight="1" x14ac:dyDescent="0.25">
      <c r="A3196" s="431">
        <v>36756</v>
      </c>
      <c r="B3196" s="434">
        <v>2185.75</v>
      </c>
      <c r="C3196" s="427">
        <f t="shared" si="98"/>
        <v>2000</v>
      </c>
      <c r="D3196" s="433">
        <f t="shared" si="99"/>
        <v>2185.75</v>
      </c>
    </row>
    <row r="3197" spans="1:4" ht="16.149999999999999" customHeight="1" x14ac:dyDescent="0.25">
      <c r="A3197" s="431">
        <v>36757</v>
      </c>
      <c r="B3197" s="432">
        <v>2183.0100000000002</v>
      </c>
      <c r="C3197" s="427">
        <f t="shared" si="98"/>
        <v>2000</v>
      </c>
      <c r="D3197" s="433">
        <f t="shared" si="99"/>
        <v>2183.0100000000002</v>
      </c>
    </row>
    <row r="3198" spans="1:4" ht="16.149999999999999" customHeight="1" x14ac:dyDescent="0.25">
      <c r="A3198" s="431">
        <v>36758</v>
      </c>
      <c r="B3198" s="434">
        <v>2183.0100000000002</v>
      </c>
      <c r="C3198" s="427">
        <f t="shared" si="98"/>
        <v>2000</v>
      </c>
      <c r="D3198" s="433">
        <f t="shared" si="99"/>
        <v>2183.0100000000002</v>
      </c>
    </row>
    <row r="3199" spans="1:4" ht="16.149999999999999" customHeight="1" x14ac:dyDescent="0.25">
      <c r="A3199" s="431">
        <v>36759</v>
      </c>
      <c r="B3199" s="432">
        <v>2183.0100000000002</v>
      </c>
      <c r="C3199" s="427">
        <f t="shared" si="98"/>
        <v>2000</v>
      </c>
      <c r="D3199" s="433">
        <f t="shared" si="99"/>
        <v>2183.0100000000002</v>
      </c>
    </row>
    <row r="3200" spans="1:4" ht="16.149999999999999" customHeight="1" x14ac:dyDescent="0.25">
      <c r="A3200" s="431">
        <v>36760</v>
      </c>
      <c r="B3200" s="434">
        <v>2183.0100000000002</v>
      </c>
      <c r="C3200" s="427">
        <f t="shared" si="98"/>
        <v>2000</v>
      </c>
      <c r="D3200" s="433">
        <f t="shared" si="99"/>
        <v>2183.0100000000002</v>
      </c>
    </row>
    <row r="3201" spans="1:4" ht="16.149999999999999" customHeight="1" x14ac:dyDescent="0.25">
      <c r="A3201" s="431">
        <v>36761</v>
      </c>
      <c r="B3201" s="432">
        <v>2187.83</v>
      </c>
      <c r="C3201" s="427">
        <f t="shared" si="98"/>
        <v>2000</v>
      </c>
      <c r="D3201" s="433">
        <f t="shared" si="99"/>
        <v>2187.83</v>
      </c>
    </row>
    <row r="3202" spans="1:4" ht="16.149999999999999" customHeight="1" x14ac:dyDescent="0.25">
      <c r="A3202" s="431">
        <v>36762</v>
      </c>
      <c r="B3202" s="434">
        <v>2196.7199999999998</v>
      </c>
      <c r="C3202" s="427">
        <f t="shared" si="98"/>
        <v>2000</v>
      </c>
      <c r="D3202" s="433">
        <f t="shared" si="99"/>
        <v>2196.7199999999998</v>
      </c>
    </row>
    <row r="3203" spans="1:4" ht="16.149999999999999" customHeight="1" x14ac:dyDescent="0.25">
      <c r="A3203" s="431">
        <v>36763</v>
      </c>
      <c r="B3203" s="432">
        <v>2205.6</v>
      </c>
      <c r="C3203" s="427">
        <f t="shared" si="98"/>
        <v>2000</v>
      </c>
      <c r="D3203" s="433">
        <f t="shared" si="99"/>
        <v>2205.6</v>
      </c>
    </row>
    <row r="3204" spans="1:4" ht="16.149999999999999" customHeight="1" x14ac:dyDescent="0.25">
      <c r="A3204" s="431">
        <v>36764</v>
      </c>
      <c r="B3204" s="434">
        <v>2208.8200000000002</v>
      </c>
      <c r="C3204" s="427">
        <f t="shared" si="98"/>
        <v>2000</v>
      </c>
      <c r="D3204" s="433">
        <f t="shared" si="99"/>
        <v>2208.8200000000002</v>
      </c>
    </row>
    <row r="3205" spans="1:4" ht="16.149999999999999" customHeight="1" x14ac:dyDescent="0.25">
      <c r="A3205" s="431">
        <v>36765</v>
      </c>
      <c r="B3205" s="432">
        <v>2208.8200000000002</v>
      </c>
      <c r="C3205" s="427">
        <f t="shared" si="98"/>
        <v>2000</v>
      </c>
      <c r="D3205" s="433">
        <f t="shared" si="99"/>
        <v>2208.8200000000002</v>
      </c>
    </row>
    <row r="3206" spans="1:4" ht="16.149999999999999" customHeight="1" x14ac:dyDescent="0.25">
      <c r="A3206" s="431">
        <v>36766</v>
      </c>
      <c r="B3206" s="434">
        <v>2208.8200000000002</v>
      </c>
      <c r="C3206" s="427">
        <f t="shared" si="98"/>
        <v>2000</v>
      </c>
      <c r="D3206" s="433">
        <f t="shared" si="99"/>
        <v>2208.8200000000002</v>
      </c>
    </row>
    <row r="3207" spans="1:4" ht="16.149999999999999" customHeight="1" x14ac:dyDescent="0.25">
      <c r="A3207" s="431">
        <v>36767</v>
      </c>
      <c r="B3207" s="432">
        <v>2208.17</v>
      </c>
      <c r="C3207" s="427">
        <f t="shared" si="98"/>
        <v>2000</v>
      </c>
      <c r="D3207" s="433">
        <f t="shared" si="99"/>
        <v>2208.17</v>
      </c>
    </row>
    <row r="3208" spans="1:4" ht="16.149999999999999" customHeight="1" x14ac:dyDescent="0.25">
      <c r="A3208" s="431">
        <v>36768</v>
      </c>
      <c r="B3208" s="434">
        <v>2204.2199999999998</v>
      </c>
      <c r="C3208" s="427">
        <f t="shared" si="98"/>
        <v>2000</v>
      </c>
      <c r="D3208" s="433">
        <f t="shared" si="99"/>
        <v>2204.2199999999998</v>
      </c>
    </row>
    <row r="3209" spans="1:4" ht="16.149999999999999" customHeight="1" x14ac:dyDescent="0.25">
      <c r="A3209" s="431">
        <v>36769</v>
      </c>
      <c r="B3209" s="432">
        <v>2208.21</v>
      </c>
      <c r="C3209" s="427">
        <f t="shared" si="98"/>
        <v>2000</v>
      </c>
      <c r="D3209" s="433">
        <f t="shared" si="99"/>
        <v>2208.21</v>
      </c>
    </row>
    <row r="3210" spans="1:4" ht="16.149999999999999" customHeight="1" x14ac:dyDescent="0.25">
      <c r="A3210" s="431">
        <v>36770</v>
      </c>
      <c r="B3210" s="434">
        <v>2212.9699999999998</v>
      </c>
      <c r="C3210" s="427">
        <f t="shared" ref="C3210:C3273" si="100">YEAR(A3210)</f>
        <v>2000</v>
      </c>
      <c r="D3210" s="433">
        <f t="shared" ref="D3210:D3273" si="101">B3210</f>
        <v>2212.9699999999998</v>
      </c>
    </row>
    <row r="3211" spans="1:4" ht="16.149999999999999" customHeight="1" x14ac:dyDescent="0.25">
      <c r="A3211" s="431">
        <v>36771</v>
      </c>
      <c r="B3211" s="432">
        <v>2214</v>
      </c>
      <c r="C3211" s="427">
        <f t="shared" si="100"/>
        <v>2000</v>
      </c>
      <c r="D3211" s="433">
        <f t="shared" si="101"/>
        <v>2214</v>
      </c>
    </row>
    <row r="3212" spans="1:4" ht="16.149999999999999" customHeight="1" x14ac:dyDescent="0.25">
      <c r="A3212" s="431">
        <v>36772</v>
      </c>
      <c r="B3212" s="434">
        <v>2214</v>
      </c>
      <c r="C3212" s="427">
        <f t="shared" si="100"/>
        <v>2000</v>
      </c>
      <c r="D3212" s="433">
        <f t="shared" si="101"/>
        <v>2214</v>
      </c>
    </row>
    <row r="3213" spans="1:4" ht="16.149999999999999" customHeight="1" x14ac:dyDescent="0.25">
      <c r="A3213" s="431">
        <v>36773</v>
      </c>
      <c r="B3213" s="432">
        <v>2214</v>
      </c>
      <c r="C3213" s="427">
        <f t="shared" si="100"/>
        <v>2000</v>
      </c>
      <c r="D3213" s="433">
        <f t="shared" si="101"/>
        <v>2214</v>
      </c>
    </row>
    <row r="3214" spans="1:4" ht="16.149999999999999" customHeight="1" x14ac:dyDescent="0.25">
      <c r="A3214" s="431">
        <v>36774</v>
      </c>
      <c r="B3214" s="434">
        <v>2210.3200000000002</v>
      </c>
      <c r="C3214" s="427">
        <f t="shared" si="100"/>
        <v>2000</v>
      </c>
      <c r="D3214" s="433">
        <f t="shared" si="101"/>
        <v>2210.3200000000002</v>
      </c>
    </row>
    <row r="3215" spans="1:4" ht="16.149999999999999" customHeight="1" x14ac:dyDescent="0.25">
      <c r="A3215" s="431">
        <v>36775</v>
      </c>
      <c r="B3215" s="432">
        <v>2211.13</v>
      </c>
      <c r="C3215" s="427">
        <f t="shared" si="100"/>
        <v>2000</v>
      </c>
      <c r="D3215" s="433">
        <f t="shared" si="101"/>
        <v>2211.13</v>
      </c>
    </row>
    <row r="3216" spans="1:4" ht="16.149999999999999" customHeight="1" x14ac:dyDescent="0.25">
      <c r="A3216" s="431">
        <v>36776</v>
      </c>
      <c r="B3216" s="434">
        <v>2211.11</v>
      </c>
      <c r="C3216" s="427">
        <f t="shared" si="100"/>
        <v>2000</v>
      </c>
      <c r="D3216" s="433">
        <f t="shared" si="101"/>
        <v>2211.11</v>
      </c>
    </row>
    <row r="3217" spans="1:4" ht="16.149999999999999" customHeight="1" x14ac:dyDescent="0.25">
      <c r="A3217" s="431">
        <v>36777</v>
      </c>
      <c r="B3217" s="432">
        <v>2209.1799999999998</v>
      </c>
      <c r="C3217" s="427">
        <f t="shared" si="100"/>
        <v>2000</v>
      </c>
      <c r="D3217" s="433">
        <f t="shared" si="101"/>
        <v>2209.1799999999998</v>
      </c>
    </row>
    <row r="3218" spans="1:4" ht="16.149999999999999" customHeight="1" x14ac:dyDescent="0.25">
      <c r="A3218" s="431">
        <v>36778</v>
      </c>
      <c r="B3218" s="434">
        <v>2204.85</v>
      </c>
      <c r="C3218" s="427">
        <f t="shared" si="100"/>
        <v>2000</v>
      </c>
      <c r="D3218" s="433">
        <f t="shared" si="101"/>
        <v>2204.85</v>
      </c>
    </row>
    <row r="3219" spans="1:4" ht="16.149999999999999" customHeight="1" x14ac:dyDescent="0.25">
      <c r="A3219" s="431">
        <v>36779</v>
      </c>
      <c r="B3219" s="432">
        <v>2204.85</v>
      </c>
      <c r="C3219" s="427">
        <f t="shared" si="100"/>
        <v>2000</v>
      </c>
      <c r="D3219" s="433">
        <f t="shared" si="101"/>
        <v>2204.85</v>
      </c>
    </row>
    <row r="3220" spans="1:4" ht="16.149999999999999" customHeight="1" x14ac:dyDescent="0.25">
      <c r="A3220" s="431">
        <v>36780</v>
      </c>
      <c r="B3220" s="434">
        <v>2204.85</v>
      </c>
      <c r="C3220" s="427">
        <f t="shared" si="100"/>
        <v>2000</v>
      </c>
      <c r="D3220" s="433">
        <f t="shared" si="101"/>
        <v>2204.85</v>
      </c>
    </row>
    <row r="3221" spans="1:4" ht="16.149999999999999" customHeight="1" x14ac:dyDescent="0.25">
      <c r="A3221" s="431">
        <v>36781</v>
      </c>
      <c r="B3221" s="432">
        <v>2206.39</v>
      </c>
      <c r="C3221" s="427">
        <f t="shared" si="100"/>
        <v>2000</v>
      </c>
      <c r="D3221" s="433">
        <f t="shared" si="101"/>
        <v>2206.39</v>
      </c>
    </row>
    <row r="3222" spans="1:4" ht="16.149999999999999" customHeight="1" x14ac:dyDescent="0.25">
      <c r="A3222" s="431">
        <v>36782</v>
      </c>
      <c r="B3222" s="434">
        <v>2206.9299999999998</v>
      </c>
      <c r="C3222" s="427">
        <f t="shared" si="100"/>
        <v>2000</v>
      </c>
      <c r="D3222" s="433">
        <f t="shared" si="101"/>
        <v>2206.9299999999998</v>
      </c>
    </row>
    <row r="3223" spans="1:4" ht="16.149999999999999" customHeight="1" x14ac:dyDescent="0.25">
      <c r="A3223" s="431">
        <v>36783</v>
      </c>
      <c r="B3223" s="432">
        <v>2208.64</v>
      </c>
      <c r="C3223" s="427">
        <f t="shared" si="100"/>
        <v>2000</v>
      </c>
      <c r="D3223" s="433">
        <f t="shared" si="101"/>
        <v>2208.64</v>
      </c>
    </row>
    <row r="3224" spans="1:4" ht="16.149999999999999" customHeight="1" x14ac:dyDescent="0.25">
      <c r="A3224" s="431">
        <v>36784</v>
      </c>
      <c r="B3224" s="434">
        <v>2212.73</v>
      </c>
      <c r="C3224" s="427">
        <f t="shared" si="100"/>
        <v>2000</v>
      </c>
      <c r="D3224" s="433">
        <f t="shared" si="101"/>
        <v>2212.73</v>
      </c>
    </row>
    <row r="3225" spans="1:4" ht="16.149999999999999" customHeight="1" x14ac:dyDescent="0.25">
      <c r="A3225" s="431">
        <v>36785</v>
      </c>
      <c r="B3225" s="432">
        <v>2210.34</v>
      </c>
      <c r="C3225" s="427">
        <f t="shared" si="100"/>
        <v>2000</v>
      </c>
      <c r="D3225" s="433">
        <f t="shared" si="101"/>
        <v>2210.34</v>
      </c>
    </row>
    <row r="3226" spans="1:4" ht="16.149999999999999" customHeight="1" x14ac:dyDescent="0.25">
      <c r="A3226" s="431">
        <v>36786</v>
      </c>
      <c r="B3226" s="434">
        <v>2210.34</v>
      </c>
      <c r="C3226" s="427">
        <f t="shared" si="100"/>
        <v>2000</v>
      </c>
      <c r="D3226" s="433">
        <f t="shared" si="101"/>
        <v>2210.34</v>
      </c>
    </row>
    <row r="3227" spans="1:4" ht="16.149999999999999" customHeight="1" x14ac:dyDescent="0.25">
      <c r="A3227" s="431">
        <v>36787</v>
      </c>
      <c r="B3227" s="432">
        <v>2210.34</v>
      </c>
      <c r="C3227" s="427">
        <f t="shared" si="100"/>
        <v>2000</v>
      </c>
      <c r="D3227" s="433">
        <f t="shared" si="101"/>
        <v>2210.34</v>
      </c>
    </row>
    <row r="3228" spans="1:4" ht="16.149999999999999" customHeight="1" x14ac:dyDescent="0.25">
      <c r="A3228" s="431">
        <v>36788</v>
      </c>
      <c r="B3228" s="434">
        <v>2211.36</v>
      </c>
      <c r="C3228" s="427">
        <f t="shared" si="100"/>
        <v>2000</v>
      </c>
      <c r="D3228" s="433">
        <f t="shared" si="101"/>
        <v>2211.36</v>
      </c>
    </row>
    <row r="3229" spans="1:4" ht="16.149999999999999" customHeight="1" x14ac:dyDescent="0.25">
      <c r="A3229" s="431">
        <v>36789</v>
      </c>
      <c r="B3229" s="432">
        <v>2210.81</v>
      </c>
      <c r="C3229" s="427">
        <f t="shared" si="100"/>
        <v>2000</v>
      </c>
      <c r="D3229" s="433">
        <f t="shared" si="101"/>
        <v>2210.81</v>
      </c>
    </row>
    <row r="3230" spans="1:4" ht="16.149999999999999" customHeight="1" x14ac:dyDescent="0.25">
      <c r="A3230" s="431">
        <v>36790</v>
      </c>
      <c r="B3230" s="434">
        <v>2212.9299999999998</v>
      </c>
      <c r="C3230" s="427">
        <f t="shared" si="100"/>
        <v>2000</v>
      </c>
      <c r="D3230" s="433">
        <f t="shared" si="101"/>
        <v>2212.9299999999998</v>
      </c>
    </row>
    <row r="3231" spans="1:4" ht="16.149999999999999" customHeight="1" x14ac:dyDescent="0.25">
      <c r="A3231" s="431">
        <v>36791</v>
      </c>
      <c r="B3231" s="432">
        <v>2223.46</v>
      </c>
      <c r="C3231" s="427">
        <f t="shared" si="100"/>
        <v>2000</v>
      </c>
      <c r="D3231" s="433">
        <f t="shared" si="101"/>
        <v>2223.46</v>
      </c>
    </row>
    <row r="3232" spans="1:4" ht="16.149999999999999" customHeight="1" x14ac:dyDescent="0.25">
      <c r="A3232" s="431">
        <v>36792</v>
      </c>
      <c r="B3232" s="434">
        <v>2232.2399999999998</v>
      </c>
      <c r="C3232" s="427">
        <f t="shared" si="100"/>
        <v>2000</v>
      </c>
      <c r="D3232" s="433">
        <f t="shared" si="101"/>
        <v>2232.2399999999998</v>
      </c>
    </row>
    <row r="3233" spans="1:4" ht="16.149999999999999" customHeight="1" x14ac:dyDescent="0.25">
      <c r="A3233" s="431">
        <v>36793</v>
      </c>
      <c r="B3233" s="432">
        <v>2232.2399999999998</v>
      </c>
      <c r="C3233" s="427">
        <f t="shared" si="100"/>
        <v>2000</v>
      </c>
      <c r="D3233" s="433">
        <f t="shared" si="101"/>
        <v>2232.2399999999998</v>
      </c>
    </row>
    <row r="3234" spans="1:4" ht="16.149999999999999" customHeight="1" x14ac:dyDescent="0.25">
      <c r="A3234" s="431">
        <v>36794</v>
      </c>
      <c r="B3234" s="434">
        <v>2232.2399999999998</v>
      </c>
      <c r="C3234" s="427">
        <f t="shared" si="100"/>
        <v>2000</v>
      </c>
      <c r="D3234" s="433">
        <f t="shared" si="101"/>
        <v>2232.2399999999998</v>
      </c>
    </row>
    <row r="3235" spans="1:4" ht="16.149999999999999" customHeight="1" x14ac:dyDescent="0.25">
      <c r="A3235" s="431">
        <v>36795</v>
      </c>
      <c r="B3235" s="432">
        <v>2228.0500000000002</v>
      </c>
      <c r="C3235" s="427">
        <f t="shared" si="100"/>
        <v>2000</v>
      </c>
      <c r="D3235" s="433">
        <f t="shared" si="101"/>
        <v>2228.0500000000002</v>
      </c>
    </row>
    <row r="3236" spans="1:4" ht="16.149999999999999" customHeight="1" x14ac:dyDescent="0.25">
      <c r="A3236" s="431">
        <v>36796</v>
      </c>
      <c r="B3236" s="434">
        <v>2222.67</v>
      </c>
      <c r="C3236" s="427">
        <f t="shared" si="100"/>
        <v>2000</v>
      </c>
      <c r="D3236" s="433">
        <f t="shared" si="101"/>
        <v>2222.67</v>
      </c>
    </row>
    <row r="3237" spans="1:4" ht="16.149999999999999" customHeight="1" x14ac:dyDescent="0.25">
      <c r="A3237" s="431">
        <v>36797</v>
      </c>
      <c r="B3237" s="432">
        <v>2216.9299999999998</v>
      </c>
      <c r="C3237" s="427">
        <f t="shared" si="100"/>
        <v>2000</v>
      </c>
      <c r="D3237" s="433">
        <f t="shared" si="101"/>
        <v>2216.9299999999998</v>
      </c>
    </row>
    <row r="3238" spans="1:4" ht="16.149999999999999" customHeight="1" x14ac:dyDescent="0.25">
      <c r="A3238" s="431">
        <v>36798</v>
      </c>
      <c r="B3238" s="434">
        <v>2211.94</v>
      </c>
      <c r="C3238" s="427">
        <f t="shared" si="100"/>
        <v>2000</v>
      </c>
      <c r="D3238" s="433">
        <f t="shared" si="101"/>
        <v>2211.94</v>
      </c>
    </row>
    <row r="3239" spans="1:4" ht="16.149999999999999" customHeight="1" x14ac:dyDescent="0.25">
      <c r="A3239" s="431">
        <v>36799</v>
      </c>
      <c r="B3239" s="432">
        <v>2212.2600000000002</v>
      </c>
      <c r="C3239" s="427">
        <f t="shared" si="100"/>
        <v>2000</v>
      </c>
      <c r="D3239" s="433">
        <f t="shared" si="101"/>
        <v>2212.2600000000002</v>
      </c>
    </row>
    <row r="3240" spans="1:4" ht="16.149999999999999" customHeight="1" x14ac:dyDescent="0.25">
      <c r="A3240" s="431">
        <v>36800</v>
      </c>
      <c r="B3240" s="434">
        <v>2212.2600000000002</v>
      </c>
      <c r="C3240" s="427">
        <f t="shared" si="100"/>
        <v>2000</v>
      </c>
      <c r="D3240" s="433">
        <f t="shared" si="101"/>
        <v>2212.2600000000002</v>
      </c>
    </row>
    <row r="3241" spans="1:4" ht="16.149999999999999" customHeight="1" x14ac:dyDescent="0.25">
      <c r="A3241" s="431">
        <v>36801</v>
      </c>
      <c r="B3241" s="432">
        <v>2212.2600000000002</v>
      </c>
      <c r="C3241" s="427">
        <f t="shared" si="100"/>
        <v>2000</v>
      </c>
      <c r="D3241" s="433">
        <f t="shared" si="101"/>
        <v>2212.2600000000002</v>
      </c>
    </row>
    <row r="3242" spans="1:4" ht="16.149999999999999" customHeight="1" x14ac:dyDescent="0.25">
      <c r="A3242" s="431">
        <v>36802</v>
      </c>
      <c r="B3242" s="434">
        <v>2210.4</v>
      </c>
      <c r="C3242" s="427">
        <f t="shared" si="100"/>
        <v>2000</v>
      </c>
      <c r="D3242" s="433">
        <f t="shared" si="101"/>
        <v>2210.4</v>
      </c>
    </row>
    <row r="3243" spans="1:4" ht="16.149999999999999" customHeight="1" x14ac:dyDescent="0.25">
      <c r="A3243" s="431">
        <v>36803</v>
      </c>
      <c r="B3243" s="432">
        <v>2201.5100000000002</v>
      </c>
      <c r="C3243" s="427">
        <f t="shared" si="100"/>
        <v>2000</v>
      </c>
      <c r="D3243" s="433">
        <f t="shared" si="101"/>
        <v>2201.5100000000002</v>
      </c>
    </row>
    <row r="3244" spans="1:4" ht="16.149999999999999" customHeight="1" x14ac:dyDescent="0.25">
      <c r="A3244" s="431">
        <v>36804</v>
      </c>
      <c r="B3244" s="434">
        <v>2194.98</v>
      </c>
      <c r="C3244" s="427">
        <f t="shared" si="100"/>
        <v>2000</v>
      </c>
      <c r="D3244" s="433">
        <f t="shared" si="101"/>
        <v>2194.98</v>
      </c>
    </row>
    <row r="3245" spans="1:4" ht="16.149999999999999" customHeight="1" x14ac:dyDescent="0.25">
      <c r="A3245" s="431">
        <v>36805</v>
      </c>
      <c r="B3245" s="432">
        <v>2185.06</v>
      </c>
      <c r="C3245" s="427">
        <f t="shared" si="100"/>
        <v>2000</v>
      </c>
      <c r="D3245" s="433">
        <f t="shared" si="101"/>
        <v>2185.06</v>
      </c>
    </row>
    <row r="3246" spans="1:4" ht="16.149999999999999" customHeight="1" x14ac:dyDescent="0.25">
      <c r="A3246" s="431">
        <v>36806</v>
      </c>
      <c r="B3246" s="434">
        <v>2187.38</v>
      </c>
      <c r="C3246" s="427">
        <f t="shared" si="100"/>
        <v>2000</v>
      </c>
      <c r="D3246" s="433">
        <f t="shared" si="101"/>
        <v>2187.38</v>
      </c>
    </row>
    <row r="3247" spans="1:4" ht="16.149999999999999" customHeight="1" x14ac:dyDescent="0.25">
      <c r="A3247" s="431">
        <v>36807</v>
      </c>
      <c r="B3247" s="432">
        <v>2187.38</v>
      </c>
      <c r="C3247" s="427">
        <f t="shared" si="100"/>
        <v>2000</v>
      </c>
      <c r="D3247" s="433">
        <f t="shared" si="101"/>
        <v>2187.38</v>
      </c>
    </row>
    <row r="3248" spans="1:4" ht="16.149999999999999" customHeight="1" x14ac:dyDescent="0.25">
      <c r="A3248" s="431">
        <v>36808</v>
      </c>
      <c r="B3248" s="434">
        <v>2187.38</v>
      </c>
      <c r="C3248" s="427">
        <f t="shared" si="100"/>
        <v>2000</v>
      </c>
      <c r="D3248" s="433">
        <f t="shared" si="101"/>
        <v>2187.38</v>
      </c>
    </row>
    <row r="3249" spans="1:4" ht="16.149999999999999" customHeight="1" x14ac:dyDescent="0.25">
      <c r="A3249" s="431">
        <v>36809</v>
      </c>
      <c r="B3249" s="432">
        <v>2184.2600000000002</v>
      </c>
      <c r="C3249" s="427">
        <f t="shared" si="100"/>
        <v>2000</v>
      </c>
      <c r="D3249" s="433">
        <f t="shared" si="101"/>
        <v>2184.2600000000002</v>
      </c>
    </row>
    <row r="3250" spans="1:4" ht="16.149999999999999" customHeight="1" x14ac:dyDescent="0.25">
      <c r="A3250" s="431">
        <v>36810</v>
      </c>
      <c r="B3250" s="434">
        <v>2182.17</v>
      </c>
      <c r="C3250" s="427">
        <f t="shared" si="100"/>
        <v>2000</v>
      </c>
      <c r="D3250" s="433">
        <f t="shared" si="101"/>
        <v>2182.17</v>
      </c>
    </row>
    <row r="3251" spans="1:4" ht="16.149999999999999" customHeight="1" x14ac:dyDescent="0.25">
      <c r="A3251" s="431">
        <v>36811</v>
      </c>
      <c r="B3251" s="432">
        <v>2175.9699999999998</v>
      </c>
      <c r="C3251" s="427">
        <f t="shared" si="100"/>
        <v>2000</v>
      </c>
      <c r="D3251" s="433">
        <f t="shared" si="101"/>
        <v>2175.9699999999998</v>
      </c>
    </row>
    <row r="3252" spans="1:4" ht="16.149999999999999" customHeight="1" x14ac:dyDescent="0.25">
      <c r="A3252" s="431">
        <v>36812</v>
      </c>
      <c r="B3252" s="434">
        <v>2175.96</v>
      </c>
      <c r="C3252" s="427">
        <f t="shared" si="100"/>
        <v>2000</v>
      </c>
      <c r="D3252" s="433">
        <f t="shared" si="101"/>
        <v>2175.96</v>
      </c>
    </row>
    <row r="3253" spans="1:4" ht="16.149999999999999" customHeight="1" x14ac:dyDescent="0.25">
      <c r="A3253" s="431">
        <v>36813</v>
      </c>
      <c r="B3253" s="432">
        <v>2180.69</v>
      </c>
      <c r="C3253" s="427">
        <f t="shared" si="100"/>
        <v>2000</v>
      </c>
      <c r="D3253" s="433">
        <f t="shared" si="101"/>
        <v>2180.69</v>
      </c>
    </row>
    <row r="3254" spans="1:4" ht="16.149999999999999" customHeight="1" x14ac:dyDescent="0.25">
      <c r="A3254" s="431">
        <v>36814</v>
      </c>
      <c r="B3254" s="434">
        <v>2180.69</v>
      </c>
      <c r="C3254" s="427">
        <f t="shared" si="100"/>
        <v>2000</v>
      </c>
      <c r="D3254" s="433">
        <f t="shared" si="101"/>
        <v>2180.69</v>
      </c>
    </row>
    <row r="3255" spans="1:4" ht="16.149999999999999" customHeight="1" x14ac:dyDescent="0.25">
      <c r="A3255" s="431">
        <v>36815</v>
      </c>
      <c r="B3255" s="432">
        <v>2180.69</v>
      </c>
      <c r="C3255" s="427">
        <f t="shared" si="100"/>
        <v>2000</v>
      </c>
      <c r="D3255" s="433">
        <f t="shared" si="101"/>
        <v>2180.69</v>
      </c>
    </row>
    <row r="3256" spans="1:4" ht="16.149999999999999" customHeight="1" x14ac:dyDescent="0.25">
      <c r="A3256" s="431">
        <v>36816</v>
      </c>
      <c r="B3256" s="434">
        <v>2180.69</v>
      </c>
      <c r="C3256" s="427">
        <f t="shared" si="100"/>
        <v>2000</v>
      </c>
      <c r="D3256" s="433">
        <f t="shared" si="101"/>
        <v>2180.69</v>
      </c>
    </row>
    <row r="3257" spans="1:4" ht="16.149999999999999" customHeight="1" x14ac:dyDescent="0.25">
      <c r="A3257" s="431">
        <v>36817</v>
      </c>
      <c r="B3257" s="432">
        <v>2178.13</v>
      </c>
      <c r="C3257" s="427">
        <f t="shared" si="100"/>
        <v>2000</v>
      </c>
      <c r="D3257" s="433">
        <f t="shared" si="101"/>
        <v>2178.13</v>
      </c>
    </row>
    <row r="3258" spans="1:4" ht="16.149999999999999" customHeight="1" x14ac:dyDescent="0.25">
      <c r="A3258" s="431">
        <v>36818</v>
      </c>
      <c r="B3258" s="434">
        <v>2162.86</v>
      </c>
      <c r="C3258" s="427">
        <f t="shared" si="100"/>
        <v>2000</v>
      </c>
      <c r="D3258" s="433">
        <f t="shared" si="101"/>
        <v>2162.86</v>
      </c>
    </row>
    <row r="3259" spans="1:4" ht="16.149999999999999" customHeight="1" x14ac:dyDescent="0.25">
      <c r="A3259" s="431">
        <v>36819</v>
      </c>
      <c r="B3259" s="432">
        <v>2152.31</v>
      </c>
      <c r="C3259" s="427">
        <f t="shared" si="100"/>
        <v>2000</v>
      </c>
      <c r="D3259" s="433">
        <f t="shared" si="101"/>
        <v>2152.31</v>
      </c>
    </row>
    <row r="3260" spans="1:4" ht="16.149999999999999" customHeight="1" x14ac:dyDescent="0.25">
      <c r="A3260" s="431">
        <v>36820</v>
      </c>
      <c r="B3260" s="434">
        <v>2159.79</v>
      </c>
      <c r="C3260" s="427">
        <f t="shared" si="100"/>
        <v>2000</v>
      </c>
      <c r="D3260" s="433">
        <f t="shared" si="101"/>
        <v>2159.79</v>
      </c>
    </row>
    <row r="3261" spans="1:4" ht="16.149999999999999" customHeight="1" x14ac:dyDescent="0.25">
      <c r="A3261" s="431">
        <v>36821</v>
      </c>
      <c r="B3261" s="432">
        <v>2159.79</v>
      </c>
      <c r="C3261" s="427">
        <f t="shared" si="100"/>
        <v>2000</v>
      </c>
      <c r="D3261" s="433">
        <f t="shared" si="101"/>
        <v>2159.79</v>
      </c>
    </row>
    <row r="3262" spans="1:4" ht="16.149999999999999" customHeight="1" x14ac:dyDescent="0.25">
      <c r="A3262" s="431">
        <v>36822</v>
      </c>
      <c r="B3262" s="434">
        <v>2159.79</v>
      </c>
      <c r="C3262" s="427">
        <f t="shared" si="100"/>
        <v>2000</v>
      </c>
      <c r="D3262" s="433">
        <f t="shared" si="101"/>
        <v>2159.79</v>
      </c>
    </row>
    <row r="3263" spans="1:4" ht="16.149999999999999" customHeight="1" x14ac:dyDescent="0.25">
      <c r="A3263" s="431">
        <v>36823</v>
      </c>
      <c r="B3263" s="432">
        <v>2157.84</v>
      </c>
      <c r="C3263" s="427">
        <f t="shared" si="100"/>
        <v>2000</v>
      </c>
      <c r="D3263" s="433">
        <f t="shared" si="101"/>
        <v>2157.84</v>
      </c>
    </row>
    <row r="3264" spans="1:4" ht="16.149999999999999" customHeight="1" x14ac:dyDescent="0.25">
      <c r="A3264" s="431">
        <v>36824</v>
      </c>
      <c r="B3264" s="434">
        <v>2153.1799999999998</v>
      </c>
      <c r="C3264" s="427">
        <f t="shared" si="100"/>
        <v>2000</v>
      </c>
      <c r="D3264" s="433">
        <f t="shared" si="101"/>
        <v>2153.1799999999998</v>
      </c>
    </row>
    <row r="3265" spans="1:4" ht="16.149999999999999" customHeight="1" x14ac:dyDescent="0.25">
      <c r="A3265" s="431">
        <v>36825</v>
      </c>
      <c r="B3265" s="432">
        <v>2170.3200000000002</v>
      </c>
      <c r="C3265" s="427">
        <f t="shared" si="100"/>
        <v>2000</v>
      </c>
      <c r="D3265" s="433">
        <f t="shared" si="101"/>
        <v>2170.3200000000002</v>
      </c>
    </row>
    <row r="3266" spans="1:4" ht="16.149999999999999" customHeight="1" x14ac:dyDescent="0.25">
      <c r="A3266" s="431">
        <v>36826</v>
      </c>
      <c r="B3266" s="434">
        <v>2167.2600000000002</v>
      </c>
      <c r="C3266" s="427">
        <f t="shared" si="100"/>
        <v>2000</v>
      </c>
      <c r="D3266" s="433">
        <f t="shared" si="101"/>
        <v>2167.2600000000002</v>
      </c>
    </row>
    <row r="3267" spans="1:4" ht="16.149999999999999" customHeight="1" x14ac:dyDescent="0.25">
      <c r="A3267" s="431">
        <v>36827</v>
      </c>
      <c r="B3267" s="432">
        <v>2158.14</v>
      </c>
      <c r="C3267" s="427">
        <f t="shared" si="100"/>
        <v>2000</v>
      </c>
      <c r="D3267" s="433">
        <f t="shared" si="101"/>
        <v>2158.14</v>
      </c>
    </row>
    <row r="3268" spans="1:4" ht="16.149999999999999" customHeight="1" x14ac:dyDescent="0.25">
      <c r="A3268" s="431">
        <v>36828</v>
      </c>
      <c r="B3268" s="434">
        <v>2158.14</v>
      </c>
      <c r="C3268" s="427">
        <f t="shared" si="100"/>
        <v>2000</v>
      </c>
      <c r="D3268" s="433">
        <f t="shared" si="101"/>
        <v>2158.14</v>
      </c>
    </row>
    <row r="3269" spans="1:4" ht="16.149999999999999" customHeight="1" x14ac:dyDescent="0.25">
      <c r="A3269" s="431">
        <v>36829</v>
      </c>
      <c r="B3269" s="432">
        <v>2158.14</v>
      </c>
      <c r="C3269" s="427">
        <f t="shared" si="100"/>
        <v>2000</v>
      </c>
      <c r="D3269" s="433">
        <f t="shared" si="101"/>
        <v>2158.14</v>
      </c>
    </row>
    <row r="3270" spans="1:4" ht="16.149999999999999" customHeight="1" x14ac:dyDescent="0.25">
      <c r="A3270" s="431">
        <v>36830</v>
      </c>
      <c r="B3270" s="434">
        <v>2158.36</v>
      </c>
      <c r="C3270" s="427">
        <f t="shared" si="100"/>
        <v>2000</v>
      </c>
      <c r="D3270" s="433">
        <f t="shared" si="101"/>
        <v>2158.36</v>
      </c>
    </row>
    <row r="3271" spans="1:4" ht="16.149999999999999" customHeight="1" x14ac:dyDescent="0.25">
      <c r="A3271" s="431">
        <v>36831</v>
      </c>
      <c r="B3271" s="432">
        <v>2147.89</v>
      </c>
      <c r="C3271" s="427">
        <f t="shared" si="100"/>
        <v>2000</v>
      </c>
      <c r="D3271" s="433">
        <f t="shared" si="101"/>
        <v>2147.89</v>
      </c>
    </row>
    <row r="3272" spans="1:4" ht="16.149999999999999" customHeight="1" x14ac:dyDescent="0.25">
      <c r="A3272" s="431">
        <v>36832</v>
      </c>
      <c r="B3272" s="434">
        <v>2138.9499999999998</v>
      </c>
      <c r="C3272" s="427">
        <f t="shared" si="100"/>
        <v>2000</v>
      </c>
      <c r="D3272" s="433">
        <f t="shared" si="101"/>
        <v>2138.9499999999998</v>
      </c>
    </row>
    <row r="3273" spans="1:4" ht="16.149999999999999" customHeight="1" x14ac:dyDescent="0.25">
      <c r="A3273" s="431">
        <v>36833</v>
      </c>
      <c r="B3273" s="432">
        <v>2136.73</v>
      </c>
      <c r="C3273" s="427">
        <f t="shared" si="100"/>
        <v>2000</v>
      </c>
      <c r="D3273" s="433">
        <f t="shared" si="101"/>
        <v>2136.73</v>
      </c>
    </row>
    <row r="3274" spans="1:4" ht="16.149999999999999" customHeight="1" x14ac:dyDescent="0.25">
      <c r="A3274" s="431">
        <v>36834</v>
      </c>
      <c r="B3274" s="434">
        <v>2139.21</v>
      </c>
      <c r="C3274" s="427">
        <f t="shared" ref="C3274:C3337" si="102">YEAR(A3274)</f>
        <v>2000</v>
      </c>
      <c r="D3274" s="433">
        <f t="shared" ref="D3274:D3337" si="103">B3274</f>
        <v>2139.21</v>
      </c>
    </row>
    <row r="3275" spans="1:4" ht="16.149999999999999" customHeight="1" x14ac:dyDescent="0.25">
      <c r="A3275" s="431">
        <v>36835</v>
      </c>
      <c r="B3275" s="432">
        <v>2139.21</v>
      </c>
      <c r="C3275" s="427">
        <f t="shared" si="102"/>
        <v>2000</v>
      </c>
      <c r="D3275" s="433">
        <f t="shared" si="103"/>
        <v>2139.21</v>
      </c>
    </row>
    <row r="3276" spans="1:4" ht="16.149999999999999" customHeight="1" x14ac:dyDescent="0.25">
      <c r="A3276" s="431">
        <v>36836</v>
      </c>
      <c r="B3276" s="434">
        <v>2139.21</v>
      </c>
      <c r="C3276" s="427">
        <f t="shared" si="102"/>
        <v>2000</v>
      </c>
      <c r="D3276" s="433">
        <f t="shared" si="103"/>
        <v>2139.21</v>
      </c>
    </row>
    <row r="3277" spans="1:4" ht="16.149999999999999" customHeight="1" x14ac:dyDescent="0.25">
      <c r="A3277" s="431">
        <v>36837</v>
      </c>
      <c r="B3277" s="432">
        <v>2139.21</v>
      </c>
      <c r="C3277" s="427">
        <f t="shared" si="102"/>
        <v>2000</v>
      </c>
      <c r="D3277" s="433">
        <f t="shared" si="103"/>
        <v>2139.21</v>
      </c>
    </row>
    <row r="3278" spans="1:4" ht="16.149999999999999" customHeight="1" x14ac:dyDescent="0.25">
      <c r="A3278" s="431">
        <v>36838</v>
      </c>
      <c r="B3278" s="434">
        <v>2134.08</v>
      </c>
      <c r="C3278" s="427">
        <f t="shared" si="102"/>
        <v>2000</v>
      </c>
      <c r="D3278" s="433">
        <f t="shared" si="103"/>
        <v>2134.08</v>
      </c>
    </row>
    <row r="3279" spans="1:4" ht="16.149999999999999" customHeight="1" x14ac:dyDescent="0.25">
      <c r="A3279" s="431">
        <v>36839</v>
      </c>
      <c r="B3279" s="432">
        <v>2124.84</v>
      </c>
      <c r="C3279" s="427">
        <f t="shared" si="102"/>
        <v>2000</v>
      </c>
      <c r="D3279" s="433">
        <f t="shared" si="103"/>
        <v>2124.84</v>
      </c>
    </row>
    <row r="3280" spans="1:4" ht="16.149999999999999" customHeight="1" x14ac:dyDescent="0.25">
      <c r="A3280" s="431">
        <v>36840</v>
      </c>
      <c r="B3280" s="434">
        <v>2127.5100000000002</v>
      </c>
      <c r="C3280" s="427">
        <f t="shared" si="102"/>
        <v>2000</v>
      </c>
      <c r="D3280" s="433">
        <f t="shared" si="103"/>
        <v>2127.5100000000002</v>
      </c>
    </row>
    <row r="3281" spans="1:4" ht="16.149999999999999" customHeight="1" x14ac:dyDescent="0.25">
      <c r="A3281" s="431">
        <v>36841</v>
      </c>
      <c r="B3281" s="432">
        <v>2126.41</v>
      </c>
      <c r="C3281" s="427">
        <f t="shared" si="102"/>
        <v>2000</v>
      </c>
      <c r="D3281" s="433">
        <f t="shared" si="103"/>
        <v>2126.41</v>
      </c>
    </row>
    <row r="3282" spans="1:4" ht="16.149999999999999" customHeight="1" x14ac:dyDescent="0.25">
      <c r="A3282" s="431">
        <v>36842</v>
      </c>
      <c r="B3282" s="434">
        <v>2126.41</v>
      </c>
      <c r="C3282" s="427">
        <f t="shared" si="102"/>
        <v>2000</v>
      </c>
      <c r="D3282" s="433">
        <f t="shared" si="103"/>
        <v>2126.41</v>
      </c>
    </row>
    <row r="3283" spans="1:4" ht="16.149999999999999" customHeight="1" x14ac:dyDescent="0.25">
      <c r="A3283" s="431">
        <v>36843</v>
      </c>
      <c r="B3283" s="432">
        <v>2126.41</v>
      </c>
      <c r="C3283" s="427">
        <f t="shared" si="102"/>
        <v>2000</v>
      </c>
      <c r="D3283" s="433">
        <f t="shared" si="103"/>
        <v>2126.41</v>
      </c>
    </row>
    <row r="3284" spans="1:4" ht="16.149999999999999" customHeight="1" x14ac:dyDescent="0.25">
      <c r="A3284" s="431">
        <v>36844</v>
      </c>
      <c r="B3284" s="434">
        <v>2126.41</v>
      </c>
      <c r="C3284" s="427">
        <f t="shared" si="102"/>
        <v>2000</v>
      </c>
      <c r="D3284" s="433">
        <f t="shared" si="103"/>
        <v>2126.41</v>
      </c>
    </row>
    <row r="3285" spans="1:4" ht="16.149999999999999" customHeight="1" x14ac:dyDescent="0.25">
      <c r="A3285" s="431">
        <v>36845</v>
      </c>
      <c r="B3285" s="432">
        <v>2125.17</v>
      </c>
      <c r="C3285" s="427">
        <f t="shared" si="102"/>
        <v>2000</v>
      </c>
      <c r="D3285" s="433">
        <f t="shared" si="103"/>
        <v>2125.17</v>
      </c>
    </row>
    <row r="3286" spans="1:4" ht="16.149999999999999" customHeight="1" x14ac:dyDescent="0.25">
      <c r="A3286" s="431">
        <v>36846</v>
      </c>
      <c r="B3286" s="434">
        <v>2125.31</v>
      </c>
      <c r="C3286" s="427">
        <f t="shared" si="102"/>
        <v>2000</v>
      </c>
      <c r="D3286" s="433">
        <f t="shared" si="103"/>
        <v>2125.31</v>
      </c>
    </row>
    <row r="3287" spans="1:4" ht="16.149999999999999" customHeight="1" x14ac:dyDescent="0.25">
      <c r="A3287" s="431">
        <v>36847</v>
      </c>
      <c r="B3287" s="432">
        <v>2121.64</v>
      </c>
      <c r="C3287" s="427">
        <f t="shared" si="102"/>
        <v>2000</v>
      </c>
      <c r="D3287" s="433">
        <f t="shared" si="103"/>
        <v>2121.64</v>
      </c>
    </row>
    <row r="3288" spans="1:4" ht="16.149999999999999" customHeight="1" x14ac:dyDescent="0.25">
      <c r="A3288" s="431">
        <v>36848</v>
      </c>
      <c r="B3288" s="434">
        <v>2122.63</v>
      </c>
      <c r="C3288" s="427">
        <f t="shared" si="102"/>
        <v>2000</v>
      </c>
      <c r="D3288" s="433">
        <f t="shared" si="103"/>
        <v>2122.63</v>
      </c>
    </row>
    <row r="3289" spans="1:4" ht="16.149999999999999" customHeight="1" x14ac:dyDescent="0.25">
      <c r="A3289" s="431">
        <v>36849</v>
      </c>
      <c r="B3289" s="432">
        <v>2122.63</v>
      </c>
      <c r="C3289" s="427">
        <f t="shared" si="102"/>
        <v>2000</v>
      </c>
      <c r="D3289" s="433">
        <f t="shared" si="103"/>
        <v>2122.63</v>
      </c>
    </row>
    <row r="3290" spans="1:4" ht="16.149999999999999" customHeight="1" x14ac:dyDescent="0.25">
      <c r="A3290" s="431">
        <v>36850</v>
      </c>
      <c r="B3290" s="434">
        <v>2122.63</v>
      </c>
      <c r="C3290" s="427">
        <f t="shared" si="102"/>
        <v>2000</v>
      </c>
      <c r="D3290" s="433">
        <f t="shared" si="103"/>
        <v>2122.63</v>
      </c>
    </row>
    <row r="3291" spans="1:4" ht="16.149999999999999" customHeight="1" x14ac:dyDescent="0.25">
      <c r="A3291" s="431">
        <v>36851</v>
      </c>
      <c r="B3291" s="432">
        <v>2122.61</v>
      </c>
      <c r="C3291" s="427">
        <f t="shared" si="102"/>
        <v>2000</v>
      </c>
      <c r="D3291" s="433">
        <f t="shared" si="103"/>
        <v>2122.61</v>
      </c>
    </row>
    <row r="3292" spans="1:4" ht="16.149999999999999" customHeight="1" x14ac:dyDescent="0.25">
      <c r="A3292" s="431">
        <v>36852</v>
      </c>
      <c r="B3292" s="434">
        <v>2124.16</v>
      </c>
      <c r="C3292" s="427">
        <f t="shared" si="102"/>
        <v>2000</v>
      </c>
      <c r="D3292" s="433">
        <f t="shared" si="103"/>
        <v>2124.16</v>
      </c>
    </row>
    <row r="3293" spans="1:4" ht="16.149999999999999" customHeight="1" x14ac:dyDescent="0.25">
      <c r="A3293" s="431">
        <v>36853</v>
      </c>
      <c r="B3293" s="432">
        <v>2131.7600000000002</v>
      </c>
      <c r="C3293" s="427">
        <f t="shared" si="102"/>
        <v>2000</v>
      </c>
      <c r="D3293" s="433">
        <f t="shared" si="103"/>
        <v>2131.7600000000002</v>
      </c>
    </row>
    <row r="3294" spans="1:4" ht="16.149999999999999" customHeight="1" x14ac:dyDescent="0.25">
      <c r="A3294" s="431">
        <v>36854</v>
      </c>
      <c r="B3294" s="434">
        <v>2141.14</v>
      </c>
      <c r="C3294" s="427">
        <f t="shared" si="102"/>
        <v>2000</v>
      </c>
      <c r="D3294" s="433">
        <f t="shared" si="103"/>
        <v>2141.14</v>
      </c>
    </row>
    <row r="3295" spans="1:4" ht="16.149999999999999" customHeight="1" x14ac:dyDescent="0.25">
      <c r="A3295" s="431">
        <v>36855</v>
      </c>
      <c r="B3295" s="432">
        <v>2141.91</v>
      </c>
      <c r="C3295" s="427">
        <f t="shared" si="102"/>
        <v>2000</v>
      </c>
      <c r="D3295" s="433">
        <f t="shared" si="103"/>
        <v>2141.91</v>
      </c>
    </row>
    <row r="3296" spans="1:4" ht="16.149999999999999" customHeight="1" x14ac:dyDescent="0.25">
      <c r="A3296" s="431">
        <v>36856</v>
      </c>
      <c r="B3296" s="434">
        <v>2141.91</v>
      </c>
      <c r="C3296" s="427">
        <f t="shared" si="102"/>
        <v>2000</v>
      </c>
      <c r="D3296" s="433">
        <f t="shared" si="103"/>
        <v>2141.91</v>
      </c>
    </row>
    <row r="3297" spans="1:4" ht="16.149999999999999" customHeight="1" x14ac:dyDescent="0.25">
      <c r="A3297" s="431">
        <v>36857</v>
      </c>
      <c r="B3297" s="432">
        <v>2141.91</v>
      </c>
      <c r="C3297" s="427">
        <f t="shared" si="102"/>
        <v>2000</v>
      </c>
      <c r="D3297" s="433">
        <f t="shared" si="103"/>
        <v>2141.91</v>
      </c>
    </row>
    <row r="3298" spans="1:4" ht="16.149999999999999" customHeight="1" x14ac:dyDescent="0.25">
      <c r="A3298" s="431">
        <v>36858</v>
      </c>
      <c r="B3298" s="434">
        <v>2158.0500000000002</v>
      </c>
      <c r="C3298" s="427">
        <f t="shared" si="102"/>
        <v>2000</v>
      </c>
      <c r="D3298" s="433">
        <f t="shared" si="103"/>
        <v>2158.0500000000002</v>
      </c>
    </row>
    <row r="3299" spans="1:4" ht="16.149999999999999" customHeight="1" x14ac:dyDescent="0.25">
      <c r="A3299" s="431">
        <v>36859</v>
      </c>
      <c r="B3299" s="432">
        <v>2169.8200000000002</v>
      </c>
      <c r="C3299" s="427">
        <f t="shared" si="102"/>
        <v>2000</v>
      </c>
      <c r="D3299" s="433">
        <f t="shared" si="103"/>
        <v>2169.8200000000002</v>
      </c>
    </row>
    <row r="3300" spans="1:4" ht="16.149999999999999" customHeight="1" x14ac:dyDescent="0.25">
      <c r="A3300" s="431">
        <v>36860</v>
      </c>
      <c r="B3300" s="434">
        <v>2172.84</v>
      </c>
      <c r="C3300" s="427">
        <f t="shared" si="102"/>
        <v>2000</v>
      </c>
      <c r="D3300" s="433">
        <f t="shared" si="103"/>
        <v>2172.84</v>
      </c>
    </row>
    <row r="3301" spans="1:4" ht="16.149999999999999" customHeight="1" x14ac:dyDescent="0.25">
      <c r="A3301" s="431">
        <v>36861</v>
      </c>
      <c r="B3301" s="432">
        <v>2168.6</v>
      </c>
      <c r="C3301" s="427">
        <f t="shared" si="102"/>
        <v>2000</v>
      </c>
      <c r="D3301" s="433">
        <f t="shared" si="103"/>
        <v>2168.6</v>
      </c>
    </row>
    <row r="3302" spans="1:4" ht="16.149999999999999" customHeight="1" x14ac:dyDescent="0.25">
      <c r="A3302" s="431">
        <v>36862</v>
      </c>
      <c r="B3302" s="434">
        <v>2174.85</v>
      </c>
      <c r="C3302" s="427">
        <f t="shared" si="102"/>
        <v>2000</v>
      </c>
      <c r="D3302" s="433">
        <f t="shared" si="103"/>
        <v>2174.85</v>
      </c>
    </row>
    <row r="3303" spans="1:4" ht="16.149999999999999" customHeight="1" x14ac:dyDescent="0.25">
      <c r="A3303" s="431">
        <v>36863</v>
      </c>
      <c r="B3303" s="432">
        <v>2174.85</v>
      </c>
      <c r="C3303" s="427">
        <f t="shared" si="102"/>
        <v>2000</v>
      </c>
      <c r="D3303" s="433">
        <f t="shared" si="103"/>
        <v>2174.85</v>
      </c>
    </row>
    <row r="3304" spans="1:4" ht="16.149999999999999" customHeight="1" x14ac:dyDescent="0.25">
      <c r="A3304" s="431">
        <v>36864</v>
      </c>
      <c r="B3304" s="434">
        <v>2174.85</v>
      </c>
      <c r="C3304" s="427">
        <f t="shared" si="102"/>
        <v>2000</v>
      </c>
      <c r="D3304" s="433">
        <f t="shared" si="103"/>
        <v>2174.85</v>
      </c>
    </row>
    <row r="3305" spans="1:4" ht="16.149999999999999" customHeight="1" x14ac:dyDescent="0.25">
      <c r="A3305" s="431">
        <v>36865</v>
      </c>
      <c r="B3305" s="432">
        <v>2180.3000000000002</v>
      </c>
      <c r="C3305" s="427">
        <f t="shared" si="102"/>
        <v>2000</v>
      </c>
      <c r="D3305" s="433">
        <f t="shared" si="103"/>
        <v>2180.3000000000002</v>
      </c>
    </row>
    <row r="3306" spans="1:4" ht="16.149999999999999" customHeight="1" x14ac:dyDescent="0.25">
      <c r="A3306" s="431">
        <v>36866</v>
      </c>
      <c r="B3306" s="434">
        <v>2184.1799999999998</v>
      </c>
      <c r="C3306" s="427">
        <f t="shared" si="102"/>
        <v>2000</v>
      </c>
      <c r="D3306" s="433">
        <f t="shared" si="103"/>
        <v>2184.1799999999998</v>
      </c>
    </row>
    <row r="3307" spans="1:4" ht="16.149999999999999" customHeight="1" x14ac:dyDescent="0.25">
      <c r="A3307" s="431">
        <v>36867</v>
      </c>
      <c r="B3307" s="432">
        <v>2174.29</v>
      </c>
      <c r="C3307" s="427">
        <f t="shared" si="102"/>
        <v>2000</v>
      </c>
      <c r="D3307" s="433">
        <f t="shared" si="103"/>
        <v>2174.29</v>
      </c>
    </row>
    <row r="3308" spans="1:4" ht="16.149999999999999" customHeight="1" x14ac:dyDescent="0.25">
      <c r="A3308" s="431">
        <v>36868</v>
      </c>
      <c r="B3308" s="434">
        <v>2176.33</v>
      </c>
      <c r="C3308" s="427">
        <f t="shared" si="102"/>
        <v>2000</v>
      </c>
      <c r="D3308" s="433">
        <f t="shared" si="103"/>
        <v>2176.33</v>
      </c>
    </row>
    <row r="3309" spans="1:4" ht="16.149999999999999" customHeight="1" x14ac:dyDescent="0.25">
      <c r="A3309" s="431">
        <v>36869</v>
      </c>
      <c r="B3309" s="432">
        <v>2176.33</v>
      </c>
      <c r="C3309" s="427">
        <f t="shared" si="102"/>
        <v>2000</v>
      </c>
      <c r="D3309" s="433">
        <f t="shared" si="103"/>
        <v>2176.33</v>
      </c>
    </row>
    <row r="3310" spans="1:4" ht="16.149999999999999" customHeight="1" x14ac:dyDescent="0.25">
      <c r="A3310" s="431">
        <v>36870</v>
      </c>
      <c r="B3310" s="434">
        <v>2176.33</v>
      </c>
      <c r="C3310" s="427">
        <f t="shared" si="102"/>
        <v>2000</v>
      </c>
      <c r="D3310" s="433">
        <f t="shared" si="103"/>
        <v>2176.33</v>
      </c>
    </row>
    <row r="3311" spans="1:4" ht="16.149999999999999" customHeight="1" x14ac:dyDescent="0.25">
      <c r="A3311" s="431">
        <v>36871</v>
      </c>
      <c r="B3311" s="432">
        <v>2176.33</v>
      </c>
      <c r="C3311" s="427">
        <f t="shared" si="102"/>
        <v>2000</v>
      </c>
      <c r="D3311" s="433">
        <f t="shared" si="103"/>
        <v>2176.33</v>
      </c>
    </row>
    <row r="3312" spans="1:4" ht="16.149999999999999" customHeight="1" x14ac:dyDescent="0.25">
      <c r="A3312" s="431">
        <v>36872</v>
      </c>
      <c r="B3312" s="434">
        <v>2175.5700000000002</v>
      </c>
      <c r="C3312" s="427">
        <f t="shared" si="102"/>
        <v>2000</v>
      </c>
      <c r="D3312" s="433">
        <f t="shared" si="103"/>
        <v>2175.5700000000002</v>
      </c>
    </row>
    <row r="3313" spans="1:4" ht="16.149999999999999" customHeight="1" x14ac:dyDescent="0.25">
      <c r="A3313" s="431">
        <v>36873</v>
      </c>
      <c r="B3313" s="432">
        <v>2183.08</v>
      </c>
      <c r="C3313" s="427">
        <f t="shared" si="102"/>
        <v>2000</v>
      </c>
      <c r="D3313" s="433">
        <f t="shared" si="103"/>
        <v>2183.08</v>
      </c>
    </row>
    <row r="3314" spans="1:4" ht="16.149999999999999" customHeight="1" x14ac:dyDescent="0.25">
      <c r="A3314" s="431">
        <v>36874</v>
      </c>
      <c r="B3314" s="434">
        <v>2186.87</v>
      </c>
      <c r="C3314" s="427">
        <f t="shared" si="102"/>
        <v>2000</v>
      </c>
      <c r="D3314" s="433">
        <f t="shared" si="103"/>
        <v>2186.87</v>
      </c>
    </row>
    <row r="3315" spans="1:4" ht="16.149999999999999" customHeight="1" x14ac:dyDescent="0.25">
      <c r="A3315" s="431">
        <v>36875</v>
      </c>
      <c r="B3315" s="432">
        <v>2184.7600000000002</v>
      </c>
      <c r="C3315" s="427">
        <f t="shared" si="102"/>
        <v>2000</v>
      </c>
      <c r="D3315" s="433">
        <f t="shared" si="103"/>
        <v>2184.7600000000002</v>
      </c>
    </row>
    <row r="3316" spans="1:4" ht="16.149999999999999" customHeight="1" x14ac:dyDescent="0.25">
      <c r="A3316" s="431">
        <v>36876</v>
      </c>
      <c r="B3316" s="434">
        <v>2175.91</v>
      </c>
      <c r="C3316" s="427">
        <f t="shared" si="102"/>
        <v>2000</v>
      </c>
      <c r="D3316" s="433">
        <f t="shared" si="103"/>
        <v>2175.91</v>
      </c>
    </row>
    <row r="3317" spans="1:4" ht="16.149999999999999" customHeight="1" x14ac:dyDescent="0.25">
      <c r="A3317" s="431">
        <v>36877</v>
      </c>
      <c r="B3317" s="432">
        <v>2175.91</v>
      </c>
      <c r="C3317" s="427">
        <f t="shared" si="102"/>
        <v>2000</v>
      </c>
      <c r="D3317" s="433">
        <f t="shared" si="103"/>
        <v>2175.91</v>
      </c>
    </row>
    <row r="3318" spans="1:4" ht="16.149999999999999" customHeight="1" x14ac:dyDescent="0.25">
      <c r="A3318" s="431">
        <v>36878</v>
      </c>
      <c r="B3318" s="434">
        <v>2175.91</v>
      </c>
      <c r="C3318" s="427">
        <f t="shared" si="102"/>
        <v>2000</v>
      </c>
      <c r="D3318" s="433">
        <f t="shared" si="103"/>
        <v>2175.91</v>
      </c>
    </row>
    <row r="3319" spans="1:4" ht="16.149999999999999" customHeight="1" x14ac:dyDescent="0.25">
      <c r="A3319" s="431">
        <v>36879</v>
      </c>
      <c r="B3319" s="432">
        <v>2179.13</v>
      </c>
      <c r="C3319" s="427">
        <f t="shared" si="102"/>
        <v>2000</v>
      </c>
      <c r="D3319" s="433">
        <f t="shared" si="103"/>
        <v>2179.13</v>
      </c>
    </row>
    <row r="3320" spans="1:4" ht="16.149999999999999" customHeight="1" x14ac:dyDescent="0.25">
      <c r="A3320" s="431">
        <v>36880</v>
      </c>
      <c r="B3320" s="434">
        <v>2187.17</v>
      </c>
      <c r="C3320" s="427">
        <f t="shared" si="102"/>
        <v>2000</v>
      </c>
      <c r="D3320" s="433">
        <f t="shared" si="103"/>
        <v>2187.17</v>
      </c>
    </row>
    <row r="3321" spans="1:4" ht="16.149999999999999" customHeight="1" x14ac:dyDescent="0.25">
      <c r="A3321" s="431">
        <v>36881</v>
      </c>
      <c r="B3321" s="432">
        <v>2185.0500000000002</v>
      </c>
      <c r="C3321" s="427">
        <f t="shared" si="102"/>
        <v>2000</v>
      </c>
      <c r="D3321" s="433">
        <f t="shared" si="103"/>
        <v>2185.0500000000002</v>
      </c>
    </row>
    <row r="3322" spans="1:4" ht="16.149999999999999" customHeight="1" x14ac:dyDescent="0.25">
      <c r="A3322" s="431">
        <v>36882</v>
      </c>
      <c r="B3322" s="434">
        <v>2187.02</v>
      </c>
      <c r="C3322" s="427">
        <f t="shared" si="102"/>
        <v>2000</v>
      </c>
      <c r="D3322" s="433">
        <f t="shared" si="103"/>
        <v>2187.02</v>
      </c>
    </row>
    <row r="3323" spans="1:4" ht="16.149999999999999" customHeight="1" x14ac:dyDescent="0.25">
      <c r="A3323" s="431">
        <v>36883</v>
      </c>
      <c r="B3323" s="432">
        <v>2193.5700000000002</v>
      </c>
      <c r="C3323" s="427">
        <f t="shared" si="102"/>
        <v>2000</v>
      </c>
      <c r="D3323" s="433">
        <f t="shared" si="103"/>
        <v>2193.5700000000002</v>
      </c>
    </row>
    <row r="3324" spans="1:4" ht="16.149999999999999" customHeight="1" x14ac:dyDescent="0.25">
      <c r="A3324" s="431">
        <v>36884</v>
      </c>
      <c r="B3324" s="434">
        <v>2193.5700000000002</v>
      </c>
      <c r="C3324" s="427">
        <f t="shared" si="102"/>
        <v>2000</v>
      </c>
      <c r="D3324" s="433">
        <f t="shared" si="103"/>
        <v>2193.5700000000002</v>
      </c>
    </row>
    <row r="3325" spans="1:4" ht="16.149999999999999" customHeight="1" x14ac:dyDescent="0.25">
      <c r="A3325" s="431">
        <v>36885</v>
      </c>
      <c r="B3325" s="432">
        <v>2193.5700000000002</v>
      </c>
      <c r="C3325" s="427">
        <f t="shared" si="102"/>
        <v>2000</v>
      </c>
      <c r="D3325" s="433">
        <f t="shared" si="103"/>
        <v>2193.5700000000002</v>
      </c>
    </row>
    <row r="3326" spans="1:4" ht="16.149999999999999" customHeight="1" x14ac:dyDescent="0.25">
      <c r="A3326" s="431">
        <v>36886</v>
      </c>
      <c r="B3326" s="434">
        <v>2193.5700000000002</v>
      </c>
      <c r="C3326" s="427">
        <f t="shared" si="102"/>
        <v>2000</v>
      </c>
      <c r="D3326" s="433">
        <f t="shared" si="103"/>
        <v>2193.5700000000002</v>
      </c>
    </row>
    <row r="3327" spans="1:4" ht="16.149999999999999" customHeight="1" x14ac:dyDescent="0.25">
      <c r="A3327" s="431">
        <v>36887</v>
      </c>
      <c r="B3327" s="432">
        <v>2196.7600000000002</v>
      </c>
      <c r="C3327" s="427">
        <f t="shared" si="102"/>
        <v>2000</v>
      </c>
      <c r="D3327" s="433">
        <f t="shared" si="103"/>
        <v>2196.7600000000002</v>
      </c>
    </row>
    <row r="3328" spans="1:4" ht="16.149999999999999" customHeight="1" x14ac:dyDescent="0.25">
      <c r="A3328" s="431">
        <v>36888</v>
      </c>
      <c r="B3328" s="434">
        <v>2215.35</v>
      </c>
      <c r="C3328" s="427">
        <f t="shared" si="102"/>
        <v>2000</v>
      </c>
      <c r="D3328" s="433">
        <f t="shared" si="103"/>
        <v>2215.35</v>
      </c>
    </row>
    <row r="3329" spans="1:4" ht="16.149999999999999" customHeight="1" x14ac:dyDescent="0.25">
      <c r="A3329" s="431">
        <v>36889</v>
      </c>
      <c r="B3329" s="432">
        <v>2229.1799999999998</v>
      </c>
      <c r="C3329" s="427">
        <f t="shared" si="102"/>
        <v>2000</v>
      </c>
      <c r="D3329" s="433">
        <f t="shared" si="103"/>
        <v>2229.1799999999998</v>
      </c>
    </row>
    <row r="3330" spans="1:4" ht="16.149999999999999" customHeight="1" x14ac:dyDescent="0.25">
      <c r="A3330" s="431">
        <v>36890</v>
      </c>
      <c r="B3330" s="434">
        <v>2229.1799999999998</v>
      </c>
      <c r="C3330" s="427">
        <f t="shared" si="102"/>
        <v>2000</v>
      </c>
      <c r="D3330" s="433">
        <f t="shared" si="103"/>
        <v>2229.1799999999998</v>
      </c>
    </row>
    <row r="3331" spans="1:4" ht="16.149999999999999" customHeight="1" x14ac:dyDescent="0.25">
      <c r="A3331" s="431">
        <v>36891</v>
      </c>
      <c r="B3331" s="432">
        <v>2229.1799999999998</v>
      </c>
      <c r="C3331" s="427">
        <f t="shared" si="102"/>
        <v>2000</v>
      </c>
      <c r="D3331" s="433">
        <f t="shared" si="103"/>
        <v>2229.1799999999998</v>
      </c>
    </row>
    <row r="3332" spans="1:4" ht="16.149999999999999" customHeight="1" x14ac:dyDescent="0.25">
      <c r="A3332" s="431">
        <v>36892</v>
      </c>
      <c r="B3332" s="434">
        <v>2229.1799999999998</v>
      </c>
      <c r="C3332" s="427">
        <f t="shared" si="102"/>
        <v>2001</v>
      </c>
      <c r="D3332" s="433">
        <f t="shared" si="103"/>
        <v>2229.1799999999998</v>
      </c>
    </row>
    <row r="3333" spans="1:4" ht="16.149999999999999" customHeight="1" x14ac:dyDescent="0.25">
      <c r="A3333" s="431">
        <v>36893</v>
      </c>
      <c r="B3333" s="432">
        <v>2229.1799999999998</v>
      </c>
      <c r="C3333" s="427">
        <f t="shared" si="102"/>
        <v>2001</v>
      </c>
      <c r="D3333" s="433">
        <f t="shared" si="103"/>
        <v>2229.1799999999998</v>
      </c>
    </row>
    <row r="3334" spans="1:4" ht="16.149999999999999" customHeight="1" x14ac:dyDescent="0.25">
      <c r="A3334" s="431">
        <v>36894</v>
      </c>
      <c r="B3334" s="434">
        <v>2219.6</v>
      </c>
      <c r="C3334" s="427">
        <f t="shared" si="102"/>
        <v>2001</v>
      </c>
      <c r="D3334" s="433">
        <f t="shared" si="103"/>
        <v>2219.6</v>
      </c>
    </row>
    <row r="3335" spans="1:4" ht="16.149999999999999" customHeight="1" x14ac:dyDescent="0.25">
      <c r="A3335" s="431">
        <v>36895</v>
      </c>
      <c r="B3335" s="432">
        <v>2224.38</v>
      </c>
      <c r="C3335" s="427">
        <f t="shared" si="102"/>
        <v>2001</v>
      </c>
      <c r="D3335" s="433">
        <f t="shared" si="103"/>
        <v>2224.38</v>
      </c>
    </row>
    <row r="3336" spans="1:4" ht="16.149999999999999" customHeight="1" x14ac:dyDescent="0.25">
      <c r="A3336" s="431">
        <v>36896</v>
      </c>
      <c r="B3336" s="434">
        <v>2239.89</v>
      </c>
      <c r="C3336" s="427">
        <f t="shared" si="102"/>
        <v>2001</v>
      </c>
      <c r="D3336" s="433">
        <f t="shared" si="103"/>
        <v>2239.89</v>
      </c>
    </row>
    <row r="3337" spans="1:4" ht="16.149999999999999" customHeight="1" x14ac:dyDescent="0.25">
      <c r="A3337" s="431">
        <v>36897</v>
      </c>
      <c r="B3337" s="432">
        <v>2243.16</v>
      </c>
      <c r="C3337" s="427">
        <f t="shared" si="102"/>
        <v>2001</v>
      </c>
      <c r="D3337" s="433">
        <f t="shared" si="103"/>
        <v>2243.16</v>
      </c>
    </row>
    <row r="3338" spans="1:4" ht="16.149999999999999" customHeight="1" x14ac:dyDescent="0.25">
      <c r="A3338" s="431">
        <v>36898</v>
      </c>
      <c r="B3338" s="434">
        <v>2243.16</v>
      </c>
      <c r="C3338" s="427">
        <f t="shared" ref="C3338:C3401" si="104">YEAR(A3338)</f>
        <v>2001</v>
      </c>
      <c r="D3338" s="433">
        <f t="shared" ref="D3338:D3401" si="105">B3338</f>
        <v>2243.16</v>
      </c>
    </row>
    <row r="3339" spans="1:4" ht="16.149999999999999" customHeight="1" x14ac:dyDescent="0.25">
      <c r="A3339" s="431">
        <v>36899</v>
      </c>
      <c r="B3339" s="432">
        <v>2243.16</v>
      </c>
      <c r="C3339" s="427">
        <f t="shared" si="104"/>
        <v>2001</v>
      </c>
      <c r="D3339" s="433">
        <f t="shared" si="105"/>
        <v>2243.16</v>
      </c>
    </row>
    <row r="3340" spans="1:4" ht="16.149999999999999" customHeight="1" x14ac:dyDescent="0.25">
      <c r="A3340" s="431">
        <v>36900</v>
      </c>
      <c r="B3340" s="434">
        <v>2243.16</v>
      </c>
      <c r="C3340" s="427">
        <f t="shared" si="104"/>
        <v>2001</v>
      </c>
      <c r="D3340" s="433">
        <f t="shared" si="105"/>
        <v>2243.16</v>
      </c>
    </row>
    <row r="3341" spans="1:4" ht="16.149999999999999" customHeight="1" x14ac:dyDescent="0.25">
      <c r="A3341" s="431">
        <v>36901</v>
      </c>
      <c r="B3341" s="432">
        <v>2235.4299999999998</v>
      </c>
      <c r="C3341" s="427">
        <f t="shared" si="104"/>
        <v>2001</v>
      </c>
      <c r="D3341" s="433">
        <f t="shared" si="105"/>
        <v>2235.4299999999998</v>
      </c>
    </row>
    <row r="3342" spans="1:4" ht="16.149999999999999" customHeight="1" x14ac:dyDescent="0.25">
      <c r="A3342" s="431">
        <v>36902</v>
      </c>
      <c r="B3342" s="434">
        <v>2230.14</v>
      </c>
      <c r="C3342" s="427">
        <f t="shared" si="104"/>
        <v>2001</v>
      </c>
      <c r="D3342" s="433">
        <f t="shared" si="105"/>
        <v>2230.14</v>
      </c>
    </row>
    <row r="3343" spans="1:4" ht="16.149999999999999" customHeight="1" x14ac:dyDescent="0.25">
      <c r="A3343" s="431">
        <v>36903</v>
      </c>
      <c r="B3343" s="432">
        <v>2246.58</v>
      </c>
      <c r="C3343" s="427">
        <f t="shared" si="104"/>
        <v>2001</v>
      </c>
      <c r="D3343" s="433">
        <f t="shared" si="105"/>
        <v>2246.58</v>
      </c>
    </row>
    <row r="3344" spans="1:4" ht="16.149999999999999" customHeight="1" x14ac:dyDescent="0.25">
      <c r="A3344" s="431">
        <v>36904</v>
      </c>
      <c r="B3344" s="434">
        <v>2251.75</v>
      </c>
      <c r="C3344" s="427">
        <f t="shared" si="104"/>
        <v>2001</v>
      </c>
      <c r="D3344" s="433">
        <f t="shared" si="105"/>
        <v>2251.75</v>
      </c>
    </row>
    <row r="3345" spans="1:4" ht="16.149999999999999" customHeight="1" x14ac:dyDescent="0.25">
      <c r="A3345" s="431">
        <v>36905</v>
      </c>
      <c r="B3345" s="432">
        <v>2251.75</v>
      </c>
      <c r="C3345" s="427">
        <f t="shared" si="104"/>
        <v>2001</v>
      </c>
      <c r="D3345" s="433">
        <f t="shared" si="105"/>
        <v>2251.75</v>
      </c>
    </row>
    <row r="3346" spans="1:4" ht="16.149999999999999" customHeight="1" x14ac:dyDescent="0.25">
      <c r="A3346" s="431">
        <v>36906</v>
      </c>
      <c r="B3346" s="434">
        <v>2251.75</v>
      </c>
      <c r="C3346" s="427">
        <f t="shared" si="104"/>
        <v>2001</v>
      </c>
      <c r="D3346" s="433">
        <f t="shared" si="105"/>
        <v>2251.75</v>
      </c>
    </row>
    <row r="3347" spans="1:4" ht="16.149999999999999" customHeight="1" x14ac:dyDescent="0.25">
      <c r="A3347" s="431">
        <v>36907</v>
      </c>
      <c r="B3347" s="432">
        <v>2248.61</v>
      </c>
      <c r="C3347" s="427">
        <f t="shared" si="104"/>
        <v>2001</v>
      </c>
      <c r="D3347" s="433">
        <f t="shared" si="105"/>
        <v>2248.61</v>
      </c>
    </row>
    <row r="3348" spans="1:4" ht="16.149999999999999" customHeight="1" x14ac:dyDescent="0.25">
      <c r="A3348" s="431">
        <v>36908</v>
      </c>
      <c r="B3348" s="434">
        <v>2245.89</v>
      </c>
      <c r="C3348" s="427">
        <f t="shared" si="104"/>
        <v>2001</v>
      </c>
      <c r="D3348" s="433">
        <f t="shared" si="105"/>
        <v>2245.89</v>
      </c>
    </row>
    <row r="3349" spans="1:4" ht="16.149999999999999" customHeight="1" x14ac:dyDescent="0.25">
      <c r="A3349" s="431">
        <v>36909</v>
      </c>
      <c r="B3349" s="432">
        <v>2236.46</v>
      </c>
      <c r="C3349" s="427">
        <f t="shared" si="104"/>
        <v>2001</v>
      </c>
      <c r="D3349" s="433">
        <f t="shared" si="105"/>
        <v>2236.46</v>
      </c>
    </row>
    <row r="3350" spans="1:4" ht="16.149999999999999" customHeight="1" x14ac:dyDescent="0.25">
      <c r="A3350" s="431">
        <v>36910</v>
      </c>
      <c r="B3350" s="434">
        <v>2246.7399999999998</v>
      </c>
      <c r="C3350" s="427">
        <f t="shared" si="104"/>
        <v>2001</v>
      </c>
      <c r="D3350" s="433">
        <f t="shared" si="105"/>
        <v>2246.7399999999998</v>
      </c>
    </row>
    <row r="3351" spans="1:4" ht="16.149999999999999" customHeight="1" x14ac:dyDescent="0.25">
      <c r="A3351" s="431">
        <v>36911</v>
      </c>
      <c r="B3351" s="432">
        <v>2244.59</v>
      </c>
      <c r="C3351" s="427">
        <f t="shared" si="104"/>
        <v>2001</v>
      </c>
      <c r="D3351" s="433">
        <f t="shared" si="105"/>
        <v>2244.59</v>
      </c>
    </row>
    <row r="3352" spans="1:4" ht="16.149999999999999" customHeight="1" x14ac:dyDescent="0.25">
      <c r="A3352" s="431">
        <v>36912</v>
      </c>
      <c r="B3352" s="434">
        <v>2244.59</v>
      </c>
      <c r="C3352" s="427">
        <f t="shared" si="104"/>
        <v>2001</v>
      </c>
      <c r="D3352" s="433">
        <f t="shared" si="105"/>
        <v>2244.59</v>
      </c>
    </row>
    <row r="3353" spans="1:4" ht="16.149999999999999" customHeight="1" x14ac:dyDescent="0.25">
      <c r="A3353" s="431">
        <v>36913</v>
      </c>
      <c r="B3353" s="432">
        <v>2244.59</v>
      </c>
      <c r="C3353" s="427">
        <f t="shared" si="104"/>
        <v>2001</v>
      </c>
      <c r="D3353" s="433">
        <f t="shared" si="105"/>
        <v>2244.59</v>
      </c>
    </row>
    <row r="3354" spans="1:4" ht="16.149999999999999" customHeight="1" x14ac:dyDescent="0.25">
      <c r="A3354" s="431">
        <v>36914</v>
      </c>
      <c r="B3354" s="434">
        <v>2240.02</v>
      </c>
      <c r="C3354" s="427">
        <f t="shared" si="104"/>
        <v>2001</v>
      </c>
      <c r="D3354" s="433">
        <f t="shared" si="105"/>
        <v>2240.02</v>
      </c>
    </row>
    <row r="3355" spans="1:4" ht="16.149999999999999" customHeight="1" x14ac:dyDescent="0.25">
      <c r="A3355" s="431">
        <v>36915</v>
      </c>
      <c r="B3355" s="432">
        <v>2255.8200000000002</v>
      </c>
      <c r="C3355" s="427">
        <f t="shared" si="104"/>
        <v>2001</v>
      </c>
      <c r="D3355" s="433">
        <f t="shared" si="105"/>
        <v>2255.8200000000002</v>
      </c>
    </row>
    <row r="3356" spans="1:4" ht="16.149999999999999" customHeight="1" x14ac:dyDescent="0.25">
      <c r="A3356" s="431">
        <v>36916</v>
      </c>
      <c r="B3356" s="434">
        <v>2254.35</v>
      </c>
      <c r="C3356" s="427">
        <f t="shared" si="104"/>
        <v>2001</v>
      </c>
      <c r="D3356" s="433">
        <f t="shared" si="105"/>
        <v>2254.35</v>
      </c>
    </row>
    <row r="3357" spans="1:4" ht="16.149999999999999" customHeight="1" x14ac:dyDescent="0.25">
      <c r="A3357" s="431">
        <v>36917</v>
      </c>
      <c r="B3357" s="432">
        <v>2250.0300000000002</v>
      </c>
      <c r="C3357" s="427">
        <f t="shared" si="104"/>
        <v>2001</v>
      </c>
      <c r="D3357" s="433">
        <f t="shared" si="105"/>
        <v>2250.0300000000002</v>
      </c>
    </row>
    <row r="3358" spans="1:4" ht="16.149999999999999" customHeight="1" x14ac:dyDescent="0.25">
      <c r="A3358" s="431">
        <v>36918</v>
      </c>
      <c r="B3358" s="434">
        <v>2245.46</v>
      </c>
      <c r="C3358" s="427">
        <f t="shared" si="104"/>
        <v>2001</v>
      </c>
      <c r="D3358" s="433">
        <f t="shared" si="105"/>
        <v>2245.46</v>
      </c>
    </row>
    <row r="3359" spans="1:4" ht="16.149999999999999" customHeight="1" x14ac:dyDescent="0.25">
      <c r="A3359" s="431">
        <v>36919</v>
      </c>
      <c r="B3359" s="432">
        <v>2245.46</v>
      </c>
      <c r="C3359" s="427">
        <f t="shared" si="104"/>
        <v>2001</v>
      </c>
      <c r="D3359" s="433">
        <f t="shared" si="105"/>
        <v>2245.46</v>
      </c>
    </row>
    <row r="3360" spans="1:4" ht="16.149999999999999" customHeight="1" x14ac:dyDescent="0.25">
      <c r="A3360" s="431">
        <v>36920</v>
      </c>
      <c r="B3360" s="434">
        <v>2245.46</v>
      </c>
      <c r="C3360" s="427">
        <f t="shared" si="104"/>
        <v>2001</v>
      </c>
      <c r="D3360" s="433">
        <f t="shared" si="105"/>
        <v>2245.46</v>
      </c>
    </row>
    <row r="3361" spans="1:4" ht="16.149999999999999" customHeight="1" x14ac:dyDescent="0.25">
      <c r="A3361" s="431">
        <v>36921</v>
      </c>
      <c r="B3361" s="432">
        <v>2240.56</v>
      </c>
      <c r="C3361" s="427">
        <f t="shared" si="104"/>
        <v>2001</v>
      </c>
      <c r="D3361" s="433">
        <f t="shared" si="105"/>
        <v>2240.56</v>
      </c>
    </row>
    <row r="3362" spans="1:4" ht="16.149999999999999" customHeight="1" x14ac:dyDescent="0.25">
      <c r="A3362" s="431">
        <v>36922</v>
      </c>
      <c r="B3362" s="434">
        <v>2240.8000000000002</v>
      </c>
      <c r="C3362" s="427">
        <f t="shared" si="104"/>
        <v>2001</v>
      </c>
      <c r="D3362" s="433">
        <f t="shared" si="105"/>
        <v>2240.8000000000002</v>
      </c>
    </row>
    <row r="3363" spans="1:4" ht="16.149999999999999" customHeight="1" x14ac:dyDescent="0.25">
      <c r="A3363" s="431">
        <v>36923</v>
      </c>
      <c r="B3363" s="432">
        <v>2242.08</v>
      </c>
      <c r="C3363" s="427">
        <f t="shared" si="104"/>
        <v>2001</v>
      </c>
      <c r="D3363" s="433">
        <f t="shared" si="105"/>
        <v>2242.08</v>
      </c>
    </row>
    <row r="3364" spans="1:4" ht="16.149999999999999" customHeight="1" x14ac:dyDescent="0.25">
      <c r="A3364" s="431">
        <v>36924</v>
      </c>
      <c r="B3364" s="434">
        <v>2240.04</v>
      </c>
      <c r="C3364" s="427">
        <f t="shared" si="104"/>
        <v>2001</v>
      </c>
      <c r="D3364" s="433">
        <f t="shared" si="105"/>
        <v>2240.04</v>
      </c>
    </row>
    <row r="3365" spans="1:4" ht="16.149999999999999" customHeight="1" x14ac:dyDescent="0.25">
      <c r="A3365" s="431">
        <v>36925</v>
      </c>
      <c r="B3365" s="432">
        <v>2242.1999999999998</v>
      </c>
      <c r="C3365" s="427">
        <f t="shared" si="104"/>
        <v>2001</v>
      </c>
      <c r="D3365" s="433">
        <f t="shared" si="105"/>
        <v>2242.1999999999998</v>
      </c>
    </row>
    <row r="3366" spans="1:4" ht="16.149999999999999" customHeight="1" x14ac:dyDescent="0.25">
      <c r="A3366" s="431">
        <v>36926</v>
      </c>
      <c r="B3366" s="434">
        <v>2242.1999999999998</v>
      </c>
      <c r="C3366" s="427">
        <f t="shared" si="104"/>
        <v>2001</v>
      </c>
      <c r="D3366" s="433">
        <f t="shared" si="105"/>
        <v>2242.1999999999998</v>
      </c>
    </row>
    <row r="3367" spans="1:4" ht="16.149999999999999" customHeight="1" x14ac:dyDescent="0.25">
      <c r="A3367" s="431">
        <v>36927</v>
      </c>
      <c r="B3367" s="432">
        <v>2242.1999999999998</v>
      </c>
      <c r="C3367" s="427">
        <f t="shared" si="104"/>
        <v>2001</v>
      </c>
      <c r="D3367" s="433">
        <f t="shared" si="105"/>
        <v>2242.1999999999998</v>
      </c>
    </row>
    <row r="3368" spans="1:4" ht="16.149999999999999" customHeight="1" x14ac:dyDescent="0.25">
      <c r="A3368" s="431">
        <v>36928</v>
      </c>
      <c r="B3368" s="434">
        <v>2238.35</v>
      </c>
      <c r="C3368" s="427">
        <f t="shared" si="104"/>
        <v>2001</v>
      </c>
      <c r="D3368" s="433">
        <f t="shared" si="105"/>
        <v>2238.35</v>
      </c>
    </row>
    <row r="3369" spans="1:4" ht="16.149999999999999" customHeight="1" x14ac:dyDescent="0.25">
      <c r="A3369" s="431">
        <v>36929</v>
      </c>
      <c r="B3369" s="432">
        <v>2235.0300000000002</v>
      </c>
      <c r="C3369" s="427">
        <f t="shared" si="104"/>
        <v>2001</v>
      </c>
      <c r="D3369" s="433">
        <f t="shared" si="105"/>
        <v>2235.0300000000002</v>
      </c>
    </row>
    <row r="3370" spans="1:4" ht="16.149999999999999" customHeight="1" x14ac:dyDescent="0.25">
      <c r="A3370" s="431">
        <v>36930</v>
      </c>
      <c r="B3370" s="434">
        <v>2238.09</v>
      </c>
      <c r="C3370" s="427">
        <f t="shared" si="104"/>
        <v>2001</v>
      </c>
      <c r="D3370" s="433">
        <f t="shared" si="105"/>
        <v>2238.09</v>
      </c>
    </row>
    <row r="3371" spans="1:4" ht="16.149999999999999" customHeight="1" x14ac:dyDescent="0.25">
      <c r="A3371" s="431">
        <v>36931</v>
      </c>
      <c r="B3371" s="432">
        <v>2242.6799999999998</v>
      </c>
      <c r="C3371" s="427">
        <f t="shared" si="104"/>
        <v>2001</v>
      </c>
      <c r="D3371" s="433">
        <f t="shared" si="105"/>
        <v>2242.6799999999998</v>
      </c>
    </row>
    <row r="3372" spans="1:4" ht="16.149999999999999" customHeight="1" x14ac:dyDescent="0.25">
      <c r="A3372" s="431">
        <v>36932</v>
      </c>
      <c r="B3372" s="434">
        <v>2237.58</v>
      </c>
      <c r="C3372" s="427">
        <f t="shared" si="104"/>
        <v>2001</v>
      </c>
      <c r="D3372" s="433">
        <f t="shared" si="105"/>
        <v>2237.58</v>
      </c>
    </row>
    <row r="3373" spans="1:4" ht="16.149999999999999" customHeight="1" x14ac:dyDescent="0.25">
      <c r="A3373" s="431">
        <v>36933</v>
      </c>
      <c r="B3373" s="432">
        <v>2237.58</v>
      </c>
      <c r="C3373" s="427">
        <f t="shared" si="104"/>
        <v>2001</v>
      </c>
      <c r="D3373" s="433">
        <f t="shared" si="105"/>
        <v>2237.58</v>
      </c>
    </row>
    <row r="3374" spans="1:4" ht="16.149999999999999" customHeight="1" x14ac:dyDescent="0.25">
      <c r="A3374" s="431">
        <v>36934</v>
      </c>
      <c r="B3374" s="434">
        <v>2237.58</v>
      </c>
      <c r="C3374" s="427">
        <f t="shared" si="104"/>
        <v>2001</v>
      </c>
      <c r="D3374" s="433">
        <f t="shared" si="105"/>
        <v>2237.58</v>
      </c>
    </row>
    <row r="3375" spans="1:4" ht="16.149999999999999" customHeight="1" x14ac:dyDescent="0.25">
      <c r="A3375" s="431">
        <v>36935</v>
      </c>
      <c r="B3375" s="432">
        <v>2229.59</v>
      </c>
      <c r="C3375" s="427">
        <f t="shared" si="104"/>
        <v>2001</v>
      </c>
      <c r="D3375" s="433">
        <f t="shared" si="105"/>
        <v>2229.59</v>
      </c>
    </row>
    <row r="3376" spans="1:4" ht="16.149999999999999" customHeight="1" x14ac:dyDescent="0.25">
      <c r="A3376" s="431">
        <v>36936</v>
      </c>
      <c r="B3376" s="434">
        <v>2237.37</v>
      </c>
      <c r="C3376" s="427">
        <f t="shared" si="104"/>
        <v>2001</v>
      </c>
      <c r="D3376" s="433">
        <f t="shared" si="105"/>
        <v>2237.37</v>
      </c>
    </row>
    <row r="3377" spans="1:4" ht="16.149999999999999" customHeight="1" x14ac:dyDescent="0.25">
      <c r="A3377" s="431">
        <v>36937</v>
      </c>
      <c r="B3377" s="432">
        <v>2239.0300000000002</v>
      </c>
      <c r="C3377" s="427">
        <f t="shared" si="104"/>
        <v>2001</v>
      </c>
      <c r="D3377" s="433">
        <f t="shared" si="105"/>
        <v>2239.0300000000002</v>
      </c>
    </row>
    <row r="3378" spans="1:4" ht="16.149999999999999" customHeight="1" x14ac:dyDescent="0.25">
      <c r="A3378" s="431">
        <v>36938</v>
      </c>
      <c r="B3378" s="434">
        <v>2238.61</v>
      </c>
      <c r="C3378" s="427">
        <f t="shared" si="104"/>
        <v>2001</v>
      </c>
      <c r="D3378" s="433">
        <f t="shared" si="105"/>
        <v>2238.61</v>
      </c>
    </row>
    <row r="3379" spans="1:4" ht="16.149999999999999" customHeight="1" x14ac:dyDescent="0.25">
      <c r="A3379" s="431">
        <v>36939</v>
      </c>
      <c r="B3379" s="432">
        <v>2238.5100000000002</v>
      </c>
      <c r="C3379" s="427">
        <f t="shared" si="104"/>
        <v>2001</v>
      </c>
      <c r="D3379" s="433">
        <f t="shared" si="105"/>
        <v>2238.5100000000002</v>
      </c>
    </row>
    <row r="3380" spans="1:4" ht="16.149999999999999" customHeight="1" x14ac:dyDescent="0.25">
      <c r="A3380" s="431">
        <v>36940</v>
      </c>
      <c r="B3380" s="434">
        <v>2238.5100000000002</v>
      </c>
      <c r="C3380" s="427">
        <f t="shared" si="104"/>
        <v>2001</v>
      </c>
      <c r="D3380" s="433">
        <f t="shared" si="105"/>
        <v>2238.5100000000002</v>
      </c>
    </row>
    <row r="3381" spans="1:4" ht="16.149999999999999" customHeight="1" x14ac:dyDescent="0.25">
      <c r="A3381" s="431">
        <v>36941</v>
      </c>
      <c r="B3381" s="432">
        <v>2238.5100000000002</v>
      </c>
      <c r="C3381" s="427">
        <f t="shared" si="104"/>
        <v>2001</v>
      </c>
      <c r="D3381" s="433">
        <f t="shared" si="105"/>
        <v>2238.5100000000002</v>
      </c>
    </row>
    <row r="3382" spans="1:4" ht="16.149999999999999" customHeight="1" x14ac:dyDescent="0.25">
      <c r="A3382" s="431">
        <v>36942</v>
      </c>
      <c r="B3382" s="434">
        <v>2245.16</v>
      </c>
      <c r="C3382" s="427">
        <f t="shared" si="104"/>
        <v>2001</v>
      </c>
      <c r="D3382" s="433">
        <f t="shared" si="105"/>
        <v>2245.16</v>
      </c>
    </row>
    <row r="3383" spans="1:4" ht="16.149999999999999" customHeight="1" x14ac:dyDescent="0.25">
      <c r="A3383" s="431">
        <v>36943</v>
      </c>
      <c r="B3383" s="432">
        <v>2247.09</v>
      </c>
      <c r="C3383" s="427">
        <f t="shared" si="104"/>
        <v>2001</v>
      </c>
      <c r="D3383" s="433">
        <f t="shared" si="105"/>
        <v>2247.09</v>
      </c>
    </row>
    <row r="3384" spans="1:4" ht="16.149999999999999" customHeight="1" x14ac:dyDescent="0.25">
      <c r="A3384" s="431">
        <v>36944</v>
      </c>
      <c r="B3384" s="434">
        <v>2252.65</v>
      </c>
      <c r="C3384" s="427">
        <f t="shared" si="104"/>
        <v>2001</v>
      </c>
      <c r="D3384" s="433">
        <f t="shared" si="105"/>
        <v>2252.65</v>
      </c>
    </row>
    <row r="3385" spans="1:4" ht="16.149999999999999" customHeight="1" x14ac:dyDescent="0.25">
      <c r="A3385" s="431">
        <v>36945</v>
      </c>
      <c r="B3385" s="432">
        <v>2252.86</v>
      </c>
      <c r="C3385" s="427">
        <f t="shared" si="104"/>
        <v>2001</v>
      </c>
      <c r="D3385" s="433">
        <f t="shared" si="105"/>
        <v>2252.86</v>
      </c>
    </row>
    <row r="3386" spans="1:4" ht="16.149999999999999" customHeight="1" x14ac:dyDescent="0.25">
      <c r="A3386" s="431">
        <v>36946</v>
      </c>
      <c r="B3386" s="434">
        <v>2257.6999999999998</v>
      </c>
      <c r="C3386" s="427">
        <f t="shared" si="104"/>
        <v>2001</v>
      </c>
      <c r="D3386" s="433">
        <f t="shared" si="105"/>
        <v>2257.6999999999998</v>
      </c>
    </row>
    <row r="3387" spans="1:4" ht="16.149999999999999" customHeight="1" x14ac:dyDescent="0.25">
      <c r="A3387" s="431">
        <v>36947</v>
      </c>
      <c r="B3387" s="432">
        <v>2257.6999999999998</v>
      </c>
      <c r="C3387" s="427">
        <f t="shared" si="104"/>
        <v>2001</v>
      </c>
      <c r="D3387" s="433">
        <f t="shared" si="105"/>
        <v>2257.6999999999998</v>
      </c>
    </row>
    <row r="3388" spans="1:4" ht="16.149999999999999" customHeight="1" x14ac:dyDescent="0.25">
      <c r="A3388" s="431">
        <v>36948</v>
      </c>
      <c r="B3388" s="434">
        <v>2257.6999999999998</v>
      </c>
      <c r="C3388" s="427">
        <f t="shared" si="104"/>
        <v>2001</v>
      </c>
      <c r="D3388" s="433">
        <f t="shared" si="105"/>
        <v>2257.6999999999998</v>
      </c>
    </row>
    <row r="3389" spans="1:4" ht="16.149999999999999" customHeight="1" x14ac:dyDescent="0.25">
      <c r="A3389" s="431">
        <v>36949</v>
      </c>
      <c r="B3389" s="432">
        <v>2256.42</v>
      </c>
      <c r="C3389" s="427">
        <f t="shared" si="104"/>
        <v>2001</v>
      </c>
      <c r="D3389" s="433">
        <f t="shared" si="105"/>
        <v>2256.42</v>
      </c>
    </row>
    <row r="3390" spans="1:4" ht="16.149999999999999" customHeight="1" x14ac:dyDescent="0.25">
      <c r="A3390" s="431">
        <v>36950</v>
      </c>
      <c r="B3390" s="434">
        <v>2257.4499999999998</v>
      </c>
      <c r="C3390" s="427">
        <f t="shared" si="104"/>
        <v>2001</v>
      </c>
      <c r="D3390" s="433">
        <f t="shared" si="105"/>
        <v>2257.4499999999998</v>
      </c>
    </row>
    <row r="3391" spans="1:4" ht="16.149999999999999" customHeight="1" x14ac:dyDescent="0.25">
      <c r="A3391" s="431">
        <v>36951</v>
      </c>
      <c r="B3391" s="432">
        <v>2259.64</v>
      </c>
      <c r="C3391" s="427">
        <f t="shared" si="104"/>
        <v>2001</v>
      </c>
      <c r="D3391" s="433">
        <f t="shared" si="105"/>
        <v>2259.64</v>
      </c>
    </row>
    <row r="3392" spans="1:4" ht="16.149999999999999" customHeight="1" x14ac:dyDescent="0.25">
      <c r="A3392" s="431">
        <v>36952</v>
      </c>
      <c r="B3392" s="434">
        <v>2265.44</v>
      </c>
      <c r="C3392" s="427">
        <f t="shared" si="104"/>
        <v>2001</v>
      </c>
      <c r="D3392" s="433">
        <f t="shared" si="105"/>
        <v>2265.44</v>
      </c>
    </row>
    <row r="3393" spans="1:4" ht="16.149999999999999" customHeight="1" x14ac:dyDescent="0.25">
      <c r="A3393" s="431">
        <v>36953</v>
      </c>
      <c r="B3393" s="432">
        <v>2264.09</v>
      </c>
      <c r="C3393" s="427">
        <f t="shared" si="104"/>
        <v>2001</v>
      </c>
      <c r="D3393" s="433">
        <f t="shared" si="105"/>
        <v>2264.09</v>
      </c>
    </row>
    <row r="3394" spans="1:4" ht="16.149999999999999" customHeight="1" x14ac:dyDescent="0.25">
      <c r="A3394" s="431">
        <v>36954</v>
      </c>
      <c r="B3394" s="434">
        <v>2264.09</v>
      </c>
      <c r="C3394" s="427">
        <f t="shared" si="104"/>
        <v>2001</v>
      </c>
      <c r="D3394" s="433">
        <f t="shared" si="105"/>
        <v>2264.09</v>
      </c>
    </row>
    <row r="3395" spans="1:4" ht="16.149999999999999" customHeight="1" x14ac:dyDescent="0.25">
      <c r="A3395" s="431">
        <v>36955</v>
      </c>
      <c r="B3395" s="432">
        <v>2264.09</v>
      </c>
      <c r="C3395" s="427">
        <f t="shared" si="104"/>
        <v>2001</v>
      </c>
      <c r="D3395" s="433">
        <f t="shared" si="105"/>
        <v>2264.09</v>
      </c>
    </row>
    <row r="3396" spans="1:4" ht="16.149999999999999" customHeight="1" x14ac:dyDescent="0.25">
      <c r="A3396" s="431">
        <v>36956</v>
      </c>
      <c r="B3396" s="434">
        <v>2259.0700000000002</v>
      </c>
      <c r="C3396" s="427">
        <f t="shared" si="104"/>
        <v>2001</v>
      </c>
      <c r="D3396" s="433">
        <f t="shared" si="105"/>
        <v>2259.0700000000002</v>
      </c>
    </row>
    <row r="3397" spans="1:4" ht="16.149999999999999" customHeight="1" x14ac:dyDescent="0.25">
      <c r="A3397" s="431">
        <v>36957</v>
      </c>
      <c r="B3397" s="432">
        <v>2260.33</v>
      </c>
      <c r="C3397" s="427">
        <f t="shared" si="104"/>
        <v>2001</v>
      </c>
      <c r="D3397" s="433">
        <f t="shared" si="105"/>
        <v>2260.33</v>
      </c>
    </row>
    <row r="3398" spans="1:4" ht="16.149999999999999" customHeight="1" x14ac:dyDescent="0.25">
      <c r="A3398" s="431">
        <v>36958</v>
      </c>
      <c r="B3398" s="434">
        <v>2262.06</v>
      </c>
      <c r="C3398" s="427">
        <f t="shared" si="104"/>
        <v>2001</v>
      </c>
      <c r="D3398" s="433">
        <f t="shared" si="105"/>
        <v>2262.06</v>
      </c>
    </row>
    <row r="3399" spans="1:4" ht="16.149999999999999" customHeight="1" x14ac:dyDescent="0.25">
      <c r="A3399" s="431">
        <v>36959</v>
      </c>
      <c r="B3399" s="432">
        <v>2262.5500000000002</v>
      </c>
      <c r="C3399" s="427">
        <f t="shared" si="104"/>
        <v>2001</v>
      </c>
      <c r="D3399" s="433">
        <f t="shared" si="105"/>
        <v>2262.5500000000002</v>
      </c>
    </row>
    <row r="3400" spans="1:4" ht="16.149999999999999" customHeight="1" x14ac:dyDescent="0.25">
      <c r="A3400" s="431">
        <v>36960</v>
      </c>
      <c r="B3400" s="434">
        <v>2264.0100000000002</v>
      </c>
      <c r="C3400" s="427">
        <f t="shared" si="104"/>
        <v>2001</v>
      </c>
      <c r="D3400" s="433">
        <f t="shared" si="105"/>
        <v>2264.0100000000002</v>
      </c>
    </row>
    <row r="3401" spans="1:4" ht="16.149999999999999" customHeight="1" x14ac:dyDescent="0.25">
      <c r="A3401" s="431">
        <v>36961</v>
      </c>
      <c r="B3401" s="432">
        <v>2264.0100000000002</v>
      </c>
      <c r="C3401" s="427">
        <f t="shared" si="104"/>
        <v>2001</v>
      </c>
      <c r="D3401" s="433">
        <f t="shared" si="105"/>
        <v>2264.0100000000002</v>
      </c>
    </row>
    <row r="3402" spans="1:4" ht="16.149999999999999" customHeight="1" x14ac:dyDescent="0.25">
      <c r="A3402" s="431">
        <v>36962</v>
      </c>
      <c r="B3402" s="434">
        <v>2264.0100000000002</v>
      </c>
      <c r="C3402" s="427">
        <f t="shared" ref="C3402:C3465" si="106">YEAR(A3402)</f>
        <v>2001</v>
      </c>
      <c r="D3402" s="433">
        <f t="shared" ref="D3402:D3465" si="107">B3402</f>
        <v>2264.0100000000002</v>
      </c>
    </row>
    <row r="3403" spans="1:4" ht="16.149999999999999" customHeight="1" x14ac:dyDescent="0.25">
      <c r="A3403" s="431">
        <v>36963</v>
      </c>
      <c r="B3403" s="432">
        <v>2275.98</v>
      </c>
      <c r="C3403" s="427">
        <f t="shared" si="106"/>
        <v>2001</v>
      </c>
      <c r="D3403" s="433">
        <f t="shared" si="107"/>
        <v>2275.98</v>
      </c>
    </row>
    <row r="3404" spans="1:4" ht="16.149999999999999" customHeight="1" x14ac:dyDescent="0.25">
      <c r="A3404" s="431">
        <v>36964</v>
      </c>
      <c r="B3404" s="434">
        <v>2275.92</v>
      </c>
      <c r="C3404" s="427">
        <f t="shared" si="106"/>
        <v>2001</v>
      </c>
      <c r="D3404" s="433">
        <f t="shared" si="107"/>
        <v>2275.92</v>
      </c>
    </row>
    <row r="3405" spans="1:4" ht="16.149999999999999" customHeight="1" x14ac:dyDescent="0.25">
      <c r="A3405" s="431">
        <v>36965</v>
      </c>
      <c r="B3405" s="432">
        <v>2282.0100000000002</v>
      </c>
      <c r="C3405" s="427">
        <f t="shared" si="106"/>
        <v>2001</v>
      </c>
      <c r="D3405" s="433">
        <f t="shared" si="107"/>
        <v>2282.0100000000002</v>
      </c>
    </row>
    <row r="3406" spans="1:4" ht="16.149999999999999" customHeight="1" x14ac:dyDescent="0.25">
      <c r="A3406" s="431">
        <v>36966</v>
      </c>
      <c r="B3406" s="434">
        <v>2281.02</v>
      </c>
      <c r="C3406" s="427">
        <f t="shared" si="106"/>
        <v>2001</v>
      </c>
      <c r="D3406" s="433">
        <f t="shared" si="107"/>
        <v>2281.02</v>
      </c>
    </row>
    <row r="3407" spans="1:4" ht="16.149999999999999" customHeight="1" x14ac:dyDescent="0.25">
      <c r="A3407" s="431">
        <v>36967</v>
      </c>
      <c r="B3407" s="432">
        <v>2282.96</v>
      </c>
      <c r="C3407" s="427">
        <f t="shared" si="106"/>
        <v>2001</v>
      </c>
      <c r="D3407" s="433">
        <f t="shared" si="107"/>
        <v>2282.96</v>
      </c>
    </row>
    <row r="3408" spans="1:4" ht="16.149999999999999" customHeight="1" x14ac:dyDescent="0.25">
      <c r="A3408" s="431">
        <v>36968</v>
      </c>
      <c r="B3408" s="434">
        <v>2282.96</v>
      </c>
      <c r="C3408" s="427">
        <f t="shared" si="106"/>
        <v>2001</v>
      </c>
      <c r="D3408" s="433">
        <f t="shared" si="107"/>
        <v>2282.96</v>
      </c>
    </row>
    <row r="3409" spans="1:4" ht="16.149999999999999" customHeight="1" x14ac:dyDescent="0.25">
      <c r="A3409" s="431">
        <v>36969</v>
      </c>
      <c r="B3409" s="432">
        <v>2282.96</v>
      </c>
      <c r="C3409" s="427">
        <f t="shared" si="106"/>
        <v>2001</v>
      </c>
      <c r="D3409" s="433">
        <f t="shared" si="107"/>
        <v>2282.96</v>
      </c>
    </row>
    <row r="3410" spans="1:4" ht="16.149999999999999" customHeight="1" x14ac:dyDescent="0.25">
      <c r="A3410" s="431">
        <v>36970</v>
      </c>
      <c r="B3410" s="434">
        <v>2282.96</v>
      </c>
      <c r="C3410" s="427">
        <f t="shared" si="106"/>
        <v>2001</v>
      </c>
      <c r="D3410" s="433">
        <f t="shared" si="107"/>
        <v>2282.96</v>
      </c>
    </row>
    <row r="3411" spans="1:4" ht="16.149999999999999" customHeight="1" x14ac:dyDescent="0.25">
      <c r="A3411" s="431">
        <v>36971</v>
      </c>
      <c r="B3411" s="432">
        <v>2282.17</v>
      </c>
      <c r="C3411" s="427">
        <f t="shared" si="106"/>
        <v>2001</v>
      </c>
      <c r="D3411" s="433">
        <f t="shared" si="107"/>
        <v>2282.17</v>
      </c>
    </row>
    <row r="3412" spans="1:4" ht="16.149999999999999" customHeight="1" x14ac:dyDescent="0.25">
      <c r="A3412" s="431">
        <v>36972</v>
      </c>
      <c r="B3412" s="434">
        <v>2284.04</v>
      </c>
      <c r="C3412" s="427">
        <f t="shared" si="106"/>
        <v>2001</v>
      </c>
      <c r="D3412" s="433">
        <f t="shared" si="107"/>
        <v>2284.04</v>
      </c>
    </row>
    <row r="3413" spans="1:4" ht="16.149999999999999" customHeight="1" x14ac:dyDescent="0.25">
      <c r="A3413" s="431">
        <v>36973</v>
      </c>
      <c r="B3413" s="432">
        <v>2290.02</v>
      </c>
      <c r="C3413" s="427">
        <f t="shared" si="106"/>
        <v>2001</v>
      </c>
      <c r="D3413" s="433">
        <f t="shared" si="107"/>
        <v>2290.02</v>
      </c>
    </row>
    <row r="3414" spans="1:4" ht="16.149999999999999" customHeight="1" x14ac:dyDescent="0.25">
      <c r="A3414" s="431">
        <v>36974</v>
      </c>
      <c r="B3414" s="434">
        <v>2295.7399999999998</v>
      </c>
      <c r="C3414" s="427">
        <f t="shared" si="106"/>
        <v>2001</v>
      </c>
      <c r="D3414" s="433">
        <f t="shared" si="107"/>
        <v>2295.7399999999998</v>
      </c>
    </row>
    <row r="3415" spans="1:4" ht="16.149999999999999" customHeight="1" x14ac:dyDescent="0.25">
      <c r="A3415" s="431">
        <v>36975</v>
      </c>
      <c r="B3415" s="432">
        <v>2295.7399999999998</v>
      </c>
      <c r="C3415" s="427">
        <f t="shared" si="106"/>
        <v>2001</v>
      </c>
      <c r="D3415" s="433">
        <f t="shared" si="107"/>
        <v>2295.7399999999998</v>
      </c>
    </row>
    <row r="3416" spans="1:4" ht="16.149999999999999" customHeight="1" x14ac:dyDescent="0.25">
      <c r="A3416" s="431">
        <v>36976</v>
      </c>
      <c r="B3416" s="434">
        <v>2295.7399999999998</v>
      </c>
      <c r="C3416" s="427">
        <f t="shared" si="106"/>
        <v>2001</v>
      </c>
      <c r="D3416" s="433">
        <f t="shared" si="107"/>
        <v>2295.7399999999998</v>
      </c>
    </row>
    <row r="3417" spans="1:4" ht="16.149999999999999" customHeight="1" x14ac:dyDescent="0.25">
      <c r="A3417" s="431">
        <v>36977</v>
      </c>
      <c r="B3417" s="432">
        <v>2293.9899999999998</v>
      </c>
      <c r="C3417" s="427">
        <f t="shared" si="106"/>
        <v>2001</v>
      </c>
      <c r="D3417" s="433">
        <f t="shared" si="107"/>
        <v>2293.9899999999998</v>
      </c>
    </row>
    <row r="3418" spans="1:4" ht="16.149999999999999" customHeight="1" x14ac:dyDescent="0.25">
      <c r="A3418" s="431">
        <v>36978</v>
      </c>
      <c r="B3418" s="434">
        <v>2299.6799999999998</v>
      </c>
      <c r="C3418" s="427">
        <f t="shared" si="106"/>
        <v>2001</v>
      </c>
      <c r="D3418" s="433">
        <f t="shared" si="107"/>
        <v>2299.6799999999998</v>
      </c>
    </row>
    <row r="3419" spans="1:4" ht="16.149999999999999" customHeight="1" x14ac:dyDescent="0.25">
      <c r="A3419" s="431">
        <v>36979</v>
      </c>
      <c r="B3419" s="432">
        <v>2303.86</v>
      </c>
      <c r="C3419" s="427">
        <f t="shared" si="106"/>
        <v>2001</v>
      </c>
      <c r="D3419" s="433">
        <f t="shared" si="107"/>
        <v>2303.86</v>
      </c>
    </row>
    <row r="3420" spans="1:4" ht="16.149999999999999" customHeight="1" x14ac:dyDescent="0.25">
      <c r="A3420" s="431">
        <v>36980</v>
      </c>
      <c r="B3420" s="434">
        <v>2309.83</v>
      </c>
      <c r="C3420" s="427">
        <f t="shared" si="106"/>
        <v>2001</v>
      </c>
      <c r="D3420" s="433">
        <f t="shared" si="107"/>
        <v>2309.83</v>
      </c>
    </row>
    <row r="3421" spans="1:4" ht="16.149999999999999" customHeight="1" x14ac:dyDescent="0.25">
      <c r="A3421" s="431">
        <v>36981</v>
      </c>
      <c r="B3421" s="432">
        <v>2310.5700000000002</v>
      </c>
      <c r="C3421" s="427">
        <f t="shared" si="106"/>
        <v>2001</v>
      </c>
      <c r="D3421" s="433">
        <f t="shared" si="107"/>
        <v>2310.5700000000002</v>
      </c>
    </row>
    <row r="3422" spans="1:4" ht="16.149999999999999" customHeight="1" x14ac:dyDescent="0.25">
      <c r="A3422" s="431">
        <v>36982</v>
      </c>
      <c r="B3422" s="434">
        <v>2310.5700000000002</v>
      </c>
      <c r="C3422" s="427">
        <f t="shared" si="106"/>
        <v>2001</v>
      </c>
      <c r="D3422" s="433">
        <f t="shared" si="107"/>
        <v>2310.5700000000002</v>
      </c>
    </row>
    <row r="3423" spans="1:4" ht="16.149999999999999" customHeight="1" x14ac:dyDescent="0.25">
      <c r="A3423" s="431">
        <v>36983</v>
      </c>
      <c r="B3423" s="432">
        <v>2310.5700000000002</v>
      </c>
      <c r="C3423" s="427">
        <f t="shared" si="106"/>
        <v>2001</v>
      </c>
      <c r="D3423" s="433">
        <f t="shared" si="107"/>
        <v>2310.5700000000002</v>
      </c>
    </row>
    <row r="3424" spans="1:4" ht="16.149999999999999" customHeight="1" x14ac:dyDescent="0.25">
      <c r="A3424" s="431">
        <v>36984</v>
      </c>
      <c r="B3424" s="434">
        <v>2304.19</v>
      </c>
      <c r="C3424" s="427">
        <f t="shared" si="106"/>
        <v>2001</v>
      </c>
      <c r="D3424" s="433">
        <f t="shared" si="107"/>
        <v>2304.19</v>
      </c>
    </row>
    <row r="3425" spans="1:4" ht="16.149999999999999" customHeight="1" x14ac:dyDescent="0.25">
      <c r="A3425" s="431">
        <v>36985</v>
      </c>
      <c r="B3425" s="432">
        <v>2308.64</v>
      </c>
      <c r="C3425" s="427">
        <f t="shared" si="106"/>
        <v>2001</v>
      </c>
      <c r="D3425" s="433">
        <f t="shared" si="107"/>
        <v>2308.64</v>
      </c>
    </row>
    <row r="3426" spans="1:4" ht="16.149999999999999" customHeight="1" x14ac:dyDescent="0.25">
      <c r="A3426" s="431">
        <v>36986</v>
      </c>
      <c r="B3426" s="434">
        <v>2315.81</v>
      </c>
      <c r="C3426" s="427">
        <f t="shared" si="106"/>
        <v>2001</v>
      </c>
      <c r="D3426" s="433">
        <f t="shared" si="107"/>
        <v>2315.81</v>
      </c>
    </row>
    <row r="3427" spans="1:4" ht="16.149999999999999" customHeight="1" x14ac:dyDescent="0.25">
      <c r="A3427" s="431">
        <v>36987</v>
      </c>
      <c r="B3427" s="432">
        <v>2317.46</v>
      </c>
      <c r="C3427" s="427">
        <f t="shared" si="106"/>
        <v>2001</v>
      </c>
      <c r="D3427" s="433">
        <f t="shared" si="107"/>
        <v>2317.46</v>
      </c>
    </row>
    <row r="3428" spans="1:4" ht="16.149999999999999" customHeight="1" x14ac:dyDescent="0.25">
      <c r="A3428" s="431">
        <v>36988</v>
      </c>
      <c r="B3428" s="434">
        <v>2318.58</v>
      </c>
      <c r="C3428" s="427">
        <f t="shared" si="106"/>
        <v>2001</v>
      </c>
      <c r="D3428" s="433">
        <f t="shared" si="107"/>
        <v>2318.58</v>
      </c>
    </row>
    <row r="3429" spans="1:4" ht="16.149999999999999" customHeight="1" x14ac:dyDescent="0.25">
      <c r="A3429" s="431">
        <v>36989</v>
      </c>
      <c r="B3429" s="432">
        <v>2318.58</v>
      </c>
      <c r="C3429" s="427">
        <f t="shared" si="106"/>
        <v>2001</v>
      </c>
      <c r="D3429" s="433">
        <f t="shared" si="107"/>
        <v>2318.58</v>
      </c>
    </row>
    <row r="3430" spans="1:4" ht="16.149999999999999" customHeight="1" x14ac:dyDescent="0.25">
      <c r="A3430" s="431">
        <v>36990</v>
      </c>
      <c r="B3430" s="434">
        <v>2318.58</v>
      </c>
      <c r="C3430" s="427">
        <f t="shared" si="106"/>
        <v>2001</v>
      </c>
      <c r="D3430" s="433">
        <f t="shared" si="107"/>
        <v>2318.58</v>
      </c>
    </row>
    <row r="3431" spans="1:4" ht="16.149999999999999" customHeight="1" x14ac:dyDescent="0.25">
      <c r="A3431" s="431">
        <v>36991</v>
      </c>
      <c r="B3431" s="432">
        <v>2315.21</v>
      </c>
      <c r="C3431" s="427">
        <f t="shared" si="106"/>
        <v>2001</v>
      </c>
      <c r="D3431" s="433">
        <f t="shared" si="107"/>
        <v>2315.21</v>
      </c>
    </row>
    <row r="3432" spans="1:4" ht="16.149999999999999" customHeight="1" x14ac:dyDescent="0.25">
      <c r="A3432" s="431">
        <v>36992</v>
      </c>
      <c r="B3432" s="434">
        <v>2309.84</v>
      </c>
      <c r="C3432" s="427">
        <f t="shared" si="106"/>
        <v>2001</v>
      </c>
      <c r="D3432" s="433">
        <f t="shared" si="107"/>
        <v>2309.84</v>
      </c>
    </row>
    <row r="3433" spans="1:4" ht="16.149999999999999" customHeight="1" x14ac:dyDescent="0.25">
      <c r="A3433" s="431">
        <v>36993</v>
      </c>
      <c r="B3433" s="432">
        <v>2314.0700000000002</v>
      </c>
      <c r="C3433" s="427">
        <f t="shared" si="106"/>
        <v>2001</v>
      </c>
      <c r="D3433" s="433">
        <f t="shared" si="107"/>
        <v>2314.0700000000002</v>
      </c>
    </row>
    <row r="3434" spans="1:4" ht="16.149999999999999" customHeight="1" x14ac:dyDescent="0.25">
      <c r="A3434" s="431">
        <v>36994</v>
      </c>
      <c r="B3434" s="434">
        <v>2314.0700000000002</v>
      </c>
      <c r="C3434" s="427">
        <f t="shared" si="106"/>
        <v>2001</v>
      </c>
      <c r="D3434" s="433">
        <f t="shared" si="107"/>
        <v>2314.0700000000002</v>
      </c>
    </row>
    <row r="3435" spans="1:4" ht="16.149999999999999" customHeight="1" x14ac:dyDescent="0.25">
      <c r="A3435" s="431">
        <v>36995</v>
      </c>
      <c r="B3435" s="432">
        <v>2314.0700000000002</v>
      </c>
      <c r="C3435" s="427">
        <f t="shared" si="106"/>
        <v>2001</v>
      </c>
      <c r="D3435" s="433">
        <f t="shared" si="107"/>
        <v>2314.0700000000002</v>
      </c>
    </row>
    <row r="3436" spans="1:4" ht="16.149999999999999" customHeight="1" x14ac:dyDescent="0.25">
      <c r="A3436" s="431">
        <v>36996</v>
      </c>
      <c r="B3436" s="434">
        <v>2314.0700000000002</v>
      </c>
      <c r="C3436" s="427">
        <f t="shared" si="106"/>
        <v>2001</v>
      </c>
      <c r="D3436" s="433">
        <f t="shared" si="107"/>
        <v>2314.0700000000002</v>
      </c>
    </row>
    <row r="3437" spans="1:4" ht="16.149999999999999" customHeight="1" x14ac:dyDescent="0.25">
      <c r="A3437" s="431">
        <v>36997</v>
      </c>
      <c r="B3437" s="432">
        <v>2314.0700000000002</v>
      </c>
      <c r="C3437" s="427">
        <f t="shared" si="106"/>
        <v>2001</v>
      </c>
      <c r="D3437" s="433">
        <f t="shared" si="107"/>
        <v>2314.0700000000002</v>
      </c>
    </row>
    <row r="3438" spans="1:4" ht="16.149999999999999" customHeight="1" x14ac:dyDescent="0.25">
      <c r="A3438" s="431">
        <v>36998</v>
      </c>
      <c r="B3438" s="434">
        <v>2320.1799999999998</v>
      </c>
      <c r="C3438" s="427">
        <f t="shared" si="106"/>
        <v>2001</v>
      </c>
      <c r="D3438" s="433">
        <f t="shared" si="107"/>
        <v>2320.1799999999998</v>
      </c>
    </row>
    <row r="3439" spans="1:4" ht="16.149999999999999" customHeight="1" x14ac:dyDescent="0.25">
      <c r="A3439" s="431">
        <v>36999</v>
      </c>
      <c r="B3439" s="432">
        <v>2319.5700000000002</v>
      </c>
      <c r="C3439" s="427">
        <f t="shared" si="106"/>
        <v>2001</v>
      </c>
      <c r="D3439" s="433">
        <f t="shared" si="107"/>
        <v>2319.5700000000002</v>
      </c>
    </row>
    <row r="3440" spans="1:4" ht="16.149999999999999" customHeight="1" x14ac:dyDescent="0.25">
      <c r="A3440" s="431">
        <v>37000</v>
      </c>
      <c r="B3440" s="434">
        <v>2316.91</v>
      </c>
      <c r="C3440" s="427">
        <f t="shared" si="106"/>
        <v>2001</v>
      </c>
      <c r="D3440" s="433">
        <f t="shared" si="107"/>
        <v>2316.91</v>
      </c>
    </row>
    <row r="3441" spans="1:4" ht="16.149999999999999" customHeight="1" x14ac:dyDescent="0.25">
      <c r="A3441" s="431">
        <v>37001</v>
      </c>
      <c r="B3441" s="432">
        <v>2327.08</v>
      </c>
      <c r="C3441" s="427">
        <f t="shared" si="106"/>
        <v>2001</v>
      </c>
      <c r="D3441" s="433">
        <f t="shared" si="107"/>
        <v>2327.08</v>
      </c>
    </row>
    <row r="3442" spans="1:4" ht="16.149999999999999" customHeight="1" x14ac:dyDescent="0.25">
      <c r="A3442" s="431">
        <v>37002</v>
      </c>
      <c r="B3442" s="434">
        <v>2329.73</v>
      </c>
      <c r="C3442" s="427">
        <f t="shared" si="106"/>
        <v>2001</v>
      </c>
      <c r="D3442" s="433">
        <f t="shared" si="107"/>
        <v>2329.73</v>
      </c>
    </row>
    <row r="3443" spans="1:4" ht="16.149999999999999" customHeight="1" x14ac:dyDescent="0.25">
      <c r="A3443" s="431">
        <v>37003</v>
      </c>
      <c r="B3443" s="432">
        <v>2329.73</v>
      </c>
      <c r="C3443" s="427">
        <f t="shared" si="106"/>
        <v>2001</v>
      </c>
      <c r="D3443" s="433">
        <f t="shared" si="107"/>
        <v>2329.73</v>
      </c>
    </row>
    <row r="3444" spans="1:4" ht="16.149999999999999" customHeight="1" x14ac:dyDescent="0.25">
      <c r="A3444" s="431">
        <v>37004</v>
      </c>
      <c r="B3444" s="434">
        <v>2329.73</v>
      </c>
      <c r="C3444" s="427">
        <f t="shared" si="106"/>
        <v>2001</v>
      </c>
      <c r="D3444" s="433">
        <f t="shared" si="107"/>
        <v>2329.73</v>
      </c>
    </row>
    <row r="3445" spans="1:4" ht="16.149999999999999" customHeight="1" x14ac:dyDescent="0.25">
      <c r="A3445" s="431">
        <v>37005</v>
      </c>
      <c r="B3445" s="432">
        <v>2334.38</v>
      </c>
      <c r="C3445" s="427">
        <f t="shared" si="106"/>
        <v>2001</v>
      </c>
      <c r="D3445" s="433">
        <f t="shared" si="107"/>
        <v>2334.38</v>
      </c>
    </row>
    <row r="3446" spans="1:4" ht="16.149999999999999" customHeight="1" x14ac:dyDescent="0.25">
      <c r="A3446" s="431">
        <v>37006</v>
      </c>
      <c r="B3446" s="434">
        <v>2339.16</v>
      </c>
      <c r="C3446" s="427">
        <f t="shared" si="106"/>
        <v>2001</v>
      </c>
      <c r="D3446" s="433">
        <f t="shared" si="107"/>
        <v>2339.16</v>
      </c>
    </row>
    <row r="3447" spans="1:4" ht="16.149999999999999" customHeight="1" x14ac:dyDescent="0.25">
      <c r="A3447" s="431">
        <v>37007</v>
      </c>
      <c r="B3447" s="432">
        <v>2345.21</v>
      </c>
      <c r="C3447" s="427">
        <f t="shared" si="106"/>
        <v>2001</v>
      </c>
      <c r="D3447" s="433">
        <f t="shared" si="107"/>
        <v>2345.21</v>
      </c>
    </row>
    <row r="3448" spans="1:4" ht="16.149999999999999" customHeight="1" x14ac:dyDescent="0.25">
      <c r="A3448" s="431">
        <v>37008</v>
      </c>
      <c r="B3448" s="434">
        <v>2345.5700000000002</v>
      </c>
      <c r="C3448" s="427">
        <f t="shared" si="106"/>
        <v>2001</v>
      </c>
      <c r="D3448" s="433">
        <f t="shared" si="107"/>
        <v>2345.5700000000002</v>
      </c>
    </row>
    <row r="3449" spans="1:4" ht="16.149999999999999" customHeight="1" x14ac:dyDescent="0.25">
      <c r="A3449" s="431">
        <v>37009</v>
      </c>
      <c r="B3449" s="432">
        <v>2346.73</v>
      </c>
      <c r="C3449" s="427">
        <f t="shared" si="106"/>
        <v>2001</v>
      </c>
      <c r="D3449" s="433">
        <f t="shared" si="107"/>
        <v>2346.73</v>
      </c>
    </row>
    <row r="3450" spans="1:4" ht="16.149999999999999" customHeight="1" x14ac:dyDescent="0.25">
      <c r="A3450" s="431">
        <v>37010</v>
      </c>
      <c r="B3450" s="434">
        <v>2346.73</v>
      </c>
      <c r="C3450" s="427">
        <f t="shared" si="106"/>
        <v>2001</v>
      </c>
      <c r="D3450" s="433">
        <f t="shared" si="107"/>
        <v>2346.73</v>
      </c>
    </row>
    <row r="3451" spans="1:4" ht="16.149999999999999" customHeight="1" x14ac:dyDescent="0.25">
      <c r="A3451" s="431">
        <v>37011</v>
      </c>
      <c r="B3451" s="432">
        <v>2346.73</v>
      </c>
      <c r="C3451" s="427">
        <f t="shared" si="106"/>
        <v>2001</v>
      </c>
      <c r="D3451" s="433">
        <f t="shared" si="107"/>
        <v>2346.73</v>
      </c>
    </row>
    <row r="3452" spans="1:4" ht="16.149999999999999" customHeight="1" x14ac:dyDescent="0.25">
      <c r="A3452" s="431">
        <v>37012</v>
      </c>
      <c r="B3452" s="434">
        <v>2341.09</v>
      </c>
      <c r="C3452" s="427">
        <f t="shared" si="106"/>
        <v>2001</v>
      </c>
      <c r="D3452" s="433">
        <f t="shared" si="107"/>
        <v>2341.09</v>
      </c>
    </row>
    <row r="3453" spans="1:4" ht="16.149999999999999" customHeight="1" x14ac:dyDescent="0.25">
      <c r="A3453" s="431">
        <v>37013</v>
      </c>
      <c r="B3453" s="432">
        <v>2341.09</v>
      </c>
      <c r="C3453" s="427">
        <f t="shared" si="106"/>
        <v>2001</v>
      </c>
      <c r="D3453" s="433">
        <f t="shared" si="107"/>
        <v>2341.09</v>
      </c>
    </row>
    <row r="3454" spans="1:4" ht="16.149999999999999" customHeight="1" x14ac:dyDescent="0.25">
      <c r="A3454" s="431">
        <v>37014</v>
      </c>
      <c r="B3454" s="434">
        <v>2345.96</v>
      </c>
      <c r="C3454" s="427">
        <f t="shared" si="106"/>
        <v>2001</v>
      </c>
      <c r="D3454" s="433">
        <f t="shared" si="107"/>
        <v>2345.96</v>
      </c>
    </row>
    <row r="3455" spans="1:4" ht="16.149999999999999" customHeight="1" x14ac:dyDescent="0.25">
      <c r="A3455" s="431">
        <v>37015</v>
      </c>
      <c r="B3455" s="432">
        <v>2349.9499999999998</v>
      </c>
      <c r="C3455" s="427">
        <f t="shared" si="106"/>
        <v>2001</v>
      </c>
      <c r="D3455" s="433">
        <f t="shared" si="107"/>
        <v>2349.9499999999998</v>
      </c>
    </row>
    <row r="3456" spans="1:4" ht="16.149999999999999" customHeight="1" x14ac:dyDescent="0.25">
      <c r="A3456" s="431">
        <v>37016</v>
      </c>
      <c r="B3456" s="434">
        <v>2354.4699999999998</v>
      </c>
      <c r="C3456" s="427">
        <f t="shared" si="106"/>
        <v>2001</v>
      </c>
      <c r="D3456" s="433">
        <f t="shared" si="107"/>
        <v>2354.4699999999998</v>
      </c>
    </row>
    <row r="3457" spans="1:4" ht="16.149999999999999" customHeight="1" x14ac:dyDescent="0.25">
      <c r="A3457" s="431">
        <v>37017</v>
      </c>
      <c r="B3457" s="432">
        <v>2354.4699999999998</v>
      </c>
      <c r="C3457" s="427">
        <f t="shared" si="106"/>
        <v>2001</v>
      </c>
      <c r="D3457" s="433">
        <f t="shared" si="107"/>
        <v>2354.4699999999998</v>
      </c>
    </row>
    <row r="3458" spans="1:4" ht="16.149999999999999" customHeight="1" x14ac:dyDescent="0.25">
      <c r="A3458" s="431">
        <v>37018</v>
      </c>
      <c r="B3458" s="434">
        <v>2354.4699999999998</v>
      </c>
      <c r="C3458" s="427">
        <f t="shared" si="106"/>
        <v>2001</v>
      </c>
      <c r="D3458" s="433">
        <f t="shared" si="107"/>
        <v>2354.4699999999998</v>
      </c>
    </row>
    <row r="3459" spans="1:4" ht="16.149999999999999" customHeight="1" x14ac:dyDescent="0.25">
      <c r="A3459" s="431">
        <v>37019</v>
      </c>
      <c r="B3459" s="432">
        <v>2359.54</v>
      </c>
      <c r="C3459" s="427">
        <f t="shared" si="106"/>
        <v>2001</v>
      </c>
      <c r="D3459" s="433">
        <f t="shared" si="107"/>
        <v>2359.54</v>
      </c>
    </row>
    <row r="3460" spans="1:4" ht="16.149999999999999" customHeight="1" x14ac:dyDescent="0.25">
      <c r="A3460" s="431">
        <v>37020</v>
      </c>
      <c r="B3460" s="434">
        <v>2359.2199999999998</v>
      </c>
      <c r="C3460" s="427">
        <f t="shared" si="106"/>
        <v>2001</v>
      </c>
      <c r="D3460" s="433">
        <f t="shared" si="107"/>
        <v>2359.2199999999998</v>
      </c>
    </row>
    <row r="3461" spans="1:4" ht="16.149999999999999" customHeight="1" x14ac:dyDescent="0.25">
      <c r="A3461" s="431">
        <v>37021</v>
      </c>
      <c r="B3461" s="432">
        <v>2359.98</v>
      </c>
      <c r="C3461" s="427">
        <f t="shared" si="106"/>
        <v>2001</v>
      </c>
      <c r="D3461" s="433">
        <f t="shared" si="107"/>
        <v>2359.98</v>
      </c>
    </row>
    <row r="3462" spans="1:4" ht="16.149999999999999" customHeight="1" x14ac:dyDescent="0.25">
      <c r="A3462" s="431">
        <v>37022</v>
      </c>
      <c r="B3462" s="434">
        <v>2359.79</v>
      </c>
      <c r="C3462" s="427">
        <f t="shared" si="106"/>
        <v>2001</v>
      </c>
      <c r="D3462" s="433">
        <f t="shared" si="107"/>
        <v>2359.79</v>
      </c>
    </row>
    <row r="3463" spans="1:4" ht="16.149999999999999" customHeight="1" x14ac:dyDescent="0.25">
      <c r="A3463" s="431">
        <v>37023</v>
      </c>
      <c r="B3463" s="432">
        <v>2367.3000000000002</v>
      </c>
      <c r="C3463" s="427">
        <f t="shared" si="106"/>
        <v>2001</v>
      </c>
      <c r="D3463" s="433">
        <f t="shared" si="107"/>
        <v>2367.3000000000002</v>
      </c>
    </row>
    <row r="3464" spans="1:4" ht="16.149999999999999" customHeight="1" x14ac:dyDescent="0.25">
      <c r="A3464" s="431">
        <v>37024</v>
      </c>
      <c r="B3464" s="434">
        <v>2367.3000000000002</v>
      </c>
      <c r="C3464" s="427">
        <f t="shared" si="106"/>
        <v>2001</v>
      </c>
      <c r="D3464" s="433">
        <f t="shared" si="107"/>
        <v>2367.3000000000002</v>
      </c>
    </row>
    <row r="3465" spans="1:4" ht="16.149999999999999" customHeight="1" x14ac:dyDescent="0.25">
      <c r="A3465" s="431">
        <v>37025</v>
      </c>
      <c r="B3465" s="432">
        <v>2367.3000000000002</v>
      </c>
      <c r="C3465" s="427">
        <f t="shared" si="106"/>
        <v>2001</v>
      </c>
      <c r="D3465" s="433">
        <f t="shared" si="107"/>
        <v>2367.3000000000002</v>
      </c>
    </row>
    <row r="3466" spans="1:4" ht="16.149999999999999" customHeight="1" x14ac:dyDescent="0.25">
      <c r="A3466" s="431">
        <v>37026</v>
      </c>
      <c r="B3466" s="434">
        <v>2371.58</v>
      </c>
      <c r="C3466" s="427">
        <f t="shared" ref="C3466:C3529" si="108">YEAR(A3466)</f>
        <v>2001</v>
      </c>
      <c r="D3466" s="433">
        <f t="shared" ref="D3466:D3529" si="109">B3466</f>
        <v>2371.58</v>
      </c>
    </row>
    <row r="3467" spans="1:4" ht="16.149999999999999" customHeight="1" x14ac:dyDescent="0.25">
      <c r="A3467" s="431">
        <v>37027</v>
      </c>
      <c r="B3467" s="432">
        <v>2376.9299999999998</v>
      </c>
      <c r="C3467" s="427">
        <f t="shared" si="108"/>
        <v>2001</v>
      </c>
      <c r="D3467" s="433">
        <f t="shared" si="109"/>
        <v>2376.9299999999998</v>
      </c>
    </row>
    <row r="3468" spans="1:4" ht="16.149999999999999" customHeight="1" x14ac:dyDescent="0.25">
      <c r="A3468" s="431">
        <v>37028</v>
      </c>
      <c r="B3468" s="434">
        <v>2378.21</v>
      </c>
      <c r="C3468" s="427">
        <f t="shared" si="108"/>
        <v>2001</v>
      </c>
      <c r="D3468" s="433">
        <f t="shared" si="109"/>
        <v>2378.21</v>
      </c>
    </row>
    <row r="3469" spans="1:4" ht="16.149999999999999" customHeight="1" x14ac:dyDescent="0.25">
      <c r="A3469" s="431">
        <v>37029</v>
      </c>
      <c r="B3469" s="432">
        <v>2378.41</v>
      </c>
      <c r="C3469" s="427">
        <f t="shared" si="108"/>
        <v>2001</v>
      </c>
      <c r="D3469" s="433">
        <f t="shared" si="109"/>
        <v>2378.41</v>
      </c>
    </row>
    <row r="3470" spans="1:4" ht="16.149999999999999" customHeight="1" x14ac:dyDescent="0.25">
      <c r="A3470" s="431">
        <v>37030</v>
      </c>
      <c r="B3470" s="434">
        <v>2348.88</v>
      </c>
      <c r="C3470" s="427">
        <f t="shared" si="108"/>
        <v>2001</v>
      </c>
      <c r="D3470" s="433">
        <f t="shared" si="109"/>
        <v>2348.88</v>
      </c>
    </row>
    <row r="3471" spans="1:4" ht="16.149999999999999" customHeight="1" x14ac:dyDescent="0.25">
      <c r="A3471" s="431">
        <v>37031</v>
      </c>
      <c r="B3471" s="432">
        <v>2348.88</v>
      </c>
      <c r="C3471" s="427">
        <f t="shared" si="108"/>
        <v>2001</v>
      </c>
      <c r="D3471" s="433">
        <f t="shared" si="109"/>
        <v>2348.88</v>
      </c>
    </row>
    <row r="3472" spans="1:4" ht="16.149999999999999" customHeight="1" x14ac:dyDescent="0.25">
      <c r="A3472" s="431">
        <v>37032</v>
      </c>
      <c r="B3472" s="434">
        <v>2348.88</v>
      </c>
      <c r="C3472" s="427">
        <f t="shared" si="108"/>
        <v>2001</v>
      </c>
      <c r="D3472" s="433">
        <f t="shared" si="109"/>
        <v>2348.88</v>
      </c>
    </row>
    <row r="3473" spans="1:4" ht="16.149999999999999" customHeight="1" x14ac:dyDescent="0.25">
      <c r="A3473" s="431">
        <v>37033</v>
      </c>
      <c r="B3473" s="432">
        <v>2314.75</v>
      </c>
      <c r="C3473" s="427">
        <f t="shared" si="108"/>
        <v>2001</v>
      </c>
      <c r="D3473" s="433">
        <f t="shared" si="109"/>
        <v>2314.75</v>
      </c>
    </row>
    <row r="3474" spans="1:4" ht="16.149999999999999" customHeight="1" x14ac:dyDescent="0.25">
      <c r="A3474" s="431">
        <v>37034</v>
      </c>
      <c r="B3474" s="434">
        <v>2316.7199999999998</v>
      </c>
      <c r="C3474" s="427">
        <f t="shared" si="108"/>
        <v>2001</v>
      </c>
      <c r="D3474" s="433">
        <f t="shared" si="109"/>
        <v>2316.7199999999998</v>
      </c>
    </row>
    <row r="3475" spans="1:4" ht="16.149999999999999" customHeight="1" x14ac:dyDescent="0.25">
      <c r="A3475" s="431">
        <v>37035</v>
      </c>
      <c r="B3475" s="432">
        <v>2295.23</v>
      </c>
      <c r="C3475" s="427">
        <f t="shared" si="108"/>
        <v>2001</v>
      </c>
      <c r="D3475" s="433">
        <f t="shared" si="109"/>
        <v>2295.23</v>
      </c>
    </row>
    <row r="3476" spans="1:4" ht="16.149999999999999" customHeight="1" x14ac:dyDescent="0.25">
      <c r="A3476" s="431">
        <v>37036</v>
      </c>
      <c r="B3476" s="434">
        <v>2310.64</v>
      </c>
      <c r="C3476" s="427">
        <f t="shared" si="108"/>
        <v>2001</v>
      </c>
      <c r="D3476" s="433">
        <f t="shared" si="109"/>
        <v>2310.64</v>
      </c>
    </row>
    <row r="3477" spans="1:4" ht="16.149999999999999" customHeight="1" x14ac:dyDescent="0.25">
      <c r="A3477" s="431">
        <v>37037</v>
      </c>
      <c r="B3477" s="432">
        <v>2339.98</v>
      </c>
      <c r="C3477" s="427">
        <f t="shared" si="108"/>
        <v>2001</v>
      </c>
      <c r="D3477" s="433">
        <f t="shared" si="109"/>
        <v>2339.98</v>
      </c>
    </row>
    <row r="3478" spans="1:4" ht="16.149999999999999" customHeight="1" x14ac:dyDescent="0.25">
      <c r="A3478" s="431">
        <v>37038</v>
      </c>
      <c r="B3478" s="434">
        <v>2339.98</v>
      </c>
      <c r="C3478" s="427">
        <f t="shared" si="108"/>
        <v>2001</v>
      </c>
      <c r="D3478" s="433">
        <f t="shared" si="109"/>
        <v>2339.98</v>
      </c>
    </row>
    <row r="3479" spans="1:4" ht="16.149999999999999" customHeight="1" x14ac:dyDescent="0.25">
      <c r="A3479" s="431">
        <v>37039</v>
      </c>
      <c r="B3479" s="432">
        <v>2339.98</v>
      </c>
      <c r="C3479" s="427">
        <f t="shared" si="108"/>
        <v>2001</v>
      </c>
      <c r="D3479" s="433">
        <f t="shared" si="109"/>
        <v>2339.98</v>
      </c>
    </row>
    <row r="3480" spans="1:4" ht="16.149999999999999" customHeight="1" x14ac:dyDescent="0.25">
      <c r="A3480" s="431">
        <v>37040</v>
      </c>
      <c r="B3480" s="434">
        <v>2339.98</v>
      </c>
      <c r="C3480" s="427">
        <f t="shared" si="108"/>
        <v>2001</v>
      </c>
      <c r="D3480" s="433">
        <f t="shared" si="109"/>
        <v>2339.98</v>
      </c>
    </row>
    <row r="3481" spans="1:4" ht="16.149999999999999" customHeight="1" x14ac:dyDescent="0.25">
      <c r="A3481" s="431">
        <v>37041</v>
      </c>
      <c r="B3481" s="432">
        <v>2331.91</v>
      </c>
      <c r="C3481" s="427">
        <f t="shared" si="108"/>
        <v>2001</v>
      </c>
      <c r="D3481" s="433">
        <f t="shared" si="109"/>
        <v>2331.91</v>
      </c>
    </row>
    <row r="3482" spans="1:4" ht="16.149999999999999" customHeight="1" x14ac:dyDescent="0.25">
      <c r="A3482" s="431">
        <v>37042</v>
      </c>
      <c r="B3482" s="434">
        <v>2324.98</v>
      </c>
      <c r="C3482" s="427">
        <f t="shared" si="108"/>
        <v>2001</v>
      </c>
      <c r="D3482" s="433">
        <f t="shared" si="109"/>
        <v>2324.98</v>
      </c>
    </row>
    <row r="3483" spans="1:4" ht="16.149999999999999" customHeight="1" x14ac:dyDescent="0.25">
      <c r="A3483" s="431">
        <v>37043</v>
      </c>
      <c r="B3483" s="432">
        <v>2327.25</v>
      </c>
      <c r="C3483" s="427">
        <f t="shared" si="108"/>
        <v>2001</v>
      </c>
      <c r="D3483" s="433">
        <f t="shared" si="109"/>
        <v>2327.25</v>
      </c>
    </row>
    <row r="3484" spans="1:4" ht="16.149999999999999" customHeight="1" x14ac:dyDescent="0.25">
      <c r="A3484" s="431">
        <v>37044</v>
      </c>
      <c r="B3484" s="434">
        <v>2319.16</v>
      </c>
      <c r="C3484" s="427">
        <f t="shared" si="108"/>
        <v>2001</v>
      </c>
      <c r="D3484" s="433">
        <f t="shared" si="109"/>
        <v>2319.16</v>
      </c>
    </row>
    <row r="3485" spans="1:4" ht="16.149999999999999" customHeight="1" x14ac:dyDescent="0.25">
      <c r="A3485" s="431">
        <v>37045</v>
      </c>
      <c r="B3485" s="432">
        <v>2319.16</v>
      </c>
      <c r="C3485" s="427">
        <f t="shared" si="108"/>
        <v>2001</v>
      </c>
      <c r="D3485" s="433">
        <f t="shared" si="109"/>
        <v>2319.16</v>
      </c>
    </row>
    <row r="3486" spans="1:4" ht="16.149999999999999" customHeight="1" x14ac:dyDescent="0.25">
      <c r="A3486" s="431">
        <v>37046</v>
      </c>
      <c r="B3486" s="434">
        <v>2319.16</v>
      </c>
      <c r="C3486" s="427">
        <f t="shared" si="108"/>
        <v>2001</v>
      </c>
      <c r="D3486" s="433">
        <f t="shared" si="109"/>
        <v>2319.16</v>
      </c>
    </row>
    <row r="3487" spans="1:4" ht="16.149999999999999" customHeight="1" x14ac:dyDescent="0.25">
      <c r="A3487" s="431">
        <v>37047</v>
      </c>
      <c r="B3487" s="432">
        <v>2296.88</v>
      </c>
      <c r="C3487" s="427">
        <f t="shared" si="108"/>
        <v>2001</v>
      </c>
      <c r="D3487" s="433">
        <f t="shared" si="109"/>
        <v>2296.88</v>
      </c>
    </row>
    <row r="3488" spans="1:4" ht="16.149999999999999" customHeight="1" x14ac:dyDescent="0.25">
      <c r="A3488" s="431">
        <v>37048</v>
      </c>
      <c r="B3488" s="434">
        <v>2303.37</v>
      </c>
      <c r="C3488" s="427">
        <f t="shared" si="108"/>
        <v>2001</v>
      </c>
      <c r="D3488" s="433">
        <f t="shared" si="109"/>
        <v>2303.37</v>
      </c>
    </row>
    <row r="3489" spans="1:4" ht="16.149999999999999" customHeight="1" x14ac:dyDescent="0.25">
      <c r="A3489" s="431">
        <v>37049</v>
      </c>
      <c r="B3489" s="432">
        <v>2303.38</v>
      </c>
      <c r="C3489" s="427">
        <f t="shared" si="108"/>
        <v>2001</v>
      </c>
      <c r="D3489" s="433">
        <f t="shared" si="109"/>
        <v>2303.38</v>
      </c>
    </row>
    <row r="3490" spans="1:4" ht="16.149999999999999" customHeight="1" x14ac:dyDescent="0.25">
      <c r="A3490" s="431">
        <v>37050</v>
      </c>
      <c r="B3490" s="434">
        <v>2303.41</v>
      </c>
      <c r="C3490" s="427">
        <f t="shared" si="108"/>
        <v>2001</v>
      </c>
      <c r="D3490" s="433">
        <f t="shared" si="109"/>
        <v>2303.41</v>
      </c>
    </row>
    <row r="3491" spans="1:4" ht="16.149999999999999" customHeight="1" x14ac:dyDescent="0.25">
      <c r="A3491" s="431">
        <v>37051</v>
      </c>
      <c r="B3491" s="432">
        <v>2296.31</v>
      </c>
      <c r="C3491" s="427">
        <f t="shared" si="108"/>
        <v>2001</v>
      </c>
      <c r="D3491" s="433">
        <f t="shared" si="109"/>
        <v>2296.31</v>
      </c>
    </row>
    <row r="3492" spans="1:4" ht="16.149999999999999" customHeight="1" x14ac:dyDescent="0.25">
      <c r="A3492" s="431">
        <v>37052</v>
      </c>
      <c r="B3492" s="434">
        <v>2296.31</v>
      </c>
      <c r="C3492" s="427">
        <f t="shared" si="108"/>
        <v>2001</v>
      </c>
      <c r="D3492" s="433">
        <f t="shared" si="109"/>
        <v>2296.31</v>
      </c>
    </row>
    <row r="3493" spans="1:4" ht="16.149999999999999" customHeight="1" x14ac:dyDescent="0.25">
      <c r="A3493" s="431">
        <v>37053</v>
      </c>
      <c r="B3493" s="432">
        <v>2296.31</v>
      </c>
      <c r="C3493" s="427">
        <f t="shared" si="108"/>
        <v>2001</v>
      </c>
      <c r="D3493" s="433">
        <f t="shared" si="109"/>
        <v>2296.31</v>
      </c>
    </row>
    <row r="3494" spans="1:4" ht="16.149999999999999" customHeight="1" x14ac:dyDescent="0.25">
      <c r="A3494" s="431">
        <v>37054</v>
      </c>
      <c r="B3494" s="434">
        <v>2309.06</v>
      </c>
      <c r="C3494" s="427">
        <f t="shared" si="108"/>
        <v>2001</v>
      </c>
      <c r="D3494" s="433">
        <f t="shared" si="109"/>
        <v>2309.06</v>
      </c>
    </row>
    <row r="3495" spans="1:4" ht="16.149999999999999" customHeight="1" x14ac:dyDescent="0.25">
      <c r="A3495" s="431">
        <v>37055</v>
      </c>
      <c r="B3495" s="432">
        <v>2313.7399999999998</v>
      </c>
      <c r="C3495" s="427">
        <f t="shared" si="108"/>
        <v>2001</v>
      </c>
      <c r="D3495" s="433">
        <f t="shared" si="109"/>
        <v>2313.7399999999998</v>
      </c>
    </row>
    <row r="3496" spans="1:4" ht="16.149999999999999" customHeight="1" x14ac:dyDescent="0.25">
      <c r="A3496" s="431">
        <v>37056</v>
      </c>
      <c r="B3496" s="434">
        <v>2302.16</v>
      </c>
      <c r="C3496" s="427">
        <f t="shared" si="108"/>
        <v>2001</v>
      </c>
      <c r="D3496" s="433">
        <f t="shared" si="109"/>
        <v>2302.16</v>
      </c>
    </row>
    <row r="3497" spans="1:4" ht="16.149999999999999" customHeight="1" x14ac:dyDescent="0.25">
      <c r="A3497" s="431">
        <v>37057</v>
      </c>
      <c r="B3497" s="432">
        <v>2300.1799999999998</v>
      </c>
      <c r="C3497" s="427">
        <f t="shared" si="108"/>
        <v>2001</v>
      </c>
      <c r="D3497" s="433">
        <f t="shared" si="109"/>
        <v>2300.1799999999998</v>
      </c>
    </row>
    <row r="3498" spans="1:4" ht="16.149999999999999" customHeight="1" x14ac:dyDescent="0.25">
      <c r="A3498" s="431">
        <v>37058</v>
      </c>
      <c r="B3498" s="434">
        <v>2303.13</v>
      </c>
      <c r="C3498" s="427">
        <f t="shared" si="108"/>
        <v>2001</v>
      </c>
      <c r="D3498" s="433">
        <f t="shared" si="109"/>
        <v>2303.13</v>
      </c>
    </row>
    <row r="3499" spans="1:4" ht="16.149999999999999" customHeight="1" x14ac:dyDescent="0.25">
      <c r="A3499" s="431">
        <v>37059</v>
      </c>
      <c r="B3499" s="432">
        <v>2303.13</v>
      </c>
      <c r="C3499" s="427">
        <f t="shared" si="108"/>
        <v>2001</v>
      </c>
      <c r="D3499" s="433">
        <f t="shared" si="109"/>
        <v>2303.13</v>
      </c>
    </row>
    <row r="3500" spans="1:4" ht="16.149999999999999" customHeight="1" x14ac:dyDescent="0.25">
      <c r="A3500" s="431">
        <v>37060</v>
      </c>
      <c r="B3500" s="434">
        <v>2303.13</v>
      </c>
      <c r="C3500" s="427">
        <f t="shared" si="108"/>
        <v>2001</v>
      </c>
      <c r="D3500" s="433">
        <f t="shared" si="109"/>
        <v>2303.13</v>
      </c>
    </row>
    <row r="3501" spans="1:4" ht="16.149999999999999" customHeight="1" x14ac:dyDescent="0.25">
      <c r="A3501" s="431">
        <v>37061</v>
      </c>
      <c r="B3501" s="432">
        <v>2303.13</v>
      </c>
      <c r="C3501" s="427">
        <f t="shared" si="108"/>
        <v>2001</v>
      </c>
      <c r="D3501" s="433">
        <f t="shared" si="109"/>
        <v>2303.13</v>
      </c>
    </row>
    <row r="3502" spans="1:4" ht="16.149999999999999" customHeight="1" x14ac:dyDescent="0.25">
      <c r="A3502" s="431">
        <v>37062</v>
      </c>
      <c r="B3502" s="434">
        <v>2307.7800000000002</v>
      </c>
      <c r="C3502" s="427">
        <f t="shared" si="108"/>
        <v>2001</v>
      </c>
      <c r="D3502" s="433">
        <f t="shared" si="109"/>
        <v>2307.7800000000002</v>
      </c>
    </row>
    <row r="3503" spans="1:4" ht="16.149999999999999" customHeight="1" x14ac:dyDescent="0.25">
      <c r="A3503" s="431">
        <v>37063</v>
      </c>
      <c r="B3503" s="432">
        <v>2305.35</v>
      </c>
      <c r="C3503" s="427">
        <f t="shared" si="108"/>
        <v>2001</v>
      </c>
      <c r="D3503" s="433">
        <f t="shared" si="109"/>
        <v>2305.35</v>
      </c>
    </row>
    <row r="3504" spans="1:4" ht="16.149999999999999" customHeight="1" x14ac:dyDescent="0.25">
      <c r="A3504" s="431">
        <v>37064</v>
      </c>
      <c r="B3504" s="434">
        <v>2300.46</v>
      </c>
      <c r="C3504" s="427">
        <f t="shared" si="108"/>
        <v>2001</v>
      </c>
      <c r="D3504" s="433">
        <f t="shared" si="109"/>
        <v>2300.46</v>
      </c>
    </row>
    <row r="3505" spans="1:4" ht="16.149999999999999" customHeight="1" x14ac:dyDescent="0.25">
      <c r="A3505" s="431">
        <v>37065</v>
      </c>
      <c r="B3505" s="432">
        <v>2298.88</v>
      </c>
      <c r="C3505" s="427">
        <f t="shared" si="108"/>
        <v>2001</v>
      </c>
      <c r="D3505" s="433">
        <f t="shared" si="109"/>
        <v>2298.88</v>
      </c>
    </row>
    <row r="3506" spans="1:4" ht="16.149999999999999" customHeight="1" x14ac:dyDescent="0.25">
      <c r="A3506" s="431">
        <v>37066</v>
      </c>
      <c r="B3506" s="434">
        <v>2298.88</v>
      </c>
      <c r="C3506" s="427">
        <f t="shared" si="108"/>
        <v>2001</v>
      </c>
      <c r="D3506" s="433">
        <f t="shared" si="109"/>
        <v>2298.88</v>
      </c>
    </row>
    <row r="3507" spans="1:4" ht="16.149999999999999" customHeight="1" x14ac:dyDescent="0.25">
      <c r="A3507" s="431">
        <v>37067</v>
      </c>
      <c r="B3507" s="432">
        <v>2298.88</v>
      </c>
      <c r="C3507" s="427">
        <f t="shared" si="108"/>
        <v>2001</v>
      </c>
      <c r="D3507" s="433">
        <f t="shared" si="109"/>
        <v>2298.88</v>
      </c>
    </row>
    <row r="3508" spans="1:4" ht="16.149999999999999" customHeight="1" x14ac:dyDescent="0.25">
      <c r="A3508" s="431">
        <v>37068</v>
      </c>
      <c r="B3508" s="434">
        <v>2298.88</v>
      </c>
      <c r="C3508" s="427">
        <f t="shared" si="108"/>
        <v>2001</v>
      </c>
      <c r="D3508" s="433">
        <f t="shared" si="109"/>
        <v>2298.88</v>
      </c>
    </row>
    <row r="3509" spans="1:4" ht="16.149999999999999" customHeight="1" x14ac:dyDescent="0.25">
      <c r="A3509" s="431">
        <v>37069</v>
      </c>
      <c r="B3509" s="432">
        <v>2304.6799999999998</v>
      </c>
      <c r="C3509" s="427">
        <f t="shared" si="108"/>
        <v>2001</v>
      </c>
      <c r="D3509" s="433">
        <f t="shared" si="109"/>
        <v>2304.6799999999998</v>
      </c>
    </row>
    <row r="3510" spans="1:4" ht="16.149999999999999" customHeight="1" x14ac:dyDescent="0.25">
      <c r="A3510" s="431">
        <v>37070</v>
      </c>
      <c r="B3510" s="434">
        <v>2307.0300000000002</v>
      </c>
      <c r="C3510" s="427">
        <f t="shared" si="108"/>
        <v>2001</v>
      </c>
      <c r="D3510" s="433">
        <f t="shared" si="109"/>
        <v>2307.0300000000002</v>
      </c>
    </row>
    <row r="3511" spans="1:4" ht="16.149999999999999" customHeight="1" x14ac:dyDescent="0.25">
      <c r="A3511" s="431">
        <v>37071</v>
      </c>
      <c r="B3511" s="432">
        <v>2305.33</v>
      </c>
      <c r="C3511" s="427">
        <f t="shared" si="108"/>
        <v>2001</v>
      </c>
      <c r="D3511" s="433">
        <f t="shared" si="109"/>
        <v>2305.33</v>
      </c>
    </row>
    <row r="3512" spans="1:4" ht="16.149999999999999" customHeight="1" x14ac:dyDescent="0.25">
      <c r="A3512" s="431">
        <v>37072</v>
      </c>
      <c r="B3512" s="434">
        <v>2298.85</v>
      </c>
      <c r="C3512" s="427">
        <f t="shared" si="108"/>
        <v>2001</v>
      </c>
      <c r="D3512" s="433">
        <f t="shared" si="109"/>
        <v>2298.85</v>
      </c>
    </row>
    <row r="3513" spans="1:4" ht="16.149999999999999" customHeight="1" x14ac:dyDescent="0.25">
      <c r="A3513" s="431">
        <v>37073</v>
      </c>
      <c r="B3513" s="432">
        <v>2298.85</v>
      </c>
      <c r="C3513" s="427">
        <f t="shared" si="108"/>
        <v>2001</v>
      </c>
      <c r="D3513" s="433">
        <f t="shared" si="109"/>
        <v>2298.85</v>
      </c>
    </row>
    <row r="3514" spans="1:4" ht="16.149999999999999" customHeight="1" x14ac:dyDescent="0.25">
      <c r="A3514" s="431">
        <v>37074</v>
      </c>
      <c r="B3514" s="434">
        <v>2298.85</v>
      </c>
      <c r="C3514" s="427">
        <f t="shared" si="108"/>
        <v>2001</v>
      </c>
      <c r="D3514" s="433">
        <f t="shared" si="109"/>
        <v>2298.85</v>
      </c>
    </row>
    <row r="3515" spans="1:4" ht="16.149999999999999" customHeight="1" x14ac:dyDescent="0.25">
      <c r="A3515" s="431">
        <v>37075</v>
      </c>
      <c r="B3515" s="432">
        <v>2298.85</v>
      </c>
      <c r="C3515" s="427">
        <f t="shared" si="108"/>
        <v>2001</v>
      </c>
      <c r="D3515" s="433">
        <f t="shared" si="109"/>
        <v>2298.85</v>
      </c>
    </row>
    <row r="3516" spans="1:4" ht="16.149999999999999" customHeight="1" x14ac:dyDescent="0.25">
      <c r="A3516" s="431">
        <v>37076</v>
      </c>
      <c r="B3516" s="434">
        <v>2300.02</v>
      </c>
      <c r="C3516" s="427">
        <f t="shared" si="108"/>
        <v>2001</v>
      </c>
      <c r="D3516" s="433">
        <f t="shared" si="109"/>
        <v>2300.02</v>
      </c>
    </row>
    <row r="3517" spans="1:4" ht="16.149999999999999" customHeight="1" x14ac:dyDescent="0.25">
      <c r="A3517" s="431">
        <v>37077</v>
      </c>
      <c r="B3517" s="432">
        <v>2303.2600000000002</v>
      </c>
      <c r="C3517" s="427">
        <f t="shared" si="108"/>
        <v>2001</v>
      </c>
      <c r="D3517" s="433">
        <f t="shared" si="109"/>
        <v>2303.2600000000002</v>
      </c>
    </row>
    <row r="3518" spans="1:4" ht="16.149999999999999" customHeight="1" x14ac:dyDescent="0.25">
      <c r="A3518" s="431">
        <v>37078</v>
      </c>
      <c r="B3518" s="434">
        <v>2303.36</v>
      </c>
      <c r="C3518" s="427">
        <f t="shared" si="108"/>
        <v>2001</v>
      </c>
      <c r="D3518" s="433">
        <f t="shared" si="109"/>
        <v>2303.36</v>
      </c>
    </row>
    <row r="3519" spans="1:4" ht="16.149999999999999" customHeight="1" x14ac:dyDescent="0.25">
      <c r="A3519" s="431">
        <v>37079</v>
      </c>
      <c r="B3519" s="432">
        <v>2304.75</v>
      </c>
      <c r="C3519" s="427">
        <f t="shared" si="108"/>
        <v>2001</v>
      </c>
      <c r="D3519" s="433">
        <f t="shared" si="109"/>
        <v>2304.75</v>
      </c>
    </row>
    <row r="3520" spans="1:4" ht="16.149999999999999" customHeight="1" x14ac:dyDescent="0.25">
      <c r="A3520" s="431">
        <v>37080</v>
      </c>
      <c r="B3520" s="434">
        <v>2304.75</v>
      </c>
      <c r="C3520" s="427">
        <f t="shared" si="108"/>
        <v>2001</v>
      </c>
      <c r="D3520" s="433">
        <f t="shared" si="109"/>
        <v>2304.75</v>
      </c>
    </row>
    <row r="3521" spans="1:4" ht="16.149999999999999" customHeight="1" x14ac:dyDescent="0.25">
      <c r="A3521" s="431">
        <v>37081</v>
      </c>
      <c r="B3521" s="432">
        <v>2304.75</v>
      </c>
      <c r="C3521" s="427">
        <f t="shared" si="108"/>
        <v>2001</v>
      </c>
      <c r="D3521" s="433">
        <f t="shared" si="109"/>
        <v>2304.75</v>
      </c>
    </row>
    <row r="3522" spans="1:4" ht="16.149999999999999" customHeight="1" x14ac:dyDescent="0.25">
      <c r="A3522" s="431">
        <v>37082</v>
      </c>
      <c r="B3522" s="434">
        <v>2305.37</v>
      </c>
      <c r="C3522" s="427">
        <f t="shared" si="108"/>
        <v>2001</v>
      </c>
      <c r="D3522" s="433">
        <f t="shared" si="109"/>
        <v>2305.37</v>
      </c>
    </row>
    <row r="3523" spans="1:4" ht="16.149999999999999" customHeight="1" x14ac:dyDescent="0.25">
      <c r="A3523" s="431">
        <v>37083</v>
      </c>
      <c r="B3523" s="432">
        <v>2306.16</v>
      </c>
      <c r="C3523" s="427">
        <f t="shared" si="108"/>
        <v>2001</v>
      </c>
      <c r="D3523" s="433">
        <f t="shared" si="109"/>
        <v>2306.16</v>
      </c>
    </row>
    <row r="3524" spans="1:4" ht="16.149999999999999" customHeight="1" x14ac:dyDescent="0.25">
      <c r="A3524" s="431">
        <v>37084</v>
      </c>
      <c r="B3524" s="434">
        <v>2312.21</v>
      </c>
      <c r="C3524" s="427">
        <f t="shared" si="108"/>
        <v>2001</v>
      </c>
      <c r="D3524" s="433">
        <f t="shared" si="109"/>
        <v>2312.21</v>
      </c>
    </row>
    <row r="3525" spans="1:4" ht="16.149999999999999" customHeight="1" x14ac:dyDescent="0.25">
      <c r="A3525" s="431">
        <v>37085</v>
      </c>
      <c r="B3525" s="432">
        <v>2323.9899999999998</v>
      </c>
      <c r="C3525" s="427">
        <f t="shared" si="108"/>
        <v>2001</v>
      </c>
      <c r="D3525" s="433">
        <f t="shared" si="109"/>
        <v>2323.9899999999998</v>
      </c>
    </row>
    <row r="3526" spans="1:4" ht="16.149999999999999" customHeight="1" x14ac:dyDescent="0.25">
      <c r="A3526" s="431">
        <v>37086</v>
      </c>
      <c r="B3526" s="434">
        <v>2317.92</v>
      </c>
      <c r="C3526" s="427">
        <f t="shared" si="108"/>
        <v>2001</v>
      </c>
      <c r="D3526" s="433">
        <f t="shared" si="109"/>
        <v>2317.92</v>
      </c>
    </row>
    <row r="3527" spans="1:4" ht="16.149999999999999" customHeight="1" x14ac:dyDescent="0.25">
      <c r="A3527" s="431">
        <v>37087</v>
      </c>
      <c r="B3527" s="432">
        <v>2317.92</v>
      </c>
      <c r="C3527" s="427">
        <f t="shared" si="108"/>
        <v>2001</v>
      </c>
      <c r="D3527" s="433">
        <f t="shared" si="109"/>
        <v>2317.92</v>
      </c>
    </row>
    <row r="3528" spans="1:4" ht="16.149999999999999" customHeight="1" x14ac:dyDescent="0.25">
      <c r="A3528" s="431">
        <v>37088</v>
      </c>
      <c r="B3528" s="434">
        <v>2317.92</v>
      </c>
      <c r="C3528" s="427">
        <f t="shared" si="108"/>
        <v>2001</v>
      </c>
      <c r="D3528" s="433">
        <f t="shared" si="109"/>
        <v>2317.92</v>
      </c>
    </row>
    <row r="3529" spans="1:4" ht="16.149999999999999" customHeight="1" x14ac:dyDescent="0.25">
      <c r="A3529" s="431">
        <v>37089</v>
      </c>
      <c r="B3529" s="432">
        <v>2302.56</v>
      </c>
      <c r="C3529" s="427">
        <f t="shared" si="108"/>
        <v>2001</v>
      </c>
      <c r="D3529" s="433">
        <f t="shared" si="109"/>
        <v>2302.56</v>
      </c>
    </row>
    <row r="3530" spans="1:4" ht="16.149999999999999" customHeight="1" x14ac:dyDescent="0.25">
      <c r="A3530" s="431">
        <v>37090</v>
      </c>
      <c r="B3530" s="434">
        <v>2298.7600000000002</v>
      </c>
      <c r="C3530" s="427">
        <f t="shared" ref="C3530:C3593" si="110">YEAR(A3530)</f>
        <v>2001</v>
      </c>
      <c r="D3530" s="433">
        <f t="shared" ref="D3530:D3593" si="111">B3530</f>
        <v>2298.7600000000002</v>
      </c>
    </row>
    <row r="3531" spans="1:4" ht="16.149999999999999" customHeight="1" x14ac:dyDescent="0.25">
      <c r="A3531" s="431">
        <v>37091</v>
      </c>
      <c r="B3531" s="432">
        <v>2298.63</v>
      </c>
      <c r="C3531" s="427">
        <f t="shared" si="110"/>
        <v>2001</v>
      </c>
      <c r="D3531" s="433">
        <f t="shared" si="111"/>
        <v>2298.63</v>
      </c>
    </row>
    <row r="3532" spans="1:4" ht="16.149999999999999" customHeight="1" x14ac:dyDescent="0.25">
      <c r="A3532" s="431">
        <v>37092</v>
      </c>
      <c r="B3532" s="434">
        <v>2301.67</v>
      </c>
      <c r="C3532" s="427">
        <f t="shared" si="110"/>
        <v>2001</v>
      </c>
      <c r="D3532" s="433">
        <f t="shared" si="111"/>
        <v>2301.67</v>
      </c>
    </row>
    <row r="3533" spans="1:4" ht="16.149999999999999" customHeight="1" x14ac:dyDescent="0.25">
      <c r="A3533" s="431">
        <v>37093</v>
      </c>
      <c r="B3533" s="432">
        <v>2301.67</v>
      </c>
      <c r="C3533" s="427">
        <f t="shared" si="110"/>
        <v>2001</v>
      </c>
      <c r="D3533" s="433">
        <f t="shared" si="111"/>
        <v>2301.67</v>
      </c>
    </row>
    <row r="3534" spans="1:4" ht="16.149999999999999" customHeight="1" x14ac:dyDescent="0.25">
      <c r="A3534" s="431">
        <v>37094</v>
      </c>
      <c r="B3534" s="434">
        <v>2301.67</v>
      </c>
      <c r="C3534" s="427">
        <f t="shared" si="110"/>
        <v>2001</v>
      </c>
      <c r="D3534" s="433">
        <f t="shared" si="111"/>
        <v>2301.67</v>
      </c>
    </row>
    <row r="3535" spans="1:4" ht="16.149999999999999" customHeight="1" x14ac:dyDescent="0.25">
      <c r="A3535" s="431">
        <v>37095</v>
      </c>
      <c r="B3535" s="432">
        <v>2301.67</v>
      </c>
      <c r="C3535" s="427">
        <f t="shared" si="110"/>
        <v>2001</v>
      </c>
      <c r="D3535" s="433">
        <f t="shared" si="111"/>
        <v>2301.67</v>
      </c>
    </row>
    <row r="3536" spans="1:4" ht="16.149999999999999" customHeight="1" x14ac:dyDescent="0.25">
      <c r="A3536" s="431">
        <v>37096</v>
      </c>
      <c r="B3536" s="434">
        <v>2302.2600000000002</v>
      </c>
      <c r="C3536" s="427">
        <f t="shared" si="110"/>
        <v>2001</v>
      </c>
      <c r="D3536" s="433">
        <f t="shared" si="111"/>
        <v>2302.2600000000002</v>
      </c>
    </row>
    <row r="3537" spans="1:4" ht="16.149999999999999" customHeight="1" x14ac:dyDescent="0.25">
      <c r="A3537" s="431">
        <v>37097</v>
      </c>
      <c r="B3537" s="432">
        <v>2301.56</v>
      </c>
      <c r="C3537" s="427">
        <f t="shared" si="110"/>
        <v>2001</v>
      </c>
      <c r="D3537" s="433">
        <f t="shared" si="111"/>
        <v>2301.56</v>
      </c>
    </row>
    <row r="3538" spans="1:4" ht="16.149999999999999" customHeight="1" x14ac:dyDescent="0.25">
      <c r="A3538" s="431">
        <v>37098</v>
      </c>
      <c r="B3538" s="434">
        <v>2302.6999999999998</v>
      </c>
      <c r="C3538" s="427">
        <f t="shared" si="110"/>
        <v>2001</v>
      </c>
      <c r="D3538" s="433">
        <f t="shared" si="111"/>
        <v>2302.6999999999998</v>
      </c>
    </row>
    <row r="3539" spans="1:4" ht="16.149999999999999" customHeight="1" x14ac:dyDescent="0.25">
      <c r="A3539" s="431">
        <v>37099</v>
      </c>
      <c r="B3539" s="432">
        <v>2301.5300000000002</v>
      </c>
      <c r="C3539" s="427">
        <f t="shared" si="110"/>
        <v>2001</v>
      </c>
      <c r="D3539" s="433">
        <f t="shared" si="111"/>
        <v>2301.5300000000002</v>
      </c>
    </row>
    <row r="3540" spans="1:4" ht="16.149999999999999" customHeight="1" x14ac:dyDescent="0.25">
      <c r="A3540" s="431">
        <v>37100</v>
      </c>
      <c r="B3540" s="434">
        <v>2301.6999999999998</v>
      </c>
      <c r="C3540" s="427">
        <f t="shared" si="110"/>
        <v>2001</v>
      </c>
      <c r="D3540" s="433">
        <f t="shared" si="111"/>
        <v>2301.6999999999998</v>
      </c>
    </row>
    <row r="3541" spans="1:4" ht="16.149999999999999" customHeight="1" x14ac:dyDescent="0.25">
      <c r="A3541" s="431">
        <v>37101</v>
      </c>
      <c r="B3541" s="432">
        <v>2301.6999999999998</v>
      </c>
      <c r="C3541" s="427">
        <f t="shared" si="110"/>
        <v>2001</v>
      </c>
      <c r="D3541" s="433">
        <f t="shared" si="111"/>
        <v>2301.6999999999998</v>
      </c>
    </row>
    <row r="3542" spans="1:4" ht="16.149999999999999" customHeight="1" x14ac:dyDescent="0.25">
      <c r="A3542" s="431">
        <v>37102</v>
      </c>
      <c r="B3542" s="434">
        <v>2301.6999999999998</v>
      </c>
      <c r="C3542" s="427">
        <f t="shared" si="110"/>
        <v>2001</v>
      </c>
      <c r="D3542" s="433">
        <f t="shared" si="111"/>
        <v>2301.6999999999998</v>
      </c>
    </row>
    <row r="3543" spans="1:4" ht="16.149999999999999" customHeight="1" x14ac:dyDescent="0.25">
      <c r="A3543" s="431">
        <v>37103</v>
      </c>
      <c r="B3543" s="432">
        <v>2298.27</v>
      </c>
      <c r="C3543" s="427">
        <f t="shared" si="110"/>
        <v>2001</v>
      </c>
      <c r="D3543" s="433">
        <f t="shared" si="111"/>
        <v>2298.27</v>
      </c>
    </row>
    <row r="3544" spans="1:4" ht="16.149999999999999" customHeight="1" x14ac:dyDescent="0.25">
      <c r="A3544" s="431">
        <v>37104</v>
      </c>
      <c r="B3544" s="434">
        <v>2293.25</v>
      </c>
      <c r="C3544" s="427">
        <f t="shared" si="110"/>
        <v>2001</v>
      </c>
      <c r="D3544" s="433">
        <f t="shared" si="111"/>
        <v>2293.25</v>
      </c>
    </row>
    <row r="3545" spans="1:4" ht="16.149999999999999" customHeight="1" x14ac:dyDescent="0.25">
      <c r="A3545" s="431">
        <v>37105</v>
      </c>
      <c r="B3545" s="432">
        <v>2295.19</v>
      </c>
      <c r="C3545" s="427">
        <f t="shared" si="110"/>
        <v>2001</v>
      </c>
      <c r="D3545" s="433">
        <f t="shared" si="111"/>
        <v>2295.19</v>
      </c>
    </row>
    <row r="3546" spans="1:4" ht="16.149999999999999" customHeight="1" x14ac:dyDescent="0.25">
      <c r="A3546" s="431">
        <v>37106</v>
      </c>
      <c r="B3546" s="434">
        <v>2298.91</v>
      </c>
      <c r="C3546" s="427">
        <f t="shared" si="110"/>
        <v>2001</v>
      </c>
      <c r="D3546" s="433">
        <f t="shared" si="111"/>
        <v>2298.91</v>
      </c>
    </row>
    <row r="3547" spans="1:4" ht="16.149999999999999" customHeight="1" x14ac:dyDescent="0.25">
      <c r="A3547" s="431">
        <v>37107</v>
      </c>
      <c r="B3547" s="432">
        <v>2295.7199999999998</v>
      </c>
      <c r="C3547" s="427">
        <f t="shared" si="110"/>
        <v>2001</v>
      </c>
      <c r="D3547" s="433">
        <f t="shared" si="111"/>
        <v>2295.7199999999998</v>
      </c>
    </row>
    <row r="3548" spans="1:4" ht="16.149999999999999" customHeight="1" x14ac:dyDescent="0.25">
      <c r="A3548" s="431">
        <v>37108</v>
      </c>
      <c r="B3548" s="434">
        <v>2295.7199999999998</v>
      </c>
      <c r="C3548" s="427">
        <f t="shared" si="110"/>
        <v>2001</v>
      </c>
      <c r="D3548" s="433">
        <f t="shared" si="111"/>
        <v>2295.7199999999998</v>
      </c>
    </row>
    <row r="3549" spans="1:4" ht="16.149999999999999" customHeight="1" x14ac:dyDescent="0.25">
      <c r="A3549" s="431">
        <v>37109</v>
      </c>
      <c r="B3549" s="432">
        <v>2295.7199999999998</v>
      </c>
      <c r="C3549" s="427">
        <f t="shared" si="110"/>
        <v>2001</v>
      </c>
      <c r="D3549" s="433">
        <f t="shared" si="111"/>
        <v>2295.7199999999998</v>
      </c>
    </row>
    <row r="3550" spans="1:4" ht="16.149999999999999" customHeight="1" x14ac:dyDescent="0.25">
      <c r="A3550" s="431">
        <v>37110</v>
      </c>
      <c r="B3550" s="434">
        <v>2291.46</v>
      </c>
      <c r="C3550" s="427">
        <f t="shared" si="110"/>
        <v>2001</v>
      </c>
      <c r="D3550" s="433">
        <f t="shared" si="111"/>
        <v>2291.46</v>
      </c>
    </row>
    <row r="3551" spans="1:4" ht="16.149999999999999" customHeight="1" x14ac:dyDescent="0.25">
      <c r="A3551" s="431">
        <v>37111</v>
      </c>
      <c r="B3551" s="432">
        <v>2291.46</v>
      </c>
      <c r="C3551" s="427">
        <f t="shared" si="110"/>
        <v>2001</v>
      </c>
      <c r="D3551" s="433">
        <f t="shared" si="111"/>
        <v>2291.46</v>
      </c>
    </row>
    <row r="3552" spans="1:4" ht="16.149999999999999" customHeight="1" x14ac:dyDescent="0.25">
      <c r="A3552" s="431">
        <v>37112</v>
      </c>
      <c r="B3552" s="434">
        <v>2295.0500000000002</v>
      </c>
      <c r="C3552" s="427">
        <f t="shared" si="110"/>
        <v>2001</v>
      </c>
      <c r="D3552" s="433">
        <f t="shared" si="111"/>
        <v>2295.0500000000002</v>
      </c>
    </row>
    <row r="3553" spans="1:4" ht="16.149999999999999" customHeight="1" x14ac:dyDescent="0.25">
      <c r="A3553" s="431">
        <v>37113</v>
      </c>
      <c r="B3553" s="432">
        <v>2291.5</v>
      </c>
      <c r="C3553" s="427">
        <f t="shared" si="110"/>
        <v>2001</v>
      </c>
      <c r="D3553" s="433">
        <f t="shared" si="111"/>
        <v>2291.5</v>
      </c>
    </row>
    <row r="3554" spans="1:4" ht="16.149999999999999" customHeight="1" x14ac:dyDescent="0.25">
      <c r="A3554" s="431">
        <v>37114</v>
      </c>
      <c r="B3554" s="434">
        <v>2288.0300000000002</v>
      </c>
      <c r="C3554" s="427">
        <f t="shared" si="110"/>
        <v>2001</v>
      </c>
      <c r="D3554" s="433">
        <f t="shared" si="111"/>
        <v>2288.0300000000002</v>
      </c>
    </row>
    <row r="3555" spans="1:4" ht="16.149999999999999" customHeight="1" x14ac:dyDescent="0.25">
      <c r="A3555" s="431">
        <v>37115</v>
      </c>
      <c r="B3555" s="432">
        <v>2288.0300000000002</v>
      </c>
      <c r="C3555" s="427">
        <f t="shared" si="110"/>
        <v>2001</v>
      </c>
      <c r="D3555" s="433">
        <f t="shared" si="111"/>
        <v>2288.0300000000002</v>
      </c>
    </row>
    <row r="3556" spans="1:4" ht="16.149999999999999" customHeight="1" x14ac:dyDescent="0.25">
      <c r="A3556" s="431">
        <v>37116</v>
      </c>
      <c r="B3556" s="434">
        <v>2288.0300000000002</v>
      </c>
      <c r="C3556" s="427">
        <f t="shared" si="110"/>
        <v>2001</v>
      </c>
      <c r="D3556" s="433">
        <f t="shared" si="111"/>
        <v>2288.0300000000002</v>
      </c>
    </row>
    <row r="3557" spans="1:4" ht="16.149999999999999" customHeight="1" x14ac:dyDescent="0.25">
      <c r="A3557" s="431">
        <v>37117</v>
      </c>
      <c r="B3557" s="432">
        <v>2284.9</v>
      </c>
      <c r="C3557" s="427">
        <f t="shared" si="110"/>
        <v>2001</v>
      </c>
      <c r="D3557" s="433">
        <f t="shared" si="111"/>
        <v>2284.9</v>
      </c>
    </row>
    <row r="3558" spans="1:4" ht="16.149999999999999" customHeight="1" x14ac:dyDescent="0.25">
      <c r="A3558" s="431">
        <v>37118</v>
      </c>
      <c r="B3558" s="434">
        <v>2284.98</v>
      </c>
      <c r="C3558" s="427">
        <f t="shared" si="110"/>
        <v>2001</v>
      </c>
      <c r="D3558" s="433">
        <f t="shared" si="111"/>
        <v>2284.98</v>
      </c>
    </row>
    <row r="3559" spans="1:4" ht="16.149999999999999" customHeight="1" x14ac:dyDescent="0.25">
      <c r="A3559" s="431">
        <v>37119</v>
      </c>
      <c r="B3559" s="432">
        <v>2291.41</v>
      </c>
      <c r="C3559" s="427">
        <f t="shared" si="110"/>
        <v>2001</v>
      </c>
      <c r="D3559" s="433">
        <f t="shared" si="111"/>
        <v>2291.41</v>
      </c>
    </row>
    <row r="3560" spans="1:4" ht="16.149999999999999" customHeight="1" x14ac:dyDescent="0.25">
      <c r="A3560" s="431">
        <v>37120</v>
      </c>
      <c r="B3560" s="434">
        <v>2288.1799999999998</v>
      </c>
      <c r="C3560" s="427">
        <f t="shared" si="110"/>
        <v>2001</v>
      </c>
      <c r="D3560" s="433">
        <f t="shared" si="111"/>
        <v>2288.1799999999998</v>
      </c>
    </row>
    <row r="3561" spans="1:4" ht="16.149999999999999" customHeight="1" x14ac:dyDescent="0.25">
      <c r="A3561" s="431">
        <v>37121</v>
      </c>
      <c r="B3561" s="432">
        <v>2285.06</v>
      </c>
      <c r="C3561" s="427">
        <f t="shared" si="110"/>
        <v>2001</v>
      </c>
      <c r="D3561" s="433">
        <f t="shared" si="111"/>
        <v>2285.06</v>
      </c>
    </row>
    <row r="3562" spans="1:4" ht="16.149999999999999" customHeight="1" x14ac:dyDescent="0.25">
      <c r="A3562" s="431">
        <v>37122</v>
      </c>
      <c r="B3562" s="434">
        <v>2285.06</v>
      </c>
      <c r="C3562" s="427">
        <f t="shared" si="110"/>
        <v>2001</v>
      </c>
      <c r="D3562" s="433">
        <f t="shared" si="111"/>
        <v>2285.06</v>
      </c>
    </row>
    <row r="3563" spans="1:4" ht="16.149999999999999" customHeight="1" x14ac:dyDescent="0.25">
      <c r="A3563" s="431">
        <v>37123</v>
      </c>
      <c r="B3563" s="432">
        <v>2285.06</v>
      </c>
      <c r="C3563" s="427">
        <f t="shared" si="110"/>
        <v>2001</v>
      </c>
      <c r="D3563" s="433">
        <f t="shared" si="111"/>
        <v>2285.06</v>
      </c>
    </row>
    <row r="3564" spans="1:4" ht="16.149999999999999" customHeight="1" x14ac:dyDescent="0.25">
      <c r="A3564" s="431">
        <v>37124</v>
      </c>
      <c r="B3564" s="434">
        <v>2285.06</v>
      </c>
      <c r="C3564" s="427">
        <f t="shared" si="110"/>
        <v>2001</v>
      </c>
      <c r="D3564" s="433">
        <f t="shared" si="111"/>
        <v>2285.06</v>
      </c>
    </row>
    <row r="3565" spans="1:4" ht="16.149999999999999" customHeight="1" x14ac:dyDescent="0.25">
      <c r="A3565" s="431">
        <v>37125</v>
      </c>
      <c r="B3565" s="432">
        <v>2283.86</v>
      </c>
      <c r="C3565" s="427">
        <f t="shared" si="110"/>
        <v>2001</v>
      </c>
      <c r="D3565" s="433">
        <f t="shared" si="111"/>
        <v>2283.86</v>
      </c>
    </row>
    <row r="3566" spans="1:4" ht="16.149999999999999" customHeight="1" x14ac:dyDescent="0.25">
      <c r="A3566" s="431">
        <v>37126</v>
      </c>
      <c r="B3566" s="434">
        <v>2279.25</v>
      </c>
      <c r="C3566" s="427">
        <f t="shared" si="110"/>
        <v>2001</v>
      </c>
      <c r="D3566" s="433">
        <f t="shared" si="111"/>
        <v>2279.25</v>
      </c>
    </row>
    <row r="3567" spans="1:4" ht="16.149999999999999" customHeight="1" x14ac:dyDescent="0.25">
      <c r="A3567" s="431">
        <v>37127</v>
      </c>
      <c r="B3567" s="432">
        <v>2275.0700000000002</v>
      </c>
      <c r="C3567" s="427">
        <f t="shared" si="110"/>
        <v>2001</v>
      </c>
      <c r="D3567" s="433">
        <f t="shared" si="111"/>
        <v>2275.0700000000002</v>
      </c>
    </row>
    <row r="3568" spans="1:4" ht="16.149999999999999" customHeight="1" x14ac:dyDescent="0.25">
      <c r="A3568" s="431">
        <v>37128</v>
      </c>
      <c r="B3568" s="434">
        <v>2273.5</v>
      </c>
      <c r="C3568" s="427">
        <f t="shared" si="110"/>
        <v>2001</v>
      </c>
      <c r="D3568" s="433">
        <f t="shared" si="111"/>
        <v>2273.5</v>
      </c>
    </row>
    <row r="3569" spans="1:4" ht="16.149999999999999" customHeight="1" x14ac:dyDescent="0.25">
      <c r="A3569" s="431">
        <v>37129</v>
      </c>
      <c r="B3569" s="432">
        <v>2273.5</v>
      </c>
      <c r="C3569" s="427">
        <f t="shared" si="110"/>
        <v>2001</v>
      </c>
      <c r="D3569" s="433">
        <f t="shared" si="111"/>
        <v>2273.5</v>
      </c>
    </row>
    <row r="3570" spans="1:4" ht="16.149999999999999" customHeight="1" x14ac:dyDescent="0.25">
      <c r="A3570" s="431">
        <v>37130</v>
      </c>
      <c r="B3570" s="434">
        <v>2273.5</v>
      </c>
      <c r="C3570" s="427">
        <f t="shared" si="110"/>
        <v>2001</v>
      </c>
      <c r="D3570" s="433">
        <f t="shared" si="111"/>
        <v>2273.5</v>
      </c>
    </row>
    <row r="3571" spans="1:4" ht="16.149999999999999" customHeight="1" x14ac:dyDescent="0.25">
      <c r="A3571" s="431">
        <v>37131</v>
      </c>
      <c r="B3571" s="432">
        <v>2282.56</v>
      </c>
      <c r="C3571" s="427">
        <f t="shared" si="110"/>
        <v>2001</v>
      </c>
      <c r="D3571" s="433">
        <f t="shared" si="111"/>
        <v>2282.56</v>
      </c>
    </row>
    <row r="3572" spans="1:4" ht="16.149999999999999" customHeight="1" x14ac:dyDescent="0.25">
      <c r="A3572" s="431">
        <v>37132</v>
      </c>
      <c r="B3572" s="434">
        <v>2290.5700000000002</v>
      </c>
      <c r="C3572" s="427">
        <f t="shared" si="110"/>
        <v>2001</v>
      </c>
      <c r="D3572" s="433">
        <f t="shared" si="111"/>
        <v>2290.5700000000002</v>
      </c>
    </row>
    <row r="3573" spans="1:4" ht="16.149999999999999" customHeight="1" x14ac:dyDescent="0.25">
      <c r="A3573" s="431">
        <v>37133</v>
      </c>
      <c r="B3573" s="432">
        <v>2297.2399999999998</v>
      </c>
      <c r="C3573" s="427">
        <f t="shared" si="110"/>
        <v>2001</v>
      </c>
      <c r="D3573" s="433">
        <f t="shared" si="111"/>
        <v>2297.2399999999998</v>
      </c>
    </row>
    <row r="3574" spans="1:4" ht="16.149999999999999" customHeight="1" x14ac:dyDescent="0.25">
      <c r="A3574" s="431">
        <v>37134</v>
      </c>
      <c r="B3574" s="434">
        <v>2301.23</v>
      </c>
      <c r="C3574" s="427">
        <f t="shared" si="110"/>
        <v>2001</v>
      </c>
      <c r="D3574" s="433">
        <f t="shared" si="111"/>
        <v>2301.23</v>
      </c>
    </row>
    <row r="3575" spans="1:4" ht="16.149999999999999" customHeight="1" x14ac:dyDescent="0.25">
      <c r="A3575" s="431">
        <v>37135</v>
      </c>
      <c r="B3575" s="432">
        <v>2296.85</v>
      </c>
      <c r="C3575" s="427">
        <f t="shared" si="110"/>
        <v>2001</v>
      </c>
      <c r="D3575" s="433">
        <f t="shared" si="111"/>
        <v>2296.85</v>
      </c>
    </row>
    <row r="3576" spans="1:4" ht="16.149999999999999" customHeight="1" x14ac:dyDescent="0.25">
      <c r="A3576" s="431">
        <v>37136</v>
      </c>
      <c r="B3576" s="434">
        <v>2296.85</v>
      </c>
      <c r="C3576" s="427">
        <f t="shared" si="110"/>
        <v>2001</v>
      </c>
      <c r="D3576" s="433">
        <f t="shared" si="111"/>
        <v>2296.85</v>
      </c>
    </row>
    <row r="3577" spans="1:4" ht="16.149999999999999" customHeight="1" x14ac:dyDescent="0.25">
      <c r="A3577" s="431">
        <v>37137</v>
      </c>
      <c r="B3577" s="432">
        <v>2296.85</v>
      </c>
      <c r="C3577" s="427">
        <f t="shared" si="110"/>
        <v>2001</v>
      </c>
      <c r="D3577" s="433">
        <f t="shared" si="111"/>
        <v>2296.85</v>
      </c>
    </row>
    <row r="3578" spans="1:4" ht="16.149999999999999" customHeight="1" x14ac:dyDescent="0.25">
      <c r="A3578" s="431">
        <v>37138</v>
      </c>
      <c r="B3578" s="434">
        <v>2305.15</v>
      </c>
      <c r="C3578" s="427">
        <f t="shared" si="110"/>
        <v>2001</v>
      </c>
      <c r="D3578" s="433">
        <f t="shared" si="111"/>
        <v>2305.15</v>
      </c>
    </row>
    <row r="3579" spans="1:4" ht="16.149999999999999" customHeight="1" x14ac:dyDescent="0.25">
      <c r="A3579" s="431">
        <v>37139</v>
      </c>
      <c r="B3579" s="432">
        <v>2305.2800000000002</v>
      </c>
      <c r="C3579" s="427">
        <f t="shared" si="110"/>
        <v>2001</v>
      </c>
      <c r="D3579" s="433">
        <f t="shared" si="111"/>
        <v>2305.2800000000002</v>
      </c>
    </row>
    <row r="3580" spans="1:4" ht="16.149999999999999" customHeight="1" x14ac:dyDescent="0.25">
      <c r="A3580" s="431">
        <v>37140</v>
      </c>
      <c r="B3580" s="434">
        <v>2312.87</v>
      </c>
      <c r="C3580" s="427">
        <f t="shared" si="110"/>
        <v>2001</v>
      </c>
      <c r="D3580" s="433">
        <f t="shared" si="111"/>
        <v>2312.87</v>
      </c>
    </row>
    <row r="3581" spans="1:4" ht="16.149999999999999" customHeight="1" x14ac:dyDescent="0.25">
      <c r="A3581" s="431">
        <v>37141</v>
      </c>
      <c r="B3581" s="432">
        <v>2317.02</v>
      </c>
      <c r="C3581" s="427">
        <f t="shared" si="110"/>
        <v>2001</v>
      </c>
      <c r="D3581" s="433">
        <f t="shared" si="111"/>
        <v>2317.02</v>
      </c>
    </row>
    <row r="3582" spans="1:4" ht="16.149999999999999" customHeight="1" x14ac:dyDescent="0.25">
      <c r="A3582" s="431">
        <v>37142</v>
      </c>
      <c r="B3582" s="434">
        <v>2320.09</v>
      </c>
      <c r="C3582" s="427">
        <f t="shared" si="110"/>
        <v>2001</v>
      </c>
      <c r="D3582" s="433">
        <f t="shared" si="111"/>
        <v>2320.09</v>
      </c>
    </row>
    <row r="3583" spans="1:4" ht="16.149999999999999" customHeight="1" x14ac:dyDescent="0.25">
      <c r="A3583" s="431">
        <v>37143</v>
      </c>
      <c r="B3583" s="432">
        <v>2320.09</v>
      </c>
      <c r="C3583" s="427">
        <f t="shared" si="110"/>
        <v>2001</v>
      </c>
      <c r="D3583" s="433">
        <f t="shared" si="111"/>
        <v>2320.09</v>
      </c>
    </row>
    <row r="3584" spans="1:4" ht="16.149999999999999" customHeight="1" x14ac:dyDescent="0.25">
      <c r="A3584" s="431">
        <v>37144</v>
      </c>
      <c r="B3584" s="434">
        <v>2320.09</v>
      </c>
      <c r="C3584" s="427">
        <f t="shared" si="110"/>
        <v>2001</v>
      </c>
      <c r="D3584" s="433">
        <f t="shared" si="111"/>
        <v>2320.09</v>
      </c>
    </row>
    <row r="3585" spans="1:4" ht="16.149999999999999" customHeight="1" x14ac:dyDescent="0.25">
      <c r="A3585" s="431">
        <v>37145</v>
      </c>
      <c r="B3585" s="432">
        <v>2324.7800000000002</v>
      </c>
      <c r="C3585" s="427">
        <f t="shared" si="110"/>
        <v>2001</v>
      </c>
      <c r="D3585" s="433">
        <f t="shared" si="111"/>
        <v>2324.7800000000002</v>
      </c>
    </row>
    <row r="3586" spans="1:4" ht="16.149999999999999" customHeight="1" x14ac:dyDescent="0.25">
      <c r="A3586" s="431">
        <v>37146</v>
      </c>
      <c r="B3586" s="434">
        <v>2341.2800000000002</v>
      </c>
      <c r="C3586" s="427">
        <f t="shared" si="110"/>
        <v>2001</v>
      </c>
      <c r="D3586" s="433">
        <f t="shared" si="111"/>
        <v>2341.2800000000002</v>
      </c>
    </row>
    <row r="3587" spans="1:4" ht="16.149999999999999" customHeight="1" x14ac:dyDescent="0.25">
      <c r="A3587" s="431">
        <v>37147</v>
      </c>
      <c r="B3587" s="432">
        <v>2341.14</v>
      </c>
      <c r="C3587" s="427">
        <f t="shared" si="110"/>
        <v>2001</v>
      </c>
      <c r="D3587" s="433">
        <f t="shared" si="111"/>
        <v>2341.14</v>
      </c>
    </row>
    <row r="3588" spans="1:4" ht="16.149999999999999" customHeight="1" x14ac:dyDescent="0.25">
      <c r="A3588" s="431">
        <v>37148</v>
      </c>
      <c r="B3588" s="434">
        <v>2337.25</v>
      </c>
      <c r="C3588" s="427">
        <f t="shared" si="110"/>
        <v>2001</v>
      </c>
      <c r="D3588" s="433">
        <f t="shared" si="111"/>
        <v>2337.25</v>
      </c>
    </row>
    <row r="3589" spans="1:4" ht="16.149999999999999" customHeight="1" x14ac:dyDescent="0.25">
      <c r="A3589" s="431">
        <v>37149</v>
      </c>
      <c r="B3589" s="432">
        <v>2342.44</v>
      </c>
      <c r="C3589" s="427">
        <f t="shared" si="110"/>
        <v>2001</v>
      </c>
      <c r="D3589" s="433">
        <f t="shared" si="111"/>
        <v>2342.44</v>
      </c>
    </row>
    <row r="3590" spans="1:4" ht="16.149999999999999" customHeight="1" x14ac:dyDescent="0.25">
      <c r="A3590" s="431">
        <v>37150</v>
      </c>
      <c r="B3590" s="434">
        <v>2342.44</v>
      </c>
      <c r="C3590" s="427">
        <f t="shared" si="110"/>
        <v>2001</v>
      </c>
      <c r="D3590" s="433">
        <f t="shared" si="111"/>
        <v>2342.44</v>
      </c>
    </row>
    <row r="3591" spans="1:4" ht="16.149999999999999" customHeight="1" x14ac:dyDescent="0.25">
      <c r="A3591" s="431">
        <v>37151</v>
      </c>
      <c r="B3591" s="432">
        <v>2342.44</v>
      </c>
      <c r="C3591" s="427">
        <f t="shared" si="110"/>
        <v>2001</v>
      </c>
      <c r="D3591" s="433">
        <f t="shared" si="111"/>
        <v>2342.44</v>
      </c>
    </row>
    <row r="3592" spans="1:4" ht="16.149999999999999" customHeight="1" x14ac:dyDescent="0.25">
      <c r="A3592" s="431">
        <v>37152</v>
      </c>
      <c r="B3592" s="434">
        <v>2342.1799999999998</v>
      </c>
      <c r="C3592" s="427">
        <f t="shared" si="110"/>
        <v>2001</v>
      </c>
      <c r="D3592" s="433">
        <f t="shared" si="111"/>
        <v>2342.1799999999998</v>
      </c>
    </row>
    <row r="3593" spans="1:4" ht="16.149999999999999" customHeight="1" x14ac:dyDescent="0.25">
      <c r="A3593" s="431">
        <v>37153</v>
      </c>
      <c r="B3593" s="432">
        <v>2338.39</v>
      </c>
      <c r="C3593" s="427">
        <f t="shared" si="110"/>
        <v>2001</v>
      </c>
      <c r="D3593" s="433">
        <f t="shared" si="111"/>
        <v>2338.39</v>
      </c>
    </row>
    <row r="3594" spans="1:4" ht="16.149999999999999" customHeight="1" x14ac:dyDescent="0.25">
      <c r="A3594" s="431">
        <v>37154</v>
      </c>
      <c r="B3594" s="434">
        <v>2342.04</v>
      </c>
      <c r="C3594" s="427">
        <f t="shared" ref="C3594:C3657" si="112">YEAR(A3594)</f>
        <v>2001</v>
      </c>
      <c r="D3594" s="433">
        <f t="shared" ref="D3594:D3657" si="113">B3594</f>
        <v>2342.04</v>
      </c>
    </row>
    <row r="3595" spans="1:4" ht="16.149999999999999" customHeight="1" x14ac:dyDescent="0.25">
      <c r="A3595" s="431">
        <v>37155</v>
      </c>
      <c r="B3595" s="432">
        <v>2341.6799999999998</v>
      </c>
      <c r="C3595" s="427">
        <f t="shared" si="112"/>
        <v>2001</v>
      </c>
      <c r="D3595" s="433">
        <f t="shared" si="113"/>
        <v>2341.6799999999998</v>
      </c>
    </row>
    <row r="3596" spans="1:4" ht="16.149999999999999" customHeight="1" x14ac:dyDescent="0.25">
      <c r="A3596" s="431">
        <v>37156</v>
      </c>
      <c r="B3596" s="434">
        <v>2342.1799999999998</v>
      </c>
      <c r="C3596" s="427">
        <f t="shared" si="112"/>
        <v>2001</v>
      </c>
      <c r="D3596" s="433">
        <f t="shared" si="113"/>
        <v>2342.1799999999998</v>
      </c>
    </row>
    <row r="3597" spans="1:4" ht="16.149999999999999" customHeight="1" x14ac:dyDescent="0.25">
      <c r="A3597" s="431">
        <v>37157</v>
      </c>
      <c r="B3597" s="432">
        <v>2342.1799999999998</v>
      </c>
      <c r="C3597" s="427">
        <f t="shared" si="112"/>
        <v>2001</v>
      </c>
      <c r="D3597" s="433">
        <f t="shared" si="113"/>
        <v>2342.1799999999998</v>
      </c>
    </row>
    <row r="3598" spans="1:4" ht="16.149999999999999" customHeight="1" x14ac:dyDescent="0.25">
      <c r="A3598" s="431">
        <v>37158</v>
      </c>
      <c r="B3598" s="434">
        <v>2342.1799999999998</v>
      </c>
      <c r="C3598" s="427">
        <f t="shared" si="112"/>
        <v>2001</v>
      </c>
      <c r="D3598" s="433">
        <f t="shared" si="113"/>
        <v>2342.1799999999998</v>
      </c>
    </row>
    <row r="3599" spans="1:4" ht="16.149999999999999" customHeight="1" x14ac:dyDescent="0.25">
      <c r="A3599" s="431">
        <v>37159</v>
      </c>
      <c r="B3599" s="432">
        <v>2329.6999999999998</v>
      </c>
      <c r="C3599" s="427">
        <f t="shared" si="112"/>
        <v>2001</v>
      </c>
      <c r="D3599" s="433">
        <f t="shared" si="113"/>
        <v>2329.6999999999998</v>
      </c>
    </row>
    <row r="3600" spans="1:4" ht="16.149999999999999" customHeight="1" x14ac:dyDescent="0.25">
      <c r="A3600" s="431">
        <v>37160</v>
      </c>
      <c r="B3600" s="434">
        <v>2327.09</v>
      </c>
      <c r="C3600" s="427">
        <f t="shared" si="112"/>
        <v>2001</v>
      </c>
      <c r="D3600" s="433">
        <f t="shared" si="113"/>
        <v>2327.09</v>
      </c>
    </row>
    <row r="3601" spans="1:4" ht="16.149999999999999" customHeight="1" x14ac:dyDescent="0.25">
      <c r="A3601" s="431">
        <v>37161</v>
      </c>
      <c r="B3601" s="432">
        <v>2328.4899999999998</v>
      </c>
      <c r="C3601" s="427">
        <f t="shared" si="112"/>
        <v>2001</v>
      </c>
      <c r="D3601" s="433">
        <f t="shared" si="113"/>
        <v>2328.4899999999998</v>
      </c>
    </row>
    <row r="3602" spans="1:4" ht="16.149999999999999" customHeight="1" x14ac:dyDescent="0.25">
      <c r="A3602" s="431">
        <v>37162</v>
      </c>
      <c r="B3602" s="434">
        <v>2328.75</v>
      </c>
      <c r="C3602" s="427">
        <f t="shared" si="112"/>
        <v>2001</v>
      </c>
      <c r="D3602" s="433">
        <f t="shared" si="113"/>
        <v>2328.75</v>
      </c>
    </row>
    <row r="3603" spans="1:4" ht="16.149999999999999" customHeight="1" x14ac:dyDescent="0.25">
      <c r="A3603" s="431">
        <v>37163</v>
      </c>
      <c r="B3603" s="432">
        <v>2332.19</v>
      </c>
      <c r="C3603" s="427">
        <f t="shared" si="112"/>
        <v>2001</v>
      </c>
      <c r="D3603" s="433">
        <f t="shared" si="113"/>
        <v>2332.19</v>
      </c>
    </row>
    <row r="3604" spans="1:4" ht="16.149999999999999" customHeight="1" x14ac:dyDescent="0.25">
      <c r="A3604" s="431">
        <v>37164</v>
      </c>
      <c r="B3604" s="434">
        <v>2332.19</v>
      </c>
      <c r="C3604" s="427">
        <f t="shared" si="112"/>
        <v>2001</v>
      </c>
      <c r="D3604" s="433">
        <f t="shared" si="113"/>
        <v>2332.19</v>
      </c>
    </row>
    <row r="3605" spans="1:4" ht="16.149999999999999" customHeight="1" x14ac:dyDescent="0.25">
      <c r="A3605" s="431">
        <v>37165</v>
      </c>
      <c r="B3605" s="432">
        <v>2332.19</v>
      </c>
      <c r="C3605" s="427">
        <f t="shared" si="112"/>
        <v>2001</v>
      </c>
      <c r="D3605" s="433">
        <f t="shared" si="113"/>
        <v>2332.19</v>
      </c>
    </row>
    <row r="3606" spans="1:4" ht="16.149999999999999" customHeight="1" x14ac:dyDescent="0.25">
      <c r="A3606" s="431">
        <v>37166</v>
      </c>
      <c r="B3606" s="434">
        <v>2338.4499999999998</v>
      </c>
      <c r="C3606" s="427">
        <f t="shared" si="112"/>
        <v>2001</v>
      </c>
      <c r="D3606" s="433">
        <f t="shared" si="113"/>
        <v>2338.4499999999998</v>
      </c>
    </row>
    <row r="3607" spans="1:4" ht="16.149999999999999" customHeight="1" x14ac:dyDescent="0.25">
      <c r="A3607" s="431">
        <v>37167</v>
      </c>
      <c r="B3607" s="432">
        <v>2334.2399999999998</v>
      </c>
      <c r="C3607" s="427">
        <f t="shared" si="112"/>
        <v>2001</v>
      </c>
      <c r="D3607" s="433">
        <f t="shared" si="113"/>
        <v>2334.2399999999998</v>
      </c>
    </row>
    <row r="3608" spans="1:4" ht="16.149999999999999" customHeight="1" x14ac:dyDescent="0.25">
      <c r="A3608" s="431">
        <v>37168</v>
      </c>
      <c r="B3608" s="434">
        <v>2336.1799999999998</v>
      </c>
      <c r="C3608" s="427">
        <f t="shared" si="112"/>
        <v>2001</v>
      </c>
      <c r="D3608" s="433">
        <f t="shared" si="113"/>
        <v>2336.1799999999998</v>
      </c>
    </row>
    <row r="3609" spans="1:4" ht="16.149999999999999" customHeight="1" x14ac:dyDescent="0.25">
      <c r="A3609" s="431">
        <v>37169</v>
      </c>
      <c r="B3609" s="432">
        <v>2336.2800000000002</v>
      </c>
      <c r="C3609" s="427">
        <f t="shared" si="112"/>
        <v>2001</v>
      </c>
      <c r="D3609" s="433">
        <f t="shared" si="113"/>
        <v>2336.2800000000002</v>
      </c>
    </row>
    <row r="3610" spans="1:4" ht="16.149999999999999" customHeight="1" x14ac:dyDescent="0.25">
      <c r="A3610" s="431">
        <v>37170</v>
      </c>
      <c r="B3610" s="434">
        <v>2331.0300000000002</v>
      </c>
      <c r="C3610" s="427">
        <f t="shared" si="112"/>
        <v>2001</v>
      </c>
      <c r="D3610" s="433">
        <f t="shared" si="113"/>
        <v>2331.0300000000002</v>
      </c>
    </row>
    <row r="3611" spans="1:4" ht="16.149999999999999" customHeight="1" x14ac:dyDescent="0.25">
      <c r="A3611" s="431">
        <v>37171</v>
      </c>
      <c r="B3611" s="432">
        <v>2331.0300000000002</v>
      </c>
      <c r="C3611" s="427">
        <f t="shared" si="112"/>
        <v>2001</v>
      </c>
      <c r="D3611" s="433">
        <f t="shared" si="113"/>
        <v>2331.0300000000002</v>
      </c>
    </row>
    <row r="3612" spans="1:4" ht="16.149999999999999" customHeight="1" x14ac:dyDescent="0.25">
      <c r="A3612" s="431">
        <v>37172</v>
      </c>
      <c r="B3612" s="434">
        <v>2331.0300000000002</v>
      </c>
      <c r="C3612" s="427">
        <f t="shared" si="112"/>
        <v>2001</v>
      </c>
      <c r="D3612" s="433">
        <f t="shared" si="113"/>
        <v>2331.0300000000002</v>
      </c>
    </row>
    <row r="3613" spans="1:4" ht="16.149999999999999" customHeight="1" x14ac:dyDescent="0.25">
      <c r="A3613" s="431">
        <v>37173</v>
      </c>
      <c r="B3613" s="432">
        <v>2331.02</v>
      </c>
      <c r="C3613" s="427">
        <f t="shared" si="112"/>
        <v>2001</v>
      </c>
      <c r="D3613" s="433">
        <f t="shared" si="113"/>
        <v>2331.02</v>
      </c>
    </row>
    <row r="3614" spans="1:4" ht="16.149999999999999" customHeight="1" x14ac:dyDescent="0.25">
      <c r="A3614" s="431">
        <v>37174</v>
      </c>
      <c r="B3614" s="434">
        <v>2328.91</v>
      </c>
      <c r="C3614" s="427">
        <f t="shared" si="112"/>
        <v>2001</v>
      </c>
      <c r="D3614" s="433">
        <f t="shared" si="113"/>
        <v>2328.91</v>
      </c>
    </row>
    <row r="3615" spans="1:4" ht="16.149999999999999" customHeight="1" x14ac:dyDescent="0.25">
      <c r="A3615" s="431">
        <v>37175</v>
      </c>
      <c r="B3615" s="432">
        <v>2320.41</v>
      </c>
      <c r="C3615" s="427">
        <f t="shared" si="112"/>
        <v>2001</v>
      </c>
      <c r="D3615" s="433">
        <f t="shared" si="113"/>
        <v>2320.41</v>
      </c>
    </row>
    <row r="3616" spans="1:4" ht="16.149999999999999" customHeight="1" x14ac:dyDescent="0.25">
      <c r="A3616" s="431">
        <v>37176</v>
      </c>
      <c r="B3616" s="434">
        <v>2312.33</v>
      </c>
      <c r="C3616" s="427">
        <f t="shared" si="112"/>
        <v>2001</v>
      </c>
      <c r="D3616" s="433">
        <f t="shared" si="113"/>
        <v>2312.33</v>
      </c>
    </row>
    <row r="3617" spans="1:4" ht="16.149999999999999" customHeight="1" x14ac:dyDescent="0.25">
      <c r="A3617" s="431">
        <v>37177</v>
      </c>
      <c r="B3617" s="432">
        <v>2314.7399999999998</v>
      </c>
      <c r="C3617" s="427">
        <f t="shared" si="112"/>
        <v>2001</v>
      </c>
      <c r="D3617" s="433">
        <f t="shared" si="113"/>
        <v>2314.7399999999998</v>
      </c>
    </row>
    <row r="3618" spans="1:4" ht="16.149999999999999" customHeight="1" x14ac:dyDescent="0.25">
      <c r="A3618" s="431">
        <v>37178</v>
      </c>
      <c r="B3618" s="434">
        <v>2314.7399999999998</v>
      </c>
      <c r="C3618" s="427">
        <f t="shared" si="112"/>
        <v>2001</v>
      </c>
      <c r="D3618" s="433">
        <f t="shared" si="113"/>
        <v>2314.7399999999998</v>
      </c>
    </row>
    <row r="3619" spans="1:4" ht="16.149999999999999" customHeight="1" x14ac:dyDescent="0.25">
      <c r="A3619" s="431">
        <v>37179</v>
      </c>
      <c r="B3619" s="432">
        <v>2314.7399999999998</v>
      </c>
      <c r="C3619" s="427">
        <f t="shared" si="112"/>
        <v>2001</v>
      </c>
      <c r="D3619" s="433">
        <f t="shared" si="113"/>
        <v>2314.7399999999998</v>
      </c>
    </row>
    <row r="3620" spans="1:4" ht="16.149999999999999" customHeight="1" x14ac:dyDescent="0.25">
      <c r="A3620" s="431">
        <v>37180</v>
      </c>
      <c r="B3620" s="434">
        <v>2314.7399999999998</v>
      </c>
      <c r="C3620" s="427">
        <f t="shared" si="112"/>
        <v>2001</v>
      </c>
      <c r="D3620" s="433">
        <f t="shared" si="113"/>
        <v>2314.7399999999998</v>
      </c>
    </row>
    <row r="3621" spans="1:4" ht="16.149999999999999" customHeight="1" x14ac:dyDescent="0.25">
      <c r="A3621" s="431">
        <v>37181</v>
      </c>
      <c r="B3621" s="432">
        <v>2303.3000000000002</v>
      </c>
      <c r="C3621" s="427">
        <f t="shared" si="112"/>
        <v>2001</v>
      </c>
      <c r="D3621" s="433">
        <f t="shared" si="113"/>
        <v>2303.3000000000002</v>
      </c>
    </row>
    <row r="3622" spans="1:4" ht="16.149999999999999" customHeight="1" x14ac:dyDescent="0.25">
      <c r="A3622" s="431">
        <v>37182</v>
      </c>
      <c r="B3622" s="434">
        <v>2300.0100000000002</v>
      </c>
      <c r="C3622" s="427">
        <f t="shared" si="112"/>
        <v>2001</v>
      </c>
      <c r="D3622" s="433">
        <f t="shared" si="113"/>
        <v>2300.0100000000002</v>
      </c>
    </row>
    <row r="3623" spans="1:4" ht="16.149999999999999" customHeight="1" x14ac:dyDescent="0.25">
      <c r="A3623" s="431">
        <v>37183</v>
      </c>
      <c r="B3623" s="432">
        <v>2313.2399999999998</v>
      </c>
      <c r="C3623" s="427">
        <f t="shared" si="112"/>
        <v>2001</v>
      </c>
      <c r="D3623" s="433">
        <f t="shared" si="113"/>
        <v>2313.2399999999998</v>
      </c>
    </row>
    <row r="3624" spans="1:4" ht="16.149999999999999" customHeight="1" x14ac:dyDescent="0.25">
      <c r="A3624" s="431">
        <v>37184</v>
      </c>
      <c r="B3624" s="434">
        <v>2315.2600000000002</v>
      </c>
      <c r="C3624" s="427">
        <f t="shared" si="112"/>
        <v>2001</v>
      </c>
      <c r="D3624" s="433">
        <f t="shared" si="113"/>
        <v>2315.2600000000002</v>
      </c>
    </row>
    <row r="3625" spans="1:4" ht="16.149999999999999" customHeight="1" x14ac:dyDescent="0.25">
      <c r="A3625" s="431">
        <v>37185</v>
      </c>
      <c r="B3625" s="432">
        <v>2315.2600000000002</v>
      </c>
      <c r="C3625" s="427">
        <f t="shared" si="112"/>
        <v>2001</v>
      </c>
      <c r="D3625" s="433">
        <f t="shared" si="113"/>
        <v>2315.2600000000002</v>
      </c>
    </row>
    <row r="3626" spans="1:4" ht="16.149999999999999" customHeight="1" x14ac:dyDescent="0.25">
      <c r="A3626" s="431">
        <v>37186</v>
      </c>
      <c r="B3626" s="434">
        <v>2315.2600000000002</v>
      </c>
      <c r="C3626" s="427">
        <f t="shared" si="112"/>
        <v>2001</v>
      </c>
      <c r="D3626" s="433">
        <f t="shared" si="113"/>
        <v>2315.2600000000002</v>
      </c>
    </row>
    <row r="3627" spans="1:4" ht="16.149999999999999" customHeight="1" x14ac:dyDescent="0.25">
      <c r="A3627" s="431">
        <v>37187</v>
      </c>
      <c r="B3627" s="432">
        <v>2318.4699999999998</v>
      </c>
      <c r="C3627" s="427">
        <f t="shared" si="112"/>
        <v>2001</v>
      </c>
      <c r="D3627" s="433">
        <f t="shared" si="113"/>
        <v>2318.4699999999998</v>
      </c>
    </row>
    <row r="3628" spans="1:4" ht="16.149999999999999" customHeight="1" x14ac:dyDescent="0.25">
      <c r="A3628" s="431">
        <v>37188</v>
      </c>
      <c r="B3628" s="434">
        <v>2316.14</v>
      </c>
      <c r="C3628" s="427">
        <f t="shared" si="112"/>
        <v>2001</v>
      </c>
      <c r="D3628" s="433">
        <f t="shared" si="113"/>
        <v>2316.14</v>
      </c>
    </row>
    <row r="3629" spans="1:4" ht="16.149999999999999" customHeight="1" x14ac:dyDescent="0.25">
      <c r="A3629" s="431">
        <v>37189</v>
      </c>
      <c r="B3629" s="432">
        <v>2319.5300000000002</v>
      </c>
      <c r="C3629" s="427">
        <f t="shared" si="112"/>
        <v>2001</v>
      </c>
      <c r="D3629" s="433">
        <f t="shared" si="113"/>
        <v>2319.5300000000002</v>
      </c>
    </row>
    <row r="3630" spans="1:4" ht="16.149999999999999" customHeight="1" x14ac:dyDescent="0.25">
      <c r="A3630" s="431">
        <v>37190</v>
      </c>
      <c r="B3630" s="434">
        <v>2316.6799999999998</v>
      </c>
      <c r="C3630" s="427">
        <f t="shared" si="112"/>
        <v>2001</v>
      </c>
      <c r="D3630" s="433">
        <f t="shared" si="113"/>
        <v>2316.6799999999998</v>
      </c>
    </row>
    <row r="3631" spans="1:4" ht="16.149999999999999" customHeight="1" x14ac:dyDescent="0.25">
      <c r="A3631" s="431">
        <v>37191</v>
      </c>
      <c r="B3631" s="432">
        <v>2314.5</v>
      </c>
      <c r="C3631" s="427">
        <f t="shared" si="112"/>
        <v>2001</v>
      </c>
      <c r="D3631" s="433">
        <f t="shared" si="113"/>
        <v>2314.5</v>
      </c>
    </row>
    <row r="3632" spans="1:4" ht="16.149999999999999" customHeight="1" x14ac:dyDescent="0.25">
      <c r="A3632" s="431">
        <v>37192</v>
      </c>
      <c r="B3632" s="434">
        <v>2314.5</v>
      </c>
      <c r="C3632" s="427">
        <f t="shared" si="112"/>
        <v>2001</v>
      </c>
      <c r="D3632" s="433">
        <f t="shared" si="113"/>
        <v>2314.5</v>
      </c>
    </row>
    <row r="3633" spans="1:4" ht="16.149999999999999" customHeight="1" x14ac:dyDescent="0.25">
      <c r="A3633" s="431">
        <v>37193</v>
      </c>
      <c r="B3633" s="432">
        <v>2314.5</v>
      </c>
      <c r="C3633" s="427">
        <f t="shared" si="112"/>
        <v>2001</v>
      </c>
      <c r="D3633" s="433">
        <f t="shared" si="113"/>
        <v>2314.5</v>
      </c>
    </row>
    <row r="3634" spans="1:4" ht="16.149999999999999" customHeight="1" x14ac:dyDescent="0.25">
      <c r="A3634" s="431">
        <v>37194</v>
      </c>
      <c r="B3634" s="434">
        <v>2311.42</v>
      </c>
      <c r="C3634" s="427">
        <f t="shared" si="112"/>
        <v>2001</v>
      </c>
      <c r="D3634" s="433">
        <f t="shared" si="113"/>
        <v>2311.42</v>
      </c>
    </row>
    <row r="3635" spans="1:4" ht="16.149999999999999" customHeight="1" x14ac:dyDescent="0.25">
      <c r="A3635" s="431">
        <v>37195</v>
      </c>
      <c r="B3635" s="432">
        <v>2310.02</v>
      </c>
      <c r="C3635" s="427">
        <f t="shared" si="112"/>
        <v>2001</v>
      </c>
      <c r="D3635" s="433">
        <f t="shared" si="113"/>
        <v>2310.02</v>
      </c>
    </row>
    <row r="3636" spans="1:4" ht="16.149999999999999" customHeight="1" x14ac:dyDescent="0.25">
      <c r="A3636" s="431">
        <v>37196</v>
      </c>
      <c r="B3636" s="434">
        <v>2309.12</v>
      </c>
      <c r="C3636" s="427">
        <f t="shared" si="112"/>
        <v>2001</v>
      </c>
      <c r="D3636" s="433">
        <f t="shared" si="113"/>
        <v>2309.12</v>
      </c>
    </row>
    <row r="3637" spans="1:4" ht="16.149999999999999" customHeight="1" x14ac:dyDescent="0.25">
      <c r="A3637" s="431">
        <v>37197</v>
      </c>
      <c r="B3637" s="432">
        <v>2309.89</v>
      </c>
      <c r="C3637" s="427">
        <f t="shared" si="112"/>
        <v>2001</v>
      </c>
      <c r="D3637" s="433">
        <f t="shared" si="113"/>
        <v>2309.89</v>
      </c>
    </row>
    <row r="3638" spans="1:4" ht="16.149999999999999" customHeight="1" x14ac:dyDescent="0.25">
      <c r="A3638" s="431">
        <v>37198</v>
      </c>
      <c r="B3638" s="434">
        <v>2309.42</v>
      </c>
      <c r="C3638" s="427">
        <f t="shared" si="112"/>
        <v>2001</v>
      </c>
      <c r="D3638" s="433">
        <f t="shared" si="113"/>
        <v>2309.42</v>
      </c>
    </row>
    <row r="3639" spans="1:4" ht="16.149999999999999" customHeight="1" x14ac:dyDescent="0.25">
      <c r="A3639" s="431">
        <v>37199</v>
      </c>
      <c r="B3639" s="432">
        <v>2309.42</v>
      </c>
      <c r="C3639" s="427">
        <f t="shared" si="112"/>
        <v>2001</v>
      </c>
      <c r="D3639" s="433">
        <f t="shared" si="113"/>
        <v>2309.42</v>
      </c>
    </row>
    <row r="3640" spans="1:4" ht="16.149999999999999" customHeight="1" x14ac:dyDescent="0.25">
      <c r="A3640" s="431">
        <v>37200</v>
      </c>
      <c r="B3640" s="434">
        <v>2309.42</v>
      </c>
      <c r="C3640" s="427">
        <f t="shared" si="112"/>
        <v>2001</v>
      </c>
      <c r="D3640" s="433">
        <f t="shared" si="113"/>
        <v>2309.42</v>
      </c>
    </row>
    <row r="3641" spans="1:4" ht="16.149999999999999" customHeight="1" x14ac:dyDescent="0.25">
      <c r="A3641" s="431">
        <v>37201</v>
      </c>
      <c r="B3641" s="432">
        <v>2309.42</v>
      </c>
      <c r="C3641" s="427">
        <f t="shared" si="112"/>
        <v>2001</v>
      </c>
      <c r="D3641" s="433">
        <f t="shared" si="113"/>
        <v>2309.42</v>
      </c>
    </row>
    <row r="3642" spans="1:4" ht="16.149999999999999" customHeight="1" x14ac:dyDescent="0.25">
      <c r="A3642" s="431">
        <v>37202</v>
      </c>
      <c r="B3642" s="434">
        <v>2309.2199999999998</v>
      </c>
      <c r="C3642" s="427">
        <f t="shared" si="112"/>
        <v>2001</v>
      </c>
      <c r="D3642" s="433">
        <f t="shared" si="113"/>
        <v>2309.2199999999998</v>
      </c>
    </row>
    <row r="3643" spans="1:4" ht="16.149999999999999" customHeight="1" x14ac:dyDescent="0.25">
      <c r="A3643" s="431">
        <v>37203</v>
      </c>
      <c r="B3643" s="432">
        <v>2306.5700000000002</v>
      </c>
      <c r="C3643" s="427">
        <f t="shared" si="112"/>
        <v>2001</v>
      </c>
      <c r="D3643" s="433">
        <f t="shared" si="113"/>
        <v>2306.5700000000002</v>
      </c>
    </row>
    <row r="3644" spans="1:4" ht="16.149999999999999" customHeight="1" x14ac:dyDescent="0.25">
      <c r="A3644" s="431">
        <v>37204</v>
      </c>
      <c r="B3644" s="434">
        <v>2307.2399999999998</v>
      </c>
      <c r="C3644" s="427">
        <f t="shared" si="112"/>
        <v>2001</v>
      </c>
      <c r="D3644" s="433">
        <f t="shared" si="113"/>
        <v>2307.2399999999998</v>
      </c>
    </row>
    <row r="3645" spans="1:4" ht="16.149999999999999" customHeight="1" x14ac:dyDescent="0.25">
      <c r="A3645" s="431">
        <v>37205</v>
      </c>
      <c r="B3645" s="432">
        <v>2303.6799999999998</v>
      </c>
      <c r="C3645" s="427">
        <f t="shared" si="112"/>
        <v>2001</v>
      </c>
      <c r="D3645" s="433">
        <f t="shared" si="113"/>
        <v>2303.6799999999998</v>
      </c>
    </row>
    <row r="3646" spans="1:4" ht="16.149999999999999" customHeight="1" x14ac:dyDescent="0.25">
      <c r="A3646" s="431">
        <v>37206</v>
      </c>
      <c r="B3646" s="434">
        <v>2303.6799999999998</v>
      </c>
      <c r="C3646" s="427">
        <f t="shared" si="112"/>
        <v>2001</v>
      </c>
      <c r="D3646" s="433">
        <f t="shared" si="113"/>
        <v>2303.6799999999998</v>
      </c>
    </row>
    <row r="3647" spans="1:4" ht="16.149999999999999" customHeight="1" x14ac:dyDescent="0.25">
      <c r="A3647" s="431">
        <v>37207</v>
      </c>
      <c r="B3647" s="432">
        <v>2303.6799999999998</v>
      </c>
      <c r="C3647" s="427">
        <f t="shared" si="112"/>
        <v>2001</v>
      </c>
      <c r="D3647" s="433">
        <f t="shared" si="113"/>
        <v>2303.6799999999998</v>
      </c>
    </row>
    <row r="3648" spans="1:4" ht="16.149999999999999" customHeight="1" x14ac:dyDescent="0.25">
      <c r="A3648" s="431">
        <v>37208</v>
      </c>
      <c r="B3648" s="434">
        <v>2303.6799999999998</v>
      </c>
      <c r="C3648" s="427">
        <f t="shared" si="112"/>
        <v>2001</v>
      </c>
      <c r="D3648" s="433">
        <f t="shared" si="113"/>
        <v>2303.6799999999998</v>
      </c>
    </row>
    <row r="3649" spans="1:4" ht="16.149999999999999" customHeight="1" x14ac:dyDescent="0.25">
      <c r="A3649" s="431">
        <v>37209</v>
      </c>
      <c r="B3649" s="432">
        <v>2300.69</v>
      </c>
      <c r="C3649" s="427">
        <f t="shared" si="112"/>
        <v>2001</v>
      </c>
      <c r="D3649" s="433">
        <f t="shared" si="113"/>
        <v>2300.69</v>
      </c>
    </row>
    <row r="3650" spans="1:4" ht="16.149999999999999" customHeight="1" x14ac:dyDescent="0.25">
      <c r="A3650" s="431">
        <v>37210</v>
      </c>
      <c r="B3650" s="434">
        <v>2302.81</v>
      </c>
      <c r="C3650" s="427">
        <f t="shared" si="112"/>
        <v>2001</v>
      </c>
      <c r="D3650" s="433">
        <f t="shared" si="113"/>
        <v>2302.81</v>
      </c>
    </row>
    <row r="3651" spans="1:4" ht="16.149999999999999" customHeight="1" x14ac:dyDescent="0.25">
      <c r="A3651" s="431">
        <v>37211</v>
      </c>
      <c r="B3651" s="432">
        <v>2311.5700000000002</v>
      </c>
      <c r="C3651" s="427">
        <f t="shared" si="112"/>
        <v>2001</v>
      </c>
      <c r="D3651" s="433">
        <f t="shared" si="113"/>
        <v>2311.5700000000002</v>
      </c>
    </row>
    <row r="3652" spans="1:4" ht="16.149999999999999" customHeight="1" x14ac:dyDescent="0.25">
      <c r="A3652" s="431">
        <v>37212</v>
      </c>
      <c r="B3652" s="434">
        <v>2314.33</v>
      </c>
      <c r="C3652" s="427">
        <f t="shared" si="112"/>
        <v>2001</v>
      </c>
      <c r="D3652" s="433">
        <f t="shared" si="113"/>
        <v>2314.33</v>
      </c>
    </row>
    <row r="3653" spans="1:4" ht="16.149999999999999" customHeight="1" x14ac:dyDescent="0.25">
      <c r="A3653" s="431">
        <v>37213</v>
      </c>
      <c r="B3653" s="432">
        <v>2314.33</v>
      </c>
      <c r="C3653" s="427">
        <f t="shared" si="112"/>
        <v>2001</v>
      </c>
      <c r="D3653" s="433">
        <f t="shared" si="113"/>
        <v>2314.33</v>
      </c>
    </row>
    <row r="3654" spans="1:4" ht="16.149999999999999" customHeight="1" x14ac:dyDescent="0.25">
      <c r="A3654" s="431">
        <v>37214</v>
      </c>
      <c r="B3654" s="434">
        <v>2314.33</v>
      </c>
      <c r="C3654" s="427">
        <f t="shared" si="112"/>
        <v>2001</v>
      </c>
      <c r="D3654" s="433">
        <f t="shared" si="113"/>
        <v>2314.33</v>
      </c>
    </row>
    <row r="3655" spans="1:4" ht="16.149999999999999" customHeight="1" x14ac:dyDescent="0.25">
      <c r="A3655" s="431">
        <v>37215</v>
      </c>
      <c r="B3655" s="432">
        <v>2310.9</v>
      </c>
      <c r="C3655" s="427">
        <f t="shared" si="112"/>
        <v>2001</v>
      </c>
      <c r="D3655" s="433">
        <f t="shared" si="113"/>
        <v>2310.9</v>
      </c>
    </row>
    <row r="3656" spans="1:4" ht="16.149999999999999" customHeight="1" x14ac:dyDescent="0.25">
      <c r="A3656" s="431">
        <v>37216</v>
      </c>
      <c r="B3656" s="434">
        <v>2314.86</v>
      </c>
      <c r="C3656" s="427">
        <f t="shared" si="112"/>
        <v>2001</v>
      </c>
      <c r="D3656" s="433">
        <f t="shared" si="113"/>
        <v>2314.86</v>
      </c>
    </row>
    <row r="3657" spans="1:4" ht="16.149999999999999" customHeight="1" x14ac:dyDescent="0.25">
      <c r="A3657" s="431">
        <v>37217</v>
      </c>
      <c r="B3657" s="432">
        <v>2319.34</v>
      </c>
      <c r="C3657" s="427">
        <f t="shared" si="112"/>
        <v>2001</v>
      </c>
      <c r="D3657" s="433">
        <f t="shared" si="113"/>
        <v>2319.34</v>
      </c>
    </row>
    <row r="3658" spans="1:4" ht="16.149999999999999" customHeight="1" x14ac:dyDescent="0.25">
      <c r="A3658" s="431">
        <v>37218</v>
      </c>
      <c r="B3658" s="434">
        <v>2317.5700000000002</v>
      </c>
      <c r="C3658" s="427">
        <f t="shared" ref="C3658:C3721" si="114">YEAR(A3658)</f>
        <v>2001</v>
      </c>
      <c r="D3658" s="433">
        <f t="shared" ref="D3658:D3721" si="115">B3658</f>
        <v>2317.5700000000002</v>
      </c>
    </row>
    <row r="3659" spans="1:4" ht="16.149999999999999" customHeight="1" x14ac:dyDescent="0.25">
      <c r="A3659" s="431">
        <v>37219</v>
      </c>
      <c r="B3659" s="432">
        <v>2316.4</v>
      </c>
      <c r="C3659" s="427">
        <f t="shared" si="114"/>
        <v>2001</v>
      </c>
      <c r="D3659" s="433">
        <f t="shared" si="115"/>
        <v>2316.4</v>
      </c>
    </row>
    <row r="3660" spans="1:4" ht="16.149999999999999" customHeight="1" x14ac:dyDescent="0.25">
      <c r="A3660" s="431">
        <v>37220</v>
      </c>
      <c r="B3660" s="434">
        <v>2316.4</v>
      </c>
      <c r="C3660" s="427">
        <f t="shared" si="114"/>
        <v>2001</v>
      </c>
      <c r="D3660" s="433">
        <f t="shared" si="115"/>
        <v>2316.4</v>
      </c>
    </row>
    <row r="3661" spans="1:4" ht="16.149999999999999" customHeight="1" x14ac:dyDescent="0.25">
      <c r="A3661" s="431">
        <v>37221</v>
      </c>
      <c r="B3661" s="432">
        <v>2316.4</v>
      </c>
      <c r="C3661" s="427">
        <f t="shared" si="114"/>
        <v>2001</v>
      </c>
      <c r="D3661" s="433">
        <f t="shared" si="115"/>
        <v>2316.4</v>
      </c>
    </row>
    <row r="3662" spans="1:4" ht="16.149999999999999" customHeight="1" x14ac:dyDescent="0.25">
      <c r="A3662" s="431">
        <v>37222</v>
      </c>
      <c r="B3662" s="434">
        <v>2313.2600000000002</v>
      </c>
      <c r="C3662" s="427">
        <f t="shared" si="114"/>
        <v>2001</v>
      </c>
      <c r="D3662" s="433">
        <f t="shared" si="115"/>
        <v>2313.2600000000002</v>
      </c>
    </row>
    <row r="3663" spans="1:4" ht="16.149999999999999" customHeight="1" x14ac:dyDescent="0.25">
      <c r="A3663" s="431">
        <v>37223</v>
      </c>
      <c r="B3663" s="432">
        <v>2312.9</v>
      </c>
      <c r="C3663" s="427">
        <f t="shared" si="114"/>
        <v>2001</v>
      </c>
      <c r="D3663" s="433">
        <f t="shared" si="115"/>
        <v>2312.9</v>
      </c>
    </row>
    <row r="3664" spans="1:4" ht="16.149999999999999" customHeight="1" x14ac:dyDescent="0.25">
      <c r="A3664" s="431">
        <v>37224</v>
      </c>
      <c r="B3664" s="434">
        <v>2310.9699999999998</v>
      </c>
      <c r="C3664" s="427">
        <f t="shared" si="114"/>
        <v>2001</v>
      </c>
      <c r="D3664" s="433">
        <f t="shared" si="115"/>
        <v>2310.9699999999998</v>
      </c>
    </row>
    <row r="3665" spans="1:4" ht="16.149999999999999" customHeight="1" x14ac:dyDescent="0.25">
      <c r="A3665" s="431">
        <v>37225</v>
      </c>
      <c r="B3665" s="432">
        <v>2308.59</v>
      </c>
      <c r="C3665" s="427">
        <f t="shared" si="114"/>
        <v>2001</v>
      </c>
      <c r="D3665" s="433">
        <f t="shared" si="115"/>
        <v>2308.59</v>
      </c>
    </row>
    <row r="3666" spans="1:4" ht="16.149999999999999" customHeight="1" x14ac:dyDescent="0.25">
      <c r="A3666" s="431">
        <v>37226</v>
      </c>
      <c r="B3666" s="434">
        <v>2303.35</v>
      </c>
      <c r="C3666" s="427">
        <f t="shared" si="114"/>
        <v>2001</v>
      </c>
      <c r="D3666" s="433">
        <f t="shared" si="115"/>
        <v>2303.35</v>
      </c>
    </row>
    <row r="3667" spans="1:4" ht="16.149999999999999" customHeight="1" x14ac:dyDescent="0.25">
      <c r="A3667" s="431">
        <v>37227</v>
      </c>
      <c r="B3667" s="432">
        <v>2303.35</v>
      </c>
      <c r="C3667" s="427">
        <f t="shared" si="114"/>
        <v>2001</v>
      </c>
      <c r="D3667" s="433">
        <f t="shared" si="115"/>
        <v>2303.35</v>
      </c>
    </row>
    <row r="3668" spans="1:4" ht="16.149999999999999" customHeight="1" x14ac:dyDescent="0.25">
      <c r="A3668" s="431">
        <v>37228</v>
      </c>
      <c r="B3668" s="434">
        <v>2303.35</v>
      </c>
      <c r="C3668" s="427">
        <f t="shared" si="114"/>
        <v>2001</v>
      </c>
      <c r="D3668" s="433">
        <f t="shared" si="115"/>
        <v>2303.35</v>
      </c>
    </row>
    <row r="3669" spans="1:4" ht="16.149999999999999" customHeight="1" x14ac:dyDescent="0.25">
      <c r="A3669" s="431">
        <v>37229</v>
      </c>
      <c r="B3669" s="432">
        <v>2304.13</v>
      </c>
      <c r="C3669" s="427">
        <f t="shared" si="114"/>
        <v>2001</v>
      </c>
      <c r="D3669" s="433">
        <f t="shared" si="115"/>
        <v>2304.13</v>
      </c>
    </row>
    <row r="3670" spans="1:4" ht="16.149999999999999" customHeight="1" x14ac:dyDescent="0.25">
      <c r="A3670" s="431">
        <v>37230</v>
      </c>
      <c r="B3670" s="434">
        <v>2314.7600000000002</v>
      </c>
      <c r="C3670" s="427">
        <f t="shared" si="114"/>
        <v>2001</v>
      </c>
      <c r="D3670" s="433">
        <f t="shared" si="115"/>
        <v>2314.7600000000002</v>
      </c>
    </row>
    <row r="3671" spans="1:4" ht="16.149999999999999" customHeight="1" x14ac:dyDescent="0.25">
      <c r="A3671" s="431">
        <v>37231</v>
      </c>
      <c r="B3671" s="432">
        <v>2315.36</v>
      </c>
      <c r="C3671" s="427">
        <f t="shared" si="114"/>
        <v>2001</v>
      </c>
      <c r="D3671" s="433">
        <f t="shared" si="115"/>
        <v>2315.36</v>
      </c>
    </row>
    <row r="3672" spans="1:4" ht="16.149999999999999" customHeight="1" x14ac:dyDescent="0.25">
      <c r="A3672" s="431">
        <v>37232</v>
      </c>
      <c r="B3672" s="434">
        <v>2314.89</v>
      </c>
      <c r="C3672" s="427">
        <f t="shared" si="114"/>
        <v>2001</v>
      </c>
      <c r="D3672" s="433">
        <f t="shared" si="115"/>
        <v>2314.89</v>
      </c>
    </row>
    <row r="3673" spans="1:4" ht="16.149999999999999" customHeight="1" x14ac:dyDescent="0.25">
      <c r="A3673" s="431">
        <v>37233</v>
      </c>
      <c r="B3673" s="432">
        <v>2310.9</v>
      </c>
      <c r="C3673" s="427">
        <f t="shared" si="114"/>
        <v>2001</v>
      </c>
      <c r="D3673" s="433">
        <f t="shared" si="115"/>
        <v>2310.9</v>
      </c>
    </row>
    <row r="3674" spans="1:4" ht="16.149999999999999" customHeight="1" x14ac:dyDescent="0.25">
      <c r="A3674" s="431">
        <v>37234</v>
      </c>
      <c r="B3674" s="434">
        <v>2310.9</v>
      </c>
      <c r="C3674" s="427">
        <f t="shared" si="114"/>
        <v>2001</v>
      </c>
      <c r="D3674" s="433">
        <f t="shared" si="115"/>
        <v>2310.9</v>
      </c>
    </row>
    <row r="3675" spans="1:4" ht="16.149999999999999" customHeight="1" x14ac:dyDescent="0.25">
      <c r="A3675" s="431">
        <v>37235</v>
      </c>
      <c r="B3675" s="432">
        <v>2310.9</v>
      </c>
      <c r="C3675" s="427">
        <f t="shared" si="114"/>
        <v>2001</v>
      </c>
      <c r="D3675" s="433">
        <f t="shared" si="115"/>
        <v>2310.9</v>
      </c>
    </row>
    <row r="3676" spans="1:4" ht="16.149999999999999" customHeight="1" x14ac:dyDescent="0.25">
      <c r="A3676" s="431">
        <v>37236</v>
      </c>
      <c r="B3676" s="434">
        <v>2308.41</v>
      </c>
      <c r="C3676" s="427">
        <f t="shared" si="114"/>
        <v>2001</v>
      </c>
      <c r="D3676" s="433">
        <f t="shared" si="115"/>
        <v>2308.41</v>
      </c>
    </row>
    <row r="3677" spans="1:4" ht="16.149999999999999" customHeight="1" x14ac:dyDescent="0.25">
      <c r="A3677" s="431">
        <v>37237</v>
      </c>
      <c r="B3677" s="432">
        <v>2306.56</v>
      </c>
      <c r="C3677" s="427">
        <f t="shared" si="114"/>
        <v>2001</v>
      </c>
      <c r="D3677" s="433">
        <f t="shared" si="115"/>
        <v>2306.56</v>
      </c>
    </row>
    <row r="3678" spans="1:4" ht="16.149999999999999" customHeight="1" x14ac:dyDescent="0.25">
      <c r="A3678" s="431">
        <v>37238</v>
      </c>
      <c r="B3678" s="434">
        <v>2307.12</v>
      </c>
      <c r="C3678" s="427">
        <f t="shared" si="114"/>
        <v>2001</v>
      </c>
      <c r="D3678" s="433">
        <f t="shared" si="115"/>
        <v>2307.12</v>
      </c>
    </row>
    <row r="3679" spans="1:4" ht="16.149999999999999" customHeight="1" x14ac:dyDescent="0.25">
      <c r="A3679" s="431">
        <v>37239</v>
      </c>
      <c r="B3679" s="432">
        <v>2312</v>
      </c>
      <c r="C3679" s="427">
        <f t="shared" si="114"/>
        <v>2001</v>
      </c>
      <c r="D3679" s="433">
        <f t="shared" si="115"/>
        <v>2312</v>
      </c>
    </row>
    <row r="3680" spans="1:4" ht="16.149999999999999" customHeight="1" x14ac:dyDescent="0.25">
      <c r="A3680" s="431">
        <v>37240</v>
      </c>
      <c r="B3680" s="434">
        <v>2318.67</v>
      </c>
      <c r="C3680" s="427">
        <f t="shared" si="114"/>
        <v>2001</v>
      </c>
      <c r="D3680" s="433">
        <f t="shared" si="115"/>
        <v>2318.67</v>
      </c>
    </row>
    <row r="3681" spans="1:4" ht="16.149999999999999" customHeight="1" x14ac:dyDescent="0.25">
      <c r="A3681" s="431">
        <v>37241</v>
      </c>
      <c r="B3681" s="432">
        <v>2318.67</v>
      </c>
      <c r="C3681" s="427">
        <f t="shared" si="114"/>
        <v>2001</v>
      </c>
      <c r="D3681" s="433">
        <f t="shared" si="115"/>
        <v>2318.67</v>
      </c>
    </row>
    <row r="3682" spans="1:4" ht="16.149999999999999" customHeight="1" x14ac:dyDescent="0.25">
      <c r="A3682" s="431">
        <v>37242</v>
      </c>
      <c r="B3682" s="434">
        <v>2318.67</v>
      </c>
      <c r="C3682" s="427">
        <f t="shared" si="114"/>
        <v>2001</v>
      </c>
      <c r="D3682" s="433">
        <f t="shared" si="115"/>
        <v>2318.67</v>
      </c>
    </row>
    <row r="3683" spans="1:4" ht="16.149999999999999" customHeight="1" x14ac:dyDescent="0.25">
      <c r="A3683" s="431">
        <v>37243</v>
      </c>
      <c r="B3683" s="432">
        <v>2310.58</v>
      </c>
      <c r="C3683" s="427">
        <f t="shared" si="114"/>
        <v>2001</v>
      </c>
      <c r="D3683" s="433">
        <f t="shared" si="115"/>
        <v>2310.58</v>
      </c>
    </row>
    <row r="3684" spans="1:4" ht="16.149999999999999" customHeight="1" x14ac:dyDescent="0.25">
      <c r="A3684" s="431">
        <v>37244</v>
      </c>
      <c r="B3684" s="434">
        <v>2306.8200000000002</v>
      </c>
      <c r="C3684" s="427">
        <f t="shared" si="114"/>
        <v>2001</v>
      </c>
      <c r="D3684" s="433">
        <f t="shared" si="115"/>
        <v>2306.8200000000002</v>
      </c>
    </row>
    <row r="3685" spans="1:4" ht="16.149999999999999" customHeight="1" x14ac:dyDescent="0.25">
      <c r="A3685" s="431">
        <v>37245</v>
      </c>
      <c r="B3685" s="432">
        <v>2307.1</v>
      </c>
      <c r="C3685" s="427">
        <f t="shared" si="114"/>
        <v>2001</v>
      </c>
      <c r="D3685" s="433">
        <f t="shared" si="115"/>
        <v>2307.1</v>
      </c>
    </row>
    <row r="3686" spans="1:4" ht="16.149999999999999" customHeight="1" x14ac:dyDescent="0.25">
      <c r="A3686" s="431">
        <v>37246</v>
      </c>
      <c r="B3686" s="434">
        <v>2306.88</v>
      </c>
      <c r="C3686" s="427">
        <f t="shared" si="114"/>
        <v>2001</v>
      </c>
      <c r="D3686" s="433">
        <f t="shared" si="115"/>
        <v>2306.88</v>
      </c>
    </row>
    <row r="3687" spans="1:4" ht="16.149999999999999" customHeight="1" x14ac:dyDescent="0.25">
      <c r="A3687" s="431">
        <v>37247</v>
      </c>
      <c r="B3687" s="432">
        <v>2303.15</v>
      </c>
      <c r="C3687" s="427">
        <f t="shared" si="114"/>
        <v>2001</v>
      </c>
      <c r="D3687" s="433">
        <f t="shared" si="115"/>
        <v>2303.15</v>
      </c>
    </row>
    <row r="3688" spans="1:4" ht="16.149999999999999" customHeight="1" x14ac:dyDescent="0.25">
      <c r="A3688" s="431">
        <v>37248</v>
      </c>
      <c r="B3688" s="434">
        <v>2303.15</v>
      </c>
      <c r="C3688" s="427">
        <f t="shared" si="114"/>
        <v>2001</v>
      </c>
      <c r="D3688" s="433">
        <f t="shared" si="115"/>
        <v>2303.15</v>
      </c>
    </row>
    <row r="3689" spans="1:4" ht="16.149999999999999" customHeight="1" x14ac:dyDescent="0.25">
      <c r="A3689" s="431">
        <v>37249</v>
      </c>
      <c r="B3689" s="432">
        <v>2303.15</v>
      </c>
      <c r="C3689" s="427">
        <f t="shared" si="114"/>
        <v>2001</v>
      </c>
      <c r="D3689" s="433">
        <f t="shared" si="115"/>
        <v>2303.15</v>
      </c>
    </row>
    <row r="3690" spans="1:4" ht="16.149999999999999" customHeight="1" x14ac:dyDescent="0.25">
      <c r="A3690" s="431">
        <v>37250</v>
      </c>
      <c r="B3690" s="434">
        <v>2297.59</v>
      </c>
      <c r="C3690" s="427">
        <f t="shared" si="114"/>
        <v>2001</v>
      </c>
      <c r="D3690" s="433">
        <f t="shared" si="115"/>
        <v>2297.59</v>
      </c>
    </row>
    <row r="3691" spans="1:4" ht="16.149999999999999" customHeight="1" x14ac:dyDescent="0.25">
      <c r="A3691" s="431">
        <v>37251</v>
      </c>
      <c r="B3691" s="432">
        <v>2297.59</v>
      </c>
      <c r="C3691" s="427">
        <f t="shared" si="114"/>
        <v>2001</v>
      </c>
      <c r="D3691" s="433">
        <f t="shared" si="115"/>
        <v>2297.59</v>
      </c>
    </row>
    <row r="3692" spans="1:4" ht="16.149999999999999" customHeight="1" x14ac:dyDescent="0.25">
      <c r="A3692" s="431">
        <v>37252</v>
      </c>
      <c r="B3692" s="434">
        <v>2297.17</v>
      </c>
      <c r="C3692" s="427">
        <f t="shared" si="114"/>
        <v>2001</v>
      </c>
      <c r="D3692" s="433">
        <f t="shared" si="115"/>
        <v>2297.17</v>
      </c>
    </row>
    <row r="3693" spans="1:4" ht="16.149999999999999" customHeight="1" x14ac:dyDescent="0.25">
      <c r="A3693" s="431">
        <v>37253</v>
      </c>
      <c r="B3693" s="432">
        <v>2301.33</v>
      </c>
      <c r="C3693" s="427">
        <f t="shared" si="114"/>
        <v>2001</v>
      </c>
      <c r="D3693" s="433">
        <f t="shared" si="115"/>
        <v>2301.33</v>
      </c>
    </row>
    <row r="3694" spans="1:4" ht="16.149999999999999" customHeight="1" x14ac:dyDescent="0.25">
      <c r="A3694" s="431">
        <v>37254</v>
      </c>
      <c r="B3694" s="434">
        <v>2291.1799999999998</v>
      </c>
      <c r="C3694" s="427">
        <f t="shared" si="114"/>
        <v>2001</v>
      </c>
      <c r="D3694" s="433">
        <f t="shared" si="115"/>
        <v>2291.1799999999998</v>
      </c>
    </row>
    <row r="3695" spans="1:4" ht="16.149999999999999" customHeight="1" x14ac:dyDescent="0.25">
      <c r="A3695" s="431">
        <v>37255</v>
      </c>
      <c r="B3695" s="432">
        <v>2291.1799999999998</v>
      </c>
      <c r="C3695" s="427">
        <f t="shared" si="114"/>
        <v>2001</v>
      </c>
      <c r="D3695" s="433">
        <f t="shared" si="115"/>
        <v>2291.1799999999998</v>
      </c>
    </row>
    <row r="3696" spans="1:4" ht="16.149999999999999" customHeight="1" x14ac:dyDescent="0.25">
      <c r="A3696" s="431">
        <v>37256</v>
      </c>
      <c r="B3696" s="434">
        <v>2291.1799999999998</v>
      </c>
      <c r="C3696" s="427">
        <f t="shared" si="114"/>
        <v>2001</v>
      </c>
      <c r="D3696" s="433">
        <f t="shared" si="115"/>
        <v>2291.1799999999998</v>
      </c>
    </row>
    <row r="3697" spans="1:4" ht="16.149999999999999" customHeight="1" x14ac:dyDescent="0.25">
      <c r="A3697" s="431">
        <v>37257</v>
      </c>
      <c r="B3697" s="432">
        <v>2291.1799999999998</v>
      </c>
      <c r="C3697" s="427">
        <f t="shared" si="114"/>
        <v>2002</v>
      </c>
      <c r="D3697" s="433">
        <f t="shared" si="115"/>
        <v>2291.1799999999998</v>
      </c>
    </row>
    <row r="3698" spans="1:4" ht="16.149999999999999" customHeight="1" x14ac:dyDescent="0.25">
      <c r="A3698" s="431">
        <v>37258</v>
      </c>
      <c r="B3698" s="434">
        <v>2291.1799999999998</v>
      </c>
      <c r="C3698" s="427">
        <f t="shared" si="114"/>
        <v>2002</v>
      </c>
      <c r="D3698" s="433">
        <f t="shared" si="115"/>
        <v>2291.1799999999998</v>
      </c>
    </row>
    <row r="3699" spans="1:4" ht="16.149999999999999" customHeight="1" x14ac:dyDescent="0.25">
      <c r="A3699" s="431">
        <v>37259</v>
      </c>
      <c r="B3699" s="432">
        <v>2289.42</v>
      </c>
      <c r="C3699" s="427">
        <f t="shared" si="114"/>
        <v>2002</v>
      </c>
      <c r="D3699" s="433">
        <f t="shared" si="115"/>
        <v>2289.42</v>
      </c>
    </row>
    <row r="3700" spans="1:4" ht="16.149999999999999" customHeight="1" x14ac:dyDescent="0.25">
      <c r="A3700" s="431">
        <v>37260</v>
      </c>
      <c r="B3700" s="434">
        <v>2289.91</v>
      </c>
      <c r="C3700" s="427">
        <f t="shared" si="114"/>
        <v>2002</v>
      </c>
      <c r="D3700" s="433">
        <f t="shared" si="115"/>
        <v>2289.91</v>
      </c>
    </row>
    <row r="3701" spans="1:4" ht="16.149999999999999" customHeight="1" x14ac:dyDescent="0.25">
      <c r="A3701" s="431">
        <v>37261</v>
      </c>
      <c r="B3701" s="432">
        <v>2295.59</v>
      </c>
      <c r="C3701" s="427">
        <f t="shared" si="114"/>
        <v>2002</v>
      </c>
      <c r="D3701" s="433">
        <f t="shared" si="115"/>
        <v>2295.59</v>
      </c>
    </row>
    <row r="3702" spans="1:4" ht="16.149999999999999" customHeight="1" x14ac:dyDescent="0.25">
      <c r="A3702" s="431">
        <v>37262</v>
      </c>
      <c r="B3702" s="434">
        <v>2295.59</v>
      </c>
      <c r="C3702" s="427">
        <f t="shared" si="114"/>
        <v>2002</v>
      </c>
      <c r="D3702" s="433">
        <f t="shared" si="115"/>
        <v>2295.59</v>
      </c>
    </row>
    <row r="3703" spans="1:4" ht="16.149999999999999" customHeight="1" x14ac:dyDescent="0.25">
      <c r="A3703" s="431">
        <v>37263</v>
      </c>
      <c r="B3703" s="432">
        <v>2295.59</v>
      </c>
      <c r="C3703" s="427">
        <f t="shared" si="114"/>
        <v>2002</v>
      </c>
      <c r="D3703" s="433">
        <f t="shared" si="115"/>
        <v>2295.59</v>
      </c>
    </row>
    <row r="3704" spans="1:4" ht="16.149999999999999" customHeight="1" x14ac:dyDescent="0.25">
      <c r="A3704" s="431">
        <v>37264</v>
      </c>
      <c r="B3704" s="434">
        <v>2295.59</v>
      </c>
      <c r="C3704" s="427">
        <f t="shared" si="114"/>
        <v>2002</v>
      </c>
      <c r="D3704" s="433">
        <f t="shared" si="115"/>
        <v>2295.59</v>
      </c>
    </row>
    <row r="3705" spans="1:4" ht="16.149999999999999" customHeight="1" x14ac:dyDescent="0.25">
      <c r="A3705" s="431">
        <v>37265</v>
      </c>
      <c r="B3705" s="432">
        <v>2306.31</v>
      </c>
      <c r="C3705" s="427">
        <f t="shared" si="114"/>
        <v>2002</v>
      </c>
      <c r="D3705" s="433">
        <f t="shared" si="115"/>
        <v>2306.31</v>
      </c>
    </row>
    <row r="3706" spans="1:4" ht="16.149999999999999" customHeight="1" x14ac:dyDescent="0.25">
      <c r="A3706" s="431">
        <v>37266</v>
      </c>
      <c r="B3706" s="434">
        <v>2306.35</v>
      </c>
      <c r="C3706" s="427">
        <f t="shared" si="114"/>
        <v>2002</v>
      </c>
      <c r="D3706" s="433">
        <f t="shared" si="115"/>
        <v>2306.35</v>
      </c>
    </row>
    <row r="3707" spans="1:4" ht="16.149999999999999" customHeight="1" x14ac:dyDescent="0.25">
      <c r="A3707" s="431">
        <v>37267</v>
      </c>
      <c r="B3707" s="432">
        <v>2311.5700000000002</v>
      </c>
      <c r="C3707" s="427">
        <f t="shared" si="114"/>
        <v>2002</v>
      </c>
      <c r="D3707" s="433">
        <f t="shared" si="115"/>
        <v>2311.5700000000002</v>
      </c>
    </row>
    <row r="3708" spans="1:4" ht="16.149999999999999" customHeight="1" x14ac:dyDescent="0.25">
      <c r="A3708" s="431">
        <v>37268</v>
      </c>
      <c r="B3708" s="434">
        <v>2304.54</v>
      </c>
      <c r="C3708" s="427">
        <f t="shared" si="114"/>
        <v>2002</v>
      </c>
      <c r="D3708" s="433">
        <f t="shared" si="115"/>
        <v>2304.54</v>
      </c>
    </row>
    <row r="3709" spans="1:4" ht="16.149999999999999" customHeight="1" x14ac:dyDescent="0.25">
      <c r="A3709" s="431">
        <v>37269</v>
      </c>
      <c r="B3709" s="432">
        <v>2304.54</v>
      </c>
      <c r="C3709" s="427">
        <f t="shared" si="114"/>
        <v>2002</v>
      </c>
      <c r="D3709" s="433">
        <f t="shared" si="115"/>
        <v>2304.54</v>
      </c>
    </row>
    <row r="3710" spans="1:4" ht="16.149999999999999" customHeight="1" x14ac:dyDescent="0.25">
      <c r="A3710" s="431">
        <v>37270</v>
      </c>
      <c r="B3710" s="434">
        <v>2304.54</v>
      </c>
      <c r="C3710" s="427">
        <f t="shared" si="114"/>
        <v>2002</v>
      </c>
      <c r="D3710" s="433">
        <f t="shared" si="115"/>
        <v>2304.54</v>
      </c>
    </row>
    <row r="3711" spans="1:4" ht="16.149999999999999" customHeight="1" x14ac:dyDescent="0.25">
      <c r="A3711" s="431">
        <v>37271</v>
      </c>
      <c r="B3711" s="432">
        <v>2297.31</v>
      </c>
      <c r="C3711" s="427">
        <f t="shared" si="114"/>
        <v>2002</v>
      </c>
      <c r="D3711" s="433">
        <f t="shared" si="115"/>
        <v>2297.31</v>
      </c>
    </row>
    <row r="3712" spans="1:4" ht="16.149999999999999" customHeight="1" x14ac:dyDescent="0.25">
      <c r="A3712" s="431">
        <v>37272</v>
      </c>
      <c r="B3712" s="434">
        <v>2280.73</v>
      </c>
      <c r="C3712" s="427">
        <f t="shared" si="114"/>
        <v>2002</v>
      </c>
      <c r="D3712" s="433">
        <f t="shared" si="115"/>
        <v>2280.73</v>
      </c>
    </row>
    <row r="3713" spans="1:4" ht="16.149999999999999" customHeight="1" x14ac:dyDescent="0.25">
      <c r="A3713" s="431">
        <v>37273</v>
      </c>
      <c r="B3713" s="432">
        <v>2265.66</v>
      </c>
      <c r="C3713" s="427">
        <f t="shared" si="114"/>
        <v>2002</v>
      </c>
      <c r="D3713" s="433">
        <f t="shared" si="115"/>
        <v>2265.66</v>
      </c>
    </row>
    <row r="3714" spans="1:4" ht="16.149999999999999" customHeight="1" x14ac:dyDescent="0.25">
      <c r="A3714" s="431">
        <v>37274</v>
      </c>
      <c r="B3714" s="434">
        <v>2265.0100000000002</v>
      </c>
      <c r="C3714" s="427">
        <f t="shared" si="114"/>
        <v>2002</v>
      </c>
      <c r="D3714" s="433">
        <f t="shared" si="115"/>
        <v>2265.0100000000002</v>
      </c>
    </row>
    <row r="3715" spans="1:4" ht="16.149999999999999" customHeight="1" x14ac:dyDescent="0.25">
      <c r="A3715" s="431">
        <v>37275</v>
      </c>
      <c r="B3715" s="432">
        <v>2269.7600000000002</v>
      </c>
      <c r="C3715" s="427">
        <f t="shared" si="114"/>
        <v>2002</v>
      </c>
      <c r="D3715" s="433">
        <f t="shared" si="115"/>
        <v>2269.7600000000002</v>
      </c>
    </row>
    <row r="3716" spans="1:4" ht="16.149999999999999" customHeight="1" x14ac:dyDescent="0.25">
      <c r="A3716" s="431">
        <v>37276</v>
      </c>
      <c r="B3716" s="434">
        <v>2269.7600000000002</v>
      </c>
      <c r="C3716" s="427">
        <f t="shared" si="114"/>
        <v>2002</v>
      </c>
      <c r="D3716" s="433">
        <f t="shared" si="115"/>
        <v>2269.7600000000002</v>
      </c>
    </row>
    <row r="3717" spans="1:4" ht="16.149999999999999" customHeight="1" x14ac:dyDescent="0.25">
      <c r="A3717" s="431">
        <v>37277</v>
      </c>
      <c r="B3717" s="432">
        <v>2269.7600000000002</v>
      </c>
      <c r="C3717" s="427">
        <f t="shared" si="114"/>
        <v>2002</v>
      </c>
      <c r="D3717" s="433">
        <f t="shared" si="115"/>
        <v>2269.7600000000002</v>
      </c>
    </row>
    <row r="3718" spans="1:4" ht="16.149999999999999" customHeight="1" x14ac:dyDescent="0.25">
      <c r="A3718" s="431">
        <v>37278</v>
      </c>
      <c r="B3718" s="434">
        <v>2259.2399999999998</v>
      </c>
      <c r="C3718" s="427">
        <f t="shared" si="114"/>
        <v>2002</v>
      </c>
      <c r="D3718" s="433">
        <f t="shared" si="115"/>
        <v>2259.2399999999998</v>
      </c>
    </row>
    <row r="3719" spans="1:4" ht="16.149999999999999" customHeight="1" x14ac:dyDescent="0.25">
      <c r="A3719" s="431">
        <v>37279</v>
      </c>
      <c r="B3719" s="432">
        <v>2247.29</v>
      </c>
      <c r="C3719" s="427">
        <f t="shared" si="114"/>
        <v>2002</v>
      </c>
      <c r="D3719" s="433">
        <f t="shared" si="115"/>
        <v>2247.29</v>
      </c>
    </row>
    <row r="3720" spans="1:4" ht="16.149999999999999" customHeight="1" x14ac:dyDescent="0.25">
      <c r="A3720" s="431">
        <v>37280</v>
      </c>
      <c r="B3720" s="434">
        <v>2239.92</v>
      </c>
      <c r="C3720" s="427">
        <f t="shared" si="114"/>
        <v>2002</v>
      </c>
      <c r="D3720" s="433">
        <f t="shared" si="115"/>
        <v>2239.92</v>
      </c>
    </row>
    <row r="3721" spans="1:4" ht="16.149999999999999" customHeight="1" x14ac:dyDescent="0.25">
      <c r="A3721" s="431">
        <v>37281</v>
      </c>
      <c r="B3721" s="432">
        <v>2231.98</v>
      </c>
      <c r="C3721" s="427">
        <f t="shared" si="114"/>
        <v>2002</v>
      </c>
      <c r="D3721" s="433">
        <f t="shared" si="115"/>
        <v>2231.98</v>
      </c>
    </row>
    <row r="3722" spans="1:4" ht="16.149999999999999" customHeight="1" x14ac:dyDescent="0.25">
      <c r="A3722" s="431">
        <v>37282</v>
      </c>
      <c r="B3722" s="434">
        <v>2242.67</v>
      </c>
      <c r="C3722" s="427">
        <f t="shared" ref="C3722:C3785" si="116">YEAR(A3722)</f>
        <v>2002</v>
      </c>
      <c r="D3722" s="433">
        <f t="shared" ref="D3722:D3785" si="117">B3722</f>
        <v>2242.67</v>
      </c>
    </row>
    <row r="3723" spans="1:4" ht="16.149999999999999" customHeight="1" x14ac:dyDescent="0.25">
      <c r="A3723" s="431">
        <v>37283</v>
      </c>
      <c r="B3723" s="432">
        <v>2242.67</v>
      </c>
      <c r="C3723" s="427">
        <f t="shared" si="116"/>
        <v>2002</v>
      </c>
      <c r="D3723" s="433">
        <f t="shared" si="117"/>
        <v>2242.67</v>
      </c>
    </row>
    <row r="3724" spans="1:4" ht="16.149999999999999" customHeight="1" x14ac:dyDescent="0.25">
      <c r="A3724" s="431">
        <v>37284</v>
      </c>
      <c r="B3724" s="434">
        <v>2242.67</v>
      </c>
      <c r="C3724" s="427">
        <f t="shared" si="116"/>
        <v>2002</v>
      </c>
      <c r="D3724" s="433">
        <f t="shared" si="117"/>
        <v>2242.67</v>
      </c>
    </row>
    <row r="3725" spans="1:4" ht="16.149999999999999" customHeight="1" x14ac:dyDescent="0.25">
      <c r="A3725" s="431">
        <v>37285</v>
      </c>
      <c r="B3725" s="432">
        <v>2252.37</v>
      </c>
      <c r="C3725" s="427">
        <f t="shared" si="116"/>
        <v>2002</v>
      </c>
      <c r="D3725" s="433">
        <f t="shared" si="117"/>
        <v>2252.37</v>
      </c>
    </row>
    <row r="3726" spans="1:4" ht="16.149999999999999" customHeight="1" x14ac:dyDescent="0.25">
      <c r="A3726" s="431">
        <v>37286</v>
      </c>
      <c r="B3726" s="434">
        <v>2262.4499999999998</v>
      </c>
      <c r="C3726" s="427">
        <f t="shared" si="116"/>
        <v>2002</v>
      </c>
      <c r="D3726" s="433">
        <f t="shared" si="117"/>
        <v>2262.4499999999998</v>
      </c>
    </row>
    <row r="3727" spans="1:4" ht="16.149999999999999" customHeight="1" x14ac:dyDescent="0.25">
      <c r="A3727" s="431">
        <v>37287</v>
      </c>
      <c r="B3727" s="432">
        <v>2264.8200000000002</v>
      </c>
      <c r="C3727" s="427">
        <f t="shared" si="116"/>
        <v>2002</v>
      </c>
      <c r="D3727" s="433">
        <f t="shared" si="117"/>
        <v>2264.8200000000002</v>
      </c>
    </row>
    <row r="3728" spans="1:4" ht="16.149999999999999" customHeight="1" x14ac:dyDescent="0.25">
      <c r="A3728" s="431">
        <v>37288</v>
      </c>
      <c r="B3728" s="434">
        <v>2265.9899999999998</v>
      </c>
      <c r="C3728" s="427">
        <f t="shared" si="116"/>
        <v>2002</v>
      </c>
      <c r="D3728" s="433">
        <f t="shared" si="117"/>
        <v>2265.9899999999998</v>
      </c>
    </row>
    <row r="3729" spans="1:4" ht="16.149999999999999" customHeight="1" x14ac:dyDescent="0.25">
      <c r="A3729" s="431">
        <v>37289</v>
      </c>
      <c r="B3729" s="432">
        <v>2267.33</v>
      </c>
      <c r="C3729" s="427">
        <f t="shared" si="116"/>
        <v>2002</v>
      </c>
      <c r="D3729" s="433">
        <f t="shared" si="117"/>
        <v>2267.33</v>
      </c>
    </row>
    <row r="3730" spans="1:4" ht="16.149999999999999" customHeight="1" x14ac:dyDescent="0.25">
      <c r="A3730" s="431">
        <v>37290</v>
      </c>
      <c r="B3730" s="434">
        <v>2267.33</v>
      </c>
      <c r="C3730" s="427">
        <f t="shared" si="116"/>
        <v>2002</v>
      </c>
      <c r="D3730" s="433">
        <f t="shared" si="117"/>
        <v>2267.33</v>
      </c>
    </row>
    <row r="3731" spans="1:4" ht="16.149999999999999" customHeight="1" x14ac:dyDescent="0.25">
      <c r="A3731" s="431">
        <v>37291</v>
      </c>
      <c r="B3731" s="432">
        <v>2267.33</v>
      </c>
      <c r="C3731" s="427">
        <f t="shared" si="116"/>
        <v>2002</v>
      </c>
      <c r="D3731" s="433">
        <f t="shared" si="117"/>
        <v>2267.33</v>
      </c>
    </row>
    <row r="3732" spans="1:4" ht="16.149999999999999" customHeight="1" x14ac:dyDescent="0.25">
      <c r="A3732" s="431">
        <v>37292</v>
      </c>
      <c r="B3732" s="434">
        <v>2266.61</v>
      </c>
      <c r="C3732" s="427">
        <f t="shared" si="116"/>
        <v>2002</v>
      </c>
      <c r="D3732" s="433">
        <f t="shared" si="117"/>
        <v>2266.61</v>
      </c>
    </row>
    <row r="3733" spans="1:4" ht="16.149999999999999" customHeight="1" x14ac:dyDescent="0.25">
      <c r="A3733" s="431">
        <v>37293</v>
      </c>
      <c r="B3733" s="432">
        <v>2259.81</v>
      </c>
      <c r="C3733" s="427">
        <f t="shared" si="116"/>
        <v>2002</v>
      </c>
      <c r="D3733" s="433">
        <f t="shared" si="117"/>
        <v>2259.81</v>
      </c>
    </row>
    <row r="3734" spans="1:4" ht="16.149999999999999" customHeight="1" x14ac:dyDescent="0.25">
      <c r="A3734" s="431">
        <v>37294</v>
      </c>
      <c r="B3734" s="434">
        <v>2254.98</v>
      </c>
      <c r="C3734" s="427">
        <f t="shared" si="116"/>
        <v>2002</v>
      </c>
      <c r="D3734" s="433">
        <f t="shared" si="117"/>
        <v>2254.98</v>
      </c>
    </row>
    <row r="3735" spans="1:4" ht="16.149999999999999" customHeight="1" x14ac:dyDescent="0.25">
      <c r="A3735" s="431">
        <v>37295</v>
      </c>
      <c r="B3735" s="432">
        <v>2260.17</v>
      </c>
      <c r="C3735" s="427">
        <f t="shared" si="116"/>
        <v>2002</v>
      </c>
      <c r="D3735" s="433">
        <f t="shared" si="117"/>
        <v>2260.17</v>
      </c>
    </row>
    <row r="3736" spans="1:4" ht="16.149999999999999" customHeight="1" x14ac:dyDescent="0.25">
      <c r="A3736" s="431">
        <v>37296</v>
      </c>
      <c r="B3736" s="434">
        <v>2272.7600000000002</v>
      </c>
      <c r="C3736" s="427">
        <f t="shared" si="116"/>
        <v>2002</v>
      </c>
      <c r="D3736" s="433">
        <f t="shared" si="117"/>
        <v>2272.7600000000002</v>
      </c>
    </row>
    <row r="3737" spans="1:4" ht="16.149999999999999" customHeight="1" x14ac:dyDescent="0.25">
      <c r="A3737" s="431">
        <v>37297</v>
      </c>
      <c r="B3737" s="432">
        <v>2272.7600000000002</v>
      </c>
      <c r="C3737" s="427">
        <f t="shared" si="116"/>
        <v>2002</v>
      </c>
      <c r="D3737" s="433">
        <f t="shared" si="117"/>
        <v>2272.7600000000002</v>
      </c>
    </row>
    <row r="3738" spans="1:4" ht="16.149999999999999" customHeight="1" x14ac:dyDescent="0.25">
      <c r="A3738" s="431">
        <v>37298</v>
      </c>
      <c r="B3738" s="434">
        <v>2272.7600000000002</v>
      </c>
      <c r="C3738" s="427">
        <f t="shared" si="116"/>
        <v>2002</v>
      </c>
      <c r="D3738" s="433">
        <f t="shared" si="117"/>
        <v>2272.7600000000002</v>
      </c>
    </row>
    <row r="3739" spans="1:4" ht="16.149999999999999" customHeight="1" x14ac:dyDescent="0.25">
      <c r="A3739" s="431">
        <v>37299</v>
      </c>
      <c r="B3739" s="432">
        <v>2283.14</v>
      </c>
      <c r="C3739" s="427">
        <f t="shared" si="116"/>
        <v>2002</v>
      </c>
      <c r="D3739" s="433">
        <f t="shared" si="117"/>
        <v>2283.14</v>
      </c>
    </row>
    <row r="3740" spans="1:4" ht="16.149999999999999" customHeight="1" x14ac:dyDescent="0.25">
      <c r="A3740" s="431">
        <v>37300</v>
      </c>
      <c r="B3740" s="434">
        <v>2290.19</v>
      </c>
      <c r="C3740" s="427">
        <f t="shared" si="116"/>
        <v>2002</v>
      </c>
      <c r="D3740" s="433">
        <f t="shared" si="117"/>
        <v>2290.19</v>
      </c>
    </row>
    <row r="3741" spans="1:4" ht="16.149999999999999" customHeight="1" x14ac:dyDescent="0.25">
      <c r="A3741" s="431">
        <v>37301</v>
      </c>
      <c r="B3741" s="432">
        <v>2309.27</v>
      </c>
      <c r="C3741" s="427">
        <f t="shared" si="116"/>
        <v>2002</v>
      </c>
      <c r="D3741" s="433">
        <f t="shared" si="117"/>
        <v>2309.27</v>
      </c>
    </row>
    <row r="3742" spans="1:4" ht="16.149999999999999" customHeight="1" x14ac:dyDescent="0.25">
      <c r="A3742" s="431">
        <v>37302</v>
      </c>
      <c r="B3742" s="434">
        <v>2312.0300000000002</v>
      </c>
      <c r="C3742" s="427">
        <f t="shared" si="116"/>
        <v>2002</v>
      </c>
      <c r="D3742" s="433">
        <f t="shared" si="117"/>
        <v>2312.0300000000002</v>
      </c>
    </row>
    <row r="3743" spans="1:4" ht="16.149999999999999" customHeight="1" x14ac:dyDescent="0.25">
      <c r="A3743" s="431">
        <v>37303</v>
      </c>
      <c r="B3743" s="432">
        <v>2288.54</v>
      </c>
      <c r="C3743" s="427">
        <f t="shared" si="116"/>
        <v>2002</v>
      </c>
      <c r="D3743" s="433">
        <f t="shared" si="117"/>
        <v>2288.54</v>
      </c>
    </row>
    <row r="3744" spans="1:4" ht="16.149999999999999" customHeight="1" x14ac:dyDescent="0.25">
      <c r="A3744" s="431">
        <v>37304</v>
      </c>
      <c r="B3744" s="434">
        <v>2288.54</v>
      </c>
      <c r="C3744" s="427">
        <f t="shared" si="116"/>
        <v>2002</v>
      </c>
      <c r="D3744" s="433">
        <f t="shared" si="117"/>
        <v>2288.54</v>
      </c>
    </row>
    <row r="3745" spans="1:4" ht="16.149999999999999" customHeight="1" x14ac:dyDescent="0.25">
      <c r="A3745" s="431">
        <v>37305</v>
      </c>
      <c r="B3745" s="432">
        <v>2288.54</v>
      </c>
      <c r="C3745" s="427">
        <f t="shared" si="116"/>
        <v>2002</v>
      </c>
      <c r="D3745" s="433">
        <f t="shared" si="117"/>
        <v>2288.54</v>
      </c>
    </row>
    <row r="3746" spans="1:4" ht="16.149999999999999" customHeight="1" x14ac:dyDescent="0.25">
      <c r="A3746" s="431">
        <v>37306</v>
      </c>
      <c r="B3746" s="434">
        <v>2288.98</v>
      </c>
      <c r="C3746" s="427">
        <f t="shared" si="116"/>
        <v>2002</v>
      </c>
      <c r="D3746" s="433">
        <f t="shared" si="117"/>
        <v>2288.98</v>
      </c>
    </row>
    <row r="3747" spans="1:4" ht="16.149999999999999" customHeight="1" x14ac:dyDescent="0.25">
      <c r="A3747" s="431">
        <v>37307</v>
      </c>
      <c r="B3747" s="432">
        <v>2280.98</v>
      </c>
      <c r="C3747" s="427">
        <f t="shared" si="116"/>
        <v>2002</v>
      </c>
      <c r="D3747" s="433">
        <f t="shared" si="117"/>
        <v>2280.98</v>
      </c>
    </row>
    <row r="3748" spans="1:4" ht="16.149999999999999" customHeight="1" x14ac:dyDescent="0.25">
      <c r="A3748" s="431">
        <v>37308</v>
      </c>
      <c r="B3748" s="434">
        <v>2282.94</v>
      </c>
      <c r="C3748" s="427">
        <f t="shared" si="116"/>
        <v>2002</v>
      </c>
      <c r="D3748" s="433">
        <f t="shared" si="117"/>
        <v>2282.94</v>
      </c>
    </row>
    <row r="3749" spans="1:4" ht="16.149999999999999" customHeight="1" x14ac:dyDescent="0.25">
      <c r="A3749" s="431">
        <v>37309</v>
      </c>
      <c r="B3749" s="432">
        <v>2309.4499999999998</v>
      </c>
      <c r="C3749" s="427">
        <f t="shared" si="116"/>
        <v>2002</v>
      </c>
      <c r="D3749" s="433">
        <f t="shared" si="117"/>
        <v>2309.4499999999998</v>
      </c>
    </row>
    <row r="3750" spans="1:4" ht="16.149999999999999" customHeight="1" x14ac:dyDescent="0.25">
      <c r="A3750" s="431">
        <v>37310</v>
      </c>
      <c r="B3750" s="434">
        <v>2307.75</v>
      </c>
      <c r="C3750" s="427">
        <f t="shared" si="116"/>
        <v>2002</v>
      </c>
      <c r="D3750" s="433">
        <f t="shared" si="117"/>
        <v>2307.75</v>
      </c>
    </row>
    <row r="3751" spans="1:4" ht="16.149999999999999" customHeight="1" x14ac:dyDescent="0.25">
      <c r="A3751" s="431">
        <v>37311</v>
      </c>
      <c r="B3751" s="432">
        <v>2307.75</v>
      </c>
      <c r="C3751" s="427">
        <f t="shared" si="116"/>
        <v>2002</v>
      </c>
      <c r="D3751" s="433">
        <f t="shared" si="117"/>
        <v>2307.75</v>
      </c>
    </row>
    <row r="3752" spans="1:4" ht="16.149999999999999" customHeight="1" x14ac:dyDescent="0.25">
      <c r="A3752" s="431">
        <v>37312</v>
      </c>
      <c r="B3752" s="434">
        <v>2307.75</v>
      </c>
      <c r="C3752" s="427">
        <f t="shared" si="116"/>
        <v>2002</v>
      </c>
      <c r="D3752" s="433">
        <f t="shared" si="117"/>
        <v>2307.75</v>
      </c>
    </row>
    <row r="3753" spans="1:4" ht="16.149999999999999" customHeight="1" x14ac:dyDescent="0.25">
      <c r="A3753" s="431">
        <v>37313</v>
      </c>
      <c r="B3753" s="432">
        <v>2310.21</v>
      </c>
      <c r="C3753" s="427">
        <f t="shared" si="116"/>
        <v>2002</v>
      </c>
      <c r="D3753" s="433">
        <f t="shared" si="117"/>
        <v>2310.21</v>
      </c>
    </row>
    <row r="3754" spans="1:4" ht="16.149999999999999" customHeight="1" x14ac:dyDescent="0.25">
      <c r="A3754" s="431">
        <v>37314</v>
      </c>
      <c r="B3754" s="434">
        <v>2313.13</v>
      </c>
      <c r="C3754" s="427">
        <f t="shared" si="116"/>
        <v>2002</v>
      </c>
      <c r="D3754" s="433">
        <f t="shared" si="117"/>
        <v>2313.13</v>
      </c>
    </row>
    <row r="3755" spans="1:4" ht="16.149999999999999" customHeight="1" x14ac:dyDescent="0.25">
      <c r="A3755" s="431">
        <v>37315</v>
      </c>
      <c r="B3755" s="432">
        <v>2309.8200000000002</v>
      </c>
      <c r="C3755" s="427">
        <f t="shared" si="116"/>
        <v>2002</v>
      </c>
      <c r="D3755" s="433">
        <f t="shared" si="117"/>
        <v>2309.8200000000002</v>
      </c>
    </row>
    <row r="3756" spans="1:4" ht="16.149999999999999" customHeight="1" x14ac:dyDescent="0.25">
      <c r="A3756" s="431">
        <v>37316</v>
      </c>
      <c r="B3756" s="434">
        <v>2306.4499999999998</v>
      </c>
      <c r="C3756" s="427">
        <f t="shared" si="116"/>
        <v>2002</v>
      </c>
      <c r="D3756" s="433">
        <f t="shared" si="117"/>
        <v>2306.4499999999998</v>
      </c>
    </row>
    <row r="3757" spans="1:4" ht="16.149999999999999" customHeight="1" x14ac:dyDescent="0.25">
      <c r="A3757" s="431">
        <v>37317</v>
      </c>
      <c r="B3757" s="432">
        <v>2306.33</v>
      </c>
      <c r="C3757" s="427">
        <f t="shared" si="116"/>
        <v>2002</v>
      </c>
      <c r="D3757" s="433">
        <f t="shared" si="117"/>
        <v>2306.33</v>
      </c>
    </row>
    <row r="3758" spans="1:4" ht="16.149999999999999" customHeight="1" x14ac:dyDescent="0.25">
      <c r="A3758" s="431">
        <v>37318</v>
      </c>
      <c r="B3758" s="434">
        <v>2306.33</v>
      </c>
      <c r="C3758" s="427">
        <f t="shared" si="116"/>
        <v>2002</v>
      </c>
      <c r="D3758" s="433">
        <f t="shared" si="117"/>
        <v>2306.33</v>
      </c>
    </row>
    <row r="3759" spans="1:4" ht="16.149999999999999" customHeight="1" x14ac:dyDescent="0.25">
      <c r="A3759" s="431">
        <v>37319</v>
      </c>
      <c r="B3759" s="432">
        <v>2306.33</v>
      </c>
      <c r="C3759" s="427">
        <f t="shared" si="116"/>
        <v>2002</v>
      </c>
      <c r="D3759" s="433">
        <f t="shared" si="117"/>
        <v>2306.33</v>
      </c>
    </row>
    <row r="3760" spans="1:4" ht="16.149999999999999" customHeight="1" x14ac:dyDescent="0.25">
      <c r="A3760" s="431">
        <v>37320</v>
      </c>
      <c r="B3760" s="434">
        <v>2299.15</v>
      </c>
      <c r="C3760" s="427">
        <f t="shared" si="116"/>
        <v>2002</v>
      </c>
      <c r="D3760" s="433">
        <f t="shared" si="117"/>
        <v>2299.15</v>
      </c>
    </row>
    <row r="3761" spans="1:4" ht="16.149999999999999" customHeight="1" x14ac:dyDescent="0.25">
      <c r="A3761" s="431">
        <v>37321</v>
      </c>
      <c r="B3761" s="432">
        <v>2293.6</v>
      </c>
      <c r="C3761" s="427">
        <f t="shared" si="116"/>
        <v>2002</v>
      </c>
      <c r="D3761" s="433">
        <f t="shared" si="117"/>
        <v>2293.6</v>
      </c>
    </row>
    <row r="3762" spans="1:4" ht="16.149999999999999" customHeight="1" x14ac:dyDescent="0.25">
      <c r="A3762" s="431">
        <v>37322</v>
      </c>
      <c r="B3762" s="434">
        <v>2290</v>
      </c>
      <c r="C3762" s="427">
        <f t="shared" si="116"/>
        <v>2002</v>
      </c>
      <c r="D3762" s="433">
        <f t="shared" si="117"/>
        <v>2290</v>
      </c>
    </row>
    <row r="3763" spans="1:4" ht="16.149999999999999" customHeight="1" x14ac:dyDescent="0.25">
      <c r="A3763" s="431">
        <v>37323</v>
      </c>
      <c r="B3763" s="432">
        <v>2289.83</v>
      </c>
      <c r="C3763" s="427">
        <f t="shared" si="116"/>
        <v>2002</v>
      </c>
      <c r="D3763" s="433">
        <f t="shared" si="117"/>
        <v>2289.83</v>
      </c>
    </row>
    <row r="3764" spans="1:4" ht="16.149999999999999" customHeight="1" x14ac:dyDescent="0.25">
      <c r="A3764" s="431">
        <v>37324</v>
      </c>
      <c r="B3764" s="434">
        <v>2283.83</v>
      </c>
      <c r="C3764" s="427">
        <f t="shared" si="116"/>
        <v>2002</v>
      </c>
      <c r="D3764" s="433">
        <f t="shared" si="117"/>
        <v>2283.83</v>
      </c>
    </row>
    <row r="3765" spans="1:4" ht="16.149999999999999" customHeight="1" x14ac:dyDescent="0.25">
      <c r="A3765" s="431">
        <v>37325</v>
      </c>
      <c r="B3765" s="432">
        <v>2283.83</v>
      </c>
      <c r="C3765" s="427">
        <f t="shared" si="116"/>
        <v>2002</v>
      </c>
      <c r="D3765" s="433">
        <f t="shared" si="117"/>
        <v>2283.83</v>
      </c>
    </row>
    <row r="3766" spans="1:4" ht="16.149999999999999" customHeight="1" x14ac:dyDescent="0.25">
      <c r="A3766" s="431">
        <v>37326</v>
      </c>
      <c r="B3766" s="434">
        <v>2283.83</v>
      </c>
      <c r="C3766" s="427">
        <f t="shared" si="116"/>
        <v>2002</v>
      </c>
      <c r="D3766" s="433">
        <f t="shared" si="117"/>
        <v>2283.83</v>
      </c>
    </row>
    <row r="3767" spans="1:4" ht="16.149999999999999" customHeight="1" x14ac:dyDescent="0.25">
      <c r="A3767" s="431">
        <v>37327</v>
      </c>
      <c r="B3767" s="432">
        <v>2269.88</v>
      </c>
      <c r="C3767" s="427">
        <f t="shared" si="116"/>
        <v>2002</v>
      </c>
      <c r="D3767" s="433">
        <f t="shared" si="117"/>
        <v>2269.88</v>
      </c>
    </row>
    <row r="3768" spans="1:4" ht="16.149999999999999" customHeight="1" x14ac:dyDescent="0.25">
      <c r="A3768" s="431">
        <v>37328</v>
      </c>
      <c r="B3768" s="434">
        <v>2269.17</v>
      </c>
      <c r="C3768" s="427">
        <f t="shared" si="116"/>
        <v>2002</v>
      </c>
      <c r="D3768" s="433">
        <f t="shared" si="117"/>
        <v>2269.17</v>
      </c>
    </row>
    <row r="3769" spans="1:4" ht="16.149999999999999" customHeight="1" x14ac:dyDescent="0.25">
      <c r="A3769" s="431">
        <v>37329</v>
      </c>
      <c r="B3769" s="432">
        <v>2270.66</v>
      </c>
      <c r="C3769" s="427">
        <f t="shared" si="116"/>
        <v>2002</v>
      </c>
      <c r="D3769" s="433">
        <f t="shared" si="117"/>
        <v>2270.66</v>
      </c>
    </row>
    <row r="3770" spans="1:4" ht="16.149999999999999" customHeight="1" x14ac:dyDescent="0.25">
      <c r="A3770" s="431">
        <v>37330</v>
      </c>
      <c r="B3770" s="434">
        <v>2272.27</v>
      </c>
      <c r="C3770" s="427">
        <f t="shared" si="116"/>
        <v>2002</v>
      </c>
      <c r="D3770" s="433">
        <f t="shared" si="117"/>
        <v>2272.27</v>
      </c>
    </row>
    <row r="3771" spans="1:4" ht="16.149999999999999" customHeight="1" x14ac:dyDescent="0.25">
      <c r="A3771" s="431">
        <v>37331</v>
      </c>
      <c r="B3771" s="432">
        <v>2278.56</v>
      </c>
      <c r="C3771" s="427">
        <f t="shared" si="116"/>
        <v>2002</v>
      </c>
      <c r="D3771" s="433">
        <f t="shared" si="117"/>
        <v>2278.56</v>
      </c>
    </row>
    <row r="3772" spans="1:4" ht="16.149999999999999" customHeight="1" x14ac:dyDescent="0.25">
      <c r="A3772" s="431">
        <v>37332</v>
      </c>
      <c r="B3772" s="434">
        <v>2278.56</v>
      </c>
      <c r="C3772" s="427">
        <f t="shared" si="116"/>
        <v>2002</v>
      </c>
      <c r="D3772" s="433">
        <f t="shared" si="117"/>
        <v>2278.56</v>
      </c>
    </row>
    <row r="3773" spans="1:4" ht="16.149999999999999" customHeight="1" x14ac:dyDescent="0.25">
      <c r="A3773" s="431">
        <v>37333</v>
      </c>
      <c r="B3773" s="432">
        <v>2278.56</v>
      </c>
      <c r="C3773" s="427">
        <f t="shared" si="116"/>
        <v>2002</v>
      </c>
      <c r="D3773" s="433">
        <f t="shared" si="117"/>
        <v>2278.56</v>
      </c>
    </row>
    <row r="3774" spans="1:4" ht="16.149999999999999" customHeight="1" x14ac:dyDescent="0.25">
      <c r="A3774" s="431">
        <v>37334</v>
      </c>
      <c r="B3774" s="434">
        <v>2282.25</v>
      </c>
      <c r="C3774" s="427">
        <f t="shared" si="116"/>
        <v>2002</v>
      </c>
      <c r="D3774" s="433">
        <f t="shared" si="117"/>
        <v>2282.25</v>
      </c>
    </row>
    <row r="3775" spans="1:4" ht="16.149999999999999" customHeight="1" x14ac:dyDescent="0.25">
      <c r="A3775" s="431">
        <v>37335</v>
      </c>
      <c r="B3775" s="432">
        <v>2274.5300000000002</v>
      </c>
      <c r="C3775" s="427">
        <f t="shared" si="116"/>
        <v>2002</v>
      </c>
      <c r="D3775" s="433">
        <f t="shared" si="117"/>
        <v>2274.5300000000002</v>
      </c>
    </row>
    <row r="3776" spans="1:4" ht="16.149999999999999" customHeight="1" x14ac:dyDescent="0.25">
      <c r="A3776" s="431">
        <v>37336</v>
      </c>
      <c r="B3776" s="434">
        <v>2279.6</v>
      </c>
      <c r="C3776" s="427">
        <f t="shared" si="116"/>
        <v>2002</v>
      </c>
      <c r="D3776" s="433">
        <f t="shared" si="117"/>
        <v>2279.6</v>
      </c>
    </row>
    <row r="3777" spans="1:4" ht="16.149999999999999" customHeight="1" x14ac:dyDescent="0.25">
      <c r="A3777" s="431">
        <v>37337</v>
      </c>
      <c r="B3777" s="432">
        <v>2280</v>
      </c>
      <c r="C3777" s="427">
        <f t="shared" si="116"/>
        <v>2002</v>
      </c>
      <c r="D3777" s="433">
        <f t="shared" si="117"/>
        <v>2280</v>
      </c>
    </row>
    <row r="3778" spans="1:4" ht="16.149999999999999" customHeight="1" x14ac:dyDescent="0.25">
      <c r="A3778" s="431">
        <v>37338</v>
      </c>
      <c r="B3778" s="434">
        <v>2274.4699999999998</v>
      </c>
      <c r="C3778" s="427">
        <f t="shared" si="116"/>
        <v>2002</v>
      </c>
      <c r="D3778" s="433">
        <f t="shared" si="117"/>
        <v>2274.4699999999998</v>
      </c>
    </row>
    <row r="3779" spans="1:4" ht="16.149999999999999" customHeight="1" x14ac:dyDescent="0.25">
      <c r="A3779" s="431">
        <v>37339</v>
      </c>
      <c r="B3779" s="432">
        <v>2274.4699999999998</v>
      </c>
      <c r="C3779" s="427">
        <f t="shared" si="116"/>
        <v>2002</v>
      </c>
      <c r="D3779" s="433">
        <f t="shared" si="117"/>
        <v>2274.4699999999998</v>
      </c>
    </row>
    <row r="3780" spans="1:4" ht="16.149999999999999" customHeight="1" x14ac:dyDescent="0.25">
      <c r="A3780" s="431">
        <v>37340</v>
      </c>
      <c r="B3780" s="434">
        <v>2274.4699999999998</v>
      </c>
      <c r="C3780" s="427">
        <f t="shared" si="116"/>
        <v>2002</v>
      </c>
      <c r="D3780" s="433">
        <f t="shared" si="117"/>
        <v>2274.4699999999998</v>
      </c>
    </row>
    <row r="3781" spans="1:4" ht="16.149999999999999" customHeight="1" x14ac:dyDescent="0.25">
      <c r="A3781" s="431">
        <v>37341</v>
      </c>
      <c r="B3781" s="432">
        <v>2274.4699999999998</v>
      </c>
      <c r="C3781" s="427">
        <f t="shared" si="116"/>
        <v>2002</v>
      </c>
      <c r="D3781" s="433">
        <f t="shared" si="117"/>
        <v>2274.4699999999998</v>
      </c>
    </row>
    <row r="3782" spans="1:4" ht="16.149999999999999" customHeight="1" x14ac:dyDescent="0.25">
      <c r="A3782" s="431">
        <v>37342</v>
      </c>
      <c r="B3782" s="434">
        <v>2261.37</v>
      </c>
      <c r="C3782" s="427">
        <f t="shared" si="116"/>
        <v>2002</v>
      </c>
      <c r="D3782" s="433">
        <f t="shared" si="117"/>
        <v>2261.37</v>
      </c>
    </row>
    <row r="3783" spans="1:4" ht="16.149999999999999" customHeight="1" x14ac:dyDescent="0.25">
      <c r="A3783" s="431">
        <v>37343</v>
      </c>
      <c r="B3783" s="432">
        <v>2261.23</v>
      </c>
      <c r="C3783" s="427">
        <f t="shared" si="116"/>
        <v>2002</v>
      </c>
      <c r="D3783" s="433">
        <f t="shared" si="117"/>
        <v>2261.23</v>
      </c>
    </row>
    <row r="3784" spans="1:4" ht="16.149999999999999" customHeight="1" x14ac:dyDescent="0.25">
      <c r="A3784" s="431">
        <v>37344</v>
      </c>
      <c r="B3784" s="434">
        <v>2261.23</v>
      </c>
      <c r="C3784" s="427">
        <f t="shared" si="116"/>
        <v>2002</v>
      </c>
      <c r="D3784" s="433">
        <f t="shared" si="117"/>
        <v>2261.23</v>
      </c>
    </row>
    <row r="3785" spans="1:4" ht="16.149999999999999" customHeight="1" x14ac:dyDescent="0.25">
      <c r="A3785" s="431">
        <v>37345</v>
      </c>
      <c r="B3785" s="432">
        <v>2261.23</v>
      </c>
      <c r="C3785" s="427">
        <f t="shared" si="116"/>
        <v>2002</v>
      </c>
      <c r="D3785" s="433">
        <f t="shared" si="117"/>
        <v>2261.23</v>
      </c>
    </row>
    <row r="3786" spans="1:4" ht="16.149999999999999" customHeight="1" x14ac:dyDescent="0.25">
      <c r="A3786" s="431">
        <v>37346</v>
      </c>
      <c r="B3786" s="434">
        <v>2261.23</v>
      </c>
      <c r="C3786" s="427">
        <f t="shared" ref="C3786:C3849" si="118">YEAR(A3786)</f>
        <v>2002</v>
      </c>
      <c r="D3786" s="433">
        <f t="shared" ref="D3786:D3849" si="119">B3786</f>
        <v>2261.23</v>
      </c>
    </row>
    <row r="3787" spans="1:4" ht="16.149999999999999" customHeight="1" x14ac:dyDescent="0.25">
      <c r="A3787" s="431">
        <v>37347</v>
      </c>
      <c r="B3787" s="432">
        <v>2261.23</v>
      </c>
      <c r="C3787" s="427">
        <f t="shared" si="118"/>
        <v>2002</v>
      </c>
      <c r="D3787" s="433">
        <f t="shared" si="119"/>
        <v>2261.23</v>
      </c>
    </row>
    <row r="3788" spans="1:4" ht="16.149999999999999" customHeight="1" x14ac:dyDescent="0.25">
      <c r="A3788" s="431">
        <v>37348</v>
      </c>
      <c r="B3788" s="434">
        <v>2264.5700000000002</v>
      </c>
      <c r="C3788" s="427">
        <f t="shared" si="118"/>
        <v>2002</v>
      </c>
      <c r="D3788" s="433">
        <f t="shared" si="119"/>
        <v>2264.5700000000002</v>
      </c>
    </row>
    <row r="3789" spans="1:4" ht="16.149999999999999" customHeight="1" x14ac:dyDescent="0.25">
      <c r="A3789" s="431">
        <v>37349</v>
      </c>
      <c r="B3789" s="432">
        <v>2257.16</v>
      </c>
      <c r="C3789" s="427">
        <f t="shared" si="118"/>
        <v>2002</v>
      </c>
      <c r="D3789" s="433">
        <f t="shared" si="119"/>
        <v>2257.16</v>
      </c>
    </row>
    <row r="3790" spans="1:4" ht="16.149999999999999" customHeight="1" x14ac:dyDescent="0.25">
      <c r="A3790" s="431">
        <v>37350</v>
      </c>
      <c r="B3790" s="434">
        <v>2267.9899999999998</v>
      </c>
      <c r="C3790" s="427">
        <f t="shared" si="118"/>
        <v>2002</v>
      </c>
      <c r="D3790" s="433">
        <f t="shared" si="119"/>
        <v>2267.9899999999998</v>
      </c>
    </row>
    <row r="3791" spans="1:4" ht="16.149999999999999" customHeight="1" x14ac:dyDescent="0.25">
      <c r="A3791" s="431">
        <v>37351</v>
      </c>
      <c r="B3791" s="432">
        <v>2269.35</v>
      </c>
      <c r="C3791" s="427">
        <f t="shared" si="118"/>
        <v>2002</v>
      </c>
      <c r="D3791" s="433">
        <f t="shared" si="119"/>
        <v>2269.35</v>
      </c>
    </row>
    <row r="3792" spans="1:4" ht="16.149999999999999" customHeight="1" x14ac:dyDescent="0.25">
      <c r="A3792" s="431">
        <v>37352</v>
      </c>
      <c r="B3792" s="434">
        <v>2263.0300000000002</v>
      </c>
      <c r="C3792" s="427">
        <f t="shared" si="118"/>
        <v>2002</v>
      </c>
      <c r="D3792" s="433">
        <f t="shared" si="119"/>
        <v>2263.0300000000002</v>
      </c>
    </row>
    <row r="3793" spans="1:4" ht="16.149999999999999" customHeight="1" x14ac:dyDescent="0.25">
      <c r="A3793" s="431">
        <v>37353</v>
      </c>
      <c r="B3793" s="432">
        <v>2263.0300000000002</v>
      </c>
      <c r="C3793" s="427">
        <f t="shared" si="118"/>
        <v>2002</v>
      </c>
      <c r="D3793" s="433">
        <f t="shared" si="119"/>
        <v>2263.0300000000002</v>
      </c>
    </row>
    <row r="3794" spans="1:4" ht="16.149999999999999" customHeight="1" x14ac:dyDescent="0.25">
      <c r="A3794" s="431">
        <v>37354</v>
      </c>
      <c r="B3794" s="434">
        <v>2263.0300000000002</v>
      </c>
      <c r="C3794" s="427">
        <f t="shared" si="118"/>
        <v>2002</v>
      </c>
      <c r="D3794" s="433">
        <f t="shared" si="119"/>
        <v>2263.0300000000002</v>
      </c>
    </row>
    <row r="3795" spans="1:4" ht="16.149999999999999" customHeight="1" x14ac:dyDescent="0.25">
      <c r="A3795" s="431">
        <v>37355</v>
      </c>
      <c r="B3795" s="432">
        <v>2255.02</v>
      </c>
      <c r="C3795" s="427">
        <f t="shared" si="118"/>
        <v>2002</v>
      </c>
      <c r="D3795" s="433">
        <f t="shared" si="119"/>
        <v>2255.02</v>
      </c>
    </row>
    <row r="3796" spans="1:4" ht="16.149999999999999" customHeight="1" x14ac:dyDescent="0.25">
      <c r="A3796" s="431">
        <v>37356</v>
      </c>
      <c r="B3796" s="434">
        <v>2254.4499999999998</v>
      </c>
      <c r="C3796" s="427">
        <f t="shared" si="118"/>
        <v>2002</v>
      </c>
      <c r="D3796" s="433">
        <f t="shared" si="119"/>
        <v>2254.4499999999998</v>
      </c>
    </row>
    <row r="3797" spans="1:4" ht="16.149999999999999" customHeight="1" x14ac:dyDescent="0.25">
      <c r="A3797" s="431">
        <v>37357</v>
      </c>
      <c r="B3797" s="432">
        <v>2257.7800000000002</v>
      </c>
      <c r="C3797" s="427">
        <f t="shared" si="118"/>
        <v>2002</v>
      </c>
      <c r="D3797" s="433">
        <f t="shared" si="119"/>
        <v>2257.7800000000002</v>
      </c>
    </row>
    <row r="3798" spans="1:4" ht="16.149999999999999" customHeight="1" x14ac:dyDescent="0.25">
      <c r="A3798" s="431">
        <v>37358</v>
      </c>
      <c r="B3798" s="434">
        <v>2261.66</v>
      </c>
      <c r="C3798" s="427">
        <f t="shared" si="118"/>
        <v>2002</v>
      </c>
      <c r="D3798" s="433">
        <f t="shared" si="119"/>
        <v>2261.66</v>
      </c>
    </row>
    <row r="3799" spans="1:4" ht="16.149999999999999" customHeight="1" x14ac:dyDescent="0.25">
      <c r="A3799" s="431">
        <v>37359</v>
      </c>
      <c r="B3799" s="432">
        <v>2264.98</v>
      </c>
      <c r="C3799" s="427">
        <f t="shared" si="118"/>
        <v>2002</v>
      </c>
      <c r="D3799" s="433">
        <f t="shared" si="119"/>
        <v>2264.98</v>
      </c>
    </row>
    <row r="3800" spans="1:4" ht="16.149999999999999" customHeight="1" x14ac:dyDescent="0.25">
      <c r="A3800" s="431">
        <v>37360</v>
      </c>
      <c r="B3800" s="434">
        <v>2264.98</v>
      </c>
      <c r="C3800" s="427">
        <f t="shared" si="118"/>
        <v>2002</v>
      </c>
      <c r="D3800" s="433">
        <f t="shared" si="119"/>
        <v>2264.98</v>
      </c>
    </row>
    <row r="3801" spans="1:4" ht="16.149999999999999" customHeight="1" x14ac:dyDescent="0.25">
      <c r="A3801" s="431">
        <v>37361</v>
      </c>
      <c r="B3801" s="432">
        <v>2264.98</v>
      </c>
      <c r="C3801" s="427">
        <f t="shared" si="118"/>
        <v>2002</v>
      </c>
      <c r="D3801" s="433">
        <f t="shared" si="119"/>
        <v>2264.98</v>
      </c>
    </row>
    <row r="3802" spans="1:4" ht="16.149999999999999" customHeight="1" x14ac:dyDescent="0.25">
      <c r="A3802" s="431">
        <v>37362</v>
      </c>
      <c r="B3802" s="434">
        <v>2266.92</v>
      </c>
      <c r="C3802" s="427">
        <f t="shared" si="118"/>
        <v>2002</v>
      </c>
      <c r="D3802" s="433">
        <f t="shared" si="119"/>
        <v>2266.92</v>
      </c>
    </row>
    <row r="3803" spans="1:4" ht="16.149999999999999" customHeight="1" x14ac:dyDescent="0.25">
      <c r="A3803" s="431">
        <v>37363</v>
      </c>
      <c r="B3803" s="432">
        <v>2262.56</v>
      </c>
      <c r="C3803" s="427">
        <f t="shared" si="118"/>
        <v>2002</v>
      </c>
      <c r="D3803" s="433">
        <f t="shared" si="119"/>
        <v>2262.56</v>
      </c>
    </row>
    <row r="3804" spans="1:4" ht="16.149999999999999" customHeight="1" x14ac:dyDescent="0.25">
      <c r="A3804" s="431">
        <v>37364</v>
      </c>
      <c r="B3804" s="434">
        <v>2261.12</v>
      </c>
      <c r="C3804" s="427">
        <f t="shared" si="118"/>
        <v>2002</v>
      </c>
      <c r="D3804" s="433">
        <f t="shared" si="119"/>
        <v>2261.12</v>
      </c>
    </row>
    <row r="3805" spans="1:4" ht="16.149999999999999" customHeight="1" x14ac:dyDescent="0.25">
      <c r="A3805" s="431">
        <v>37365</v>
      </c>
      <c r="B3805" s="432">
        <v>2256.66</v>
      </c>
      <c r="C3805" s="427">
        <f t="shared" si="118"/>
        <v>2002</v>
      </c>
      <c r="D3805" s="433">
        <f t="shared" si="119"/>
        <v>2256.66</v>
      </c>
    </row>
    <row r="3806" spans="1:4" ht="16.149999999999999" customHeight="1" x14ac:dyDescent="0.25">
      <c r="A3806" s="431">
        <v>37366</v>
      </c>
      <c r="B3806" s="434">
        <v>2260.9</v>
      </c>
      <c r="C3806" s="427">
        <f t="shared" si="118"/>
        <v>2002</v>
      </c>
      <c r="D3806" s="433">
        <f t="shared" si="119"/>
        <v>2260.9</v>
      </c>
    </row>
    <row r="3807" spans="1:4" ht="16.149999999999999" customHeight="1" x14ac:dyDescent="0.25">
      <c r="A3807" s="431">
        <v>37367</v>
      </c>
      <c r="B3807" s="432">
        <v>2260.9</v>
      </c>
      <c r="C3807" s="427">
        <f t="shared" si="118"/>
        <v>2002</v>
      </c>
      <c r="D3807" s="433">
        <f t="shared" si="119"/>
        <v>2260.9</v>
      </c>
    </row>
    <row r="3808" spans="1:4" ht="16.149999999999999" customHeight="1" x14ac:dyDescent="0.25">
      <c r="A3808" s="431">
        <v>37368</v>
      </c>
      <c r="B3808" s="434">
        <v>2260.9</v>
      </c>
      <c r="C3808" s="427">
        <f t="shared" si="118"/>
        <v>2002</v>
      </c>
      <c r="D3808" s="433">
        <f t="shared" si="119"/>
        <v>2260.9</v>
      </c>
    </row>
    <row r="3809" spans="1:4" ht="16.149999999999999" customHeight="1" x14ac:dyDescent="0.25">
      <c r="A3809" s="431">
        <v>37369</v>
      </c>
      <c r="B3809" s="432">
        <v>2259.88</v>
      </c>
      <c r="C3809" s="427">
        <f t="shared" si="118"/>
        <v>2002</v>
      </c>
      <c r="D3809" s="433">
        <f t="shared" si="119"/>
        <v>2259.88</v>
      </c>
    </row>
    <row r="3810" spans="1:4" ht="16.149999999999999" customHeight="1" x14ac:dyDescent="0.25">
      <c r="A3810" s="431">
        <v>37370</v>
      </c>
      <c r="B3810" s="434">
        <v>2263.6799999999998</v>
      </c>
      <c r="C3810" s="427">
        <f t="shared" si="118"/>
        <v>2002</v>
      </c>
      <c r="D3810" s="433">
        <f t="shared" si="119"/>
        <v>2263.6799999999998</v>
      </c>
    </row>
    <row r="3811" spans="1:4" ht="16.149999999999999" customHeight="1" x14ac:dyDescent="0.25">
      <c r="A3811" s="431">
        <v>37371</v>
      </c>
      <c r="B3811" s="432">
        <v>2265.6999999999998</v>
      </c>
      <c r="C3811" s="427">
        <f t="shared" si="118"/>
        <v>2002</v>
      </c>
      <c r="D3811" s="433">
        <f t="shared" si="119"/>
        <v>2265.6999999999998</v>
      </c>
    </row>
    <row r="3812" spans="1:4" ht="16.149999999999999" customHeight="1" x14ac:dyDescent="0.25">
      <c r="A3812" s="431">
        <v>37372</v>
      </c>
      <c r="B3812" s="434">
        <v>2267.4</v>
      </c>
      <c r="C3812" s="427">
        <f t="shared" si="118"/>
        <v>2002</v>
      </c>
      <c r="D3812" s="433">
        <f t="shared" si="119"/>
        <v>2267.4</v>
      </c>
    </row>
    <row r="3813" spans="1:4" ht="16.149999999999999" customHeight="1" x14ac:dyDescent="0.25">
      <c r="A3813" s="431">
        <v>37373</v>
      </c>
      <c r="B3813" s="432">
        <v>2270.92</v>
      </c>
      <c r="C3813" s="427">
        <f t="shared" si="118"/>
        <v>2002</v>
      </c>
      <c r="D3813" s="433">
        <f t="shared" si="119"/>
        <v>2270.92</v>
      </c>
    </row>
    <row r="3814" spans="1:4" ht="16.149999999999999" customHeight="1" x14ac:dyDescent="0.25">
      <c r="A3814" s="431">
        <v>37374</v>
      </c>
      <c r="B3814" s="434">
        <v>2270.92</v>
      </c>
      <c r="C3814" s="427">
        <f t="shared" si="118"/>
        <v>2002</v>
      </c>
      <c r="D3814" s="433">
        <f t="shared" si="119"/>
        <v>2270.92</v>
      </c>
    </row>
    <row r="3815" spans="1:4" ht="16.149999999999999" customHeight="1" x14ac:dyDescent="0.25">
      <c r="A3815" s="431">
        <v>37375</v>
      </c>
      <c r="B3815" s="432">
        <v>2270.92</v>
      </c>
      <c r="C3815" s="427">
        <f t="shared" si="118"/>
        <v>2002</v>
      </c>
      <c r="D3815" s="433">
        <f t="shared" si="119"/>
        <v>2270.92</v>
      </c>
    </row>
    <row r="3816" spans="1:4" ht="16.149999999999999" customHeight="1" x14ac:dyDescent="0.25">
      <c r="A3816" s="431">
        <v>37376</v>
      </c>
      <c r="B3816" s="434">
        <v>2275.35</v>
      </c>
      <c r="C3816" s="427">
        <f t="shared" si="118"/>
        <v>2002</v>
      </c>
      <c r="D3816" s="433">
        <f t="shared" si="119"/>
        <v>2275.35</v>
      </c>
    </row>
    <row r="3817" spans="1:4" ht="16.149999999999999" customHeight="1" x14ac:dyDescent="0.25">
      <c r="A3817" s="431">
        <v>37377</v>
      </c>
      <c r="B3817" s="432">
        <v>2275.4299999999998</v>
      </c>
      <c r="C3817" s="427">
        <f t="shared" si="118"/>
        <v>2002</v>
      </c>
      <c r="D3817" s="433">
        <f t="shared" si="119"/>
        <v>2275.4299999999998</v>
      </c>
    </row>
    <row r="3818" spans="1:4" ht="16.149999999999999" customHeight="1" x14ac:dyDescent="0.25">
      <c r="A3818" s="431">
        <v>37378</v>
      </c>
      <c r="B3818" s="434">
        <v>2275.4299999999998</v>
      </c>
      <c r="C3818" s="427">
        <f t="shared" si="118"/>
        <v>2002</v>
      </c>
      <c r="D3818" s="433">
        <f t="shared" si="119"/>
        <v>2275.4299999999998</v>
      </c>
    </row>
    <row r="3819" spans="1:4" ht="16.149999999999999" customHeight="1" x14ac:dyDescent="0.25">
      <c r="A3819" s="431">
        <v>37379</v>
      </c>
      <c r="B3819" s="432">
        <v>2279.56</v>
      </c>
      <c r="C3819" s="427">
        <f t="shared" si="118"/>
        <v>2002</v>
      </c>
      <c r="D3819" s="433">
        <f t="shared" si="119"/>
        <v>2279.56</v>
      </c>
    </row>
    <row r="3820" spans="1:4" ht="16.149999999999999" customHeight="1" x14ac:dyDescent="0.25">
      <c r="A3820" s="431">
        <v>37380</v>
      </c>
      <c r="B3820" s="434">
        <v>2286.39</v>
      </c>
      <c r="C3820" s="427">
        <f t="shared" si="118"/>
        <v>2002</v>
      </c>
      <c r="D3820" s="433">
        <f t="shared" si="119"/>
        <v>2286.39</v>
      </c>
    </row>
    <row r="3821" spans="1:4" ht="16.149999999999999" customHeight="1" x14ac:dyDescent="0.25">
      <c r="A3821" s="431">
        <v>37381</v>
      </c>
      <c r="B3821" s="432">
        <v>2286.39</v>
      </c>
      <c r="C3821" s="427">
        <f t="shared" si="118"/>
        <v>2002</v>
      </c>
      <c r="D3821" s="433">
        <f t="shared" si="119"/>
        <v>2286.39</v>
      </c>
    </row>
    <row r="3822" spans="1:4" ht="16.149999999999999" customHeight="1" x14ac:dyDescent="0.25">
      <c r="A3822" s="431">
        <v>37382</v>
      </c>
      <c r="B3822" s="434">
        <v>2286.39</v>
      </c>
      <c r="C3822" s="427">
        <f t="shared" si="118"/>
        <v>2002</v>
      </c>
      <c r="D3822" s="433">
        <f t="shared" si="119"/>
        <v>2286.39</v>
      </c>
    </row>
    <row r="3823" spans="1:4" ht="16.149999999999999" customHeight="1" x14ac:dyDescent="0.25">
      <c r="A3823" s="431">
        <v>37383</v>
      </c>
      <c r="B3823" s="432">
        <v>2285.64</v>
      </c>
      <c r="C3823" s="427">
        <f t="shared" si="118"/>
        <v>2002</v>
      </c>
      <c r="D3823" s="433">
        <f t="shared" si="119"/>
        <v>2285.64</v>
      </c>
    </row>
    <row r="3824" spans="1:4" ht="16.149999999999999" customHeight="1" x14ac:dyDescent="0.25">
      <c r="A3824" s="431">
        <v>37384</v>
      </c>
      <c r="B3824" s="434">
        <v>2286.6</v>
      </c>
      <c r="C3824" s="427">
        <f t="shared" si="118"/>
        <v>2002</v>
      </c>
      <c r="D3824" s="433">
        <f t="shared" si="119"/>
        <v>2286.6</v>
      </c>
    </row>
    <row r="3825" spans="1:4" ht="16.149999999999999" customHeight="1" x14ac:dyDescent="0.25">
      <c r="A3825" s="431">
        <v>37385</v>
      </c>
      <c r="B3825" s="432">
        <v>2284.9299999999998</v>
      </c>
      <c r="C3825" s="427">
        <f t="shared" si="118"/>
        <v>2002</v>
      </c>
      <c r="D3825" s="433">
        <f t="shared" si="119"/>
        <v>2284.9299999999998</v>
      </c>
    </row>
    <row r="3826" spans="1:4" ht="16.149999999999999" customHeight="1" x14ac:dyDescent="0.25">
      <c r="A3826" s="431">
        <v>37386</v>
      </c>
      <c r="B3826" s="434">
        <v>2289.17</v>
      </c>
      <c r="C3826" s="427">
        <f t="shared" si="118"/>
        <v>2002</v>
      </c>
      <c r="D3826" s="433">
        <f t="shared" si="119"/>
        <v>2289.17</v>
      </c>
    </row>
    <row r="3827" spans="1:4" ht="16.149999999999999" customHeight="1" x14ac:dyDescent="0.25">
      <c r="A3827" s="431">
        <v>37387</v>
      </c>
      <c r="B3827" s="432">
        <v>2292</v>
      </c>
      <c r="C3827" s="427">
        <f t="shared" si="118"/>
        <v>2002</v>
      </c>
      <c r="D3827" s="433">
        <f t="shared" si="119"/>
        <v>2292</v>
      </c>
    </row>
    <row r="3828" spans="1:4" ht="16.149999999999999" customHeight="1" x14ac:dyDescent="0.25">
      <c r="A3828" s="431">
        <v>37388</v>
      </c>
      <c r="B3828" s="434">
        <v>2292</v>
      </c>
      <c r="C3828" s="427">
        <f t="shared" si="118"/>
        <v>2002</v>
      </c>
      <c r="D3828" s="433">
        <f t="shared" si="119"/>
        <v>2292</v>
      </c>
    </row>
    <row r="3829" spans="1:4" ht="16.149999999999999" customHeight="1" x14ac:dyDescent="0.25">
      <c r="A3829" s="431">
        <v>37389</v>
      </c>
      <c r="B3829" s="432">
        <v>2292</v>
      </c>
      <c r="C3829" s="427">
        <f t="shared" si="118"/>
        <v>2002</v>
      </c>
      <c r="D3829" s="433">
        <f t="shared" si="119"/>
        <v>2292</v>
      </c>
    </row>
    <row r="3830" spans="1:4" ht="16.149999999999999" customHeight="1" x14ac:dyDescent="0.25">
      <c r="A3830" s="431">
        <v>37390</v>
      </c>
      <c r="B3830" s="434">
        <v>2292</v>
      </c>
      <c r="C3830" s="427">
        <f t="shared" si="118"/>
        <v>2002</v>
      </c>
      <c r="D3830" s="433">
        <f t="shared" si="119"/>
        <v>2292</v>
      </c>
    </row>
    <row r="3831" spans="1:4" ht="16.149999999999999" customHeight="1" x14ac:dyDescent="0.25">
      <c r="A3831" s="431">
        <v>37391</v>
      </c>
      <c r="B3831" s="432">
        <v>2293</v>
      </c>
      <c r="C3831" s="427">
        <f t="shared" si="118"/>
        <v>2002</v>
      </c>
      <c r="D3831" s="433">
        <f t="shared" si="119"/>
        <v>2293</v>
      </c>
    </row>
    <row r="3832" spans="1:4" ht="16.149999999999999" customHeight="1" x14ac:dyDescent="0.25">
      <c r="A3832" s="431">
        <v>37392</v>
      </c>
      <c r="B3832" s="434">
        <v>2300.02</v>
      </c>
      <c r="C3832" s="427">
        <f t="shared" si="118"/>
        <v>2002</v>
      </c>
      <c r="D3832" s="433">
        <f t="shared" si="119"/>
        <v>2300.02</v>
      </c>
    </row>
    <row r="3833" spans="1:4" ht="16.149999999999999" customHeight="1" x14ac:dyDescent="0.25">
      <c r="A3833" s="431">
        <v>37393</v>
      </c>
      <c r="B3833" s="432">
        <v>2314.21</v>
      </c>
      <c r="C3833" s="427">
        <f t="shared" si="118"/>
        <v>2002</v>
      </c>
      <c r="D3833" s="433">
        <f t="shared" si="119"/>
        <v>2314.21</v>
      </c>
    </row>
    <row r="3834" spans="1:4" ht="16.149999999999999" customHeight="1" x14ac:dyDescent="0.25">
      <c r="A3834" s="431">
        <v>37394</v>
      </c>
      <c r="B3834" s="434">
        <v>2332.6799999999998</v>
      </c>
      <c r="C3834" s="427">
        <f t="shared" si="118"/>
        <v>2002</v>
      </c>
      <c r="D3834" s="433">
        <f t="shared" si="119"/>
        <v>2332.6799999999998</v>
      </c>
    </row>
    <row r="3835" spans="1:4" ht="16.149999999999999" customHeight="1" x14ac:dyDescent="0.25">
      <c r="A3835" s="431">
        <v>37395</v>
      </c>
      <c r="B3835" s="432">
        <v>2332.6799999999998</v>
      </c>
      <c r="C3835" s="427">
        <f t="shared" si="118"/>
        <v>2002</v>
      </c>
      <c r="D3835" s="433">
        <f t="shared" si="119"/>
        <v>2332.6799999999998</v>
      </c>
    </row>
    <row r="3836" spans="1:4" ht="16.149999999999999" customHeight="1" x14ac:dyDescent="0.25">
      <c r="A3836" s="431">
        <v>37396</v>
      </c>
      <c r="B3836" s="434">
        <v>2332.6799999999998</v>
      </c>
      <c r="C3836" s="427">
        <f t="shared" si="118"/>
        <v>2002</v>
      </c>
      <c r="D3836" s="433">
        <f t="shared" si="119"/>
        <v>2332.6799999999998</v>
      </c>
    </row>
    <row r="3837" spans="1:4" ht="16.149999999999999" customHeight="1" x14ac:dyDescent="0.25">
      <c r="A3837" s="431">
        <v>37397</v>
      </c>
      <c r="B3837" s="432">
        <v>2350.1999999999998</v>
      </c>
      <c r="C3837" s="427">
        <f t="shared" si="118"/>
        <v>2002</v>
      </c>
      <c r="D3837" s="433">
        <f t="shared" si="119"/>
        <v>2350.1999999999998</v>
      </c>
    </row>
    <row r="3838" spans="1:4" ht="16.149999999999999" customHeight="1" x14ac:dyDescent="0.25">
      <c r="A3838" s="431">
        <v>37398</v>
      </c>
      <c r="B3838" s="434">
        <v>2363.2800000000002</v>
      </c>
      <c r="C3838" s="427">
        <f t="shared" si="118"/>
        <v>2002</v>
      </c>
      <c r="D3838" s="433">
        <f t="shared" si="119"/>
        <v>2363.2800000000002</v>
      </c>
    </row>
    <row r="3839" spans="1:4" ht="16.149999999999999" customHeight="1" x14ac:dyDescent="0.25">
      <c r="A3839" s="431">
        <v>37399</v>
      </c>
      <c r="B3839" s="432">
        <v>2349.8000000000002</v>
      </c>
      <c r="C3839" s="427">
        <f t="shared" si="118"/>
        <v>2002</v>
      </c>
      <c r="D3839" s="433">
        <f t="shared" si="119"/>
        <v>2349.8000000000002</v>
      </c>
    </row>
    <row r="3840" spans="1:4" ht="16.149999999999999" customHeight="1" x14ac:dyDescent="0.25">
      <c r="A3840" s="431">
        <v>37400</v>
      </c>
      <c r="B3840" s="434">
        <v>2338.5500000000002</v>
      </c>
      <c r="C3840" s="427">
        <f t="shared" si="118"/>
        <v>2002</v>
      </c>
      <c r="D3840" s="433">
        <f t="shared" si="119"/>
        <v>2338.5500000000002</v>
      </c>
    </row>
    <row r="3841" spans="1:4" ht="16.149999999999999" customHeight="1" x14ac:dyDescent="0.25">
      <c r="A3841" s="431">
        <v>37401</v>
      </c>
      <c r="B3841" s="432">
        <v>2331.0700000000002</v>
      </c>
      <c r="C3841" s="427">
        <f t="shared" si="118"/>
        <v>2002</v>
      </c>
      <c r="D3841" s="433">
        <f t="shared" si="119"/>
        <v>2331.0700000000002</v>
      </c>
    </row>
    <row r="3842" spans="1:4" ht="16.149999999999999" customHeight="1" x14ac:dyDescent="0.25">
      <c r="A3842" s="431">
        <v>37402</v>
      </c>
      <c r="B3842" s="434">
        <v>2331.0700000000002</v>
      </c>
      <c r="C3842" s="427">
        <f t="shared" si="118"/>
        <v>2002</v>
      </c>
      <c r="D3842" s="433">
        <f t="shared" si="119"/>
        <v>2331.0700000000002</v>
      </c>
    </row>
    <row r="3843" spans="1:4" ht="16.149999999999999" customHeight="1" x14ac:dyDescent="0.25">
      <c r="A3843" s="431">
        <v>37403</v>
      </c>
      <c r="B3843" s="432">
        <v>2331.0700000000002</v>
      </c>
      <c r="C3843" s="427">
        <f t="shared" si="118"/>
        <v>2002</v>
      </c>
      <c r="D3843" s="433">
        <f t="shared" si="119"/>
        <v>2331.0700000000002</v>
      </c>
    </row>
    <row r="3844" spans="1:4" ht="16.149999999999999" customHeight="1" x14ac:dyDescent="0.25">
      <c r="A3844" s="431">
        <v>37404</v>
      </c>
      <c r="B3844" s="434">
        <v>2309.85</v>
      </c>
      <c r="C3844" s="427">
        <f t="shared" si="118"/>
        <v>2002</v>
      </c>
      <c r="D3844" s="433">
        <f t="shared" si="119"/>
        <v>2309.85</v>
      </c>
    </row>
    <row r="3845" spans="1:4" ht="16.149999999999999" customHeight="1" x14ac:dyDescent="0.25">
      <c r="A3845" s="431">
        <v>37405</v>
      </c>
      <c r="B3845" s="432">
        <v>2314.3000000000002</v>
      </c>
      <c r="C3845" s="427">
        <f t="shared" si="118"/>
        <v>2002</v>
      </c>
      <c r="D3845" s="433">
        <f t="shared" si="119"/>
        <v>2314.3000000000002</v>
      </c>
    </row>
    <row r="3846" spans="1:4" ht="16.149999999999999" customHeight="1" x14ac:dyDescent="0.25">
      <c r="A3846" s="431">
        <v>37406</v>
      </c>
      <c r="B3846" s="434">
        <v>2317.12</v>
      </c>
      <c r="C3846" s="427">
        <f t="shared" si="118"/>
        <v>2002</v>
      </c>
      <c r="D3846" s="433">
        <f t="shared" si="119"/>
        <v>2317.12</v>
      </c>
    </row>
    <row r="3847" spans="1:4" ht="16.149999999999999" customHeight="1" x14ac:dyDescent="0.25">
      <c r="A3847" s="431">
        <v>37407</v>
      </c>
      <c r="B3847" s="432">
        <v>2321.16</v>
      </c>
      <c r="C3847" s="427">
        <f t="shared" si="118"/>
        <v>2002</v>
      </c>
      <c r="D3847" s="433">
        <f t="shared" si="119"/>
        <v>2321.16</v>
      </c>
    </row>
    <row r="3848" spans="1:4" ht="16.149999999999999" customHeight="1" x14ac:dyDescent="0.25">
      <c r="A3848" s="431">
        <v>37408</v>
      </c>
      <c r="B3848" s="434">
        <v>2321.6799999999998</v>
      </c>
      <c r="C3848" s="427">
        <f t="shared" si="118"/>
        <v>2002</v>
      </c>
      <c r="D3848" s="433">
        <f t="shared" si="119"/>
        <v>2321.6799999999998</v>
      </c>
    </row>
    <row r="3849" spans="1:4" ht="16.149999999999999" customHeight="1" x14ac:dyDescent="0.25">
      <c r="A3849" s="431">
        <v>37409</v>
      </c>
      <c r="B3849" s="432">
        <v>2321.6799999999998</v>
      </c>
      <c r="C3849" s="427">
        <f t="shared" si="118"/>
        <v>2002</v>
      </c>
      <c r="D3849" s="433">
        <f t="shared" si="119"/>
        <v>2321.6799999999998</v>
      </c>
    </row>
    <row r="3850" spans="1:4" ht="16.149999999999999" customHeight="1" x14ac:dyDescent="0.25">
      <c r="A3850" s="431">
        <v>37410</v>
      </c>
      <c r="B3850" s="434">
        <v>2321.6799999999998</v>
      </c>
      <c r="C3850" s="427">
        <f t="shared" ref="C3850:C3913" si="120">YEAR(A3850)</f>
        <v>2002</v>
      </c>
      <c r="D3850" s="433">
        <f t="shared" ref="D3850:D3913" si="121">B3850</f>
        <v>2321.6799999999998</v>
      </c>
    </row>
    <row r="3851" spans="1:4" ht="16.149999999999999" customHeight="1" x14ac:dyDescent="0.25">
      <c r="A3851" s="431">
        <v>37411</v>
      </c>
      <c r="B3851" s="432">
        <v>2321.6799999999998</v>
      </c>
      <c r="C3851" s="427">
        <f t="shared" si="120"/>
        <v>2002</v>
      </c>
      <c r="D3851" s="433">
        <f t="shared" si="121"/>
        <v>2321.6799999999998</v>
      </c>
    </row>
    <row r="3852" spans="1:4" ht="16.149999999999999" customHeight="1" x14ac:dyDescent="0.25">
      <c r="A3852" s="431">
        <v>37412</v>
      </c>
      <c r="B3852" s="434">
        <v>2324.54</v>
      </c>
      <c r="C3852" s="427">
        <f t="shared" si="120"/>
        <v>2002</v>
      </c>
      <c r="D3852" s="433">
        <f t="shared" si="121"/>
        <v>2324.54</v>
      </c>
    </row>
    <row r="3853" spans="1:4" ht="16.149999999999999" customHeight="1" x14ac:dyDescent="0.25">
      <c r="A3853" s="431">
        <v>37413</v>
      </c>
      <c r="B3853" s="432">
        <v>2331.69</v>
      </c>
      <c r="C3853" s="427">
        <f t="shared" si="120"/>
        <v>2002</v>
      </c>
      <c r="D3853" s="433">
        <f t="shared" si="121"/>
        <v>2331.69</v>
      </c>
    </row>
    <row r="3854" spans="1:4" ht="16.149999999999999" customHeight="1" x14ac:dyDescent="0.25">
      <c r="A3854" s="431">
        <v>37414</v>
      </c>
      <c r="B3854" s="434">
        <v>2335.3000000000002</v>
      </c>
      <c r="C3854" s="427">
        <f t="shared" si="120"/>
        <v>2002</v>
      </c>
      <c r="D3854" s="433">
        <f t="shared" si="121"/>
        <v>2335.3000000000002</v>
      </c>
    </row>
    <row r="3855" spans="1:4" ht="16.149999999999999" customHeight="1" x14ac:dyDescent="0.25">
      <c r="A3855" s="431">
        <v>37415</v>
      </c>
      <c r="B3855" s="432">
        <v>2336.11</v>
      </c>
      <c r="C3855" s="427">
        <f t="shared" si="120"/>
        <v>2002</v>
      </c>
      <c r="D3855" s="433">
        <f t="shared" si="121"/>
        <v>2336.11</v>
      </c>
    </row>
    <row r="3856" spans="1:4" ht="16.149999999999999" customHeight="1" x14ac:dyDescent="0.25">
      <c r="A3856" s="431">
        <v>37416</v>
      </c>
      <c r="B3856" s="434">
        <v>2336.11</v>
      </c>
      <c r="C3856" s="427">
        <f t="shared" si="120"/>
        <v>2002</v>
      </c>
      <c r="D3856" s="433">
        <f t="shared" si="121"/>
        <v>2336.11</v>
      </c>
    </row>
    <row r="3857" spans="1:4" ht="16.149999999999999" customHeight="1" x14ac:dyDescent="0.25">
      <c r="A3857" s="431">
        <v>37417</v>
      </c>
      <c r="B3857" s="432">
        <v>2336.11</v>
      </c>
      <c r="C3857" s="427">
        <f t="shared" si="120"/>
        <v>2002</v>
      </c>
      <c r="D3857" s="433">
        <f t="shared" si="121"/>
        <v>2336.11</v>
      </c>
    </row>
    <row r="3858" spans="1:4" ht="16.149999999999999" customHeight="1" x14ac:dyDescent="0.25">
      <c r="A3858" s="431">
        <v>37418</v>
      </c>
      <c r="B3858" s="434">
        <v>2336.11</v>
      </c>
      <c r="C3858" s="427">
        <f t="shared" si="120"/>
        <v>2002</v>
      </c>
      <c r="D3858" s="433">
        <f t="shared" si="121"/>
        <v>2336.11</v>
      </c>
    </row>
    <row r="3859" spans="1:4" ht="16.149999999999999" customHeight="1" x14ac:dyDescent="0.25">
      <c r="A3859" s="431">
        <v>37419</v>
      </c>
      <c r="B3859" s="432">
        <v>2340.36</v>
      </c>
      <c r="C3859" s="427">
        <f t="shared" si="120"/>
        <v>2002</v>
      </c>
      <c r="D3859" s="433">
        <f t="shared" si="121"/>
        <v>2340.36</v>
      </c>
    </row>
    <row r="3860" spans="1:4" ht="16.149999999999999" customHeight="1" x14ac:dyDescent="0.25">
      <c r="A3860" s="431">
        <v>37420</v>
      </c>
      <c r="B3860" s="434">
        <v>2347.6799999999998</v>
      </c>
      <c r="C3860" s="427">
        <f t="shared" si="120"/>
        <v>2002</v>
      </c>
      <c r="D3860" s="433">
        <f t="shared" si="121"/>
        <v>2347.6799999999998</v>
      </c>
    </row>
    <row r="3861" spans="1:4" ht="16.149999999999999" customHeight="1" x14ac:dyDescent="0.25">
      <c r="A3861" s="431">
        <v>37421</v>
      </c>
      <c r="B3861" s="432">
        <v>2357.14</v>
      </c>
      <c r="C3861" s="427">
        <f t="shared" si="120"/>
        <v>2002</v>
      </c>
      <c r="D3861" s="433">
        <f t="shared" si="121"/>
        <v>2357.14</v>
      </c>
    </row>
    <row r="3862" spans="1:4" ht="16.149999999999999" customHeight="1" x14ac:dyDescent="0.25">
      <c r="A3862" s="431">
        <v>37422</v>
      </c>
      <c r="B3862" s="434">
        <v>2369.12</v>
      </c>
      <c r="C3862" s="427">
        <f t="shared" si="120"/>
        <v>2002</v>
      </c>
      <c r="D3862" s="433">
        <f t="shared" si="121"/>
        <v>2369.12</v>
      </c>
    </row>
    <row r="3863" spans="1:4" ht="16.149999999999999" customHeight="1" x14ac:dyDescent="0.25">
      <c r="A3863" s="431">
        <v>37423</v>
      </c>
      <c r="B3863" s="432">
        <v>2369.12</v>
      </c>
      <c r="C3863" s="427">
        <f t="shared" si="120"/>
        <v>2002</v>
      </c>
      <c r="D3863" s="433">
        <f t="shared" si="121"/>
        <v>2369.12</v>
      </c>
    </row>
    <row r="3864" spans="1:4" ht="16.149999999999999" customHeight="1" x14ac:dyDescent="0.25">
      <c r="A3864" s="431">
        <v>37424</v>
      </c>
      <c r="B3864" s="434">
        <v>2369.12</v>
      </c>
      <c r="C3864" s="427">
        <f t="shared" si="120"/>
        <v>2002</v>
      </c>
      <c r="D3864" s="433">
        <f t="shared" si="121"/>
        <v>2369.12</v>
      </c>
    </row>
    <row r="3865" spans="1:4" ht="16.149999999999999" customHeight="1" x14ac:dyDescent="0.25">
      <c r="A3865" s="431">
        <v>37425</v>
      </c>
      <c r="B3865" s="432">
        <v>2379.92</v>
      </c>
      <c r="C3865" s="427">
        <f t="shared" si="120"/>
        <v>2002</v>
      </c>
      <c r="D3865" s="433">
        <f t="shared" si="121"/>
        <v>2379.92</v>
      </c>
    </row>
    <row r="3866" spans="1:4" ht="16.149999999999999" customHeight="1" x14ac:dyDescent="0.25">
      <c r="A3866" s="431">
        <v>37426</v>
      </c>
      <c r="B3866" s="434">
        <v>2383.31</v>
      </c>
      <c r="C3866" s="427">
        <f t="shared" si="120"/>
        <v>2002</v>
      </c>
      <c r="D3866" s="433">
        <f t="shared" si="121"/>
        <v>2383.31</v>
      </c>
    </row>
    <row r="3867" spans="1:4" ht="16.149999999999999" customHeight="1" x14ac:dyDescent="0.25">
      <c r="A3867" s="431">
        <v>37427</v>
      </c>
      <c r="B3867" s="432">
        <v>2393.87</v>
      </c>
      <c r="C3867" s="427">
        <f t="shared" si="120"/>
        <v>2002</v>
      </c>
      <c r="D3867" s="433">
        <f t="shared" si="121"/>
        <v>2393.87</v>
      </c>
    </row>
    <row r="3868" spans="1:4" ht="16.149999999999999" customHeight="1" x14ac:dyDescent="0.25">
      <c r="A3868" s="431">
        <v>37428</v>
      </c>
      <c r="B3868" s="434">
        <v>2391.65</v>
      </c>
      <c r="C3868" s="427">
        <f t="shared" si="120"/>
        <v>2002</v>
      </c>
      <c r="D3868" s="433">
        <f t="shared" si="121"/>
        <v>2391.65</v>
      </c>
    </row>
    <row r="3869" spans="1:4" ht="16.149999999999999" customHeight="1" x14ac:dyDescent="0.25">
      <c r="A3869" s="431">
        <v>37429</v>
      </c>
      <c r="B3869" s="432">
        <v>2384.2199999999998</v>
      </c>
      <c r="C3869" s="427">
        <f t="shared" si="120"/>
        <v>2002</v>
      </c>
      <c r="D3869" s="433">
        <f t="shared" si="121"/>
        <v>2384.2199999999998</v>
      </c>
    </row>
    <row r="3870" spans="1:4" ht="16.149999999999999" customHeight="1" x14ac:dyDescent="0.25">
      <c r="A3870" s="431">
        <v>37430</v>
      </c>
      <c r="B3870" s="434">
        <v>2384.2199999999998</v>
      </c>
      <c r="C3870" s="427">
        <f t="shared" si="120"/>
        <v>2002</v>
      </c>
      <c r="D3870" s="433">
        <f t="shared" si="121"/>
        <v>2384.2199999999998</v>
      </c>
    </row>
    <row r="3871" spans="1:4" ht="16.149999999999999" customHeight="1" x14ac:dyDescent="0.25">
      <c r="A3871" s="431">
        <v>37431</v>
      </c>
      <c r="B3871" s="432">
        <v>2384.2199999999998</v>
      </c>
      <c r="C3871" s="427">
        <f t="shared" si="120"/>
        <v>2002</v>
      </c>
      <c r="D3871" s="433">
        <f t="shared" si="121"/>
        <v>2384.2199999999998</v>
      </c>
    </row>
    <row r="3872" spans="1:4" ht="16.149999999999999" customHeight="1" x14ac:dyDescent="0.25">
      <c r="A3872" s="431">
        <v>37432</v>
      </c>
      <c r="B3872" s="434">
        <v>2383.41</v>
      </c>
      <c r="C3872" s="427">
        <f t="shared" si="120"/>
        <v>2002</v>
      </c>
      <c r="D3872" s="433">
        <f t="shared" si="121"/>
        <v>2383.41</v>
      </c>
    </row>
    <row r="3873" spans="1:4" ht="16.149999999999999" customHeight="1" x14ac:dyDescent="0.25">
      <c r="A3873" s="431">
        <v>37433</v>
      </c>
      <c r="B3873" s="432">
        <v>2386.1799999999998</v>
      </c>
      <c r="C3873" s="427">
        <f t="shared" si="120"/>
        <v>2002</v>
      </c>
      <c r="D3873" s="433">
        <f t="shared" si="121"/>
        <v>2386.1799999999998</v>
      </c>
    </row>
    <row r="3874" spans="1:4" ht="16.149999999999999" customHeight="1" x14ac:dyDescent="0.25">
      <c r="A3874" s="431">
        <v>37434</v>
      </c>
      <c r="B3874" s="434">
        <v>2392.13</v>
      </c>
      <c r="C3874" s="427">
        <f t="shared" si="120"/>
        <v>2002</v>
      </c>
      <c r="D3874" s="433">
        <f t="shared" si="121"/>
        <v>2392.13</v>
      </c>
    </row>
    <row r="3875" spans="1:4" ht="16.149999999999999" customHeight="1" x14ac:dyDescent="0.25">
      <c r="A3875" s="431">
        <v>37435</v>
      </c>
      <c r="B3875" s="432">
        <v>2398.14</v>
      </c>
      <c r="C3875" s="427">
        <f t="shared" si="120"/>
        <v>2002</v>
      </c>
      <c r="D3875" s="433">
        <f t="shared" si="121"/>
        <v>2398.14</v>
      </c>
    </row>
    <row r="3876" spans="1:4" ht="16.149999999999999" customHeight="1" x14ac:dyDescent="0.25">
      <c r="A3876" s="431">
        <v>37436</v>
      </c>
      <c r="B3876" s="434">
        <v>2398.8200000000002</v>
      </c>
      <c r="C3876" s="427">
        <f t="shared" si="120"/>
        <v>2002</v>
      </c>
      <c r="D3876" s="433">
        <f t="shared" si="121"/>
        <v>2398.8200000000002</v>
      </c>
    </row>
    <row r="3877" spans="1:4" ht="16.149999999999999" customHeight="1" x14ac:dyDescent="0.25">
      <c r="A3877" s="431">
        <v>37437</v>
      </c>
      <c r="B3877" s="432">
        <v>2398.8200000000002</v>
      </c>
      <c r="C3877" s="427">
        <f t="shared" si="120"/>
        <v>2002</v>
      </c>
      <c r="D3877" s="433">
        <f t="shared" si="121"/>
        <v>2398.8200000000002</v>
      </c>
    </row>
    <row r="3878" spans="1:4" ht="16.149999999999999" customHeight="1" x14ac:dyDescent="0.25">
      <c r="A3878" s="431">
        <v>37438</v>
      </c>
      <c r="B3878" s="434">
        <v>2398.8200000000002</v>
      </c>
      <c r="C3878" s="427">
        <f t="shared" si="120"/>
        <v>2002</v>
      </c>
      <c r="D3878" s="433">
        <f t="shared" si="121"/>
        <v>2398.8200000000002</v>
      </c>
    </row>
    <row r="3879" spans="1:4" ht="16.149999999999999" customHeight="1" x14ac:dyDescent="0.25">
      <c r="A3879" s="431">
        <v>37439</v>
      </c>
      <c r="B3879" s="432">
        <v>2398.8200000000002</v>
      </c>
      <c r="C3879" s="427">
        <f t="shared" si="120"/>
        <v>2002</v>
      </c>
      <c r="D3879" s="433">
        <f t="shared" si="121"/>
        <v>2398.8200000000002</v>
      </c>
    </row>
    <row r="3880" spans="1:4" ht="16.149999999999999" customHeight="1" x14ac:dyDescent="0.25">
      <c r="A3880" s="431">
        <v>37440</v>
      </c>
      <c r="B3880" s="434">
        <v>2410.54</v>
      </c>
      <c r="C3880" s="427">
        <f t="shared" si="120"/>
        <v>2002</v>
      </c>
      <c r="D3880" s="433">
        <f t="shared" si="121"/>
        <v>2410.54</v>
      </c>
    </row>
    <row r="3881" spans="1:4" ht="16.149999999999999" customHeight="1" x14ac:dyDescent="0.25">
      <c r="A3881" s="431">
        <v>37441</v>
      </c>
      <c r="B3881" s="432">
        <v>2425.42</v>
      </c>
      <c r="C3881" s="427">
        <f t="shared" si="120"/>
        <v>2002</v>
      </c>
      <c r="D3881" s="433">
        <f t="shared" si="121"/>
        <v>2425.42</v>
      </c>
    </row>
    <row r="3882" spans="1:4" ht="16.149999999999999" customHeight="1" x14ac:dyDescent="0.25">
      <c r="A3882" s="431">
        <v>37442</v>
      </c>
      <c r="B3882" s="434">
        <v>2426.4</v>
      </c>
      <c r="C3882" s="427">
        <f t="shared" si="120"/>
        <v>2002</v>
      </c>
      <c r="D3882" s="433">
        <f t="shared" si="121"/>
        <v>2426.4</v>
      </c>
    </row>
    <row r="3883" spans="1:4" ht="16.149999999999999" customHeight="1" x14ac:dyDescent="0.25">
      <c r="A3883" s="431">
        <v>37443</v>
      </c>
      <c r="B3883" s="432">
        <v>2434.3200000000002</v>
      </c>
      <c r="C3883" s="427">
        <f t="shared" si="120"/>
        <v>2002</v>
      </c>
      <c r="D3883" s="433">
        <f t="shared" si="121"/>
        <v>2434.3200000000002</v>
      </c>
    </row>
    <row r="3884" spans="1:4" ht="16.149999999999999" customHeight="1" x14ac:dyDescent="0.25">
      <c r="A3884" s="431">
        <v>37444</v>
      </c>
      <c r="B3884" s="434">
        <v>2434.3200000000002</v>
      </c>
      <c r="C3884" s="427">
        <f t="shared" si="120"/>
        <v>2002</v>
      </c>
      <c r="D3884" s="433">
        <f t="shared" si="121"/>
        <v>2434.3200000000002</v>
      </c>
    </row>
    <row r="3885" spans="1:4" ht="16.149999999999999" customHeight="1" x14ac:dyDescent="0.25">
      <c r="A3885" s="431">
        <v>37445</v>
      </c>
      <c r="B3885" s="432">
        <v>2434.3200000000002</v>
      </c>
      <c r="C3885" s="427">
        <f t="shared" si="120"/>
        <v>2002</v>
      </c>
      <c r="D3885" s="433">
        <f t="shared" si="121"/>
        <v>2434.3200000000002</v>
      </c>
    </row>
    <row r="3886" spans="1:4" ht="16.149999999999999" customHeight="1" x14ac:dyDescent="0.25">
      <c r="A3886" s="431">
        <v>37446</v>
      </c>
      <c r="B3886" s="434">
        <v>2457.39</v>
      </c>
      <c r="C3886" s="427">
        <f t="shared" si="120"/>
        <v>2002</v>
      </c>
      <c r="D3886" s="433">
        <f t="shared" si="121"/>
        <v>2457.39</v>
      </c>
    </row>
    <row r="3887" spans="1:4" ht="16.149999999999999" customHeight="1" x14ac:dyDescent="0.25">
      <c r="A3887" s="431">
        <v>37447</v>
      </c>
      <c r="B3887" s="432">
        <v>2462.1799999999998</v>
      </c>
      <c r="C3887" s="427">
        <f t="shared" si="120"/>
        <v>2002</v>
      </c>
      <c r="D3887" s="433">
        <f t="shared" si="121"/>
        <v>2462.1799999999998</v>
      </c>
    </row>
    <row r="3888" spans="1:4" ht="16.149999999999999" customHeight="1" x14ac:dyDescent="0.25">
      <c r="A3888" s="431">
        <v>37448</v>
      </c>
      <c r="B3888" s="434">
        <v>2482.21</v>
      </c>
      <c r="C3888" s="427">
        <f t="shared" si="120"/>
        <v>2002</v>
      </c>
      <c r="D3888" s="433">
        <f t="shared" si="121"/>
        <v>2482.21</v>
      </c>
    </row>
    <row r="3889" spans="1:4" ht="16.149999999999999" customHeight="1" x14ac:dyDescent="0.25">
      <c r="A3889" s="431">
        <v>37449</v>
      </c>
      <c r="B3889" s="432">
        <v>2506.84</v>
      </c>
      <c r="C3889" s="427">
        <f t="shared" si="120"/>
        <v>2002</v>
      </c>
      <c r="D3889" s="433">
        <f t="shared" si="121"/>
        <v>2506.84</v>
      </c>
    </row>
    <row r="3890" spans="1:4" ht="16.149999999999999" customHeight="1" x14ac:dyDescent="0.25">
      <c r="A3890" s="431">
        <v>37450</v>
      </c>
      <c r="B3890" s="434">
        <v>2513.9899999999998</v>
      </c>
      <c r="C3890" s="427">
        <f t="shared" si="120"/>
        <v>2002</v>
      </c>
      <c r="D3890" s="433">
        <f t="shared" si="121"/>
        <v>2513.9899999999998</v>
      </c>
    </row>
    <row r="3891" spans="1:4" ht="16.149999999999999" customHeight="1" x14ac:dyDescent="0.25">
      <c r="A3891" s="431">
        <v>37451</v>
      </c>
      <c r="B3891" s="432">
        <v>2513.9899999999998</v>
      </c>
      <c r="C3891" s="427">
        <f t="shared" si="120"/>
        <v>2002</v>
      </c>
      <c r="D3891" s="433">
        <f t="shared" si="121"/>
        <v>2513.9899999999998</v>
      </c>
    </row>
    <row r="3892" spans="1:4" ht="16.149999999999999" customHeight="1" x14ac:dyDescent="0.25">
      <c r="A3892" s="431">
        <v>37452</v>
      </c>
      <c r="B3892" s="434">
        <v>2513.9899999999998</v>
      </c>
      <c r="C3892" s="427">
        <f t="shared" si="120"/>
        <v>2002</v>
      </c>
      <c r="D3892" s="433">
        <f t="shared" si="121"/>
        <v>2513.9899999999998</v>
      </c>
    </row>
    <row r="3893" spans="1:4" ht="16.149999999999999" customHeight="1" x14ac:dyDescent="0.25">
      <c r="A3893" s="431">
        <v>37453</v>
      </c>
      <c r="B3893" s="432">
        <v>2507.21</v>
      </c>
      <c r="C3893" s="427">
        <f t="shared" si="120"/>
        <v>2002</v>
      </c>
      <c r="D3893" s="433">
        <f t="shared" si="121"/>
        <v>2507.21</v>
      </c>
    </row>
    <row r="3894" spans="1:4" ht="16.149999999999999" customHeight="1" x14ac:dyDescent="0.25">
      <c r="A3894" s="431">
        <v>37454</v>
      </c>
      <c r="B3894" s="434">
        <v>2499.92</v>
      </c>
      <c r="C3894" s="427">
        <f t="shared" si="120"/>
        <v>2002</v>
      </c>
      <c r="D3894" s="433">
        <f t="shared" si="121"/>
        <v>2499.92</v>
      </c>
    </row>
    <row r="3895" spans="1:4" ht="16.149999999999999" customHeight="1" x14ac:dyDescent="0.25">
      <c r="A3895" s="431">
        <v>37455</v>
      </c>
      <c r="B3895" s="432">
        <v>2524.7600000000002</v>
      </c>
      <c r="C3895" s="427">
        <f t="shared" si="120"/>
        <v>2002</v>
      </c>
      <c r="D3895" s="433">
        <f t="shared" si="121"/>
        <v>2524.7600000000002</v>
      </c>
    </row>
    <row r="3896" spans="1:4" ht="16.149999999999999" customHeight="1" x14ac:dyDescent="0.25">
      <c r="A3896" s="431">
        <v>37456</v>
      </c>
      <c r="B3896" s="434">
        <v>2538.4699999999998</v>
      </c>
      <c r="C3896" s="427">
        <f t="shared" si="120"/>
        <v>2002</v>
      </c>
      <c r="D3896" s="433">
        <f t="shared" si="121"/>
        <v>2538.4699999999998</v>
      </c>
    </row>
    <row r="3897" spans="1:4" ht="16.149999999999999" customHeight="1" x14ac:dyDescent="0.25">
      <c r="A3897" s="431">
        <v>37457</v>
      </c>
      <c r="B3897" s="432">
        <v>2529.5700000000002</v>
      </c>
      <c r="C3897" s="427">
        <f t="shared" si="120"/>
        <v>2002</v>
      </c>
      <c r="D3897" s="433">
        <f t="shared" si="121"/>
        <v>2529.5700000000002</v>
      </c>
    </row>
    <row r="3898" spans="1:4" ht="16.149999999999999" customHeight="1" x14ac:dyDescent="0.25">
      <c r="A3898" s="431">
        <v>37458</v>
      </c>
      <c r="B3898" s="434">
        <v>2529.5700000000002</v>
      </c>
      <c r="C3898" s="427">
        <f t="shared" si="120"/>
        <v>2002</v>
      </c>
      <c r="D3898" s="433">
        <f t="shared" si="121"/>
        <v>2529.5700000000002</v>
      </c>
    </row>
    <row r="3899" spans="1:4" ht="16.149999999999999" customHeight="1" x14ac:dyDescent="0.25">
      <c r="A3899" s="431">
        <v>37459</v>
      </c>
      <c r="B3899" s="432">
        <v>2529.5700000000002</v>
      </c>
      <c r="C3899" s="427">
        <f t="shared" si="120"/>
        <v>2002</v>
      </c>
      <c r="D3899" s="433">
        <f t="shared" si="121"/>
        <v>2529.5700000000002</v>
      </c>
    </row>
    <row r="3900" spans="1:4" ht="16.149999999999999" customHeight="1" x14ac:dyDescent="0.25">
      <c r="A3900" s="431">
        <v>37460</v>
      </c>
      <c r="B3900" s="434">
        <v>2517.42</v>
      </c>
      <c r="C3900" s="427">
        <f t="shared" si="120"/>
        <v>2002</v>
      </c>
      <c r="D3900" s="433">
        <f t="shared" si="121"/>
        <v>2517.42</v>
      </c>
    </row>
    <row r="3901" spans="1:4" ht="16.149999999999999" customHeight="1" x14ac:dyDescent="0.25">
      <c r="A3901" s="431">
        <v>37461</v>
      </c>
      <c r="B3901" s="432">
        <v>2539</v>
      </c>
      <c r="C3901" s="427">
        <f t="shared" si="120"/>
        <v>2002</v>
      </c>
      <c r="D3901" s="433">
        <f t="shared" si="121"/>
        <v>2539</v>
      </c>
    </row>
    <row r="3902" spans="1:4" ht="16.149999999999999" customHeight="1" x14ac:dyDescent="0.25">
      <c r="A3902" s="431">
        <v>37462</v>
      </c>
      <c r="B3902" s="434">
        <v>2572.42</v>
      </c>
      <c r="C3902" s="427">
        <f t="shared" si="120"/>
        <v>2002</v>
      </c>
      <c r="D3902" s="433">
        <f t="shared" si="121"/>
        <v>2572.42</v>
      </c>
    </row>
    <row r="3903" spans="1:4" ht="16.149999999999999" customHeight="1" x14ac:dyDescent="0.25">
      <c r="A3903" s="431">
        <v>37463</v>
      </c>
      <c r="B3903" s="432">
        <v>2580.15</v>
      </c>
      <c r="C3903" s="427">
        <f t="shared" si="120"/>
        <v>2002</v>
      </c>
      <c r="D3903" s="433">
        <f t="shared" si="121"/>
        <v>2580.15</v>
      </c>
    </row>
    <row r="3904" spans="1:4" ht="16.149999999999999" customHeight="1" x14ac:dyDescent="0.25">
      <c r="A3904" s="431">
        <v>37464</v>
      </c>
      <c r="B3904" s="434">
        <v>2596.2600000000002</v>
      </c>
      <c r="C3904" s="427">
        <f t="shared" si="120"/>
        <v>2002</v>
      </c>
      <c r="D3904" s="433">
        <f t="shared" si="121"/>
        <v>2596.2600000000002</v>
      </c>
    </row>
    <row r="3905" spans="1:4" ht="16.149999999999999" customHeight="1" x14ac:dyDescent="0.25">
      <c r="A3905" s="431">
        <v>37465</v>
      </c>
      <c r="B3905" s="432">
        <v>2596.2600000000002</v>
      </c>
      <c r="C3905" s="427">
        <f t="shared" si="120"/>
        <v>2002</v>
      </c>
      <c r="D3905" s="433">
        <f t="shared" si="121"/>
        <v>2596.2600000000002</v>
      </c>
    </row>
    <row r="3906" spans="1:4" ht="16.149999999999999" customHeight="1" x14ac:dyDescent="0.25">
      <c r="A3906" s="431">
        <v>37466</v>
      </c>
      <c r="B3906" s="434">
        <v>2596.2600000000002</v>
      </c>
      <c r="C3906" s="427">
        <f t="shared" si="120"/>
        <v>2002</v>
      </c>
      <c r="D3906" s="433">
        <f t="shared" si="121"/>
        <v>2596.2600000000002</v>
      </c>
    </row>
    <row r="3907" spans="1:4" ht="16.149999999999999" customHeight="1" x14ac:dyDescent="0.25">
      <c r="A3907" s="431">
        <v>37467</v>
      </c>
      <c r="B3907" s="432">
        <v>2599.5700000000002</v>
      </c>
      <c r="C3907" s="427">
        <f t="shared" si="120"/>
        <v>2002</v>
      </c>
      <c r="D3907" s="433">
        <f t="shared" si="121"/>
        <v>2599.5700000000002</v>
      </c>
    </row>
    <row r="3908" spans="1:4" ht="16.149999999999999" customHeight="1" x14ac:dyDescent="0.25">
      <c r="A3908" s="431">
        <v>37468</v>
      </c>
      <c r="B3908" s="434">
        <v>2625.06</v>
      </c>
      <c r="C3908" s="427">
        <f t="shared" si="120"/>
        <v>2002</v>
      </c>
      <c r="D3908" s="433">
        <f t="shared" si="121"/>
        <v>2625.06</v>
      </c>
    </row>
    <row r="3909" spans="1:4" ht="16.149999999999999" customHeight="1" x14ac:dyDescent="0.25">
      <c r="A3909" s="431">
        <v>37469</v>
      </c>
      <c r="B3909" s="432">
        <v>2636.3</v>
      </c>
      <c r="C3909" s="427">
        <f t="shared" si="120"/>
        <v>2002</v>
      </c>
      <c r="D3909" s="433">
        <f t="shared" si="121"/>
        <v>2636.3</v>
      </c>
    </row>
    <row r="3910" spans="1:4" ht="16.149999999999999" customHeight="1" x14ac:dyDescent="0.25">
      <c r="A3910" s="431">
        <v>37470</v>
      </c>
      <c r="B3910" s="434">
        <v>2640.35</v>
      </c>
      <c r="C3910" s="427">
        <f t="shared" si="120"/>
        <v>2002</v>
      </c>
      <c r="D3910" s="433">
        <f t="shared" si="121"/>
        <v>2640.35</v>
      </c>
    </row>
    <row r="3911" spans="1:4" ht="16.149999999999999" customHeight="1" x14ac:dyDescent="0.25">
      <c r="A3911" s="431">
        <v>37471</v>
      </c>
      <c r="B3911" s="432">
        <v>2643.03</v>
      </c>
      <c r="C3911" s="427">
        <f t="shared" si="120"/>
        <v>2002</v>
      </c>
      <c r="D3911" s="433">
        <f t="shared" si="121"/>
        <v>2643.03</v>
      </c>
    </row>
    <row r="3912" spans="1:4" ht="16.149999999999999" customHeight="1" x14ac:dyDescent="0.25">
      <c r="A3912" s="431">
        <v>37472</v>
      </c>
      <c r="B3912" s="434">
        <v>2643.03</v>
      </c>
      <c r="C3912" s="427">
        <f t="shared" si="120"/>
        <v>2002</v>
      </c>
      <c r="D3912" s="433">
        <f t="shared" si="121"/>
        <v>2643.03</v>
      </c>
    </row>
    <row r="3913" spans="1:4" ht="16.149999999999999" customHeight="1" x14ac:dyDescent="0.25">
      <c r="A3913" s="431">
        <v>37473</v>
      </c>
      <c r="B3913" s="432">
        <v>2643.03</v>
      </c>
      <c r="C3913" s="427">
        <f t="shared" si="120"/>
        <v>2002</v>
      </c>
      <c r="D3913" s="433">
        <f t="shared" si="121"/>
        <v>2643.03</v>
      </c>
    </row>
    <row r="3914" spans="1:4" ht="16.149999999999999" customHeight="1" x14ac:dyDescent="0.25">
      <c r="A3914" s="431">
        <v>37474</v>
      </c>
      <c r="B3914" s="434">
        <v>2663.81</v>
      </c>
      <c r="C3914" s="427">
        <f t="shared" ref="C3914:C3977" si="122">YEAR(A3914)</f>
        <v>2002</v>
      </c>
      <c r="D3914" s="433">
        <f t="shared" ref="D3914:D3977" si="123">B3914</f>
        <v>2663.81</v>
      </c>
    </row>
    <row r="3915" spans="1:4" ht="16.149999999999999" customHeight="1" x14ac:dyDescent="0.25">
      <c r="A3915" s="431">
        <v>37475</v>
      </c>
      <c r="B3915" s="432">
        <v>2670.61</v>
      </c>
      <c r="C3915" s="427">
        <f t="shared" si="122"/>
        <v>2002</v>
      </c>
      <c r="D3915" s="433">
        <f t="shared" si="123"/>
        <v>2670.61</v>
      </c>
    </row>
    <row r="3916" spans="1:4" ht="16.149999999999999" customHeight="1" x14ac:dyDescent="0.25">
      <c r="A3916" s="431">
        <v>37476</v>
      </c>
      <c r="B3916" s="434">
        <v>2670.61</v>
      </c>
      <c r="C3916" s="427">
        <f t="shared" si="122"/>
        <v>2002</v>
      </c>
      <c r="D3916" s="433">
        <f t="shared" si="123"/>
        <v>2670.61</v>
      </c>
    </row>
    <row r="3917" spans="1:4" ht="16.149999999999999" customHeight="1" x14ac:dyDescent="0.25">
      <c r="A3917" s="431">
        <v>37477</v>
      </c>
      <c r="B3917" s="432">
        <v>2649.32</v>
      </c>
      <c r="C3917" s="427">
        <f t="shared" si="122"/>
        <v>2002</v>
      </c>
      <c r="D3917" s="433">
        <f t="shared" si="123"/>
        <v>2649.32</v>
      </c>
    </row>
    <row r="3918" spans="1:4" ht="16.149999999999999" customHeight="1" x14ac:dyDescent="0.25">
      <c r="A3918" s="431">
        <v>37478</v>
      </c>
      <c r="B3918" s="434">
        <v>2568.8000000000002</v>
      </c>
      <c r="C3918" s="427">
        <f t="shared" si="122"/>
        <v>2002</v>
      </c>
      <c r="D3918" s="433">
        <f t="shared" si="123"/>
        <v>2568.8000000000002</v>
      </c>
    </row>
    <row r="3919" spans="1:4" ht="16.149999999999999" customHeight="1" x14ac:dyDescent="0.25">
      <c r="A3919" s="431">
        <v>37479</v>
      </c>
      <c r="B3919" s="432">
        <v>2568.8000000000002</v>
      </c>
      <c r="C3919" s="427">
        <f t="shared" si="122"/>
        <v>2002</v>
      </c>
      <c r="D3919" s="433">
        <f t="shared" si="123"/>
        <v>2568.8000000000002</v>
      </c>
    </row>
    <row r="3920" spans="1:4" ht="16.149999999999999" customHeight="1" x14ac:dyDescent="0.25">
      <c r="A3920" s="431">
        <v>37480</v>
      </c>
      <c r="B3920" s="434">
        <v>2568.8000000000002</v>
      </c>
      <c r="C3920" s="427">
        <f t="shared" si="122"/>
        <v>2002</v>
      </c>
      <c r="D3920" s="433">
        <f t="shared" si="123"/>
        <v>2568.8000000000002</v>
      </c>
    </row>
    <row r="3921" spans="1:4" ht="16.149999999999999" customHeight="1" x14ac:dyDescent="0.25">
      <c r="A3921" s="431">
        <v>37481</v>
      </c>
      <c r="B3921" s="432">
        <v>2595.8000000000002</v>
      </c>
      <c r="C3921" s="427">
        <f t="shared" si="122"/>
        <v>2002</v>
      </c>
      <c r="D3921" s="433">
        <f t="shared" si="123"/>
        <v>2595.8000000000002</v>
      </c>
    </row>
    <row r="3922" spans="1:4" ht="16.149999999999999" customHeight="1" x14ac:dyDescent="0.25">
      <c r="A3922" s="431">
        <v>37482</v>
      </c>
      <c r="B3922" s="434">
        <v>2657.98</v>
      </c>
      <c r="C3922" s="427">
        <f t="shared" si="122"/>
        <v>2002</v>
      </c>
      <c r="D3922" s="433">
        <f t="shared" si="123"/>
        <v>2657.98</v>
      </c>
    </row>
    <row r="3923" spans="1:4" ht="16.149999999999999" customHeight="1" x14ac:dyDescent="0.25">
      <c r="A3923" s="431">
        <v>37483</v>
      </c>
      <c r="B3923" s="432">
        <v>2635.87</v>
      </c>
      <c r="C3923" s="427">
        <f t="shared" si="122"/>
        <v>2002</v>
      </c>
      <c r="D3923" s="433">
        <f t="shared" si="123"/>
        <v>2635.87</v>
      </c>
    </row>
    <row r="3924" spans="1:4" ht="16.149999999999999" customHeight="1" x14ac:dyDescent="0.25">
      <c r="A3924" s="431">
        <v>37484</v>
      </c>
      <c r="B3924" s="434">
        <v>2648.77</v>
      </c>
      <c r="C3924" s="427">
        <f t="shared" si="122"/>
        <v>2002</v>
      </c>
      <c r="D3924" s="433">
        <f t="shared" si="123"/>
        <v>2648.77</v>
      </c>
    </row>
    <row r="3925" spans="1:4" ht="16.149999999999999" customHeight="1" x14ac:dyDescent="0.25">
      <c r="A3925" s="431">
        <v>37485</v>
      </c>
      <c r="B3925" s="432">
        <v>2663.61</v>
      </c>
      <c r="C3925" s="427">
        <f t="shared" si="122"/>
        <v>2002</v>
      </c>
      <c r="D3925" s="433">
        <f t="shared" si="123"/>
        <v>2663.61</v>
      </c>
    </row>
    <row r="3926" spans="1:4" ht="16.149999999999999" customHeight="1" x14ac:dyDescent="0.25">
      <c r="A3926" s="431">
        <v>37486</v>
      </c>
      <c r="B3926" s="434">
        <v>2663.61</v>
      </c>
      <c r="C3926" s="427">
        <f t="shared" si="122"/>
        <v>2002</v>
      </c>
      <c r="D3926" s="433">
        <f t="shared" si="123"/>
        <v>2663.61</v>
      </c>
    </row>
    <row r="3927" spans="1:4" ht="16.149999999999999" customHeight="1" x14ac:dyDescent="0.25">
      <c r="A3927" s="431">
        <v>37487</v>
      </c>
      <c r="B3927" s="432">
        <v>2663.61</v>
      </c>
      <c r="C3927" s="427">
        <f t="shared" si="122"/>
        <v>2002</v>
      </c>
      <c r="D3927" s="433">
        <f t="shared" si="123"/>
        <v>2663.61</v>
      </c>
    </row>
    <row r="3928" spans="1:4" ht="16.149999999999999" customHeight="1" x14ac:dyDescent="0.25">
      <c r="A3928" s="431">
        <v>37488</v>
      </c>
      <c r="B3928" s="434">
        <v>2663.61</v>
      </c>
      <c r="C3928" s="427">
        <f t="shared" si="122"/>
        <v>2002</v>
      </c>
      <c r="D3928" s="433">
        <f t="shared" si="123"/>
        <v>2663.61</v>
      </c>
    </row>
    <row r="3929" spans="1:4" ht="16.149999999999999" customHeight="1" x14ac:dyDescent="0.25">
      <c r="A3929" s="431">
        <v>37489</v>
      </c>
      <c r="B3929" s="432">
        <v>2620.91</v>
      </c>
      <c r="C3929" s="427">
        <f t="shared" si="122"/>
        <v>2002</v>
      </c>
      <c r="D3929" s="433">
        <f t="shared" si="123"/>
        <v>2620.91</v>
      </c>
    </row>
    <row r="3930" spans="1:4" ht="16.149999999999999" customHeight="1" x14ac:dyDescent="0.25">
      <c r="A3930" s="431">
        <v>37490</v>
      </c>
      <c r="B3930" s="434">
        <v>2626.17</v>
      </c>
      <c r="C3930" s="427">
        <f t="shared" si="122"/>
        <v>2002</v>
      </c>
      <c r="D3930" s="433">
        <f t="shared" si="123"/>
        <v>2626.17</v>
      </c>
    </row>
    <row r="3931" spans="1:4" ht="16.149999999999999" customHeight="1" x14ac:dyDescent="0.25">
      <c r="A3931" s="431">
        <v>37491</v>
      </c>
      <c r="B3931" s="432">
        <v>2652.96</v>
      </c>
      <c r="C3931" s="427">
        <f t="shared" si="122"/>
        <v>2002</v>
      </c>
      <c r="D3931" s="433">
        <f t="shared" si="123"/>
        <v>2652.96</v>
      </c>
    </row>
    <row r="3932" spans="1:4" ht="16.149999999999999" customHeight="1" x14ac:dyDescent="0.25">
      <c r="A3932" s="431">
        <v>37492</v>
      </c>
      <c r="B3932" s="434">
        <v>2643.37</v>
      </c>
      <c r="C3932" s="427">
        <f t="shared" si="122"/>
        <v>2002</v>
      </c>
      <c r="D3932" s="433">
        <f t="shared" si="123"/>
        <v>2643.37</v>
      </c>
    </row>
    <row r="3933" spans="1:4" ht="16.149999999999999" customHeight="1" x14ac:dyDescent="0.25">
      <c r="A3933" s="431">
        <v>37493</v>
      </c>
      <c r="B3933" s="432">
        <v>2643.37</v>
      </c>
      <c r="C3933" s="427">
        <f t="shared" si="122"/>
        <v>2002</v>
      </c>
      <c r="D3933" s="433">
        <f t="shared" si="123"/>
        <v>2643.37</v>
      </c>
    </row>
    <row r="3934" spans="1:4" ht="16.149999999999999" customHeight="1" x14ac:dyDescent="0.25">
      <c r="A3934" s="431">
        <v>37494</v>
      </c>
      <c r="B3934" s="434">
        <v>2643.37</v>
      </c>
      <c r="C3934" s="427">
        <f t="shared" si="122"/>
        <v>2002</v>
      </c>
      <c r="D3934" s="433">
        <f t="shared" si="123"/>
        <v>2643.37</v>
      </c>
    </row>
    <row r="3935" spans="1:4" ht="16.149999999999999" customHeight="1" x14ac:dyDescent="0.25">
      <c r="A3935" s="431">
        <v>37495</v>
      </c>
      <c r="B3935" s="432">
        <v>2653.29</v>
      </c>
      <c r="C3935" s="427">
        <f t="shared" si="122"/>
        <v>2002</v>
      </c>
      <c r="D3935" s="433">
        <f t="shared" si="123"/>
        <v>2653.29</v>
      </c>
    </row>
    <row r="3936" spans="1:4" ht="16.149999999999999" customHeight="1" x14ac:dyDescent="0.25">
      <c r="A3936" s="431">
        <v>37496</v>
      </c>
      <c r="B3936" s="434">
        <v>2672.25</v>
      </c>
      <c r="C3936" s="427">
        <f t="shared" si="122"/>
        <v>2002</v>
      </c>
      <c r="D3936" s="433">
        <f t="shared" si="123"/>
        <v>2672.25</v>
      </c>
    </row>
    <row r="3937" spans="1:4" ht="16.149999999999999" customHeight="1" x14ac:dyDescent="0.25">
      <c r="A3937" s="431">
        <v>37497</v>
      </c>
      <c r="B3937" s="432">
        <v>2688.64</v>
      </c>
      <c r="C3937" s="427">
        <f t="shared" si="122"/>
        <v>2002</v>
      </c>
      <c r="D3937" s="433">
        <f t="shared" si="123"/>
        <v>2688.64</v>
      </c>
    </row>
    <row r="3938" spans="1:4" ht="16.149999999999999" customHeight="1" x14ac:dyDescent="0.25">
      <c r="A3938" s="431">
        <v>37498</v>
      </c>
      <c r="B3938" s="434">
        <v>2712.46</v>
      </c>
      <c r="C3938" s="427">
        <f t="shared" si="122"/>
        <v>2002</v>
      </c>
      <c r="D3938" s="433">
        <f t="shared" si="123"/>
        <v>2712.46</v>
      </c>
    </row>
    <row r="3939" spans="1:4" ht="16.149999999999999" customHeight="1" x14ac:dyDescent="0.25">
      <c r="A3939" s="431">
        <v>37499</v>
      </c>
      <c r="B3939" s="432">
        <v>2703.55</v>
      </c>
      <c r="C3939" s="427">
        <f t="shared" si="122"/>
        <v>2002</v>
      </c>
      <c r="D3939" s="433">
        <f t="shared" si="123"/>
        <v>2703.55</v>
      </c>
    </row>
    <row r="3940" spans="1:4" ht="16.149999999999999" customHeight="1" x14ac:dyDescent="0.25">
      <c r="A3940" s="431">
        <v>37500</v>
      </c>
      <c r="B3940" s="434">
        <v>2703.55</v>
      </c>
      <c r="C3940" s="427">
        <f t="shared" si="122"/>
        <v>2002</v>
      </c>
      <c r="D3940" s="433">
        <f t="shared" si="123"/>
        <v>2703.55</v>
      </c>
    </row>
    <row r="3941" spans="1:4" ht="16.149999999999999" customHeight="1" x14ac:dyDescent="0.25">
      <c r="A3941" s="431">
        <v>37501</v>
      </c>
      <c r="B3941" s="432">
        <v>2703.55</v>
      </c>
      <c r="C3941" s="427">
        <f t="shared" si="122"/>
        <v>2002</v>
      </c>
      <c r="D3941" s="433">
        <f t="shared" si="123"/>
        <v>2703.55</v>
      </c>
    </row>
    <row r="3942" spans="1:4" ht="16.149999999999999" customHeight="1" x14ac:dyDescent="0.25">
      <c r="A3942" s="431">
        <v>37502</v>
      </c>
      <c r="B3942" s="434">
        <v>2679.51</v>
      </c>
      <c r="C3942" s="427">
        <f t="shared" si="122"/>
        <v>2002</v>
      </c>
      <c r="D3942" s="433">
        <f t="shared" si="123"/>
        <v>2679.51</v>
      </c>
    </row>
    <row r="3943" spans="1:4" ht="16.149999999999999" customHeight="1" x14ac:dyDescent="0.25">
      <c r="A3943" s="431">
        <v>37503</v>
      </c>
      <c r="B3943" s="432">
        <v>2677.39</v>
      </c>
      <c r="C3943" s="427">
        <f t="shared" si="122"/>
        <v>2002</v>
      </c>
      <c r="D3943" s="433">
        <f t="shared" si="123"/>
        <v>2677.39</v>
      </c>
    </row>
    <row r="3944" spans="1:4" ht="16.149999999999999" customHeight="1" x14ac:dyDescent="0.25">
      <c r="A3944" s="431">
        <v>37504</v>
      </c>
      <c r="B3944" s="434">
        <v>2694.51</v>
      </c>
      <c r="C3944" s="427">
        <f t="shared" si="122"/>
        <v>2002</v>
      </c>
      <c r="D3944" s="433">
        <f t="shared" si="123"/>
        <v>2694.51</v>
      </c>
    </row>
    <row r="3945" spans="1:4" ht="16.149999999999999" customHeight="1" x14ac:dyDescent="0.25">
      <c r="A3945" s="431">
        <v>37505</v>
      </c>
      <c r="B3945" s="432">
        <v>2714.77</v>
      </c>
      <c r="C3945" s="427">
        <f t="shared" si="122"/>
        <v>2002</v>
      </c>
      <c r="D3945" s="433">
        <f t="shared" si="123"/>
        <v>2714.77</v>
      </c>
    </row>
    <row r="3946" spans="1:4" ht="16.149999999999999" customHeight="1" x14ac:dyDescent="0.25">
      <c r="A3946" s="431">
        <v>37506</v>
      </c>
      <c r="B3946" s="434">
        <v>2712.14</v>
      </c>
      <c r="C3946" s="427">
        <f t="shared" si="122"/>
        <v>2002</v>
      </c>
      <c r="D3946" s="433">
        <f t="shared" si="123"/>
        <v>2712.14</v>
      </c>
    </row>
    <row r="3947" spans="1:4" ht="16.149999999999999" customHeight="1" x14ac:dyDescent="0.25">
      <c r="A3947" s="431">
        <v>37507</v>
      </c>
      <c r="B3947" s="432">
        <v>2712.14</v>
      </c>
      <c r="C3947" s="427">
        <f t="shared" si="122"/>
        <v>2002</v>
      </c>
      <c r="D3947" s="433">
        <f t="shared" si="123"/>
        <v>2712.14</v>
      </c>
    </row>
    <row r="3948" spans="1:4" ht="16.149999999999999" customHeight="1" x14ac:dyDescent="0.25">
      <c r="A3948" s="431">
        <v>37508</v>
      </c>
      <c r="B3948" s="434">
        <v>2712.14</v>
      </c>
      <c r="C3948" s="427">
        <f t="shared" si="122"/>
        <v>2002</v>
      </c>
      <c r="D3948" s="433">
        <f t="shared" si="123"/>
        <v>2712.14</v>
      </c>
    </row>
    <row r="3949" spans="1:4" ht="16.149999999999999" customHeight="1" x14ac:dyDescent="0.25">
      <c r="A3949" s="431">
        <v>37509</v>
      </c>
      <c r="B3949" s="432">
        <v>2703.63</v>
      </c>
      <c r="C3949" s="427">
        <f t="shared" si="122"/>
        <v>2002</v>
      </c>
      <c r="D3949" s="433">
        <f t="shared" si="123"/>
        <v>2703.63</v>
      </c>
    </row>
    <row r="3950" spans="1:4" ht="16.149999999999999" customHeight="1" x14ac:dyDescent="0.25">
      <c r="A3950" s="431">
        <v>37510</v>
      </c>
      <c r="B3950" s="434">
        <v>2707.58</v>
      </c>
      <c r="C3950" s="427">
        <f t="shared" si="122"/>
        <v>2002</v>
      </c>
      <c r="D3950" s="433">
        <f t="shared" si="123"/>
        <v>2707.58</v>
      </c>
    </row>
    <row r="3951" spans="1:4" ht="16.149999999999999" customHeight="1" x14ac:dyDescent="0.25">
      <c r="A3951" s="431">
        <v>37511</v>
      </c>
      <c r="B3951" s="432">
        <v>2718.85</v>
      </c>
      <c r="C3951" s="427">
        <f t="shared" si="122"/>
        <v>2002</v>
      </c>
      <c r="D3951" s="433">
        <f t="shared" si="123"/>
        <v>2718.85</v>
      </c>
    </row>
    <row r="3952" spans="1:4" ht="16.149999999999999" customHeight="1" x14ac:dyDescent="0.25">
      <c r="A3952" s="431">
        <v>37512</v>
      </c>
      <c r="B3952" s="434">
        <v>2730.91</v>
      </c>
      <c r="C3952" s="427">
        <f t="shared" si="122"/>
        <v>2002</v>
      </c>
      <c r="D3952" s="433">
        <f t="shared" si="123"/>
        <v>2730.91</v>
      </c>
    </row>
    <row r="3953" spans="1:4" ht="16.149999999999999" customHeight="1" x14ac:dyDescent="0.25">
      <c r="A3953" s="431">
        <v>37513</v>
      </c>
      <c r="B3953" s="432">
        <v>2741.29</v>
      </c>
      <c r="C3953" s="427">
        <f t="shared" si="122"/>
        <v>2002</v>
      </c>
      <c r="D3953" s="433">
        <f t="shared" si="123"/>
        <v>2741.29</v>
      </c>
    </row>
    <row r="3954" spans="1:4" ht="16.149999999999999" customHeight="1" x14ac:dyDescent="0.25">
      <c r="A3954" s="431">
        <v>37514</v>
      </c>
      <c r="B3954" s="434">
        <v>2741.29</v>
      </c>
      <c r="C3954" s="427">
        <f t="shared" si="122"/>
        <v>2002</v>
      </c>
      <c r="D3954" s="433">
        <f t="shared" si="123"/>
        <v>2741.29</v>
      </c>
    </row>
    <row r="3955" spans="1:4" ht="16.149999999999999" customHeight="1" x14ac:dyDescent="0.25">
      <c r="A3955" s="431">
        <v>37515</v>
      </c>
      <c r="B3955" s="432">
        <v>2741.29</v>
      </c>
      <c r="C3955" s="427">
        <f t="shared" si="122"/>
        <v>2002</v>
      </c>
      <c r="D3955" s="433">
        <f t="shared" si="123"/>
        <v>2741.29</v>
      </c>
    </row>
    <row r="3956" spans="1:4" ht="16.149999999999999" customHeight="1" x14ac:dyDescent="0.25">
      <c r="A3956" s="431">
        <v>37516</v>
      </c>
      <c r="B3956" s="434">
        <v>2758.95</v>
      </c>
      <c r="C3956" s="427">
        <f t="shared" si="122"/>
        <v>2002</v>
      </c>
      <c r="D3956" s="433">
        <f t="shared" si="123"/>
        <v>2758.95</v>
      </c>
    </row>
    <row r="3957" spans="1:4" ht="16.149999999999999" customHeight="1" x14ac:dyDescent="0.25">
      <c r="A3957" s="431">
        <v>37517</v>
      </c>
      <c r="B3957" s="432">
        <v>2783.44</v>
      </c>
      <c r="C3957" s="427">
        <f t="shared" si="122"/>
        <v>2002</v>
      </c>
      <c r="D3957" s="433">
        <f t="shared" si="123"/>
        <v>2783.44</v>
      </c>
    </row>
    <row r="3958" spans="1:4" ht="16.149999999999999" customHeight="1" x14ac:dyDescent="0.25">
      <c r="A3958" s="431">
        <v>37518</v>
      </c>
      <c r="B3958" s="434">
        <v>2785.81</v>
      </c>
      <c r="C3958" s="427">
        <f t="shared" si="122"/>
        <v>2002</v>
      </c>
      <c r="D3958" s="433">
        <f t="shared" si="123"/>
        <v>2785.81</v>
      </c>
    </row>
    <row r="3959" spans="1:4" ht="16.149999999999999" customHeight="1" x14ac:dyDescent="0.25">
      <c r="A3959" s="431">
        <v>37519</v>
      </c>
      <c r="B3959" s="432">
        <v>2789.01</v>
      </c>
      <c r="C3959" s="427">
        <f t="shared" si="122"/>
        <v>2002</v>
      </c>
      <c r="D3959" s="433">
        <f t="shared" si="123"/>
        <v>2789.01</v>
      </c>
    </row>
    <row r="3960" spans="1:4" ht="16.149999999999999" customHeight="1" x14ac:dyDescent="0.25">
      <c r="A3960" s="431">
        <v>37520</v>
      </c>
      <c r="B3960" s="434">
        <v>2815.05</v>
      </c>
      <c r="C3960" s="427">
        <f t="shared" si="122"/>
        <v>2002</v>
      </c>
      <c r="D3960" s="433">
        <f t="shared" si="123"/>
        <v>2815.05</v>
      </c>
    </row>
    <row r="3961" spans="1:4" ht="16.149999999999999" customHeight="1" x14ac:dyDescent="0.25">
      <c r="A3961" s="431">
        <v>37521</v>
      </c>
      <c r="B3961" s="432">
        <v>2815.05</v>
      </c>
      <c r="C3961" s="427">
        <f t="shared" si="122"/>
        <v>2002</v>
      </c>
      <c r="D3961" s="433">
        <f t="shared" si="123"/>
        <v>2815.05</v>
      </c>
    </row>
    <row r="3962" spans="1:4" ht="16.149999999999999" customHeight="1" x14ac:dyDescent="0.25">
      <c r="A3962" s="431">
        <v>37522</v>
      </c>
      <c r="B3962" s="434">
        <v>2815.05</v>
      </c>
      <c r="C3962" s="427">
        <f t="shared" si="122"/>
        <v>2002</v>
      </c>
      <c r="D3962" s="433">
        <f t="shared" si="123"/>
        <v>2815.05</v>
      </c>
    </row>
    <row r="3963" spans="1:4" ht="16.149999999999999" customHeight="1" x14ac:dyDescent="0.25">
      <c r="A3963" s="431">
        <v>37523</v>
      </c>
      <c r="B3963" s="432">
        <v>2793.36</v>
      </c>
      <c r="C3963" s="427">
        <f t="shared" si="122"/>
        <v>2002</v>
      </c>
      <c r="D3963" s="433">
        <f t="shared" si="123"/>
        <v>2793.36</v>
      </c>
    </row>
    <row r="3964" spans="1:4" ht="16.149999999999999" customHeight="1" x14ac:dyDescent="0.25">
      <c r="A3964" s="431">
        <v>37524</v>
      </c>
      <c r="B3964" s="434">
        <v>2810.46</v>
      </c>
      <c r="C3964" s="427">
        <f t="shared" si="122"/>
        <v>2002</v>
      </c>
      <c r="D3964" s="433">
        <f t="shared" si="123"/>
        <v>2810.46</v>
      </c>
    </row>
    <row r="3965" spans="1:4" ht="16.149999999999999" customHeight="1" x14ac:dyDescent="0.25">
      <c r="A3965" s="431">
        <v>37525</v>
      </c>
      <c r="B3965" s="432">
        <v>2802.32</v>
      </c>
      <c r="C3965" s="427">
        <f t="shared" si="122"/>
        <v>2002</v>
      </c>
      <c r="D3965" s="433">
        <f t="shared" si="123"/>
        <v>2802.32</v>
      </c>
    </row>
    <row r="3966" spans="1:4" ht="16.149999999999999" customHeight="1" x14ac:dyDescent="0.25">
      <c r="A3966" s="431">
        <v>37526</v>
      </c>
      <c r="B3966" s="434">
        <v>2825.32</v>
      </c>
      <c r="C3966" s="427">
        <f t="shared" si="122"/>
        <v>2002</v>
      </c>
      <c r="D3966" s="433">
        <f t="shared" si="123"/>
        <v>2825.32</v>
      </c>
    </row>
    <row r="3967" spans="1:4" ht="16.149999999999999" customHeight="1" x14ac:dyDescent="0.25">
      <c r="A3967" s="431">
        <v>37527</v>
      </c>
      <c r="B3967" s="432">
        <v>2828.08</v>
      </c>
      <c r="C3967" s="427">
        <f t="shared" si="122"/>
        <v>2002</v>
      </c>
      <c r="D3967" s="433">
        <f t="shared" si="123"/>
        <v>2828.08</v>
      </c>
    </row>
    <row r="3968" spans="1:4" ht="16.149999999999999" customHeight="1" x14ac:dyDescent="0.25">
      <c r="A3968" s="431">
        <v>37528</v>
      </c>
      <c r="B3968" s="434">
        <v>2828.08</v>
      </c>
      <c r="C3968" s="427">
        <f t="shared" si="122"/>
        <v>2002</v>
      </c>
      <c r="D3968" s="433">
        <f t="shared" si="123"/>
        <v>2828.08</v>
      </c>
    </row>
    <row r="3969" spans="1:4" ht="16.149999999999999" customHeight="1" x14ac:dyDescent="0.25">
      <c r="A3969" s="431">
        <v>37529</v>
      </c>
      <c r="B3969" s="432">
        <v>2828.08</v>
      </c>
      <c r="C3969" s="427">
        <f t="shared" si="122"/>
        <v>2002</v>
      </c>
      <c r="D3969" s="433">
        <f t="shared" si="123"/>
        <v>2828.08</v>
      </c>
    </row>
    <row r="3970" spans="1:4" ht="16.149999999999999" customHeight="1" x14ac:dyDescent="0.25">
      <c r="A3970" s="431">
        <v>37530</v>
      </c>
      <c r="B3970" s="434">
        <v>2850.65</v>
      </c>
      <c r="C3970" s="427">
        <f t="shared" si="122"/>
        <v>2002</v>
      </c>
      <c r="D3970" s="433">
        <f t="shared" si="123"/>
        <v>2850.65</v>
      </c>
    </row>
    <row r="3971" spans="1:4" ht="16.149999999999999" customHeight="1" x14ac:dyDescent="0.25">
      <c r="A3971" s="431">
        <v>37531</v>
      </c>
      <c r="B3971" s="432">
        <v>2885.48</v>
      </c>
      <c r="C3971" s="427">
        <f t="shared" si="122"/>
        <v>2002</v>
      </c>
      <c r="D3971" s="433">
        <f t="shared" si="123"/>
        <v>2885.48</v>
      </c>
    </row>
    <row r="3972" spans="1:4" ht="16.149999999999999" customHeight="1" x14ac:dyDescent="0.25">
      <c r="A3972" s="431">
        <v>37532</v>
      </c>
      <c r="B3972" s="434">
        <v>2888.23</v>
      </c>
      <c r="C3972" s="427">
        <f t="shared" si="122"/>
        <v>2002</v>
      </c>
      <c r="D3972" s="433">
        <f t="shared" si="123"/>
        <v>2888.23</v>
      </c>
    </row>
    <row r="3973" spans="1:4" ht="16.149999999999999" customHeight="1" x14ac:dyDescent="0.25">
      <c r="A3973" s="431">
        <v>37533</v>
      </c>
      <c r="B3973" s="432">
        <v>2881.78</v>
      </c>
      <c r="C3973" s="427">
        <f t="shared" si="122"/>
        <v>2002</v>
      </c>
      <c r="D3973" s="433">
        <f t="shared" si="123"/>
        <v>2881.78</v>
      </c>
    </row>
    <row r="3974" spans="1:4" ht="16.149999999999999" customHeight="1" x14ac:dyDescent="0.25">
      <c r="A3974" s="431">
        <v>37534</v>
      </c>
      <c r="B3974" s="434">
        <v>2876.4</v>
      </c>
      <c r="C3974" s="427">
        <f t="shared" si="122"/>
        <v>2002</v>
      </c>
      <c r="D3974" s="433">
        <f t="shared" si="123"/>
        <v>2876.4</v>
      </c>
    </row>
    <row r="3975" spans="1:4" ht="16.149999999999999" customHeight="1" x14ac:dyDescent="0.25">
      <c r="A3975" s="431">
        <v>37535</v>
      </c>
      <c r="B3975" s="432">
        <v>2876.4</v>
      </c>
      <c r="C3975" s="427">
        <f t="shared" si="122"/>
        <v>2002</v>
      </c>
      <c r="D3975" s="433">
        <f t="shared" si="123"/>
        <v>2876.4</v>
      </c>
    </row>
    <row r="3976" spans="1:4" ht="16.149999999999999" customHeight="1" x14ac:dyDescent="0.25">
      <c r="A3976" s="431">
        <v>37536</v>
      </c>
      <c r="B3976" s="434">
        <v>2876.4</v>
      </c>
      <c r="C3976" s="427">
        <f t="shared" si="122"/>
        <v>2002</v>
      </c>
      <c r="D3976" s="433">
        <f t="shared" si="123"/>
        <v>2876.4</v>
      </c>
    </row>
    <row r="3977" spans="1:4" ht="16.149999999999999" customHeight="1" x14ac:dyDescent="0.25">
      <c r="A3977" s="431">
        <v>37537</v>
      </c>
      <c r="B3977" s="432">
        <v>2869.73</v>
      </c>
      <c r="C3977" s="427">
        <f t="shared" si="122"/>
        <v>2002</v>
      </c>
      <c r="D3977" s="433">
        <f t="shared" si="123"/>
        <v>2869.73</v>
      </c>
    </row>
    <row r="3978" spans="1:4" ht="16.149999999999999" customHeight="1" x14ac:dyDescent="0.25">
      <c r="A3978" s="431">
        <v>37538</v>
      </c>
      <c r="B3978" s="434">
        <v>2850.98</v>
      </c>
      <c r="C3978" s="427">
        <f t="shared" ref="C3978:C4041" si="124">YEAR(A3978)</f>
        <v>2002</v>
      </c>
      <c r="D3978" s="433">
        <f t="shared" ref="D3978:D4041" si="125">B3978</f>
        <v>2850.98</v>
      </c>
    </row>
    <row r="3979" spans="1:4" ht="16.149999999999999" customHeight="1" x14ac:dyDescent="0.25">
      <c r="A3979" s="431">
        <v>37539</v>
      </c>
      <c r="B3979" s="432">
        <v>2854.04</v>
      </c>
      <c r="C3979" s="427">
        <f t="shared" si="124"/>
        <v>2002</v>
      </c>
      <c r="D3979" s="433">
        <f t="shared" si="125"/>
        <v>2854.04</v>
      </c>
    </row>
    <row r="3980" spans="1:4" ht="16.149999999999999" customHeight="1" x14ac:dyDescent="0.25">
      <c r="A3980" s="431">
        <v>37540</v>
      </c>
      <c r="B3980" s="434">
        <v>2870.63</v>
      </c>
      <c r="C3980" s="427">
        <f t="shared" si="124"/>
        <v>2002</v>
      </c>
      <c r="D3980" s="433">
        <f t="shared" si="125"/>
        <v>2870.63</v>
      </c>
    </row>
    <row r="3981" spans="1:4" ht="16.149999999999999" customHeight="1" x14ac:dyDescent="0.25">
      <c r="A3981" s="431">
        <v>37541</v>
      </c>
      <c r="B3981" s="432">
        <v>2861.16</v>
      </c>
      <c r="C3981" s="427">
        <f t="shared" si="124"/>
        <v>2002</v>
      </c>
      <c r="D3981" s="433">
        <f t="shared" si="125"/>
        <v>2861.16</v>
      </c>
    </row>
    <row r="3982" spans="1:4" ht="16.149999999999999" customHeight="1" x14ac:dyDescent="0.25">
      <c r="A3982" s="431">
        <v>37542</v>
      </c>
      <c r="B3982" s="434">
        <v>2861.16</v>
      </c>
      <c r="C3982" s="427">
        <f t="shared" si="124"/>
        <v>2002</v>
      </c>
      <c r="D3982" s="433">
        <f t="shared" si="125"/>
        <v>2861.16</v>
      </c>
    </row>
    <row r="3983" spans="1:4" ht="16.149999999999999" customHeight="1" x14ac:dyDescent="0.25">
      <c r="A3983" s="431">
        <v>37543</v>
      </c>
      <c r="B3983" s="432">
        <v>2861.16</v>
      </c>
      <c r="C3983" s="427">
        <f t="shared" si="124"/>
        <v>2002</v>
      </c>
      <c r="D3983" s="433">
        <f t="shared" si="125"/>
        <v>2861.16</v>
      </c>
    </row>
    <row r="3984" spans="1:4" ht="16.149999999999999" customHeight="1" x14ac:dyDescent="0.25">
      <c r="A3984" s="431">
        <v>37544</v>
      </c>
      <c r="B3984" s="434">
        <v>2861.16</v>
      </c>
      <c r="C3984" s="427">
        <f t="shared" si="124"/>
        <v>2002</v>
      </c>
      <c r="D3984" s="433">
        <f t="shared" si="125"/>
        <v>2861.16</v>
      </c>
    </row>
    <row r="3985" spans="1:4" ht="16.149999999999999" customHeight="1" x14ac:dyDescent="0.25">
      <c r="A3985" s="431">
        <v>37545</v>
      </c>
      <c r="B3985" s="432">
        <v>2852.99</v>
      </c>
      <c r="C3985" s="427">
        <f t="shared" si="124"/>
        <v>2002</v>
      </c>
      <c r="D3985" s="433">
        <f t="shared" si="125"/>
        <v>2852.99</v>
      </c>
    </row>
    <row r="3986" spans="1:4" ht="16.149999999999999" customHeight="1" x14ac:dyDescent="0.25">
      <c r="A3986" s="431">
        <v>37546</v>
      </c>
      <c r="B3986" s="434">
        <v>2857.13</v>
      </c>
      <c r="C3986" s="427">
        <f t="shared" si="124"/>
        <v>2002</v>
      </c>
      <c r="D3986" s="433">
        <f t="shared" si="125"/>
        <v>2857.13</v>
      </c>
    </row>
    <row r="3987" spans="1:4" ht="16.149999999999999" customHeight="1" x14ac:dyDescent="0.25">
      <c r="A3987" s="431">
        <v>37547</v>
      </c>
      <c r="B3987" s="432">
        <v>2853.9</v>
      </c>
      <c r="C3987" s="427">
        <f t="shared" si="124"/>
        <v>2002</v>
      </c>
      <c r="D3987" s="433">
        <f t="shared" si="125"/>
        <v>2853.9</v>
      </c>
    </row>
    <row r="3988" spans="1:4" ht="16.149999999999999" customHeight="1" x14ac:dyDescent="0.25">
      <c r="A3988" s="431">
        <v>37548</v>
      </c>
      <c r="B3988" s="434">
        <v>2836.34</v>
      </c>
      <c r="C3988" s="427">
        <f t="shared" si="124"/>
        <v>2002</v>
      </c>
      <c r="D3988" s="433">
        <f t="shared" si="125"/>
        <v>2836.34</v>
      </c>
    </row>
    <row r="3989" spans="1:4" ht="16.149999999999999" customHeight="1" x14ac:dyDescent="0.25">
      <c r="A3989" s="431">
        <v>37549</v>
      </c>
      <c r="B3989" s="432">
        <v>2836.34</v>
      </c>
      <c r="C3989" s="427">
        <f t="shared" si="124"/>
        <v>2002</v>
      </c>
      <c r="D3989" s="433">
        <f t="shared" si="125"/>
        <v>2836.34</v>
      </c>
    </row>
    <row r="3990" spans="1:4" ht="16.149999999999999" customHeight="1" x14ac:dyDescent="0.25">
      <c r="A3990" s="431">
        <v>37550</v>
      </c>
      <c r="B3990" s="434">
        <v>2836.34</v>
      </c>
      <c r="C3990" s="427">
        <f t="shared" si="124"/>
        <v>2002</v>
      </c>
      <c r="D3990" s="433">
        <f t="shared" si="125"/>
        <v>2836.34</v>
      </c>
    </row>
    <row r="3991" spans="1:4" ht="16.149999999999999" customHeight="1" x14ac:dyDescent="0.25">
      <c r="A3991" s="431">
        <v>37551</v>
      </c>
      <c r="B3991" s="432">
        <v>2791.46</v>
      </c>
      <c r="C3991" s="427">
        <f t="shared" si="124"/>
        <v>2002</v>
      </c>
      <c r="D3991" s="433">
        <f t="shared" si="125"/>
        <v>2791.46</v>
      </c>
    </row>
    <row r="3992" spans="1:4" ht="16.149999999999999" customHeight="1" x14ac:dyDescent="0.25">
      <c r="A3992" s="431">
        <v>37552</v>
      </c>
      <c r="B3992" s="434">
        <v>2758.76</v>
      </c>
      <c r="C3992" s="427">
        <f t="shared" si="124"/>
        <v>2002</v>
      </c>
      <c r="D3992" s="433">
        <f t="shared" si="125"/>
        <v>2758.76</v>
      </c>
    </row>
    <row r="3993" spans="1:4" ht="16.149999999999999" customHeight="1" x14ac:dyDescent="0.25">
      <c r="A3993" s="431">
        <v>37553</v>
      </c>
      <c r="B3993" s="432">
        <v>2744.32</v>
      </c>
      <c r="C3993" s="427">
        <f t="shared" si="124"/>
        <v>2002</v>
      </c>
      <c r="D3993" s="433">
        <f t="shared" si="125"/>
        <v>2744.32</v>
      </c>
    </row>
    <row r="3994" spans="1:4" ht="16.149999999999999" customHeight="1" x14ac:dyDescent="0.25">
      <c r="A3994" s="431">
        <v>37554</v>
      </c>
      <c r="B3994" s="434">
        <v>2747.07</v>
      </c>
      <c r="C3994" s="427">
        <f t="shared" si="124"/>
        <v>2002</v>
      </c>
      <c r="D3994" s="433">
        <f t="shared" si="125"/>
        <v>2747.07</v>
      </c>
    </row>
    <row r="3995" spans="1:4" ht="16.149999999999999" customHeight="1" x14ac:dyDescent="0.25">
      <c r="A3995" s="431">
        <v>37555</v>
      </c>
      <c r="B3995" s="432">
        <v>2755.69</v>
      </c>
      <c r="C3995" s="427">
        <f t="shared" si="124"/>
        <v>2002</v>
      </c>
      <c r="D3995" s="433">
        <f t="shared" si="125"/>
        <v>2755.69</v>
      </c>
    </row>
    <row r="3996" spans="1:4" ht="16.149999999999999" customHeight="1" x14ac:dyDescent="0.25">
      <c r="A3996" s="431">
        <v>37556</v>
      </c>
      <c r="B3996" s="434">
        <v>2755.69</v>
      </c>
      <c r="C3996" s="427">
        <f t="shared" si="124"/>
        <v>2002</v>
      </c>
      <c r="D3996" s="433">
        <f t="shared" si="125"/>
        <v>2755.69</v>
      </c>
    </row>
    <row r="3997" spans="1:4" ht="16.149999999999999" customHeight="1" x14ac:dyDescent="0.25">
      <c r="A3997" s="431">
        <v>37557</v>
      </c>
      <c r="B3997" s="432">
        <v>2755.69</v>
      </c>
      <c r="C3997" s="427">
        <f t="shared" si="124"/>
        <v>2002</v>
      </c>
      <c r="D3997" s="433">
        <f t="shared" si="125"/>
        <v>2755.69</v>
      </c>
    </row>
    <row r="3998" spans="1:4" ht="16.149999999999999" customHeight="1" x14ac:dyDescent="0.25">
      <c r="A3998" s="431">
        <v>37558</v>
      </c>
      <c r="B3998" s="434">
        <v>2770.73</v>
      </c>
      <c r="C3998" s="427">
        <f t="shared" si="124"/>
        <v>2002</v>
      </c>
      <c r="D3998" s="433">
        <f t="shared" si="125"/>
        <v>2770.73</v>
      </c>
    </row>
    <row r="3999" spans="1:4" ht="16.149999999999999" customHeight="1" x14ac:dyDescent="0.25">
      <c r="A3999" s="431">
        <v>37559</v>
      </c>
      <c r="B3999" s="432">
        <v>2781.72</v>
      </c>
      <c r="C3999" s="427">
        <f t="shared" si="124"/>
        <v>2002</v>
      </c>
      <c r="D3999" s="433">
        <f t="shared" si="125"/>
        <v>2781.72</v>
      </c>
    </row>
    <row r="4000" spans="1:4" ht="16.149999999999999" customHeight="1" x14ac:dyDescent="0.25">
      <c r="A4000" s="431">
        <v>37560</v>
      </c>
      <c r="B4000" s="434">
        <v>2773.73</v>
      </c>
      <c r="C4000" s="427">
        <f t="shared" si="124"/>
        <v>2002</v>
      </c>
      <c r="D4000" s="433">
        <f t="shared" si="125"/>
        <v>2773.73</v>
      </c>
    </row>
    <row r="4001" spans="1:4" ht="16.149999999999999" customHeight="1" x14ac:dyDescent="0.25">
      <c r="A4001" s="431">
        <v>37561</v>
      </c>
      <c r="B4001" s="432">
        <v>2778.6</v>
      </c>
      <c r="C4001" s="427">
        <f t="shared" si="124"/>
        <v>2002</v>
      </c>
      <c r="D4001" s="433">
        <f t="shared" si="125"/>
        <v>2778.6</v>
      </c>
    </row>
    <row r="4002" spans="1:4" ht="16.149999999999999" customHeight="1" x14ac:dyDescent="0.25">
      <c r="A4002" s="431">
        <v>37562</v>
      </c>
      <c r="B4002" s="434">
        <v>2778.47</v>
      </c>
      <c r="C4002" s="427">
        <f t="shared" si="124"/>
        <v>2002</v>
      </c>
      <c r="D4002" s="433">
        <f t="shared" si="125"/>
        <v>2778.47</v>
      </c>
    </row>
    <row r="4003" spans="1:4" ht="16.149999999999999" customHeight="1" x14ac:dyDescent="0.25">
      <c r="A4003" s="431">
        <v>37563</v>
      </c>
      <c r="B4003" s="432">
        <v>2778.47</v>
      </c>
      <c r="C4003" s="427">
        <f t="shared" si="124"/>
        <v>2002</v>
      </c>
      <c r="D4003" s="433">
        <f t="shared" si="125"/>
        <v>2778.47</v>
      </c>
    </row>
    <row r="4004" spans="1:4" ht="16.149999999999999" customHeight="1" x14ac:dyDescent="0.25">
      <c r="A4004" s="431">
        <v>37564</v>
      </c>
      <c r="B4004" s="434">
        <v>2778.47</v>
      </c>
      <c r="C4004" s="427">
        <f t="shared" si="124"/>
        <v>2002</v>
      </c>
      <c r="D4004" s="433">
        <f t="shared" si="125"/>
        <v>2778.47</v>
      </c>
    </row>
    <row r="4005" spans="1:4" ht="16.149999999999999" customHeight="1" x14ac:dyDescent="0.25">
      <c r="A4005" s="431">
        <v>37565</v>
      </c>
      <c r="B4005" s="432">
        <v>2778.47</v>
      </c>
      <c r="C4005" s="427">
        <f t="shared" si="124"/>
        <v>2002</v>
      </c>
      <c r="D4005" s="433">
        <f t="shared" si="125"/>
        <v>2778.47</v>
      </c>
    </row>
    <row r="4006" spans="1:4" ht="16.149999999999999" customHeight="1" x14ac:dyDescent="0.25">
      <c r="A4006" s="431">
        <v>37566</v>
      </c>
      <c r="B4006" s="434">
        <v>2774.58</v>
      </c>
      <c r="C4006" s="427">
        <f t="shared" si="124"/>
        <v>2002</v>
      </c>
      <c r="D4006" s="433">
        <f t="shared" si="125"/>
        <v>2774.58</v>
      </c>
    </row>
    <row r="4007" spans="1:4" ht="16.149999999999999" customHeight="1" x14ac:dyDescent="0.25">
      <c r="A4007" s="431">
        <v>37567</v>
      </c>
      <c r="B4007" s="432">
        <v>2761.99</v>
      </c>
      <c r="C4007" s="427">
        <f t="shared" si="124"/>
        <v>2002</v>
      </c>
      <c r="D4007" s="433">
        <f t="shared" si="125"/>
        <v>2761.99</v>
      </c>
    </row>
    <row r="4008" spans="1:4" ht="16.149999999999999" customHeight="1" x14ac:dyDescent="0.25">
      <c r="A4008" s="431">
        <v>37568</v>
      </c>
      <c r="B4008" s="434">
        <v>2743</v>
      </c>
      <c r="C4008" s="427">
        <f t="shared" si="124"/>
        <v>2002</v>
      </c>
      <c r="D4008" s="433">
        <f t="shared" si="125"/>
        <v>2743</v>
      </c>
    </row>
    <row r="4009" spans="1:4" ht="16.149999999999999" customHeight="1" x14ac:dyDescent="0.25">
      <c r="A4009" s="431">
        <v>37569</v>
      </c>
      <c r="B4009" s="432">
        <v>2743.92</v>
      </c>
      <c r="C4009" s="427">
        <f t="shared" si="124"/>
        <v>2002</v>
      </c>
      <c r="D4009" s="433">
        <f t="shared" si="125"/>
        <v>2743.92</v>
      </c>
    </row>
    <row r="4010" spans="1:4" ht="16.149999999999999" customHeight="1" x14ac:dyDescent="0.25">
      <c r="A4010" s="431">
        <v>37570</v>
      </c>
      <c r="B4010" s="434">
        <v>2743.92</v>
      </c>
      <c r="C4010" s="427">
        <f t="shared" si="124"/>
        <v>2002</v>
      </c>
      <c r="D4010" s="433">
        <f t="shared" si="125"/>
        <v>2743.92</v>
      </c>
    </row>
    <row r="4011" spans="1:4" ht="16.149999999999999" customHeight="1" x14ac:dyDescent="0.25">
      <c r="A4011" s="431">
        <v>37571</v>
      </c>
      <c r="B4011" s="432">
        <v>2743.92</v>
      </c>
      <c r="C4011" s="427">
        <f t="shared" si="124"/>
        <v>2002</v>
      </c>
      <c r="D4011" s="433">
        <f t="shared" si="125"/>
        <v>2743.92</v>
      </c>
    </row>
    <row r="4012" spans="1:4" ht="16.149999999999999" customHeight="1" x14ac:dyDescent="0.25">
      <c r="A4012" s="431">
        <v>37572</v>
      </c>
      <c r="B4012" s="434">
        <v>2743.92</v>
      </c>
      <c r="C4012" s="427">
        <f t="shared" si="124"/>
        <v>2002</v>
      </c>
      <c r="D4012" s="433">
        <f t="shared" si="125"/>
        <v>2743.92</v>
      </c>
    </row>
    <row r="4013" spans="1:4" ht="16.149999999999999" customHeight="1" x14ac:dyDescent="0.25">
      <c r="A4013" s="431">
        <v>37573</v>
      </c>
      <c r="B4013" s="432">
        <v>2727.05</v>
      </c>
      <c r="C4013" s="427">
        <f t="shared" si="124"/>
        <v>2002</v>
      </c>
      <c r="D4013" s="433">
        <f t="shared" si="125"/>
        <v>2727.05</v>
      </c>
    </row>
    <row r="4014" spans="1:4" ht="16.149999999999999" customHeight="1" x14ac:dyDescent="0.25">
      <c r="A4014" s="431">
        <v>37574</v>
      </c>
      <c r="B4014" s="434">
        <v>2717.89</v>
      </c>
      <c r="C4014" s="427">
        <f t="shared" si="124"/>
        <v>2002</v>
      </c>
      <c r="D4014" s="433">
        <f t="shared" si="125"/>
        <v>2717.89</v>
      </c>
    </row>
    <row r="4015" spans="1:4" ht="16.149999999999999" customHeight="1" x14ac:dyDescent="0.25">
      <c r="A4015" s="431">
        <v>37575</v>
      </c>
      <c r="B4015" s="432">
        <v>2724.04</v>
      </c>
      <c r="C4015" s="427">
        <f t="shared" si="124"/>
        <v>2002</v>
      </c>
      <c r="D4015" s="433">
        <f t="shared" si="125"/>
        <v>2724.04</v>
      </c>
    </row>
    <row r="4016" spans="1:4" ht="16.149999999999999" customHeight="1" x14ac:dyDescent="0.25">
      <c r="A4016" s="431">
        <v>37576</v>
      </c>
      <c r="B4016" s="434">
        <v>2703.75</v>
      </c>
      <c r="C4016" s="427">
        <f t="shared" si="124"/>
        <v>2002</v>
      </c>
      <c r="D4016" s="433">
        <f t="shared" si="125"/>
        <v>2703.75</v>
      </c>
    </row>
    <row r="4017" spans="1:4" ht="16.149999999999999" customHeight="1" x14ac:dyDescent="0.25">
      <c r="A4017" s="431">
        <v>37577</v>
      </c>
      <c r="B4017" s="432">
        <v>2703.75</v>
      </c>
      <c r="C4017" s="427">
        <f t="shared" si="124"/>
        <v>2002</v>
      </c>
      <c r="D4017" s="433">
        <f t="shared" si="125"/>
        <v>2703.75</v>
      </c>
    </row>
    <row r="4018" spans="1:4" ht="16.149999999999999" customHeight="1" x14ac:dyDescent="0.25">
      <c r="A4018" s="431">
        <v>37578</v>
      </c>
      <c r="B4018" s="434">
        <v>2703.75</v>
      </c>
      <c r="C4018" s="427">
        <f t="shared" si="124"/>
        <v>2002</v>
      </c>
      <c r="D4018" s="433">
        <f t="shared" si="125"/>
        <v>2703.75</v>
      </c>
    </row>
    <row r="4019" spans="1:4" ht="16.149999999999999" customHeight="1" x14ac:dyDescent="0.25">
      <c r="A4019" s="431">
        <v>37579</v>
      </c>
      <c r="B4019" s="432">
        <v>2679.96</v>
      </c>
      <c r="C4019" s="427">
        <f t="shared" si="124"/>
        <v>2002</v>
      </c>
      <c r="D4019" s="433">
        <f t="shared" si="125"/>
        <v>2679.96</v>
      </c>
    </row>
    <row r="4020" spans="1:4" ht="16.149999999999999" customHeight="1" x14ac:dyDescent="0.25">
      <c r="A4020" s="431">
        <v>37580</v>
      </c>
      <c r="B4020" s="434">
        <v>2683.04</v>
      </c>
      <c r="C4020" s="427">
        <f t="shared" si="124"/>
        <v>2002</v>
      </c>
      <c r="D4020" s="433">
        <f t="shared" si="125"/>
        <v>2683.04</v>
      </c>
    </row>
    <row r="4021" spans="1:4" ht="16.149999999999999" customHeight="1" x14ac:dyDescent="0.25">
      <c r="A4021" s="431">
        <v>37581</v>
      </c>
      <c r="B4021" s="432">
        <v>2671.7</v>
      </c>
      <c r="C4021" s="427">
        <f t="shared" si="124"/>
        <v>2002</v>
      </c>
      <c r="D4021" s="433">
        <f t="shared" si="125"/>
        <v>2671.7</v>
      </c>
    </row>
    <row r="4022" spans="1:4" ht="16.149999999999999" customHeight="1" x14ac:dyDescent="0.25">
      <c r="A4022" s="431">
        <v>37582</v>
      </c>
      <c r="B4022" s="434">
        <v>2666.41</v>
      </c>
      <c r="C4022" s="427">
        <f t="shared" si="124"/>
        <v>2002</v>
      </c>
      <c r="D4022" s="433">
        <f t="shared" si="125"/>
        <v>2666.41</v>
      </c>
    </row>
    <row r="4023" spans="1:4" ht="16.149999999999999" customHeight="1" x14ac:dyDescent="0.25">
      <c r="A4023" s="431">
        <v>37583</v>
      </c>
      <c r="B4023" s="432">
        <v>2687.25</v>
      </c>
      <c r="C4023" s="427">
        <f t="shared" si="124"/>
        <v>2002</v>
      </c>
      <c r="D4023" s="433">
        <f t="shared" si="125"/>
        <v>2687.25</v>
      </c>
    </row>
    <row r="4024" spans="1:4" ht="16.149999999999999" customHeight="1" x14ac:dyDescent="0.25">
      <c r="A4024" s="431">
        <v>37584</v>
      </c>
      <c r="B4024" s="434">
        <v>2687.25</v>
      </c>
      <c r="C4024" s="427">
        <f t="shared" si="124"/>
        <v>2002</v>
      </c>
      <c r="D4024" s="433">
        <f t="shared" si="125"/>
        <v>2687.25</v>
      </c>
    </row>
    <row r="4025" spans="1:4" ht="16.149999999999999" customHeight="1" x14ac:dyDescent="0.25">
      <c r="A4025" s="431">
        <v>37585</v>
      </c>
      <c r="B4025" s="432">
        <v>2687.25</v>
      </c>
      <c r="C4025" s="427">
        <f t="shared" si="124"/>
        <v>2002</v>
      </c>
      <c r="D4025" s="433">
        <f t="shared" si="125"/>
        <v>2687.25</v>
      </c>
    </row>
    <row r="4026" spans="1:4" ht="16.149999999999999" customHeight="1" x14ac:dyDescent="0.25">
      <c r="A4026" s="431">
        <v>37586</v>
      </c>
      <c r="B4026" s="434">
        <v>2716.95</v>
      </c>
      <c r="C4026" s="427">
        <f t="shared" si="124"/>
        <v>2002</v>
      </c>
      <c r="D4026" s="433">
        <f t="shared" si="125"/>
        <v>2716.95</v>
      </c>
    </row>
    <row r="4027" spans="1:4" ht="16.149999999999999" customHeight="1" x14ac:dyDescent="0.25">
      <c r="A4027" s="431">
        <v>37587</v>
      </c>
      <c r="B4027" s="432">
        <v>2735.04</v>
      </c>
      <c r="C4027" s="427">
        <f t="shared" si="124"/>
        <v>2002</v>
      </c>
      <c r="D4027" s="433">
        <f t="shared" si="125"/>
        <v>2735.04</v>
      </c>
    </row>
    <row r="4028" spans="1:4" ht="16.149999999999999" customHeight="1" x14ac:dyDescent="0.25">
      <c r="A4028" s="431">
        <v>37588</v>
      </c>
      <c r="B4028" s="434">
        <v>2754.67</v>
      </c>
      <c r="C4028" s="427">
        <f t="shared" si="124"/>
        <v>2002</v>
      </c>
      <c r="D4028" s="433">
        <f t="shared" si="125"/>
        <v>2754.67</v>
      </c>
    </row>
    <row r="4029" spans="1:4" ht="16.149999999999999" customHeight="1" x14ac:dyDescent="0.25">
      <c r="A4029" s="431">
        <v>37589</v>
      </c>
      <c r="B4029" s="432">
        <v>2758.28</v>
      </c>
      <c r="C4029" s="427">
        <f t="shared" si="124"/>
        <v>2002</v>
      </c>
      <c r="D4029" s="433">
        <f t="shared" si="125"/>
        <v>2758.28</v>
      </c>
    </row>
    <row r="4030" spans="1:4" ht="16.149999999999999" customHeight="1" x14ac:dyDescent="0.25">
      <c r="A4030" s="431">
        <v>37590</v>
      </c>
      <c r="B4030" s="434">
        <v>2784.21</v>
      </c>
      <c r="C4030" s="427">
        <f t="shared" si="124"/>
        <v>2002</v>
      </c>
      <c r="D4030" s="433">
        <f t="shared" si="125"/>
        <v>2784.21</v>
      </c>
    </row>
    <row r="4031" spans="1:4" ht="16.149999999999999" customHeight="1" x14ac:dyDescent="0.25">
      <c r="A4031" s="431">
        <v>37591</v>
      </c>
      <c r="B4031" s="432">
        <v>2784.21</v>
      </c>
      <c r="C4031" s="427">
        <f t="shared" si="124"/>
        <v>2002</v>
      </c>
      <c r="D4031" s="433">
        <f t="shared" si="125"/>
        <v>2784.21</v>
      </c>
    </row>
    <row r="4032" spans="1:4" ht="16.149999999999999" customHeight="1" x14ac:dyDescent="0.25">
      <c r="A4032" s="431">
        <v>37592</v>
      </c>
      <c r="B4032" s="434">
        <v>2784.21</v>
      </c>
      <c r="C4032" s="427">
        <f t="shared" si="124"/>
        <v>2002</v>
      </c>
      <c r="D4032" s="433">
        <f t="shared" si="125"/>
        <v>2784.21</v>
      </c>
    </row>
    <row r="4033" spans="1:4" ht="16.149999999999999" customHeight="1" x14ac:dyDescent="0.25">
      <c r="A4033" s="431">
        <v>37593</v>
      </c>
      <c r="B4033" s="432">
        <v>2812.94</v>
      </c>
      <c r="C4033" s="427">
        <f t="shared" si="124"/>
        <v>2002</v>
      </c>
      <c r="D4033" s="433">
        <f t="shared" si="125"/>
        <v>2812.94</v>
      </c>
    </row>
    <row r="4034" spans="1:4" ht="16.149999999999999" customHeight="1" x14ac:dyDescent="0.25">
      <c r="A4034" s="431">
        <v>37594</v>
      </c>
      <c r="B4034" s="434">
        <v>2826.1</v>
      </c>
      <c r="C4034" s="427">
        <f t="shared" si="124"/>
        <v>2002</v>
      </c>
      <c r="D4034" s="433">
        <f t="shared" si="125"/>
        <v>2826.1</v>
      </c>
    </row>
    <row r="4035" spans="1:4" ht="16.149999999999999" customHeight="1" x14ac:dyDescent="0.25">
      <c r="A4035" s="431">
        <v>37595</v>
      </c>
      <c r="B4035" s="432">
        <v>2806.63</v>
      </c>
      <c r="C4035" s="427">
        <f t="shared" si="124"/>
        <v>2002</v>
      </c>
      <c r="D4035" s="433">
        <f t="shared" si="125"/>
        <v>2806.63</v>
      </c>
    </row>
    <row r="4036" spans="1:4" ht="16.149999999999999" customHeight="1" x14ac:dyDescent="0.25">
      <c r="A4036" s="431">
        <v>37596</v>
      </c>
      <c r="B4036" s="434">
        <v>2788.72</v>
      </c>
      <c r="C4036" s="427">
        <f t="shared" si="124"/>
        <v>2002</v>
      </c>
      <c r="D4036" s="433">
        <f t="shared" si="125"/>
        <v>2788.72</v>
      </c>
    </row>
    <row r="4037" spans="1:4" ht="16.149999999999999" customHeight="1" x14ac:dyDescent="0.25">
      <c r="A4037" s="431">
        <v>37597</v>
      </c>
      <c r="B4037" s="432">
        <v>2782.4</v>
      </c>
      <c r="C4037" s="427">
        <f t="shared" si="124"/>
        <v>2002</v>
      </c>
      <c r="D4037" s="433">
        <f t="shared" si="125"/>
        <v>2782.4</v>
      </c>
    </row>
    <row r="4038" spans="1:4" ht="16.149999999999999" customHeight="1" x14ac:dyDescent="0.25">
      <c r="A4038" s="431">
        <v>37598</v>
      </c>
      <c r="B4038" s="434">
        <v>2782.4</v>
      </c>
      <c r="C4038" s="427">
        <f t="shared" si="124"/>
        <v>2002</v>
      </c>
      <c r="D4038" s="433">
        <f t="shared" si="125"/>
        <v>2782.4</v>
      </c>
    </row>
    <row r="4039" spans="1:4" ht="16.149999999999999" customHeight="1" x14ac:dyDescent="0.25">
      <c r="A4039" s="431">
        <v>37599</v>
      </c>
      <c r="B4039" s="432">
        <v>2782.4</v>
      </c>
      <c r="C4039" s="427">
        <f t="shared" si="124"/>
        <v>2002</v>
      </c>
      <c r="D4039" s="433">
        <f t="shared" si="125"/>
        <v>2782.4</v>
      </c>
    </row>
    <row r="4040" spans="1:4" ht="16.149999999999999" customHeight="1" x14ac:dyDescent="0.25">
      <c r="A4040" s="431">
        <v>37600</v>
      </c>
      <c r="B4040" s="434">
        <v>2815</v>
      </c>
      <c r="C4040" s="427">
        <f t="shared" si="124"/>
        <v>2002</v>
      </c>
      <c r="D4040" s="433">
        <f t="shared" si="125"/>
        <v>2815</v>
      </c>
    </row>
    <row r="4041" spans="1:4" ht="16.149999999999999" customHeight="1" x14ac:dyDescent="0.25">
      <c r="A4041" s="431">
        <v>37601</v>
      </c>
      <c r="B4041" s="432">
        <v>2816.42</v>
      </c>
      <c r="C4041" s="427">
        <f t="shared" si="124"/>
        <v>2002</v>
      </c>
      <c r="D4041" s="433">
        <f t="shared" si="125"/>
        <v>2816.42</v>
      </c>
    </row>
    <row r="4042" spans="1:4" ht="16.149999999999999" customHeight="1" x14ac:dyDescent="0.25">
      <c r="A4042" s="431">
        <v>37602</v>
      </c>
      <c r="B4042" s="434">
        <v>2801.01</v>
      </c>
      <c r="C4042" s="427">
        <f t="shared" ref="C4042:C4105" si="126">YEAR(A4042)</f>
        <v>2002</v>
      </c>
      <c r="D4042" s="433">
        <f t="shared" ref="D4042:D4105" si="127">B4042</f>
        <v>2801.01</v>
      </c>
    </row>
    <row r="4043" spans="1:4" ht="16.149999999999999" customHeight="1" x14ac:dyDescent="0.25">
      <c r="A4043" s="431">
        <v>37603</v>
      </c>
      <c r="B4043" s="432">
        <v>2793.16</v>
      </c>
      <c r="C4043" s="427">
        <f t="shared" si="126"/>
        <v>2002</v>
      </c>
      <c r="D4043" s="433">
        <f t="shared" si="127"/>
        <v>2793.16</v>
      </c>
    </row>
    <row r="4044" spans="1:4" ht="16.149999999999999" customHeight="1" x14ac:dyDescent="0.25">
      <c r="A4044" s="431">
        <v>37604</v>
      </c>
      <c r="B4044" s="434">
        <v>2808.16</v>
      </c>
      <c r="C4044" s="427">
        <f t="shared" si="126"/>
        <v>2002</v>
      </c>
      <c r="D4044" s="433">
        <f t="shared" si="127"/>
        <v>2808.16</v>
      </c>
    </row>
    <row r="4045" spans="1:4" ht="16.149999999999999" customHeight="1" x14ac:dyDescent="0.25">
      <c r="A4045" s="431">
        <v>37605</v>
      </c>
      <c r="B4045" s="432">
        <v>2808.16</v>
      </c>
      <c r="C4045" s="427">
        <f t="shared" si="126"/>
        <v>2002</v>
      </c>
      <c r="D4045" s="433">
        <f t="shared" si="127"/>
        <v>2808.16</v>
      </c>
    </row>
    <row r="4046" spans="1:4" ht="16.149999999999999" customHeight="1" x14ac:dyDescent="0.25">
      <c r="A4046" s="431">
        <v>37606</v>
      </c>
      <c r="B4046" s="434">
        <v>2808.16</v>
      </c>
      <c r="C4046" s="427">
        <f t="shared" si="126"/>
        <v>2002</v>
      </c>
      <c r="D4046" s="433">
        <f t="shared" si="127"/>
        <v>2808.16</v>
      </c>
    </row>
    <row r="4047" spans="1:4" ht="16.149999999999999" customHeight="1" x14ac:dyDescent="0.25">
      <c r="A4047" s="431">
        <v>37607</v>
      </c>
      <c r="B4047" s="432">
        <v>2807.61</v>
      </c>
      <c r="C4047" s="427">
        <f t="shared" si="126"/>
        <v>2002</v>
      </c>
      <c r="D4047" s="433">
        <f t="shared" si="127"/>
        <v>2807.61</v>
      </c>
    </row>
    <row r="4048" spans="1:4" ht="16.149999999999999" customHeight="1" x14ac:dyDescent="0.25">
      <c r="A4048" s="431">
        <v>37608</v>
      </c>
      <c r="B4048" s="434">
        <v>2805.55</v>
      </c>
      <c r="C4048" s="427">
        <f t="shared" si="126"/>
        <v>2002</v>
      </c>
      <c r="D4048" s="433">
        <f t="shared" si="127"/>
        <v>2805.55</v>
      </c>
    </row>
    <row r="4049" spans="1:4" ht="16.149999999999999" customHeight="1" x14ac:dyDescent="0.25">
      <c r="A4049" s="431">
        <v>37609</v>
      </c>
      <c r="B4049" s="432">
        <v>2818.81</v>
      </c>
      <c r="C4049" s="427">
        <f t="shared" si="126"/>
        <v>2002</v>
      </c>
      <c r="D4049" s="433">
        <f t="shared" si="127"/>
        <v>2818.81</v>
      </c>
    </row>
    <row r="4050" spans="1:4" ht="16.149999999999999" customHeight="1" x14ac:dyDescent="0.25">
      <c r="A4050" s="431">
        <v>37610</v>
      </c>
      <c r="B4050" s="434">
        <v>2818.54</v>
      </c>
      <c r="C4050" s="427">
        <f t="shared" si="126"/>
        <v>2002</v>
      </c>
      <c r="D4050" s="433">
        <f t="shared" si="127"/>
        <v>2818.54</v>
      </c>
    </row>
    <row r="4051" spans="1:4" ht="16.149999999999999" customHeight="1" x14ac:dyDescent="0.25">
      <c r="A4051" s="431">
        <v>37611</v>
      </c>
      <c r="B4051" s="432">
        <v>2814.71</v>
      </c>
      <c r="C4051" s="427">
        <f t="shared" si="126"/>
        <v>2002</v>
      </c>
      <c r="D4051" s="433">
        <f t="shared" si="127"/>
        <v>2814.71</v>
      </c>
    </row>
    <row r="4052" spans="1:4" ht="16.149999999999999" customHeight="1" x14ac:dyDescent="0.25">
      <c r="A4052" s="431">
        <v>37612</v>
      </c>
      <c r="B4052" s="434">
        <v>2814.71</v>
      </c>
      <c r="C4052" s="427">
        <f t="shared" si="126"/>
        <v>2002</v>
      </c>
      <c r="D4052" s="433">
        <f t="shared" si="127"/>
        <v>2814.71</v>
      </c>
    </row>
    <row r="4053" spans="1:4" ht="16.149999999999999" customHeight="1" x14ac:dyDescent="0.25">
      <c r="A4053" s="431">
        <v>37613</v>
      </c>
      <c r="B4053" s="432">
        <v>2814.71</v>
      </c>
      <c r="C4053" s="427">
        <f t="shared" si="126"/>
        <v>2002</v>
      </c>
      <c r="D4053" s="433">
        <f t="shared" si="127"/>
        <v>2814.71</v>
      </c>
    </row>
    <row r="4054" spans="1:4" ht="16.149999999999999" customHeight="1" x14ac:dyDescent="0.25">
      <c r="A4054" s="431">
        <v>37614</v>
      </c>
      <c r="B4054" s="434">
        <v>2826.04</v>
      </c>
      <c r="C4054" s="427">
        <f t="shared" si="126"/>
        <v>2002</v>
      </c>
      <c r="D4054" s="433">
        <f t="shared" si="127"/>
        <v>2826.04</v>
      </c>
    </row>
    <row r="4055" spans="1:4" ht="16.149999999999999" customHeight="1" x14ac:dyDescent="0.25">
      <c r="A4055" s="431">
        <v>37615</v>
      </c>
      <c r="B4055" s="432">
        <v>2823.95</v>
      </c>
      <c r="C4055" s="427">
        <f t="shared" si="126"/>
        <v>2002</v>
      </c>
      <c r="D4055" s="433">
        <f t="shared" si="127"/>
        <v>2823.95</v>
      </c>
    </row>
    <row r="4056" spans="1:4" ht="16.149999999999999" customHeight="1" x14ac:dyDescent="0.25">
      <c r="A4056" s="431">
        <v>37616</v>
      </c>
      <c r="B4056" s="434">
        <v>2823.95</v>
      </c>
      <c r="C4056" s="427">
        <f t="shared" si="126"/>
        <v>2002</v>
      </c>
      <c r="D4056" s="433">
        <f t="shared" si="127"/>
        <v>2823.95</v>
      </c>
    </row>
    <row r="4057" spans="1:4" ht="16.149999999999999" customHeight="1" x14ac:dyDescent="0.25">
      <c r="A4057" s="431">
        <v>37617</v>
      </c>
      <c r="B4057" s="432">
        <v>2843.57</v>
      </c>
      <c r="C4057" s="427">
        <f t="shared" si="126"/>
        <v>2002</v>
      </c>
      <c r="D4057" s="433">
        <f t="shared" si="127"/>
        <v>2843.57</v>
      </c>
    </row>
    <row r="4058" spans="1:4" ht="16.149999999999999" customHeight="1" x14ac:dyDescent="0.25">
      <c r="A4058" s="431">
        <v>37618</v>
      </c>
      <c r="B4058" s="434">
        <v>2854.29</v>
      </c>
      <c r="C4058" s="427">
        <f t="shared" si="126"/>
        <v>2002</v>
      </c>
      <c r="D4058" s="433">
        <f t="shared" si="127"/>
        <v>2854.29</v>
      </c>
    </row>
    <row r="4059" spans="1:4" ht="16.149999999999999" customHeight="1" x14ac:dyDescent="0.25">
      <c r="A4059" s="431">
        <v>37619</v>
      </c>
      <c r="B4059" s="432">
        <v>2854.29</v>
      </c>
      <c r="C4059" s="427">
        <f t="shared" si="126"/>
        <v>2002</v>
      </c>
      <c r="D4059" s="433">
        <f t="shared" si="127"/>
        <v>2854.29</v>
      </c>
    </row>
    <row r="4060" spans="1:4" ht="16.149999999999999" customHeight="1" x14ac:dyDescent="0.25">
      <c r="A4060" s="431">
        <v>37620</v>
      </c>
      <c r="B4060" s="434">
        <v>2854.29</v>
      </c>
      <c r="C4060" s="427">
        <f t="shared" si="126"/>
        <v>2002</v>
      </c>
      <c r="D4060" s="433">
        <f t="shared" si="127"/>
        <v>2854.29</v>
      </c>
    </row>
    <row r="4061" spans="1:4" ht="16.149999999999999" customHeight="1" x14ac:dyDescent="0.25">
      <c r="A4061" s="431">
        <v>37621</v>
      </c>
      <c r="B4061" s="432">
        <v>2864.79</v>
      </c>
      <c r="C4061" s="427">
        <f t="shared" si="126"/>
        <v>2002</v>
      </c>
      <c r="D4061" s="433">
        <f t="shared" si="127"/>
        <v>2864.79</v>
      </c>
    </row>
    <row r="4062" spans="1:4" ht="16.149999999999999" customHeight="1" x14ac:dyDescent="0.25">
      <c r="A4062" s="431">
        <v>37622</v>
      </c>
      <c r="B4062" s="434">
        <v>2864.79</v>
      </c>
      <c r="C4062" s="427">
        <f t="shared" si="126"/>
        <v>2003</v>
      </c>
      <c r="D4062" s="433">
        <f t="shared" si="127"/>
        <v>2864.79</v>
      </c>
    </row>
    <row r="4063" spans="1:4" ht="16.149999999999999" customHeight="1" x14ac:dyDescent="0.25">
      <c r="A4063" s="431">
        <v>37623</v>
      </c>
      <c r="B4063" s="432">
        <v>2864.79</v>
      </c>
      <c r="C4063" s="427">
        <f t="shared" si="126"/>
        <v>2003</v>
      </c>
      <c r="D4063" s="433">
        <f t="shared" si="127"/>
        <v>2864.79</v>
      </c>
    </row>
    <row r="4064" spans="1:4" ht="16.149999999999999" customHeight="1" x14ac:dyDescent="0.25">
      <c r="A4064" s="431">
        <v>37624</v>
      </c>
      <c r="B4064" s="434">
        <v>2844.82</v>
      </c>
      <c r="C4064" s="427">
        <f t="shared" si="126"/>
        <v>2003</v>
      </c>
      <c r="D4064" s="433">
        <f t="shared" si="127"/>
        <v>2844.82</v>
      </c>
    </row>
    <row r="4065" spans="1:4" ht="16.149999999999999" customHeight="1" x14ac:dyDescent="0.25">
      <c r="A4065" s="431">
        <v>37625</v>
      </c>
      <c r="B4065" s="432">
        <v>2841.56</v>
      </c>
      <c r="C4065" s="427">
        <f t="shared" si="126"/>
        <v>2003</v>
      </c>
      <c r="D4065" s="433">
        <f t="shared" si="127"/>
        <v>2841.56</v>
      </c>
    </row>
    <row r="4066" spans="1:4" ht="16.149999999999999" customHeight="1" x14ac:dyDescent="0.25">
      <c r="A4066" s="431">
        <v>37626</v>
      </c>
      <c r="B4066" s="434">
        <v>2841.56</v>
      </c>
      <c r="C4066" s="427">
        <f t="shared" si="126"/>
        <v>2003</v>
      </c>
      <c r="D4066" s="433">
        <f t="shared" si="127"/>
        <v>2841.56</v>
      </c>
    </row>
    <row r="4067" spans="1:4" ht="16.149999999999999" customHeight="1" x14ac:dyDescent="0.25">
      <c r="A4067" s="431">
        <v>37627</v>
      </c>
      <c r="B4067" s="432">
        <v>2841.56</v>
      </c>
      <c r="C4067" s="427">
        <f t="shared" si="126"/>
        <v>2003</v>
      </c>
      <c r="D4067" s="433">
        <f t="shared" si="127"/>
        <v>2841.56</v>
      </c>
    </row>
    <row r="4068" spans="1:4" ht="16.149999999999999" customHeight="1" x14ac:dyDescent="0.25">
      <c r="A4068" s="431">
        <v>37628</v>
      </c>
      <c r="B4068" s="434">
        <v>2841.56</v>
      </c>
      <c r="C4068" s="427">
        <f t="shared" si="126"/>
        <v>2003</v>
      </c>
      <c r="D4068" s="433">
        <f t="shared" si="127"/>
        <v>2841.56</v>
      </c>
    </row>
    <row r="4069" spans="1:4" ht="16.149999999999999" customHeight="1" x14ac:dyDescent="0.25">
      <c r="A4069" s="431">
        <v>37629</v>
      </c>
      <c r="B4069" s="432">
        <v>2881.83</v>
      </c>
      <c r="C4069" s="427">
        <f t="shared" si="126"/>
        <v>2003</v>
      </c>
      <c r="D4069" s="433">
        <f t="shared" si="127"/>
        <v>2881.83</v>
      </c>
    </row>
    <row r="4070" spans="1:4" ht="16.149999999999999" customHeight="1" x14ac:dyDescent="0.25">
      <c r="A4070" s="431">
        <v>37630</v>
      </c>
      <c r="B4070" s="434">
        <v>2902.92</v>
      </c>
      <c r="C4070" s="427">
        <f t="shared" si="126"/>
        <v>2003</v>
      </c>
      <c r="D4070" s="433">
        <f t="shared" si="127"/>
        <v>2902.92</v>
      </c>
    </row>
    <row r="4071" spans="1:4" ht="16.149999999999999" customHeight="1" x14ac:dyDescent="0.25">
      <c r="A4071" s="431">
        <v>37631</v>
      </c>
      <c r="B4071" s="432">
        <v>2915.01</v>
      </c>
      <c r="C4071" s="427">
        <f t="shared" si="126"/>
        <v>2003</v>
      </c>
      <c r="D4071" s="433">
        <f t="shared" si="127"/>
        <v>2915.01</v>
      </c>
    </row>
    <row r="4072" spans="1:4" ht="16.149999999999999" customHeight="1" x14ac:dyDescent="0.25">
      <c r="A4072" s="431">
        <v>37632</v>
      </c>
      <c r="B4072" s="434">
        <v>2905.77</v>
      </c>
      <c r="C4072" s="427">
        <f t="shared" si="126"/>
        <v>2003</v>
      </c>
      <c r="D4072" s="433">
        <f t="shared" si="127"/>
        <v>2905.77</v>
      </c>
    </row>
    <row r="4073" spans="1:4" ht="16.149999999999999" customHeight="1" x14ac:dyDescent="0.25">
      <c r="A4073" s="431">
        <v>37633</v>
      </c>
      <c r="B4073" s="432">
        <v>2905.77</v>
      </c>
      <c r="C4073" s="427">
        <f t="shared" si="126"/>
        <v>2003</v>
      </c>
      <c r="D4073" s="433">
        <f t="shared" si="127"/>
        <v>2905.77</v>
      </c>
    </row>
    <row r="4074" spans="1:4" ht="16.149999999999999" customHeight="1" x14ac:dyDescent="0.25">
      <c r="A4074" s="431">
        <v>37634</v>
      </c>
      <c r="B4074" s="434">
        <v>2905.77</v>
      </c>
      <c r="C4074" s="427">
        <f t="shared" si="126"/>
        <v>2003</v>
      </c>
      <c r="D4074" s="433">
        <f t="shared" si="127"/>
        <v>2905.77</v>
      </c>
    </row>
    <row r="4075" spans="1:4" ht="16.149999999999999" customHeight="1" x14ac:dyDescent="0.25">
      <c r="A4075" s="431">
        <v>37635</v>
      </c>
      <c r="B4075" s="432">
        <v>2906.49</v>
      </c>
      <c r="C4075" s="427">
        <f t="shared" si="126"/>
        <v>2003</v>
      </c>
      <c r="D4075" s="433">
        <f t="shared" si="127"/>
        <v>2906.49</v>
      </c>
    </row>
    <row r="4076" spans="1:4" ht="16.149999999999999" customHeight="1" x14ac:dyDescent="0.25">
      <c r="A4076" s="431">
        <v>37636</v>
      </c>
      <c r="B4076" s="434">
        <v>2903.05</v>
      </c>
      <c r="C4076" s="427">
        <f t="shared" si="126"/>
        <v>2003</v>
      </c>
      <c r="D4076" s="433">
        <f t="shared" si="127"/>
        <v>2903.05</v>
      </c>
    </row>
    <row r="4077" spans="1:4" ht="16.149999999999999" customHeight="1" x14ac:dyDescent="0.25">
      <c r="A4077" s="431">
        <v>37637</v>
      </c>
      <c r="B4077" s="432">
        <v>2905.41</v>
      </c>
      <c r="C4077" s="427">
        <f t="shared" si="126"/>
        <v>2003</v>
      </c>
      <c r="D4077" s="433">
        <f t="shared" si="127"/>
        <v>2905.41</v>
      </c>
    </row>
    <row r="4078" spans="1:4" ht="16.149999999999999" customHeight="1" x14ac:dyDescent="0.25">
      <c r="A4078" s="431">
        <v>37638</v>
      </c>
      <c r="B4078" s="434">
        <v>2928.19</v>
      </c>
      <c r="C4078" s="427">
        <f t="shared" si="126"/>
        <v>2003</v>
      </c>
      <c r="D4078" s="433">
        <f t="shared" si="127"/>
        <v>2928.19</v>
      </c>
    </row>
    <row r="4079" spans="1:4" ht="16.149999999999999" customHeight="1" x14ac:dyDescent="0.25">
      <c r="A4079" s="431">
        <v>37639</v>
      </c>
      <c r="B4079" s="432">
        <v>2923.58</v>
      </c>
      <c r="C4079" s="427">
        <f t="shared" si="126"/>
        <v>2003</v>
      </c>
      <c r="D4079" s="433">
        <f t="shared" si="127"/>
        <v>2923.58</v>
      </c>
    </row>
    <row r="4080" spans="1:4" ht="16.149999999999999" customHeight="1" x14ac:dyDescent="0.25">
      <c r="A4080" s="431">
        <v>37640</v>
      </c>
      <c r="B4080" s="434">
        <v>2923.58</v>
      </c>
      <c r="C4080" s="427">
        <f t="shared" si="126"/>
        <v>2003</v>
      </c>
      <c r="D4080" s="433">
        <f t="shared" si="127"/>
        <v>2923.58</v>
      </c>
    </row>
    <row r="4081" spans="1:4" ht="16.149999999999999" customHeight="1" x14ac:dyDescent="0.25">
      <c r="A4081" s="431">
        <v>37641</v>
      </c>
      <c r="B4081" s="432">
        <v>2923.58</v>
      </c>
      <c r="C4081" s="427">
        <f t="shared" si="126"/>
        <v>2003</v>
      </c>
      <c r="D4081" s="433">
        <f t="shared" si="127"/>
        <v>2923.58</v>
      </c>
    </row>
    <row r="4082" spans="1:4" ht="16.149999999999999" customHeight="1" x14ac:dyDescent="0.25">
      <c r="A4082" s="431">
        <v>37642</v>
      </c>
      <c r="B4082" s="434">
        <v>2926.06</v>
      </c>
      <c r="C4082" s="427">
        <f t="shared" si="126"/>
        <v>2003</v>
      </c>
      <c r="D4082" s="433">
        <f t="shared" si="127"/>
        <v>2926.06</v>
      </c>
    </row>
    <row r="4083" spans="1:4" ht="16.149999999999999" customHeight="1" x14ac:dyDescent="0.25">
      <c r="A4083" s="431">
        <v>37643</v>
      </c>
      <c r="B4083" s="432">
        <v>2933.81</v>
      </c>
      <c r="C4083" s="427">
        <f t="shared" si="126"/>
        <v>2003</v>
      </c>
      <c r="D4083" s="433">
        <f t="shared" si="127"/>
        <v>2933.81</v>
      </c>
    </row>
    <row r="4084" spans="1:4" ht="16.149999999999999" customHeight="1" x14ac:dyDescent="0.25">
      <c r="A4084" s="431">
        <v>37644</v>
      </c>
      <c r="B4084" s="434">
        <v>2947.05</v>
      </c>
      <c r="C4084" s="427">
        <f t="shared" si="126"/>
        <v>2003</v>
      </c>
      <c r="D4084" s="433">
        <f t="shared" si="127"/>
        <v>2947.05</v>
      </c>
    </row>
    <row r="4085" spans="1:4" ht="16.149999999999999" customHeight="1" x14ac:dyDescent="0.25">
      <c r="A4085" s="431">
        <v>37645</v>
      </c>
      <c r="B4085" s="432">
        <v>2926.88</v>
      </c>
      <c r="C4085" s="427">
        <f t="shared" si="126"/>
        <v>2003</v>
      </c>
      <c r="D4085" s="433">
        <f t="shared" si="127"/>
        <v>2926.88</v>
      </c>
    </row>
    <row r="4086" spans="1:4" ht="16.149999999999999" customHeight="1" x14ac:dyDescent="0.25">
      <c r="A4086" s="431">
        <v>37646</v>
      </c>
      <c r="B4086" s="434">
        <v>2924.73</v>
      </c>
      <c r="C4086" s="427">
        <f t="shared" si="126"/>
        <v>2003</v>
      </c>
      <c r="D4086" s="433">
        <f t="shared" si="127"/>
        <v>2924.73</v>
      </c>
    </row>
    <row r="4087" spans="1:4" ht="16.149999999999999" customHeight="1" x14ac:dyDescent="0.25">
      <c r="A4087" s="431">
        <v>37647</v>
      </c>
      <c r="B4087" s="432">
        <v>2924.73</v>
      </c>
      <c r="C4087" s="427">
        <f t="shared" si="126"/>
        <v>2003</v>
      </c>
      <c r="D4087" s="433">
        <f t="shared" si="127"/>
        <v>2924.73</v>
      </c>
    </row>
    <row r="4088" spans="1:4" ht="16.149999999999999" customHeight="1" x14ac:dyDescent="0.25">
      <c r="A4088" s="431">
        <v>37648</v>
      </c>
      <c r="B4088" s="434">
        <v>2924.73</v>
      </c>
      <c r="C4088" s="427">
        <f t="shared" si="126"/>
        <v>2003</v>
      </c>
      <c r="D4088" s="433">
        <f t="shared" si="127"/>
        <v>2924.73</v>
      </c>
    </row>
    <row r="4089" spans="1:4" ht="16.149999999999999" customHeight="1" x14ac:dyDescent="0.25">
      <c r="A4089" s="431">
        <v>37649</v>
      </c>
      <c r="B4089" s="432">
        <v>2948.3</v>
      </c>
      <c r="C4089" s="427">
        <f t="shared" si="126"/>
        <v>2003</v>
      </c>
      <c r="D4089" s="433">
        <f t="shared" si="127"/>
        <v>2948.3</v>
      </c>
    </row>
    <row r="4090" spans="1:4" ht="16.149999999999999" customHeight="1" x14ac:dyDescent="0.25">
      <c r="A4090" s="431">
        <v>37650</v>
      </c>
      <c r="B4090" s="434">
        <v>2965.6</v>
      </c>
      <c r="C4090" s="427">
        <f t="shared" si="126"/>
        <v>2003</v>
      </c>
      <c r="D4090" s="433">
        <f t="shared" si="127"/>
        <v>2965.6</v>
      </c>
    </row>
    <row r="4091" spans="1:4" ht="16.149999999999999" customHeight="1" x14ac:dyDescent="0.25">
      <c r="A4091" s="431">
        <v>37651</v>
      </c>
      <c r="B4091" s="432">
        <v>2950.71</v>
      </c>
      <c r="C4091" s="427">
        <f t="shared" si="126"/>
        <v>2003</v>
      </c>
      <c r="D4091" s="433">
        <f t="shared" si="127"/>
        <v>2950.71</v>
      </c>
    </row>
    <row r="4092" spans="1:4" ht="16.149999999999999" customHeight="1" x14ac:dyDescent="0.25">
      <c r="A4092" s="431">
        <v>37652</v>
      </c>
      <c r="B4092" s="434">
        <v>2926.46</v>
      </c>
      <c r="C4092" s="427">
        <f t="shared" si="126"/>
        <v>2003</v>
      </c>
      <c r="D4092" s="433">
        <f t="shared" si="127"/>
        <v>2926.46</v>
      </c>
    </row>
    <row r="4093" spans="1:4" ht="16.149999999999999" customHeight="1" x14ac:dyDescent="0.25">
      <c r="A4093" s="431">
        <v>37653</v>
      </c>
      <c r="B4093" s="432">
        <v>2940.26</v>
      </c>
      <c r="C4093" s="427">
        <f t="shared" si="126"/>
        <v>2003</v>
      </c>
      <c r="D4093" s="433">
        <f t="shared" si="127"/>
        <v>2940.26</v>
      </c>
    </row>
    <row r="4094" spans="1:4" ht="16.149999999999999" customHeight="1" x14ac:dyDescent="0.25">
      <c r="A4094" s="431">
        <v>37654</v>
      </c>
      <c r="B4094" s="434">
        <v>2940.26</v>
      </c>
      <c r="C4094" s="427">
        <f t="shared" si="126"/>
        <v>2003</v>
      </c>
      <c r="D4094" s="433">
        <f t="shared" si="127"/>
        <v>2940.26</v>
      </c>
    </row>
    <row r="4095" spans="1:4" ht="16.149999999999999" customHeight="1" x14ac:dyDescent="0.25">
      <c r="A4095" s="431">
        <v>37655</v>
      </c>
      <c r="B4095" s="432">
        <v>2940.26</v>
      </c>
      <c r="C4095" s="427">
        <f t="shared" si="126"/>
        <v>2003</v>
      </c>
      <c r="D4095" s="433">
        <f t="shared" si="127"/>
        <v>2940.26</v>
      </c>
    </row>
    <row r="4096" spans="1:4" ht="16.149999999999999" customHeight="1" x14ac:dyDescent="0.25">
      <c r="A4096" s="431">
        <v>37656</v>
      </c>
      <c r="B4096" s="434">
        <v>2957.4</v>
      </c>
      <c r="C4096" s="427">
        <f t="shared" si="126"/>
        <v>2003</v>
      </c>
      <c r="D4096" s="433">
        <f t="shared" si="127"/>
        <v>2957.4</v>
      </c>
    </row>
    <row r="4097" spans="1:4" ht="16.149999999999999" customHeight="1" x14ac:dyDescent="0.25">
      <c r="A4097" s="431">
        <v>37657</v>
      </c>
      <c r="B4097" s="432">
        <v>2966.78</v>
      </c>
      <c r="C4097" s="427">
        <f t="shared" si="126"/>
        <v>2003</v>
      </c>
      <c r="D4097" s="433">
        <f t="shared" si="127"/>
        <v>2966.78</v>
      </c>
    </row>
    <row r="4098" spans="1:4" ht="16.149999999999999" customHeight="1" x14ac:dyDescent="0.25">
      <c r="A4098" s="431">
        <v>37658</v>
      </c>
      <c r="B4098" s="434">
        <v>2961.29</v>
      </c>
      <c r="C4098" s="427">
        <f t="shared" si="126"/>
        <v>2003</v>
      </c>
      <c r="D4098" s="433">
        <f t="shared" si="127"/>
        <v>2961.29</v>
      </c>
    </row>
    <row r="4099" spans="1:4" ht="16.149999999999999" customHeight="1" x14ac:dyDescent="0.25">
      <c r="A4099" s="431">
        <v>37659</v>
      </c>
      <c r="B4099" s="432">
        <v>2963.28</v>
      </c>
      <c r="C4099" s="427">
        <f t="shared" si="126"/>
        <v>2003</v>
      </c>
      <c r="D4099" s="433">
        <f t="shared" si="127"/>
        <v>2963.28</v>
      </c>
    </row>
    <row r="4100" spans="1:4" ht="16.149999999999999" customHeight="1" x14ac:dyDescent="0.25">
      <c r="A4100" s="431">
        <v>37660</v>
      </c>
      <c r="B4100" s="434">
        <v>2954.03</v>
      </c>
      <c r="C4100" s="427">
        <f t="shared" si="126"/>
        <v>2003</v>
      </c>
      <c r="D4100" s="433">
        <f t="shared" si="127"/>
        <v>2954.03</v>
      </c>
    </row>
    <row r="4101" spans="1:4" ht="16.149999999999999" customHeight="1" x14ac:dyDescent="0.25">
      <c r="A4101" s="431">
        <v>37661</v>
      </c>
      <c r="B4101" s="432">
        <v>2954.03</v>
      </c>
      <c r="C4101" s="427">
        <f t="shared" si="126"/>
        <v>2003</v>
      </c>
      <c r="D4101" s="433">
        <f t="shared" si="127"/>
        <v>2954.03</v>
      </c>
    </row>
    <row r="4102" spans="1:4" ht="16.149999999999999" customHeight="1" x14ac:dyDescent="0.25">
      <c r="A4102" s="431">
        <v>37662</v>
      </c>
      <c r="B4102" s="434">
        <v>2954.03</v>
      </c>
      <c r="C4102" s="427">
        <f t="shared" si="126"/>
        <v>2003</v>
      </c>
      <c r="D4102" s="433">
        <f t="shared" si="127"/>
        <v>2954.03</v>
      </c>
    </row>
    <row r="4103" spans="1:4" ht="16.149999999999999" customHeight="1" x14ac:dyDescent="0.25">
      <c r="A4103" s="431">
        <v>37663</v>
      </c>
      <c r="B4103" s="432">
        <v>2968.88</v>
      </c>
      <c r="C4103" s="427">
        <f t="shared" si="126"/>
        <v>2003</v>
      </c>
      <c r="D4103" s="433">
        <f t="shared" si="127"/>
        <v>2968.88</v>
      </c>
    </row>
    <row r="4104" spans="1:4" ht="16.149999999999999" customHeight="1" x14ac:dyDescent="0.25">
      <c r="A4104" s="431">
        <v>37664</v>
      </c>
      <c r="B4104" s="434">
        <v>2963.21</v>
      </c>
      <c r="C4104" s="427">
        <f t="shared" si="126"/>
        <v>2003</v>
      </c>
      <c r="D4104" s="433">
        <f t="shared" si="127"/>
        <v>2963.21</v>
      </c>
    </row>
    <row r="4105" spans="1:4" ht="16.149999999999999" customHeight="1" x14ac:dyDescent="0.25">
      <c r="A4105" s="431">
        <v>37665</v>
      </c>
      <c r="B4105" s="432">
        <v>2960.77</v>
      </c>
      <c r="C4105" s="427">
        <f t="shared" si="126"/>
        <v>2003</v>
      </c>
      <c r="D4105" s="433">
        <f t="shared" si="127"/>
        <v>2960.77</v>
      </c>
    </row>
    <row r="4106" spans="1:4" ht="16.149999999999999" customHeight="1" x14ac:dyDescent="0.25">
      <c r="A4106" s="431">
        <v>37666</v>
      </c>
      <c r="B4106" s="434">
        <v>2959.75</v>
      </c>
      <c r="C4106" s="427">
        <f t="shared" ref="C4106:C4169" si="128">YEAR(A4106)</f>
        <v>2003</v>
      </c>
      <c r="D4106" s="433">
        <f t="shared" ref="D4106:D4169" si="129">B4106</f>
        <v>2959.75</v>
      </c>
    </row>
    <row r="4107" spans="1:4" ht="16.149999999999999" customHeight="1" x14ac:dyDescent="0.25">
      <c r="A4107" s="431">
        <v>37667</v>
      </c>
      <c r="B4107" s="432">
        <v>2954.76</v>
      </c>
      <c r="C4107" s="427">
        <f t="shared" si="128"/>
        <v>2003</v>
      </c>
      <c r="D4107" s="433">
        <f t="shared" si="129"/>
        <v>2954.76</v>
      </c>
    </row>
    <row r="4108" spans="1:4" ht="16.149999999999999" customHeight="1" x14ac:dyDescent="0.25">
      <c r="A4108" s="431">
        <v>37668</v>
      </c>
      <c r="B4108" s="434">
        <v>2954.76</v>
      </c>
      <c r="C4108" s="427">
        <f t="shared" si="128"/>
        <v>2003</v>
      </c>
      <c r="D4108" s="433">
        <f t="shared" si="129"/>
        <v>2954.76</v>
      </c>
    </row>
    <row r="4109" spans="1:4" ht="16.149999999999999" customHeight="1" x14ac:dyDescent="0.25">
      <c r="A4109" s="431">
        <v>37669</v>
      </c>
      <c r="B4109" s="432">
        <v>2954.76</v>
      </c>
      <c r="C4109" s="427">
        <f t="shared" si="128"/>
        <v>2003</v>
      </c>
      <c r="D4109" s="433">
        <f t="shared" si="129"/>
        <v>2954.76</v>
      </c>
    </row>
    <row r="4110" spans="1:4" ht="16.149999999999999" customHeight="1" x14ac:dyDescent="0.25">
      <c r="A4110" s="431">
        <v>37670</v>
      </c>
      <c r="B4110" s="434">
        <v>2934.58</v>
      </c>
      <c r="C4110" s="427">
        <f t="shared" si="128"/>
        <v>2003</v>
      </c>
      <c r="D4110" s="433">
        <f t="shared" si="129"/>
        <v>2934.58</v>
      </c>
    </row>
    <row r="4111" spans="1:4" ht="16.149999999999999" customHeight="1" x14ac:dyDescent="0.25">
      <c r="A4111" s="431">
        <v>37671</v>
      </c>
      <c r="B4111" s="432">
        <v>2929.64</v>
      </c>
      <c r="C4111" s="427">
        <f t="shared" si="128"/>
        <v>2003</v>
      </c>
      <c r="D4111" s="433">
        <f t="shared" si="129"/>
        <v>2929.64</v>
      </c>
    </row>
    <row r="4112" spans="1:4" ht="16.149999999999999" customHeight="1" x14ac:dyDescent="0.25">
      <c r="A4112" s="431">
        <v>37672</v>
      </c>
      <c r="B4112" s="434">
        <v>2937.44</v>
      </c>
      <c r="C4112" s="427">
        <f t="shared" si="128"/>
        <v>2003</v>
      </c>
      <c r="D4112" s="433">
        <f t="shared" si="129"/>
        <v>2937.44</v>
      </c>
    </row>
    <row r="4113" spans="1:4" ht="16.149999999999999" customHeight="1" x14ac:dyDescent="0.25">
      <c r="A4113" s="431">
        <v>37673</v>
      </c>
      <c r="B4113" s="432">
        <v>2938.23</v>
      </c>
      <c r="C4113" s="427">
        <f t="shared" si="128"/>
        <v>2003</v>
      </c>
      <c r="D4113" s="433">
        <f t="shared" si="129"/>
        <v>2938.23</v>
      </c>
    </row>
    <row r="4114" spans="1:4" ht="16.149999999999999" customHeight="1" x14ac:dyDescent="0.25">
      <c r="A4114" s="431">
        <v>37674</v>
      </c>
      <c r="B4114" s="434">
        <v>2939.92</v>
      </c>
      <c r="C4114" s="427">
        <f t="shared" si="128"/>
        <v>2003</v>
      </c>
      <c r="D4114" s="433">
        <f t="shared" si="129"/>
        <v>2939.92</v>
      </c>
    </row>
    <row r="4115" spans="1:4" ht="16.149999999999999" customHeight="1" x14ac:dyDescent="0.25">
      <c r="A4115" s="431">
        <v>37675</v>
      </c>
      <c r="B4115" s="432">
        <v>2939.92</v>
      </c>
      <c r="C4115" s="427">
        <f t="shared" si="128"/>
        <v>2003</v>
      </c>
      <c r="D4115" s="433">
        <f t="shared" si="129"/>
        <v>2939.92</v>
      </c>
    </row>
    <row r="4116" spans="1:4" ht="16.149999999999999" customHeight="1" x14ac:dyDescent="0.25">
      <c r="A4116" s="431">
        <v>37676</v>
      </c>
      <c r="B4116" s="434">
        <v>2939.92</v>
      </c>
      <c r="C4116" s="427">
        <f t="shared" si="128"/>
        <v>2003</v>
      </c>
      <c r="D4116" s="433">
        <f t="shared" si="129"/>
        <v>2939.92</v>
      </c>
    </row>
    <row r="4117" spans="1:4" ht="16.149999999999999" customHeight="1" x14ac:dyDescent="0.25">
      <c r="A4117" s="431">
        <v>37677</v>
      </c>
      <c r="B4117" s="432">
        <v>2949.05</v>
      </c>
      <c r="C4117" s="427">
        <f t="shared" si="128"/>
        <v>2003</v>
      </c>
      <c r="D4117" s="433">
        <f t="shared" si="129"/>
        <v>2949.05</v>
      </c>
    </row>
    <row r="4118" spans="1:4" ht="16.149999999999999" customHeight="1" x14ac:dyDescent="0.25">
      <c r="A4118" s="431">
        <v>37678</v>
      </c>
      <c r="B4118" s="434">
        <v>2951.81</v>
      </c>
      <c r="C4118" s="427">
        <f t="shared" si="128"/>
        <v>2003</v>
      </c>
      <c r="D4118" s="433">
        <f t="shared" si="129"/>
        <v>2951.81</v>
      </c>
    </row>
    <row r="4119" spans="1:4" ht="16.149999999999999" customHeight="1" x14ac:dyDescent="0.25">
      <c r="A4119" s="431">
        <v>37679</v>
      </c>
      <c r="B4119" s="432">
        <v>2949.85</v>
      </c>
      <c r="C4119" s="427">
        <f t="shared" si="128"/>
        <v>2003</v>
      </c>
      <c r="D4119" s="433">
        <f t="shared" si="129"/>
        <v>2949.85</v>
      </c>
    </row>
    <row r="4120" spans="1:4" ht="16.149999999999999" customHeight="1" x14ac:dyDescent="0.25">
      <c r="A4120" s="431">
        <v>37680</v>
      </c>
      <c r="B4120" s="434">
        <v>2956.31</v>
      </c>
      <c r="C4120" s="427">
        <f t="shared" si="128"/>
        <v>2003</v>
      </c>
      <c r="D4120" s="433">
        <f t="shared" si="129"/>
        <v>2956.31</v>
      </c>
    </row>
    <row r="4121" spans="1:4" ht="16.149999999999999" customHeight="1" x14ac:dyDescent="0.25">
      <c r="A4121" s="431">
        <v>37681</v>
      </c>
      <c r="B4121" s="432">
        <v>2957.87</v>
      </c>
      <c r="C4121" s="427">
        <f t="shared" si="128"/>
        <v>2003</v>
      </c>
      <c r="D4121" s="433">
        <f t="shared" si="129"/>
        <v>2957.87</v>
      </c>
    </row>
    <row r="4122" spans="1:4" ht="16.149999999999999" customHeight="1" x14ac:dyDescent="0.25">
      <c r="A4122" s="431">
        <v>37682</v>
      </c>
      <c r="B4122" s="434">
        <v>2957.87</v>
      </c>
      <c r="C4122" s="427">
        <f t="shared" si="128"/>
        <v>2003</v>
      </c>
      <c r="D4122" s="433">
        <f t="shared" si="129"/>
        <v>2957.87</v>
      </c>
    </row>
    <row r="4123" spans="1:4" ht="16.149999999999999" customHeight="1" x14ac:dyDescent="0.25">
      <c r="A4123" s="431">
        <v>37683</v>
      </c>
      <c r="B4123" s="432">
        <v>2957.87</v>
      </c>
      <c r="C4123" s="427">
        <f t="shared" si="128"/>
        <v>2003</v>
      </c>
      <c r="D4123" s="433">
        <f t="shared" si="129"/>
        <v>2957.87</v>
      </c>
    </row>
    <row r="4124" spans="1:4" ht="16.149999999999999" customHeight="1" x14ac:dyDescent="0.25">
      <c r="A4124" s="431">
        <v>37684</v>
      </c>
      <c r="B4124" s="434">
        <v>2959.97</v>
      </c>
      <c r="C4124" s="427">
        <f t="shared" si="128"/>
        <v>2003</v>
      </c>
      <c r="D4124" s="433">
        <f t="shared" si="129"/>
        <v>2959.97</v>
      </c>
    </row>
    <row r="4125" spans="1:4" ht="16.149999999999999" customHeight="1" x14ac:dyDescent="0.25">
      <c r="A4125" s="431">
        <v>37685</v>
      </c>
      <c r="B4125" s="432">
        <v>2962.06</v>
      </c>
      <c r="C4125" s="427">
        <f t="shared" si="128"/>
        <v>2003</v>
      </c>
      <c r="D4125" s="433">
        <f t="shared" si="129"/>
        <v>2962.06</v>
      </c>
    </row>
    <row r="4126" spans="1:4" ht="16.149999999999999" customHeight="1" x14ac:dyDescent="0.25">
      <c r="A4126" s="431">
        <v>37686</v>
      </c>
      <c r="B4126" s="434">
        <v>2960.77</v>
      </c>
      <c r="C4126" s="427">
        <f t="shared" si="128"/>
        <v>2003</v>
      </c>
      <c r="D4126" s="433">
        <f t="shared" si="129"/>
        <v>2960.77</v>
      </c>
    </row>
    <row r="4127" spans="1:4" ht="16.149999999999999" customHeight="1" x14ac:dyDescent="0.25">
      <c r="A4127" s="431">
        <v>37687</v>
      </c>
      <c r="B4127" s="432">
        <v>2960.11</v>
      </c>
      <c r="C4127" s="427">
        <f t="shared" si="128"/>
        <v>2003</v>
      </c>
      <c r="D4127" s="433">
        <f t="shared" si="129"/>
        <v>2960.11</v>
      </c>
    </row>
    <row r="4128" spans="1:4" ht="16.149999999999999" customHeight="1" x14ac:dyDescent="0.25">
      <c r="A4128" s="431">
        <v>37688</v>
      </c>
      <c r="B4128" s="434">
        <v>2959.75</v>
      </c>
      <c r="C4128" s="427">
        <f t="shared" si="128"/>
        <v>2003</v>
      </c>
      <c r="D4128" s="433">
        <f t="shared" si="129"/>
        <v>2959.75</v>
      </c>
    </row>
    <row r="4129" spans="1:4" ht="16.149999999999999" customHeight="1" x14ac:dyDescent="0.25">
      <c r="A4129" s="431">
        <v>37689</v>
      </c>
      <c r="B4129" s="432">
        <v>2959.75</v>
      </c>
      <c r="C4129" s="427">
        <f t="shared" si="128"/>
        <v>2003</v>
      </c>
      <c r="D4129" s="433">
        <f t="shared" si="129"/>
        <v>2959.75</v>
      </c>
    </row>
    <row r="4130" spans="1:4" ht="16.149999999999999" customHeight="1" x14ac:dyDescent="0.25">
      <c r="A4130" s="431">
        <v>37690</v>
      </c>
      <c r="B4130" s="434">
        <v>2959.75</v>
      </c>
      <c r="C4130" s="427">
        <f t="shared" si="128"/>
        <v>2003</v>
      </c>
      <c r="D4130" s="433">
        <f t="shared" si="129"/>
        <v>2959.75</v>
      </c>
    </row>
    <row r="4131" spans="1:4" ht="16.149999999999999" customHeight="1" x14ac:dyDescent="0.25">
      <c r="A4131" s="431">
        <v>37691</v>
      </c>
      <c r="B4131" s="432">
        <v>2961.93</v>
      </c>
      <c r="C4131" s="427">
        <f t="shared" si="128"/>
        <v>2003</v>
      </c>
      <c r="D4131" s="433">
        <f t="shared" si="129"/>
        <v>2961.93</v>
      </c>
    </row>
    <row r="4132" spans="1:4" ht="16.149999999999999" customHeight="1" x14ac:dyDescent="0.25">
      <c r="A4132" s="431">
        <v>37692</v>
      </c>
      <c r="B4132" s="434">
        <v>2962.76</v>
      </c>
      <c r="C4132" s="427">
        <f t="shared" si="128"/>
        <v>2003</v>
      </c>
      <c r="D4132" s="433">
        <f t="shared" si="129"/>
        <v>2962.76</v>
      </c>
    </row>
    <row r="4133" spans="1:4" ht="16.149999999999999" customHeight="1" x14ac:dyDescent="0.25">
      <c r="A4133" s="431">
        <v>37693</v>
      </c>
      <c r="B4133" s="432">
        <v>2961.99</v>
      </c>
      <c r="C4133" s="427">
        <f t="shared" si="128"/>
        <v>2003</v>
      </c>
      <c r="D4133" s="433">
        <f t="shared" si="129"/>
        <v>2961.99</v>
      </c>
    </row>
    <row r="4134" spans="1:4" ht="16.149999999999999" customHeight="1" x14ac:dyDescent="0.25">
      <c r="A4134" s="431">
        <v>37694</v>
      </c>
      <c r="B4134" s="434">
        <v>2959.39</v>
      </c>
      <c r="C4134" s="427">
        <f t="shared" si="128"/>
        <v>2003</v>
      </c>
      <c r="D4134" s="433">
        <f t="shared" si="129"/>
        <v>2959.39</v>
      </c>
    </row>
    <row r="4135" spans="1:4" ht="16.149999999999999" customHeight="1" x14ac:dyDescent="0.25">
      <c r="A4135" s="431">
        <v>37695</v>
      </c>
      <c r="B4135" s="432">
        <v>2958.86</v>
      </c>
      <c r="C4135" s="427">
        <f t="shared" si="128"/>
        <v>2003</v>
      </c>
      <c r="D4135" s="433">
        <f t="shared" si="129"/>
        <v>2958.86</v>
      </c>
    </row>
    <row r="4136" spans="1:4" ht="16.149999999999999" customHeight="1" x14ac:dyDescent="0.25">
      <c r="A4136" s="431">
        <v>37696</v>
      </c>
      <c r="B4136" s="434">
        <v>2958.86</v>
      </c>
      <c r="C4136" s="427">
        <f t="shared" si="128"/>
        <v>2003</v>
      </c>
      <c r="D4136" s="433">
        <f t="shared" si="129"/>
        <v>2958.86</v>
      </c>
    </row>
    <row r="4137" spans="1:4" ht="16.149999999999999" customHeight="1" x14ac:dyDescent="0.25">
      <c r="A4137" s="431">
        <v>37697</v>
      </c>
      <c r="B4137" s="432">
        <v>2958.86</v>
      </c>
      <c r="C4137" s="427">
        <f t="shared" si="128"/>
        <v>2003</v>
      </c>
      <c r="D4137" s="433">
        <f t="shared" si="129"/>
        <v>2958.86</v>
      </c>
    </row>
    <row r="4138" spans="1:4" ht="16.149999999999999" customHeight="1" x14ac:dyDescent="0.25">
      <c r="A4138" s="431">
        <v>37698</v>
      </c>
      <c r="B4138" s="434">
        <v>2956.47</v>
      </c>
      <c r="C4138" s="427">
        <f t="shared" si="128"/>
        <v>2003</v>
      </c>
      <c r="D4138" s="433">
        <f t="shared" si="129"/>
        <v>2956.47</v>
      </c>
    </row>
    <row r="4139" spans="1:4" ht="16.149999999999999" customHeight="1" x14ac:dyDescent="0.25">
      <c r="A4139" s="431">
        <v>37699</v>
      </c>
      <c r="B4139" s="432">
        <v>2955.84</v>
      </c>
      <c r="C4139" s="427">
        <f t="shared" si="128"/>
        <v>2003</v>
      </c>
      <c r="D4139" s="433">
        <f t="shared" si="129"/>
        <v>2955.84</v>
      </c>
    </row>
    <row r="4140" spans="1:4" ht="16.149999999999999" customHeight="1" x14ac:dyDescent="0.25">
      <c r="A4140" s="431">
        <v>37700</v>
      </c>
      <c r="B4140" s="434">
        <v>2955.64</v>
      </c>
      <c r="C4140" s="427">
        <f t="shared" si="128"/>
        <v>2003</v>
      </c>
      <c r="D4140" s="433">
        <f t="shared" si="129"/>
        <v>2955.64</v>
      </c>
    </row>
    <row r="4141" spans="1:4" ht="16.149999999999999" customHeight="1" x14ac:dyDescent="0.25">
      <c r="A4141" s="431">
        <v>37701</v>
      </c>
      <c r="B4141" s="432">
        <v>2954.62</v>
      </c>
      <c r="C4141" s="427">
        <f t="shared" si="128"/>
        <v>2003</v>
      </c>
      <c r="D4141" s="433">
        <f t="shared" si="129"/>
        <v>2954.62</v>
      </c>
    </row>
    <row r="4142" spans="1:4" ht="16.149999999999999" customHeight="1" x14ac:dyDescent="0.25">
      <c r="A4142" s="431">
        <v>37702</v>
      </c>
      <c r="B4142" s="434">
        <v>2956.06</v>
      </c>
      <c r="C4142" s="427">
        <f t="shared" si="128"/>
        <v>2003</v>
      </c>
      <c r="D4142" s="433">
        <f t="shared" si="129"/>
        <v>2956.06</v>
      </c>
    </row>
    <row r="4143" spans="1:4" ht="16.149999999999999" customHeight="1" x14ac:dyDescent="0.25">
      <c r="A4143" s="431">
        <v>37703</v>
      </c>
      <c r="B4143" s="432">
        <v>2956.06</v>
      </c>
      <c r="C4143" s="427">
        <f t="shared" si="128"/>
        <v>2003</v>
      </c>
      <c r="D4143" s="433">
        <f t="shared" si="129"/>
        <v>2956.06</v>
      </c>
    </row>
    <row r="4144" spans="1:4" ht="16.149999999999999" customHeight="1" x14ac:dyDescent="0.25">
      <c r="A4144" s="431">
        <v>37704</v>
      </c>
      <c r="B4144" s="434">
        <v>2956.06</v>
      </c>
      <c r="C4144" s="427">
        <f t="shared" si="128"/>
        <v>2003</v>
      </c>
      <c r="D4144" s="433">
        <f t="shared" si="129"/>
        <v>2956.06</v>
      </c>
    </row>
    <row r="4145" spans="1:4" ht="16.149999999999999" customHeight="1" x14ac:dyDescent="0.25">
      <c r="A4145" s="431">
        <v>37705</v>
      </c>
      <c r="B4145" s="432">
        <v>2956.06</v>
      </c>
      <c r="C4145" s="427">
        <f t="shared" si="128"/>
        <v>2003</v>
      </c>
      <c r="D4145" s="433">
        <f t="shared" si="129"/>
        <v>2956.06</v>
      </c>
    </row>
    <row r="4146" spans="1:4" ht="16.149999999999999" customHeight="1" x14ac:dyDescent="0.25">
      <c r="A4146" s="431">
        <v>37706</v>
      </c>
      <c r="B4146" s="434">
        <v>2959.26</v>
      </c>
      <c r="C4146" s="427">
        <f t="shared" si="128"/>
        <v>2003</v>
      </c>
      <c r="D4146" s="433">
        <f t="shared" si="129"/>
        <v>2959.26</v>
      </c>
    </row>
    <row r="4147" spans="1:4" ht="16.149999999999999" customHeight="1" x14ac:dyDescent="0.25">
      <c r="A4147" s="431">
        <v>37707</v>
      </c>
      <c r="B4147" s="432">
        <v>2959.84</v>
      </c>
      <c r="C4147" s="427">
        <f t="shared" si="128"/>
        <v>2003</v>
      </c>
      <c r="D4147" s="433">
        <f t="shared" si="129"/>
        <v>2959.84</v>
      </c>
    </row>
    <row r="4148" spans="1:4" ht="16.149999999999999" customHeight="1" x14ac:dyDescent="0.25">
      <c r="A4148" s="431">
        <v>37708</v>
      </c>
      <c r="B4148" s="434">
        <v>2958.73</v>
      </c>
      <c r="C4148" s="427">
        <f t="shared" si="128"/>
        <v>2003</v>
      </c>
      <c r="D4148" s="433">
        <f t="shared" si="129"/>
        <v>2958.73</v>
      </c>
    </row>
    <row r="4149" spans="1:4" ht="16.149999999999999" customHeight="1" x14ac:dyDescent="0.25">
      <c r="A4149" s="431">
        <v>37709</v>
      </c>
      <c r="B4149" s="432">
        <v>2958.25</v>
      </c>
      <c r="C4149" s="427">
        <f t="shared" si="128"/>
        <v>2003</v>
      </c>
      <c r="D4149" s="433">
        <f t="shared" si="129"/>
        <v>2958.25</v>
      </c>
    </row>
    <row r="4150" spans="1:4" ht="16.149999999999999" customHeight="1" x14ac:dyDescent="0.25">
      <c r="A4150" s="431">
        <v>37710</v>
      </c>
      <c r="B4150" s="434">
        <v>2958.25</v>
      </c>
      <c r="C4150" s="427">
        <f t="shared" si="128"/>
        <v>2003</v>
      </c>
      <c r="D4150" s="433">
        <f t="shared" si="129"/>
        <v>2958.25</v>
      </c>
    </row>
    <row r="4151" spans="1:4" ht="16.149999999999999" customHeight="1" x14ac:dyDescent="0.25">
      <c r="A4151" s="431">
        <v>37711</v>
      </c>
      <c r="B4151" s="432">
        <v>2958.25</v>
      </c>
      <c r="C4151" s="427">
        <f t="shared" si="128"/>
        <v>2003</v>
      </c>
      <c r="D4151" s="433">
        <f t="shared" si="129"/>
        <v>2958.25</v>
      </c>
    </row>
    <row r="4152" spans="1:4" ht="16.149999999999999" customHeight="1" x14ac:dyDescent="0.25">
      <c r="A4152" s="431">
        <v>37712</v>
      </c>
      <c r="B4152" s="434">
        <v>2958.15</v>
      </c>
      <c r="C4152" s="427">
        <f t="shared" si="128"/>
        <v>2003</v>
      </c>
      <c r="D4152" s="433">
        <f t="shared" si="129"/>
        <v>2958.15</v>
      </c>
    </row>
    <row r="4153" spans="1:4" ht="16.149999999999999" customHeight="1" x14ac:dyDescent="0.25">
      <c r="A4153" s="431">
        <v>37713</v>
      </c>
      <c r="B4153" s="432">
        <v>2958.56</v>
      </c>
      <c r="C4153" s="427">
        <f t="shared" si="128"/>
        <v>2003</v>
      </c>
      <c r="D4153" s="433">
        <f t="shared" si="129"/>
        <v>2958.56</v>
      </c>
    </row>
    <row r="4154" spans="1:4" ht="16.149999999999999" customHeight="1" x14ac:dyDescent="0.25">
      <c r="A4154" s="431">
        <v>37714</v>
      </c>
      <c r="B4154" s="434">
        <v>2956.5</v>
      </c>
      <c r="C4154" s="427">
        <f t="shared" si="128"/>
        <v>2003</v>
      </c>
      <c r="D4154" s="433">
        <f t="shared" si="129"/>
        <v>2956.5</v>
      </c>
    </row>
    <row r="4155" spans="1:4" ht="16.149999999999999" customHeight="1" x14ac:dyDescent="0.25">
      <c r="A4155" s="431">
        <v>37715</v>
      </c>
      <c r="B4155" s="432">
        <v>2951.14</v>
      </c>
      <c r="C4155" s="427">
        <f t="shared" si="128"/>
        <v>2003</v>
      </c>
      <c r="D4155" s="433">
        <f t="shared" si="129"/>
        <v>2951.14</v>
      </c>
    </row>
    <row r="4156" spans="1:4" ht="16.149999999999999" customHeight="1" x14ac:dyDescent="0.25">
      <c r="A4156" s="431">
        <v>37716</v>
      </c>
      <c r="B4156" s="434">
        <v>2946.79</v>
      </c>
      <c r="C4156" s="427">
        <f t="shared" si="128"/>
        <v>2003</v>
      </c>
      <c r="D4156" s="433">
        <f t="shared" si="129"/>
        <v>2946.79</v>
      </c>
    </row>
    <row r="4157" spans="1:4" ht="16.149999999999999" customHeight="1" x14ac:dyDescent="0.25">
      <c r="A4157" s="431">
        <v>37717</v>
      </c>
      <c r="B4157" s="432">
        <v>2946.79</v>
      </c>
      <c r="C4157" s="427">
        <f t="shared" si="128"/>
        <v>2003</v>
      </c>
      <c r="D4157" s="433">
        <f t="shared" si="129"/>
        <v>2946.79</v>
      </c>
    </row>
    <row r="4158" spans="1:4" ht="16.149999999999999" customHeight="1" x14ac:dyDescent="0.25">
      <c r="A4158" s="431">
        <v>37718</v>
      </c>
      <c r="B4158" s="434">
        <v>2946.79</v>
      </c>
      <c r="C4158" s="427">
        <f t="shared" si="128"/>
        <v>2003</v>
      </c>
      <c r="D4158" s="433">
        <f t="shared" si="129"/>
        <v>2946.79</v>
      </c>
    </row>
    <row r="4159" spans="1:4" ht="16.149999999999999" customHeight="1" x14ac:dyDescent="0.25">
      <c r="A4159" s="431">
        <v>37719</v>
      </c>
      <c r="B4159" s="432">
        <v>2942.41</v>
      </c>
      <c r="C4159" s="427">
        <f t="shared" si="128"/>
        <v>2003</v>
      </c>
      <c r="D4159" s="433">
        <f t="shared" si="129"/>
        <v>2942.41</v>
      </c>
    </row>
    <row r="4160" spans="1:4" ht="16.149999999999999" customHeight="1" x14ac:dyDescent="0.25">
      <c r="A4160" s="431">
        <v>37720</v>
      </c>
      <c r="B4160" s="434">
        <v>2938.32</v>
      </c>
      <c r="C4160" s="427">
        <f t="shared" si="128"/>
        <v>2003</v>
      </c>
      <c r="D4160" s="433">
        <f t="shared" si="129"/>
        <v>2938.32</v>
      </c>
    </row>
    <row r="4161" spans="1:4" ht="16.149999999999999" customHeight="1" x14ac:dyDescent="0.25">
      <c r="A4161" s="431">
        <v>37721</v>
      </c>
      <c r="B4161" s="432">
        <v>2920.4</v>
      </c>
      <c r="C4161" s="427">
        <f t="shared" si="128"/>
        <v>2003</v>
      </c>
      <c r="D4161" s="433">
        <f t="shared" si="129"/>
        <v>2920.4</v>
      </c>
    </row>
    <row r="4162" spans="1:4" ht="16.149999999999999" customHeight="1" x14ac:dyDescent="0.25">
      <c r="A4162" s="431">
        <v>37722</v>
      </c>
      <c r="B4162" s="434">
        <v>2911.74</v>
      </c>
      <c r="C4162" s="427">
        <f t="shared" si="128"/>
        <v>2003</v>
      </c>
      <c r="D4162" s="433">
        <f t="shared" si="129"/>
        <v>2911.74</v>
      </c>
    </row>
    <row r="4163" spans="1:4" ht="16.149999999999999" customHeight="1" x14ac:dyDescent="0.25">
      <c r="A4163" s="431">
        <v>37723</v>
      </c>
      <c r="B4163" s="432">
        <v>2923.07</v>
      </c>
      <c r="C4163" s="427">
        <f t="shared" si="128"/>
        <v>2003</v>
      </c>
      <c r="D4163" s="433">
        <f t="shared" si="129"/>
        <v>2923.07</v>
      </c>
    </row>
    <row r="4164" spans="1:4" ht="16.149999999999999" customHeight="1" x14ac:dyDescent="0.25">
      <c r="A4164" s="431">
        <v>37724</v>
      </c>
      <c r="B4164" s="434">
        <v>2923.07</v>
      </c>
      <c r="C4164" s="427">
        <f t="shared" si="128"/>
        <v>2003</v>
      </c>
      <c r="D4164" s="433">
        <f t="shared" si="129"/>
        <v>2923.07</v>
      </c>
    </row>
    <row r="4165" spans="1:4" ht="16.149999999999999" customHeight="1" x14ac:dyDescent="0.25">
      <c r="A4165" s="431">
        <v>37725</v>
      </c>
      <c r="B4165" s="432">
        <v>2923.07</v>
      </c>
      <c r="C4165" s="427">
        <f t="shared" si="128"/>
        <v>2003</v>
      </c>
      <c r="D4165" s="433">
        <f t="shared" si="129"/>
        <v>2923.07</v>
      </c>
    </row>
    <row r="4166" spans="1:4" ht="16.149999999999999" customHeight="1" x14ac:dyDescent="0.25">
      <c r="A4166" s="431">
        <v>37726</v>
      </c>
      <c r="B4166" s="434">
        <v>2931.69</v>
      </c>
      <c r="C4166" s="427">
        <f t="shared" si="128"/>
        <v>2003</v>
      </c>
      <c r="D4166" s="433">
        <f t="shared" si="129"/>
        <v>2931.69</v>
      </c>
    </row>
    <row r="4167" spans="1:4" ht="16.149999999999999" customHeight="1" x14ac:dyDescent="0.25">
      <c r="A4167" s="431">
        <v>37727</v>
      </c>
      <c r="B4167" s="432">
        <v>2919.58</v>
      </c>
      <c r="C4167" s="427">
        <f t="shared" si="128"/>
        <v>2003</v>
      </c>
      <c r="D4167" s="433">
        <f t="shared" si="129"/>
        <v>2919.58</v>
      </c>
    </row>
    <row r="4168" spans="1:4" ht="16.149999999999999" customHeight="1" x14ac:dyDescent="0.25">
      <c r="A4168" s="431">
        <v>37728</v>
      </c>
      <c r="B4168" s="434">
        <v>2918.01</v>
      </c>
      <c r="C4168" s="427">
        <f t="shared" si="128"/>
        <v>2003</v>
      </c>
      <c r="D4168" s="433">
        <f t="shared" si="129"/>
        <v>2918.01</v>
      </c>
    </row>
    <row r="4169" spans="1:4" ht="16.149999999999999" customHeight="1" x14ac:dyDescent="0.25">
      <c r="A4169" s="431">
        <v>37729</v>
      </c>
      <c r="B4169" s="432">
        <v>2918.01</v>
      </c>
      <c r="C4169" s="427">
        <f t="shared" si="128"/>
        <v>2003</v>
      </c>
      <c r="D4169" s="433">
        <f t="shared" si="129"/>
        <v>2918.01</v>
      </c>
    </row>
    <row r="4170" spans="1:4" ht="16.149999999999999" customHeight="1" x14ac:dyDescent="0.25">
      <c r="A4170" s="431">
        <v>37730</v>
      </c>
      <c r="B4170" s="434">
        <v>2918.01</v>
      </c>
      <c r="C4170" s="427">
        <f t="shared" ref="C4170:C4233" si="130">YEAR(A4170)</f>
        <v>2003</v>
      </c>
      <c r="D4170" s="433">
        <f t="shared" ref="D4170:D4233" si="131">B4170</f>
        <v>2918.01</v>
      </c>
    </row>
    <row r="4171" spans="1:4" ht="16.149999999999999" customHeight="1" x14ac:dyDescent="0.25">
      <c r="A4171" s="431">
        <v>37731</v>
      </c>
      <c r="B4171" s="432">
        <v>2918.01</v>
      </c>
      <c r="C4171" s="427">
        <f t="shared" si="130"/>
        <v>2003</v>
      </c>
      <c r="D4171" s="433">
        <f t="shared" si="131"/>
        <v>2918.01</v>
      </c>
    </row>
    <row r="4172" spans="1:4" ht="16.149999999999999" customHeight="1" x14ac:dyDescent="0.25">
      <c r="A4172" s="431">
        <v>37732</v>
      </c>
      <c r="B4172" s="434">
        <v>2918.01</v>
      </c>
      <c r="C4172" s="427">
        <f t="shared" si="130"/>
        <v>2003</v>
      </c>
      <c r="D4172" s="433">
        <f t="shared" si="131"/>
        <v>2918.01</v>
      </c>
    </row>
    <row r="4173" spans="1:4" ht="16.149999999999999" customHeight="1" x14ac:dyDescent="0.25">
      <c r="A4173" s="431">
        <v>37733</v>
      </c>
      <c r="B4173" s="432">
        <v>2920.04</v>
      </c>
      <c r="C4173" s="427">
        <f t="shared" si="130"/>
        <v>2003</v>
      </c>
      <c r="D4173" s="433">
        <f t="shared" si="131"/>
        <v>2920.04</v>
      </c>
    </row>
    <row r="4174" spans="1:4" ht="16.149999999999999" customHeight="1" x14ac:dyDescent="0.25">
      <c r="A4174" s="431">
        <v>37734</v>
      </c>
      <c r="B4174" s="434">
        <v>2916.03</v>
      </c>
      <c r="C4174" s="427">
        <f t="shared" si="130"/>
        <v>2003</v>
      </c>
      <c r="D4174" s="433">
        <f t="shared" si="131"/>
        <v>2916.03</v>
      </c>
    </row>
    <row r="4175" spans="1:4" ht="16.149999999999999" customHeight="1" x14ac:dyDescent="0.25">
      <c r="A4175" s="431">
        <v>37735</v>
      </c>
      <c r="B4175" s="432">
        <v>2911</v>
      </c>
      <c r="C4175" s="427">
        <f t="shared" si="130"/>
        <v>2003</v>
      </c>
      <c r="D4175" s="433">
        <f t="shared" si="131"/>
        <v>2911</v>
      </c>
    </row>
    <row r="4176" spans="1:4" ht="16.149999999999999" customHeight="1" x14ac:dyDescent="0.25">
      <c r="A4176" s="431">
        <v>37736</v>
      </c>
      <c r="B4176" s="434">
        <v>2908.25</v>
      </c>
      <c r="C4176" s="427">
        <f t="shared" si="130"/>
        <v>2003</v>
      </c>
      <c r="D4176" s="433">
        <f t="shared" si="131"/>
        <v>2908.25</v>
      </c>
    </row>
    <row r="4177" spans="1:4" ht="16.149999999999999" customHeight="1" x14ac:dyDescent="0.25">
      <c r="A4177" s="431">
        <v>37737</v>
      </c>
      <c r="B4177" s="432">
        <v>2912.83</v>
      </c>
      <c r="C4177" s="427">
        <f t="shared" si="130"/>
        <v>2003</v>
      </c>
      <c r="D4177" s="433">
        <f t="shared" si="131"/>
        <v>2912.83</v>
      </c>
    </row>
    <row r="4178" spans="1:4" ht="16.149999999999999" customHeight="1" x14ac:dyDescent="0.25">
      <c r="A4178" s="431">
        <v>37738</v>
      </c>
      <c r="B4178" s="434">
        <v>2912.83</v>
      </c>
      <c r="C4178" s="427">
        <f t="shared" si="130"/>
        <v>2003</v>
      </c>
      <c r="D4178" s="433">
        <f t="shared" si="131"/>
        <v>2912.83</v>
      </c>
    </row>
    <row r="4179" spans="1:4" ht="16.149999999999999" customHeight="1" x14ac:dyDescent="0.25">
      <c r="A4179" s="431">
        <v>37739</v>
      </c>
      <c r="B4179" s="432">
        <v>2912.83</v>
      </c>
      <c r="C4179" s="427">
        <f t="shared" si="130"/>
        <v>2003</v>
      </c>
      <c r="D4179" s="433">
        <f t="shared" si="131"/>
        <v>2912.83</v>
      </c>
    </row>
    <row r="4180" spans="1:4" ht="16.149999999999999" customHeight="1" x14ac:dyDescent="0.25">
      <c r="A4180" s="431">
        <v>37740</v>
      </c>
      <c r="B4180" s="434">
        <v>2900</v>
      </c>
      <c r="C4180" s="427">
        <f t="shared" si="130"/>
        <v>2003</v>
      </c>
      <c r="D4180" s="433">
        <f t="shared" si="131"/>
        <v>2900</v>
      </c>
    </row>
    <row r="4181" spans="1:4" ht="16.149999999999999" customHeight="1" x14ac:dyDescent="0.25">
      <c r="A4181" s="431">
        <v>37741</v>
      </c>
      <c r="B4181" s="432">
        <v>2887.82</v>
      </c>
      <c r="C4181" s="427">
        <f t="shared" si="130"/>
        <v>2003</v>
      </c>
      <c r="D4181" s="433">
        <f t="shared" si="131"/>
        <v>2887.82</v>
      </c>
    </row>
    <row r="4182" spans="1:4" ht="16.149999999999999" customHeight="1" x14ac:dyDescent="0.25">
      <c r="A4182" s="431">
        <v>37742</v>
      </c>
      <c r="B4182" s="434">
        <v>2868.43</v>
      </c>
      <c r="C4182" s="427">
        <f t="shared" si="130"/>
        <v>2003</v>
      </c>
      <c r="D4182" s="433">
        <f t="shared" si="131"/>
        <v>2868.43</v>
      </c>
    </row>
    <row r="4183" spans="1:4" ht="16.149999999999999" customHeight="1" x14ac:dyDescent="0.25">
      <c r="A4183" s="431">
        <v>37743</v>
      </c>
      <c r="B4183" s="432">
        <v>2868.43</v>
      </c>
      <c r="C4183" s="427">
        <f t="shared" si="130"/>
        <v>2003</v>
      </c>
      <c r="D4183" s="433">
        <f t="shared" si="131"/>
        <v>2868.43</v>
      </c>
    </row>
    <row r="4184" spans="1:4" ht="16.149999999999999" customHeight="1" x14ac:dyDescent="0.25">
      <c r="A4184" s="431">
        <v>37744</v>
      </c>
      <c r="B4184" s="434">
        <v>2865.94</v>
      </c>
      <c r="C4184" s="427">
        <f t="shared" si="130"/>
        <v>2003</v>
      </c>
      <c r="D4184" s="433">
        <f t="shared" si="131"/>
        <v>2865.94</v>
      </c>
    </row>
    <row r="4185" spans="1:4" ht="16.149999999999999" customHeight="1" x14ac:dyDescent="0.25">
      <c r="A4185" s="431">
        <v>37745</v>
      </c>
      <c r="B4185" s="432">
        <v>2865.94</v>
      </c>
      <c r="C4185" s="427">
        <f t="shared" si="130"/>
        <v>2003</v>
      </c>
      <c r="D4185" s="433">
        <f t="shared" si="131"/>
        <v>2865.94</v>
      </c>
    </row>
    <row r="4186" spans="1:4" ht="16.149999999999999" customHeight="1" x14ac:dyDescent="0.25">
      <c r="A4186" s="431">
        <v>37746</v>
      </c>
      <c r="B4186" s="434">
        <v>2865.94</v>
      </c>
      <c r="C4186" s="427">
        <f t="shared" si="130"/>
        <v>2003</v>
      </c>
      <c r="D4186" s="433">
        <f t="shared" si="131"/>
        <v>2865.94</v>
      </c>
    </row>
    <row r="4187" spans="1:4" ht="16.149999999999999" customHeight="1" x14ac:dyDescent="0.25">
      <c r="A4187" s="431">
        <v>37747</v>
      </c>
      <c r="B4187" s="432">
        <v>2858.37</v>
      </c>
      <c r="C4187" s="427">
        <f t="shared" si="130"/>
        <v>2003</v>
      </c>
      <c r="D4187" s="433">
        <f t="shared" si="131"/>
        <v>2858.37</v>
      </c>
    </row>
    <row r="4188" spans="1:4" ht="16.149999999999999" customHeight="1" x14ac:dyDescent="0.25">
      <c r="A4188" s="431">
        <v>37748</v>
      </c>
      <c r="B4188" s="434">
        <v>2856.98</v>
      </c>
      <c r="C4188" s="427">
        <f t="shared" si="130"/>
        <v>2003</v>
      </c>
      <c r="D4188" s="433">
        <f t="shared" si="131"/>
        <v>2856.98</v>
      </c>
    </row>
    <row r="4189" spans="1:4" ht="16.149999999999999" customHeight="1" x14ac:dyDescent="0.25">
      <c r="A4189" s="431">
        <v>37749</v>
      </c>
      <c r="B4189" s="432">
        <v>2866.06</v>
      </c>
      <c r="C4189" s="427">
        <f t="shared" si="130"/>
        <v>2003</v>
      </c>
      <c r="D4189" s="433">
        <f t="shared" si="131"/>
        <v>2866.06</v>
      </c>
    </row>
    <row r="4190" spans="1:4" ht="16.149999999999999" customHeight="1" x14ac:dyDescent="0.25">
      <c r="A4190" s="431">
        <v>37750</v>
      </c>
      <c r="B4190" s="434">
        <v>2848.41</v>
      </c>
      <c r="C4190" s="427">
        <f t="shared" si="130"/>
        <v>2003</v>
      </c>
      <c r="D4190" s="433">
        <f t="shared" si="131"/>
        <v>2848.41</v>
      </c>
    </row>
    <row r="4191" spans="1:4" ht="16.149999999999999" customHeight="1" x14ac:dyDescent="0.25">
      <c r="A4191" s="431">
        <v>37751</v>
      </c>
      <c r="B4191" s="432">
        <v>2840.04</v>
      </c>
      <c r="C4191" s="427">
        <f t="shared" si="130"/>
        <v>2003</v>
      </c>
      <c r="D4191" s="433">
        <f t="shared" si="131"/>
        <v>2840.04</v>
      </c>
    </row>
    <row r="4192" spans="1:4" ht="16.149999999999999" customHeight="1" x14ac:dyDescent="0.25">
      <c r="A4192" s="431">
        <v>37752</v>
      </c>
      <c r="B4192" s="434">
        <v>2840.04</v>
      </c>
      <c r="C4192" s="427">
        <f t="shared" si="130"/>
        <v>2003</v>
      </c>
      <c r="D4192" s="433">
        <f t="shared" si="131"/>
        <v>2840.04</v>
      </c>
    </row>
    <row r="4193" spans="1:4" ht="16.149999999999999" customHeight="1" x14ac:dyDescent="0.25">
      <c r="A4193" s="431">
        <v>37753</v>
      </c>
      <c r="B4193" s="432">
        <v>2840.04</v>
      </c>
      <c r="C4193" s="427">
        <f t="shared" si="130"/>
        <v>2003</v>
      </c>
      <c r="D4193" s="433">
        <f t="shared" si="131"/>
        <v>2840.04</v>
      </c>
    </row>
    <row r="4194" spans="1:4" ht="16.149999999999999" customHeight="1" x14ac:dyDescent="0.25">
      <c r="A4194" s="431">
        <v>37754</v>
      </c>
      <c r="B4194" s="434">
        <v>2833.86</v>
      </c>
      <c r="C4194" s="427">
        <f t="shared" si="130"/>
        <v>2003</v>
      </c>
      <c r="D4194" s="433">
        <f t="shared" si="131"/>
        <v>2833.86</v>
      </c>
    </row>
    <row r="4195" spans="1:4" ht="16.149999999999999" customHeight="1" x14ac:dyDescent="0.25">
      <c r="A4195" s="431">
        <v>37755</v>
      </c>
      <c r="B4195" s="432">
        <v>2813.6</v>
      </c>
      <c r="C4195" s="427">
        <f t="shared" si="130"/>
        <v>2003</v>
      </c>
      <c r="D4195" s="433">
        <f t="shared" si="131"/>
        <v>2813.6</v>
      </c>
    </row>
    <row r="4196" spans="1:4" ht="16.149999999999999" customHeight="1" x14ac:dyDescent="0.25">
      <c r="A4196" s="431">
        <v>37756</v>
      </c>
      <c r="B4196" s="434">
        <v>2821.08</v>
      </c>
      <c r="C4196" s="427">
        <f t="shared" si="130"/>
        <v>2003</v>
      </c>
      <c r="D4196" s="433">
        <f t="shared" si="131"/>
        <v>2821.08</v>
      </c>
    </row>
    <row r="4197" spans="1:4" ht="16.149999999999999" customHeight="1" x14ac:dyDescent="0.25">
      <c r="A4197" s="431">
        <v>37757</v>
      </c>
      <c r="B4197" s="432">
        <v>2827.99</v>
      </c>
      <c r="C4197" s="427">
        <f t="shared" si="130"/>
        <v>2003</v>
      </c>
      <c r="D4197" s="433">
        <f t="shared" si="131"/>
        <v>2827.99</v>
      </c>
    </row>
    <row r="4198" spans="1:4" ht="16.149999999999999" customHeight="1" x14ac:dyDescent="0.25">
      <c r="A4198" s="431">
        <v>37758</v>
      </c>
      <c r="B4198" s="434">
        <v>2816.46</v>
      </c>
      <c r="C4198" s="427">
        <f t="shared" si="130"/>
        <v>2003</v>
      </c>
      <c r="D4198" s="433">
        <f t="shared" si="131"/>
        <v>2816.46</v>
      </c>
    </row>
    <row r="4199" spans="1:4" ht="16.149999999999999" customHeight="1" x14ac:dyDescent="0.25">
      <c r="A4199" s="431">
        <v>37759</v>
      </c>
      <c r="B4199" s="432">
        <v>2816.46</v>
      </c>
      <c r="C4199" s="427">
        <f t="shared" si="130"/>
        <v>2003</v>
      </c>
      <c r="D4199" s="433">
        <f t="shared" si="131"/>
        <v>2816.46</v>
      </c>
    </row>
    <row r="4200" spans="1:4" ht="16.149999999999999" customHeight="1" x14ac:dyDescent="0.25">
      <c r="A4200" s="431">
        <v>37760</v>
      </c>
      <c r="B4200" s="434">
        <v>2816.46</v>
      </c>
      <c r="C4200" s="427">
        <f t="shared" si="130"/>
        <v>2003</v>
      </c>
      <c r="D4200" s="433">
        <f t="shared" si="131"/>
        <v>2816.46</v>
      </c>
    </row>
    <row r="4201" spans="1:4" ht="16.149999999999999" customHeight="1" x14ac:dyDescent="0.25">
      <c r="A4201" s="431">
        <v>37761</v>
      </c>
      <c r="B4201" s="432">
        <v>2874.77</v>
      </c>
      <c r="C4201" s="427">
        <f t="shared" si="130"/>
        <v>2003</v>
      </c>
      <c r="D4201" s="433">
        <f t="shared" si="131"/>
        <v>2874.77</v>
      </c>
    </row>
    <row r="4202" spans="1:4" ht="16.149999999999999" customHeight="1" x14ac:dyDescent="0.25">
      <c r="A4202" s="431">
        <v>37762</v>
      </c>
      <c r="B4202" s="434">
        <v>2909.83</v>
      </c>
      <c r="C4202" s="427">
        <f t="shared" si="130"/>
        <v>2003</v>
      </c>
      <c r="D4202" s="433">
        <f t="shared" si="131"/>
        <v>2909.83</v>
      </c>
    </row>
    <row r="4203" spans="1:4" ht="16.149999999999999" customHeight="1" x14ac:dyDescent="0.25">
      <c r="A4203" s="431">
        <v>37763</v>
      </c>
      <c r="B4203" s="432">
        <v>2912.46</v>
      </c>
      <c r="C4203" s="427">
        <f t="shared" si="130"/>
        <v>2003</v>
      </c>
      <c r="D4203" s="433">
        <f t="shared" si="131"/>
        <v>2912.46</v>
      </c>
    </row>
    <row r="4204" spans="1:4" ht="16.149999999999999" customHeight="1" x14ac:dyDescent="0.25">
      <c r="A4204" s="431">
        <v>37764</v>
      </c>
      <c r="B4204" s="434">
        <v>2905.91</v>
      </c>
      <c r="C4204" s="427">
        <f t="shared" si="130"/>
        <v>2003</v>
      </c>
      <c r="D4204" s="433">
        <f t="shared" si="131"/>
        <v>2905.91</v>
      </c>
    </row>
    <row r="4205" spans="1:4" ht="16.149999999999999" customHeight="1" x14ac:dyDescent="0.25">
      <c r="A4205" s="431">
        <v>37765</v>
      </c>
      <c r="B4205" s="432">
        <v>2868.37</v>
      </c>
      <c r="C4205" s="427">
        <f t="shared" si="130"/>
        <v>2003</v>
      </c>
      <c r="D4205" s="433">
        <f t="shared" si="131"/>
        <v>2868.37</v>
      </c>
    </row>
    <row r="4206" spans="1:4" ht="16.149999999999999" customHeight="1" x14ac:dyDescent="0.25">
      <c r="A4206" s="431">
        <v>37766</v>
      </c>
      <c r="B4206" s="434">
        <v>2868.37</v>
      </c>
      <c r="C4206" s="427">
        <f t="shared" si="130"/>
        <v>2003</v>
      </c>
      <c r="D4206" s="433">
        <f t="shared" si="131"/>
        <v>2868.37</v>
      </c>
    </row>
    <row r="4207" spans="1:4" ht="16.149999999999999" customHeight="1" x14ac:dyDescent="0.25">
      <c r="A4207" s="431">
        <v>37767</v>
      </c>
      <c r="B4207" s="432">
        <v>2868.37</v>
      </c>
      <c r="C4207" s="427">
        <f t="shared" si="130"/>
        <v>2003</v>
      </c>
      <c r="D4207" s="433">
        <f t="shared" si="131"/>
        <v>2868.37</v>
      </c>
    </row>
    <row r="4208" spans="1:4" ht="16.149999999999999" customHeight="1" x14ac:dyDescent="0.25">
      <c r="A4208" s="431">
        <v>37768</v>
      </c>
      <c r="B4208" s="434">
        <v>2868.37</v>
      </c>
      <c r="C4208" s="427">
        <f t="shared" si="130"/>
        <v>2003</v>
      </c>
      <c r="D4208" s="433">
        <f t="shared" si="131"/>
        <v>2868.37</v>
      </c>
    </row>
    <row r="4209" spans="1:4" ht="16.149999999999999" customHeight="1" x14ac:dyDescent="0.25">
      <c r="A4209" s="431">
        <v>37769</v>
      </c>
      <c r="B4209" s="432">
        <v>2850.03</v>
      </c>
      <c r="C4209" s="427">
        <f t="shared" si="130"/>
        <v>2003</v>
      </c>
      <c r="D4209" s="433">
        <f t="shared" si="131"/>
        <v>2850.03</v>
      </c>
    </row>
    <row r="4210" spans="1:4" ht="16.149999999999999" customHeight="1" x14ac:dyDescent="0.25">
      <c r="A4210" s="431">
        <v>37770</v>
      </c>
      <c r="B4210" s="434">
        <v>2874.91</v>
      </c>
      <c r="C4210" s="427">
        <f t="shared" si="130"/>
        <v>2003</v>
      </c>
      <c r="D4210" s="433">
        <f t="shared" si="131"/>
        <v>2874.91</v>
      </c>
    </row>
    <row r="4211" spans="1:4" ht="16.149999999999999" customHeight="1" x14ac:dyDescent="0.25">
      <c r="A4211" s="431">
        <v>37771</v>
      </c>
      <c r="B4211" s="432">
        <v>2855.88</v>
      </c>
      <c r="C4211" s="427">
        <f t="shared" si="130"/>
        <v>2003</v>
      </c>
      <c r="D4211" s="433">
        <f t="shared" si="131"/>
        <v>2855.88</v>
      </c>
    </row>
    <row r="4212" spans="1:4" ht="16.149999999999999" customHeight="1" x14ac:dyDescent="0.25">
      <c r="A4212" s="431">
        <v>37772</v>
      </c>
      <c r="B4212" s="434">
        <v>2853.33</v>
      </c>
      <c r="C4212" s="427">
        <f t="shared" si="130"/>
        <v>2003</v>
      </c>
      <c r="D4212" s="433">
        <f t="shared" si="131"/>
        <v>2853.33</v>
      </c>
    </row>
    <row r="4213" spans="1:4" ht="16.149999999999999" customHeight="1" x14ac:dyDescent="0.25">
      <c r="A4213" s="431">
        <v>37773</v>
      </c>
      <c r="B4213" s="432">
        <v>2853.33</v>
      </c>
      <c r="C4213" s="427">
        <f t="shared" si="130"/>
        <v>2003</v>
      </c>
      <c r="D4213" s="433">
        <f t="shared" si="131"/>
        <v>2853.33</v>
      </c>
    </row>
    <row r="4214" spans="1:4" ht="16.149999999999999" customHeight="1" x14ac:dyDescent="0.25">
      <c r="A4214" s="431">
        <v>37774</v>
      </c>
      <c r="B4214" s="434">
        <v>2853.33</v>
      </c>
      <c r="C4214" s="427">
        <f t="shared" si="130"/>
        <v>2003</v>
      </c>
      <c r="D4214" s="433">
        <f t="shared" si="131"/>
        <v>2853.33</v>
      </c>
    </row>
    <row r="4215" spans="1:4" ht="16.149999999999999" customHeight="1" x14ac:dyDescent="0.25">
      <c r="A4215" s="431">
        <v>37775</v>
      </c>
      <c r="B4215" s="432">
        <v>2853.33</v>
      </c>
      <c r="C4215" s="427">
        <f t="shared" si="130"/>
        <v>2003</v>
      </c>
      <c r="D4215" s="433">
        <f t="shared" si="131"/>
        <v>2853.33</v>
      </c>
    </row>
    <row r="4216" spans="1:4" ht="16.149999999999999" customHeight="1" x14ac:dyDescent="0.25">
      <c r="A4216" s="431">
        <v>37776</v>
      </c>
      <c r="B4216" s="434">
        <v>2846.16</v>
      </c>
      <c r="C4216" s="427">
        <f t="shared" si="130"/>
        <v>2003</v>
      </c>
      <c r="D4216" s="433">
        <f t="shared" si="131"/>
        <v>2846.16</v>
      </c>
    </row>
    <row r="4217" spans="1:4" ht="16.149999999999999" customHeight="1" x14ac:dyDescent="0.25">
      <c r="A4217" s="431">
        <v>37777</v>
      </c>
      <c r="B4217" s="432">
        <v>2849.71</v>
      </c>
      <c r="C4217" s="427">
        <f t="shared" si="130"/>
        <v>2003</v>
      </c>
      <c r="D4217" s="433">
        <f t="shared" si="131"/>
        <v>2849.71</v>
      </c>
    </row>
    <row r="4218" spans="1:4" ht="16.149999999999999" customHeight="1" x14ac:dyDescent="0.25">
      <c r="A4218" s="431">
        <v>37778</v>
      </c>
      <c r="B4218" s="434">
        <v>2839.21</v>
      </c>
      <c r="C4218" s="427">
        <f t="shared" si="130"/>
        <v>2003</v>
      </c>
      <c r="D4218" s="433">
        <f t="shared" si="131"/>
        <v>2839.21</v>
      </c>
    </row>
    <row r="4219" spans="1:4" ht="16.149999999999999" customHeight="1" x14ac:dyDescent="0.25">
      <c r="A4219" s="431">
        <v>37779</v>
      </c>
      <c r="B4219" s="432">
        <v>2828.2</v>
      </c>
      <c r="C4219" s="427">
        <f t="shared" si="130"/>
        <v>2003</v>
      </c>
      <c r="D4219" s="433">
        <f t="shared" si="131"/>
        <v>2828.2</v>
      </c>
    </row>
    <row r="4220" spans="1:4" ht="16.149999999999999" customHeight="1" x14ac:dyDescent="0.25">
      <c r="A4220" s="431">
        <v>37780</v>
      </c>
      <c r="B4220" s="434">
        <v>2828.2</v>
      </c>
      <c r="C4220" s="427">
        <f t="shared" si="130"/>
        <v>2003</v>
      </c>
      <c r="D4220" s="433">
        <f t="shared" si="131"/>
        <v>2828.2</v>
      </c>
    </row>
    <row r="4221" spans="1:4" ht="16.149999999999999" customHeight="1" x14ac:dyDescent="0.25">
      <c r="A4221" s="431">
        <v>37781</v>
      </c>
      <c r="B4221" s="432">
        <v>2828.2</v>
      </c>
      <c r="C4221" s="427">
        <f t="shared" si="130"/>
        <v>2003</v>
      </c>
      <c r="D4221" s="433">
        <f t="shared" si="131"/>
        <v>2828.2</v>
      </c>
    </row>
    <row r="4222" spans="1:4" ht="16.149999999999999" customHeight="1" x14ac:dyDescent="0.25">
      <c r="A4222" s="431">
        <v>37782</v>
      </c>
      <c r="B4222" s="434">
        <v>2818.5</v>
      </c>
      <c r="C4222" s="427">
        <f t="shared" si="130"/>
        <v>2003</v>
      </c>
      <c r="D4222" s="433">
        <f t="shared" si="131"/>
        <v>2818.5</v>
      </c>
    </row>
    <row r="4223" spans="1:4" ht="16.149999999999999" customHeight="1" x14ac:dyDescent="0.25">
      <c r="A4223" s="431">
        <v>37783</v>
      </c>
      <c r="B4223" s="432">
        <v>2809.63</v>
      </c>
      <c r="C4223" s="427">
        <f t="shared" si="130"/>
        <v>2003</v>
      </c>
      <c r="D4223" s="433">
        <f t="shared" si="131"/>
        <v>2809.63</v>
      </c>
    </row>
    <row r="4224" spans="1:4" ht="16.149999999999999" customHeight="1" x14ac:dyDescent="0.25">
      <c r="A4224" s="431">
        <v>37784</v>
      </c>
      <c r="B4224" s="434">
        <v>2821.27</v>
      </c>
      <c r="C4224" s="427">
        <f t="shared" si="130"/>
        <v>2003</v>
      </c>
      <c r="D4224" s="433">
        <f t="shared" si="131"/>
        <v>2821.27</v>
      </c>
    </row>
    <row r="4225" spans="1:4" ht="16.149999999999999" customHeight="1" x14ac:dyDescent="0.25">
      <c r="A4225" s="431">
        <v>37785</v>
      </c>
      <c r="B4225" s="432">
        <v>2832.2</v>
      </c>
      <c r="C4225" s="427">
        <f t="shared" si="130"/>
        <v>2003</v>
      </c>
      <c r="D4225" s="433">
        <f t="shared" si="131"/>
        <v>2832.2</v>
      </c>
    </row>
    <row r="4226" spans="1:4" ht="16.149999999999999" customHeight="1" x14ac:dyDescent="0.25">
      <c r="A4226" s="431">
        <v>37786</v>
      </c>
      <c r="B4226" s="434">
        <v>2821.61</v>
      </c>
      <c r="C4226" s="427">
        <f t="shared" si="130"/>
        <v>2003</v>
      </c>
      <c r="D4226" s="433">
        <f t="shared" si="131"/>
        <v>2821.61</v>
      </c>
    </row>
    <row r="4227" spans="1:4" ht="16.149999999999999" customHeight="1" x14ac:dyDescent="0.25">
      <c r="A4227" s="431">
        <v>37787</v>
      </c>
      <c r="B4227" s="432">
        <v>2821.61</v>
      </c>
      <c r="C4227" s="427">
        <f t="shared" si="130"/>
        <v>2003</v>
      </c>
      <c r="D4227" s="433">
        <f t="shared" si="131"/>
        <v>2821.61</v>
      </c>
    </row>
    <row r="4228" spans="1:4" ht="16.149999999999999" customHeight="1" x14ac:dyDescent="0.25">
      <c r="A4228" s="431">
        <v>37788</v>
      </c>
      <c r="B4228" s="434">
        <v>2821.61</v>
      </c>
      <c r="C4228" s="427">
        <f t="shared" si="130"/>
        <v>2003</v>
      </c>
      <c r="D4228" s="433">
        <f t="shared" si="131"/>
        <v>2821.61</v>
      </c>
    </row>
    <row r="4229" spans="1:4" ht="16.149999999999999" customHeight="1" x14ac:dyDescent="0.25">
      <c r="A4229" s="431">
        <v>37789</v>
      </c>
      <c r="B4229" s="432">
        <v>2818.62</v>
      </c>
      <c r="C4229" s="427">
        <f t="shared" si="130"/>
        <v>2003</v>
      </c>
      <c r="D4229" s="433">
        <f t="shared" si="131"/>
        <v>2818.62</v>
      </c>
    </row>
    <row r="4230" spans="1:4" ht="16.149999999999999" customHeight="1" x14ac:dyDescent="0.25">
      <c r="A4230" s="431">
        <v>37790</v>
      </c>
      <c r="B4230" s="434">
        <v>2828.96</v>
      </c>
      <c r="C4230" s="427">
        <f t="shared" si="130"/>
        <v>2003</v>
      </c>
      <c r="D4230" s="433">
        <f t="shared" si="131"/>
        <v>2828.96</v>
      </c>
    </row>
    <row r="4231" spans="1:4" ht="16.149999999999999" customHeight="1" x14ac:dyDescent="0.25">
      <c r="A4231" s="431">
        <v>37791</v>
      </c>
      <c r="B4231" s="432">
        <v>2829.42</v>
      </c>
      <c r="C4231" s="427">
        <f t="shared" si="130"/>
        <v>2003</v>
      </c>
      <c r="D4231" s="433">
        <f t="shared" si="131"/>
        <v>2829.42</v>
      </c>
    </row>
    <row r="4232" spans="1:4" ht="16.149999999999999" customHeight="1" x14ac:dyDescent="0.25">
      <c r="A4232" s="431">
        <v>37792</v>
      </c>
      <c r="B4232" s="434">
        <v>2827.4</v>
      </c>
      <c r="C4232" s="427">
        <f t="shared" si="130"/>
        <v>2003</v>
      </c>
      <c r="D4232" s="433">
        <f t="shared" si="131"/>
        <v>2827.4</v>
      </c>
    </row>
    <row r="4233" spans="1:4" ht="16.149999999999999" customHeight="1" x14ac:dyDescent="0.25">
      <c r="A4233" s="431">
        <v>37793</v>
      </c>
      <c r="B4233" s="432">
        <v>2826.36</v>
      </c>
      <c r="C4233" s="427">
        <f t="shared" si="130"/>
        <v>2003</v>
      </c>
      <c r="D4233" s="433">
        <f t="shared" si="131"/>
        <v>2826.36</v>
      </c>
    </row>
    <row r="4234" spans="1:4" ht="16.149999999999999" customHeight="1" x14ac:dyDescent="0.25">
      <c r="A4234" s="431">
        <v>37794</v>
      </c>
      <c r="B4234" s="434">
        <v>2826.36</v>
      </c>
      <c r="C4234" s="427">
        <f t="shared" ref="C4234:C4297" si="132">YEAR(A4234)</f>
        <v>2003</v>
      </c>
      <c r="D4234" s="433">
        <f t="shared" ref="D4234:D4297" si="133">B4234</f>
        <v>2826.36</v>
      </c>
    </row>
    <row r="4235" spans="1:4" ht="16.149999999999999" customHeight="1" x14ac:dyDescent="0.25">
      <c r="A4235" s="431">
        <v>37795</v>
      </c>
      <c r="B4235" s="432">
        <v>2826.36</v>
      </c>
      <c r="C4235" s="427">
        <f t="shared" si="132"/>
        <v>2003</v>
      </c>
      <c r="D4235" s="433">
        <f t="shared" si="133"/>
        <v>2826.36</v>
      </c>
    </row>
    <row r="4236" spans="1:4" ht="16.149999999999999" customHeight="1" x14ac:dyDescent="0.25">
      <c r="A4236" s="431">
        <v>37796</v>
      </c>
      <c r="B4236" s="434">
        <v>2826.36</v>
      </c>
      <c r="C4236" s="427">
        <f t="shared" si="132"/>
        <v>2003</v>
      </c>
      <c r="D4236" s="433">
        <f t="shared" si="133"/>
        <v>2826.36</v>
      </c>
    </row>
    <row r="4237" spans="1:4" ht="16.149999999999999" customHeight="1" x14ac:dyDescent="0.25">
      <c r="A4237" s="431">
        <v>37797</v>
      </c>
      <c r="B4237" s="432">
        <v>2815.26</v>
      </c>
      <c r="C4237" s="427">
        <f t="shared" si="132"/>
        <v>2003</v>
      </c>
      <c r="D4237" s="433">
        <f t="shared" si="133"/>
        <v>2815.26</v>
      </c>
    </row>
    <row r="4238" spans="1:4" ht="16.149999999999999" customHeight="1" x14ac:dyDescent="0.25">
      <c r="A4238" s="431">
        <v>37798</v>
      </c>
      <c r="B4238" s="434">
        <v>2806.96</v>
      </c>
      <c r="C4238" s="427">
        <f t="shared" si="132"/>
        <v>2003</v>
      </c>
      <c r="D4238" s="433">
        <f t="shared" si="133"/>
        <v>2806.96</v>
      </c>
    </row>
    <row r="4239" spans="1:4" ht="16.149999999999999" customHeight="1" x14ac:dyDescent="0.25">
      <c r="A4239" s="431">
        <v>37799</v>
      </c>
      <c r="B4239" s="432">
        <v>2812.28</v>
      </c>
      <c r="C4239" s="427">
        <f t="shared" si="132"/>
        <v>2003</v>
      </c>
      <c r="D4239" s="433">
        <f t="shared" si="133"/>
        <v>2812.28</v>
      </c>
    </row>
    <row r="4240" spans="1:4" ht="16.149999999999999" customHeight="1" x14ac:dyDescent="0.25">
      <c r="A4240" s="431">
        <v>37800</v>
      </c>
      <c r="B4240" s="434">
        <v>2817.32</v>
      </c>
      <c r="C4240" s="427">
        <f t="shared" si="132"/>
        <v>2003</v>
      </c>
      <c r="D4240" s="433">
        <f t="shared" si="133"/>
        <v>2817.32</v>
      </c>
    </row>
    <row r="4241" spans="1:4" ht="16.149999999999999" customHeight="1" x14ac:dyDescent="0.25">
      <c r="A4241" s="431">
        <v>37801</v>
      </c>
      <c r="B4241" s="432">
        <v>2817.32</v>
      </c>
      <c r="C4241" s="427">
        <f t="shared" si="132"/>
        <v>2003</v>
      </c>
      <c r="D4241" s="433">
        <f t="shared" si="133"/>
        <v>2817.32</v>
      </c>
    </row>
    <row r="4242" spans="1:4" ht="16.149999999999999" customHeight="1" x14ac:dyDescent="0.25">
      <c r="A4242" s="431">
        <v>37802</v>
      </c>
      <c r="B4242" s="434">
        <v>2817.32</v>
      </c>
      <c r="C4242" s="427">
        <f t="shared" si="132"/>
        <v>2003</v>
      </c>
      <c r="D4242" s="433">
        <f t="shared" si="133"/>
        <v>2817.32</v>
      </c>
    </row>
    <row r="4243" spans="1:4" ht="16.149999999999999" customHeight="1" x14ac:dyDescent="0.25">
      <c r="A4243" s="431">
        <v>37803</v>
      </c>
      <c r="B4243" s="432">
        <v>2817.32</v>
      </c>
      <c r="C4243" s="427">
        <f t="shared" si="132"/>
        <v>2003</v>
      </c>
      <c r="D4243" s="433">
        <f t="shared" si="133"/>
        <v>2817.32</v>
      </c>
    </row>
    <row r="4244" spans="1:4" ht="16.149999999999999" customHeight="1" x14ac:dyDescent="0.25">
      <c r="A4244" s="431">
        <v>37804</v>
      </c>
      <c r="B4244" s="434">
        <v>2817.63</v>
      </c>
      <c r="C4244" s="427">
        <f t="shared" si="132"/>
        <v>2003</v>
      </c>
      <c r="D4244" s="433">
        <f t="shared" si="133"/>
        <v>2817.63</v>
      </c>
    </row>
    <row r="4245" spans="1:4" ht="16.149999999999999" customHeight="1" x14ac:dyDescent="0.25">
      <c r="A4245" s="431">
        <v>37805</v>
      </c>
      <c r="B4245" s="432">
        <v>2812.4</v>
      </c>
      <c r="C4245" s="427">
        <f t="shared" si="132"/>
        <v>2003</v>
      </c>
      <c r="D4245" s="433">
        <f t="shared" si="133"/>
        <v>2812.4</v>
      </c>
    </row>
    <row r="4246" spans="1:4" ht="16.149999999999999" customHeight="1" x14ac:dyDescent="0.25">
      <c r="A4246" s="431">
        <v>37806</v>
      </c>
      <c r="B4246" s="434">
        <v>2815.14</v>
      </c>
      <c r="C4246" s="427">
        <f t="shared" si="132"/>
        <v>2003</v>
      </c>
      <c r="D4246" s="433">
        <f t="shared" si="133"/>
        <v>2815.14</v>
      </c>
    </row>
    <row r="4247" spans="1:4" ht="16.149999999999999" customHeight="1" x14ac:dyDescent="0.25">
      <c r="A4247" s="431">
        <v>37807</v>
      </c>
      <c r="B4247" s="432">
        <v>2815.14</v>
      </c>
      <c r="C4247" s="427">
        <f t="shared" si="132"/>
        <v>2003</v>
      </c>
      <c r="D4247" s="433">
        <f t="shared" si="133"/>
        <v>2815.14</v>
      </c>
    </row>
    <row r="4248" spans="1:4" ht="16.149999999999999" customHeight="1" x14ac:dyDescent="0.25">
      <c r="A4248" s="431">
        <v>37808</v>
      </c>
      <c r="B4248" s="434">
        <v>2815.14</v>
      </c>
      <c r="C4248" s="427">
        <f t="shared" si="132"/>
        <v>2003</v>
      </c>
      <c r="D4248" s="433">
        <f t="shared" si="133"/>
        <v>2815.14</v>
      </c>
    </row>
    <row r="4249" spans="1:4" ht="16.149999999999999" customHeight="1" x14ac:dyDescent="0.25">
      <c r="A4249" s="431">
        <v>37809</v>
      </c>
      <c r="B4249" s="432">
        <v>2815.14</v>
      </c>
      <c r="C4249" s="427">
        <f t="shared" si="132"/>
        <v>2003</v>
      </c>
      <c r="D4249" s="433">
        <f t="shared" si="133"/>
        <v>2815.14</v>
      </c>
    </row>
    <row r="4250" spans="1:4" ht="16.149999999999999" customHeight="1" x14ac:dyDescent="0.25">
      <c r="A4250" s="431">
        <v>37810</v>
      </c>
      <c r="B4250" s="434">
        <v>2820.85</v>
      </c>
      <c r="C4250" s="427">
        <f t="shared" si="132"/>
        <v>2003</v>
      </c>
      <c r="D4250" s="433">
        <f t="shared" si="133"/>
        <v>2820.85</v>
      </c>
    </row>
    <row r="4251" spans="1:4" ht="16.149999999999999" customHeight="1" x14ac:dyDescent="0.25">
      <c r="A4251" s="431">
        <v>37811</v>
      </c>
      <c r="B4251" s="432">
        <v>2838.88</v>
      </c>
      <c r="C4251" s="427">
        <f t="shared" si="132"/>
        <v>2003</v>
      </c>
      <c r="D4251" s="433">
        <f t="shared" si="133"/>
        <v>2838.88</v>
      </c>
    </row>
    <row r="4252" spans="1:4" ht="16.149999999999999" customHeight="1" x14ac:dyDescent="0.25">
      <c r="A4252" s="431">
        <v>37812</v>
      </c>
      <c r="B4252" s="434">
        <v>2846.89</v>
      </c>
      <c r="C4252" s="427">
        <f t="shared" si="132"/>
        <v>2003</v>
      </c>
      <c r="D4252" s="433">
        <f t="shared" si="133"/>
        <v>2846.89</v>
      </c>
    </row>
    <row r="4253" spans="1:4" ht="16.149999999999999" customHeight="1" x14ac:dyDescent="0.25">
      <c r="A4253" s="431">
        <v>37813</v>
      </c>
      <c r="B4253" s="432">
        <v>2855.41</v>
      </c>
      <c r="C4253" s="427">
        <f t="shared" si="132"/>
        <v>2003</v>
      </c>
      <c r="D4253" s="433">
        <f t="shared" si="133"/>
        <v>2855.41</v>
      </c>
    </row>
    <row r="4254" spans="1:4" ht="16.149999999999999" customHeight="1" x14ac:dyDescent="0.25">
      <c r="A4254" s="431">
        <v>37814</v>
      </c>
      <c r="B4254" s="434">
        <v>2856.96</v>
      </c>
      <c r="C4254" s="427">
        <f t="shared" si="132"/>
        <v>2003</v>
      </c>
      <c r="D4254" s="433">
        <f t="shared" si="133"/>
        <v>2856.96</v>
      </c>
    </row>
    <row r="4255" spans="1:4" ht="16.149999999999999" customHeight="1" x14ac:dyDescent="0.25">
      <c r="A4255" s="431">
        <v>37815</v>
      </c>
      <c r="B4255" s="432">
        <v>2856.96</v>
      </c>
      <c r="C4255" s="427">
        <f t="shared" si="132"/>
        <v>2003</v>
      </c>
      <c r="D4255" s="433">
        <f t="shared" si="133"/>
        <v>2856.96</v>
      </c>
    </row>
    <row r="4256" spans="1:4" ht="16.149999999999999" customHeight="1" x14ac:dyDescent="0.25">
      <c r="A4256" s="431">
        <v>37816</v>
      </c>
      <c r="B4256" s="434">
        <v>2856.96</v>
      </c>
      <c r="C4256" s="427">
        <f t="shared" si="132"/>
        <v>2003</v>
      </c>
      <c r="D4256" s="433">
        <f t="shared" si="133"/>
        <v>2856.96</v>
      </c>
    </row>
    <row r="4257" spans="1:4" ht="16.149999999999999" customHeight="1" x14ac:dyDescent="0.25">
      <c r="A4257" s="431">
        <v>37817</v>
      </c>
      <c r="B4257" s="432">
        <v>2871.88</v>
      </c>
      <c r="C4257" s="427">
        <f t="shared" si="132"/>
        <v>2003</v>
      </c>
      <c r="D4257" s="433">
        <f t="shared" si="133"/>
        <v>2871.88</v>
      </c>
    </row>
    <row r="4258" spans="1:4" ht="16.149999999999999" customHeight="1" x14ac:dyDescent="0.25">
      <c r="A4258" s="431">
        <v>37818</v>
      </c>
      <c r="B4258" s="434">
        <v>2879.37</v>
      </c>
      <c r="C4258" s="427">
        <f t="shared" si="132"/>
        <v>2003</v>
      </c>
      <c r="D4258" s="433">
        <f t="shared" si="133"/>
        <v>2879.37</v>
      </c>
    </row>
    <row r="4259" spans="1:4" ht="16.149999999999999" customHeight="1" x14ac:dyDescent="0.25">
      <c r="A4259" s="431">
        <v>37819</v>
      </c>
      <c r="B4259" s="432">
        <v>2888.57</v>
      </c>
      <c r="C4259" s="427">
        <f t="shared" si="132"/>
        <v>2003</v>
      </c>
      <c r="D4259" s="433">
        <f t="shared" si="133"/>
        <v>2888.57</v>
      </c>
    </row>
    <row r="4260" spans="1:4" ht="16.149999999999999" customHeight="1" x14ac:dyDescent="0.25">
      <c r="A4260" s="431">
        <v>37820</v>
      </c>
      <c r="B4260" s="434">
        <v>2883.9</v>
      </c>
      <c r="C4260" s="427">
        <f t="shared" si="132"/>
        <v>2003</v>
      </c>
      <c r="D4260" s="433">
        <f t="shared" si="133"/>
        <v>2883.9</v>
      </c>
    </row>
    <row r="4261" spans="1:4" ht="16.149999999999999" customHeight="1" x14ac:dyDescent="0.25">
      <c r="A4261" s="431">
        <v>37821</v>
      </c>
      <c r="B4261" s="432">
        <v>2880.69</v>
      </c>
      <c r="C4261" s="427">
        <f t="shared" si="132"/>
        <v>2003</v>
      </c>
      <c r="D4261" s="433">
        <f t="shared" si="133"/>
        <v>2880.69</v>
      </c>
    </row>
    <row r="4262" spans="1:4" ht="16.149999999999999" customHeight="1" x14ac:dyDescent="0.25">
      <c r="A4262" s="431">
        <v>37822</v>
      </c>
      <c r="B4262" s="434">
        <v>2880.69</v>
      </c>
      <c r="C4262" s="427">
        <f t="shared" si="132"/>
        <v>2003</v>
      </c>
      <c r="D4262" s="433">
        <f t="shared" si="133"/>
        <v>2880.69</v>
      </c>
    </row>
    <row r="4263" spans="1:4" ht="16.149999999999999" customHeight="1" x14ac:dyDescent="0.25">
      <c r="A4263" s="431">
        <v>37823</v>
      </c>
      <c r="B4263" s="432">
        <v>2880.69</v>
      </c>
      <c r="C4263" s="427">
        <f t="shared" si="132"/>
        <v>2003</v>
      </c>
      <c r="D4263" s="433">
        <f t="shared" si="133"/>
        <v>2880.69</v>
      </c>
    </row>
    <row r="4264" spans="1:4" ht="16.149999999999999" customHeight="1" x14ac:dyDescent="0.25">
      <c r="A4264" s="431">
        <v>37824</v>
      </c>
      <c r="B4264" s="434">
        <v>2878.33</v>
      </c>
      <c r="C4264" s="427">
        <f t="shared" si="132"/>
        <v>2003</v>
      </c>
      <c r="D4264" s="433">
        <f t="shared" si="133"/>
        <v>2878.33</v>
      </c>
    </row>
    <row r="4265" spans="1:4" ht="16.149999999999999" customHeight="1" x14ac:dyDescent="0.25">
      <c r="A4265" s="431">
        <v>37825</v>
      </c>
      <c r="B4265" s="432">
        <v>2878.56</v>
      </c>
      <c r="C4265" s="427">
        <f t="shared" si="132"/>
        <v>2003</v>
      </c>
      <c r="D4265" s="433">
        <f t="shared" si="133"/>
        <v>2878.56</v>
      </c>
    </row>
    <row r="4266" spans="1:4" ht="16.149999999999999" customHeight="1" x14ac:dyDescent="0.25">
      <c r="A4266" s="431">
        <v>37826</v>
      </c>
      <c r="B4266" s="434">
        <v>2882.7</v>
      </c>
      <c r="C4266" s="427">
        <f t="shared" si="132"/>
        <v>2003</v>
      </c>
      <c r="D4266" s="433">
        <f t="shared" si="133"/>
        <v>2882.7</v>
      </c>
    </row>
    <row r="4267" spans="1:4" ht="16.149999999999999" customHeight="1" x14ac:dyDescent="0.25">
      <c r="A4267" s="431">
        <v>37827</v>
      </c>
      <c r="B4267" s="432">
        <v>2887.31</v>
      </c>
      <c r="C4267" s="427">
        <f t="shared" si="132"/>
        <v>2003</v>
      </c>
      <c r="D4267" s="433">
        <f t="shared" si="133"/>
        <v>2887.31</v>
      </c>
    </row>
    <row r="4268" spans="1:4" ht="16.149999999999999" customHeight="1" x14ac:dyDescent="0.25">
      <c r="A4268" s="431">
        <v>37828</v>
      </c>
      <c r="B4268" s="434">
        <v>2888.32</v>
      </c>
      <c r="C4268" s="427">
        <f t="shared" si="132"/>
        <v>2003</v>
      </c>
      <c r="D4268" s="433">
        <f t="shared" si="133"/>
        <v>2888.32</v>
      </c>
    </row>
    <row r="4269" spans="1:4" ht="16.149999999999999" customHeight="1" x14ac:dyDescent="0.25">
      <c r="A4269" s="431">
        <v>37829</v>
      </c>
      <c r="B4269" s="432">
        <v>2888.32</v>
      </c>
      <c r="C4269" s="427">
        <f t="shared" si="132"/>
        <v>2003</v>
      </c>
      <c r="D4269" s="433">
        <f t="shared" si="133"/>
        <v>2888.32</v>
      </c>
    </row>
    <row r="4270" spans="1:4" ht="16.149999999999999" customHeight="1" x14ac:dyDescent="0.25">
      <c r="A4270" s="431">
        <v>37830</v>
      </c>
      <c r="B4270" s="434">
        <v>2888.32</v>
      </c>
      <c r="C4270" s="427">
        <f t="shared" si="132"/>
        <v>2003</v>
      </c>
      <c r="D4270" s="433">
        <f t="shared" si="133"/>
        <v>2888.32</v>
      </c>
    </row>
    <row r="4271" spans="1:4" ht="16.149999999999999" customHeight="1" x14ac:dyDescent="0.25">
      <c r="A4271" s="431">
        <v>37831</v>
      </c>
      <c r="B4271" s="432">
        <v>2883.15</v>
      </c>
      <c r="C4271" s="427">
        <f t="shared" si="132"/>
        <v>2003</v>
      </c>
      <c r="D4271" s="433">
        <f t="shared" si="133"/>
        <v>2883.15</v>
      </c>
    </row>
    <row r="4272" spans="1:4" ht="16.149999999999999" customHeight="1" x14ac:dyDescent="0.25">
      <c r="A4272" s="431">
        <v>37832</v>
      </c>
      <c r="B4272" s="434">
        <v>2873.17</v>
      </c>
      <c r="C4272" s="427">
        <f t="shared" si="132"/>
        <v>2003</v>
      </c>
      <c r="D4272" s="433">
        <f t="shared" si="133"/>
        <v>2873.17</v>
      </c>
    </row>
    <row r="4273" spans="1:4" ht="16.149999999999999" customHeight="1" x14ac:dyDescent="0.25">
      <c r="A4273" s="431">
        <v>37833</v>
      </c>
      <c r="B4273" s="432">
        <v>2880.4</v>
      </c>
      <c r="C4273" s="427">
        <f t="shared" si="132"/>
        <v>2003</v>
      </c>
      <c r="D4273" s="433">
        <f t="shared" si="133"/>
        <v>2880.4</v>
      </c>
    </row>
    <row r="4274" spans="1:4" ht="16.149999999999999" customHeight="1" x14ac:dyDescent="0.25">
      <c r="A4274" s="431">
        <v>37834</v>
      </c>
      <c r="B4274" s="434">
        <v>2879.6</v>
      </c>
      <c r="C4274" s="427">
        <f t="shared" si="132"/>
        <v>2003</v>
      </c>
      <c r="D4274" s="433">
        <f t="shared" si="133"/>
        <v>2879.6</v>
      </c>
    </row>
    <row r="4275" spans="1:4" ht="16.149999999999999" customHeight="1" x14ac:dyDescent="0.25">
      <c r="A4275" s="431">
        <v>37835</v>
      </c>
      <c r="B4275" s="432">
        <v>2886.87</v>
      </c>
      <c r="C4275" s="427">
        <f t="shared" si="132"/>
        <v>2003</v>
      </c>
      <c r="D4275" s="433">
        <f t="shared" si="133"/>
        <v>2886.87</v>
      </c>
    </row>
    <row r="4276" spans="1:4" ht="16.149999999999999" customHeight="1" x14ac:dyDescent="0.25">
      <c r="A4276" s="431">
        <v>37836</v>
      </c>
      <c r="B4276" s="434">
        <v>2886.87</v>
      </c>
      <c r="C4276" s="427">
        <f t="shared" si="132"/>
        <v>2003</v>
      </c>
      <c r="D4276" s="433">
        <f t="shared" si="133"/>
        <v>2886.87</v>
      </c>
    </row>
    <row r="4277" spans="1:4" ht="16.149999999999999" customHeight="1" x14ac:dyDescent="0.25">
      <c r="A4277" s="431">
        <v>37837</v>
      </c>
      <c r="B4277" s="432">
        <v>2886.87</v>
      </c>
      <c r="C4277" s="427">
        <f t="shared" si="132"/>
        <v>2003</v>
      </c>
      <c r="D4277" s="433">
        <f t="shared" si="133"/>
        <v>2886.87</v>
      </c>
    </row>
    <row r="4278" spans="1:4" ht="16.149999999999999" customHeight="1" x14ac:dyDescent="0.25">
      <c r="A4278" s="431">
        <v>37838</v>
      </c>
      <c r="B4278" s="434">
        <v>2894.58</v>
      </c>
      <c r="C4278" s="427">
        <f t="shared" si="132"/>
        <v>2003</v>
      </c>
      <c r="D4278" s="433">
        <f t="shared" si="133"/>
        <v>2894.58</v>
      </c>
    </row>
    <row r="4279" spans="1:4" ht="16.149999999999999" customHeight="1" x14ac:dyDescent="0.25">
      <c r="A4279" s="431">
        <v>37839</v>
      </c>
      <c r="B4279" s="432">
        <v>2901.09</v>
      </c>
      <c r="C4279" s="427">
        <f t="shared" si="132"/>
        <v>2003</v>
      </c>
      <c r="D4279" s="433">
        <f t="shared" si="133"/>
        <v>2901.09</v>
      </c>
    </row>
    <row r="4280" spans="1:4" ht="16.149999999999999" customHeight="1" x14ac:dyDescent="0.25">
      <c r="A4280" s="431">
        <v>37840</v>
      </c>
      <c r="B4280" s="434">
        <v>2887.05</v>
      </c>
      <c r="C4280" s="427">
        <f t="shared" si="132"/>
        <v>2003</v>
      </c>
      <c r="D4280" s="433">
        <f t="shared" si="133"/>
        <v>2887.05</v>
      </c>
    </row>
    <row r="4281" spans="1:4" ht="16.149999999999999" customHeight="1" x14ac:dyDescent="0.25">
      <c r="A4281" s="431">
        <v>37841</v>
      </c>
      <c r="B4281" s="432">
        <v>2887.05</v>
      </c>
      <c r="C4281" s="427">
        <f t="shared" si="132"/>
        <v>2003</v>
      </c>
      <c r="D4281" s="433">
        <f t="shared" si="133"/>
        <v>2887.05</v>
      </c>
    </row>
    <row r="4282" spans="1:4" ht="16.149999999999999" customHeight="1" x14ac:dyDescent="0.25">
      <c r="A4282" s="431">
        <v>37842</v>
      </c>
      <c r="B4282" s="434">
        <v>2875.18</v>
      </c>
      <c r="C4282" s="427">
        <f t="shared" si="132"/>
        <v>2003</v>
      </c>
      <c r="D4282" s="433">
        <f t="shared" si="133"/>
        <v>2875.18</v>
      </c>
    </row>
    <row r="4283" spans="1:4" ht="16.149999999999999" customHeight="1" x14ac:dyDescent="0.25">
      <c r="A4283" s="431">
        <v>37843</v>
      </c>
      <c r="B4283" s="432">
        <v>2875.18</v>
      </c>
      <c r="C4283" s="427">
        <f t="shared" si="132"/>
        <v>2003</v>
      </c>
      <c r="D4283" s="433">
        <f t="shared" si="133"/>
        <v>2875.18</v>
      </c>
    </row>
    <row r="4284" spans="1:4" ht="16.149999999999999" customHeight="1" x14ac:dyDescent="0.25">
      <c r="A4284" s="431">
        <v>37844</v>
      </c>
      <c r="B4284" s="434">
        <v>2875.18</v>
      </c>
      <c r="C4284" s="427">
        <f t="shared" si="132"/>
        <v>2003</v>
      </c>
      <c r="D4284" s="433">
        <f t="shared" si="133"/>
        <v>2875.18</v>
      </c>
    </row>
    <row r="4285" spans="1:4" ht="16.149999999999999" customHeight="1" x14ac:dyDescent="0.25">
      <c r="A4285" s="431">
        <v>37845</v>
      </c>
      <c r="B4285" s="432">
        <v>2873.51</v>
      </c>
      <c r="C4285" s="427">
        <f t="shared" si="132"/>
        <v>2003</v>
      </c>
      <c r="D4285" s="433">
        <f t="shared" si="133"/>
        <v>2873.51</v>
      </c>
    </row>
    <row r="4286" spans="1:4" ht="16.149999999999999" customHeight="1" x14ac:dyDescent="0.25">
      <c r="A4286" s="431">
        <v>37846</v>
      </c>
      <c r="B4286" s="434">
        <v>2868.5</v>
      </c>
      <c r="C4286" s="427">
        <f t="shared" si="132"/>
        <v>2003</v>
      </c>
      <c r="D4286" s="433">
        <f t="shared" si="133"/>
        <v>2868.5</v>
      </c>
    </row>
    <row r="4287" spans="1:4" ht="16.149999999999999" customHeight="1" x14ac:dyDescent="0.25">
      <c r="A4287" s="431">
        <v>37847</v>
      </c>
      <c r="B4287" s="432">
        <v>2870.67</v>
      </c>
      <c r="C4287" s="427">
        <f t="shared" si="132"/>
        <v>2003</v>
      </c>
      <c r="D4287" s="433">
        <f t="shared" si="133"/>
        <v>2870.67</v>
      </c>
    </row>
    <row r="4288" spans="1:4" ht="16.149999999999999" customHeight="1" x14ac:dyDescent="0.25">
      <c r="A4288" s="431">
        <v>37848</v>
      </c>
      <c r="B4288" s="434">
        <v>2864.81</v>
      </c>
      <c r="C4288" s="427">
        <f t="shared" si="132"/>
        <v>2003</v>
      </c>
      <c r="D4288" s="433">
        <f t="shared" si="133"/>
        <v>2864.81</v>
      </c>
    </row>
    <row r="4289" spans="1:4" ht="16.149999999999999" customHeight="1" x14ac:dyDescent="0.25">
      <c r="A4289" s="431">
        <v>37849</v>
      </c>
      <c r="B4289" s="432">
        <v>2861.34</v>
      </c>
      <c r="C4289" s="427">
        <f t="shared" si="132"/>
        <v>2003</v>
      </c>
      <c r="D4289" s="433">
        <f t="shared" si="133"/>
        <v>2861.34</v>
      </c>
    </row>
    <row r="4290" spans="1:4" ht="16.149999999999999" customHeight="1" x14ac:dyDescent="0.25">
      <c r="A4290" s="431">
        <v>37850</v>
      </c>
      <c r="B4290" s="434">
        <v>2861.34</v>
      </c>
      <c r="C4290" s="427">
        <f t="shared" si="132"/>
        <v>2003</v>
      </c>
      <c r="D4290" s="433">
        <f t="shared" si="133"/>
        <v>2861.34</v>
      </c>
    </row>
    <row r="4291" spans="1:4" ht="16.149999999999999" customHeight="1" x14ac:dyDescent="0.25">
      <c r="A4291" s="431">
        <v>37851</v>
      </c>
      <c r="B4291" s="432">
        <v>2861.34</v>
      </c>
      <c r="C4291" s="427">
        <f t="shared" si="132"/>
        <v>2003</v>
      </c>
      <c r="D4291" s="433">
        <f t="shared" si="133"/>
        <v>2861.34</v>
      </c>
    </row>
    <row r="4292" spans="1:4" ht="16.149999999999999" customHeight="1" x14ac:dyDescent="0.25">
      <c r="A4292" s="431">
        <v>37852</v>
      </c>
      <c r="B4292" s="434">
        <v>2861.34</v>
      </c>
      <c r="C4292" s="427">
        <f t="shared" si="132"/>
        <v>2003</v>
      </c>
      <c r="D4292" s="433">
        <f t="shared" si="133"/>
        <v>2861.34</v>
      </c>
    </row>
    <row r="4293" spans="1:4" ht="16.149999999999999" customHeight="1" x14ac:dyDescent="0.25">
      <c r="A4293" s="431">
        <v>37853</v>
      </c>
      <c r="B4293" s="432">
        <v>2869.29</v>
      </c>
      <c r="C4293" s="427">
        <f t="shared" si="132"/>
        <v>2003</v>
      </c>
      <c r="D4293" s="433">
        <f t="shared" si="133"/>
        <v>2869.29</v>
      </c>
    </row>
    <row r="4294" spans="1:4" ht="16.149999999999999" customHeight="1" x14ac:dyDescent="0.25">
      <c r="A4294" s="431">
        <v>37854</v>
      </c>
      <c r="B4294" s="434">
        <v>2861.63</v>
      </c>
      <c r="C4294" s="427">
        <f t="shared" si="132"/>
        <v>2003</v>
      </c>
      <c r="D4294" s="433">
        <f t="shared" si="133"/>
        <v>2861.63</v>
      </c>
    </row>
    <row r="4295" spans="1:4" ht="16.149999999999999" customHeight="1" x14ac:dyDescent="0.25">
      <c r="A4295" s="431">
        <v>37855</v>
      </c>
      <c r="B4295" s="432">
        <v>2853.56</v>
      </c>
      <c r="C4295" s="427">
        <f t="shared" si="132"/>
        <v>2003</v>
      </c>
      <c r="D4295" s="433">
        <f t="shared" si="133"/>
        <v>2853.56</v>
      </c>
    </row>
    <row r="4296" spans="1:4" ht="16.149999999999999" customHeight="1" x14ac:dyDescent="0.25">
      <c r="A4296" s="431">
        <v>37856</v>
      </c>
      <c r="B4296" s="434">
        <v>2841.25</v>
      </c>
      <c r="C4296" s="427">
        <f t="shared" si="132"/>
        <v>2003</v>
      </c>
      <c r="D4296" s="433">
        <f t="shared" si="133"/>
        <v>2841.25</v>
      </c>
    </row>
    <row r="4297" spans="1:4" ht="16.149999999999999" customHeight="1" x14ac:dyDescent="0.25">
      <c r="A4297" s="431">
        <v>37857</v>
      </c>
      <c r="B4297" s="432">
        <v>2841.25</v>
      </c>
      <c r="C4297" s="427">
        <f t="shared" si="132"/>
        <v>2003</v>
      </c>
      <c r="D4297" s="433">
        <f t="shared" si="133"/>
        <v>2841.25</v>
      </c>
    </row>
    <row r="4298" spans="1:4" ht="16.149999999999999" customHeight="1" x14ac:dyDescent="0.25">
      <c r="A4298" s="431">
        <v>37858</v>
      </c>
      <c r="B4298" s="434">
        <v>2841.25</v>
      </c>
      <c r="C4298" s="427">
        <f t="shared" ref="C4298:C4361" si="134">YEAR(A4298)</f>
        <v>2003</v>
      </c>
      <c r="D4298" s="433">
        <f t="shared" ref="D4298:D4361" si="135">B4298</f>
        <v>2841.25</v>
      </c>
    </row>
    <row r="4299" spans="1:4" ht="16.149999999999999" customHeight="1" x14ac:dyDescent="0.25">
      <c r="A4299" s="431">
        <v>37859</v>
      </c>
      <c r="B4299" s="432">
        <v>2843.66</v>
      </c>
      <c r="C4299" s="427">
        <f t="shared" si="134"/>
        <v>2003</v>
      </c>
      <c r="D4299" s="433">
        <f t="shared" si="135"/>
        <v>2843.66</v>
      </c>
    </row>
    <row r="4300" spans="1:4" ht="16.149999999999999" customHeight="1" x14ac:dyDescent="0.25">
      <c r="A4300" s="431">
        <v>37860</v>
      </c>
      <c r="B4300" s="434">
        <v>2848.86</v>
      </c>
      <c r="C4300" s="427">
        <f t="shared" si="134"/>
        <v>2003</v>
      </c>
      <c r="D4300" s="433">
        <f t="shared" si="135"/>
        <v>2848.86</v>
      </c>
    </row>
    <row r="4301" spans="1:4" ht="16.149999999999999" customHeight="1" x14ac:dyDescent="0.25">
      <c r="A4301" s="431">
        <v>37861</v>
      </c>
      <c r="B4301" s="432">
        <v>2850.89</v>
      </c>
      <c r="C4301" s="427">
        <f t="shared" si="134"/>
        <v>2003</v>
      </c>
      <c r="D4301" s="433">
        <f t="shared" si="135"/>
        <v>2850.89</v>
      </c>
    </row>
    <row r="4302" spans="1:4" ht="16.149999999999999" customHeight="1" x14ac:dyDescent="0.25">
      <c r="A4302" s="431">
        <v>37862</v>
      </c>
      <c r="B4302" s="434">
        <v>2846.26</v>
      </c>
      <c r="C4302" s="427">
        <f t="shared" si="134"/>
        <v>2003</v>
      </c>
      <c r="D4302" s="433">
        <f t="shared" si="135"/>
        <v>2846.26</v>
      </c>
    </row>
    <row r="4303" spans="1:4" ht="16.149999999999999" customHeight="1" x14ac:dyDescent="0.25">
      <c r="A4303" s="431">
        <v>37863</v>
      </c>
      <c r="B4303" s="432">
        <v>2832.94</v>
      </c>
      <c r="C4303" s="427">
        <f t="shared" si="134"/>
        <v>2003</v>
      </c>
      <c r="D4303" s="433">
        <f t="shared" si="135"/>
        <v>2832.94</v>
      </c>
    </row>
    <row r="4304" spans="1:4" ht="16.149999999999999" customHeight="1" x14ac:dyDescent="0.25">
      <c r="A4304" s="431">
        <v>37864</v>
      </c>
      <c r="B4304" s="434">
        <v>2832.94</v>
      </c>
      <c r="C4304" s="427">
        <f t="shared" si="134"/>
        <v>2003</v>
      </c>
      <c r="D4304" s="433">
        <f t="shared" si="135"/>
        <v>2832.94</v>
      </c>
    </row>
    <row r="4305" spans="1:4" ht="16.149999999999999" customHeight="1" x14ac:dyDescent="0.25">
      <c r="A4305" s="431">
        <v>37865</v>
      </c>
      <c r="B4305" s="432">
        <v>2832.94</v>
      </c>
      <c r="C4305" s="427">
        <f t="shared" si="134"/>
        <v>2003</v>
      </c>
      <c r="D4305" s="433">
        <f t="shared" si="135"/>
        <v>2832.94</v>
      </c>
    </row>
    <row r="4306" spans="1:4" ht="16.149999999999999" customHeight="1" x14ac:dyDescent="0.25">
      <c r="A4306" s="431">
        <v>37866</v>
      </c>
      <c r="B4306" s="434">
        <v>2832.94</v>
      </c>
      <c r="C4306" s="427">
        <f t="shared" si="134"/>
        <v>2003</v>
      </c>
      <c r="D4306" s="433">
        <f t="shared" si="135"/>
        <v>2832.94</v>
      </c>
    </row>
    <row r="4307" spans="1:4" ht="16.149999999999999" customHeight="1" x14ac:dyDescent="0.25">
      <c r="A4307" s="431">
        <v>37867</v>
      </c>
      <c r="B4307" s="432">
        <v>2841.02</v>
      </c>
      <c r="C4307" s="427">
        <f t="shared" si="134"/>
        <v>2003</v>
      </c>
      <c r="D4307" s="433">
        <f t="shared" si="135"/>
        <v>2841.02</v>
      </c>
    </row>
    <row r="4308" spans="1:4" ht="16.149999999999999" customHeight="1" x14ac:dyDescent="0.25">
      <c r="A4308" s="431">
        <v>37868</v>
      </c>
      <c r="B4308" s="434">
        <v>2826.46</v>
      </c>
      <c r="C4308" s="427">
        <f t="shared" si="134"/>
        <v>2003</v>
      </c>
      <c r="D4308" s="433">
        <f t="shared" si="135"/>
        <v>2826.46</v>
      </c>
    </row>
    <row r="4309" spans="1:4" ht="16.149999999999999" customHeight="1" x14ac:dyDescent="0.25">
      <c r="A4309" s="431">
        <v>37869</v>
      </c>
      <c r="B4309" s="432">
        <v>2816.74</v>
      </c>
      <c r="C4309" s="427">
        <f t="shared" si="134"/>
        <v>2003</v>
      </c>
      <c r="D4309" s="433">
        <f t="shared" si="135"/>
        <v>2816.74</v>
      </c>
    </row>
    <row r="4310" spans="1:4" ht="16.149999999999999" customHeight="1" x14ac:dyDescent="0.25">
      <c r="A4310" s="431">
        <v>37870</v>
      </c>
      <c r="B4310" s="434">
        <v>2820.46</v>
      </c>
      <c r="C4310" s="427">
        <f t="shared" si="134"/>
        <v>2003</v>
      </c>
      <c r="D4310" s="433">
        <f t="shared" si="135"/>
        <v>2820.46</v>
      </c>
    </row>
    <row r="4311" spans="1:4" ht="16.149999999999999" customHeight="1" x14ac:dyDescent="0.25">
      <c r="A4311" s="431">
        <v>37871</v>
      </c>
      <c r="B4311" s="432">
        <v>2820.46</v>
      </c>
      <c r="C4311" s="427">
        <f t="shared" si="134"/>
        <v>2003</v>
      </c>
      <c r="D4311" s="433">
        <f t="shared" si="135"/>
        <v>2820.46</v>
      </c>
    </row>
    <row r="4312" spans="1:4" ht="16.149999999999999" customHeight="1" x14ac:dyDescent="0.25">
      <c r="A4312" s="431">
        <v>37872</v>
      </c>
      <c r="B4312" s="434">
        <v>2820.46</v>
      </c>
      <c r="C4312" s="427">
        <f t="shared" si="134"/>
        <v>2003</v>
      </c>
      <c r="D4312" s="433">
        <f t="shared" si="135"/>
        <v>2820.46</v>
      </c>
    </row>
    <row r="4313" spans="1:4" ht="16.149999999999999" customHeight="1" x14ac:dyDescent="0.25">
      <c r="A4313" s="431">
        <v>37873</v>
      </c>
      <c r="B4313" s="432">
        <v>2822.85</v>
      </c>
      <c r="C4313" s="427">
        <f t="shared" si="134"/>
        <v>2003</v>
      </c>
      <c r="D4313" s="433">
        <f t="shared" si="135"/>
        <v>2822.85</v>
      </c>
    </row>
    <row r="4314" spans="1:4" ht="16.149999999999999" customHeight="1" x14ac:dyDescent="0.25">
      <c r="A4314" s="431">
        <v>37874</v>
      </c>
      <c r="B4314" s="434">
        <v>2820.2</v>
      </c>
      <c r="C4314" s="427">
        <f t="shared" si="134"/>
        <v>2003</v>
      </c>
      <c r="D4314" s="433">
        <f t="shared" si="135"/>
        <v>2820.2</v>
      </c>
    </row>
    <row r="4315" spans="1:4" ht="16.149999999999999" customHeight="1" x14ac:dyDescent="0.25">
      <c r="A4315" s="431">
        <v>37875</v>
      </c>
      <c r="B4315" s="432">
        <v>2825.28</v>
      </c>
      <c r="C4315" s="427">
        <f t="shared" si="134"/>
        <v>2003</v>
      </c>
      <c r="D4315" s="433">
        <f t="shared" si="135"/>
        <v>2825.28</v>
      </c>
    </row>
    <row r="4316" spans="1:4" ht="16.149999999999999" customHeight="1" x14ac:dyDescent="0.25">
      <c r="A4316" s="431">
        <v>37876</v>
      </c>
      <c r="B4316" s="434">
        <v>2829.82</v>
      </c>
      <c r="C4316" s="427">
        <f t="shared" si="134"/>
        <v>2003</v>
      </c>
      <c r="D4316" s="433">
        <f t="shared" si="135"/>
        <v>2829.82</v>
      </c>
    </row>
    <row r="4317" spans="1:4" ht="16.149999999999999" customHeight="1" x14ac:dyDescent="0.25">
      <c r="A4317" s="431">
        <v>37877</v>
      </c>
      <c r="B4317" s="432">
        <v>2824.88</v>
      </c>
      <c r="C4317" s="427">
        <f t="shared" si="134"/>
        <v>2003</v>
      </c>
      <c r="D4317" s="433">
        <f t="shared" si="135"/>
        <v>2824.88</v>
      </c>
    </row>
    <row r="4318" spans="1:4" ht="16.149999999999999" customHeight="1" x14ac:dyDescent="0.25">
      <c r="A4318" s="431">
        <v>37878</v>
      </c>
      <c r="B4318" s="434">
        <v>2824.88</v>
      </c>
      <c r="C4318" s="427">
        <f t="shared" si="134"/>
        <v>2003</v>
      </c>
      <c r="D4318" s="433">
        <f t="shared" si="135"/>
        <v>2824.88</v>
      </c>
    </row>
    <row r="4319" spans="1:4" ht="16.149999999999999" customHeight="1" x14ac:dyDescent="0.25">
      <c r="A4319" s="431">
        <v>37879</v>
      </c>
      <c r="B4319" s="432">
        <v>2824.88</v>
      </c>
      <c r="C4319" s="427">
        <f t="shared" si="134"/>
        <v>2003</v>
      </c>
      <c r="D4319" s="433">
        <f t="shared" si="135"/>
        <v>2824.88</v>
      </c>
    </row>
    <row r="4320" spans="1:4" ht="16.149999999999999" customHeight="1" x14ac:dyDescent="0.25">
      <c r="A4320" s="431">
        <v>37880</v>
      </c>
      <c r="B4320" s="434">
        <v>2824.53</v>
      </c>
      <c r="C4320" s="427">
        <f t="shared" si="134"/>
        <v>2003</v>
      </c>
      <c r="D4320" s="433">
        <f t="shared" si="135"/>
        <v>2824.53</v>
      </c>
    </row>
    <row r="4321" spans="1:4" ht="16.149999999999999" customHeight="1" x14ac:dyDescent="0.25">
      <c r="A4321" s="431">
        <v>37881</v>
      </c>
      <c r="B4321" s="432">
        <v>2823.79</v>
      </c>
      <c r="C4321" s="427">
        <f t="shared" si="134"/>
        <v>2003</v>
      </c>
      <c r="D4321" s="433">
        <f t="shared" si="135"/>
        <v>2823.79</v>
      </c>
    </row>
    <row r="4322" spans="1:4" ht="16.149999999999999" customHeight="1" x14ac:dyDescent="0.25">
      <c r="A4322" s="431">
        <v>37882</v>
      </c>
      <c r="B4322" s="434">
        <v>2823.28</v>
      </c>
      <c r="C4322" s="427">
        <f t="shared" si="134"/>
        <v>2003</v>
      </c>
      <c r="D4322" s="433">
        <f t="shared" si="135"/>
        <v>2823.28</v>
      </c>
    </row>
    <row r="4323" spans="1:4" ht="16.149999999999999" customHeight="1" x14ac:dyDescent="0.25">
      <c r="A4323" s="431">
        <v>37883</v>
      </c>
      <c r="B4323" s="432">
        <v>2833.64</v>
      </c>
      <c r="C4323" s="427">
        <f t="shared" si="134"/>
        <v>2003</v>
      </c>
      <c r="D4323" s="433">
        <f t="shared" si="135"/>
        <v>2833.64</v>
      </c>
    </row>
    <row r="4324" spans="1:4" ht="16.149999999999999" customHeight="1" x14ac:dyDescent="0.25">
      <c r="A4324" s="431">
        <v>37884</v>
      </c>
      <c r="B4324" s="434">
        <v>2844.64</v>
      </c>
      <c r="C4324" s="427">
        <f t="shared" si="134"/>
        <v>2003</v>
      </c>
      <c r="D4324" s="433">
        <f t="shared" si="135"/>
        <v>2844.64</v>
      </c>
    </row>
    <row r="4325" spans="1:4" ht="16.149999999999999" customHeight="1" x14ac:dyDescent="0.25">
      <c r="A4325" s="431">
        <v>37885</v>
      </c>
      <c r="B4325" s="432">
        <v>2844.64</v>
      </c>
      <c r="C4325" s="427">
        <f t="shared" si="134"/>
        <v>2003</v>
      </c>
      <c r="D4325" s="433">
        <f t="shared" si="135"/>
        <v>2844.64</v>
      </c>
    </row>
    <row r="4326" spans="1:4" ht="16.149999999999999" customHeight="1" x14ac:dyDescent="0.25">
      <c r="A4326" s="431">
        <v>37886</v>
      </c>
      <c r="B4326" s="434">
        <v>2844.64</v>
      </c>
      <c r="C4326" s="427">
        <f t="shared" si="134"/>
        <v>2003</v>
      </c>
      <c r="D4326" s="433">
        <f t="shared" si="135"/>
        <v>2844.64</v>
      </c>
    </row>
    <row r="4327" spans="1:4" ht="16.149999999999999" customHeight="1" x14ac:dyDescent="0.25">
      <c r="A4327" s="431">
        <v>37887</v>
      </c>
      <c r="B4327" s="432">
        <v>2859.37</v>
      </c>
      <c r="C4327" s="427">
        <f t="shared" si="134"/>
        <v>2003</v>
      </c>
      <c r="D4327" s="433">
        <f t="shared" si="135"/>
        <v>2859.37</v>
      </c>
    </row>
    <row r="4328" spans="1:4" ht="16.149999999999999" customHeight="1" x14ac:dyDescent="0.25">
      <c r="A4328" s="431">
        <v>37888</v>
      </c>
      <c r="B4328" s="434">
        <v>2866.42</v>
      </c>
      <c r="C4328" s="427">
        <f t="shared" si="134"/>
        <v>2003</v>
      </c>
      <c r="D4328" s="433">
        <f t="shared" si="135"/>
        <v>2866.42</v>
      </c>
    </row>
    <row r="4329" spans="1:4" ht="16.149999999999999" customHeight="1" x14ac:dyDescent="0.25">
      <c r="A4329" s="431">
        <v>37889</v>
      </c>
      <c r="B4329" s="432">
        <v>2872.3</v>
      </c>
      <c r="C4329" s="427">
        <f t="shared" si="134"/>
        <v>2003</v>
      </c>
      <c r="D4329" s="433">
        <f t="shared" si="135"/>
        <v>2872.3</v>
      </c>
    </row>
    <row r="4330" spans="1:4" ht="16.149999999999999" customHeight="1" x14ac:dyDescent="0.25">
      <c r="A4330" s="431">
        <v>37890</v>
      </c>
      <c r="B4330" s="434">
        <v>2871.39</v>
      </c>
      <c r="C4330" s="427">
        <f t="shared" si="134"/>
        <v>2003</v>
      </c>
      <c r="D4330" s="433">
        <f t="shared" si="135"/>
        <v>2871.39</v>
      </c>
    </row>
    <row r="4331" spans="1:4" ht="16.149999999999999" customHeight="1" x14ac:dyDescent="0.25">
      <c r="A4331" s="431">
        <v>37891</v>
      </c>
      <c r="B4331" s="432">
        <v>2879.32</v>
      </c>
      <c r="C4331" s="427">
        <f t="shared" si="134"/>
        <v>2003</v>
      </c>
      <c r="D4331" s="433">
        <f t="shared" si="135"/>
        <v>2879.32</v>
      </c>
    </row>
    <row r="4332" spans="1:4" ht="16.149999999999999" customHeight="1" x14ac:dyDescent="0.25">
      <c r="A4332" s="431">
        <v>37892</v>
      </c>
      <c r="B4332" s="434">
        <v>2879.32</v>
      </c>
      <c r="C4332" s="427">
        <f t="shared" si="134"/>
        <v>2003</v>
      </c>
      <c r="D4332" s="433">
        <f t="shared" si="135"/>
        <v>2879.32</v>
      </c>
    </row>
    <row r="4333" spans="1:4" ht="16.149999999999999" customHeight="1" x14ac:dyDescent="0.25">
      <c r="A4333" s="431">
        <v>37893</v>
      </c>
      <c r="B4333" s="432">
        <v>2879.32</v>
      </c>
      <c r="C4333" s="427">
        <f t="shared" si="134"/>
        <v>2003</v>
      </c>
      <c r="D4333" s="433">
        <f t="shared" si="135"/>
        <v>2879.32</v>
      </c>
    </row>
    <row r="4334" spans="1:4" ht="16.149999999999999" customHeight="1" x14ac:dyDescent="0.25">
      <c r="A4334" s="431">
        <v>37894</v>
      </c>
      <c r="B4334" s="434">
        <v>2889.39</v>
      </c>
      <c r="C4334" s="427">
        <f t="shared" si="134"/>
        <v>2003</v>
      </c>
      <c r="D4334" s="433">
        <f t="shared" si="135"/>
        <v>2889.39</v>
      </c>
    </row>
    <row r="4335" spans="1:4" ht="16.149999999999999" customHeight="1" x14ac:dyDescent="0.25">
      <c r="A4335" s="431">
        <v>37895</v>
      </c>
      <c r="B4335" s="432">
        <v>2888.21</v>
      </c>
      <c r="C4335" s="427">
        <f t="shared" si="134"/>
        <v>2003</v>
      </c>
      <c r="D4335" s="433">
        <f t="shared" si="135"/>
        <v>2888.21</v>
      </c>
    </row>
    <row r="4336" spans="1:4" ht="16.149999999999999" customHeight="1" x14ac:dyDescent="0.25">
      <c r="A4336" s="431">
        <v>37896</v>
      </c>
      <c r="B4336" s="434">
        <v>2907.41</v>
      </c>
      <c r="C4336" s="427">
        <f t="shared" si="134"/>
        <v>2003</v>
      </c>
      <c r="D4336" s="433">
        <f t="shared" si="135"/>
        <v>2907.41</v>
      </c>
    </row>
    <row r="4337" spans="1:4" ht="16.149999999999999" customHeight="1" x14ac:dyDescent="0.25">
      <c r="A4337" s="431">
        <v>37897</v>
      </c>
      <c r="B4337" s="432">
        <v>2905.12</v>
      </c>
      <c r="C4337" s="427">
        <f t="shared" si="134"/>
        <v>2003</v>
      </c>
      <c r="D4337" s="433">
        <f t="shared" si="135"/>
        <v>2905.12</v>
      </c>
    </row>
    <row r="4338" spans="1:4" ht="16.149999999999999" customHeight="1" x14ac:dyDescent="0.25">
      <c r="A4338" s="431">
        <v>37898</v>
      </c>
      <c r="B4338" s="434">
        <v>2881.88</v>
      </c>
      <c r="C4338" s="427">
        <f t="shared" si="134"/>
        <v>2003</v>
      </c>
      <c r="D4338" s="433">
        <f t="shared" si="135"/>
        <v>2881.88</v>
      </c>
    </row>
    <row r="4339" spans="1:4" ht="16.149999999999999" customHeight="1" x14ac:dyDescent="0.25">
      <c r="A4339" s="431">
        <v>37899</v>
      </c>
      <c r="B4339" s="432">
        <v>2881.88</v>
      </c>
      <c r="C4339" s="427">
        <f t="shared" si="134"/>
        <v>2003</v>
      </c>
      <c r="D4339" s="433">
        <f t="shared" si="135"/>
        <v>2881.88</v>
      </c>
    </row>
    <row r="4340" spans="1:4" ht="16.149999999999999" customHeight="1" x14ac:dyDescent="0.25">
      <c r="A4340" s="431">
        <v>37900</v>
      </c>
      <c r="B4340" s="434">
        <v>2881.88</v>
      </c>
      <c r="C4340" s="427">
        <f t="shared" si="134"/>
        <v>2003</v>
      </c>
      <c r="D4340" s="433">
        <f t="shared" si="135"/>
        <v>2881.88</v>
      </c>
    </row>
    <row r="4341" spans="1:4" ht="16.149999999999999" customHeight="1" x14ac:dyDescent="0.25">
      <c r="A4341" s="431">
        <v>37901</v>
      </c>
      <c r="B4341" s="432">
        <v>2872.7</v>
      </c>
      <c r="C4341" s="427">
        <f t="shared" si="134"/>
        <v>2003</v>
      </c>
      <c r="D4341" s="433">
        <f t="shared" si="135"/>
        <v>2872.7</v>
      </c>
    </row>
    <row r="4342" spans="1:4" ht="16.149999999999999" customHeight="1" x14ac:dyDescent="0.25">
      <c r="A4342" s="431">
        <v>37902</v>
      </c>
      <c r="B4342" s="434">
        <v>2868.91</v>
      </c>
      <c r="C4342" s="427">
        <f t="shared" si="134"/>
        <v>2003</v>
      </c>
      <c r="D4342" s="433">
        <f t="shared" si="135"/>
        <v>2868.91</v>
      </c>
    </row>
    <row r="4343" spans="1:4" ht="16.149999999999999" customHeight="1" x14ac:dyDescent="0.25">
      <c r="A4343" s="431">
        <v>37903</v>
      </c>
      <c r="B4343" s="432">
        <v>2887.59</v>
      </c>
      <c r="C4343" s="427">
        <f t="shared" si="134"/>
        <v>2003</v>
      </c>
      <c r="D4343" s="433">
        <f t="shared" si="135"/>
        <v>2887.59</v>
      </c>
    </row>
    <row r="4344" spans="1:4" ht="16.149999999999999" customHeight="1" x14ac:dyDescent="0.25">
      <c r="A4344" s="431">
        <v>37904</v>
      </c>
      <c r="B4344" s="434">
        <v>2878.39</v>
      </c>
      <c r="C4344" s="427">
        <f t="shared" si="134"/>
        <v>2003</v>
      </c>
      <c r="D4344" s="433">
        <f t="shared" si="135"/>
        <v>2878.39</v>
      </c>
    </row>
    <row r="4345" spans="1:4" ht="16.149999999999999" customHeight="1" x14ac:dyDescent="0.25">
      <c r="A4345" s="431">
        <v>37905</v>
      </c>
      <c r="B4345" s="432">
        <v>2868.85</v>
      </c>
      <c r="C4345" s="427">
        <f t="shared" si="134"/>
        <v>2003</v>
      </c>
      <c r="D4345" s="433">
        <f t="shared" si="135"/>
        <v>2868.85</v>
      </c>
    </row>
    <row r="4346" spans="1:4" ht="16.149999999999999" customHeight="1" x14ac:dyDescent="0.25">
      <c r="A4346" s="431">
        <v>37906</v>
      </c>
      <c r="B4346" s="434">
        <v>2868.85</v>
      </c>
      <c r="C4346" s="427">
        <f t="shared" si="134"/>
        <v>2003</v>
      </c>
      <c r="D4346" s="433">
        <f t="shared" si="135"/>
        <v>2868.85</v>
      </c>
    </row>
    <row r="4347" spans="1:4" ht="16.149999999999999" customHeight="1" x14ac:dyDescent="0.25">
      <c r="A4347" s="431">
        <v>37907</v>
      </c>
      <c r="B4347" s="432">
        <v>2868.85</v>
      </c>
      <c r="C4347" s="427">
        <f t="shared" si="134"/>
        <v>2003</v>
      </c>
      <c r="D4347" s="433">
        <f t="shared" si="135"/>
        <v>2868.85</v>
      </c>
    </row>
    <row r="4348" spans="1:4" ht="16.149999999999999" customHeight="1" x14ac:dyDescent="0.25">
      <c r="A4348" s="431">
        <v>37908</v>
      </c>
      <c r="B4348" s="434">
        <v>2868.85</v>
      </c>
      <c r="C4348" s="427">
        <f t="shared" si="134"/>
        <v>2003</v>
      </c>
      <c r="D4348" s="433">
        <f t="shared" si="135"/>
        <v>2868.85</v>
      </c>
    </row>
    <row r="4349" spans="1:4" ht="16.149999999999999" customHeight="1" x14ac:dyDescent="0.25">
      <c r="A4349" s="431">
        <v>37909</v>
      </c>
      <c r="B4349" s="432">
        <v>2865.32</v>
      </c>
      <c r="C4349" s="427">
        <f t="shared" si="134"/>
        <v>2003</v>
      </c>
      <c r="D4349" s="433">
        <f t="shared" si="135"/>
        <v>2865.32</v>
      </c>
    </row>
    <row r="4350" spans="1:4" ht="16.149999999999999" customHeight="1" x14ac:dyDescent="0.25">
      <c r="A4350" s="431">
        <v>37910</v>
      </c>
      <c r="B4350" s="434">
        <v>2873.7</v>
      </c>
      <c r="C4350" s="427">
        <f t="shared" si="134"/>
        <v>2003</v>
      </c>
      <c r="D4350" s="433">
        <f t="shared" si="135"/>
        <v>2873.7</v>
      </c>
    </row>
    <row r="4351" spans="1:4" ht="16.149999999999999" customHeight="1" x14ac:dyDescent="0.25">
      <c r="A4351" s="431">
        <v>37911</v>
      </c>
      <c r="B4351" s="432">
        <v>2867.75</v>
      </c>
      <c r="C4351" s="427">
        <f t="shared" si="134"/>
        <v>2003</v>
      </c>
      <c r="D4351" s="433">
        <f t="shared" si="135"/>
        <v>2867.75</v>
      </c>
    </row>
    <row r="4352" spans="1:4" ht="16.149999999999999" customHeight="1" x14ac:dyDescent="0.25">
      <c r="A4352" s="431">
        <v>37912</v>
      </c>
      <c r="B4352" s="434">
        <v>2865.04</v>
      </c>
      <c r="C4352" s="427">
        <f t="shared" si="134"/>
        <v>2003</v>
      </c>
      <c r="D4352" s="433">
        <f t="shared" si="135"/>
        <v>2865.04</v>
      </c>
    </row>
    <row r="4353" spans="1:4" ht="16.149999999999999" customHeight="1" x14ac:dyDescent="0.25">
      <c r="A4353" s="431">
        <v>37913</v>
      </c>
      <c r="B4353" s="432">
        <v>2865.04</v>
      </c>
      <c r="C4353" s="427">
        <f t="shared" si="134"/>
        <v>2003</v>
      </c>
      <c r="D4353" s="433">
        <f t="shared" si="135"/>
        <v>2865.04</v>
      </c>
    </row>
    <row r="4354" spans="1:4" ht="16.149999999999999" customHeight="1" x14ac:dyDescent="0.25">
      <c r="A4354" s="431">
        <v>37914</v>
      </c>
      <c r="B4354" s="434">
        <v>2865.04</v>
      </c>
      <c r="C4354" s="427">
        <f t="shared" si="134"/>
        <v>2003</v>
      </c>
      <c r="D4354" s="433">
        <f t="shared" si="135"/>
        <v>2865.04</v>
      </c>
    </row>
    <row r="4355" spans="1:4" ht="16.149999999999999" customHeight="1" x14ac:dyDescent="0.25">
      <c r="A4355" s="431">
        <v>37915</v>
      </c>
      <c r="B4355" s="432">
        <v>2864.34</v>
      </c>
      <c r="C4355" s="427">
        <f t="shared" si="134"/>
        <v>2003</v>
      </c>
      <c r="D4355" s="433">
        <f t="shared" si="135"/>
        <v>2864.34</v>
      </c>
    </row>
    <row r="4356" spans="1:4" ht="16.149999999999999" customHeight="1" x14ac:dyDescent="0.25">
      <c r="A4356" s="431">
        <v>37916</v>
      </c>
      <c r="B4356" s="434">
        <v>2864.25</v>
      </c>
      <c r="C4356" s="427">
        <f t="shared" si="134"/>
        <v>2003</v>
      </c>
      <c r="D4356" s="433">
        <f t="shared" si="135"/>
        <v>2864.25</v>
      </c>
    </row>
    <row r="4357" spans="1:4" ht="16.149999999999999" customHeight="1" x14ac:dyDescent="0.25">
      <c r="A4357" s="431">
        <v>37917</v>
      </c>
      <c r="B4357" s="432">
        <v>2870.01</v>
      </c>
      <c r="C4357" s="427">
        <f t="shared" si="134"/>
        <v>2003</v>
      </c>
      <c r="D4357" s="433">
        <f t="shared" si="135"/>
        <v>2870.01</v>
      </c>
    </row>
    <row r="4358" spans="1:4" ht="16.149999999999999" customHeight="1" x14ac:dyDescent="0.25">
      <c r="A4358" s="431">
        <v>37918</v>
      </c>
      <c r="B4358" s="434">
        <v>2872.55</v>
      </c>
      <c r="C4358" s="427">
        <f t="shared" si="134"/>
        <v>2003</v>
      </c>
      <c r="D4358" s="433">
        <f t="shared" si="135"/>
        <v>2872.55</v>
      </c>
    </row>
    <row r="4359" spans="1:4" ht="16.149999999999999" customHeight="1" x14ac:dyDescent="0.25">
      <c r="A4359" s="431">
        <v>37919</v>
      </c>
      <c r="B4359" s="432">
        <v>2857.88</v>
      </c>
      <c r="C4359" s="427">
        <f t="shared" si="134"/>
        <v>2003</v>
      </c>
      <c r="D4359" s="433">
        <f t="shared" si="135"/>
        <v>2857.88</v>
      </c>
    </row>
    <row r="4360" spans="1:4" ht="16.149999999999999" customHeight="1" x14ac:dyDescent="0.25">
      <c r="A4360" s="431">
        <v>37920</v>
      </c>
      <c r="B4360" s="434">
        <v>2857.88</v>
      </c>
      <c r="C4360" s="427">
        <f t="shared" si="134"/>
        <v>2003</v>
      </c>
      <c r="D4360" s="433">
        <f t="shared" si="135"/>
        <v>2857.88</v>
      </c>
    </row>
    <row r="4361" spans="1:4" ht="16.149999999999999" customHeight="1" x14ac:dyDescent="0.25">
      <c r="A4361" s="431">
        <v>37921</v>
      </c>
      <c r="B4361" s="432">
        <v>2857.88</v>
      </c>
      <c r="C4361" s="427">
        <f t="shared" si="134"/>
        <v>2003</v>
      </c>
      <c r="D4361" s="433">
        <f t="shared" si="135"/>
        <v>2857.88</v>
      </c>
    </row>
    <row r="4362" spans="1:4" ht="16.149999999999999" customHeight="1" x14ac:dyDescent="0.25">
      <c r="A4362" s="431">
        <v>37922</v>
      </c>
      <c r="B4362" s="434">
        <v>2882.77</v>
      </c>
      <c r="C4362" s="427">
        <f t="shared" ref="C4362:C4425" si="136">YEAR(A4362)</f>
        <v>2003</v>
      </c>
      <c r="D4362" s="433">
        <f t="shared" ref="D4362:D4425" si="137">B4362</f>
        <v>2882.77</v>
      </c>
    </row>
    <row r="4363" spans="1:4" ht="16.149999999999999" customHeight="1" x14ac:dyDescent="0.25">
      <c r="A4363" s="431">
        <v>37923</v>
      </c>
      <c r="B4363" s="432">
        <v>2879.34</v>
      </c>
      <c r="C4363" s="427">
        <f t="shared" si="136"/>
        <v>2003</v>
      </c>
      <c r="D4363" s="433">
        <f t="shared" si="137"/>
        <v>2879.34</v>
      </c>
    </row>
    <row r="4364" spans="1:4" ht="16.149999999999999" customHeight="1" x14ac:dyDescent="0.25">
      <c r="A4364" s="431">
        <v>37924</v>
      </c>
      <c r="B4364" s="434">
        <v>2870.11</v>
      </c>
      <c r="C4364" s="427">
        <f t="shared" si="136"/>
        <v>2003</v>
      </c>
      <c r="D4364" s="433">
        <f t="shared" si="137"/>
        <v>2870.11</v>
      </c>
    </row>
    <row r="4365" spans="1:4" ht="16.149999999999999" customHeight="1" x14ac:dyDescent="0.25">
      <c r="A4365" s="431">
        <v>37925</v>
      </c>
      <c r="B4365" s="432">
        <v>2884.17</v>
      </c>
      <c r="C4365" s="427">
        <f t="shared" si="136"/>
        <v>2003</v>
      </c>
      <c r="D4365" s="433">
        <f t="shared" si="137"/>
        <v>2884.17</v>
      </c>
    </row>
    <row r="4366" spans="1:4" ht="16.149999999999999" customHeight="1" x14ac:dyDescent="0.25">
      <c r="A4366" s="431">
        <v>37926</v>
      </c>
      <c r="B4366" s="434">
        <v>2878.05</v>
      </c>
      <c r="C4366" s="427">
        <f t="shared" si="136"/>
        <v>2003</v>
      </c>
      <c r="D4366" s="433">
        <f t="shared" si="137"/>
        <v>2878.05</v>
      </c>
    </row>
    <row r="4367" spans="1:4" ht="16.149999999999999" customHeight="1" x14ac:dyDescent="0.25">
      <c r="A4367" s="431">
        <v>37927</v>
      </c>
      <c r="B4367" s="432">
        <v>2878.05</v>
      </c>
      <c r="C4367" s="427">
        <f t="shared" si="136"/>
        <v>2003</v>
      </c>
      <c r="D4367" s="433">
        <f t="shared" si="137"/>
        <v>2878.05</v>
      </c>
    </row>
    <row r="4368" spans="1:4" ht="16.149999999999999" customHeight="1" x14ac:dyDescent="0.25">
      <c r="A4368" s="431">
        <v>37928</v>
      </c>
      <c r="B4368" s="434">
        <v>2878.05</v>
      </c>
      <c r="C4368" s="427">
        <f t="shared" si="136"/>
        <v>2003</v>
      </c>
      <c r="D4368" s="433">
        <f t="shared" si="137"/>
        <v>2878.05</v>
      </c>
    </row>
    <row r="4369" spans="1:4" ht="16.149999999999999" customHeight="1" x14ac:dyDescent="0.25">
      <c r="A4369" s="431">
        <v>37929</v>
      </c>
      <c r="B4369" s="432">
        <v>2878.05</v>
      </c>
      <c r="C4369" s="427">
        <f t="shared" si="136"/>
        <v>2003</v>
      </c>
      <c r="D4369" s="433">
        <f t="shared" si="137"/>
        <v>2878.05</v>
      </c>
    </row>
    <row r="4370" spans="1:4" ht="16.149999999999999" customHeight="1" x14ac:dyDescent="0.25">
      <c r="A4370" s="431">
        <v>37930</v>
      </c>
      <c r="B4370" s="434">
        <v>2869.46</v>
      </c>
      <c r="C4370" s="427">
        <f t="shared" si="136"/>
        <v>2003</v>
      </c>
      <c r="D4370" s="433">
        <f t="shared" si="137"/>
        <v>2869.46</v>
      </c>
    </row>
    <row r="4371" spans="1:4" ht="16.149999999999999" customHeight="1" x14ac:dyDescent="0.25">
      <c r="A4371" s="431">
        <v>37931</v>
      </c>
      <c r="B4371" s="432">
        <v>2856.34</v>
      </c>
      <c r="C4371" s="427">
        <f t="shared" si="136"/>
        <v>2003</v>
      </c>
      <c r="D4371" s="433">
        <f t="shared" si="137"/>
        <v>2856.34</v>
      </c>
    </row>
    <row r="4372" spans="1:4" ht="16.149999999999999" customHeight="1" x14ac:dyDescent="0.25">
      <c r="A4372" s="431">
        <v>37932</v>
      </c>
      <c r="B4372" s="434">
        <v>2854.17</v>
      </c>
      <c r="C4372" s="427">
        <f t="shared" si="136"/>
        <v>2003</v>
      </c>
      <c r="D4372" s="433">
        <f t="shared" si="137"/>
        <v>2854.17</v>
      </c>
    </row>
    <row r="4373" spans="1:4" ht="16.149999999999999" customHeight="1" x14ac:dyDescent="0.25">
      <c r="A4373" s="431">
        <v>37933</v>
      </c>
      <c r="B4373" s="432">
        <v>2843.82</v>
      </c>
      <c r="C4373" s="427">
        <f t="shared" si="136"/>
        <v>2003</v>
      </c>
      <c r="D4373" s="433">
        <f t="shared" si="137"/>
        <v>2843.82</v>
      </c>
    </row>
    <row r="4374" spans="1:4" ht="16.149999999999999" customHeight="1" x14ac:dyDescent="0.25">
      <c r="A4374" s="431">
        <v>37934</v>
      </c>
      <c r="B4374" s="434">
        <v>2843.82</v>
      </c>
      <c r="C4374" s="427">
        <f t="shared" si="136"/>
        <v>2003</v>
      </c>
      <c r="D4374" s="433">
        <f t="shared" si="137"/>
        <v>2843.82</v>
      </c>
    </row>
    <row r="4375" spans="1:4" ht="16.149999999999999" customHeight="1" x14ac:dyDescent="0.25">
      <c r="A4375" s="431">
        <v>37935</v>
      </c>
      <c r="B4375" s="432">
        <v>2843.82</v>
      </c>
      <c r="C4375" s="427">
        <f t="shared" si="136"/>
        <v>2003</v>
      </c>
      <c r="D4375" s="433">
        <f t="shared" si="137"/>
        <v>2843.82</v>
      </c>
    </row>
    <row r="4376" spans="1:4" ht="16.149999999999999" customHeight="1" x14ac:dyDescent="0.25">
      <c r="A4376" s="431">
        <v>37936</v>
      </c>
      <c r="B4376" s="434">
        <v>2840.41</v>
      </c>
      <c r="C4376" s="427">
        <f t="shared" si="136"/>
        <v>2003</v>
      </c>
      <c r="D4376" s="433">
        <f t="shared" si="137"/>
        <v>2840.41</v>
      </c>
    </row>
    <row r="4377" spans="1:4" ht="16.149999999999999" customHeight="1" x14ac:dyDescent="0.25">
      <c r="A4377" s="431">
        <v>37937</v>
      </c>
      <c r="B4377" s="432">
        <v>2840.41</v>
      </c>
      <c r="C4377" s="427">
        <f t="shared" si="136"/>
        <v>2003</v>
      </c>
      <c r="D4377" s="433">
        <f t="shared" si="137"/>
        <v>2840.41</v>
      </c>
    </row>
    <row r="4378" spans="1:4" ht="16.149999999999999" customHeight="1" x14ac:dyDescent="0.25">
      <c r="A4378" s="431">
        <v>37938</v>
      </c>
      <c r="B4378" s="434">
        <v>2845.69</v>
      </c>
      <c r="C4378" s="427">
        <f t="shared" si="136"/>
        <v>2003</v>
      </c>
      <c r="D4378" s="433">
        <f t="shared" si="137"/>
        <v>2845.69</v>
      </c>
    </row>
    <row r="4379" spans="1:4" ht="16.149999999999999" customHeight="1" x14ac:dyDescent="0.25">
      <c r="A4379" s="431">
        <v>37939</v>
      </c>
      <c r="B4379" s="432">
        <v>2850.24</v>
      </c>
      <c r="C4379" s="427">
        <f t="shared" si="136"/>
        <v>2003</v>
      </c>
      <c r="D4379" s="433">
        <f t="shared" si="137"/>
        <v>2850.24</v>
      </c>
    </row>
    <row r="4380" spans="1:4" ht="16.149999999999999" customHeight="1" x14ac:dyDescent="0.25">
      <c r="A4380" s="431">
        <v>37940</v>
      </c>
      <c r="B4380" s="434">
        <v>2842.53</v>
      </c>
      <c r="C4380" s="427">
        <f t="shared" si="136"/>
        <v>2003</v>
      </c>
      <c r="D4380" s="433">
        <f t="shared" si="137"/>
        <v>2842.53</v>
      </c>
    </row>
    <row r="4381" spans="1:4" ht="16.149999999999999" customHeight="1" x14ac:dyDescent="0.25">
      <c r="A4381" s="431">
        <v>37941</v>
      </c>
      <c r="B4381" s="432">
        <v>2842.53</v>
      </c>
      <c r="C4381" s="427">
        <f t="shared" si="136"/>
        <v>2003</v>
      </c>
      <c r="D4381" s="433">
        <f t="shared" si="137"/>
        <v>2842.53</v>
      </c>
    </row>
    <row r="4382" spans="1:4" ht="16.149999999999999" customHeight="1" x14ac:dyDescent="0.25">
      <c r="A4382" s="431">
        <v>37942</v>
      </c>
      <c r="B4382" s="434">
        <v>2842.53</v>
      </c>
      <c r="C4382" s="427">
        <f t="shared" si="136"/>
        <v>2003</v>
      </c>
      <c r="D4382" s="433">
        <f t="shared" si="137"/>
        <v>2842.53</v>
      </c>
    </row>
    <row r="4383" spans="1:4" ht="16.149999999999999" customHeight="1" x14ac:dyDescent="0.25">
      <c r="A4383" s="431">
        <v>37943</v>
      </c>
      <c r="B4383" s="432">
        <v>2842.53</v>
      </c>
      <c r="C4383" s="427">
        <f t="shared" si="136"/>
        <v>2003</v>
      </c>
      <c r="D4383" s="433">
        <f t="shared" si="137"/>
        <v>2842.53</v>
      </c>
    </row>
    <row r="4384" spans="1:4" ht="16.149999999999999" customHeight="1" x14ac:dyDescent="0.25">
      <c r="A4384" s="431">
        <v>37944</v>
      </c>
      <c r="B4384" s="434">
        <v>2831.97</v>
      </c>
      <c r="C4384" s="427">
        <f t="shared" si="136"/>
        <v>2003</v>
      </c>
      <c r="D4384" s="433">
        <f t="shared" si="137"/>
        <v>2831.97</v>
      </c>
    </row>
    <row r="4385" spans="1:4" ht="16.149999999999999" customHeight="1" x14ac:dyDescent="0.25">
      <c r="A4385" s="431">
        <v>37945</v>
      </c>
      <c r="B4385" s="432">
        <v>2826.6</v>
      </c>
      <c r="C4385" s="427">
        <f t="shared" si="136"/>
        <v>2003</v>
      </c>
      <c r="D4385" s="433">
        <f t="shared" si="137"/>
        <v>2826.6</v>
      </c>
    </row>
    <row r="4386" spans="1:4" ht="16.149999999999999" customHeight="1" x14ac:dyDescent="0.25">
      <c r="A4386" s="431">
        <v>37946</v>
      </c>
      <c r="B4386" s="434">
        <v>2831.1</v>
      </c>
      <c r="C4386" s="427">
        <f t="shared" si="136"/>
        <v>2003</v>
      </c>
      <c r="D4386" s="433">
        <f t="shared" si="137"/>
        <v>2831.1</v>
      </c>
    </row>
    <row r="4387" spans="1:4" ht="16.149999999999999" customHeight="1" x14ac:dyDescent="0.25">
      <c r="A4387" s="431">
        <v>37947</v>
      </c>
      <c r="B4387" s="432">
        <v>2836.45</v>
      </c>
      <c r="C4387" s="427">
        <f t="shared" si="136"/>
        <v>2003</v>
      </c>
      <c r="D4387" s="433">
        <f t="shared" si="137"/>
        <v>2836.45</v>
      </c>
    </row>
    <row r="4388" spans="1:4" ht="16.149999999999999" customHeight="1" x14ac:dyDescent="0.25">
      <c r="A4388" s="431">
        <v>37948</v>
      </c>
      <c r="B4388" s="434">
        <v>2836.45</v>
      </c>
      <c r="C4388" s="427">
        <f t="shared" si="136"/>
        <v>2003</v>
      </c>
      <c r="D4388" s="433">
        <f t="shared" si="137"/>
        <v>2836.45</v>
      </c>
    </row>
    <row r="4389" spans="1:4" ht="16.149999999999999" customHeight="1" x14ac:dyDescent="0.25">
      <c r="A4389" s="431">
        <v>37949</v>
      </c>
      <c r="B4389" s="432">
        <v>2836.45</v>
      </c>
      <c r="C4389" s="427">
        <f t="shared" si="136"/>
        <v>2003</v>
      </c>
      <c r="D4389" s="433">
        <f t="shared" si="137"/>
        <v>2836.45</v>
      </c>
    </row>
    <row r="4390" spans="1:4" ht="16.149999999999999" customHeight="1" x14ac:dyDescent="0.25">
      <c r="A4390" s="431">
        <v>37950</v>
      </c>
      <c r="B4390" s="434">
        <v>2838.02</v>
      </c>
      <c r="C4390" s="427">
        <f t="shared" si="136"/>
        <v>2003</v>
      </c>
      <c r="D4390" s="433">
        <f t="shared" si="137"/>
        <v>2838.02</v>
      </c>
    </row>
    <row r="4391" spans="1:4" ht="16.149999999999999" customHeight="1" x14ac:dyDescent="0.25">
      <c r="A4391" s="431">
        <v>37951</v>
      </c>
      <c r="B4391" s="432">
        <v>2839.2</v>
      </c>
      <c r="C4391" s="427">
        <f t="shared" si="136"/>
        <v>2003</v>
      </c>
      <c r="D4391" s="433">
        <f t="shared" si="137"/>
        <v>2839.2</v>
      </c>
    </row>
    <row r="4392" spans="1:4" ht="16.149999999999999" customHeight="1" x14ac:dyDescent="0.25">
      <c r="A4392" s="431">
        <v>37952</v>
      </c>
      <c r="B4392" s="434">
        <v>2838.7</v>
      </c>
      <c r="C4392" s="427">
        <f t="shared" si="136"/>
        <v>2003</v>
      </c>
      <c r="D4392" s="433">
        <f t="shared" si="137"/>
        <v>2838.7</v>
      </c>
    </row>
    <row r="4393" spans="1:4" ht="16.149999999999999" customHeight="1" x14ac:dyDescent="0.25">
      <c r="A4393" s="431">
        <v>37953</v>
      </c>
      <c r="B4393" s="432">
        <v>2838.7</v>
      </c>
      <c r="C4393" s="427">
        <f t="shared" si="136"/>
        <v>2003</v>
      </c>
      <c r="D4393" s="433">
        <f t="shared" si="137"/>
        <v>2838.7</v>
      </c>
    </row>
    <row r="4394" spans="1:4" ht="16.149999999999999" customHeight="1" x14ac:dyDescent="0.25">
      <c r="A4394" s="431">
        <v>37954</v>
      </c>
      <c r="B4394" s="434">
        <v>2836.05</v>
      </c>
      <c r="C4394" s="427">
        <f t="shared" si="136"/>
        <v>2003</v>
      </c>
      <c r="D4394" s="433">
        <f t="shared" si="137"/>
        <v>2836.05</v>
      </c>
    </row>
    <row r="4395" spans="1:4" ht="16.149999999999999" customHeight="1" x14ac:dyDescent="0.25">
      <c r="A4395" s="431">
        <v>37955</v>
      </c>
      <c r="B4395" s="432">
        <v>2836.05</v>
      </c>
      <c r="C4395" s="427">
        <f t="shared" si="136"/>
        <v>2003</v>
      </c>
      <c r="D4395" s="433">
        <f t="shared" si="137"/>
        <v>2836.05</v>
      </c>
    </row>
    <row r="4396" spans="1:4" ht="16.149999999999999" customHeight="1" x14ac:dyDescent="0.25">
      <c r="A4396" s="431">
        <v>37956</v>
      </c>
      <c r="B4396" s="434">
        <v>2836.05</v>
      </c>
      <c r="C4396" s="427">
        <f t="shared" si="136"/>
        <v>2003</v>
      </c>
      <c r="D4396" s="433">
        <f t="shared" si="137"/>
        <v>2836.05</v>
      </c>
    </row>
    <row r="4397" spans="1:4" ht="16.149999999999999" customHeight="1" x14ac:dyDescent="0.25">
      <c r="A4397" s="431">
        <v>37957</v>
      </c>
      <c r="B4397" s="432">
        <v>2829.08</v>
      </c>
      <c r="C4397" s="427">
        <f t="shared" si="136"/>
        <v>2003</v>
      </c>
      <c r="D4397" s="433">
        <f t="shared" si="137"/>
        <v>2829.08</v>
      </c>
    </row>
    <row r="4398" spans="1:4" ht="16.149999999999999" customHeight="1" x14ac:dyDescent="0.25">
      <c r="A4398" s="431">
        <v>37958</v>
      </c>
      <c r="B4398" s="434">
        <v>2817.14</v>
      </c>
      <c r="C4398" s="427">
        <f t="shared" si="136"/>
        <v>2003</v>
      </c>
      <c r="D4398" s="433">
        <f t="shared" si="137"/>
        <v>2817.14</v>
      </c>
    </row>
    <row r="4399" spans="1:4" ht="16.149999999999999" customHeight="1" x14ac:dyDescent="0.25">
      <c r="A4399" s="431">
        <v>37959</v>
      </c>
      <c r="B4399" s="432">
        <v>2815.19</v>
      </c>
      <c r="C4399" s="427">
        <f t="shared" si="136"/>
        <v>2003</v>
      </c>
      <c r="D4399" s="433">
        <f t="shared" si="137"/>
        <v>2815.19</v>
      </c>
    </row>
    <row r="4400" spans="1:4" ht="16.149999999999999" customHeight="1" x14ac:dyDescent="0.25">
      <c r="A4400" s="431">
        <v>37960</v>
      </c>
      <c r="B4400" s="434">
        <v>2815.33</v>
      </c>
      <c r="C4400" s="427">
        <f t="shared" si="136"/>
        <v>2003</v>
      </c>
      <c r="D4400" s="433">
        <f t="shared" si="137"/>
        <v>2815.33</v>
      </c>
    </row>
    <row r="4401" spans="1:4" ht="16.149999999999999" customHeight="1" x14ac:dyDescent="0.25">
      <c r="A4401" s="431">
        <v>37961</v>
      </c>
      <c r="B4401" s="432">
        <v>2808.42</v>
      </c>
      <c r="C4401" s="427">
        <f t="shared" si="136"/>
        <v>2003</v>
      </c>
      <c r="D4401" s="433">
        <f t="shared" si="137"/>
        <v>2808.42</v>
      </c>
    </row>
    <row r="4402" spans="1:4" ht="16.149999999999999" customHeight="1" x14ac:dyDescent="0.25">
      <c r="A4402" s="431">
        <v>37962</v>
      </c>
      <c r="B4402" s="434">
        <v>2808.42</v>
      </c>
      <c r="C4402" s="427">
        <f t="shared" si="136"/>
        <v>2003</v>
      </c>
      <c r="D4402" s="433">
        <f t="shared" si="137"/>
        <v>2808.42</v>
      </c>
    </row>
    <row r="4403" spans="1:4" ht="16.149999999999999" customHeight="1" x14ac:dyDescent="0.25">
      <c r="A4403" s="431">
        <v>37963</v>
      </c>
      <c r="B4403" s="432">
        <v>2808.42</v>
      </c>
      <c r="C4403" s="427">
        <f t="shared" si="136"/>
        <v>2003</v>
      </c>
      <c r="D4403" s="433">
        <f t="shared" si="137"/>
        <v>2808.42</v>
      </c>
    </row>
    <row r="4404" spans="1:4" ht="16.149999999999999" customHeight="1" x14ac:dyDescent="0.25">
      <c r="A4404" s="431">
        <v>37964</v>
      </c>
      <c r="B4404" s="434">
        <v>2808.42</v>
      </c>
      <c r="C4404" s="427">
        <f t="shared" si="136"/>
        <v>2003</v>
      </c>
      <c r="D4404" s="433">
        <f t="shared" si="137"/>
        <v>2808.42</v>
      </c>
    </row>
    <row r="4405" spans="1:4" ht="16.149999999999999" customHeight="1" x14ac:dyDescent="0.25">
      <c r="A4405" s="431">
        <v>37965</v>
      </c>
      <c r="B4405" s="432">
        <v>2822.78</v>
      </c>
      <c r="C4405" s="427">
        <f t="shared" si="136"/>
        <v>2003</v>
      </c>
      <c r="D4405" s="433">
        <f t="shared" si="137"/>
        <v>2822.78</v>
      </c>
    </row>
    <row r="4406" spans="1:4" ht="16.149999999999999" customHeight="1" x14ac:dyDescent="0.25">
      <c r="A4406" s="431">
        <v>37966</v>
      </c>
      <c r="B4406" s="434">
        <v>2815.45</v>
      </c>
      <c r="C4406" s="427">
        <f t="shared" si="136"/>
        <v>2003</v>
      </c>
      <c r="D4406" s="433">
        <f t="shared" si="137"/>
        <v>2815.45</v>
      </c>
    </row>
    <row r="4407" spans="1:4" ht="16.149999999999999" customHeight="1" x14ac:dyDescent="0.25">
      <c r="A4407" s="431">
        <v>37967</v>
      </c>
      <c r="B4407" s="432">
        <v>2808.31</v>
      </c>
      <c r="C4407" s="427">
        <f t="shared" si="136"/>
        <v>2003</v>
      </c>
      <c r="D4407" s="433">
        <f t="shared" si="137"/>
        <v>2808.31</v>
      </c>
    </row>
    <row r="4408" spans="1:4" ht="16.149999999999999" customHeight="1" x14ac:dyDescent="0.25">
      <c r="A4408" s="431">
        <v>37968</v>
      </c>
      <c r="B4408" s="434">
        <v>2812.81</v>
      </c>
      <c r="C4408" s="427">
        <f t="shared" si="136"/>
        <v>2003</v>
      </c>
      <c r="D4408" s="433">
        <f t="shared" si="137"/>
        <v>2812.81</v>
      </c>
    </row>
    <row r="4409" spans="1:4" ht="16.149999999999999" customHeight="1" x14ac:dyDescent="0.25">
      <c r="A4409" s="431">
        <v>37969</v>
      </c>
      <c r="B4409" s="432">
        <v>2812.81</v>
      </c>
      <c r="C4409" s="427">
        <f t="shared" si="136"/>
        <v>2003</v>
      </c>
      <c r="D4409" s="433">
        <f t="shared" si="137"/>
        <v>2812.81</v>
      </c>
    </row>
    <row r="4410" spans="1:4" ht="16.149999999999999" customHeight="1" x14ac:dyDescent="0.25">
      <c r="A4410" s="431">
        <v>37970</v>
      </c>
      <c r="B4410" s="434">
        <v>2812.81</v>
      </c>
      <c r="C4410" s="427">
        <f t="shared" si="136"/>
        <v>2003</v>
      </c>
      <c r="D4410" s="433">
        <f t="shared" si="137"/>
        <v>2812.81</v>
      </c>
    </row>
    <row r="4411" spans="1:4" ht="16.149999999999999" customHeight="1" x14ac:dyDescent="0.25">
      <c r="A4411" s="431">
        <v>37971</v>
      </c>
      <c r="B4411" s="432">
        <v>2807.25</v>
      </c>
      <c r="C4411" s="427">
        <f t="shared" si="136"/>
        <v>2003</v>
      </c>
      <c r="D4411" s="433">
        <f t="shared" si="137"/>
        <v>2807.25</v>
      </c>
    </row>
    <row r="4412" spans="1:4" ht="16.149999999999999" customHeight="1" x14ac:dyDescent="0.25">
      <c r="A4412" s="431">
        <v>37972</v>
      </c>
      <c r="B4412" s="434">
        <v>2793.06</v>
      </c>
      <c r="C4412" s="427">
        <f t="shared" si="136"/>
        <v>2003</v>
      </c>
      <c r="D4412" s="433">
        <f t="shared" si="137"/>
        <v>2793.06</v>
      </c>
    </row>
    <row r="4413" spans="1:4" ht="16.149999999999999" customHeight="1" x14ac:dyDescent="0.25">
      <c r="A4413" s="431">
        <v>37973</v>
      </c>
      <c r="B4413" s="432">
        <v>2795.21</v>
      </c>
      <c r="C4413" s="427">
        <f t="shared" si="136"/>
        <v>2003</v>
      </c>
      <c r="D4413" s="433">
        <f t="shared" si="137"/>
        <v>2795.21</v>
      </c>
    </row>
    <row r="4414" spans="1:4" ht="16.149999999999999" customHeight="1" x14ac:dyDescent="0.25">
      <c r="A4414" s="431">
        <v>37974</v>
      </c>
      <c r="B4414" s="434">
        <v>2801.67</v>
      </c>
      <c r="C4414" s="427">
        <f t="shared" si="136"/>
        <v>2003</v>
      </c>
      <c r="D4414" s="433">
        <f t="shared" si="137"/>
        <v>2801.67</v>
      </c>
    </row>
    <row r="4415" spans="1:4" ht="16.149999999999999" customHeight="1" x14ac:dyDescent="0.25">
      <c r="A4415" s="431">
        <v>37975</v>
      </c>
      <c r="B4415" s="432">
        <v>2806.89</v>
      </c>
      <c r="C4415" s="427">
        <f t="shared" si="136"/>
        <v>2003</v>
      </c>
      <c r="D4415" s="433">
        <f t="shared" si="137"/>
        <v>2806.89</v>
      </c>
    </row>
    <row r="4416" spans="1:4" ht="16.149999999999999" customHeight="1" x14ac:dyDescent="0.25">
      <c r="A4416" s="431">
        <v>37976</v>
      </c>
      <c r="B4416" s="434">
        <v>2806.89</v>
      </c>
      <c r="C4416" s="427">
        <f t="shared" si="136"/>
        <v>2003</v>
      </c>
      <c r="D4416" s="433">
        <f t="shared" si="137"/>
        <v>2806.89</v>
      </c>
    </row>
    <row r="4417" spans="1:4" ht="16.149999999999999" customHeight="1" x14ac:dyDescent="0.25">
      <c r="A4417" s="431">
        <v>37977</v>
      </c>
      <c r="B4417" s="432">
        <v>2806.89</v>
      </c>
      <c r="C4417" s="427">
        <f t="shared" si="136"/>
        <v>2003</v>
      </c>
      <c r="D4417" s="433">
        <f t="shared" si="137"/>
        <v>2806.89</v>
      </c>
    </row>
    <row r="4418" spans="1:4" ht="16.149999999999999" customHeight="1" x14ac:dyDescent="0.25">
      <c r="A4418" s="431">
        <v>37978</v>
      </c>
      <c r="B4418" s="434">
        <v>2809.09</v>
      </c>
      <c r="C4418" s="427">
        <f t="shared" si="136"/>
        <v>2003</v>
      </c>
      <c r="D4418" s="433">
        <f t="shared" si="137"/>
        <v>2809.09</v>
      </c>
    </row>
    <row r="4419" spans="1:4" ht="16.149999999999999" customHeight="1" x14ac:dyDescent="0.25">
      <c r="A4419" s="431">
        <v>37979</v>
      </c>
      <c r="B4419" s="432">
        <v>2806.33</v>
      </c>
      <c r="C4419" s="427">
        <f t="shared" si="136"/>
        <v>2003</v>
      </c>
      <c r="D4419" s="433">
        <f t="shared" si="137"/>
        <v>2806.33</v>
      </c>
    </row>
    <row r="4420" spans="1:4" ht="16.149999999999999" customHeight="1" x14ac:dyDescent="0.25">
      <c r="A4420" s="431">
        <v>37980</v>
      </c>
      <c r="B4420" s="434">
        <v>2796.89</v>
      </c>
      <c r="C4420" s="427">
        <f t="shared" si="136"/>
        <v>2003</v>
      </c>
      <c r="D4420" s="433">
        <f t="shared" si="137"/>
        <v>2796.89</v>
      </c>
    </row>
    <row r="4421" spans="1:4" ht="16.149999999999999" customHeight="1" x14ac:dyDescent="0.25">
      <c r="A4421" s="431">
        <v>37981</v>
      </c>
      <c r="B4421" s="432">
        <v>2796.89</v>
      </c>
      <c r="C4421" s="427">
        <f t="shared" si="136"/>
        <v>2003</v>
      </c>
      <c r="D4421" s="433">
        <f t="shared" si="137"/>
        <v>2796.89</v>
      </c>
    </row>
    <row r="4422" spans="1:4" ht="16.149999999999999" customHeight="1" x14ac:dyDescent="0.25">
      <c r="A4422" s="431">
        <v>37982</v>
      </c>
      <c r="B4422" s="434">
        <v>2795.21</v>
      </c>
      <c r="C4422" s="427">
        <f t="shared" si="136"/>
        <v>2003</v>
      </c>
      <c r="D4422" s="433">
        <f t="shared" si="137"/>
        <v>2795.21</v>
      </c>
    </row>
    <row r="4423" spans="1:4" ht="16.149999999999999" customHeight="1" x14ac:dyDescent="0.25">
      <c r="A4423" s="431">
        <v>37983</v>
      </c>
      <c r="B4423" s="432">
        <v>2795.21</v>
      </c>
      <c r="C4423" s="427">
        <f t="shared" si="136"/>
        <v>2003</v>
      </c>
      <c r="D4423" s="433">
        <f t="shared" si="137"/>
        <v>2795.21</v>
      </c>
    </row>
    <row r="4424" spans="1:4" ht="16.149999999999999" customHeight="1" x14ac:dyDescent="0.25">
      <c r="A4424" s="431">
        <v>37984</v>
      </c>
      <c r="B4424" s="434">
        <v>2795.21</v>
      </c>
      <c r="C4424" s="427">
        <f t="shared" si="136"/>
        <v>2003</v>
      </c>
      <c r="D4424" s="433">
        <f t="shared" si="137"/>
        <v>2795.21</v>
      </c>
    </row>
    <row r="4425" spans="1:4" ht="16.149999999999999" customHeight="1" x14ac:dyDescent="0.25">
      <c r="A4425" s="431">
        <v>37985</v>
      </c>
      <c r="B4425" s="432">
        <v>2780.82</v>
      </c>
      <c r="C4425" s="427">
        <f t="shared" si="136"/>
        <v>2003</v>
      </c>
      <c r="D4425" s="433">
        <f t="shared" si="137"/>
        <v>2780.82</v>
      </c>
    </row>
    <row r="4426" spans="1:4" ht="16.149999999999999" customHeight="1" x14ac:dyDescent="0.25">
      <c r="A4426" s="431">
        <v>37986</v>
      </c>
      <c r="B4426" s="434">
        <v>2778.21</v>
      </c>
      <c r="C4426" s="427">
        <f t="shared" ref="C4426:C4489" si="138">YEAR(A4426)</f>
        <v>2003</v>
      </c>
      <c r="D4426" s="433">
        <f t="shared" ref="D4426:D4489" si="139">B4426</f>
        <v>2778.21</v>
      </c>
    </row>
    <row r="4427" spans="1:4" ht="16.149999999999999" customHeight="1" x14ac:dyDescent="0.25">
      <c r="A4427" s="431">
        <v>37987</v>
      </c>
      <c r="B4427" s="432">
        <v>2778.21</v>
      </c>
      <c r="C4427" s="427">
        <f t="shared" si="138"/>
        <v>2004</v>
      </c>
      <c r="D4427" s="433">
        <f t="shared" si="139"/>
        <v>2778.21</v>
      </c>
    </row>
    <row r="4428" spans="1:4" ht="16.149999999999999" customHeight="1" x14ac:dyDescent="0.25">
      <c r="A4428" s="431">
        <v>37988</v>
      </c>
      <c r="B4428" s="434">
        <v>2778.21</v>
      </c>
      <c r="C4428" s="427">
        <f t="shared" si="138"/>
        <v>2004</v>
      </c>
      <c r="D4428" s="433">
        <f t="shared" si="139"/>
        <v>2778.21</v>
      </c>
    </row>
    <row r="4429" spans="1:4" ht="16.149999999999999" customHeight="1" x14ac:dyDescent="0.25">
      <c r="A4429" s="431">
        <v>37989</v>
      </c>
      <c r="B4429" s="432">
        <v>2777.96</v>
      </c>
      <c r="C4429" s="427">
        <f t="shared" si="138"/>
        <v>2004</v>
      </c>
      <c r="D4429" s="433">
        <f t="shared" si="139"/>
        <v>2777.96</v>
      </c>
    </row>
    <row r="4430" spans="1:4" ht="16.149999999999999" customHeight="1" x14ac:dyDescent="0.25">
      <c r="A4430" s="431">
        <v>37990</v>
      </c>
      <c r="B4430" s="434">
        <v>2777.96</v>
      </c>
      <c r="C4430" s="427">
        <f t="shared" si="138"/>
        <v>2004</v>
      </c>
      <c r="D4430" s="433">
        <f t="shared" si="139"/>
        <v>2777.96</v>
      </c>
    </row>
    <row r="4431" spans="1:4" ht="16.149999999999999" customHeight="1" x14ac:dyDescent="0.25">
      <c r="A4431" s="431">
        <v>37991</v>
      </c>
      <c r="B4431" s="432">
        <v>2777.96</v>
      </c>
      <c r="C4431" s="427">
        <f t="shared" si="138"/>
        <v>2004</v>
      </c>
      <c r="D4431" s="433">
        <f t="shared" si="139"/>
        <v>2777.96</v>
      </c>
    </row>
    <row r="4432" spans="1:4" ht="16.149999999999999" customHeight="1" x14ac:dyDescent="0.25">
      <c r="A4432" s="431">
        <v>37992</v>
      </c>
      <c r="B4432" s="434">
        <v>2778.92</v>
      </c>
      <c r="C4432" s="427">
        <f t="shared" si="138"/>
        <v>2004</v>
      </c>
      <c r="D4432" s="433">
        <f t="shared" si="139"/>
        <v>2778.92</v>
      </c>
    </row>
    <row r="4433" spans="1:4" ht="16.149999999999999" customHeight="1" x14ac:dyDescent="0.25">
      <c r="A4433" s="431">
        <v>37993</v>
      </c>
      <c r="B4433" s="432">
        <v>2765.76</v>
      </c>
      <c r="C4433" s="427">
        <f t="shared" si="138"/>
        <v>2004</v>
      </c>
      <c r="D4433" s="433">
        <f t="shared" si="139"/>
        <v>2765.76</v>
      </c>
    </row>
    <row r="4434" spans="1:4" ht="16.149999999999999" customHeight="1" x14ac:dyDescent="0.25">
      <c r="A4434" s="431">
        <v>37994</v>
      </c>
      <c r="B4434" s="434">
        <v>2758.83</v>
      </c>
      <c r="C4434" s="427">
        <f t="shared" si="138"/>
        <v>2004</v>
      </c>
      <c r="D4434" s="433">
        <f t="shared" si="139"/>
        <v>2758.83</v>
      </c>
    </row>
    <row r="4435" spans="1:4" ht="16.149999999999999" customHeight="1" x14ac:dyDescent="0.25">
      <c r="A4435" s="431">
        <v>37995</v>
      </c>
      <c r="B4435" s="432">
        <v>2750.89</v>
      </c>
      <c r="C4435" s="427">
        <f t="shared" si="138"/>
        <v>2004</v>
      </c>
      <c r="D4435" s="433">
        <f t="shared" si="139"/>
        <v>2750.89</v>
      </c>
    </row>
    <row r="4436" spans="1:4" ht="16.149999999999999" customHeight="1" x14ac:dyDescent="0.25">
      <c r="A4436" s="431">
        <v>37996</v>
      </c>
      <c r="B4436" s="434">
        <v>2754.33</v>
      </c>
      <c r="C4436" s="427">
        <f t="shared" si="138"/>
        <v>2004</v>
      </c>
      <c r="D4436" s="433">
        <f t="shared" si="139"/>
        <v>2754.33</v>
      </c>
    </row>
    <row r="4437" spans="1:4" ht="16.149999999999999" customHeight="1" x14ac:dyDescent="0.25">
      <c r="A4437" s="431">
        <v>37997</v>
      </c>
      <c r="B4437" s="432">
        <v>2754.33</v>
      </c>
      <c r="C4437" s="427">
        <f t="shared" si="138"/>
        <v>2004</v>
      </c>
      <c r="D4437" s="433">
        <f t="shared" si="139"/>
        <v>2754.33</v>
      </c>
    </row>
    <row r="4438" spans="1:4" ht="16.149999999999999" customHeight="1" x14ac:dyDescent="0.25">
      <c r="A4438" s="431">
        <v>37998</v>
      </c>
      <c r="B4438" s="434">
        <v>2754.33</v>
      </c>
      <c r="C4438" s="427">
        <f t="shared" si="138"/>
        <v>2004</v>
      </c>
      <c r="D4438" s="433">
        <f t="shared" si="139"/>
        <v>2754.33</v>
      </c>
    </row>
    <row r="4439" spans="1:4" ht="16.149999999999999" customHeight="1" x14ac:dyDescent="0.25">
      <c r="A4439" s="431">
        <v>37999</v>
      </c>
      <c r="B4439" s="432">
        <v>2754.33</v>
      </c>
      <c r="C4439" s="427">
        <f t="shared" si="138"/>
        <v>2004</v>
      </c>
      <c r="D4439" s="433">
        <f t="shared" si="139"/>
        <v>2754.33</v>
      </c>
    </row>
    <row r="4440" spans="1:4" ht="16.149999999999999" customHeight="1" x14ac:dyDescent="0.25">
      <c r="A4440" s="431">
        <v>38000</v>
      </c>
      <c r="B4440" s="434">
        <v>2762.31</v>
      </c>
      <c r="C4440" s="427">
        <f t="shared" si="138"/>
        <v>2004</v>
      </c>
      <c r="D4440" s="433">
        <f t="shared" si="139"/>
        <v>2762.31</v>
      </c>
    </row>
    <row r="4441" spans="1:4" ht="16.149999999999999" customHeight="1" x14ac:dyDescent="0.25">
      <c r="A4441" s="431">
        <v>38001</v>
      </c>
      <c r="B4441" s="432">
        <v>2747.06</v>
      </c>
      <c r="C4441" s="427">
        <f t="shared" si="138"/>
        <v>2004</v>
      </c>
      <c r="D4441" s="433">
        <f t="shared" si="139"/>
        <v>2747.06</v>
      </c>
    </row>
    <row r="4442" spans="1:4" ht="16.149999999999999" customHeight="1" x14ac:dyDescent="0.25">
      <c r="A4442" s="431">
        <v>38002</v>
      </c>
      <c r="B4442" s="434">
        <v>2723.83</v>
      </c>
      <c r="C4442" s="427">
        <f t="shared" si="138"/>
        <v>2004</v>
      </c>
      <c r="D4442" s="433">
        <f t="shared" si="139"/>
        <v>2723.83</v>
      </c>
    </row>
    <row r="4443" spans="1:4" ht="16.149999999999999" customHeight="1" x14ac:dyDescent="0.25">
      <c r="A4443" s="431">
        <v>38003</v>
      </c>
      <c r="B4443" s="432">
        <v>2728.7</v>
      </c>
      <c r="C4443" s="427">
        <f t="shared" si="138"/>
        <v>2004</v>
      </c>
      <c r="D4443" s="433">
        <f t="shared" si="139"/>
        <v>2728.7</v>
      </c>
    </row>
    <row r="4444" spans="1:4" ht="16.149999999999999" customHeight="1" x14ac:dyDescent="0.25">
      <c r="A4444" s="431">
        <v>38004</v>
      </c>
      <c r="B4444" s="434">
        <v>2728.7</v>
      </c>
      <c r="C4444" s="427">
        <f t="shared" si="138"/>
        <v>2004</v>
      </c>
      <c r="D4444" s="433">
        <f t="shared" si="139"/>
        <v>2728.7</v>
      </c>
    </row>
    <row r="4445" spans="1:4" ht="16.149999999999999" customHeight="1" x14ac:dyDescent="0.25">
      <c r="A4445" s="431">
        <v>38005</v>
      </c>
      <c r="B4445" s="432">
        <v>2728.7</v>
      </c>
      <c r="C4445" s="427">
        <f t="shared" si="138"/>
        <v>2004</v>
      </c>
      <c r="D4445" s="433">
        <f t="shared" si="139"/>
        <v>2728.7</v>
      </c>
    </row>
    <row r="4446" spans="1:4" ht="16.149999999999999" customHeight="1" x14ac:dyDescent="0.25">
      <c r="A4446" s="431">
        <v>38006</v>
      </c>
      <c r="B4446" s="434">
        <v>2728.7</v>
      </c>
      <c r="C4446" s="427">
        <f t="shared" si="138"/>
        <v>2004</v>
      </c>
      <c r="D4446" s="433">
        <f t="shared" si="139"/>
        <v>2728.7</v>
      </c>
    </row>
    <row r="4447" spans="1:4" ht="16.149999999999999" customHeight="1" x14ac:dyDescent="0.25">
      <c r="A4447" s="431">
        <v>38007</v>
      </c>
      <c r="B4447" s="432">
        <v>2730.75</v>
      </c>
      <c r="C4447" s="427">
        <f t="shared" si="138"/>
        <v>2004</v>
      </c>
      <c r="D4447" s="433">
        <f t="shared" si="139"/>
        <v>2730.75</v>
      </c>
    </row>
    <row r="4448" spans="1:4" ht="16.149999999999999" customHeight="1" x14ac:dyDescent="0.25">
      <c r="A4448" s="431">
        <v>38008</v>
      </c>
      <c r="B4448" s="434">
        <v>2740.76</v>
      </c>
      <c r="C4448" s="427">
        <f t="shared" si="138"/>
        <v>2004</v>
      </c>
      <c r="D4448" s="433">
        <f t="shared" si="139"/>
        <v>2740.76</v>
      </c>
    </row>
    <row r="4449" spans="1:4" ht="16.149999999999999" customHeight="1" x14ac:dyDescent="0.25">
      <c r="A4449" s="431">
        <v>38009</v>
      </c>
      <c r="B4449" s="432">
        <v>2742.88</v>
      </c>
      <c r="C4449" s="427">
        <f t="shared" si="138"/>
        <v>2004</v>
      </c>
      <c r="D4449" s="433">
        <f t="shared" si="139"/>
        <v>2742.88</v>
      </c>
    </row>
    <row r="4450" spans="1:4" ht="16.149999999999999" customHeight="1" x14ac:dyDescent="0.25">
      <c r="A4450" s="431">
        <v>38010</v>
      </c>
      <c r="B4450" s="434">
        <v>2747.72</v>
      </c>
      <c r="C4450" s="427">
        <f t="shared" si="138"/>
        <v>2004</v>
      </c>
      <c r="D4450" s="433">
        <f t="shared" si="139"/>
        <v>2747.72</v>
      </c>
    </row>
    <row r="4451" spans="1:4" ht="16.149999999999999" customHeight="1" x14ac:dyDescent="0.25">
      <c r="A4451" s="431">
        <v>38011</v>
      </c>
      <c r="B4451" s="432">
        <v>2747.72</v>
      </c>
      <c r="C4451" s="427">
        <f t="shared" si="138"/>
        <v>2004</v>
      </c>
      <c r="D4451" s="433">
        <f t="shared" si="139"/>
        <v>2747.72</v>
      </c>
    </row>
    <row r="4452" spans="1:4" ht="16.149999999999999" customHeight="1" x14ac:dyDescent="0.25">
      <c r="A4452" s="431">
        <v>38012</v>
      </c>
      <c r="B4452" s="434">
        <v>2747.72</v>
      </c>
      <c r="C4452" s="427">
        <f t="shared" si="138"/>
        <v>2004</v>
      </c>
      <c r="D4452" s="433">
        <f t="shared" si="139"/>
        <v>2747.72</v>
      </c>
    </row>
    <row r="4453" spans="1:4" ht="16.149999999999999" customHeight="1" x14ac:dyDescent="0.25">
      <c r="A4453" s="431">
        <v>38013</v>
      </c>
      <c r="B4453" s="432">
        <v>2766.89</v>
      </c>
      <c r="C4453" s="427">
        <f t="shared" si="138"/>
        <v>2004</v>
      </c>
      <c r="D4453" s="433">
        <f t="shared" si="139"/>
        <v>2766.89</v>
      </c>
    </row>
    <row r="4454" spans="1:4" ht="16.149999999999999" customHeight="1" x14ac:dyDescent="0.25">
      <c r="A4454" s="431">
        <v>38014</v>
      </c>
      <c r="B4454" s="434">
        <v>2736.28</v>
      </c>
      <c r="C4454" s="427">
        <f t="shared" si="138"/>
        <v>2004</v>
      </c>
      <c r="D4454" s="433">
        <f t="shared" si="139"/>
        <v>2736.28</v>
      </c>
    </row>
    <row r="4455" spans="1:4" ht="16.149999999999999" customHeight="1" x14ac:dyDescent="0.25">
      <c r="A4455" s="431">
        <v>38015</v>
      </c>
      <c r="B4455" s="432">
        <v>2721.56</v>
      </c>
      <c r="C4455" s="427">
        <f t="shared" si="138"/>
        <v>2004</v>
      </c>
      <c r="D4455" s="433">
        <f t="shared" si="139"/>
        <v>2721.56</v>
      </c>
    </row>
    <row r="4456" spans="1:4" ht="16.149999999999999" customHeight="1" x14ac:dyDescent="0.25">
      <c r="A4456" s="431">
        <v>38016</v>
      </c>
      <c r="B4456" s="434">
        <v>2740.55</v>
      </c>
      <c r="C4456" s="427">
        <f t="shared" si="138"/>
        <v>2004</v>
      </c>
      <c r="D4456" s="433">
        <f t="shared" si="139"/>
        <v>2740.55</v>
      </c>
    </row>
    <row r="4457" spans="1:4" ht="16.149999999999999" customHeight="1" x14ac:dyDescent="0.25">
      <c r="A4457" s="431">
        <v>38017</v>
      </c>
      <c r="B4457" s="432">
        <v>2742.47</v>
      </c>
      <c r="C4457" s="427">
        <f t="shared" si="138"/>
        <v>2004</v>
      </c>
      <c r="D4457" s="433">
        <f t="shared" si="139"/>
        <v>2742.47</v>
      </c>
    </row>
    <row r="4458" spans="1:4" ht="16.149999999999999" customHeight="1" x14ac:dyDescent="0.25">
      <c r="A4458" s="431">
        <v>38018</v>
      </c>
      <c r="B4458" s="434">
        <v>2742.47</v>
      </c>
      <c r="C4458" s="427">
        <f t="shared" si="138"/>
        <v>2004</v>
      </c>
      <c r="D4458" s="433">
        <f t="shared" si="139"/>
        <v>2742.47</v>
      </c>
    </row>
    <row r="4459" spans="1:4" ht="16.149999999999999" customHeight="1" x14ac:dyDescent="0.25">
      <c r="A4459" s="431">
        <v>38019</v>
      </c>
      <c r="B4459" s="432">
        <v>2742.47</v>
      </c>
      <c r="C4459" s="427">
        <f t="shared" si="138"/>
        <v>2004</v>
      </c>
      <c r="D4459" s="433">
        <f t="shared" si="139"/>
        <v>2742.47</v>
      </c>
    </row>
    <row r="4460" spans="1:4" ht="16.149999999999999" customHeight="1" x14ac:dyDescent="0.25">
      <c r="A4460" s="431">
        <v>38020</v>
      </c>
      <c r="B4460" s="434">
        <v>2738.15</v>
      </c>
      <c r="C4460" s="427">
        <f t="shared" si="138"/>
        <v>2004</v>
      </c>
      <c r="D4460" s="433">
        <f t="shared" si="139"/>
        <v>2738.15</v>
      </c>
    </row>
    <row r="4461" spans="1:4" ht="16.149999999999999" customHeight="1" x14ac:dyDescent="0.25">
      <c r="A4461" s="431">
        <v>38021</v>
      </c>
      <c r="B4461" s="432">
        <v>2747.28</v>
      </c>
      <c r="C4461" s="427">
        <f t="shared" si="138"/>
        <v>2004</v>
      </c>
      <c r="D4461" s="433">
        <f t="shared" si="139"/>
        <v>2747.28</v>
      </c>
    </row>
    <row r="4462" spans="1:4" ht="16.149999999999999" customHeight="1" x14ac:dyDescent="0.25">
      <c r="A4462" s="431">
        <v>38022</v>
      </c>
      <c r="B4462" s="434">
        <v>2750.67</v>
      </c>
      <c r="C4462" s="427">
        <f t="shared" si="138"/>
        <v>2004</v>
      </c>
      <c r="D4462" s="433">
        <f t="shared" si="139"/>
        <v>2750.67</v>
      </c>
    </row>
    <row r="4463" spans="1:4" ht="16.149999999999999" customHeight="1" x14ac:dyDescent="0.25">
      <c r="A4463" s="431">
        <v>38023</v>
      </c>
      <c r="B4463" s="432">
        <v>2748.9</v>
      </c>
      <c r="C4463" s="427">
        <f t="shared" si="138"/>
        <v>2004</v>
      </c>
      <c r="D4463" s="433">
        <f t="shared" si="139"/>
        <v>2748.9</v>
      </c>
    </row>
    <row r="4464" spans="1:4" ht="16.149999999999999" customHeight="1" x14ac:dyDescent="0.25">
      <c r="A4464" s="431">
        <v>38024</v>
      </c>
      <c r="B4464" s="434">
        <v>2757.14</v>
      </c>
      <c r="C4464" s="427">
        <f t="shared" si="138"/>
        <v>2004</v>
      </c>
      <c r="D4464" s="433">
        <f t="shared" si="139"/>
        <v>2757.14</v>
      </c>
    </row>
    <row r="4465" spans="1:4" ht="16.149999999999999" customHeight="1" x14ac:dyDescent="0.25">
      <c r="A4465" s="431">
        <v>38025</v>
      </c>
      <c r="B4465" s="432">
        <v>2757.14</v>
      </c>
      <c r="C4465" s="427">
        <f t="shared" si="138"/>
        <v>2004</v>
      </c>
      <c r="D4465" s="433">
        <f t="shared" si="139"/>
        <v>2757.14</v>
      </c>
    </row>
    <row r="4466" spans="1:4" ht="16.149999999999999" customHeight="1" x14ac:dyDescent="0.25">
      <c r="A4466" s="431">
        <v>38026</v>
      </c>
      <c r="B4466" s="434">
        <v>2757.14</v>
      </c>
      <c r="C4466" s="427">
        <f t="shared" si="138"/>
        <v>2004</v>
      </c>
      <c r="D4466" s="433">
        <f t="shared" si="139"/>
        <v>2757.14</v>
      </c>
    </row>
    <row r="4467" spans="1:4" ht="16.149999999999999" customHeight="1" x14ac:dyDescent="0.25">
      <c r="A4467" s="431">
        <v>38027</v>
      </c>
      <c r="B4467" s="432">
        <v>2741.17</v>
      </c>
      <c r="C4467" s="427">
        <f t="shared" si="138"/>
        <v>2004</v>
      </c>
      <c r="D4467" s="433">
        <f t="shared" si="139"/>
        <v>2741.17</v>
      </c>
    </row>
    <row r="4468" spans="1:4" ht="16.149999999999999" customHeight="1" x14ac:dyDescent="0.25">
      <c r="A4468" s="431">
        <v>38028</v>
      </c>
      <c r="B4468" s="434">
        <v>2735.5</v>
      </c>
      <c r="C4468" s="427">
        <f t="shared" si="138"/>
        <v>2004</v>
      </c>
      <c r="D4468" s="433">
        <f t="shared" si="139"/>
        <v>2735.5</v>
      </c>
    </row>
    <row r="4469" spans="1:4" ht="16.149999999999999" customHeight="1" x14ac:dyDescent="0.25">
      <c r="A4469" s="431">
        <v>38029</v>
      </c>
      <c r="B4469" s="432">
        <v>2736.94</v>
      </c>
      <c r="C4469" s="427">
        <f t="shared" si="138"/>
        <v>2004</v>
      </c>
      <c r="D4469" s="433">
        <f t="shared" si="139"/>
        <v>2736.94</v>
      </c>
    </row>
    <row r="4470" spans="1:4" ht="16.149999999999999" customHeight="1" x14ac:dyDescent="0.25">
      <c r="A4470" s="431">
        <v>38030</v>
      </c>
      <c r="B4470" s="434">
        <v>2736.42</v>
      </c>
      <c r="C4470" s="427">
        <f t="shared" si="138"/>
        <v>2004</v>
      </c>
      <c r="D4470" s="433">
        <f t="shared" si="139"/>
        <v>2736.42</v>
      </c>
    </row>
    <row r="4471" spans="1:4" ht="16.149999999999999" customHeight="1" x14ac:dyDescent="0.25">
      <c r="A4471" s="431">
        <v>38031</v>
      </c>
      <c r="B4471" s="432">
        <v>2724.36</v>
      </c>
      <c r="C4471" s="427">
        <f t="shared" si="138"/>
        <v>2004</v>
      </c>
      <c r="D4471" s="433">
        <f t="shared" si="139"/>
        <v>2724.36</v>
      </c>
    </row>
    <row r="4472" spans="1:4" ht="16.149999999999999" customHeight="1" x14ac:dyDescent="0.25">
      <c r="A4472" s="431">
        <v>38032</v>
      </c>
      <c r="B4472" s="434">
        <v>2724.36</v>
      </c>
      <c r="C4472" s="427">
        <f t="shared" si="138"/>
        <v>2004</v>
      </c>
      <c r="D4472" s="433">
        <f t="shared" si="139"/>
        <v>2724.36</v>
      </c>
    </row>
    <row r="4473" spans="1:4" ht="16.149999999999999" customHeight="1" x14ac:dyDescent="0.25">
      <c r="A4473" s="431">
        <v>38033</v>
      </c>
      <c r="B4473" s="432">
        <v>2724.36</v>
      </c>
      <c r="C4473" s="427">
        <f t="shared" si="138"/>
        <v>2004</v>
      </c>
      <c r="D4473" s="433">
        <f t="shared" si="139"/>
        <v>2724.36</v>
      </c>
    </row>
    <row r="4474" spans="1:4" ht="16.149999999999999" customHeight="1" x14ac:dyDescent="0.25">
      <c r="A4474" s="431">
        <v>38034</v>
      </c>
      <c r="B4474" s="434">
        <v>2724.36</v>
      </c>
      <c r="C4474" s="427">
        <f t="shared" si="138"/>
        <v>2004</v>
      </c>
      <c r="D4474" s="433">
        <f t="shared" si="139"/>
        <v>2724.36</v>
      </c>
    </row>
    <row r="4475" spans="1:4" ht="16.149999999999999" customHeight="1" x14ac:dyDescent="0.25">
      <c r="A4475" s="431">
        <v>38035</v>
      </c>
      <c r="B4475" s="432">
        <v>2715.2</v>
      </c>
      <c r="C4475" s="427">
        <f t="shared" si="138"/>
        <v>2004</v>
      </c>
      <c r="D4475" s="433">
        <f t="shared" si="139"/>
        <v>2715.2</v>
      </c>
    </row>
    <row r="4476" spans="1:4" ht="16.149999999999999" customHeight="1" x14ac:dyDescent="0.25">
      <c r="A4476" s="431">
        <v>38036</v>
      </c>
      <c r="B4476" s="434">
        <v>2697.66</v>
      </c>
      <c r="C4476" s="427">
        <f t="shared" si="138"/>
        <v>2004</v>
      </c>
      <c r="D4476" s="433">
        <f t="shared" si="139"/>
        <v>2697.66</v>
      </c>
    </row>
    <row r="4477" spans="1:4" ht="16.149999999999999" customHeight="1" x14ac:dyDescent="0.25">
      <c r="A4477" s="431">
        <v>38037</v>
      </c>
      <c r="B4477" s="432">
        <v>2693.84</v>
      </c>
      <c r="C4477" s="427">
        <f t="shared" si="138"/>
        <v>2004</v>
      </c>
      <c r="D4477" s="433">
        <f t="shared" si="139"/>
        <v>2693.84</v>
      </c>
    </row>
    <row r="4478" spans="1:4" ht="16.149999999999999" customHeight="1" x14ac:dyDescent="0.25">
      <c r="A4478" s="431">
        <v>38038</v>
      </c>
      <c r="B4478" s="434">
        <v>2700.19</v>
      </c>
      <c r="C4478" s="427">
        <f t="shared" si="138"/>
        <v>2004</v>
      </c>
      <c r="D4478" s="433">
        <f t="shared" si="139"/>
        <v>2700.19</v>
      </c>
    </row>
    <row r="4479" spans="1:4" ht="16.149999999999999" customHeight="1" x14ac:dyDescent="0.25">
      <c r="A4479" s="431">
        <v>38039</v>
      </c>
      <c r="B4479" s="432">
        <v>2700.19</v>
      </c>
      <c r="C4479" s="427">
        <f t="shared" si="138"/>
        <v>2004</v>
      </c>
      <c r="D4479" s="433">
        <f t="shared" si="139"/>
        <v>2700.19</v>
      </c>
    </row>
    <row r="4480" spans="1:4" ht="16.149999999999999" customHeight="1" x14ac:dyDescent="0.25">
      <c r="A4480" s="431">
        <v>38040</v>
      </c>
      <c r="B4480" s="434">
        <v>2700.19</v>
      </c>
      <c r="C4480" s="427">
        <f t="shared" si="138"/>
        <v>2004</v>
      </c>
      <c r="D4480" s="433">
        <f t="shared" si="139"/>
        <v>2700.19</v>
      </c>
    </row>
    <row r="4481" spans="1:4" ht="16.149999999999999" customHeight="1" x14ac:dyDescent="0.25">
      <c r="A4481" s="431">
        <v>38041</v>
      </c>
      <c r="B4481" s="432">
        <v>2665.83</v>
      </c>
      <c r="C4481" s="427">
        <f t="shared" si="138"/>
        <v>2004</v>
      </c>
      <c r="D4481" s="433">
        <f t="shared" si="139"/>
        <v>2665.83</v>
      </c>
    </row>
    <row r="4482" spans="1:4" ht="16.149999999999999" customHeight="1" x14ac:dyDescent="0.25">
      <c r="A4482" s="431">
        <v>38042</v>
      </c>
      <c r="B4482" s="434">
        <v>2651.94</v>
      </c>
      <c r="C4482" s="427">
        <f t="shared" si="138"/>
        <v>2004</v>
      </c>
      <c r="D4482" s="433">
        <f t="shared" si="139"/>
        <v>2651.94</v>
      </c>
    </row>
    <row r="4483" spans="1:4" ht="16.149999999999999" customHeight="1" x14ac:dyDescent="0.25">
      <c r="A4483" s="431">
        <v>38043</v>
      </c>
      <c r="B4483" s="432">
        <v>2664.3</v>
      </c>
      <c r="C4483" s="427">
        <f t="shared" si="138"/>
        <v>2004</v>
      </c>
      <c r="D4483" s="433">
        <f t="shared" si="139"/>
        <v>2664.3</v>
      </c>
    </row>
    <row r="4484" spans="1:4" ht="16.149999999999999" customHeight="1" x14ac:dyDescent="0.25">
      <c r="A4484" s="431">
        <v>38044</v>
      </c>
      <c r="B4484" s="434">
        <v>2686.54</v>
      </c>
      <c r="C4484" s="427">
        <f t="shared" si="138"/>
        <v>2004</v>
      </c>
      <c r="D4484" s="433">
        <f t="shared" si="139"/>
        <v>2686.54</v>
      </c>
    </row>
    <row r="4485" spans="1:4" ht="16.149999999999999" customHeight="1" x14ac:dyDescent="0.25">
      <c r="A4485" s="431">
        <v>38045</v>
      </c>
      <c r="B4485" s="432">
        <v>2682.34</v>
      </c>
      <c r="C4485" s="427">
        <f t="shared" si="138"/>
        <v>2004</v>
      </c>
      <c r="D4485" s="433">
        <f t="shared" si="139"/>
        <v>2682.34</v>
      </c>
    </row>
    <row r="4486" spans="1:4" ht="16.149999999999999" customHeight="1" x14ac:dyDescent="0.25">
      <c r="A4486" s="431">
        <v>38046</v>
      </c>
      <c r="B4486" s="434">
        <v>2682.34</v>
      </c>
      <c r="C4486" s="427">
        <f t="shared" si="138"/>
        <v>2004</v>
      </c>
      <c r="D4486" s="433">
        <f t="shared" si="139"/>
        <v>2682.34</v>
      </c>
    </row>
    <row r="4487" spans="1:4" ht="16.149999999999999" customHeight="1" x14ac:dyDescent="0.25">
      <c r="A4487" s="431">
        <v>38047</v>
      </c>
      <c r="B4487" s="432">
        <v>2682.34</v>
      </c>
      <c r="C4487" s="427">
        <f t="shared" si="138"/>
        <v>2004</v>
      </c>
      <c r="D4487" s="433">
        <f t="shared" si="139"/>
        <v>2682.34</v>
      </c>
    </row>
    <row r="4488" spans="1:4" ht="16.149999999999999" customHeight="1" x14ac:dyDescent="0.25">
      <c r="A4488" s="431">
        <v>38048</v>
      </c>
      <c r="B4488" s="434">
        <v>2662.81</v>
      </c>
      <c r="C4488" s="427">
        <f t="shared" si="138"/>
        <v>2004</v>
      </c>
      <c r="D4488" s="433">
        <f t="shared" si="139"/>
        <v>2662.81</v>
      </c>
    </row>
    <row r="4489" spans="1:4" ht="16.149999999999999" customHeight="1" x14ac:dyDescent="0.25">
      <c r="A4489" s="431">
        <v>38049</v>
      </c>
      <c r="B4489" s="432">
        <v>2660.42</v>
      </c>
      <c r="C4489" s="427">
        <f t="shared" si="138"/>
        <v>2004</v>
      </c>
      <c r="D4489" s="433">
        <f t="shared" si="139"/>
        <v>2660.42</v>
      </c>
    </row>
    <row r="4490" spans="1:4" ht="16.149999999999999" customHeight="1" x14ac:dyDescent="0.25">
      <c r="A4490" s="431">
        <v>38050</v>
      </c>
      <c r="B4490" s="434">
        <v>2670.97</v>
      </c>
      <c r="C4490" s="427">
        <f t="shared" ref="C4490:C4553" si="140">YEAR(A4490)</f>
        <v>2004</v>
      </c>
      <c r="D4490" s="433">
        <f t="shared" ref="D4490:D4553" si="141">B4490</f>
        <v>2670.97</v>
      </c>
    </row>
    <row r="4491" spans="1:4" ht="16.149999999999999" customHeight="1" x14ac:dyDescent="0.25">
      <c r="A4491" s="431">
        <v>38051</v>
      </c>
      <c r="B4491" s="432">
        <v>2676.41</v>
      </c>
      <c r="C4491" s="427">
        <f t="shared" si="140"/>
        <v>2004</v>
      </c>
      <c r="D4491" s="433">
        <f t="shared" si="141"/>
        <v>2676.41</v>
      </c>
    </row>
    <row r="4492" spans="1:4" ht="16.149999999999999" customHeight="1" x14ac:dyDescent="0.25">
      <c r="A4492" s="431">
        <v>38052</v>
      </c>
      <c r="B4492" s="434">
        <v>2673.29</v>
      </c>
      <c r="C4492" s="427">
        <f t="shared" si="140"/>
        <v>2004</v>
      </c>
      <c r="D4492" s="433">
        <f t="shared" si="141"/>
        <v>2673.29</v>
      </c>
    </row>
    <row r="4493" spans="1:4" ht="16.149999999999999" customHeight="1" x14ac:dyDescent="0.25">
      <c r="A4493" s="431">
        <v>38053</v>
      </c>
      <c r="B4493" s="432">
        <v>2673.29</v>
      </c>
      <c r="C4493" s="427">
        <f t="shared" si="140"/>
        <v>2004</v>
      </c>
      <c r="D4493" s="433">
        <f t="shared" si="141"/>
        <v>2673.29</v>
      </c>
    </row>
    <row r="4494" spans="1:4" ht="16.149999999999999" customHeight="1" x14ac:dyDescent="0.25">
      <c r="A4494" s="431">
        <v>38054</v>
      </c>
      <c r="B4494" s="434">
        <v>2673.29</v>
      </c>
      <c r="C4494" s="427">
        <f t="shared" si="140"/>
        <v>2004</v>
      </c>
      <c r="D4494" s="433">
        <f t="shared" si="141"/>
        <v>2673.29</v>
      </c>
    </row>
    <row r="4495" spans="1:4" ht="16.149999999999999" customHeight="1" x14ac:dyDescent="0.25">
      <c r="A4495" s="431">
        <v>38055</v>
      </c>
      <c r="B4495" s="432">
        <v>2675.65</v>
      </c>
      <c r="C4495" s="427">
        <f t="shared" si="140"/>
        <v>2004</v>
      </c>
      <c r="D4495" s="433">
        <f t="shared" si="141"/>
        <v>2675.65</v>
      </c>
    </row>
    <row r="4496" spans="1:4" ht="16.149999999999999" customHeight="1" x14ac:dyDescent="0.25">
      <c r="A4496" s="431">
        <v>38056</v>
      </c>
      <c r="B4496" s="434">
        <v>2679.22</v>
      </c>
      <c r="C4496" s="427">
        <f t="shared" si="140"/>
        <v>2004</v>
      </c>
      <c r="D4496" s="433">
        <f t="shared" si="141"/>
        <v>2679.22</v>
      </c>
    </row>
    <row r="4497" spans="1:4" ht="16.149999999999999" customHeight="1" x14ac:dyDescent="0.25">
      <c r="A4497" s="431">
        <v>38057</v>
      </c>
      <c r="B4497" s="432">
        <v>2685.17</v>
      </c>
      <c r="C4497" s="427">
        <f t="shared" si="140"/>
        <v>2004</v>
      </c>
      <c r="D4497" s="433">
        <f t="shared" si="141"/>
        <v>2685.17</v>
      </c>
    </row>
    <row r="4498" spans="1:4" ht="16.149999999999999" customHeight="1" x14ac:dyDescent="0.25">
      <c r="A4498" s="431">
        <v>38058</v>
      </c>
      <c r="B4498" s="434">
        <v>2683.08</v>
      </c>
      <c r="C4498" s="427">
        <f t="shared" si="140"/>
        <v>2004</v>
      </c>
      <c r="D4498" s="433">
        <f t="shared" si="141"/>
        <v>2683.08</v>
      </c>
    </row>
    <row r="4499" spans="1:4" ht="16.149999999999999" customHeight="1" x14ac:dyDescent="0.25">
      <c r="A4499" s="431">
        <v>38059</v>
      </c>
      <c r="B4499" s="432">
        <v>2669.48</v>
      </c>
      <c r="C4499" s="427">
        <f t="shared" si="140"/>
        <v>2004</v>
      </c>
      <c r="D4499" s="433">
        <f t="shared" si="141"/>
        <v>2669.48</v>
      </c>
    </row>
    <row r="4500" spans="1:4" ht="16.149999999999999" customHeight="1" x14ac:dyDescent="0.25">
      <c r="A4500" s="431">
        <v>38060</v>
      </c>
      <c r="B4500" s="434">
        <v>2669.48</v>
      </c>
      <c r="C4500" s="427">
        <f t="shared" si="140"/>
        <v>2004</v>
      </c>
      <c r="D4500" s="433">
        <f t="shared" si="141"/>
        <v>2669.48</v>
      </c>
    </row>
    <row r="4501" spans="1:4" ht="16.149999999999999" customHeight="1" x14ac:dyDescent="0.25">
      <c r="A4501" s="431">
        <v>38061</v>
      </c>
      <c r="B4501" s="432">
        <v>2669.48</v>
      </c>
      <c r="C4501" s="427">
        <f t="shared" si="140"/>
        <v>2004</v>
      </c>
      <c r="D4501" s="433">
        <f t="shared" si="141"/>
        <v>2669.48</v>
      </c>
    </row>
    <row r="4502" spans="1:4" ht="16.149999999999999" customHeight="1" x14ac:dyDescent="0.25">
      <c r="A4502" s="431">
        <v>38062</v>
      </c>
      <c r="B4502" s="434">
        <v>2661.45</v>
      </c>
      <c r="C4502" s="427">
        <f t="shared" si="140"/>
        <v>2004</v>
      </c>
      <c r="D4502" s="433">
        <f t="shared" si="141"/>
        <v>2661.45</v>
      </c>
    </row>
    <row r="4503" spans="1:4" ht="16.149999999999999" customHeight="1" x14ac:dyDescent="0.25">
      <c r="A4503" s="431">
        <v>38063</v>
      </c>
      <c r="B4503" s="432">
        <v>2648.97</v>
      </c>
      <c r="C4503" s="427">
        <f t="shared" si="140"/>
        <v>2004</v>
      </c>
      <c r="D4503" s="433">
        <f t="shared" si="141"/>
        <v>2648.97</v>
      </c>
    </row>
    <row r="4504" spans="1:4" ht="16.149999999999999" customHeight="1" x14ac:dyDescent="0.25">
      <c r="A4504" s="431">
        <v>38064</v>
      </c>
      <c r="B4504" s="434">
        <v>2650.21</v>
      </c>
      <c r="C4504" s="427">
        <f t="shared" si="140"/>
        <v>2004</v>
      </c>
      <c r="D4504" s="433">
        <f t="shared" si="141"/>
        <v>2650.21</v>
      </c>
    </row>
    <row r="4505" spans="1:4" ht="16.149999999999999" customHeight="1" x14ac:dyDescent="0.25">
      <c r="A4505" s="431">
        <v>38065</v>
      </c>
      <c r="B4505" s="432">
        <v>2669.07</v>
      </c>
      <c r="C4505" s="427">
        <f t="shared" si="140"/>
        <v>2004</v>
      </c>
      <c r="D4505" s="433">
        <f t="shared" si="141"/>
        <v>2669.07</v>
      </c>
    </row>
    <row r="4506" spans="1:4" ht="16.149999999999999" customHeight="1" x14ac:dyDescent="0.25">
      <c r="A4506" s="431">
        <v>38066</v>
      </c>
      <c r="B4506" s="434">
        <v>2669.39</v>
      </c>
      <c r="C4506" s="427">
        <f t="shared" si="140"/>
        <v>2004</v>
      </c>
      <c r="D4506" s="433">
        <f t="shared" si="141"/>
        <v>2669.39</v>
      </c>
    </row>
    <row r="4507" spans="1:4" ht="16.149999999999999" customHeight="1" x14ac:dyDescent="0.25">
      <c r="A4507" s="431">
        <v>38067</v>
      </c>
      <c r="B4507" s="432">
        <v>2669.39</v>
      </c>
      <c r="C4507" s="427">
        <f t="shared" si="140"/>
        <v>2004</v>
      </c>
      <c r="D4507" s="433">
        <f t="shared" si="141"/>
        <v>2669.39</v>
      </c>
    </row>
    <row r="4508" spans="1:4" ht="16.149999999999999" customHeight="1" x14ac:dyDescent="0.25">
      <c r="A4508" s="431">
        <v>38068</v>
      </c>
      <c r="B4508" s="434">
        <v>2669.39</v>
      </c>
      <c r="C4508" s="427">
        <f t="shared" si="140"/>
        <v>2004</v>
      </c>
      <c r="D4508" s="433">
        <f t="shared" si="141"/>
        <v>2669.39</v>
      </c>
    </row>
    <row r="4509" spans="1:4" ht="16.149999999999999" customHeight="1" x14ac:dyDescent="0.25">
      <c r="A4509" s="431">
        <v>38069</v>
      </c>
      <c r="B4509" s="432">
        <v>2669.39</v>
      </c>
      <c r="C4509" s="427">
        <f t="shared" si="140"/>
        <v>2004</v>
      </c>
      <c r="D4509" s="433">
        <f t="shared" si="141"/>
        <v>2669.39</v>
      </c>
    </row>
    <row r="4510" spans="1:4" ht="16.149999999999999" customHeight="1" x14ac:dyDescent="0.25">
      <c r="A4510" s="431">
        <v>38070</v>
      </c>
      <c r="B4510" s="434">
        <v>2664.5</v>
      </c>
      <c r="C4510" s="427">
        <f t="shared" si="140"/>
        <v>2004</v>
      </c>
      <c r="D4510" s="433">
        <f t="shared" si="141"/>
        <v>2664.5</v>
      </c>
    </row>
    <row r="4511" spans="1:4" ht="16.149999999999999" customHeight="1" x14ac:dyDescent="0.25">
      <c r="A4511" s="431">
        <v>38071</v>
      </c>
      <c r="B4511" s="432">
        <v>2667.05</v>
      </c>
      <c r="C4511" s="427">
        <f t="shared" si="140"/>
        <v>2004</v>
      </c>
      <c r="D4511" s="433">
        <f t="shared" si="141"/>
        <v>2667.05</v>
      </c>
    </row>
    <row r="4512" spans="1:4" ht="16.149999999999999" customHeight="1" x14ac:dyDescent="0.25">
      <c r="A4512" s="431">
        <v>38072</v>
      </c>
      <c r="B4512" s="434">
        <v>2679.33</v>
      </c>
      <c r="C4512" s="427">
        <f t="shared" si="140"/>
        <v>2004</v>
      </c>
      <c r="D4512" s="433">
        <f t="shared" si="141"/>
        <v>2679.33</v>
      </c>
    </row>
    <row r="4513" spans="1:4" ht="16.149999999999999" customHeight="1" x14ac:dyDescent="0.25">
      <c r="A4513" s="431">
        <v>38073</v>
      </c>
      <c r="B4513" s="432">
        <v>2673.68</v>
      </c>
      <c r="C4513" s="427">
        <f t="shared" si="140"/>
        <v>2004</v>
      </c>
      <c r="D4513" s="433">
        <f t="shared" si="141"/>
        <v>2673.68</v>
      </c>
    </row>
    <row r="4514" spans="1:4" ht="16.149999999999999" customHeight="1" x14ac:dyDescent="0.25">
      <c r="A4514" s="431">
        <v>38074</v>
      </c>
      <c r="B4514" s="434">
        <v>2673.68</v>
      </c>
      <c r="C4514" s="427">
        <f t="shared" si="140"/>
        <v>2004</v>
      </c>
      <c r="D4514" s="433">
        <f t="shared" si="141"/>
        <v>2673.68</v>
      </c>
    </row>
    <row r="4515" spans="1:4" ht="16.149999999999999" customHeight="1" x14ac:dyDescent="0.25">
      <c r="A4515" s="431">
        <v>38075</v>
      </c>
      <c r="B4515" s="432">
        <v>2673.68</v>
      </c>
      <c r="C4515" s="427">
        <f t="shared" si="140"/>
        <v>2004</v>
      </c>
      <c r="D4515" s="433">
        <f t="shared" si="141"/>
        <v>2673.68</v>
      </c>
    </row>
    <row r="4516" spans="1:4" ht="16.149999999999999" customHeight="1" x14ac:dyDescent="0.25">
      <c r="A4516" s="431">
        <v>38076</v>
      </c>
      <c r="B4516" s="434">
        <v>2676.93</v>
      </c>
      <c r="C4516" s="427">
        <f t="shared" si="140"/>
        <v>2004</v>
      </c>
      <c r="D4516" s="433">
        <f t="shared" si="141"/>
        <v>2676.93</v>
      </c>
    </row>
    <row r="4517" spans="1:4" ht="16.149999999999999" customHeight="1" x14ac:dyDescent="0.25">
      <c r="A4517" s="431">
        <v>38077</v>
      </c>
      <c r="B4517" s="432">
        <v>2678.16</v>
      </c>
      <c r="C4517" s="427">
        <f t="shared" si="140"/>
        <v>2004</v>
      </c>
      <c r="D4517" s="433">
        <f t="shared" si="141"/>
        <v>2678.16</v>
      </c>
    </row>
    <row r="4518" spans="1:4" ht="16.149999999999999" customHeight="1" x14ac:dyDescent="0.25">
      <c r="A4518" s="431">
        <v>38078</v>
      </c>
      <c r="B4518" s="434">
        <v>2682.09</v>
      </c>
      <c r="C4518" s="427">
        <f t="shared" si="140"/>
        <v>2004</v>
      </c>
      <c r="D4518" s="433">
        <f t="shared" si="141"/>
        <v>2682.09</v>
      </c>
    </row>
    <row r="4519" spans="1:4" ht="16.149999999999999" customHeight="1" x14ac:dyDescent="0.25">
      <c r="A4519" s="431">
        <v>38079</v>
      </c>
      <c r="B4519" s="432">
        <v>2671.01</v>
      </c>
      <c r="C4519" s="427">
        <f t="shared" si="140"/>
        <v>2004</v>
      </c>
      <c r="D4519" s="433">
        <f t="shared" si="141"/>
        <v>2671.01</v>
      </c>
    </row>
    <row r="4520" spans="1:4" ht="16.149999999999999" customHeight="1" x14ac:dyDescent="0.25">
      <c r="A4520" s="431">
        <v>38080</v>
      </c>
      <c r="B4520" s="434">
        <v>2666.55</v>
      </c>
      <c r="C4520" s="427">
        <f t="shared" si="140"/>
        <v>2004</v>
      </c>
      <c r="D4520" s="433">
        <f t="shared" si="141"/>
        <v>2666.55</v>
      </c>
    </row>
    <row r="4521" spans="1:4" ht="16.149999999999999" customHeight="1" x14ac:dyDescent="0.25">
      <c r="A4521" s="431">
        <v>38081</v>
      </c>
      <c r="B4521" s="432">
        <v>2666.55</v>
      </c>
      <c r="C4521" s="427">
        <f t="shared" si="140"/>
        <v>2004</v>
      </c>
      <c r="D4521" s="433">
        <f t="shared" si="141"/>
        <v>2666.55</v>
      </c>
    </row>
    <row r="4522" spans="1:4" ht="16.149999999999999" customHeight="1" x14ac:dyDescent="0.25">
      <c r="A4522" s="431">
        <v>38082</v>
      </c>
      <c r="B4522" s="434">
        <v>2666.55</v>
      </c>
      <c r="C4522" s="427">
        <f t="shared" si="140"/>
        <v>2004</v>
      </c>
      <c r="D4522" s="433">
        <f t="shared" si="141"/>
        <v>2666.55</v>
      </c>
    </row>
    <row r="4523" spans="1:4" ht="16.149999999999999" customHeight="1" x14ac:dyDescent="0.25">
      <c r="A4523" s="431">
        <v>38083</v>
      </c>
      <c r="B4523" s="432">
        <v>2667.06</v>
      </c>
      <c r="C4523" s="427">
        <f t="shared" si="140"/>
        <v>2004</v>
      </c>
      <c r="D4523" s="433">
        <f t="shared" si="141"/>
        <v>2667.06</v>
      </c>
    </row>
    <row r="4524" spans="1:4" ht="16.149999999999999" customHeight="1" x14ac:dyDescent="0.25">
      <c r="A4524" s="431">
        <v>38084</v>
      </c>
      <c r="B4524" s="434">
        <v>2663.05</v>
      </c>
      <c r="C4524" s="427">
        <f t="shared" si="140"/>
        <v>2004</v>
      </c>
      <c r="D4524" s="433">
        <f t="shared" si="141"/>
        <v>2663.05</v>
      </c>
    </row>
    <row r="4525" spans="1:4" ht="16.149999999999999" customHeight="1" x14ac:dyDescent="0.25">
      <c r="A4525" s="431">
        <v>38085</v>
      </c>
      <c r="B4525" s="432">
        <v>2659.05</v>
      </c>
      <c r="C4525" s="427">
        <f t="shared" si="140"/>
        <v>2004</v>
      </c>
      <c r="D4525" s="433">
        <f t="shared" si="141"/>
        <v>2659.05</v>
      </c>
    </row>
    <row r="4526" spans="1:4" ht="16.149999999999999" customHeight="1" x14ac:dyDescent="0.25">
      <c r="A4526" s="431">
        <v>38086</v>
      </c>
      <c r="B4526" s="434">
        <v>2659.05</v>
      </c>
      <c r="C4526" s="427">
        <f t="shared" si="140"/>
        <v>2004</v>
      </c>
      <c r="D4526" s="433">
        <f t="shared" si="141"/>
        <v>2659.05</v>
      </c>
    </row>
    <row r="4527" spans="1:4" ht="16.149999999999999" customHeight="1" x14ac:dyDescent="0.25">
      <c r="A4527" s="431">
        <v>38087</v>
      </c>
      <c r="B4527" s="432">
        <v>2659.05</v>
      </c>
      <c r="C4527" s="427">
        <f t="shared" si="140"/>
        <v>2004</v>
      </c>
      <c r="D4527" s="433">
        <f t="shared" si="141"/>
        <v>2659.05</v>
      </c>
    </row>
    <row r="4528" spans="1:4" ht="16.149999999999999" customHeight="1" x14ac:dyDescent="0.25">
      <c r="A4528" s="431">
        <v>38088</v>
      </c>
      <c r="B4528" s="434">
        <v>2659.05</v>
      </c>
      <c r="C4528" s="427">
        <f t="shared" si="140"/>
        <v>2004</v>
      </c>
      <c r="D4528" s="433">
        <f t="shared" si="141"/>
        <v>2659.05</v>
      </c>
    </row>
    <row r="4529" spans="1:4" ht="16.149999999999999" customHeight="1" x14ac:dyDescent="0.25">
      <c r="A4529" s="431">
        <v>38089</v>
      </c>
      <c r="B4529" s="432">
        <v>2659.05</v>
      </c>
      <c r="C4529" s="427">
        <f t="shared" si="140"/>
        <v>2004</v>
      </c>
      <c r="D4529" s="433">
        <f t="shared" si="141"/>
        <v>2659.05</v>
      </c>
    </row>
    <row r="4530" spans="1:4" ht="16.149999999999999" customHeight="1" x14ac:dyDescent="0.25">
      <c r="A4530" s="431">
        <v>38090</v>
      </c>
      <c r="B4530" s="434">
        <v>2648.8</v>
      </c>
      <c r="C4530" s="427">
        <f t="shared" si="140"/>
        <v>2004</v>
      </c>
      <c r="D4530" s="433">
        <f t="shared" si="141"/>
        <v>2648.8</v>
      </c>
    </row>
    <row r="4531" spans="1:4" ht="16.149999999999999" customHeight="1" x14ac:dyDescent="0.25">
      <c r="A4531" s="431">
        <v>38091</v>
      </c>
      <c r="B4531" s="432">
        <v>2642.55</v>
      </c>
      <c r="C4531" s="427">
        <f t="shared" si="140"/>
        <v>2004</v>
      </c>
      <c r="D4531" s="433">
        <f t="shared" si="141"/>
        <v>2642.55</v>
      </c>
    </row>
    <row r="4532" spans="1:4" ht="16.149999999999999" customHeight="1" x14ac:dyDescent="0.25">
      <c r="A4532" s="431">
        <v>38092</v>
      </c>
      <c r="B4532" s="434">
        <v>2631.72</v>
      </c>
      <c r="C4532" s="427">
        <f t="shared" si="140"/>
        <v>2004</v>
      </c>
      <c r="D4532" s="433">
        <f t="shared" si="141"/>
        <v>2631.72</v>
      </c>
    </row>
    <row r="4533" spans="1:4" ht="16.149999999999999" customHeight="1" x14ac:dyDescent="0.25">
      <c r="A4533" s="431">
        <v>38093</v>
      </c>
      <c r="B4533" s="432">
        <v>2619.59</v>
      </c>
      <c r="C4533" s="427">
        <f t="shared" si="140"/>
        <v>2004</v>
      </c>
      <c r="D4533" s="433">
        <f t="shared" si="141"/>
        <v>2619.59</v>
      </c>
    </row>
    <row r="4534" spans="1:4" ht="16.149999999999999" customHeight="1" x14ac:dyDescent="0.25">
      <c r="A4534" s="431">
        <v>38094</v>
      </c>
      <c r="B4534" s="434">
        <v>2620.19</v>
      </c>
      <c r="C4534" s="427">
        <f t="shared" si="140"/>
        <v>2004</v>
      </c>
      <c r="D4534" s="433">
        <f t="shared" si="141"/>
        <v>2620.19</v>
      </c>
    </row>
    <row r="4535" spans="1:4" ht="16.149999999999999" customHeight="1" x14ac:dyDescent="0.25">
      <c r="A4535" s="431">
        <v>38095</v>
      </c>
      <c r="B4535" s="432">
        <v>2620.19</v>
      </c>
      <c r="C4535" s="427">
        <f t="shared" si="140"/>
        <v>2004</v>
      </c>
      <c r="D4535" s="433">
        <f t="shared" si="141"/>
        <v>2620.19</v>
      </c>
    </row>
    <row r="4536" spans="1:4" ht="16.149999999999999" customHeight="1" x14ac:dyDescent="0.25">
      <c r="A4536" s="431">
        <v>38096</v>
      </c>
      <c r="B4536" s="434">
        <v>2620.19</v>
      </c>
      <c r="C4536" s="427">
        <f t="shared" si="140"/>
        <v>2004</v>
      </c>
      <c r="D4536" s="433">
        <f t="shared" si="141"/>
        <v>2620.19</v>
      </c>
    </row>
    <row r="4537" spans="1:4" ht="16.149999999999999" customHeight="1" x14ac:dyDescent="0.25">
      <c r="A4537" s="431">
        <v>38097</v>
      </c>
      <c r="B4537" s="432">
        <v>2612.3000000000002</v>
      </c>
      <c r="C4537" s="427">
        <f t="shared" si="140"/>
        <v>2004</v>
      </c>
      <c r="D4537" s="433">
        <f t="shared" si="141"/>
        <v>2612.3000000000002</v>
      </c>
    </row>
    <row r="4538" spans="1:4" ht="16.149999999999999" customHeight="1" x14ac:dyDescent="0.25">
      <c r="A4538" s="431">
        <v>38098</v>
      </c>
      <c r="B4538" s="434">
        <v>2620.94</v>
      </c>
      <c r="C4538" s="427">
        <f t="shared" si="140"/>
        <v>2004</v>
      </c>
      <c r="D4538" s="433">
        <f t="shared" si="141"/>
        <v>2620.94</v>
      </c>
    </row>
    <row r="4539" spans="1:4" ht="16.149999999999999" customHeight="1" x14ac:dyDescent="0.25">
      <c r="A4539" s="431">
        <v>38099</v>
      </c>
      <c r="B4539" s="432">
        <v>2628.19</v>
      </c>
      <c r="C4539" s="427">
        <f t="shared" si="140"/>
        <v>2004</v>
      </c>
      <c r="D4539" s="433">
        <f t="shared" si="141"/>
        <v>2628.19</v>
      </c>
    </row>
    <row r="4540" spans="1:4" ht="16.149999999999999" customHeight="1" x14ac:dyDescent="0.25">
      <c r="A4540" s="431">
        <v>38100</v>
      </c>
      <c r="B4540" s="434">
        <v>2618.21</v>
      </c>
      <c r="C4540" s="427">
        <f t="shared" si="140"/>
        <v>2004</v>
      </c>
      <c r="D4540" s="433">
        <f t="shared" si="141"/>
        <v>2618.21</v>
      </c>
    </row>
    <row r="4541" spans="1:4" ht="16.149999999999999" customHeight="1" x14ac:dyDescent="0.25">
      <c r="A4541" s="431">
        <v>38101</v>
      </c>
      <c r="B4541" s="432">
        <v>2622.74</v>
      </c>
      <c r="C4541" s="427">
        <f t="shared" si="140"/>
        <v>2004</v>
      </c>
      <c r="D4541" s="433">
        <f t="shared" si="141"/>
        <v>2622.74</v>
      </c>
    </row>
    <row r="4542" spans="1:4" ht="16.149999999999999" customHeight="1" x14ac:dyDescent="0.25">
      <c r="A4542" s="431">
        <v>38102</v>
      </c>
      <c r="B4542" s="434">
        <v>2622.74</v>
      </c>
      <c r="C4542" s="427">
        <f t="shared" si="140"/>
        <v>2004</v>
      </c>
      <c r="D4542" s="433">
        <f t="shared" si="141"/>
        <v>2622.74</v>
      </c>
    </row>
    <row r="4543" spans="1:4" ht="16.149999999999999" customHeight="1" x14ac:dyDescent="0.25">
      <c r="A4543" s="431">
        <v>38103</v>
      </c>
      <c r="B4543" s="432">
        <v>2622.74</v>
      </c>
      <c r="C4543" s="427">
        <f t="shared" si="140"/>
        <v>2004</v>
      </c>
      <c r="D4543" s="433">
        <f t="shared" si="141"/>
        <v>2622.74</v>
      </c>
    </row>
    <row r="4544" spans="1:4" ht="16.149999999999999" customHeight="1" x14ac:dyDescent="0.25">
      <c r="A4544" s="431">
        <v>38104</v>
      </c>
      <c r="B4544" s="434">
        <v>2613.94</v>
      </c>
      <c r="C4544" s="427">
        <f t="shared" si="140"/>
        <v>2004</v>
      </c>
      <c r="D4544" s="433">
        <f t="shared" si="141"/>
        <v>2613.94</v>
      </c>
    </row>
    <row r="4545" spans="1:4" ht="16.149999999999999" customHeight="1" x14ac:dyDescent="0.25">
      <c r="A4545" s="431">
        <v>38105</v>
      </c>
      <c r="B4545" s="432">
        <v>2620.9699999999998</v>
      </c>
      <c r="C4545" s="427">
        <f t="shared" si="140"/>
        <v>2004</v>
      </c>
      <c r="D4545" s="433">
        <f t="shared" si="141"/>
        <v>2620.9699999999998</v>
      </c>
    </row>
    <row r="4546" spans="1:4" ht="16.149999999999999" customHeight="1" x14ac:dyDescent="0.25">
      <c r="A4546" s="431">
        <v>38106</v>
      </c>
      <c r="B4546" s="434">
        <v>2635.96</v>
      </c>
      <c r="C4546" s="427">
        <f t="shared" si="140"/>
        <v>2004</v>
      </c>
      <c r="D4546" s="433">
        <f t="shared" si="141"/>
        <v>2635.96</v>
      </c>
    </row>
    <row r="4547" spans="1:4" ht="16.149999999999999" customHeight="1" x14ac:dyDescent="0.25">
      <c r="A4547" s="431">
        <v>38107</v>
      </c>
      <c r="B4547" s="432">
        <v>2646.99</v>
      </c>
      <c r="C4547" s="427">
        <f t="shared" si="140"/>
        <v>2004</v>
      </c>
      <c r="D4547" s="433">
        <f t="shared" si="141"/>
        <v>2646.99</v>
      </c>
    </row>
    <row r="4548" spans="1:4" ht="16.149999999999999" customHeight="1" x14ac:dyDescent="0.25">
      <c r="A4548" s="431">
        <v>38108</v>
      </c>
      <c r="B4548" s="434">
        <v>2655.18</v>
      </c>
      <c r="C4548" s="427">
        <f t="shared" si="140"/>
        <v>2004</v>
      </c>
      <c r="D4548" s="433">
        <f t="shared" si="141"/>
        <v>2655.18</v>
      </c>
    </row>
    <row r="4549" spans="1:4" ht="16.149999999999999" customHeight="1" x14ac:dyDescent="0.25">
      <c r="A4549" s="431">
        <v>38109</v>
      </c>
      <c r="B4549" s="432">
        <v>2655.18</v>
      </c>
      <c r="C4549" s="427">
        <f t="shared" si="140"/>
        <v>2004</v>
      </c>
      <c r="D4549" s="433">
        <f t="shared" si="141"/>
        <v>2655.18</v>
      </c>
    </row>
    <row r="4550" spans="1:4" ht="16.149999999999999" customHeight="1" x14ac:dyDescent="0.25">
      <c r="A4550" s="431">
        <v>38110</v>
      </c>
      <c r="B4550" s="434">
        <v>2655.18</v>
      </c>
      <c r="C4550" s="427">
        <f t="shared" si="140"/>
        <v>2004</v>
      </c>
      <c r="D4550" s="433">
        <f t="shared" si="141"/>
        <v>2655.18</v>
      </c>
    </row>
    <row r="4551" spans="1:4" ht="16.149999999999999" customHeight="1" x14ac:dyDescent="0.25">
      <c r="A4551" s="431">
        <v>38111</v>
      </c>
      <c r="B4551" s="432">
        <v>2670.92</v>
      </c>
      <c r="C4551" s="427">
        <f t="shared" si="140"/>
        <v>2004</v>
      </c>
      <c r="D4551" s="433">
        <f t="shared" si="141"/>
        <v>2670.92</v>
      </c>
    </row>
    <row r="4552" spans="1:4" ht="16.149999999999999" customHeight="1" x14ac:dyDescent="0.25">
      <c r="A4552" s="431">
        <v>38112</v>
      </c>
      <c r="B4552" s="434">
        <v>2664.79</v>
      </c>
      <c r="C4552" s="427">
        <f t="shared" si="140"/>
        <v>2004</v>
      </c>
      <c r="D4552" s="433">
        <f t="shared" si="141"/>
        <v>2664.79</v>
      </c>
    </row>
    <row r="4553" spans="1:4" ht="16.149999999999999" customHeight="1" x14ac:dyDescent="0.25">
      <c r="A4553" s="431">
        <v>38113</v>
      </c>
      <c r="B4553" s="432">
        <v>2658.43</v>
      </c>
      <c r="C4553" s="427">
        <f t="shared" si="140"/>
        <v>2004</v>
      </c>
      <c r="D4553" s="433">
        <f t="shared" si="141"/>
        <v>2658.43</v>
      </c>
    </row>
    <row r="4554" spans="1:4" ht="16.149999999999999" customHeight="1" x14ac:dyDescent="0.25">
      <c r="A4554" s="431">
        <v>38114</v>
      </c>
      <c r="B4554" s="434">
        <v>2690.68</v>
      </c>
      <c r="C4554" s="427">
        <f t="shared" ref="C4554:C4617" si="142">YEAR(A4554)</f>
        <v>2004</v>
      </c>
      <c r="D4554" s="433">
        <f t="shared" ref="D4554:D4617" si="143">B4554</f>
        <v>2690.68</v>
      </c>
    </row>
    <row r="4555" spans="1:4" ht="16.149999999999999" customHeight="1" x14ac:dyDescent="0.25">
      <c r="A4555" s="431">
        <v>38115</v>
      </c>
      <c r="B4555" s="432">
        <v>2708.02</v>
      </c>
      <c r="C4555" s="427">
        <f t="shared" si="142"/>
        <v>2004</v>
      </c>
      <c r="D4555" s="433">
        <f t="shared" si="143"/>
        <v>2708.02</v>
      </c>
    </row>
    <row r="4556" spans="1:4" ht="16.149999999999999" customHeight="1" x14ac:dyDescent="0.25">
      <c r="A4556" s="431">
        <v>38116</v>
      </c>
      <c r="B4556" s="434">
        <v>2708.02</v>
      </c>
      <c r="C4556" s="427">
        <f t="shared" si="142"/>
        <v>2004</v>
      </c>
      <c r="D4556" s="433">
        <f t="shared" si="143"/>
        <v>2708.02</v>
      </c>
    </row>
    <row r="4557" spans="1:4" ht="16.149999999999999" customHeight="1" x14ac:dyDescent="0.25">
      <c r="A4557" s="431">
        <v>38117</v>
      </c>
      <c r="B4557" s="432">
        <v>2708.02</v>
      </c>
      <c r="C4557" s="427">
        <f t="shared" si="142"/>
        <v>2004</v>
      </c>
      <c r="D4557" s="433">
        <f t="shared" si="143"/>
        <v>2708.02</v>
      </c>
    </row>
    <row r="4558" spans="1:4" ht="16.149999999999999" customHeight="1" x14ac:dyDescent="0.25">
      <c r="A4558" s="431">
        <v>38118</v>
      </c>
      <c r="B4558" s="434">
        <v>2731.79</v>
      </c>
      <c r="C4558" s="427">
        <f t="shared" si="142"/>
        <v>2004</v>
      </c>
      <c r="D4558" s="433">
        <f t="shared" si="143"/>
        <v>2731.79</v>
      </c>
    </row>
    <row r="4559" spans="1:4" ht="16.149999999999999" customHeight="1" x14ac:dyDescent="0.25">
      <c r="A4559" s="431">
        <v>38119</v>
      </c>
      <c r="B4559" s="432">
        <v>2729.54</v>
      </c>
      <c r="C4559" s="427">
        <f t="shared" si="142"/>
        <v>2004</v>
      </c>
      <c r="D4559" s="433">
        <f t="shared" si="143"/>
        <v>2729.54</v>
      </c>
    </row>
    <row r="4560" spans="1:4" ht="16.149999999999999" customHeight="1" x14ac:dyDescent="0.25">
      <c r="A4560" s="431">
        <v>38120</v>
      </c>
      <c r="B4560" s="434">
        <v>2729.01</v>
      </c>
      <c r="C4560" s="427">
        <f t="shared" si="142"/>
        <v>2004</v>
      </c>
      <c r="D4560" s="433">
        <f t="shared" si="143"/>
        <v>2729.01</v>
      </c>
    </row>
    <row r="4561" spans="1:4" ht="16.149999999999999" customHeight="1" x14ac:dyDescent="0.25">
      <c r="A4561" s="431">
        <v>38121</v>
      </c>
      <c r="B4561" s="432">
        <v>2741.66</v>
      </c>
      <c r="C4561" s="427">
        <f t="shared" si="142"/>
        <v>2004</v>
      </c>
      <c r="D4561" s="433">
        <f t="shared" si="143"/>
        <v>2741.66</v>
      </c>
    </row>
    <row r="4562" spans="1:4" ht="16.149999999999999" customHeight="1" x14ac:dyDescent="0.25">
      <c r="A4562" s="431">
        <v>38122</v>
      </c>
      <c r="B4562" s="434">
        <v>2719.89</v>
      </c>
      <c r="C4562" s="427">
        <f t="shared" si="142"/>
        <v>2004</v>
      </c>
      <c r="D4562" s="433">
        <f t="shared" si="143"/>
        <v>2719.89</v>
      </c>
    </row>
    <row r="4563" spans="1:4" ht="16.149999999999999" customHeight="1" x14ac:dyDescent="0.25">
      <c r="A4563" s="431">
        <v>38123</v>
      </c>
      <c r="B4563" s="432">
        <v>2719.89</v>
      </c>
      <c r="C4563" s="427">
        <f t="shared" si="142"/>
        <v>2004</v>
      </c>
      <c r="D4563" s="433">
        <f t="shared" si="143"/>
        <v>2719.89</v>
      </c>
    </row>
    <row r="4564" spans="1:4" ht="16.149999999999999" customHeight="1" x14ac:dyDescent="0.25">
      <c r="A4564" s="431">
        <v>38124</v>
      </c>
      <c r="B4564" s="434">
        <v>2719.89</v>
      </c>
      <c r="C4564" s="427">
        <f t="shared" si="142"/>
        <v>2004</v>
      </c>
      <c r="D4564" s="433">
        <f t="shared" si="143"/>
        <v>2719.89</v>
      </c>
    </row>
    <row r="4565" spans="1:4" ht="16.149999999999999" customHeight="1" x14ac:dyDescent="0.25">
      <c r="A4565" s="431">
        <v>38125</v>
      </c>
      <c r="B4565" s="432">
        <v>2713.3</v>
      </c>
      <c r="C4565" s="427">
        <f t="shared" si="142"/>
        <v>2004</v>
      </c>
      <c r="D4565" s="433">
        <f t="shared" si="143"/>
        <v>2713.3</v>
      </c>
    </row>
    <row r="4566" spans="1:4" ht="16.149999999999999" customHeight="1" x14ac:dyDescent="0.25">
      <c r="A4566" s="431">
        <v>38126</v>
      </c>
      <c r="B4566" s="434">
        <v>2725.45</v>
      </c>
      <c r="C4566" s="427">
        <f t="shared" si="142"/>
        <v>2004</v>
      </c>
      <c r="D4566" s="433">
        <f t="shared" si="143"/>
        <v>2725.45</v>
      </c>
    </row>
    <row r="4567" spans="1:4" ht="16.149999999999999" customHeight="1" x14ac:dyDescent="0.25">
      <c r="A4567" s="431">
        <v>38127</v>
      </c>
      <c r="B4567" s="432">
        <v>2737.55</v>
      </c>
      <c r="C4567" s="427">
        <f t="shared" si="142"/>
        <v>2004</v>
      </c>
      <c r="D4567" s="433">
        <f t="shared" si="143"/>
        <v>2737.55</v>
      </c>
    </row>
    <row r="4568" spans="1:4" ht="16.149999999999999" customHeight="1" x14ac:dyDescent="0.25">
      <c r="A4568" s="431">
        <v>38128</v>
      </c>
      <c r="B4568" s="434">
        <v>2759.79</v>
      </c>
      <c r="C4568" s="427">
        <f t="shared" si="142"/>
        <v>2004</v>
      </c>
      <c r="D4568" s="433">
        <f t="shared" si="143"/>
        <v>2759.79</v>
      </c>
    </row>
    <row r="4569" spans="1:4" ht="16.149999999999999" customHeight="1" x14ac:dyDescent="0.25">
      <c r="A4569" s="431">
        <v>38129</v>
      </c>
      <c r="B4569" s="432">
        <v>2766.83</v>
      </c>
      <c r="C4569" s="427">
        <f t="shared" si="142"/>
        <v>2004</v>
      </c>
      <c r="D4569" s="433">
        <f t="shared" si="143"/>
        <v>2766.83</v>
      </c>
    </row>
    <row r="4570" spans="1:4" ht="16.149999999999999" customHeight="1" x14ac:dyDescent="0.25">
      <c r="A4570" s="431">
        <v>38130</v>
      </c>
      <c r="B4570" s="434">
        <v>2766.83</v>
      </c>
      <c r="C4570" s="427">
        <f t="shared" si="142"/>
        <v>2004</v>
      </c>
      <c r="D4570" s="433">
        <f t="shared" si="143"/>
        <v>2766.83</v>
      </c>
    </row>
    <row r="4571" spans="1:4" ht="16.149999999999999" customHeight="1" x14ac:dyDescent="0.25">
      <c r="A4571" s="431">
        <v>38131</v>
      </c>
      <c r="B4571" s="432">
        <v>2766.83</v>
      </c>
      <c r="C4571" s="427">
        <f t="shared" si="142"/>
        <v>2004</v>
      </c>
      <c r="D4571" s="433">
        <f t="shared" si="143"/>
        <v>2766.83</v>
      </c>
    </row>
    <row r="4572" spans="1:4" ht="16.149999999999999" customHeight="1" x14ac:dyDescent="0.25">
      <c r="A4572" s="431">
        <v>38132</v>
      </c>
      <c r="B4572" s="434">
        <v>2766.83</v>
      </c>
      <c r="C4572" s="427">
        <f t="shared" si="142"/>
        <v>2004</v>
      </c>
      <c r="D4572" s="433">
        <f t="shared" si="143"/>
        <v>2766.83</v>
      </c>
    </row>
    <row r="4573" spans="1:4" ht="16.149999999999999" customHeight="1" x14ac:dyDescent="0.25">
      <c r="A4573" s="431">
        <v>38133</v>
      </c>
      <c r="B4573" s="432">
        <v>2760.06</v>
      </c>
      <c r="C4573" s="427">
        <f t="shared" si="142"/>
        <v>2004</v>
      </c>
      <c r="D4573" s="433">
        <f t="shared" si="143"/>
        <v>2760.06</v>
      </c>
    </row>
    <row r="4574" spans="1:4" ht="16.149999999999999" customHeight="1" x14ac:dyDescent="0.25">
      <c r="A4574" s="431">
        <v>38134</v>
      </c>
      <c r="B4574" s="434">
        <v>2754.83</v>
      </c>
      <c r="C4574" s="427">
        <f t="shared" si="142"/>
        <v>2004</v>
      </c>
      <c r="D4574" s="433">
        <f t="shared" si="143"/>
        <v>2754.83</v>
      </c>
    </row>
    <row r="4575" spans="1:4" ht="16.149999999999999" customHeight="1" x14ac:dyDescent="0.25">
      <c r="A4575" s="431">
        <v>38135</v>
      </c>
      <c r="B4575" s="432">
        <v>2745.91</v>
      </c>
      <c r="C4575" s="427">
        <f t="shared" si="142"/>
        <v>2004</v>
      </c>
      <c r="D4575" s="433">
        <f t="shared" si="143"/>
        <v>2745.91</v>
      </c>
    </row>
    <row r="4576" spans="1:4" ht="16.149999999999999" customHeight="1" x14ac:dyDescent="0.25">
      <c r="A4576" s="431">
        <v>38136</v>
      </c>
      <c r="B4576" s="434">
        <v>2724.92</v>
      </c>
      <c r="C4576" s="427">
        <f t="shared" si="142"/>
        <v>2004</v>
      </c>
      <c r="D4576" s="433">
        <f t="shared" si="143"/>
        <v>2724.92</v>
      </c>
    </row>
    <row r="4577" spans="1:4" ht="16.149999999999999" customHeight="1" x14ac:dyDescent="0.25">
      <c r="A4577" s="431">
        <v>38137</v>
      </c>
      <c r="B4577" s="432">
        <v>2724.92</v>
      </c>
      <c r="C4577" s="427">
        <f t="shared" si="142"/>
        <v>2004</v>
      </c>
      <c r="D4577" s="433">
        <f t="shared" si="143"/>
        <v>2724.92</v>
      </c>
    </row>
    <row r="4578" spans="1:4" ht="16.149999999999999" customHeight="1" x14ac:dyDescent="0.25">
      <c r="A4578" s="431">
        <v>38138</v>
      </c>
      <c r="B4578" s="434">
        <v>2724.92</v>
      </c>
      <c r="C4578" s="427">
        <f t="shared" si="142"/>
        <v>2004</v>
      </c>
      <c r="D4578" s="433">
        <f t="shared" si="143"/>
        <v>2724.92</v>
      </c>
    </row>
    <row r="4579" spans="1:4" ht="16.149999999999999" customHeight="1" x14ac:dyDescent="0.25">
      <c r="A4579" s="431">
        <v>38139</v>
      </c>
      <c r="B4579" s="432">
        <v>2724.92</v>
      </c>
      <c r="C4579" s="427">
        <f t="shared" si="142"/>
        <v>2004</v>
      </c>
      <c r="D4579" s="433">
        <f t="shared" si="143"/>
        <v>2724.92</v>
      </c>
    </row>
    <row r="4580" spans="1:4" ht="16.149999999999999" customHeight="1" x14ac:dyDescent="0.25">
      <c r="A4580" s="431">
        <v>38140</v>
      </c>
      <c r="B4580" s="434">
        <v>2736.39</v>
      </c>
      <c r="C4580" s="427">
        <f t="shared" si="142"/>
        <v>2004</v>
      </c>
      <c r="D4580" s="433">
        <f t="shared" si="143"/>
        <v>2736.39</v>
      </c>
    </row>
    <row r="4581" spans="1:4" ht="16.149999999999999" customHeight="1" x14ac:dyDescent="0.25">
      <c r="A4581" s="431">
        <v>38141</v>
      </c>
      <c r="B4581" s="432">
        <v>2727.68</v>
      </c>
      <c r="C4581" s="427">
        <f t="shared" si="142"/>
        <v>2004</v>
      </c>
      <c r="D4581" s="433">
        <f t="shared" si="143"/>
        <v>2727.68</v>
      </c>
    </row>
    <row r="4582" spans="1:4" ht="16.149999999999999" customHeight="1" x14ac:dyDescent="0.25">
      <c r="A4582" s="431">
        <v>38142</v>
      </c>
      <c r="B4582" s="434">
        <v>2722.69</v>
      </c>
      <c r="C4582" s="427">
        <f t="shared" si="142"/>
        <v>2004</v>
      </c>
      <c r="D4582" s="433">
        <f t="shared" si="143"/>
        <v>2722.69</v>
      </c>
    </row>
    <row r="4583" spans="1:4" ht="16.149999999999999" customHeight="1" x14ac:dyDescent="0.25">
      <c r="A4583" s="431">
        <v>38143</v>
      </c>
      <c r="B4583" s="432">
        <v>2715.37</v>
      </c>
      <c r="C4583" s="427">
        <f t="shared" si="142"/>
        <v>2004</v>
      </c>
      <c r="D4583" s="433">
        <f t="shared" si="143"/>
        <v>2715.37</v>
      </c>
    </row>
    <row r="4584" spans="1:4" ht="16.149999999999999" customHeight="1" x14ac:dyDescent="0.25">
      <c r="A4584" s="431">
        <v>38144</v>
      </c>
      <c r="B4584" s="434">
        <v>2715.37</v>
      </c>
      <c r="C4584" s="427">
        <f t="shared" si="142"/>
        <v>2004</v>
      </c>
      <c r="D4584" s="433">
        <f t="shared" si="143"/>
        <v>2715.37</v>
      </c>
    </row>
    <row r="4585" spans="1:4" ht="16.149999999999999" customHeight="1" x14ac:dyDescent="0.25">
      <c r="A4585" s="431">
        <v>38145</v>
      </c>
      <c r="B4585" s="432">
        <v>2715.37</v>
      </c>
      <c r="C4585" s="427">
        <f t="shared" si="142"/>
        <v>2004</v>
      </c>
      <c r="D4585" s="433">
        <f t="shared" si="143"/>
        <v>2715.37</v>
      </c>
    </row>
    <row r="4586" spans="1:4" ht="16.149999999999999" customHeight="1" x14ac:dyDescent="0.25">
      <c r="A4586" s="431">
        <v>38146</v>
      </c>
      <c r="B4586" s="434">
        <v>2707.33</v>
      </c>
      <c r="C4586" s="427">
        <f t="shared" si="142"/>
        <v>2004</v>
      </c>
      <c r="D4586" s="433">
        <f t="shared" si="143"/>
        <v>2707.33</v>
      </c>
    </row>
    <row r="4587" spans="1:4" ht="16.149999999999999" customHeight="1" x14ac:dyDescent="0.25">
      <c r="A4587" s="431">
        <v>38147</v>
      </c>
      <c r="B4587" s="432">
        <v>2705.97</v>
      </c>
      <c r="C4587" s="427">
        <f t="shared" si="142"/>
        <v>2004</v>
      </c>
      <c r="D4587" s="433">
        <f t="shared" si="143"/>
        <v>2705.97</v>
      </c>
    </row>
    <row r="4588" spans="1:4" ht="16.149999999999999" customHeight="1" x14ac:dyDescent="0.25">
      <c r="A4588" s="431">
        <v>38148</v>
      </c>
      <c r="B4588" s="434">
        <v>2719.34</v>
      </c>
      <c r="C4588" s="427">
        <f t="shared" si="142"/>
        <v>2004</v>
      </c>
      <c r="D4588" s="433">
        <f t="shared" si="143"/>
        <v>2719.34</v>
      </c>
    </row>
    <row r="4589" spans="1:4" ht="16.149999999999999" customHeight="1" x14ac:dyDescent="0.25">
      <c r="A4589" s="431">
        <v>38149</v>
      </c>
      <c r="B4589" s="432">
        <v>2732.4</v>
      </c>
      <c r="C4589" s="427">
        <f t="shared" si="142"/>
        <v>2004</v>
      </c>
      <c r="D4589" s="433">
        <f t="shared" si="143"/>
        <v>2732.4</v>
      </c>
    </row>
    <row r="4590" spans="1:4" ht="16.149999999999999" customHeight="1" x14ac:dyDescent="0.25">
      <c r="A4590" s="431">
        <v>38150</v>
      </c>
      <c r="B4590" s="434">
        <v>2734.94</v>
      </c>
      <c r="C4590" s="427">
        <f t="shared" si="142"/>
        <v>2004</v>
      </c>
      <c r="D4590" s="433">
        <f t="shared" si="143"/>
        <v>2734.94</v>
      </c>
    </row>
    <row r="4591" spans="1:4" ht="16.149999999999999" customHeight="1" x14ac:dyDescent="0.25">
      <c r="A4591" s="431">
        <v>38151</v>
      </c>
      <c r="B4591" s="432">
        <v>2734.94</v>
      </c>
      <c r="C4591" s="427">
        <f t="shared" si="142"/>
        <v>2004</v>
      </c>
      <c r="D4591" s="433">
        <f t="shared" si="143"/>
        <v>2734.94</v>
      </c>
    </row>
    <row r="4592" spans="1:4" ht="16.149999999999999" customHeight="1" x14ac:dyDescent="0.25">
      <c r="A4592" s="431">
        <v>38152</v>
      </c>
      <c r="B4592" s="434">
        <v>2734.94</v>
      </c>
      <c r="C4592" s="427">
        <f t="shared" si="142"/>
        <v>2004</v>
      </c>
      <c r="D4592" s="433">
        <f t="shared" si="143"/>
        <v>2734.94</v>
      </c>
    </row>
    <row r="4593" spans="1:4" ht="16.149999999999999" customHeight="1" x14ac:dyDescent="0.25">
      <c r="A4593" s="431">
        <v>38153</v>
      </c>
      <c r="B4593" s="432">
        <v>2734.94</v>
      </c>
      <c r="C4593" s="427">
        <f t="shared" si="142"/>
        <v>2004</v>
      </c>
      <c r="D4593" s="433">
        <f t="shared" si="143"/>
        <v>2734.94</v>
      </c>
    </row>
    <row r="4594" spans="1:4" ht="16.149999999999999" customHeight="1" x14ac:dyDescent="0.25">
      <c r="A4594" s="431">
        <v>38154</v>
      </c>
      <c r="B4594" s="434">
        <v>2735.05</v>
      </c>
      <c r="C4594" s="427">
        <f t="shared" si="142"/>
        <v>2004</v>
      </c>
      <c r="D4594" s="433">
        <f t="shared" si="143"/>
        <v>2735.05</v>
      </c>
    </row>
    <row r="4595" spans="1:4" ht="16.149999999999999" customHeight="1" x14ac:dyDescent="0.25">
      <c r="A4595" s="431">
        <v>38155</v>
      </c>
      <c r="B4595" s="432">
        <v>2725.87</v>
      </c>
      <c r="C4595" s="427">
        <f t="shared" si="142"/>
        <v>2004</v>
      </c>
      <c r="D4595" s="433">
        <f t="shared" si="143"/>
        <v>2725.87</v>
      </c>
    </row>
    <row r="4596" spans="1:4" ht="16.149999999999999" customHeight="1" x14ac:dyDescent="0.25">
      <c r="A4596" s="431">
        <v>38156</v>
      </c>
      <c r="B4596" s="434">
        <v>2713.07</v>
      </c>
      <c r="C4596" s="427">
        <f t="shared" si="142"/>
        <v>2004</v>
      </c>
      <c r="D4596" s="433">
        <f t="shared" si="143"/>
        <v>2713.07</v>
      </c>
    </row>
    <row r="4597" spans="1:4" ht="16.149999999999999" customHeight="1" x14ac:dyDescent="0.25">
      <c r="A4597" s="431">
        <v>38157</v>
      </c>
      <c r="B4597" s="432">
        <v>2710.99</v>
      </c>
      <c r="C4597" s="427">
        <f t="shared" si="142"/>
        <v>2004</v>
      </c>
      <c r="D4597" s="433">
        <f t="shared" si="143"/>
        <v>2710.99</v>
      </c>
    </row>
    <row r="4598" spans="1:4" ht="16.149999999999999" customHeight="1" x14ac:dyDescent="0.25">
      <c r="A4598" s="431">
        <v>38158</v>
      </c>
      <c r="B4598" s="434">
        <v>2710.99</v>
      </c>
      <c r="C4598" s="427">
        <f t="shared" si="142"/>
        <v>2004</v>
      </c>
      <c r="D4598" s="433">
        <f t="shared" si="143"/>
        <v>2710.99</v>
      </c>
    </row>
    <row r="4599" spans="1:4" ht="16.149999999999999" customHeight="1" x14ac:dyDescent="0.25">
      <c r="A4599" s="431">
        <v>38159</v>
      </c>
      <c r="B4599" s="432">
        <v>2710.99</v>
      </c>
      <c r="C4599" s="427">
        <f t="shared" si="142"/>
        <v>2004</v>
      </c>
      <c r="D4599" s="433">
        <f t="shared" si="143"/>
        <v>2710.99</v>
      </c>
    </row>
    <row r="4600" spans="1:4" ht="16.149999999999999" customHeight="1" x14ac:dyDescent="0.25">
      <c r="A4600" s="431">
        <v>38160</v>
      </c>
      <c r="B4600" s="434">
        <v>2710.99</v>
      </c>
      <c r="C4600" s="427">
        <f t="shared" si="142"/>
        <v>2004</v>
      </c>
      <c r="D4600" s="433">
        <f t="shared" si="143"/>
        <v>2710.99</v>
      </c>
    </row>
    <row r="4601" spans="1:4" ht="16.149999999999999" customHeight="1" x14ac:dyDescent="0.25">
      <c r="A4601" s="431">
        <v>38161</v>
      </c>
      <c r="B4601" s="432">
        <v>2709.3</v>
      </c>
      <c r="C4601" s="427">
        <f t="shared" si="142"/>
        <v>2004</v>
      </c>
      <c r="D4601" s="433">
        <f t="shared" si="143"/>
        <v>2709.3</v>
      </c>
    </row>
    <row r="4602" spans="1:4" ht="16.149999999999999" customHeight="1" x14ac:dyDescent="0.25">
      <c r="A4602" s="431">
        <v>38162</v>
      </c>
      <c r="B4602" s="434">
        <v>2715.53</v>
      </c>
      <c r="C4602" s="427">
        <f t="shared" si="142"/>
        <v>2004</v>
      </c>
      <c r="D4602" s="433">
        <f t="shared" si="143"/>
        <v>2715.53</v>
      </c>
    </row>
    <row r="4603" spans="1:4" ht="16.149999999999999" customHeight="1" x14ac:dyDescent="0.25">
      <c r="A4603" s="431">
        <v>38163</v>
      </c>
      <c r="B4603" s="432">
        <v>2702.6</v>
      </c>
      <c r="C4603" s="427">
        <f t="shared" si="142"/>
        <v>2004</v>
      </c>
      <c r="D4603" s="433">
        <f t="shared" si="143"/>
        <v>2702.6</v>
      </c>
    </row>
    <row r="4604" spans="1:4" ht="16.149999999999999" customHeight="1" x14ac:dyDescent="0.25">
      <c r="A4604" s="431">
        <v>38164</v>
      </c>
      <c r="B4604" s="434">
        <v>2697.08</v>
      </c>
      <c r="C4604" s="427">
        <f t="shared" si="142"/>
        <v>2004</v>
      </c>
      <c r="D4604" s="433">
        <f t="shared" si="143"/>
        <v>2697.08</v>
      </c>
    </row>
    <row r="4605" spans="1:4" ht="16.149999999999999" customHeight="1" x14ac:dyDescent="0.25">
      <c r="A4605" s="431">
        <v>38165</v>
      </c>
      <c r="B4605" s="432">
        <v>2697.08</v>
      </c>
      <c r="C4605" s="427">
        <f t="shared" si="142"/>
        <v>2004</v>
      </c>
      <c r="D4605" s="433">
        <f t="shared" si="143"/>
        <v>2697.08</v>
      </c>
    </row>
    <row r="4606" spans="1:4" ht="16.149999999999999" customHeight="1" x14ac:dyDescent="0.25">
      <c r="A4606" s="431">
        <v>38166</v>
      </c>
      <c r="B4606" s="434">
        <v>2697.08</v>
      </c>
      <c r="C4606" s="427">
        <f t="shared" si="142"/>
        <v>2004</v>
      </c>
      <c r="D4606" s="433">
        <f t="shared" si="143"/>
        <v>2697.08</v>
      </c>
    </row>
    <row r="4607" spans="1:4" ht="16.149999999999999" customHeight="1" x14ac:dyDescent="0.25">
      <c r="A4607" s="431">
        <v>38167</v>
      </c>
      <c r="B4607" s="432">
        <v>2695.02</v>
      </c>
      <c r="C4607" s="427">
        <f t="shared" si="142"/>
        <v>2004</v>
      </c>
      <c r="D4607" s="433">
        <f t="shared" si="143"/>
        <v>2695.02</v>
      </c>
    </row>
    <row r="4608" spans="1:4" ht="16.149999999999999" customHeight="1" x14ac:dyDescent="0.25">
      <c r="A4608" s="431">
        <v>38168</v>
      </c>
      <c r="B4608" s="434">
        <v>2699.58</v>
      </c>
      <c r="C4608" s="427">
        <f t="shared" si="142"/>
        <v>2004</v>
      </c>
      <c r="D4608" s="433">
        <f t="shared" si="143"/>
        <v>2699.58</v>
      </c>
    </row>
    <row r="4609" spans="1:4" ht="16.149999999999999" customHeight="1" x14ac:dyDescent="0.25">
      <c r="A4609" s="431">
        <v>38169</v>
      </c>
      <c r="B4609" s="432">
        <v>2694.09</v>
      </c>
      <c r="C4609" s="427">
        <f t="shared" si="142"/>
        <v>2004</v>
      </c>
      <c r="D4609" s="433">
        <f t="shared" si="143"/>
        <v>2694.09</v>
      </c>
    </row>
    <row r="4610" spans="1:4" ht="16.149999999999999" customHeight="1" x14ac:dyDescent="0.25">
      <c r="A4610" s="431">
        <v>38170</v>
      </c>
      <c r="B4610" s="434">
        <v>2682.25</v>
      </c>
      <c r="C4610" s="427">
        <f t="shared" si="142"/>
        <v>2004</v>
      </c>
      <c r="D4610" s="433">
        <f t="shared" si="143"/>
        <v>2682.25</v>
      </c>
    </row>
    <row r="4611" spans="1:4" ht="16.149999999999999" customHeight="1" x14ac:dyDescent="0.25">
      <c r="A4611" s="431">
        <v>38171</v>
      </c>
      <c r="B4611" s="432">
        <v>2674.1</v>
      </c>
      <c r="C4611" s="427">
        <f t="shared" si="142"/>
        <v>2004</v>
      </c>
      <c r="D4611" s="433">
        <f t="shared" si="143"/>
        <v>2674.1</v>
      </c>
    </row>
    <row r="4612" spans="1:4" ht="16.149999999999999" customHeight="1" x14ac:dyDescent="0.25">
      <c r="A4612" s="431">
        <v>38172</v>
      </c>
      <c r="B4612" s="434">
        <v>2674.1</v>
      </c>
      <c r="C4612" s="427">
        <f t="shared" si="142"/>
        <v>2004</v>
      </c>
      <c r="D4612" s="433">
        <f t="shared" si="143"/>
        <v>2674.1</v>
      </c>
    </row>
    <row r="4613" spans="1:4" ht="16.149999999999999" customHeight="1" x14ac:dyDescent="0.25">
      <c r="A4613" s="431">
        <v>38173</v>
      </c>
      <c r="B4613" s="432">
        <v>2674.1</v>
      </c>
      <c r="C4613" s="427">
        <f t="shared" si="142"/>
        <v>2004</v>
      </c>
      <c r="D4613" s="433">
        <f t="shared" si="143"/>
        <v>2674.1</v>
      </c>
    </row>
    <row r="4614" spans="1:4" ht="16.149999999999999" customHeight="1" x14ac:dyDescent="0.25">
      <c r="A4614" s="431">
        <v>38174</v>
      </c>
      <c r="B4614" s="434">
        <v>2674.1</v>
      </c>
      <c r="C4614" s="427">
        <f t="shared" si="142"/>
        <v>2004</v>
      </c>
      <c r="D4614" s="433">
        <f t="shared" si="143"/>
        <v>2674.1</v>
      </c>
    </row>
    <row r="4615" spans="1:4" ht="16.149999999999999" customHeight="1" x14ac:dyDescent="0.25">
      <c r="A4615" s="431">
        <v>38175</v>
      </c>
      <c r="B4615" s="432">
        <v>2672.95</v>
      </c>
      <c r="C4615" s="427">
        <f t="shared" si="142"/>
        <v>2004</v>
      </c>
      <c r="D4615" s="433">
        <f t="shared" si="143"/>
        <v>2672.95</v>
      </c>
    </row>
    <row r="4616" spans="1:4" ht="16.149999999999999" customHeight="1" x14ac:dyDescent="0.25">
      <c r="A4616" s="431">
        <v>38176</v>
      </c>
      <c r="B4616" s="434">
        <v>2675.05</v>
      </c>
      <c r="C4616" s="427">
        <f t="shared" si="142"/>
        <v>2004</v>
      </c>
      <c r="D4616" s="433">
        <f t="shared" si="143"/>
        <v>2675.05</v>
      </c>
    </row>
    <row r="4617" spans="1:4" ht="16.149999999999999" customHeight="1" x14ac:dyDescent="0.25">
      <c r="A4617" s="431">
        <v>38177</v>
      </c>
      <c r="B4617" s="432">
        <v>2677.42</v>
      </c>
      <c r="C4617" s="427">
        <f t="shared" si="142"/>
        <v>2004</v>
      </c>
      <c r="D4617" s="433">
        <f t="shared" si="143"/>
        <v>2677.42</v>
      </c>
    </row>
    <row r="4618" spans="1:4" ht="16.149999999999999" customHeight="1" x14ac:dyDescent="0.25">
      <c r="A4618" s="431">
        <v>38178</v>
      </c>
      <c r="B4618" s="434">
        <v>2668.83</v>
      </c>
      <c r="C4618" s="427">
        <f t="shared" ref="C4618:C4681" si="144">YEAR(A4618)</f>
        <v>2004</v>
      </c>
      <c r="D4618" s="433">
        <f t="shared" ref="D4618:D4681" si="145">B4618</f>
        <v>2668.83</v>
      </c>
    </row>
    <row r="4619" spans="1:4" ht="16.149999999999999" customHeight="1" x14ac:dyDescent="0.25">
      <c r="A4619" s="431">
        <v>38179</v>
      </c>
      <c r="B4619" s="432">
        <v>2668.83</v>
      </c>
      <c r="C4619" s="427">
        <f t="shared" si="144"/>
        <v>2004</v>
      </c>
      <c r="D4619" s="433">
        <f t="shared" si="145"/>
        <v>2668.83</v>
      </c>
    </row>
    <row r="4620" spans="1:4" ht="16.149999999999999" customHeight="1" x14ac:dyDescent="0.25">
      <c r="A4620" s="431">
        <v>38180</v>
      </c>
      <c r="B4620" s="434">
        <v>2668.83</v>
      </c>
      <c r="C4620" s="427">
        <f t="shared" si="144"/>
        <v>2004</v>
      </c>
      <c r="D4620" s="433">
        <f t="shared" si="145"/>
        <v>2668.83</v>
      </c>
    </row>
    <row r="4621" spans="1:4" ht="16.149999999999999" customHeight="1" x14ac:dyDescent="0.25">
      <c r="A4621" s="431">
        <v>38181</v>
      </c>
      <c r="B4621" s="432">
        <v>2670.01</v>
      </c>
      <c r="C4621" s="427">
        <f t="shared" si="144"/>
        <v>2004</v>
      </c>
      <c r="D4621" s="433">
        <f t="shared" si="145"/>
        <v>2670.01</v>
      </c>
    </row>
    <row r="4622" spans="1:4" ht="16.149999999999999" customHeight="1" x14ac:dyDescent="0.25">
      <c r="A4622" s="431">
        <v>38182</v>
      </c>
      <c r="B4622" s="434">
        <v>2674.41</v>
      </c>
      <c r="C4622" s="427">
        <f t="shared" si="144"/>
        <v>2004</v>
      </c>
      <c r="D4622" s="433">
        <f t="shared" si="145"/>
        <v>2674.41</v>
      </c>
    </row>
    <row r="4623" spans="1:4" ht="16.149999999999999" customHeight="1" x14ac:dyDescent="0.25">
      <c r="A4623" s="431">
        <v>38183</v>
      </c>
      <c r="B4623" s="432">
        <v>2662.19</v>
      </c>
      <c r="C4623" s="427">
        <f t="shared" si="144"/>
        <v>2004</v>
      </c>
      <c r="D4623" s="433">
        <f t="shared" si="145"/>
        <v>2662.19</v>
      </c>
    </row>
    <row r="4624" spans="1:4" ht="16.149999999999999" customHeight="1" x14ac:dyDescent="0.25">
      <c r="A4624" s="431">
        <v>38184</v>
      </c>
      <c r="B4624" s="434">
        <v>2642.78</v>
      </c>
      <c r="C4624" s="427">
        <f t="shared" si="144"/>
        <v>2004</v>
      </c>
      <c r="D4624" s="433">
        <f t="shared" si="145"/>
        <v>2642.78</v>
      </c>
    </row>
    <row r="4625" spans="1:4" ht="16.149999999999999" customHeight="1" x14ac:dyDescent="0.25">
      <c r="A4625" s="431">
        <v>38185</v>
      </c>
      <c r="B4625" s="432">
        <v>2628.3</v>
      </c>
      <c r="C4625" s="427">
        <f t="shared" si="144"/>
        <v>2004</v>
      </c>
      <c r="D4625" s="433">
        <f t="shared" si="145"/>
        <v>2628.3</v>
      </c>
    </row>
    <row r="4626" spans="1:4" ht="16.149999999999999" customHeight="1" x14ac:dyDescent="0.25">
      <c r="A4626" s="431">
        <v>38186</v>
      </c>
      <c r="B4626" s="434">
        <v>2628.3</v>
      </c>
      <c r="C4626" s="427">
        <f t="shared" si="144"/>
        <v>2004</v>
      </c>
      <c r="D4626" s="433">
        <f t="shared" si="145"/>
        <v>2628.3</v>
      </c>
    </row>
    <row r="4627" spans="1:4" ht="16.149999999999999" customHeight="1" x14ac:dyDescent="0.25">
      <c r="A4627" s="431">
        <v>38187</v>
      </c>
      <c r="B4627" s="432">
        <v>2628.3</v>
      </c>
      <c r="C4627" s="427">
        <f t="shared" si="144"/>
        <v>2004</v>
      </c>
      <c r="D4627" s="433">
        <f t="shared" si="145"/>
        <v>2628.3</v>
      </c>
    </row>
    <row r="4628" spans="1:4" ht="16.149999999999999" customHeight="1" x14ac:dyDescent="0.25">
      <c r="A4628" s="431">
        <v>38188</v>
      </c>
      <c r="B4628" s="434">
        <v>2632.64</v>
      </c>
      <c r="C4628" s="427">
        <f t="shared" si="144"/>
        <v>2004</v>
      </c>
      <c r="D4628" s="433">
        <f t="shared" si="145"/>
        <v>2632.64</v>
      </c>
    </row>
    <row r="4629" spans="1:4" ht="16.149999999999999" customHeight="1" x14ac:dyDescent="0.25">
      <c r="A4629" s="431">
        <v>38189</v>
      </c>
      <c r="B4629" s="432">
        <v>2632.64</v>
      </c>
      <c r="C4629" s="427">
        <f t="shared" si="144"/>
        <v>2004</v>
      </c>
      <c r="D4629" s="433">
        <f t="shared" si="145"/>
        <v>2632.64</v>
      </c>
    </row>
    <row r="4630" spans="1:4" ht="16.149999999999999" customHeight="1" x14ac:dyDescent="0.25">
      <c r="A4630" s="431">
        <v>38190</v>
      </c>
      <c r="B4630" s="434">
        <v>2633.14</v>
      </c>
      <c r="C4630" s="427">
        <f t="shared" si="144"/>
        <v>2004</v>
      </c>
      <c r="D4630" s="433">
        <f t="shared" si="145"/>
        <v>2633.14</v>
      </c>
    </row>
    <row r="4631" spans="1:4" ht="16.149999999999999" customHeight="1" x14ac:dyDescent="0.25">
      <c r="A4631" s="431">
        <v>38191</v>
      </c>
      <c r="B4631" s="432">
        <v>2619.84</v>
      </c>
      <c r="C4631" s="427">
        <f t="shared" si="144"/>
        <v>2004</v>
      </c>
      <c r="D4631" s="433">
        <f t="shared" si="145"/>
        <v>2619.84</v>
      </c>
    </row>
    <row r="4632" spans="1:4" ht="16.149999999999999" customHeight="1" x14ac:dyDescent="0.25">
      <c r="A4632" s="431">
        <v>38192</v>
      </c>
      <c r="B4632" s="434">
        <v>2628.46</v>
      </c>
      <c r="C4632" s="427">
        <f t="shared" si="144"/>
        <v>2004</v>
      </c>
      <c r="D4632" s="433">
        <f t="shared" si="145"/>
        <v>2628.46</v>
      </c>
    </row>
    <row r="4633" spans="1:4" ht="16.149999999999999" customHeight="1" x14ac:dyDescent="0.25">
      <c r="A4633" s="431">
        <v>38193</v>
      </c>
      <c r="B4633" s="432">
        <v>2628.46</v>
      </c>
      <c r="C4633" s="427">
        <f t="shared" si="144"/>
        <v>2004</v>
      </c>
      <c r="D4633" s="433">
        <f t="shared" si="145"/>
        <v>2628.46</v>
      </c>
    </row>
    <row r="4634" spans="1:4" ht="16.149999999999999" customHeight="1" x14ac:dyDescent="0.25">
      <c r="A4634" s="431">
        <v>38194</v>
      </c>
      <c r="B4634" s="434">
        <v>2628.46</v>
      </c>
      <c r="C4634" s="427">
        <f t="shared" si="144"/>
        <v>2004</v>
      </c>
      <c r="D4634" s="433">
        <f t="shared" si="145"/>
        <v>2628.46</v>
      </c>
    </row>
    <row r="4635" spans="1:4" ht="16.149999999999999" customHeight="1" x14ac:dyDescent="0.25">
      <c r="A4635" s="431">
        <v>38195</v>
      </c>
      <c r="B4635" s="432">
        <v>2636.32</v>
      </c>
      <c r="C4635" s="427">
        <f t="shared" si="144"/>
        <v>2004</v>
      </c>
      <c r="D4635" s="433">
        <f t="shared" si="145"/>
        <v>2636.32</v>
      </c>
    </row>
    <row r="4636" spans="1:4" ht="16.149999999999999" customHeight="1" x14ac:dyDescent="0.25">
      <c r="A4636" s="431">
        <v>38196</v>
      </c>
      <c r="B4636" s="434">
        <v>2639.72</v>
      </c>
      <c r="C4636" s="427">
        <f t="shared" si="144"/>
        <v>2004</v>
      </c>
      <c r="D4636" s="433">
        <f t="shared" si="145"/>
        <v>2639.72</v>
      </c>
    </row>
    <row r="4637" spans="1:4" ht="16.149999999999999" customHeight="1" x14ac:dyDescent="0.25">
      <c r="A4637" s="431">
        <v>38197</v>
      </c>
      <c r="B4637" s="432">
        <v>2634.44</v>
      </c>
      <c r="C4637" s="427">
        <f t="shared" si="144"/>
        <v>2004</v>
      </c>
      <c r="D4637" s="433">
        <f t="shared" si="145"/>
        <v>2634.44</v>
      </c>
    </row>
    <row r="4638" spans="1:4" ht="16.149999999999999" customHeight="1" x14ac:dyDescent="0.25">
      <c r="A4638" s="431">
        <v>38198</v>
      </c>
      <c r="B4638" s="434">
        <v>2619.5500000000002</v>
      </c>
      <c r="C4638" s="427">
        <f t="shared" si="144"/>
        <v>2004</v>
      </c>
      <c r="D4638" s="433">
        <f t="shared" si="145"/>
        <v>2619.5500000000002</v>
      </c>
    </row>
    <row r="4639" spans="1:4" ht="16.149999999999999" customHeight="1" x14ac:dyDescent="0.25">
      <c r="A4639" s="431">
        <v>38199</v>
      </c>
      <c r="B4639" s="432">
        <v>2612.44</v>
      </c>
      <c r="C4639" s="427">
        <f t="shared" si="144"/>
        <v>2004</v>
      </c>
      <c r="D4639" s="433">
        <f t="shared" si="145"/>
        <v>2612.44</v>
      </c>
    </row>
    <row r="4640" spans="1:4" ht="16.149999999999999" customHeight="1" x14ac:dyDescent="0.25">
      <c r="A4640" s="431">
        <v>38200</v>
      </c>
      <c r="B4640" s="434">
        <v>2612.44</v>
      </c>
      <c r="C4640" s="427">
        <f t="shared" si="144"/>
        <v>2004</v>
      </c>
      <c r="D4640" s="433">
        <f t="shared" si="145"/>
        <v>2612.44</v>
      </c>
    </row>
    <row r="4641" spans="1:4" ht="16.149999999999999" customHeight="1" x14ac:dyDescent="0.25">
      <c r="A4641" s="431">
        <v>38201</v>
      </c>
      <c r="B4641" s="432">
        <v>2612.44</v>
      </c>
      <c r="C4641" s="427">
        <f t="shared" si="144"/>
        <v>2004</v>
      </c>
      <c r="D4641" s="433">
        <f t="shared" si="145"/>
        <v>2612.44</v>
      </c>
    </row>
    <row r="4642" spans="1:4" ht="16.149999999999999" customHeight="1" x14ac:dyDescent="0.25">
      <c r="A4642" s="431">
        <v>38202</v>
      </c>
      <c r="B4642" s="434">
        <v>2613.58</v>
      </c>
      <c r="C4642" s="427">
        <f t="shared" si="144"/>
        <v>2004</v>
      </c>
      <c r="D4642" s="433">
        <f t="shared" si="145"/>
        <v>2613.58</v>
      </c>
    </row>
    <row r="4643" spans="1:4" ht="16.149999999999999" customHeight="1" x14ac:dyDescent="0.25">
      <c r="A4643" s="431">
        <v>38203</v>
      </c>
      <c r="B4643" s="432">
        <v>2605.85</v>
      </c>
      <c r="C4643" s="427">
        <f t="shared" si="144"/>
        <v>2004</v>
      </c>
      <c r="D4643" s="433">
        <f t="shared" si="145"/>
        <v>2605.85</v>
      </c>
    </row>
    <row r="4644" spans="1:4" ht="16.149999999999999" customHeight="1" x14ac:dyDescent="0.25">
      <c r="A4644" s="431">
        <v>38204</v>
      </c>
      <c r="B4644" s="434">
        <v>2609.39</v>
      </c>
      <c r="C4644" s="427">
        <f t="shared" si="144"/>
        <v>2004</v>
      </c>
      <c r="D4644" s="433">
        <f t="shared" si="145"/>
        <v>2609.39</v>
      </c>
    </row>
    <row r="4645" spans="1:4" ht="16.149999999999999" customHeight="1" x14ac:dyDescent="0.25">
      <c r="A4645" s="431">
        <v>38205</v>
      </c>
      <c r="B4645" s="432">
        <v>2609.61</v>
      </c>
      <c r="C4645" s="427">
        <f t="shared" si="144"/>
        <v>2004</v>
      </c>
      <c r="D4645" s="433">
        <f t="shared" si="145"/>
        <v>2609.61</v>
      </c>
    </row>
    <row r="4646" spans="1:4" ht="16.149999999999999" customHeight="1" x14ac:dyDescent="0.25">
      <c r="A4646" s="431">
        <v>38206</v>
      </c>
      <c r="B4646" s="434">
        <v>2602.91</v>
      </c>
      <c r="C4646" s="427">
        <f t="shared" si="144"/>
        <v>2004</v>
      </c>
      <c r="D4646" s="433">
        <f t="shared" si="145"/>
        <v>2602.91</v>
      </c>
    </row>
    <row r="4647" spans="1:4" ht="16.149999999999999" customHeight="1" x14ac:dyDescent="0.25">
      <c r="A4647" s="431">
        <v>38207</v>
      </c>
      <c r="B4647" s="432">
        <v>2602.91</v>
      </c>
      <c r="C4647" s="427">
        <f t="shared" si="144"/>
        <v>2004</v>
      </c>
      <c r="D4647" s="433">
        <f t="shared" si="145"/>
        <v>2602.91</v>
      </c>
    </row>
    <row r="4648" spans="1:4" ht="16.149999999999999" customHeight="1" x14ac:dyDescent="0.25">
      <c r="A4648" s="431">
        <v>38208</v>
      </c>
      <c r="B4648" s="434">
        <v>2602.91</v>
      </c>
      <c r="C4648" s="427">
        <f t="shared" si="144"/>
        <v>2004</v>
      </c>
      <c r="D4648" s="433">
        <f t="shared" si="145"/>
        <v>2602.91</v>
      </c>
    </row>
    <row r="4649" spans="1:4" ht="16.149999999999999" customHeight="1" x14ac:dyDescent="0.25">
      <c r="A4649" s="431">
        <v>38209</v>
      </c>
      <c r="B4649" s="432">
        <v>2597.71</v>
      </c>
      <c r="C4649" s="427">
        <f t="shared" si="144"/>
        <v>2004</v>
      </c>
      <c r="D4649" s="433">
        <f t="shared" si="145"/>
        <v>2597.71</v>
      </c>
    </row>
    <row r="4650" spans="1:4" ht="16.149999999999999" customHeight="1" x14ac:dyDescent="0.25">
      <c r="A4650" s="431">
        <v>38210</v>
      </c>
      <c r="B4650" s="434">
        <v>2598.98</v>
      </c>
      <c r="C4650" s="427">
        <f t="shared" si="144"/>
        <v>2004</v>
      </c>
      <c r="D4650" s="433">
        <f t="shared" si="145"/>
        <v>2598.98</v>
      </c>
    </row>
    <row r="4651" spans="1:4" ht="16.149999999999999" customHeight="1" x14ac:dyDescent="0.25">
      <c r="A4651" s="431">
        <v>38211</v>
      </c>
      <c r="B4651" s="432">
        <v>2606.9299999999998</v>
      </c>
      <c r="C4651" s="427">
        <f t="shared" si="144"/>
        <v>2004</v>
      </c>
      <c r="D4651" s="433">
        <f t="shared" si="145"/>
        <v>2606.9299999999998</v>
      </c>
    </row>
    <row r="4652" spans="1:4" ht="16.149999999999999" customHeight="1" x14ac:dyDescent="0.25">
      <c r="A4652" s="431">
        <v>38212</v>
      </c>
      <c r="B4652" s="434">
        <v>2614.9699999999998</v>
      </c>
      <c r="C4652" s="427">
        <f t="shared" si="144"/>
        <v>2004</v>
      </c>
      <c r="D4652" s="433">
        <f t="shared" si="145"/>
        <v>2614.9699999999998</v>
      </c>
    </row>
    <row r="4653" spans="1:4" ht="16.149999999999999" customHeight="1" x14ac:dyDescent="0.25">
      <c r="A4653" s="431">
        <v>38213</v>
      </c>
      <c r="B4653" s="432">
        <v>2609.92</v>
      </c>
      <c r="C4653" s="427">
        <f t="shared" si="144"/>
        <v>2004</v>
      </c>
      <c r="D4653" s="433">
        <f t="shared" si="145"/>
        <v>2609.92</v>
      </c>
    </row>
    <row r="4654" spans="1:4" ht="16.149999999999999" customHeight="1" x14ac:dyDescent="0.25">
      <c r="A4654" s="431">
        <v>38214</v>
      </c>
      <c r="B4654" s="434">
        <v>2609.92</v>
      </c>
      <c r="C4654" s="427">
        <f t="shared" si="144"/>
        <v>2004</v>
      </c>
      <c r="D4654" s="433">
        <f t="shared" si="145"/>
        <v>2609.92</v>
      </c>
    </row>
    <row r="4655" spans="1:4" ht="16.149999999999999" customHeight="1" x14ac:dyDescent="0.25">
      <c r="A4655" s="431">
        <v>38215</v>
      </c>
      <c r="B4655" s="432">
        <v>2609.92</v>
      </c>
      <c r="C4655" s="427">
        <f t="shared" si="144"/>
        <v>2004</v>
      </c>
      <c r="D4655" s="433">
        <f t="shared" si="145"/>
        <v>2609.92</v>
      </c>
    </row>
    <row r="4656" spans="1:4" ht="16.149999999999999" customHeight="1" x14ac:dyDescent="0.25">
      <c r="A4656" s="431">
        <v>38216</v>
      </c>
      <c r="B4656" s="434">
        <v>2609.92</v>
      </c>
      <c r="C4656" s="427">
        <f t="shared" si="144"/>
        <v>2004</v>
      </c>
      <c r="D4656" s="433">
        <f t="shared" si="145"/>
        <v>2609.92</v>
      </c>
    </row>
    <row r="4657" spans="1:4" ht="16.149999999999999" customHeight="1" x14ac:dyDescent="0.25">
      <c r="A4657" s="431">
        <v>38217</v>
      </c>
      <c r="B4657" s="432">
        <v>2608.88</v>
      </c>
      <c r="C4657" s="427">
        <f t="shared" si="144"/>
        <v>2004</v>
      </c>
      <c r="D4657" s="433">
        <f t="shared" si="145"/>
        <v>2608.88</v>
      </c>
    </row>
    <row r="4658" spans="1:4" ht="16.149999999999999" customHeight="1" x14ac:dyDescent="0.25">
      <c r="A4658" s="431">
        <v>38218</v>
      </c>
      <c r="B4658" s="434">
        <v>2609.88</v>
      </c>
      <c r="C4658" s="427">
        <f t="shared" si="144"/>
        <v>2004</v>
      </c>
      <c r="D4658" s="433">
        <f t="shared" si="145"/>
        <v>2609.88</v>
      </c>
    </row>
    <row r="4659" spans="1:4" ht="16.149999999999999" customHeight="1" x14ac:dyDescent="0.25">
      <c r="A4659" s="431">
        <v>38219</v>
      </c>
      <c r="B4659" s="432">
        <v>2607.62</v>
      </c>
      <c r="C4659" s="427">
        <f t="shared" si="144"/>
        <v>2004</v>
      </c>
      <c r="D4659" s="433">
        <f t="shared" si="145"/>
        <v>2607.62</v>
      </c>
    </row>
    <row r="4660" spans="1:4" ht="16.149999999999999" customHeight="1" x14ac:dyDescent="0.25">
      <c r="A4660" s="431">
        <v>38220</v>
      </c>
      <c r="B4660" s="434">
        <v>2606.5700000000002</v>
      </c>
      <c r="C4660" s="427">
        <f t="shared" si="144"/>
        <v>2004</v>
      </c>
      <c r="D4660" s="433">
        <f t="shared" si="145"/>
        <v>2606.5700000000002</v>
      </c>
    </row>
    <row r="4661" spans="1:4" ht="16.149999999999999" customHeight="1" x14ac:dyDescent="0.25">
      <c r="A4661" s="431">
        <v>38221</v>
      </c>
      <c r="B4661" s="432">
        <v>2606.5700000000002</v>
      </c>
      <c r="C4661" s="427">
        <f t="shared" si="144"/>
        <v>2004</v>
      </c>
      <c r="D4661" s="433">
        <f t="shared" si="145"/>
        <v>2606.5700000000002</v>
      </c>
    </row>
    <row r="4662" spans="1:4" ht="16.149999999999999" customHeight="1" x14ac:dyDescent="0.25">
      <c r="A4662" s="431">
        <v>38222</v>
      </c>
      <c r="B4662" s="434">
        <v>2606.5700000000002</v>
      </c>
      <c r="C4662" s="427">
        <f t="shared" si="144"/>
        <v>2004</v>
      </c>
      <c r="D4662" s="433">
        <f t="shared" si="145"/>
        <v>2606.5700000000002</v>
      </c>
    </row>
    <row r="4663" spans="1:4" ht="16.149999999999999" customHeight="1" x14ac:dyDescent="0.25">
      <c r="A4663" s="431">
        <v>38223</v>
      </c>
      <c r="B4663" s="432">
        <v>2595.75</v>
      </c>
      <c r="C4663" s="427">
        <f t="shared" si="144"/>
        <v>2004</v>
      </c>
      <c r="D4663" s="433">
        <f t="shared" si="145"/>
        <v>2595.75</v>
      </c>
    </row>
    <row r="4664" spans="1:4" ht="16.149999999999999" customHeight="1" x14ac:dyDescent="0.25">
      <c r="A4664" s="431">
        <v>38224</v>
      </c>
      <c r="B4664" s="434">
        <v>2589.25</v>
      </c>
      <c r="C4664" s="427">
        <f t="shared" si="144"/>
        <v>2004</v>
      </c>
      <c r="D4664" s="433">
        <f t="shared" si="145"/>
        <v>2589.25</v>
      </c>
    </row>
    <row r="4665" spans="1:4" ht="16.149999999999999" customHeight="1" x14ac:dyDescent="0.25">
      <c r="A4665" s="431">
        <v>38225</v>
      </c>
      <c r="B4665" s="432">
        <v>2575.5100000000002</v>
      </c>
      <c r="C4665" s="427">
        <f t="shared" si="144"/>
        <v>2004</v>
      </c>
      <c r="D4665" s="433">
        <f t="shared" si="145"/>
        <v>2575.5100000000002</v>
      </c>
    </row>
    <row r="4666" spans="1:4" ht="16.149999999999999" customHeight="1" x14ac:dyDescent="0.25">
      <c r="A4666" s="431">
        <v>38226</v>
      </c>
      <c r="B4666" s="434">
        <v>2568.6799999999998</v>
      </c>
      <c r="C4666" s="427">
        <f t="shared" si="144"/>
        <v>2004</v>
      </c>
      <c r="D4666" s="433">
        <f t="shared" si="145"/>
        <v>2568.6799999999998</v>
      </c>
    </row>
    <row r="4667" spans="1:4" ht="16.149999999999999" customHeight="1" x14ac:dyDescent="0.25">
      <c r="A4667" s="431">
        <v>38227</v>
      </c>
      <c r="B4667" s="432">
        <v>2574.4899999999998</v>
      </c>
      <c r="C4667" s="427">
        <f t="shared" si="144"/>
        <v>2004</v>
      </c>
      <c r="D4667" s="433">
        <f t="shared" si="145"/>
        <v>2574.4899999999998</v>
      </c>
    </row>
    <row r="4668" spans="1:4" ht="16.149999999999999" customHeight="1" x14ac:dyDescent="0.25">
      <c r="A4668" s="431">
        <v>38228</v>
      </c>
      <c r="B4668" s="434">
        <v>2574.4899999999998</v>
      </c>
      <c r="C4668" s="427">
        <f t="shared" si="144"/>
        <v>2004</v>
      </c>
      <c r="D4668" s="433">
        <f t="shared" si="145"/>
        <v>2574.4899999999998</v>
      </c>
    </row>
    <row r="4669" spans="1:4" ht="16.149999999999999" customHeight="1" x14ac:dyDescent="0.25">
      <c r="A4669" s="431">
        <v>38229</v>
      </c>
      <c r="B4669" s="432">
        <v>2574.4899999999998</v>
      </c>
      <c r="C4669" s="427">
        <f t="shared" si="144"/>
        <v>2004</v>
      </c>
      <c r="D4669" s="433">
        <f t="shared" si="145"/>
        <v>2574.4899999999998</v>
      </c>
    </row>
    <row r="4670" spans="1:4" ht="16.149999999999999" customHeight="1" x14ac:dyDescent="0.25">
      <c r="A4670" s="431">
        <v>38230</v>
      </c>
      <c r="B4670" s="434">
        <v>2551.4299999999998</v>
      </c>
      <c r="C4670" s="427">
        <f t="shared" si="144"/>
        <v>2004</v>
      </c>
      <c r="D4670" s="433">
        <f t="shared" si="145"/>
        <v>2551.4299999999998</v>
      </c>
    </row>
    <row r="4671" spans="1:4" ht="16.149999999999999" customHeight="1" x14ac:dyDescent="0.25">
      <c r="A4671" s="431">
        <v>38231</v>
      </c>
      <c r="B4671" s="432">
        <v>2536.5100000000002</v>
      </c>
      <c r="C4671" s="427">
        <f t="shared" si="144"/>
        <v>2004</v>
      </c>
      <c r="D4671" s="433">
        <f t="shared" si="145"/>
        <v>2536.5100000000002</v>
      </c>
    </row>
    <row r="4672" spans="1:4" ht="16.149999999999999" customHeight="1" x14ac:dyDescent="0.25">
      <c r="A4672" s="431">
        <v>38232</v>
      </c>
      <c r="B4672" s="434">
        <v>2538.59</v>
      </c>
      <c r="C4672" s="427">
        <f t="shared" si="144"/>
        <v>2004</v>
      </c>
      <c r="D4672" s="433">
        <f t="shared" si="145"/>
        <v>2538.59</v>
      </c>
    </row>
    <row r="4673" spans="1:4" ht="16.149999999999999" customHeight="1" x14ac:dyDescent="0.25">
      <c r="A4673" s="431">
        <v>38233</v>
      </c>
      <c r="B4673" s="432">
        <v>2552.7800000000002</v>
      </c>
      <c r="C4673" s="427">
        <f t="shared" si="144"/>
        <v>2004</v>
      </c>
      <c r="D4673" s="433">
        <f t="shared" si="145"/>
        <v>2552.7800000000002</v>
      </c>
    </row>
    <row r="4674" spans="1:4" ht="16.149999999999999" customHeight="1" x14ac:dyDescent="0.25">
      <c r="A4674" s="431">
        <v>38234</v>
      </c>
      <c r="B4674" s="434">
        <v>2564.89</v>
      </c>
      <c r="C4674" s="427">
        <f t="shared" si="144"/>
        <v>2004</v>
      </c>
      <c r="D4674" s="433">
        <f t="shared" si="145"/>
        <v>2564.89</v>
      </c>
    </row>
    <row r="4675" spans="1:4" ht="16.149999999999999" customHeight="1" x14ac:dyDescent="0.25">
      <c r="A4675" s="431">
        <v>38235</v>
      </c>
      <c r="B4675" s="432">
        <v>2564.89</v>
      </c>
      <c r="C4675" s="427">
        <f t="shared" si="144"/>
        <v>2004</v>
      </c>
      <c r="D4675" s="433">
        <f t="shared" si="145"/>
        <v>2564.89</v>
      </c>
    </row>
    <row r="4676" spans="1:4" ht="16.149999999999999" customHeight="1" x14ac:dyDescent="0.25">
      <c r="A4676" s="431">
        <v>38236</v>
      </c>
      <c r="B4676" s="434">
        <v>2564.89</v>
      </c>
      <c r="C4676" s="427">
        <f t="shared" si="144"/>
        <v>2004</v>
      </c>
      <c r="D4676" s="433">
        <f t="shared" si="145"/>
        <v>2564.89</v>
      </c>
    </row>
    <row r="4677" spans="1:4" ht="16.149999999999999" customHeight="1" x14ac:dyDescent="0.25">
      <c r="A4677" s="431">
        <v>38237</v>
      </c>
      <c r="B4677" s="432">
        <v>2564.89</v>
      </c>
      <c r="C4677" s="427">
        <f t="shared" si="144"/>
        <v>2004</v>
      </c>
      <c r="D4677" s="433">
        <f t="shared" si="145"/>
        <v>2564.89</v>
      </c>
    </row>
    <row r="4678" spans="1:4" ht="16.149999999999999" customHeight="1" x14ac:dyDescent="0.25">
      <c r="A4678" s="431">
        <v>38238</v>
      </c>
      <c r="B4678" s="434">
        <v>2552.7399999999998</v>
      </c>
      <c r="C4678" s="427">
        <f t="shared" si="144"/>
        <v>2004</v>
      </c>
      <c r="D4678" s="433">
        <f t="shared" si="145"/>
        <v>2552.7399999999998</v>
      </c>
    </row>
    <row r="4679" spans="1:4" ht="16.149999999999999" customHeight="1" x14ac:dyDescent="0.25">
      <c r="A4679" s="431">
        <v>38239</v>
      </c>
      <c r="B4679" s="432">
        <v>2536</v>
      </c>
      <c r="C4679" s="427">
        <f t="shared" si="144"/>
        <v>2004</v>
      </c>
      <c r="D4679" s="433">
        <f t="shared" si="145"/>
        <v>2536</v>
      </c>
    </row>
    <row r="4680" spans="1:4" ht="16.149999999999999" customHeight="1" x14ac:dyDescent="0.25">
      <c r="A4680" s="431">
        <v>38240</v>
      </c>
      <c r="B4680" s="434">
        <v>2523.08</v>
      </c>
      <c r="C4680" s="427">
        <f t="shared" si="144"/>
        <v>2004</v>
      </c>
      <c r="D4680" s="433">
        <f t="shared" si="145"/>
        <v>2523.08</v>
      </c>
    </row>
    <row r="4681" spans="1:4" ht="16.149999999999999" customHeight="1" x14ac:dyDescent="0.25">
      <c r="A4681" s="431">
        <v>38241</v>
      </c>
      <c r="B4681" s="432">
        <v>2535.29</v>
      </c>
      <c r="C4681" s="427">
        <f t="shared" si="144"/>
        <v>2004</v>
      </c>
      <c r="D4681" s="433">
        <f t="shared" si="145"/>
        <v>2535.29</v>
      </c>
    </row>
    <row r="4682" spans="1:4" ht="16.149999999999999" customHeight="1" x14ac:dyDescent="0.25">
      <c r="A4682" s="431">
        <v>38242</v>
      </c>
      <c r="B4682" s="434">
        <v>2535.29</v>
      </c>
      <c r="C4682" s="427">
        <f t="shared" ref="C4682:C4745" si="146">YEAR(A4682)</f>
        <v>2004</v>
      </c>
      <c r="D4682" s="433">
        <f t="shared" ref="D4682:D4745" si="147">B4682</f>
        <v>2535.29</v>
      </c>
    </row>
    <row r="4683" spans="1:4" ht="16.149999999999999" customHeight="1" x14ac:dyDescent="0.25">
      <c r="A4683" s="431">
        <v>38243</v>
      </c>
      <c r="B4683" s="432">
        <v>2535.29</v>
      </c>
      <c r="C4683" s="427">
        <f t="shared" si="146"/>
        <v>2004</v>
      </c>
      <c r="D4683" s="433">
        <f t="shared" si="147"/>
        <v>2535.29</v>
      </c>
    </row>
    <row r="4684" spans="1:4" ht="16.149999999999999" customHeight="1" x14ac:dyDescent="0.25">
      <c r="A4684" s="431">
        <v>38244</v>
      </c>
      <c r="B4684" s="434">
        <v>2525.12</v>
      </c>
      <c r="C4684" s="427">
        <f t="shared" si="146"/>
        <v>2004</v>
      </c>
      <c r="D4684" s="433">
        <f t="shared" si="147"/>
        <v>2525.12</v>
      </c>
    </row>
    <row r="4685" spans="1:4" ht="16.149999999999999" customHeight="1" x14ac:dyDescent="0.25">
      <c r="A4685" s="431">
        <v>38245</v>
      </c>
      <c r="B4685" s="432">
        <v>2521.77</v>
      </c>
      <c r="C4685" s="427">
        <f t="shared" si="146"/>
        <v>2004</v>
      </c>
      <c r="D4685" s="433">
        <f t="shared" si="147"/>
        <v>2521.77</v>
      </c>
    </row>
    <row r="4686" spans="1:4" ht="16.149999999999999" customHeight="1" x14ac:dyDescent="0.25">
      <c r="A4686" s="431">
        <v>38246</v>
      </c>
      <c r="B4686" s="434">
        <v>2536.4</v>
      </c>
      <c r="C4686" s="427">
        <f t="shared" si="146"/>
        <v>2004</v>
      </c>
      <c r="D4686" s="433">
        <f t="shared" si="147"/>
        <v>2536.4</v>
      </c>
    </row>
    <row r="4687" spans="1:4" ht="16.149999999999999" customHeight="1" x14ac:dyDescent="0.25">
      <c r="A4687" s="431">
        <v>38247</v>
      </c>
      <c r="B4687" s="432">
        <v>2522.5700000000002</v>
      </c>
      <c r="C4687" s="427">
        <f t="shared" si="146"/>
        <v>2004</v>
      </c>
      <c r="D4687" s="433">
        <f t="shared" si="147"/>
        <v>2522.5700000000002</v>
      </c>
    </row>
    <row r="4688" spans="1:4" ht="16.149999999999999" customHeight="1" x14ac:dyDescent="0.25">
      <c r="A4688" s="431">
        <v>38248</v>
      </c>
      <c r="B4688" s="434">
        <v>2518.3000000000002</v>
      </c>
      <c r="C4688" s="427">
        <f t="shared" si="146"/>
        <v>2004</v>
      </c>
      <c r="D4688" s="433">
        <f t="shared" si="147"/>
        <v>2518.3000000000002</v>
      </c>
    </row>
    <row r="4689" spans="1:4" ht="16.149999999999999" customHeight="1" x14ac:dyDescent="0.25">
      <c r="A4689" s="431">
        <v>38249</v>
      </c>
      <c r="B4689" s="432">
        <v>2518.3000000000002</v>
      </c>
      <c r="C4689" s="427">
        <f t="shared" si="146"/>
        <v>2004</v>
      </c>
      <c r="D4689" s="433">
        <f t="shared" si="147"/>
        <v>2518.3000000000002</v>
      </c>
    </row>
    <row r="4690" spans="1:4" ht="16.149999999999999" customHeight="1" x14ac:dyDescent="0.25">
      <c r="A4690" s="431">
        <v>38250</v>
      </c>
      <c r="B4690" s="434">
        <v>2518.3000000000002</v>
      </c>
      <c r="C4690" s="427">
        <f t="shared" si="146"/>
        <v>2004</v>
      </c>
      <c r="D4690" s="433">
        <f t="shared" si="147"/>
        <v>2518.3000000000002</v>
      </c>
    </row>
    <row r="4691" spans="1:4" ht="16.149999999999999" customHeight="1" x14ac:dyDescent="0.25">
      <c r="A4691" s="431">
        <v>38251</v>
      </c>
      <c r="B4691" s="432">
        <v>2548.1999999999998</v>
      </c>
      <c r="C4691" s="427">
        <f t="shared" si="146"/>
        <v>2004</v>
      </c>
      <c r="D4691" s="433">
        <f t="shared" si="147"/>
        <v>2548.1999999999998</v>
      </c>
    </row>
    <row r="4692" spans="1:4" ht="16.149999999999999" customHeight="1" x14ac:dyDescent="0.25">
      <c r="A4692" s="431">
        <v>38252</v>
      </c>
      <c r="B4692" s="434">
        <v>2561.1999999999998</v>
      </c>
      <c r="C4692" s="427">
        <f t="shared" si="146"/>
        <v>2004</v>
      </c>
      <c r="D4692" s="433">
        <f t="shared" si="147"/>
        <v>2561.1999999999998</v>
      </c>
    </row>
    <row r="4693" spans="1:4" ht="16.149999999999999" customHeight="1" x14ac:dyDescent="0.25">
      <c r="A4693" s="431">
        <v>38253</v>
      </c>
      <c r="B4693" s="432">
        <v>2560.66</v>
      </c>
      <c r="C4693" s="427">
        <f t="shared" si="146"/>
        <v>2004</v>
      </c>
      <c r="D4693" s="433">
        <f t="shared" si="147"/>
        <v>2560.66</v>
      </c>
    </row>
    <row r="4694" spans="1:4" ht="16.149999999999999" customHeight="1" x14ac:dyDescent="0.25">
      <c r="A4694" s="431">
        <v>38254</v>
      </c>
      <c r="B4694" s="434">
        <v>2567.83</v>
      </c>
      <c r="C4694" s="427">
        <f t="shared" si="146"/>
        <v>2004</v>
      </c>
      <c r="D4694" s="433">
        <f t="shared" si="147"/>
        <v>2567.83</v>
      </c>
    </row>
    <row r="4695" spans="1:4" ht="16.149999999999999" customHeight="1" x14ac:dyDescent="0.25">
      <c r="A4695" s="431">
        <v>38255</v>
      </c>
      <c r="B4695" s="432">
        <v>2602.1999999999998</v>
      </c>
      <c r="C4695" s="427">
        <f t="shared" si="146"/>
        <v>2004</v>
      </c>
      <c r="D4695" s="433">
        <f t="shared" si="147"/>
        <v>2602.1999999999998</v>
      </c>
    </row>
    <row r="4696" spans="1:4" ht="16.149999999999999" customHeight="1" x14ac:dyDescent="0.25">
      <c r="A4696" s="431">
        <v>38256</v>
      </c>
      <c r="B4696" s="434">
        <v>2602.1999999999998</v>
      </c>
      <c r="C4696" s="427">
        <f t="shared" si="146"/>
        <v>2004</v>
      </c>
      <c r="D4696" s="433">
        <f t="shared" si="147"/>
        <v>2602.1999999999998</v>
      </c>
    </row>
    <row r="4697" spans="1:4" ht="16.149999999999999" customHeight="1" x14ac:dyDescent="0.25">
      <c r="A4697" s="431">
        <v>38257</v>
      </c>
      <c r="B4697" s="432">
        <v>2602.1999999999998</v>
      </c>
      <c r="C4697" s="427">
        <f t="shared" si="146"/>
        <v>2004</v>
      </c>
      <c r="D4697" s="433">
        <f t="shared" si="147"/>
        <v>2602.1999999999998</v>
      </c>
    </row>
    <row r="4698" spans="1:4" ht="16.149999999999999" customHeight="1" x14ac:dyDescent="0.25">
      <c r="A4698" s="431">
        <v>38258</v>
      </c>
      <c r="B4698" s="434">
        <v>2600.64</v>
      </c>
      <c r="C4698" s="427">
        <f t="shared" si="146"/>
        <v>2004</v>
      </c>
      <c r="D4698" s="433">
        <f t="shared" si="147"/>
        <v>2600.64</v>
      </c>
    </row>
    <row r="4699" spans="1:4" ht="16.149999999999999" customHeight="1" x14ac:dyDescent="0.25">
      <c r="A4699" s="431">
        <v>38259</v>
      </c>
      <c r="B4699" s="432">
        <v>2596.2800000000002</v>
      </c>
      <c r="C4699" s="427">
        <f t="shared" si="146"/>
        <v>2004</v>
      </c>
      <c r="D4699" s="433">
        <f t="shared" si="147"/>
        <v>2596.2800000000002</v>
      </c>
    </row>
    <row r="4700" spans="1:4" ht="16.149999999999999" customHeight="1" x14ac:dyDescent="0.25">
      <c r="A4700" s="431">
        <v>38260</v>
      </c>
      <c r="B4700" s="434">
        <v>2595.17</v>
      </c>
      <c r="C4700" s="427">
        <f t="shared" si="146"/>
        <v>2004</v>
      </c>
      <c r="D4700" s="433">
        <f t="shared" si="147"/>
        <v>2595.17</v>
      </c>
    </row>
    <row r="4701" spans="1:4" ht="16.149999999999999" customHeight="1" x14ac:dyDescent="0.25">
      <c r="A4701" s="431">
        <v>38261</v>
      </c>
      <c r="B4701" s="432">
        <v>2608.3000000000002</v>
      </c>
      <c r="C4701" s="427">
        <f t="shared" si="146"/>
        <v>2004</v>
      </c>
      <c r="D4701" s="433">
        <f t="shared" si="147"/>
        <v>2608.3000000000002</v>
      </c>
    </row>
    <row r="4702" spans="1:4" ht="16.149999999999999" customHeight="1" x14ac:dyDescent="0.25">
      <c r="A4702" s="431">
        <v>38262</v>
      </c>
      <c r="B4702" s="434">
        <v>2630.81</v>
      </c>
      <c r="C4702" s="427">
        <f t="shared" si="146"/>
        <v>2004</v>
      </c>
      <c r="D4702" s="433">
        <f t="shared" si="147"/>
        <v>2630.81</v>
      </c>
    </row>
    <row r="4703" spans="1:4" ht="16.149999999999999" customHeight="1" x14ac:dyDescent="0.25">
      <c r="A4703" s="431">
        <v>38263</v>
      </c>
      <c r="B4703" s="432">
        <v>2630.81</v>
      </c>
      <c r="C4703" s="427">
        <f t="shared" si="146"/>
        <v>2004</v>
      </c>
      <c r="D4703" s="433">
        <f t="shared" si="147"/>
        <v>2630.81</v>
      </c>
    </row>
    <row r="4704" spans="1:4" ht="16.149999999999999" customHeight="1" x14ac:dyDescent="0.25">
      <c r="A4704" s="431">
        <v>38264</v>
      </c>
      <c r="B4704" s="434">
        <v>2630.81</v>
      </c>
      <c r="C4704" s="427">
        <f t="shared" si="146"/>
        <v>2004</v>
      </c>
      <c r="D4704" s="433">
        <f t="shared" si="147"/>
        <v>2630.81</v>
      </c>
    </row>
    <row r="4705" spans="1:4" ht="16.149999999999999" customHeight="1" x14ac:dyDescent="0.25">
      <c r="A4705" s="431">
        <v>38265</v>
      </c>
      <c r="B4705" s="432">
        <v>2629.65</v>
      </c>
      <c r="C4705" s="427">
        <f t="shared" si="146"/>
        <v>2004</v>
      </c>
      <c r="D4705" s="433">
        <f t="shared" si="147"/>
        <v>2629.65</v>
      </c>
    </row>
    <row r="4706" spans="1:4" ht="16.149999999999999" customHeight="1" x14ac:dyDescent="0.25">
      <c r="A4706" s="431">
        <v>38266</v>
      </c>
      <c r="B4706" s="434">
        <v>2608.36</v>
      </c>
      <c r="C4706" s="427">
        <f t="shared" si="146"/>
        <v>2004</v>
      </c>
      <c r="D4706" s="433">
        <f t="shared" si="147"/>
        <v>2608.36</v>
      </c>
    </row>
    <row r="4707" spans="1:4" ht="16.149999999999999" customHeight="1" x14ac:dyDescent="0.25">
      <c r="A4707" s="431">
        <v>38267</v>
      </c>
      <c r="B4707" s="432">
        <v>2603.34</v>
      </c>
      <c r="C4707" s="427">
        <f t="shared" si="146"/>
        <v>2004</v>
      </c>
      <c r="D4707" s="433">
        <f t="shared" si="147"/>
        <v>2603.34</v>
      </c>
    </row>
    <row r="4708" spans="1:4" ht="16.149999999999999" customHeight="1" x14ac:dyDescent="0.25">
      <c r="A4708" s="431">
        <v>38268</v>
      </c>
      <c r="B4708" s="434">
        <v>2601.6999999999998</v>
      </c>
      <c r="C4708" s="427">
        <f t="shared" si="146"/>
        <v>2004</v>
      </c>
      <c r="D4708" s="433">
        <f t="shared" si="147"/>
        <v>2601.6999999999998</v>
      </c>
    </row>
    <row r="4709" spans="1:4" ht="16.149999999999999" customHeight="1" x14ac:dyDescent="0.25">
      <c r="A4709" s="431">
        <v>38269</v>
      </c>
      <c r="B4709" s="432">
        <v>2583.7399999999998</v>
      </c>
      <c r="C4709" s="427">
        <f t="shared" si="146"/>
        <v>2004</v>
      </c>
      <c r="D4709" s="433">
        <f t="shared" si="147"/>
        <v>2583.7399999999998</v>
      </c>
    </row>
    <row r="4710" spans="1:4" ht="16.149999999999999" customHeight="1" x14ac:dyDescent="0.25">
      <c r="A4710" s="431">
        <v>38270</v>
      </c>
      <c r="B4710" s="434">
        <v>2583.7399999999998</v>
      </c>
      <c r="C4710" s="427">
        <f t="shared" si="146"/>
        <v>2004</v>
      </c>
      <c r="D4710" s="433">
        <f t="shared" si="147"/>
        <v>2583.7399999999998</v>
      </c>
    </row>
    <row r="4711" spans="1:4" ht="16.149999999999999" customHeight="1" x14ac:dyDescent="0.25">
      <c r="A4711" s="431">
        <v>38271</v>
      </c>
      <c r="B4711" s="432">
        <v>2583.7399999999998</v>
      </c>
      <c r="C4711" s="427">
        <f t="shared" si="146"/>
        <v>2004</v>
      </c>
      <c r="D4711" s="433">
        <f t="shared" si="147"/>
        <v>2583.7399999999998</v>
      </c>
    </row>
    <row r="4712" spans="1:4" ht="16.149999999999999" customHeight="1" x14ac:dyDescent="0.25">
      <c r="A4712" s="431">
        <v>38272</v>
      </c>
      <c r="B4712" s="434">
        <v>2583.7399999999998</v>
      </c>
      <c r="C4712" s="427">
        <f t="shared" si="146"/>
        <v>2004</v>
      </c>
      <c r="D4712" s="433">
        <f t="shared" si="147"/>
        <v>2583.7399999999998</v>
      </c>
    </row>
    <row r="4713" spans="1:4" ht="16.149999999999999" customHeight="1" x14ac:dyDescent="0.25">
      <c r="A4713" s="431">
        <v>38273</v>
      </c>
      <c r="B4713" s="432">
        <v>2558.04</v>
      </c>
      <c r="C4713" s="427">
        <f t="shared" si="146"/>
        <v>2004</v>
      </c>
      <c r="D4713" s="433">
        <f t="shared" si="147"/>
        <v>2558.04</v>
      </c>
    </row>
    <row r="4714" spans="1:4" ht="16.149999999999999" customHeight="1" x14ac:dyDescent="0.25">
      <c r="A4714" s="431">
        <v>38274</v>
      </c>
      <c r="B4714" s="434">
        <v>2553.0700000000002</v>
      </c>
      <c r="C4714" s="427">
        <f t="shared" si="146"/>
        <v>2004</v>
      </c>
      <c r="D4714" s="433">
        <f t="shared" si="147"/>
        <v>2553.0700000000002</v>
      </c>
    </row>
    <row r="4715" spans="1:4" ht="16.149999999999999" customHeight="1" x14ac:dyDescent="0.25">
      <c r="A4715" s="431">
        <v>38275</v>
      </c>
      <c r="B4715" s="432">
        <v>2549.1</v>
      </c>
      <c r="C4715" s="427">
        <f t="shared" si="146"/>
        <v>2004</v>
      </c>
      <c r="D4715" s="433">
        <f t="shared" si="147"/>
        <v>2549.1</v>
      </c>
    </row>
    <row r="4716" spans="1:4" ht="16.149999999999999" customHeight="1" x14ac:dyDescent="0.25">
      <c r="A4716" s="431">
        <v>38276</v>
      </c>
      <c r="B4716" s="434">
        <v>2562.56</v>
      </c>
      <c r="C4716" s="427">
        <f t="shared" si="146"/>
        <v>2004</v>
      </c>
      <c r="D4716" s="433">
        <f t="shared" si="147"/>
        <v>2562.56</v>
      </c>
    </row>
    <row r="4717" spans="1:4" ht="16.149999999999999" customHeight="1" x14ac:dyDescent="0.25">
      <c r="A4717" s="431">
        <v>38277</v>
      </c>
      <c r="B4717" s="432">
        <v>2562.56</v>
      </c>
      <c r="C4717" s="427">
        <f t="shared" si="146"/>
        <v>2004</v>
      </c>
      <c r="D4717" s="433">
        <f t="shared" si="147"/>
        <v>2562.56</v>
      </c>
    </row>
    <row r="4718" spans="1:4" ht="16.149999999999999" customHeight="1" x14ac:dyDescent="0.25">
      <c r="A4718" s="431">
        <v>38278</v>
      </c>
      <c r="B4718" s="434">
        <v>2562.56</v>
      </c>
      <c r="C4718" s="427">
        <f t="shared" si="146"/>
        <v>2004</v>
      </c>
      <c r="D4718" s="433">
        <f t="shared" si="147"/>
        <v>2562.56</v>
      </c>
    </row>
    <row r="4719" spans="1:4" ht="16.149999999999999" customHeight="1" x14ac:dyDescent="0.25">
      <c r="A4719" s="431">
        <v>38279</v>
      </c>
      <c r="B4719" s="432">
        <v>2562.56</v>
      </c>
      <c r="C4719" s="427">
        <f t="shared" si="146"/>
        <v>2004</v>
      </c>
      <c r="D4719" s="433">
        <f t="shared" si="147"/>
        <v>2562.56</v>
      </c>
    </row>
    <row r="4720" spans="1:4" ht="16.149999999999999" customHeight="1" x14ac:dyDescent="0.25">
      <c r="A4720" s="431">
        <v>38280</v>
      </c>
      <c r="B4720" s="434">
        <v>2556.1799999999998</v>
      </c>
      <c r="C4720" s="427">
        <f t="shared" si="146"/>
        <v>2004</v>
      </c>
      <c r="D4720" s="433">
        <f t="shared" si="147"/>
        <v>2556.1799999999998</v>
      </c>
    </row>
    <row r="4721" spans="1:4" ht="16.149999999999999" customHeight="1" x14ac:dyDescent="0.25">
      <c r="A4721" s="431">
        <v>38281</v>
      </c>
      <c r="B4721" s="432">
        <v>2561.33</v>
      </c>
      <c r="C4721" s="427">
        <f t="shared" si="146"/>
        <v>2004</v>
      </c>
      <c r="D4721" s="433">
        <f t="shared" si="147"/>
        <v>2561.33</v>
      </c>
    </row>
    <row r="4722" spans="1:4" ht="16.149999999999999" customHeight="1" x14ac:dyDescent="0.25">
      <c r="A4722" s="431">
        <v>38282</v>
      </c>
      <c r="B4722" s="434">
        <v>2555.2600000000002</v>
      </c>
      <c r="C4722" s="427">
        <f t="shared" si="146"/>
        <v>2004</v>
      </c>
      <c r="D4722" s="433">
        <f t="shared" si="147"/>
        <v>2555.2600000000002</v>
      </c>
    </row>
    <row r="4723" spans="1:4" ht="16.149999999999999" customHeight="1" x14ac:dyDescent="0.25">
      <c r="A4723" s="431">
        <v>38283</v>
      </c>
      <c r="B4723" s="432">
        <v>2553.02</v>
      </c>
      <c r="C4723" s="427">
        <f t="shared" si="146"/>
        <v>2004</v>
      </c>
      <c r="D4723" s="433">
        <f t="shared" si="147"/>
        <v>2553.02</v>
      </c>
    </row>
    <row r="4724" spans="1:4" ht="16.149999999999999" customHeight="1" x14ac:dyDescent="0.25">
      <c r="A4724" s="431">
        <v>38284</v>
      </c>
      <c r="B4724" s="434">
        <v>2553.02</v>
      </c>
      <c r="C4724" s="427">
        <f t="shared" si="146"/>
        <v>2004</v>
      </c>
      <c r="D4724" s="433">
        <f t="shared" si="147"/>
        <v>2553.02</v>
      </c>
    </row>
    <row r="4725" spans="1:4" ht="16.149999999999999" customHeight="1" x14ac:dyDescent="0.25">
      <c r="A4725" s="431">
        <v>38285</v>
      </c>
      <c r="B4725" s="432">
        <v>2553.02</v>
      </c>
      <c r="C4725" s="427">
        <f t="shared" si="146"/>
        <v>2004</v>
      </c>
      <c r="D4725" s="433">
        <f t="shared" si="147"/>
        <v>2553.02</v>
      </c>
    </row>
    <row r="4726" spans="1:4" ht="16.149999999999999" customHeight="1" x14ac:dyDescent="0.25">
      <c r="A4726" s="431">
        <v>38286</v>
      </c>
      <c r="B4726" s="434">
        <v>2568.11</v>
      </c>
      <c r="C4726" s="427">
        <f t="shared" si="146"/>
        <v>2004</v>
      </c>
      <c r="D4726" s="433">
        <f t="shared" si="147"/>
        <v>2568.11</v>
      </c>
    </row>
    <row r="4727" spans="1:4" ht="16.149999999999999" customHeight="1" x14ac:dyDescent="0.25">
      <c r="A4727" s="431">
        <v>38287</v>
      </c>
      <c r="B4727" s="432">
        <v>2582.39</v>
      </c>
      <c r="C4727" s="427">
        <f t="shared" si="146"/>
        <v>2004</v>
      </c>
      <c r="D4727" s="433">
        <f t="shared" si="147"/>
        <v>2582.39</v>
      </c>
    </row>
    <row r="4728" spans="1:4" ht="16.149999999999999" customHeight="1" x14ac:dyDescent="0.25">
      <c r="A4728" s="431">
        <v>38288</v>
      </c>
      <c r="B4728" s="434">
        <v>2579.59</v>
      </c>
      <c r="C4728" s="427">
        <f t="shared" si="146"/>
        <v>2004</v>
      </c>
      <c r="D4728" s="433">
        <f t="shared" si="147"/>
        <v>2579.59</v>
      </c>
    </row>
    <row r="4729" spans="1:4" ht="16.149999999999999" customHeight="1" x14ac:dyDescent="0.25">
      <c r="A4729" s="431">
        <v>38289</v>
      </c>
      <c r="B4729" s="432">
        <v>2585.8000000000002</v>
      </c>
      <c r="C4729" s="427">
        <f t="shared" si="146"/>
        <v>2004</v>
      </c>
      <c r="D4729" s="433">
        <f t="shared" si="147"/>
        <v>2585.8000000000002</v>
      </c>
    </row>
    <row r="4730" spans="1:4" ht="16.149999999999999" customHeight="1" x14ac:dyDescent="0.25">
      <c r="A4730" s="431">
        <v>38290</v>
      </c>
      <c r="B4730" s="434">
        <v>2575.19</v>
      </c>
      <c r="C4730" s="427">
        <f t="shared" si="146"/>
        <v>2004</v>
      </c>
      <c r="D4730" s="433">
        <f t="shared" si="147"/>
        <v>2575.19</v>
      </c>
    </row>
    <row r="4731" spans="1:4" ht="16.149999999999999" customHeight="1" x14ac:dyDescent="0.25">
      <c r="A4731" s="431">
        <v>38291</v>
      </c>
      <c r="B4731" s="432">
        <v>2575.19</v>
      </c>
      <c r="C4731" s="427">
        <f t="shared" si="146"/>
        <v>2004</v>
      </c>
      <c r="D4731" s="433">
        <f t="shared" si="147"/>
        <v>2575.19</v>
      </c>
    </row>
    <row r="4732" spans="1:4" ht="16.149999999999999" customHeight="1" x14ac:dyDescent="0.25">
      <c r="A4732" s="431">
        <v>38292</v>
      </c>
      <c r="B4732" s="434">
        <v>2575.19</v>
      </c>
      <c r="C4732" s="427">
        <f t="shared" si="146"/>
        <v>2004</v>
      </c>
      <c r="D4732" s="433">
        <f t="shared" si="147"/>
        <v>2575.19</v>
      </c>
    </row>
    <row r="4733" spans="1:4" ht="16.149999999999999" customHeight="1" x14ac:dyDescent="0.25">
      <c r="A4733" s="431">
        <v>38293</v>
      </c>
      <c r="B4733" s="432">
        <v>2575.19</v>
      </c>
      <c r="C4733" s="427">
        <f t="shared" si="146"/>
        <v>2004</v>
      </c>
      <c r="D4733" s="433">
        <f t="shared" si="147"/>
        <v>2575.19</v>
      </c>
    </row>
    <row r="4734" spans="1:4" ht="16.149999999999999" customHeight="1" x14ac:dyDescent="0.25">
      <c r="A4734" s="431">
        <v>38294</v>
      </c>
      <c r="B4734" s="434">
        <v>2568.08</v>
      </c>
      <c r="C4734" s="427">
        <f t="shared" si="146"/>
        <v>2004</v>
      </c>
      <c r="D4734" s="433">
        <f t="shared" si="147"/>
        <v>2568.08</v>
      </c>
    </row>
    <row r="4735" spans="1:4" ht="16.149999999999999" customHeight="1" x14ac:dyDescent="0.25">
      <c r="A4735" s="431">
        <v>38295</v>
      </c>
      <c r="B4735" s="432">
        <v>2561.2800000000002</v>
      </c>
      <c r="C4735" s="427">
        <f t="shared" si="146"/>
        <v>2004</v>
      </c>
      <c r="D4735" s="433">
        <f t="shared" si="147"/>
        <v>2561.2800000000002</v>
      </c>
    </row>
    <row r="4736" spans="1:4" ht="16.149999999999999" customHeight="1" x14ac:dyDescent="0.25">
      <c r="A4736" s="431">
        <v>38296</v>
      </c>
      <c r="B4736" s="434">
        <v>2550.37</v>
      </c>
      <c r="C4736" s="427">
        <f t="shared" si="146"/>
        <v>2004</v>
      </c>
      <c r="D4736" s="433">
        <f t="shared" si="147"/>
        <v>2550.37</v>
      </c>
    </row>
    <row r="4737" spans="1:4" ht="16.149999999999999" customHeight="1" x14ac:dyDescent="0.25">
      <c r="A4737" s="431">
        <v>38297</v>
      </c>
      <c r="B4737" s="432">
        <v>2547.79</v>
      </c>
      <c r="C4737" s="427">
        <f t="shared" si="146"/>
        <v>2004</v>
      </c>
      <c r="D4737" s="433">
        <f t="shared" si="147"/>
        <v>2547.79</v>
      </c>
    </row>
    <row r="4738" spans="1:4" ht="16.149999999999999" customHeight="1" x14ac:dyDescent="0.25">
      <c r="A4738" s="431">
        <v>38298</v>
      </c>
      <c r="B4738" s="434">
        <v>2547.79</v>
      </c>
      <c r="C4738" s="427">
        <f t="shared" si="146"/>
        <v>2004</v>
      </c>
      <c r="D4738" s="433">
        <f t="shared" si="147"/>
        <v>2547.79</v>
      </c>
    </row>
    <row r="4739" spans="1:4" ht="16.149999999999999" customHeight="1" x14ac:dyDescent="0.25">
      <c r="A4739" s="431">
        <v>38299</v>
      </c>
      <c r="B4739" s="432">
        <v>2547.79</v>
      </c>
      <c r="C4739" s="427">
        <f t="shared" si="146"/>
        <v>2004</v>
      </c>
      <c r="D4739" s="433">
        <f t="shared" si="147"/>
        <v>2547.79</v>
      </c>
    </row>
    <row r="4740" spans="1:4" ht="16.149999999999999" customHeight="1" x14ac:dyDescent="0.25">
      <c r="A4740" s="431">
        <v>38300</v>
      </c>
      <c r="B4740" s="434">
        <v>2544.65</v>
      </c>
      <c r="C4740" s="427">
        <f t="shared" si="146"/>
        <v>2004</v>
      </c>
      <c r="D4740" s="433">
        <f t="shared" si="147"/>
        <v>2544.65</v>
      </c>
    </row>
    <row r="4741" spans="1:4" ht="16.149999999999999" customHeight="1" x14ac:dyDescent="0.25">
      <c r="A4741" s="431">
        <v>38301</v>
      </c>
      <c r="B4741" s="432">
        <v>2542.1999999999998</v>
      </c>
      <c r="C4741" s="427">
        <f t="shared" si="146"/>
        <v>2004</v>
      </c>
      <c r="D4741" s="433">
        <f t="shared" si="147"/>
        <v>2542.1999999999998</v>
      </c>
    </row>
    <row r="4742" spans="1:4" ht="16.149999999999999" customHeight="1" x14ac:dyDescent="0.25">
      <c r="A4742" s="431">
        <v>38302</v>
      </c>
      <c r="B4742" s="434">
        <v>2540.4699999999998</v>
      </c>
      <c r="C4742" s="427">
        <f t="shared" si="146"/>
        <v>2004</v>
      </c>
      <c r="D4742" s="433">
        <f t="shared" si="147"/>
        <v>2540.4699999999998</v>
      </c>
    </row>
    <row r="4743" spans="1:4" ht="16.149999999999999" customHeight="1" x14ac:dyDescent="0.25">
      <c r="A4743" s="431">
        <v>38303</v>
      </c>
      <c r="B4743" s="432">
        <v>2540.4699999999998</v>
      </c>
      <c r="C4743" s="427">
        <f t="shared" si="146"/>
        <v>2004</v>
      </c>
      <c r="D4743" s="433">
        <f t="shared" si="147"/>
        <v>2540.4699999999998</v>
      </c>
    </row>
    <row r="4744" spans="1:4" ht="16.149999999999999" customHeight="1" x14ac:dyDescent="0.25">
      <c r="A4744" s="431">
        <v>38304</v>
      </c>
      <c r="B4744" s="434">
        <v>2541.98</v>
      </c>
      <c r="C4744" s="427">
        <f t="shared" si="146"/>
        <v>2004</v>
      </c>
      <c r="D4744" s="433">
        <f t="shared" si="147"/>
        <v>2541.98</v>
      </c>
    </row>
    <row r="4745" spans="1:4" ht="16.149999999999999" customHeight="1" x14ac:dyDescent="0.25">
      <c r="A4745" s="431">
        <v>38305</v>
      </c>
      <c r="B4745" s="432">
        <v>2541.98</v>
      </c>
      <c r="C4745" s="427">
        <f t="shared" si="146"/>
        <v>2004</v>
      </c>
      <c r="D4745" s="433">
        <f t="shared" si="147"/>
        <v>2541.98</v>
      </c>
    </row>
    <row r="4746" spans="1:4" ht="16.149999999999999" customHeight="1" x14ac:dyDescent="0.25">
      <c r="A4746" s="431">
        <v>38306</v>
      </c>
      <c r="B4746" s="434">
        <v>2541.98</v>
      </c>
      <c r="C4746" s="427">
        <f t="shared" ref="C4746:C4809" si="148">YEAR(A4746)</f>
        <v>2004</v>
      </c>
      <c r="D4746" s="433">
        <f t="shared" ref="D4746:D4809" si="149">B4746</f>
        <v>2541.98</v>
      </c>
    </row>
    <row r="4747" spans="1:4" ht="16.149999999999999" customHeight="1" x14ac:dyDescent="0.25">
      <c r="A4747" s="431">
        <v>38307</v>
      </c>
      <c r="B4747" s="432">
        <v>2541.98</v>
      </c>
      <c r="C4747" s="427">
        <f t="shared" si="148"/>
        <v>2004</v>
      </c>
      <c r="D4747" s="433">
        <f t="shared" si="149"/>
        <v>2541.98</v>
      </c>
    </row>
    <row r="4748" spans="1:4" ht="16.149999999999999" customHeight="1" x14ac:dyDescent="0.25">
      <c r="A4748" s="431">
        <v>38308</v>
      </c>
      <c r="B4748" s="434">
        <v>2535.89</v>
      </c>
      <c r="C4748" s="427">
        <f t="shared" si="148"/>
        <v>2004</v>
      </c>
      <c r="D4748" s="433">
        <f t="shared" si="149"/>
        <v>2535.89</v>
      </c>
    </row>
    <row r="4749" spans="1:4" ht="16.149999999999999" customHeight="1" x14ac:dyDescent="0.25">
      <c r="A4749" s="431">
        <v>38309</v>
      </c>
      <c r="B4749" s="432">
        <v>2523.41</v>
      </c>
      <c r="C4749" s="427">
        <f t="shared" si="148"/>
        <v>2004</v>
      </c>
      <c r="D4749" s="433">
        <f t="shared" si="149"/>
        <v>2523.41</v>
      </c>
    </row>
    <row r="4750" spans="1:4" ht="16.149999999999999" customHeight="1" x14ac:dyDescent="0.25">
      <c r="A4750" s="431">
        <v>38310</v>
      </c>
      <c r="B4750" s="434">
        <v>2515.3200000000002</v>
      </c>
      <c r="C4750" s="427">
        <f t="shared" si="148"/>
        <v>2004</v>
      </c>
      <c r="D4750" s="433">
        <f t="shared" si="149"/>
        <v>2515.3200000000002</v>
      </c>
    </row>
    <row r="4751" spans="1:4" ht="16.149999999999999" customHeight="1" x14ac:dyDescent="0.25">
      <c r="A4751" s="431">
        <v>38311</v>
      </c>
      <c r="B4751" s="432">
        <v>2517.86</v>
      </c>
      <c r="C4751" s="427">
        <f t="shared" si="148"/>
        <v>2004</v>
      </c>
      <c r="D4751" s="433">
        <f t="shared" si="149"/>
        <v>2517.86</v>
      </c>
    </row>
    <row r="4752" spans="1:4" ht="16.149999999999999" customHeight="1" x14ac:dyDescent="0.25">
      <c r="A4752" s="431">
        <v>38312</v>
      </c>
      <c r="B4752" s="434">
        <v>2517.86</v>
      </c>
      <c r="C4752" s="427">
        <f t="shared" si="148"/>
        <v>2004</v>
      </c>
      <c r="D4752" s="433">
        <f t="shared" si="149"/>
        <v>2517.86</v>
      </c>
    </row>
    <row r="4753" spans="1:4" ht="16.149999999999999" customHeight="1" x14ac:dyDescent="0.25">
      <c r="A4753" s="431">
        <v>38313</v>
      </c>
      <c r="B4753" s="432">
        <v>2517.86</v>
      </c>
      <c r="C4753" s="427">
        <f t="shared" si="148"/>
        <v>2004</v>
      </c>
      <c r="D4753" s="433">
        <f t="shared" si="149"/>
        <v>2517.86</v>
      </c>
    </row>
    <row r="4754" spans="1:4" ht="16.149999999999999" customHeight="1" x14ac:dyDescent="0.25">
      <c r="A4754" s="431">
        <v>38314</v>
      </c>
      <c r="B4754" s="434">
        <v>2521.81</v>
      </c>
      <c r="C4754" s="427">
        <f t="shared" si="148"/>
        <v>2004</v>
      </c>
      <c r="D4754" s="433">
        <f t="shared" si="149"/>
        <v>2521.81</v>
      </c>
    </row>
    <row r="4755" spans="1:4" ht="16.149999999999999" customHeight="1" x14ac:dyDescent="0.25">
      <c r="A4755" s="431">
        <v>38315</v>
      </c>
      <c r="B4755" s="432">
        <v>2509.79</v>
      </c>
      <c r="C4755" s="427">
        <f t="shared" si="148"/>
        <v>2004</v>
      </c>
      <c r="D4755" s="433">
        <f t="shared" si="149"/>
        <v>2509.79</v>
      </c>
    </row>
    <row r="4756" spans="1:4" ht="16.149999999999999" customHeight="1" x14ac:dyDescent="0.25">
      <c r="A4756" s="431">
        <v>38316</v>
      </c>
      <c r="B4756" s="434">
        <v>2501.88</v>
      </c>
      <c r="C4756" s="427">
        <f t="shared" si="148"/>
        <v>2004</v>
      </c>
      <c r="D4756" s="433">
        <f t="shared" si="149"/>
        <v>2501.88</v>
      </c>
    </row>
    <row r="4757" spans="1:4" ht="16.149999999999999" customHeight="1" x14ac:dyDescent="0.25">
      <c r="A4757" s="431">
        <v>38317</v>
      </c>
      <c r="B4757" s="432">
        <v>2501.88</v>
      </c>
      <c r="C4757" s="427">
        <f t="shared" si="148"/>
        <v>2004</v>
      </c>
      <c r="D4757" s="433">
        <f t="shared" si="149"/>
        <v>2501.88</v>
      </c>
    </row>
    <row r="4758" spans="1:4" ht="16.149999999999999" customHeight="1" x14ac:dyDescent="0.25">
      <c r="A4758" s="431">
        <v>38318</v>
      </c>
      <c r="B4758" s="434">
        <v>2484.36</v>
      </c>
      <c r="C4758" s="427">
        <f t="shared" si="148"/>
        <v>2004</v>
      </c>
      <c r="D4758" s="433">
        <f t="shared" si="149"/>
        <v>2484.36</v>
      </c>
    </row>
    <row r="4759" spans="1:4" ht="16.149999999999999" customHeight="1" x14ac:dyDescent="0.25">
      <c r="A4759" s="431">
        <v>38319</v>
      </c>
      <c r="B4759" s="432">
        <v>2484.36</v>
      </c>
      <c r="C4759" s="427">
        <f t="shared" si="148"/>
        <v>2004</v>
      </c>
      <c r="D4759" s="433">
        <f t="shared" si="149"/>
        <v>2484.36</v>
      </c>
    </row>
    <row r="4760" spans="1:4" ht="16.149999999999999" customHeight="1" x14ac:dyDescent="0.25">
      <c r="A4760" s="431">
        <v>38320</v>
      </c>
      <c r="B4760" s="434">
        <v>2484.36</v>
      </c>
      <c r="C4760" s="427">
        <f t="shared" si="148"/>
        <v>2004</v>
      </c>
      <c r="D4760" s="433">
        <f t="shared" si="149"/>
        <v>2484.36</v>
      </c>
    </row>
    <row r="4761" spans="1:4" ht="16.149999999999999" customHeight="1" x14ac:dyDescent="0.25">
      <c r="A4761" s="431">
        <v>38321</v>
      </c>
      <c r="B4761" s="432">
        <v>2479.1</v>
      </c>
      <c r="C4761" s="427">
        <f t="shared" si="148"/>
        <v>2004</v>
      </c>
      <c r="D4761" s="433">
        <f t="shared" si="149"/>
        <v>2479.1</v>
      </c>
    </row>
    <row r="4762" spans="1:4" ht="16.149999999999999" customHeight="1" x14ac:dyDescent="0.25">
      <c r="A4762" s="431">
        <v>38322</v>
      </c>
      <c r="B4762" s="434">
        <v>2479.1799999999998</v>
      </c>
      <c r="C4762" s="427">
        <f t="shared" si="148"/>
        <v>2004</v>
      </c>
      <c r="D4762" s="433">
        <f t="shared" si="149"/>
        <v>2479.1799999999998</v>
      </c>
    </row>
    <row r="4763" spans="1:4" ht="16.149999999999999" customHeight="1" x14ac:dyDescent="0.25">
      <c r="A4763" s="431">
        <v>38323</v>
      </c>
      <c r="B4763" s="432">
        <v>2472.12</v>
      </c>
      <c r="C4763" s="427">
        <f t="shared" si="148"/>
        <v>2004</v>
      </c>
      <c r="D4763" s="433">
        <f t="shared" si="149"/>
        <v>2472.12</v>
      </c>
    </row>
    <row r="4764" spans="1:4" ht="16.149999999999999" customHeight="1" x14ac:dyDescent="0.25">
      <c r="A4764" s="431">
        <v>38324</v>
      </c>
      <c r="B4764" s="434">
        <v>2481.9299999999998</v>
      </c>
      <c r="C4764" s="427">
        <f t="shared" si="148"/>
        <v>2004</v>
      </c>
      <c r="D4764" s="433">
        <f t="shared" si="149"/>
        <v>2481.9299999999998</v>
      </c>
    </row>
    <row r="4765" spans="1:4" ht="16.149999999999999" customHeight="1" x14ac:dyDescent="0.25">
      <c r="A4765" s="431">
        <v>38325</v>
      </c>
      <c r="B4765" s="432">
        <v>2475.23</v>
      </c>
      <c r="C4765" s="427">
        <f t="shared" si="148"/>
        <v>2004</v>
      </c>
      <c r="D4765" s="433">
        <f t="shared" si="149"/>
        <v>2475.23</v>
      </c>
    </row>
    <row r="4766" spans="1:4" ht="16.149999999999999" customHeight="1" x14ac:dyDescent="0.25">
      <c r="A4766" s="431">
        <v>38326</v>
      </c>
      <c r="B4766" s="434">
        <v>2475.23</v>
      </c>
      <c r="C4766" s="427">
        <f t="shared" si="148"/>
        <v>2004</v>
      </c>
      <c r="D4766" s="433">
        <f t="shared" si="149"/>
        <v>2475.23</v>
      </c>
    </row>
    <row r="4767" spans="1:4" ht="16.149999999999999" customHeight="1" x14ac:dyDescent="0.25">
      <c r="A4767" s="431">
        <v>38327</v>
      </c>
      <c r="B4767" s="432">
        <v>2475.23</v>
      </c>
      <c r="C4767" s="427">
        <f t="shared" si="148"/>
        <v>2004</v>
      </c>
      <c r="D4767" s="433">
        <f t="shared" si="149"/>
        <v>2475.23</v>
      </c>
    </row>
    <row r="4768" spans="1:4" ht="16.149999999999999" customHeight="1" x14ac:dyDescent="0.25">
      <c r="A4768" s="431">
        <v>38328</v>
      </c>
      <c r="B4768" s="434">
        <v>2466.71</v>
      </c>
      <c r="C4768" s="427">
        <f t="shared" si="148"/>
        <v>2004</v>
      </c>
      <c r="D4768" s="433">
        <f t="shared" si="149"/>
        <v>2466.71</v>
      </c>
    </row>
    <row r="4769" spans="1:4" ht="16.149999999999999" customHeight="1" x14ac:dyDescent="0.25">
      <c r="A4769" s="431">
        <v>38329</v>
      </c>
      <c r="B4769" s="432">
        <v>2455.12</v>
      </c>
      <c r="C4769" s="427">
        <f t="shared" si="148"/>
        <v>2004</v>
      </c>
      <c r="D4769" s="433">
        <f t="shared" si="149"/>
        <v>2455.12</v>
      </c>
    </row>
    <row r="4770" spans="1:4" ht="16.149999999999999" customHeight="1" x14ac:dyDescent="0.25">
      <c r="A4770" s="431">
        <v>38330</v>
      </c>
      <c r="B4770" s="434">
        <v>2455.12</v>
      </c>
      <c r="C4770" s="427">
        <f t="shared" si="148"/>
        <v>2004</v>
      </c>
      <c r="D4770" s="433">
        <f t="shared" si="149"/>
        <v>2455.12</v>
      </c>
    </row>
    <row r="4771" spans="1:4" ht="16.149999999999999" customHeight="1" x14ac:dyDescent="0.25">
      <c r="A4771" s="431">
        <v>38331</v>
      </c>
      <c r="B4771" s="432">
        <v>2464.19</v>
      </c>
      <c r="C4771" s="427">
        <f t="shared" si="148"/>
        <v>2004</v>
      </c>
      <c r="D4771" s="433">
        <f t="shared" si="149"/>
        <v>2464.19</v>
      </c>
    </row>
    <row r="4772" spans="1:4" ht="16.149999999999999" customHeight="1" x14ac:dyDescent="0.25">
      <c r="A4772" s="431">
        <v>38332</v>
      </c>
      <c r="B4772" s="434">
        <v>2440.7199999999998</v>
      </c>
      <c r="C4772" s="427">
        <f t="shared" si="148"/>
        <v>2004</v>
      </c>
      <c r="D4772" s="433">
        <f t="shared" si="149"/>
        <v>2440.7199999999998</v>
      </c>
    </row>
    <row r="4773" spans="1:4" ht="16.149999999999999" customHeight="1" x14ac:dyDescent="0.25">
      <c r="A4773" s="431">
        <v>38333</v>
      </c>
      <c r="B4773" s="432">
        <v>2440.7199999999998</v>
      </c>
      <c r="C4773" s="427">
        <f t="shared" si="148"/>
        <v>2004</v>
      </c>
      <c r="D4773" s="433">
        <f t="shared" si="149"/>
        <v>2440.7199999999998</v>
      </c>
    </row>
    <row r="4774" spans="1:4" ht="16.149999999999999" customHeight="1" x14ac:dyDescent="0.25">
      <c r="A4774" s="431">
        <v>38334</v>
      </c>
      <c r="B4774" s="434">
        <v>2440.7199999999998</v>
      </c>
      <c r="C4774" s="427">
        <f t="shared" si="148"/>
        <v>2004</v>
      </c>
      <c r="D4774" s="433">
        <f t="shared" si="149"/>
        <v>2440.7199999999998</v>
      </c>
    </row>
    <row r="4775" spans="1:4" ht="16.149999999999999" customHeight="1" x14ac:dyDescent="0.25">
      <c r="A4775" s="431">
        <v>38335</v>
      </c>
      <c r="B4775" s="432">
        <v>2416.29</v>
      </c>
      <c r="C4775" s="427">
        <f t="shared" si="148"/>
        <v>2004</v>
      </c>
      <c r="D4775" s="433">
        <f t="shared" si="149"/>
        <v>2416.29</v>
      </c>
    </row>
    <row r="4776" spans="1:4" ht="16.149999999999999" customHeight="1" x14ac:dyDescent="0.25">
      <c r="A4776" s="431">
        <v>38336</v>
      </c>
      <c r="B4776" s="434">
        <v>2385.1</v>
      </c>
      <c r="C4776" s="427">
        <f t="shared" si="148"/>
        <v>2004</v>
      </c>
      <c r="D4776" s="433">
        <f t="shared" si="149"/>
        <v>2385.1</v>
      </c>
    </row>
    <row r="4777" spans="1:4" ht="16.149999999999999" customHeight="1" x14ac:dyDescent="0.25">
      <c r="A4777" s="431">
        <v>38337</v>
      </c>
      <c r="B4777" s="432">
        <v>2376.37</v>
      </c>
      <c r="C4777" s="427">
        <f t="shared" si="148"/>
        <v>2004</v>
      </c>
      <c r="D4777" s="433">
        <f t="shared" si="149"/>
        <v>2376.37</v>
      </c>
    </row>
    <row r="4778" spans="1:4" ht="16.149999999999999" customHeight="1" x14ac:dyDescent="0.25">
      <c r="A4778" s="431">
        <v>38338</v>
      </c>
      <c r="B4778" s="434">
        <v>2365.75</v>
      </c>
      <c r="C4778" s="427">
        <f t="shared" si="148"/>
        <v>2004</v>
      </c>
      <c r="D4778" s="433">
        <f t="shared" si="149"/>
        <v>2365.75</v>
      </c>
    </row>
    <row r="4779" spans="1:4" ht="16.149999999999999" customHeight="1" x14ac:dyDescent="0.25">
      <c r="A4779" s="431">
        <v>38339</v>
      </c>
      <c r="B4779" s="432">
        <v>2361.46</v>
      </c>
      <c r="C4779" s="427">
        <f t="shared" si="148"/>
        <v>2004</v>
      </c>
      <c r="D4779" s="433">
        <f t="shared" si="149"/>
        <v>2361.46</v>
      </c>
    </row>
    <row r="4780" spans="1:4" ht="16.149999999999999" customHeight="1" x14ac:dyDescent="0.25">
      <c r="A4780" s="431">
        <v>38340</v>
      </c>
      <c r="B4780" s="434">
        <v>2361.46</v>
      </c>
      <c r="C4780" s="427">
        <f t="shared" si="148"/>
        <v>2004</v>
      </c>
      <c r="D4780" s="433">
        <f t="shared" si="149"/>
        <v>2361.46</v>
      </c>
    </row>
    <row r="4781" spans="1:4" ht="16.149999999999999" customHeight="1" x14ac:dyDescent="0.25">
      <c r="A4781" s="431">
        <v>38341</v>
      </c>
      <c r="B4781" s="432">
        <v>2361.46</v>
      </c>
      <c r="C4781" s="427">
        <f t="shared" si="148"/>
        <v>2004</v>
      </c>
      <c r="D4781" s="433">
        <f t="shared" si="149"/>
        <v>2361.46</v>
      </c>
    </row>
    <row r="4782" spans="1:4" ht="16.149999999999999" customHeight="1" x14ac:dyDescent="0.25">
      <c r="A4782" s="431">
        <v>38342</v>
      </c>
      <c r="B4782" s="434">
        <v>2329.79</v>
      </c>
      <c r="C4782" s="427">
        <f t="shared" si="148"/>
        <v>2004</v>
      </c>
      <c r="D4782" s="433">
        <f t="shared" si="149"/>
        <v>2329.79</v>
      </c>
    </row>
    <row r="4783" spans="1:4" ht="16.149999999999999" customHeight="1" x14ac:dyDescent="0.25">
      <c r="A4783" s="431">
        <v>38343</v>
      </c>
      <c r="B4783" s="432">
        <v>2316.12</v>
      </c>
      <c r="C4783" s="427">
        <f t="shared" si="148"/>
        <v>2004</v>
      </c>
      <c r="D4783" s="433">
        <f t="shared" si="149"/>
        <v>2316.12</v>
      </c>
    </row>
    <row r="4784" spans="1:4" ht="16.149999999999999" customHeight="1" x14ac:dyDescent="0.25">
      <c r="A4784" s="431">
        <v>38344</v>
      </c>
      <c r="B4784" s="434">
        <v>2381.0300000000002</v>
      </c>
      <c r="C4784" s="427">
        <f t="shared" si="148"/>
        <v>2004</v>
      </c>
      <c r="D4784" s="433">
        <f t="shared" si="149"/>
        <v>2381.0300000000002</v>
      </c>
    </row>
    <row r="4785" spans="1:4" ht="16.149999999999999" customHeight="1" x14ac:dyDescent="0.25">
      <c r="A4785" s="431">
        <v>38345</v>
      </c>
      <c r="B4785" s="432">
        <v>2404.4</v>
      </c>
      <c r="C4785" s="427">
        <f t="shared" si="148"/>
        <v>2004</v>
      </c>
      <c r="D4785" s="433">
        <f t="shared" si="149"/>
        <v>2404.4</v>
      </c>
    </row>
    <row r="4786" spans="1:4" ht="16.149999999999999" customHeight="1" x14ac:dyDescent="0.25">
      <c r="A4786" s="431">
        <v>38346</v>
      </c>
      <c r="B4786" s="434">
        <v>2375.9899999999998</v>
      </c>
      <c r="C4786" s="427">
        <f t="shared" si="148"/>
        <v>2004</v>
      </c>
      <c r="D4786" s="433">
        <f t="shared" si="149"/>
        <v>2375.9899999999998</v>
      </c>
    </row>
    <row r="4787" spans="1:4" ht="16.149999999999999" customHeight="1" x14ac:dyDescent="0.25">
      <c r="A4787" s="431">
        <v>38347</v>
      </c>
      <c r="B4787" s="432">
        <v>2375.9899999999998</v>
      </c>
      <c r="C4787" s="427">
        <f t="shared" si="148"/>
        <v>2004</v>
      </c>
      <c r="D4787" s="433">
        <f t="shared" si="149"/>
        <v>2375.9899999999998</v>
      </c>
    </row>
    <row r="4788" spans="1:4" ht="16.149999999999999" customHeight="1" x14ac:dyDescent="0.25">
      <c r="A4788" s="431">
        <v>38348</v>
      </c>
      <c r="B4788" s="434">
        <v>2375.9899999999998</v>
      </c>
      <c r="C4788" s="427">
        <f t="shared" si="148"/>
        <v>2004</v>
      </c>
      <c r="D4788" s="433">
        <f t="shared" si="149"/>
        <v>2375.9899999999998</v>
      </c>
    </row>
    <row r="4789" spans="1:4" ht="16.149999999999999" customHeight="1" x14ac:dyDescent="0.25">
      <c r="A4789" s="431">
        <v>38349</v>
      </c>
      <c r="B4789" s="432">
        <v>2385.3200000000002</v>
      </c>
      <c r="C4789" s="427">
        <f t="shared" si="148"/>
        <v>2004</v>
      </c>
      <c r="D4789" s="433">
        <f t="shared" si="149"/>
        <v>2385.3200000000002</v>
      </c>
    </row>
    <row r="4790" spans="1:4" ht="16.149999999999999" customHeight="1" x14ac:dyDescent="0.25">
      <c r="A4790" s="431">
        <v>38350</v>
      </c>
      <c r="B4790" s="434">
        <v>2415.37</v>
      </c>
      <c r="C4790" s="427">
        <f t="shared" si="148"/>
        <v>2004</v>
      </c>
      <c r="D4790" s="433">
        <f t="shared" si="149"/>
        <v>2415.37</v>
      </c>
    </row>
    <row r="4791" spans="1:4" ht="16.149999999999999" customHeight="1" x14ac:dyDescent="0.25">
      <c r="A4791" s="431">
        <v>38351</v>
      </c>
      <c r="B4791" s="432">
        <v>2412.1</v>
      </c>
      <c r="C4791" s="427">
        <f t="shared" si="148"/>
        <v>2004</v>
      </c>
      <c r="D4791" s="433">
        <f t="shared" si="149"/>
        <v>2412.1</v>
      </c>
    </row>
    <row r="4792" spans="1:4" ht="16.149999999999999" customHeight="1" x14ac:dyDescent="0.25">
      <c r="A4792" s="431">
        <v>38352</v>
      </c>
      <c r="B4792" s="434">
        <v>2389.75</v>
      </c>
      <c r="C4792" s="427">
        <f t="shared" si="148"/>
        <v>2004</v>
      </c>
      <c r="D4792" s="433">
        <f t="shared" si="149"/>
        <v>2389.75</v>
      </c>
    </row>
    <row r="4793" spans="1:4" ht="16.149999999999999" customHeight="1" x14ac:dyDescent="0.25">
      <c r="A4793" s="431">
        <v>38353</v>
      </c>
      <c r="B4793" s="432">
        <v>2389.75</v>
      </c>
      <c r="C4793" s="427">
        <f t="shared" si="148"/>
        <v>2005</v>
      </c>
      <c r="D4793" s="433">
        <f t="shared" si="149"/>
        <v>2389.75</v>
      </c>
    </row>
    <row r="4794" spans="1:4" ht="16.149999999999999" customHeight="1" x14ac:dyDescent="0.25">
      <c r="A4794" s="431">
        <v>38354</v>
      </c>
      <c r="B4794" s="434">
        <v>2389.75</v>
      </c>
      <c r="C4794" s="427">
        <f t="shared" si="148"/>
        <v>2005</v>
      </c>
      <c r="D4794" s="433">
        <f t="shared" si="149"/>
        <v>2389.75</v>
      </c>
    </row>
    <row r="4795" spans="1:4" ht="16.149999999999999" customHeight="1" x14ac:dyDescent="0.25">
      <c r="A4795" s="431">
        <v>38355</v>
      </c>
      <c r="B4795" s="432">
        <v>2389.75</v>
      </c>
      <c r="C4795" s="427">
        <f t="shared" si="148"/>
        <v>2005</v>
      </c>
      <c r="D4795" s="433">
        <f t="shared" si="149"/>
        <v>2389.75</v>
      </c>
    </row>
    <row r="4796" spans="1:4" ht="16.149999999999999" customHeight="1" x14ac:dyDescent="0.25">
      <c r="A4796" s="431">
        <v>38356</v>
      </c>
      <c r="B4796" s="434">
        <v>2338.84</v>
      </c>
      <c r="C4796" s="427">
        <f t="shared" si="148"/>
        <v>2005</v>
      </c>
      <c r="D4796" s="433">
        <f t="shared" si="149"/>
        <v>2338.84</v>
      </c>
    </row>
    <row r="4797" spans="1:4" ht="16.149999999999999" customHeight="1" x14ac:dyDescent="0.25">
      <c r="A4797" s="431">
        <v>38357</v>
      </c>
      <c r="B4797" s="432">
        <v>2315.4499999999998</v>
      </c>
      <c r="C4797" s="427">
        <f t="shared" si="148"/>
        <v>2005</v>
      </c>
      <c r="D4797" s="433">
        <f t="shared" si="149"/>
        <v>2315.4499999999998</v>
      </c>
    </row>
    <row r="4798" spans="1:4" ht="16.149999999999999" customHeight="1" x14ac:dyDescent="0.25">
      <c r="A4798" s="431">
        <v>38358</v>
      </c>
      <c r="B4798" s="434">
        <v>2344.4499999999998</v>
      </c>
      <c r="C4798" s="427">
        <f t="shared" si="148"/>
        <v>2005</v>
      </c>
      <c r="D4798" s="433">
        <f t="shared" si="149"/>
        <v>2344.4499999999998</v>
      </c>
    </row>
    <row r="4799" spans="1:4" ht="16.149999999999999" customHeight="1" x14ac:dyDescent="0.25">
      <c r="A4799" s="431">
        <v>38359</v>
      </c>
      <c r="B4799" s="432">
        <v>2386.67</v>
      </c>
      <c r="C4799" s="427">
        <f t="shared" si="148"/>
        <v>2005</v>
      </c>
      <c r="D4799" s="433">
        <f t="shared" si="149"/>
        <v>2386.67</v>
      </c>
    </row>
    <row r="4800" spans="1:4" ht="16.149999999999999" customHeight="1" x14ac:dyDescent="0.25">
      <c r="A4800" s="431">
        <v>38360</v>
      </c>
      <c r="B4800" s="434">
        <v>2358.54</v>
      </c>
      <c r="C4800" s="427">
        <f t="shared" si="148"/>
        <v>2005</v>
      </c>
      <c r="D4800" s="433">
        <f t="shared" si="149"/>
        <v>2358.54</v>
      </c>
    </row>
    <row r="4801" spans="1:4" ht="16.149999999999999" customHeight="1" x14ac:dyDescent="0.25">
      <c r="A4801" s="431">
        <v>38361</v>
      </c>
      <c r="B4801" s="432">
        <v>2358.54</v>
      </c>
      <c r="C4801" s="427">
        <f t="shared" si="148"/>
        <v>2005</v>
      </c>
      <c r="D4801" s="433">
        <f t="shared" si="149"/>
        <v>2358.54</v>
      </c>
    </row>
    <row r="4802" spans="1:4" ht="16.149999999999999" customHeight="1" x14ac:dyDescent="0.25">
      <c r="A4802" s="431">
        <v>38362</v>
      </c>
      <c r="B4802" s="434">
        <v>2358.54</v>
      </c>
      <c r="C4802" s="427">
        <f t="shared" si="148"/>
        <v>2005</v>
      </c>
      <c r="D4802" s="433">
        <f t="shared" si="149"/>
        <v>2358.54</v>
      </c>
    </row>
    <row r="4803" spans="1:4" ht="16.149999999999999" customHeight="1" x14ac:dyDescent="0.25">
      <c r="A4803" s="431">
        <v>38363</v>
      </c>
      <c r="B4803" s="432">
        <v>2358.54</v>
      </c>
      <c r="C4803" s="427">
        <f t="shared" si="148"/>
        <v>2005</v>
      </c>
      <c r="D4803" s="433">
        <f t="shared" si="149"/>
        <v>2358.54</v>
      </c>
    </row>
    <row r="4804" spans="1:4" ht="16.149999999999999" customHeight="1" x14ac:dyDescent="0.25">
      <c r="A4804" s="431">
        <v>38364</v>
      </c>
      <c r="B4804" s="434">
        <v>2380.96</v>
      </c>
      <c r="C4804" s="427">
        <f t="shared" si="148"/>
        <v>2005</v>
      </c>
      <c r="D4804" s="433">
        <f t="shared" si="149"/>
        <v>2380.96</v>
      </c>
    </row>
    <row r="4805" spans="1:4" ht="16.149999999999999" customHeight="1" x14ac:dyDescent="0.25">
      <c r="A4805" s="431">
        <v>38365</v>
      </c>
      <c r="B4805" s="432">
        <v>2358.64</v>
      </c>
      <c r="C4805" s="427">
        <f t="shared" si="148"/>
        <v>2005</v>
      </c>
      <c r="D4805" s="433">
        <f t="shared" si="149"/>
        <v>2358.64</v>
      </c>
    </row>
    <row r="4806" spans="1:4" ht="16.149999999999999" customHeight="1" x14ac:dyDescent="0.25">
      <c r="A4806" s="431">
        <v>38366</v>
      </c>
      <c r="B4806" s="434">
        <v>2340.42</v>
      </c>
      <c r="C4806" s="427">
        <f t="shared" si="148"/>
        <v>2005</v>
      </c>
      <c r="D4806" s="433">
        <f t="shared" si="149"/>
        <v>2340.42</v>
      </c>
    </row>
    <row r="4807" spans="1:4" ht="16.149999999999999" customHeight="1" x14ac:dyDescent="0.25">
      <c r="A4807" s="431">
        <v>38367</v>
      </c>
      <c r="B4807" s="432">
        <v>2351.23</v>
      </c>
      <c r="C4807" s="427">
        <f t="shared" si="148"/>
        <v>2005</v>
      </c>
      <c r="D4807" s="433">
        <f t="shared" si="149"/>
        <v>2351.23</v>
      </c>
    </row>
    <row r="4808" spans="1:4" ht="16.149999999999999" customHeight="1" x14ac:dyDescent="0.25">
      <c r="A4808" s="431">
        <v>38368</v>
      </c>
      <c r="B4808" s="434">
        <v>2351.23</v>
      </c>
      <c r="C4808" s="427">
        <f t="shared" si="148"/>
        <v>2005</v>
      </c>
      <c r="D4808" s="433">
        <f t="shared" si="149"/>
        <v>2351.23</v>
      </c>
    </row>
    <row r="4809" spans="1:4" ht="16.149999999999999" customHeight="1" x14ac:dyDescent="0.25">
      <c r="A4809" s="431">
        <v>38369</v>
      </c>
      <c r="B4809" s="432">
        <v>2351.23</v>
      </c>
      <c r="C4809" s="427">
        <f t="shared" si="148"/>
        <v>2005</v>
      </c>
      <c r="D4809" s="433">
        <f t="shared" si="149"/>
        <v>2351.23</v>
      </c>
    </row>
    <row r="4810" spans="1:4" ht="16.149999999999999" customHeight="1" x14ac:dyDescent="0.25">
      <c r="A4810" s="431">
        <v>38370</v>
      </c>
      <c r="B4810" s="434">
        <v>2351.23</v>
      </c>
      <c r="C4810" s="427">
        <f t="shared" ref="C4810:C4873" si="150">YEAR(A4810)</f>
        <v>2005</v>
      </c>
      <c r="D4810" s="433">
        <f t="shared" ref="D4810:D4873" si="151">B4810</f>
        <v>2351.23</v>
      </c>
    </row>
    <row r="4811" spans="1:4" ht="16.149999999999999" customHeight="1" x14ac:dyDescent="0.25">
      <c r="A4811" s="431">
        <v>38371</v>
      </c>
      <c r="B4811" s="432">
        <v>2371.77</v>
      </c>
      <c r="C4811" s="427">
        <f t="shared" si="150"/>
        <v>2005</v>
      </c>
      <c r="D4811" s="433">
        <f t="shared" si="151"/>
        <v>2371.77</v>
      </c>
    </row>
    <row r="4812" spans="1:4" ht="16.149999999999999" customHeight="1" x14ac:dyDescent="0.25">
      <c r="A4812" s="431">
        <v>38372</v>
      </c>
      <c r="B4812" s="434">
        <v>2363.69</v>
      </c>
      <c r="C4812" s="427">
        <f t="shared" si="150"/>
        <v>2005</v>
      </c>
      <c r="D4812" s="433">
        <f t="shared" si="151"/>
        <v>2363.69</v>
      </c>
    </row>
    <row r="4813" spans="1:4" ht="16.149999999999999" customHeight="1" x14ac:dyDescent="0.25">
      <c r="A4813" s="431">
        <v>38373</v>
      </c>
      <c r="B4813" s="432">
        <v>2381.54</v>
      </c>
      <c r="C4813" s="427">
        <f t="shared" si="150"/>
        <v>2005</v>
      </c>
      <c r="D4813" s="433">
        <f t="shared" si="151"/>
        <v>2381.54</v>
      </c>
    </row>
    <row r="4814" spans="1:4" ht="16.149999999999999" customHeight="1" x14ac:dyDescent="0.25">
      <c r="A4814" s="431">
        <v>38374</v>
      </c>
      <c r="B4814" s="434">
        <v>2373.86</v>
      </c>
      <c r="C4814" s="427">
        <f t="shared" si="150"/>
        <v>2005</v>
      </c>
      <c r="D4814" s="433">
        <f t="shared" si="151"/>
        <v>2373.86</v>
      </c>
    </row>
    <row r="4815" spans="1:4" ht="16.149999999999999" customHeight="1" x14ac:dyDescent="0.25">
      <c r="A4815" s="431">
        <v>38375</v>
      </c>
      <c r="B4815" s="432">
        <v>2373.86</v>
      </c>
      <c r="C4815" s="427">
        <f t="shared" si="150"/>
        <v>2005</v>
      </c>
      <c r="D4815" s="433">
        <f t="shared" si="151"/>
        <v>2373.86</v>
      </c>
    </row>
    <row r="4816" spans="1:4" ht="16.149999999999999" customHeight="1" x14ac:dyDescent="0.25">
      <c r="A4816" s="431">
        <v>38376</v>
      </c>
      <c r="B4816" s="434">
        <v>2373.86</v>
      </c>
      <c r="C4816" s="427">
        <f t="shared" si="150"/>
        <v>2005</v>
      </c>
      <c r="D4816" s="433">
        <f t="shared" si="151"/>
        <v>2373.86</v>
      </c>
    </row>
    <row r="4817" spans="1:4" ht="16.149999999999999" customHeight="1" x14ac:dyDescent="0.25">
      <c r="A4817" s="431">
        <v>38377</v>
      </c>
      <c r="B4817" s="432">
        <v>2370.77</v>
      </c>
      <c r="C4817" s="427">
        <f t="shared" si="150"/>
        <v>2005</v>
      </c>
      <c r="D4817" s="433">
        <f t="shared" si="151"/>
        <v>2370.77</v>
      </c>
    </row>
    <row r="4818" spans="1:4" ht="16.149999999999999" customHeight="1" x14ac:dyDescent="0.25">
      <c r="A4818" s="431">
        <v>38378</v>
      </c>
      <c r="B4818" s="434">
        <v>2370.08</v>
      </c>
      <c r="C4818" s="427">
        <f t="shared" si="150"/>
        <v>2005</v>
      </c>
      <c r="D4818" s="433">
        <f t="shared" si="151"/>
        <v>2370.08</v>
      </c>
    </row>
    <row r="4819" spans="1:4" ht="16.149999999999999" customHeight="1" x14ac:dyDescent="0.25">
      <c r="A4819" s="431">
        <v>38379</v>
      </c>
      <c r="B4819" s="432">
        <v>2370.9499999999998</v>
      </c>
      <c r="C4819" s="427">
        <f t="shared" si="150"/>
        <v>2005</v>
      </c>
      <c r="D4819" s="433">
        <f t="shared" si="151"/>
        <v>2370.9499999999998</v>
      </c>
    </row>
    <row r="4820" spans="1:4" ht="16.149999999999999" customHeight="1" x14ac:dyDescent="0.25">
      <c r="A4820" s="431">
        <v>38380</v>
      </c>
      <c r="B4820" s="434">
        <v>2372.63</v>
      </c>
      <c r="C4820" s="427">
        <f t="shared" si="150"/>
        <v>2005</v>
      </c>
      <c r="D4820" s="433">
        <f t="shared" si="151"/>
        <v>2372.63</v>
      </c>
    </row>
    <row r="4821" spans="1:4" ht="16.149999999999999" customHeight="1" x14ac:dyDescent="0.25">
      <c r="A4821" s="431">
        <v>38381</v>
      </c>
      <c r="B4821" s="432">
        <v>2367.7600000000002</v>
      </c>
      <c r="C4821" s="427">
        <f t="shared" si="150"/>
        <v>2005</v>
      </c>
      <c r="D4821" s="433">
        <f t="shared" si="151"/>
        <v>2367.7600000000002</v>
      </c>
    </row>
    <row r="4822" spans="1:4" ht="16.149999999999999" customHeight="1" x14ac:dyDescent="0.25">
      <c r="A4822" s="431">
        <v>38382</v>
      </c>
      <c r="B4822" s="434">
        <v>2367.7600000000002</v>
      </c>
      <c r="C4822" s="427">
        <f t="shared" si="150"/>
        <v>2005</v>
      </c>
      <c r="D4822" s="433">
        <f t="shared" si="151"/>
        <v>2367.7600000000002</v>
      </c>
    </row>
    <row r="4823" spans="1:4" ht="16.149999999999999" customHeight="1" x14ac:dyDescent="0.25">
      <c r="A4823" s="431">
        <v>38383</v>
      </c>
      <c r="B4823" s="432">
        <v>2367.7600000000002</v>
      </c>
      <c r="C4823" s="427">
        <f t="shared" si="150"/>
        <v>2005</v>
      </c>
      <c r="D4823" s="433">
        <f t="shared" si="151"/>
        <v>2367.7600000000002</v>
      </c>
    </row>
    <row r="4824" spans="1:4" ht="16.149999999999999" customHeight="1" x14ac:dyDescent="0.25">
      <c r="A4824" s="431">
        <v>38384</v>
      </c>
      <c r="B4824" s="434">
        <v>2363.75</v>
      </c>
      <c r="C4824" s="427">
        <f t="shared" si="150"/>
        <v>2005</v>
      </c>
      <c r="D4824" s="433">
        <f t="shared" si="151"/>
        <v>2363.75</v>
      </c>
    </row>
    <row r="4825" spans="1:4" ht="16.149999999999999" customHeight="1" x14ac:dyDescent="0.25">
      <c r="A4825" s="431">
        <v>38385</v>
      </c>
      <c r="B4825" s="432">
        <v>2358.16</v>
      </c>
      <c r="C4825" s="427">
        <f t="shared" si="150"/>
        <v>2005</v>
      </c>
      <c r="D4825" s="433">
        <f t="shared" si="151"/>
        <v>2358.16</v>
      </c>
    </row>
    <row r="4826" spans="1:4" ht="16.149999999999999" customHeight="1" x14ac:dyDescent="0.25">
      <c r="A4826" s="431">
        <v>38386</v>
      </c>
      <c r="B4826" s="434">
        <v>2364.13</v>
      </c>
      <c r="C4826" s="427">
        <f t="shared" si="150"/>
        <v>2005</v>
      </c>
      <c r="D4826" s="433">
        <f t="shared" si="151"/>
        <v>2364.13</v>
      </c>
    </row>
    <row r="4827" spans="1:4" ht="16.149999999999999" customHeight="1" x14ac:dyDescent="0.25">
      <c r="A4827" s="431">
        <v>38387</v>
      </c>
      <c r="B4827" s="432">
        <v>2365.08</v>
      </c>
      <c r="C4827" s="427">
        <f t="shared" si="150"/>
        <v>2005</v>
      </c>
      <c r="D4827" s="433">
        <f t="shared" si="151"/>
        <v>2365.08</v>
      </c>
    </row>
    <row r="4828" spans="1:4" ht="16.149999999999999" customHeight="1" x14ac:dyDescent="0.25">
      <c r="A4828" s="431">
        <v>38388</v>
      </c>
      <c r="B4828" s="434">
        <v>2361.92</v>
      </c>
      <c r="C4828" s="427">
        <f t="shared" si="150"/>
        <v>2005</v>
      </c>
      <c r="D4828" s="433">
        <f t="shared" si="151"/>
        <v>2361.92</v>
      </c>
    </row>
    <row r="4829" spans="1:4" ht="16.149999999999999" customHeight="1" x14ac:dyDescent="0.25">
      <c r="A4829" s="431">
        <v>38389</v>
      </c>
      <c r="B4829" s="432">
        <v>2361.92</v>
      </c>
      <c r="C4829" s="427">
        <f t="shared" si="150"/>
        <v>2005</v>
      </c>
      <c r="D4829" s="433">
        <f t="shared" si="151"/>
        <v>2361.92</v>
      </c>
    </row>
    <row r="4830" spans="1:4" ht="16.149999999999999" customHeight="1" x14ac:dyDescent="0.25">
      <c r="A4830" s="431">
        <v>38390</v>
      </c>
      <c r="B4830" s="434">
        <v>2361.92</v>
      </c>
      <c r="C4830" s="427">
        <f t="shared" si="150"/>
        <v>2005</v>
      </c>
      <c r="D4830" s="433">
        <f t="shared" si="151"/>
        <v>2361.92</v>
      </c>
    </row>
    <row r="4831" spans="1:4" ht="16.149999999999999" customHeight="1" x14ac:dyDescent="0.25">
      <c r="A4831" s="431">
        <v>38391</v>
      </c>
      <c r="B4831" s="432">
        <v>2365.79</v>
      </c>
      <c r="C4831" s="427">
        <f t="shared" si="150"/>
        <v>2005</v>
      </c>
      <c r="D4831" s="433">
        <f t="shared" si="151"/>
        <v>2365.79</v>
      </c>
    </row>
    <row r="4832" spans="1:4" ht="16.149999999999999" customHeight="1" x14ac:dyDescent="0.25">
      <c r="A4832" s="431">
        <v>38392</v>
      </c>
      <c r="B4832" s="434">
        <v>2364.16</v>
      </c>
      <c r="C4832" s="427">
        <f t="shared" si="150"/>
        <v>2005</v>
      </c>
      <c r="D4832" s="433">
        <f t="shared" si="151"/>
        <v>2364.16</v>
      </c>
    </row>
    <row r="4833" spans="1:4" ht="16.149999999999999" customHeight="1" x14ac:dyDescent="0.25">
      <c r="A4833" s="431">
        <v>38393</v>
      </c>
      <c r="B4833" s="432">
        <v>2358.61</v>
      </c>
      <c r="C4833" s="427">
        <f t="shared" si="150"/>
        <v>2005</v>
      </c>
      <c r="D4833" s="433">
        <f t="shared" si="151"/>
        <v>2358.61</v>
      </c>
    </row>
    <row r="4834" spans="1:4" ht="16.149999999999999" customHeight="1" x14ac:dyDescent="0.25">
      <c r="A4834" s="431">
        <v>38394</v>
      </c>
      <c r="B4834" s="434">
        <v>2344.94</v>
      </c>
      <c r="C4834" s="427">
        <f t="shared" si="150"/>
        <v>2005</v>
      </c>
      <c r="D4834" s="433">
        <f t="shared" si="151"/>
        <v>2344.94</v>
      </c>
    </row>
    <row r="4835" spans="1:4" ht="16.149999999999999" customHeight="1" x14ac:dyDescent="0.25">
      <c r="A4835" s="431">
        <v>38395</v>
      </c>
      <c r="B4835" s="432">
        <v>2346.04</v>
      </c>
      <c r="C4835" s="427">
        <f t="shared" si="150"/>
        <v>2005</v>
      </c>
      <c r="D4835" s="433">
        <f t="shared" si="151"/>
        <v>2346.04</v>
      </c>
    </row>
    <row r="4836" spans="1:4" ht="16.149999999999999" customHeight="1" x14ac:dyDescent="0.25">
      <c r="A4836" s="431">
        <v>38396</v>
      </c>
      <c r="B4836" s="434">
        <v>2346.04</v>
      </c>
      <c r="C4836" s="427">
        <f t="shared" si="150"/>
        <v>2005</v>
      </c>
      <c r="D4836" s="433">
        <f t="shared" si="151"/>
        <v>2346.04</v>
      </c>
    </row>
    <row r="4837" spans="1:4" ht="16.149999999999999" customHeight="1" x14ac:dyDescent="0.25">
      <c r="A4837" s="431">
        <v>38397</v>
      </c>
      <c r="B4837" s="432">
        <v>2346.04</v>
      </c>
      <c r="C4837" s="427">
        <f t="shared" si="150"/>
        <v>2005</v>
      </c>
      <c r="D4837" s="433">
        <f t="shared" si="151"/>
        <v>2346.04</v>
      </c>
    </row>
    <row r="4838" spans="1:4" ht="16.149999999999999" customHeight="1" x14ac:dyDescent="0.25">
      <c r="A4838" s="431">
        <v>38398</v>
      </c>
      <c r="B4838" s="434">
        <v>2338.27</v>
      </c>
      <c r="C4838" s="427">
        <f t="shared" si="150"/>
        <v>2005</v>
      </c>
      <c r="D4838" s="433">
        <f t="shared" si="151"/>
        <v>2338.27</v>
      </c>
    </row>
    <row r="4839" spans="1:4" ht="16.149999999999999" customHeight="1" x14ac:dyDescent="0.25">
      <c r="A4839" s="431">
        <v>38399</v>
      </c>
      <c r="B4839" s="432">
        <v>2330.62</v>
      </c>
      <c r="C4839" s="427">
        <f t="shared" si="150"/>
        <v>2005</v>
      </c>
      <c r="D4839" s="433">
        <f t="shared" si="151"/>
        <v>2330.62</v>
      </c>
    </row>
    <row r="4840" spans="1:4" ht="16.149999999999999" customHeight="1" x14ac:dyDescent="0.25">
      <c r="A4840" s="431">
        <v>38400</v>
      </c>
      <c r="B4840" s="434">
        <v>2331.6999999999998</v>
      </c>
      <c r="C4840" s="427">
        <f t="shared" si="150"/>
        <v>2005</v>
      </c>
      <c r="D4840" s="433">
        <f t="shared" si="151"/>
        <v>2331.6999999999998</v>
      </c>
    </row>
    <row r="4841" spans="1:4" ht="16.149999999999999" customHeight="1" x14ac:dyDescent="0.25">
      <c r="A4841" s="431">
        <v>38401</v>
      </c>
      <c r="B4841" s="432">
        <v>2327.4499999999998</v>
      </c>
      <c r="C4841" s="427">
        <f t="shared" si="150"/>
        <v>2005</v>
      </c>
      <c r="D4841" s="433">
        <f t="shared" si="151"/>
        <v>2327.4499999999998</v>
      </c>
    </row>
    <row r="4842" spans="1:4" ht="16.149999999999999" customHeight="1" x14ac:dyDescent="0.25">
      <c r="A4842" s="431">
        <v>38402</v>
      </c>
      <c r="B4842" s="434">
        <v>2318.12</v>
      </c>
      <c r="C4842" s="427">
        <f t="shared" si="150"/>
        <v>2005</v>
      </c>
      <c r="D4842" s="433">
        <f t="shared" si="151"/>
        <v>2318.12</v>
      </c>
    </row>
    <row r="4843" spans="1:4" ht="16.149999999999999" customHeight="1" x14ac:dyDescent="0.25">
      <c r="A4843" s="431">
        <v>38403</v>
      </c>
      <c r="B4843" s="432">
        <v>2318.12</v>
      </c>
      <c r="C4843" s="427">
        <f t="shared" si="150"/>
        <v>2005</v>
      </c>
      <c r="D4843" s="433">
        <f t="shared" si="151"/>
        <v>2318.12</v>
      </c>
    </row>
    <row r="4844" spans="1:4" ht="16.149999999999999" customHeight="1" x14ac:dyDescent="0.25">
      <c r="A4844" s="431">
        <v>38404</v>
      </c>
      <c r="B4844" s="434">
        <v>2318.12</v>
      </c>
      <c r="C4844" s="427">
        <f t="shared" si="150"/>
        <v>2005</v>
      </c>
      <c r="D4844" s="433">
        <f t="shared" si="151"/>
        <v>2318.12</v>
      </c>
    </row>
    <row r="4845" spans="1:4" ht="16.149999999999999" customHeight="1" x14ac:dyDescent="0.25">
      <c r="A4845" s="431">
        <v>38405</v>
      </c>
      <c r="B4845" s="432">
        <v>2318.12</v>
      </c>
      <c r="C4845" s="427">
        <f t="shared" si="150"/>
        <v>2005</v>
      </c>
      <c r="D4845" s="433">
        <f t="shared" si="151"/>
        <v>2318.12</v>
      </c>
    </row>
    <row r="4846" spans="1:4" ht="16.149999999999999" customHeight="1" x14ac:dyDescent="0.25">
      <c r="A4846" s="431">
        <v>38406</v>
      </c>
      <c r="B4846" s="434">
        <v>2311.83</v>
      </c>
      <c r="C4846" s="427">
        <f t="shared" si="150"/>
        <v>2005</v>
      </c>
      <c r="D4846" s="433">
        <f t="shared" si="151"/>
        <v>2311.83</v>
      </c>
    </row>
    <row r="4847" spans="1:4" ht="16.149999999999999" customHeight="1" x14ac:dyDescent="0.25">
      <c r="A4847" s="431">
        <v>38407</v>
      </c>
      <c r="B4847" s="432">
        <v>2308.58</v>
      </c>
      <c r="C4847" s="427">
        <f t="shared" si="150"/>
        <v>2005</v>
      </c>
      <c r="D4847" s="433">
        <f t="shared" si="151"/>
        <v>2308.58</v>
      </c>
    </row>
    <row r="4848" spans="1:4" ht="16.149999999999999" customHeight="1" x14ac:dyDescent="0.25">
      <c r="A4848" s="431">
        <v>38408</v>
      </c>
      <c r="B4848" s="434">
        <v>2308.6999999999998</v>
      </c>
      <c r="C4848" s="427">
        <f t="shared" si="150"/>
        <v>2005</v>
      </c>
      <c r="D4848" s="433">
        <f t="shared" si="151"/>
        <v>2308.6999999999998</v>
      </c>
    </row>
    <row r="4849" spans="1:4" ht="16.149999999999999" customHeight="1" x14ac:dyDescent="0.25">
      <c r="A4849" s="431">
        <v>38409</v>
      </c>
      <c r="B4849" s="432">
        <v>2323.77</v>
      </c>
      <c r="C4849" s="427">
        <f t="shared" si="150"/>
        <v>2005</v>
      </c>
      <c r="D4849" s="433">
        <f t="shared" si="151"/>
        <v>2323.77</v>
      </c>
    </row>
    <row r="4850" spans="1:4" ht="16.149999999999999" customHeight="1" x14ac:dyDescent="0.25">
      <c r="A4850" s="431">
        <v>38410</v>
      </c>
      <c r="B4850" s="434">
        <v>2323.77</v>
      </c>
      <c r="C4850" s="427">
        <f t="shared" si="150"/>
        <v>2005</v>
      </c>
      <c r="D4850" s="433">
        <f t="shared" si="151"/>
        <v>2323.77</v>
      </c>
    </row>
    <row r="4851" spans="1:4" ht="16.149999999999999" customHeight="1" x14ac:dyDescent="0.25">
      <c r="A4851" s="431">
        <v>38411</v>
      </c>
      <c r="B4851" s="432">
        <v>2323.77</v>
      </c>
      <c r="C4851" s="427">
        <f t="shared" si="150"/>
        <v>2005</v>
      </c>
      <c r="D4851" s="433">
        <f t="shared" si="151"/>
        <v>2323.77</v>
      </c>
    </row>
    <row r="4852" spans="1:4" ht="16.149999999999999" customHeight="1" x14ac:dyDescent="0.25">
      <c r="A4852" s="431">
        <v>38412</v>
      </c>
      <c r="B4852" s="434">
        <v>2327.98</v>
      </c>
      <c r="C4852" s="427">
        <f t="shared" si="150"/>
        <v>2005</v>
      </c>
      <c r="D4852" s="433">
        <f t="shared" si="151"/>
        <v>2327.98</v>
      </c>
    </row>
    <row r="4853" spans="1:4" ht="16.149999999999999" customHeight="1" x14ac:dyDescent="0.25">
      <c r="A4853" s="431">
        <v>38413</v>
      </c>
      <c r="B4853" s="432">
        <v>2329.67</v>
      </c>
      <c r="C4853" s="427">
        <f t="shared" si="150"/>
        <v>2005</v>
      </c>
      <c r="D4853" s="433">
        <f t="shared" si="151"/>
        <v>2329.67</v>
      </c>
    </row>
    <row r="4854" spans="1:4" ht="16.149999999999999" customHeight="1" x14ac:dyDescent="0.25">
      <c r="A4854" s="431">
        <v>38414</v>
      </c>
      <c r="B4854" s="434">
        <v>2333.65</v>
      </c>
      <c r="C4854" s="427">
        <f t="shared" si="150"/>
        <v>2005</v>
      </c>
      <c r="D4854" s="433">
        <f t="shared" si="151"/>
        <v>2333.65</v>
      </c>
    </row>
    <row r="4855" spans="1:4" ht="16.149999999999999" customHeight="1" x14ac:dyDescent="0.25">
      <c r="A4855" s="431">
        <v>38415</v>
      </c>
      <c r="B4855" s="432">
        <v>2333.6999999999998</v>
      </c>
      <c r="C4855" s="427">
        <f t="shared" si="150"/>
        <v>2005</v>
      </c>
      <c r="D4855" s="433">
        <f t="shared" si="151"/>
        <v>2333.6999999999998</v>
      </c>
    </row>
    <row r="4856" spans="1:4" ht="16.149999999999999" customHeight="1" x14ac:dyDescent="0.25">
      <c r="A4856" s="431">
        <v>38416</v>
      </c>
      <c r="B4856" s="434">
        <v>2338.9299999999998</v>
      </c>
      <c r="C4856" s="427">
        <f t="shared" si="150"/>
        <v>2005</v>
      </c>
      <c r="D4856" s="433">
        <f t="shared" si="151"/>
        <v>2338.9299999999998</v>
      </c>
    </row>
    <row r="4857" spans="1:4" ht="16.149999999999999" customHeight="1" x14ac:dyDescent="0.25">
      <c r="A4857" s="431">
        <v>38417</v>
      </c>
      <c r="B4857" s="432">
        <v>2338.9299999999998</v>
      </c>
      <c r="C4857" s="427">
        <f t="shared" si="150"/>
        <v>2005</v>
      </c>
      <c r="D4857" s="433">
        <f t="shared" si="151"/>
        <v>2338.9299999999998</v>
      </c>
    </row>
    <row r="4858" spans="1:4" ht="16.149999999999999" customHeight="1" x14ac:dyDescent="0.25">
      <c r="A4858" s="431">
        <v>38418</v>
      </c>
      <c r="B4858" s="434">
        <v>2338.9299999999998</v>
      </c>
      <c r="C4858" s="427">
        <f t="shared" si="150"/>
        <v>2005</v>
      </c>
      <c r="D4858" s="433">
        <f t="shared" si="151"/>
        <v>2338.9299999999998</v>
      </c>
    </row>
    <row r="4859" spans="1:4" ht="16.149999999999999" customHeight="1" x14ac:dyDescent="0.25">
      <c r="A4859" s="431">
        <v>38419</v>
      </c>
      <c r="B4859" s="432">
        <v>2324.89</v>
      </c>
      <c r="C4859" s="427">
        <f t="shared" si="150"/>
        <v>2005</v>
      </c>
      <c r="D4859" s="433">
        <f t="shared" si="151"/>
        <v>2324.89</v>
      </c>
    </row>
    <row r="4860" spans="1:4" ht="16.149999999999999" customHeight="1" x14ac:dyDescent="0.25">
      <c r="A4860" s="431">
        <v>38420</v>
      </c>
      <c r="B4860" s="434">
        <v>2325.69</v>
      </c>
      <c r="C4860" s="427">
        <f t="shared" si="150"/>
        <v>2005</v>
      </c>
      <c r="D4860" s="433">
        <f t="shared" si="151"/>
        <v>2325.69</v>
      </c>
    </row>
    <row r="4861" spans="1:4" ht="16.149999999999999" customHeight="1" x14ac:dyDescent="0.25">
      <c r="A4861" s="431">
        <v>38421</v>
      </c>
      <c r="B4861" s="432">
        <v>2334.11</v>
      </c>
      <c r="C4861" s="427">
        <f t="shared" si="150"/>
        <v>2005</v>
      </c>
      <c r="D4861" s="433">
        <f t="shared" si="151"/>
        <v>2334.11</v>
      </c>
    </row>
    <row r="4862" spans="1:4" ht="16.149999999999999" customHeight="1" x14ac:dyDescent="0.25">
      <c r="A4862" s="431">
        <v>38422</v>
      </c>
      <c r="B4862" s="434">
        <v>2340.34</v>
      </c>
      <c r="C4862" s="427">
        <f t="shared" si="150"/>
        <v>2005</v>
      </c>
      <c r="D4862" s="433">
        <f t="shared" si="151"/>
        <v>2340.34</v>
      </c>
    </row>
    <row r="4863" spans="1:4" ht="16.149999999999999" customHeight="1" x14ac:dyDescent="0.25">
      <c r="A4863" s="431">
        <v>38423</v>
      </c>
      <c r="B4863" s="432">
        <v>2332.7199999999998</v>
      </c>
      <c r="C4863" s="427">
        <f t="shared" si="150"/>
        <v>2005</v>
      </c>
      <c r="D4863" s="433">
        <f t="shared" si="151"/>
        <v>2332.7199999999998</v>
      </c>
    </row>
    <row r="4864" spans="1:4" ht="16.149999999999999" customHeight="1" x14ac:dyDescent="0.25">
      <c r="A4864" s="431">
        <v>38424</v>
      </c>
      <c r="B4864" s="434">
        <v>2332.7199999999998</v>
      </c>
      <c r="C4864" s="427">
        <f t="shared" si="150"/>
        <v>2005</v>
      </c>
      <c r="D4864" s="433">
        <f t="shared" si="151"/>
        <v>2332.7199999999998</v>
      </c>
    </row>
    <row r="4865" spans="1:4" ht="16.149999999999999" customHeight="1" x14ac:dyDescent="0.25">
      <c r="A4865" s="431">
        <v>38425</v>
      </c>
      <c r="B4865" s="432">
        <v>2332.7199999999998</v>
      </c>
      <c r="C4865" s="427">
        <f t="shared" si="150"/>
        <v>2005</v>
      </c>
      <c r="D4865" s="433">
        <f t="shared" si="151"/>
        <v>2332.7199999999998</v>
      </c>
    </row>
    <row r="4866" spans="1:4" ht="16.149999999999999" customHeight="1" x14ac:dyDescent="0.25">
      <c r="A4866" s="431">
        <v>38426</v>
      </c>
      <c r="B4866" s="434">
        <v>2346.71</v>
      </c>
      <c r="C4866" s="427">
        <f t="shared" si="150"/>
        <v>2005</v>
      </c>
      <c r="D4866" s="433">
        <f t="shared" si="151"/>
        <v>2346.71</v>
      </c>
    </row>
    <row r="4867" spans="1:4" ht="16.149999999999999" customHeight="1" x14ac:dyDescent="0.25">
      <c r="A4867" s="431">
        <v>38427</v>
      </c>
      <c r="B4867" s="432">
        <v>2362.36</v>
      </c>
      <c r="C4867" s="427">
        <f t="shared" si="150"/>
        <v>2005</v>
      </c>
      <c r="D4867" s="433">
        <f t="shared" si="151"/>
        <v>2362.36</v>
      </c>
    </row>
    <row r="4868" spans="1:4" ht="16.149999999999999" customHeight="1" x14ac:dyDescent="0.25">
      <c r="A4868" s="431">
        <v>38428</v>
      </c>
      <c r="B4868" s="434">
        <v>2386.4699999999998</v>
      </c>
      <c r="C4868" s="427">
        <f t="shared" si="150"/>
        <v>2005</v>
      </c>
      <c r="D4868" s="433">
        <f t="shared" si="151"/>
        <v>2386.4699999999998</v>
      </c>
    </row>
    <row r="4869" spans="1:4" ht="16.149999999999999" customHeight="1" x14ac:dyDescent="0.25">
      <c r="A4869" s="431">
        <v>38429</v>
      </c>
      <c r="B4869" s="432">
        <v>2374.46</v>
      </c>
      <c r="C4869" s="427">
        <f t="shared" si="150"/>
        <v>2005</v>
      </c>
      <c r="D4869" s="433">
        <f t="shared" si="151"/>
        <v>2374.46</v>
      </c>
    </row>
    <row r="4870" spans="1:4" ht="16.149999999999999" customHeight="1" x14ac:dyDescent="0.25">
      <c r="A4870" s="431">
        <v>38430</v>
      </c>
      <c r="B4870" s="434">
        <v>2371.4299999999998</v>
      </c>
      <c r="C4870" s="427">
        <f t="shared" si="150"/>
        <v>2005</v>
      </c>
      <c r="D4870" s="433">
        <f t="shared" si="151"/>
        <v>2371.4299999999998</v>
      </c>
    </row>
    <row r="4871" spans="1:4" ht="16.149999999999999" customHeight="1" x14ac:dyDescent="0.25">
      <c r="A4871" s="431">
        <v>38431</v>
      </c>
      <c r="B4871" s="432">
        <v>2371.4299999999998</v>
      </c>
      <c r="C4871" s="427">
        <f t="shared" si="150"/>
        <v>2005</v>
      </c>
      <c r="D4871" s="433">
        <f t="shared" si="151"/>
        <v>2371.4299999999998</v>
      </c>
    </row>
    <row r="4872" spans="1:4" ht="16.149999999999999" customHeight="1" x14ac:dyDescent="0.25">
      <c r="A4872" s="431">
        <v>38432</v>
      </c>
      <c r="B4872" s="434">
        <v>2371.4299999999998</v>
      </c>
      <c r="C4872" s="427">
        <f t="shared" si="150"/>
        <v>2005</v>
      </c>
      <c r="D4872" s="433">
        <f t="shared" si="151"/>
        <v>2371.4299999999998</v>
      </c>
    </row>
    <row r="4873" spans="1:4" ht="16.149999999999999" customHeight="1" x14ac:dyDescent="0.25">
      <c r="A4873" s="431">
        <v>38433</v>
      </c>
      <c r="B4873" s="432">
        <v>2371.4299999999998</v>
      </c>
      <c r="C4873" s="427">
        <f t="shared" si="150"/>
        <v>2005</v>
      </c>
      <c r="D4873" s="433">
        <f t="shared" si="151"/>
        <v>2371.4299999999998</v>
      </c>
    </row>
    <row r="4874" spans="1:4" ht="16.149999999999999" customHeight="1" x14ac:dyDescent="0.25">
      <c r="A4874" s="431">
        <v>38434</v>
      </c>
      <c r="B4874" s="434">
        <v>2361.7800000000002</v>
      </c>
      <c r="C4874" s="427">
        <f t="shared" ref="C4874:C4937" si="152">YEAR(A4874)</f>
        <v>2005</v>
      </c>
      <c r="D4874" s="433">
        <f t="shared" ref="D4874:D4937" si="153">B4874</f>
        <v>2361.7800000000002</v>
      </c>
    </row>
    <row r="4875" spans="1:4" ht="16.149999999999999" customHeight="1" x14ac:dyDescent="0.25">
      <c r="A4875" s="431">
        <v>38435</v>
      </c>
      <c r="B4875" s="432">
        <v>2382.3000000000002</v>
      </c>
      <c r="C4875" s="427">
        <f t="shared" si="152"/>
        <v>2005</v>
      </c>
      <c r="D4875" s="433">
        <f t="shared" si="153"/>
        <v>2382.3000000000002</v>
      </c>
    </row>
    <row r="4876" spans="1:4" ht="16.149999999999999" customHeight="1" x14ac:dyDescent="0.25">
      <c r="A4876" s="431">
        <v>38436</v>
      </c>
      <c r="B4876" s="434">
        <v>2382.3000000000002</v>
      </c>
      <c r="C4876" s="427">
        <f t="shared" si="152"/>
        <v>2005</v>
      </c>
      <c r="D4876" s="433">
        <f t="shared" si="153"/>
        <v>2382.3000000000002</v>
      </c>
    </row>
    <row r="4877" spans="1:4" ht="16.149999999999999" customHeight="1" x14ac:dyDescent="0.25">
      <c r="A4877" s="431">
        <v>38437</v>
      </c>
      <c r="B4877" s="432">
        <v>2382.3000000000002</v>
      </c>
      <c r="C4877" s="427">
        <f t="shared" si="152"/>
        <v>2005</v>
      </c>
      <c r="D4877" s="433">
        <f t="shared" si="153"/>
        <v>2382.3000000000002</v>
      </c>
    </row>
    <row r="4878" spans="1:4" ht="16.149999999999999" customHeight="1" x14ac:dyDescent="0.25">
      <c r="A4878" s="431">
        <v>38438</v>
      </c>
      <c r="B4878" s="434">
        <v>2382.3000000000002</v>
      </c>
      <c r="C4878" s="427">
        <f t="shared" si="152"/>
        <v>2005</v>
      </c>
      <c r="D4878" s="433">
        <f t="shared" si="153"/>
        <v>2382.3000000000002</v>
      </c>
    </row>
    <row r="4879" spans="1:4" ht="16.149999999999999" customHeight="1" x14ac:dyDescent="0.25">
      <c r="A4879" s="431">
        <v>38439</v>
      </c>
      <c r="B4879" s="432">
        <v>2382.3000000000002</v>
      </c>
      <c r="C4879" s="427">
        <f t="shared" si="152"/>
        <v>2005</v>
      </c>
      <c r="D4879" s="433">
        <f t="shared" si="153"/>
        <v>2382.3000000000002</v>
      </c>
    </row>
    <row r="4880" spans="1:4" ht="16.149999999999999" customHeight="1" x14ac:dyDescent="0.25">
      <c r="A4880" s="431">
        <v>38440</v>
      </c>
      <c r="B4880" s="434">
        <v>2397.25</v>
      </c>
      <c r="C4880" s="427">
        <f t="shared" si="152"/>
        <v>2005</v>
      </c>
      <c r="D4880" s="433">
        <f t="shared" si="153"/>
        <v>2397.25</v>
      </c>
    </row>
    <row r="4881" spans="1:4" ht="16.149999999999999" customHeight="1" x14ac:dyDescent="0.25">
      <c r="A4881" s="431">
        <v>38441</v>
      </c>
      <c r="B4881" s="432">
        <v>2393.3200000000002</v>
      </c>
      <c r="C4881" s="427">
        <f t="shared" si="152"/>
        <v>2005</v>
      </c>
      <c r="D4881" s="433">
        <f t="shared" si="153"/>
        <v>2393.3200000000002</v>
      </c>
    </row>
    <row r="4882" spans="1:4" ht="16.149999999999999" customHeight="1" x14ac:dyDescent="0.25">
      <c r="A4882" s="431">
        <v>38442</v>
      </c>
      <c r="B4882" s="434">
        <v>2376.48</v>
      </c>
      <c r="C4882" s="427">
        <f t="shared" si="152"/>
        <v>2005</v>
      </c>
      <c r="D4882" s="433">
        <f t="shared" si="153"/>
        <v>2376.48</v>
      </c>
    </row>
    <row r="4883" spans="1:4" ht="16.149999999999999" customHeight="1" x14ac:dyDescent="0.25">
      <c r="A4883" s="431">
        <v>38443</v>
      </c>
      <c r="B4883" s="432">
        <v>2363.23</v>
      </c>
      <c r="C4883" s="427">
        <f t="shared" si="152"/>
        <v>2005</v>
      </c>
      <c r="D4883" s="433">
        <f t="shared" si="153"/>
        <v>2363.23</v>
      </c>
    </row>
    <row r="4884" spans="1:4" ht="16.149999999999999" customHeight="1" x14ac:dyDescent="0.25">
      <c r="A4884" s="431">
        <v>38444</v>
      </c>
      <c r="B4884" s="434">
        <v>2365.98</v>
      </c>
      <c r="C4884" s="427">
        <f t="shared" si="152"/>
        <v>2005</v>
      </c>
      <c r="D4884" s="433">
        <f t="shared" si="153"/>
        <v>2365.98</v>
      </c>
    </row>
    <row r="4885" spans="1:4" ht="16.149999999999999" customHeight="1" x14ac:dyDescent="0.25">
      <c r="A4885" s="431">
        <v>38445</v>
      </c>
      <c r="B4885" s="432">
        <v>2365.98</v>
      </c>
      <c r="C4885" s="427">
        <f t="shared" si="152"/>
        <v>2005</v>
      </c>
      <c r="D4885" s="433">
        <f t="shared" si="153"/>
        <v>2365.98</v>
      </c>
    </row>
    <row r="4886" spans="1:4" ht="16.149999999999999" customHeight="1" x14ac:dyDescent="0.25">
      <c r="A4886" s="431">
        <v>38446</v>
      </c>
      <c r="B4886" s="434">
        <v>2365.98</v>
      </c>
      <c r="C4886" s="427">
        <f t="shared" si="152"/>
        <v>2005</v>
      </c>
      <c r="D4886" s="433">
        <f t="shared" si="153"/>
        <v>2365.98</v>
      </c>
    </row>
    <row r="4887" spans="1:4" ht="16.149999999999999" customHeight="1" x14ac:dyDescent="0.25">
      <c r="A4887" s="431">
        <v>38447</v>
      </c>
      <c r="B4887" s="432">
        <v>2374.4699999999998</v>
      </c>
      <c r="C4887" s="427">
        <f t="shared" si="152"/>
        <v>2005</v>
      </c>
      <c r="D4887" s="433">
        <f t="shared" si="153"/>
        <v>2374.4699999999998</v>
      </c>
    </row>
    <row r="4888" spans="1:4" ht="16.149999999999999" customHeight="1" x14ac:dyDescent="0.25">
      <c r="A4888" s="431">
        <v>38448</v>
      </c>
      <c r="B4888" s="434">
        <v>2369.67</v>
      </c>
      <c r="C4888" s="427">
        <f t="shared" si="152"/>
        <v>2005</v>
      </c>
      <c r="D4888" s="433">
        <f t="shared" si="153"/>
        <v>2369.67</v>
      </c>
    </row>
    <row r="4889" spans="1:4" ht="16.149999999999999" customHeight="1" x14ac:dyDescent="0.25">
      <c r="A4889" s="431">
        <v>38449</v>
      </c>
      <c r="B4889" s="432">
        <v>2362.2800000000002</v>
      </c>
      <c r="C4889" s="427">
        <f t="shared" si="152"/>
        <v>2005</v>
      </c>
      <c r="D4889" s="433">
        <f t="shared" si="153"/>
        <v>2362.2800000000002</v>
      </c>
    </row>
    <row r="4890" spans="1:4" ht="16.149999999999999" customHeight="1" x14ac:dyDescent="0.25">
      <c r="A4890" s="431">
        <v>38450</v>
      </c>
      <c r="B4890" s="434">
        <v>2353.16</v>
      </c>
      <c r="C4890" s="427">
        <f t="shared" si="152"/>
        <v>2005</v>
      </c>
      <c r="D4890" s="433">
        <f t="shared" si="153"/>
        <v>2353.16</v>
      </c>
    </row>
    <row r="4891" spans="1:4" ht="16.149999999999999" customHeight="1" x14ac:dyDescent="0.25">
      <c r="A4891" s="431">
        <v>38451</v>
      </c>
      <c r="B4891" s="432">
        <v>2349.8000000000002</v>
      </c>
      <c r="C4891" s="427">
        <f t="shared" si="152"/>
        <v>2005</v>
      </c>
      <c r="D4891" s="433">
        <f t="shared" si="153"/>
        <v>2349.8000000000002</v>
      </c>
    </row>
    <row r="4892" spans="1:4" ht="16.149999999999999" customHeight="1" x14ac:dyDescent="0.25">
      <c r="A4892" s="431">
        <v>38452</v>
      </c>
      <c r="B4892" s="434">
        <v>2349.8000000000002</v>
      </c>
      <c r="C4892" s="427">
        <f t="shared" si="152"/>
        <v>2005</v>
      </c>
      <c r="D4892" s="433">
        <f t="shared" si="153"/>
        <v>2349.8000000000002</v>
      </c>
    </row>
    <row r="4893" spans="1:4" ht="16.149999999999999" customHeight="1" x14ac:dyDescent="0.25">
      <c r="A4893" s="431">
        <v>38453</v>
      </c>
      <c r="B4893" s="432">
        <v>2349.8000000000002</v>
      </c>
      <c r="C4893" s="427">
        <f t="shared" si="152"/>
        <v>2005</v>
      </c>
      <c r="D4893" s="433">
        <f t="shared" si="153"/>
        <v>2349.8000000000002</v>
      </c>
    </row>
    <row r="4894" spans="1:4" ht="16.149999999999999" customHeight="1" x14ac:dyDescent="0.25">
      <c r="A4894" s="431">
        <v>38454</v>
      </c>
      <c r="B4894" s="434">
        <v>2331.9499999999998</v>
      </c>
      <c r="C4894" s="427">
        <f t="shared" si="152"/>
        <v>2005</v>
      </c>
      <c r="D4894" s="433">
        <f t="shared" si="153"/>
        <v>2331.9499999999998</v>
      </c>
    </row>
    <row r="4895" spans="1:4" ht="16.149999999999999" customHeight="1" x14ac:dyDescent="0.25">
      <c r="A4895" s="431">
        <v>38455</v>
      </c>
      <c r="B4895" s="432">
        <v>2335.4</v>
      </c>
      <c r="C4895" s="427">
        <f t="shared" si="152"/>
        <v>2005</v>
      </c>
      <c r="D4895" s="433">
        <f t="shared" si="153"/>
        <v>2335.4</v>
      </c>
    </row>
    <row r="4896" spans="1:4" ht="16.149999999999999" customHeight="1" x14ac:dyDescent="0.25">
      <c r="A4896" s="431">
        <v>38456</v>
      </c>
      <c r="B4896" s="434">
        <v>2328.7399999999998</v>
      </c>
      <c r="C4896" s="427">
        <f t="shared" si="152"/>
        <v>2005</v>
      </c>
      <c r="D4896" s="433">
        <f t="shared" si="153"/>
        <v>2328.7399999999998</v>
      </c>
    </row>
    <row r="4897" spans="1:4" ht="16.149999999999999" customHeight="1" x14ac:dyDescent="0.25">
      <c r="A4897" s="431">
        <v>38457</v>
      </c>
      <c r="B4897" s="432">
        <v>2346.09</v>
      </c>
      <c r="C4897" s="427">
        <f t="shared" si="152"/>
        <v>2005</v>
      </c>
      <c r="D4897" s="433">
        <f t="shared" si="153"/>
        <v>2346.09</v>
      </c>
    </row>
    <row r="4898" spans="1:4" ht="16.149999999999999" customHeight="1" x14ac:dyDescent="0.25">
      <c r="A4898" s="431">
        <v>38458</v>
      </c>
      <c r="B4898" s="434">
        <v>2363.96</v>
      </c>
      <c r="C4898" s="427">
        <f t="shared" si="152"/>
        <v>2005</v>
      </c>
      <c r="D4898" s="433">
        <f t="shared" si="153"/>
        <v>2363.96</v>
      </c>
    </row>
    <row r="4899" spans="1:4" ht="16.149999999999999" customHeight="1" x14ac:dyDescent="0.25">
      <c r="A4899" s="431">
        <v>38459</v>
      </c>
      <c r="B4899" s="432">
        <v>2363.96</v>
      </c>
      <c r="C4899" s="427">
        <f t="shared" si="152"/>
        <v>2005</v>
      </c>
      <c r="D4899" s="433">
        <f t="shared" si="153"/>
        <v>2363.96</v>
      </c>
    </row>
    <row r="4900" spans="1:4" ht="16.149999999999999" customHeight="1" x14ac:dyDescent="0.25">
      <c r="A4900" s="431">
        <v>38460</v>
      </c>
      <c r="B4900" s="434">
        <v>2363.96</v>
      </c>
      <c r="C4900" s="427">
        <f t="shared" si="152"/>
        <v>2005</v>
      </c>
      <c r="D4900" s="433">
        <f t="shared" si="153"/>
        <v>2363.96</v>
      </c>
    </row>
    <row r="4901" spans="1:4" ht="16.149999999999999" customHeight="1" x14ac:dyDescent="0.25">
      <c r="A4901" s="431">
        <v>38461</v>
      </c>
      <c r="B4901" s="432">
        <v>2363.3000000000002</v>
      </c>
      <c r="C4901" s="427">
        <f t="shared" si="152"/>
        <v>2005</v>
      </c>
      <c r="D4901" s="433">
        <f t="shared" si="153"/>
        <v>2363.3000000000002</v>
      </c>
    </row>
    <row r="4902" spans="1:4" ht="16.149999999999999" customHeight="1" x14ac:dyDescent="0.25">
      <c r="A4902" s="431">
        <v>38462</v>
      </c>
      <c r="B4902" s="434">
        <v>2355.64</v>
      </c>
      <c r="C4902" s="427">
        <f t="shared" si="152"/>
        <v>2005</v>
      </c>
      <c r="D4902" s="433">
        <f t="shared" si="153"/>
        <v>2355.64</v>
      </c>
    </row>
    <row r="4903" spans="1:4" ht="16.149999999999999" customHeight="1" x14ac:dyDescent="0.25">
      <c r="A4903" s="431">
        <v>38463</v>
      </c>
      <c r="B4903" s="432">
        <v>2344.4499999999998</v>
      </c>
      <c r="C4903" s="427">
        <f t="shared" si="152"/>
        <v>2005</v>
      </c>
      <c r="D4903" s="433">
        <f t="shared" si="153"/>
        <v>2344.4499999999998</v>
      </c>
    </row>
    <row r="4904" spans="1:4" ht="16.149999999999999" customHeight="1" x14ac:dyDescent="0.25">
      <c r="A4904" s="431">
        <v>38464</v>
      </c>
      <c r="B4904" s="434">
        <v>2336.35</v>
      </c>
      <c r="C4904" s="427">
        <f t="shared" si="152"/>
        <v>2005</v>
      </c>
      <c r="D4904" s="433">
        <f t="shared" si="153"/>
        <v>2336.35</v>
      </c>
    </row>
    <row r="4905" spans="1:4" ht="16.149999999999999" customHeight="1" x14ac:dyDescent="0.25">
      <c r="A4905" s="431">
        <v>38465</v>
      </c>
      <c r="B4905" s="432">
        <v>2336.25</v>
      </c>
      <c r="C4905" s="427">
        <f t="shared" si="152"/>
        <v>2005</v>
      </c>
      <c r="D4905" s="433">
        <f t="shared" si="153"/>
        <v>2336.25</v>
      </c>
    </row>
    <row r="4906" spans="1:4" ht="16.149999999999999" customHeight="1" x14ac:dyDescent="0.25">
      <c r="A4906" s="431">
        <v>38466</v>
      </c>
      <c r="B4906" s="434">
        <v>2336.25</v>
      </c>
      <c r="C4906" s="427">
        <f t="shared" si="152"/>
        <v>2005</v>
      </c>
      <c r="D4906" s="433">
        <f t="shared" si="153"/>
        <v>2336.25</v>
      </c>
    </row>
    <row r="4907" spans="1:4" ht="16.149999999999999" customHeight="1" x14ac:dyDescent="0.25">
      <c r="A4907" s="431">
        <v>38467</v>
      </c>
      <c r="B4907" s="432">
        <v>2336.25</v>
      </c>
      <c r="C4907" s="427">
        <f t="shared" si="152"/>
        <v>2005</v>
      </c>
      <c r="D4907" s="433">
        <f t="shared" si="153"/>
        <v>2336.25</v>
      </c>
    </row>
    <row r="4908" spans="1:4" ht="16.149999999999999" customHeight="1" x14ac:dyDescent="0.25">
      <c r="A4908" s="431">
        <v>38468</v>
      </c>
      <c r="B4908" s="434">
        <v>2343.9699999999998</v>
      </c>
      <c r="C4908" s="427">
        <f t="shared" si="152"/>
        <v>2005</v>
      </c>
      <c r="D4908" s="433">
        <f t="shared" si="153"/>
        <v>2343.9699999999998</v>
      </c>
    </row>
    <row r="4909" spans="1:4" ht="16.149999999999999" customHeight="1" x14ac:dyDescent="0.25">
      <c r="A4909" s="431">
        <v>38469</v>
      </c>
      <c r="B4909" s="432">
        <v>2342.56</v>
      </c>
      <c r="C4909" s="427">
        <f t="shared" si="152"/>
        <v>2005</v>
      </c>
      <c r="D4909" s="433">
        <f t="shared" si="153"/>
        <v>2342.56</v>
      </c>
    </row>
    <row r="4910" spans="1:4" ht="16.149999999999999" customHeight="1" x14ac:dyDescent="0.25">
      <c r="A4910" s="431">
        <v>38470</v>
      </c>
      <c r="B4910" s="434">
        <v>2338.0700000000002</v>
      </c>
      <c r="C4910" s="427">
        <f t="shared" si="152"/>
        <v>2005</v>
      </c>
      <c r="D4910" s="433">
        <f t="shared" si="153"/>
        <v>2338.0700000000002</v>
      </c>
    </row>
    <row r="4911" spans="1:4" ht="16.149999999999999" customHeight="1" x14ac:dyDescent="0.25">
      <c r="A4911" s="431">
        <v>38471</v>
      </c>
      <c r="B4911" s="432">
        <v>2344.87</v>
      </c>
      <c r="C4911" s="427">
        <f t="shared" si="152"/>
        <v>2005</v>
      </c>
      <c r="D4911" s="433">
        <f t="shared" si="153"/>
        <v>2344.87</v>
      </c>
    </row>
    <row r="4912" spans="1:4" ht="16.149999999999999" customHeight="1" x14ac:dyDescent="0.25">
      <c r="A4912" s="431">
        <v>38472</v>
      </c>
      <c r="B4912" s="434">
        <v>2348.3200000000002</v>
      </c>
      <c r="C4912" s="427">
        <f t="shared" si="152"/>
        <v>2005</v>
      </c>
      <c r="D4912" s="433">
        <f t="shared" si="153"/>
        <v>2348.3200000000002</v>
      </c>
    </row>
    <row r="4913" spans="1:4" ht="16.149999999999999" customHeight="1" x14ac:dyDescent="0.25">
      <c r="A4913" s="431">
        <v>38473</v>
      </c>
      <c r="B4913" s="432">
        <v>2348.3200000000002</v>
      </c>
      <c r="C4913" s="427">
        <f t="shared" si="152"/>
        <v>2005</v>
      </c>
      <c r="D4913" s="433">
        <f t="shared" si="153"/>
        <v>2348.3200000000002</v>
      </c>
    </row>
    <row r="4914" spans="1:4" ht="16.149999999999999" customHeight="1" x14ac:dyDescent="0.25">
      <c r="A4914" s="431">
        <v>38474</v>
      </c>
      <c r="B4914" s="434">
        <v>2348.3200000000002</v>
      </c>
      <c r="C4914" s="427">
        <f t="shared" si="152"/>
        <v>2005</v>
      </c>
      <c r="D4914" s="433">
        <f t="shared" si="153"/>
        <v>2348.3200000000002</v>
      </c>
    </row>
    <row r="4915" spans="1:4" ht="16.149999999999999" customHeight="1" x14ac:dyDescent="0.25">
      <c r="A4915" s="431">
        <v>38475</v>
      </c>
      <c r="B4915" s="432">
        <v>2349.59</v>
      </c>
      <c r="C4915" s="427">
        <f t="shared" si="152"/>
        <v>2005</v>
      </c>
      <c r="D4915" s="433">
        <f t="shared" si="153"/>
        <v>2349.59</v>
      </c>
    </row>
    <row r="4916" spans="1:4" ht="16.149999999999999" customHeight="1" x14ac:dyDescent="0.25">
      <c r="A4916" s="431">
        <v>38476</v>
      </c>
      <c r="B4916" s="434">
        <v>2345.4499999999998</v>
      </c>
      <c r="C4916" s="427">
        <f t="shared" si="152"/>
        <v>2005</v>
      </c>
      <c r="D4916" s="433">
        <f t="shared" si="153"/>
        <v>2345.4499999999998</v>
      </c>
    </row>
    <row r="4917" spans="1:4" ht="16.149999999999999" customHeight="1" x14ac:dyDescent="0.25">
      <c r="A4917" s="431">
        <v>38477</v>
      </c>
      <c r="B4917" s="432">
        <v>2337.08</v>
      </c>
      <c r="C4917" s="427">
        <f t="shared" si="152"/>
        <v>2005</v>
      </c>
      <c r="D4917" s="433">
        <f t="shared" si="153"/>
        <v>2337.08</v>
      </c>
    </row>
    <row r="4918" spans="1:4" ht="16.149999999999999" customHeight="1" x14ac:dyDescent="0.25">
      <c r="A4918" s="431">
        <v>38478</v>
      </c>
      <c r="B4918" s="434">
        <v>2338.44</v>
      </c>
      <c r="C4918" s="427">
        <f t="shared" si="152"/>
        <v>2005</v>
      </c>
      <c r="D4918" s="433">
        <f t="shared" si="153"/>
        <v>2338.44</v>
      </c>
    </row>
    <row r="4919" spans="1:4" ht="16.149999999999999" customHeight="1" x14ac:dyDescent="0.25">
      <c r="A4919" s="431">
        <v>38479</v>
      </c>
      <c r="B4919" s="432">
        <v>2339.06</v>
      </c>
      <c r="C4919" s="427">
        <f t="shared" si="152"/>
        <v>2005</v>
      </c>
      <c r="D4919" s="433">
        <f t="shared" si="153"/>
        <v>2339.06</v>
      </c>
    </row>
    <row r="4920" spans="1:4" ht="16.149999999999999" customHeight="1" x14ac:dyDescent="0.25">
      <c r="A4920" s="431">
        <v>38480</v>
      </c>
      <c r="B4920" s="434">
        <v>2339.06</v>
      </c>
      <c r="C4920" s="427">
        <f t="shared" si="152"/>
        <v>2005</v>
      </c>
      <c r="D4920" s="433">
        <f t="shared" si="153"/>
        <v>2339.06</v>
      </c>
    </row>
    <row r="4921" spans="1:4" ht="16.149999999999999" customHeight="1" x14ac:dyDescent="0.25">
      <c r="A4921" s="431">
        <v>38481</v>
      </c>
      <c r="B4921" s="432">
        <v>2339.06</v>
      </c>
      <c r="C4921" s="427">
        <f t="shared" si="152"/>
        <v>2005</v>
      </c>
      <c r="D4921" s="433">
        <f t="shared" si="153"/>
        <v>2339.06</v>
      </c>
    </row>
    <row r="4922" spans="1:4" ht="16.149999999999999" customHeight="1" x14ac:dyDescent="0.25">
      <c r="A4922" s="431">
        <v>38482</v>
      </c>
      <c r="B4922" s="434">
        <v>2339.06</v>
      </c>
      <c r="C4922" s="427">
        <f t="shared" si="152"/>
        <v>2005</v>
      </c>
      <c r="D4922" s="433">
        <f t="shared" si="153"/>
        <v>2339.06</v>
      </c>
    </row>
    <row r="4923" spans="1:4" ht="16.149999999999999" customHeight="1" x14ac:dyDescent="0.25">
      <c r="A4923" s="431">
        <v>38483</v>
      </c>
      <c r="B4923" s="432">
        <v>2339.77</v>
      </c>
      <c r="C4923" s="427">
        <f t="shared" si="152"/>
        <v>2005</v>
      </c>
      <c r="D4923" s="433">
        <f t="shared" si="153"/>
        <v>2339.77</v>
      </c>
    </row>
    <row r="4924" spans="1:4" ht="16.149999999999999" customHeight="1" x14ac:dyDescent="0.25">
      <c r="A4924" s="431">
        <v>38484</v>
      </c>
      <c r="B4924" s="434">
        <v>2340.9899999999998</v>
      </c>
      <c r="C4924" s="427">
        <f t="shared" si="152"/>
        <v>2005</v>
      </c>
      <c r="D4924" s="433">
        <f t="shared" si="153"/>
        <v>2340.9899999999998</v>
      </c>
    </row>
    <row r="4925" spans="1:4" ht="16.149999999999999" customHeight="1" x14ac:dyDescent="0.25">
      <c r="A4925" s="431">
        <v>38485</v>
      </c>
      <c r="B4925" s="432">
        <v>2344</v>
      </c>
      <c r="C4925" s="427">
        <f t="shared" si="152"/>
        <v>2005</v>
      </c>
      <c r="D4925" s="433">
        <f t="shared" si="153"/>
        <v>2344</v>
      </c>
    </row>
    <row r="4926" spans="1:4" ht="16.149999999999999" customHeight="1" x14ac:dyDescent="0.25">
      <c r="A4926" s="431">
        <v>38486</v>
      </c>
      <c r="B4926" s="434">
        <v>2348.69</v>
      </c>
      <c r="C4926" s="427">
        <f t="shared" si="152"/>
        <v>2005</v>
      </c>
      <c r="D4926" s="433">
        <f t="shared" si="153"/>
        <v>2348.69</v>
      </c>
    </row>
    <row r="4927" spans="1:4" ht="16.149999999999999" customHeight="1" x14ac:dyDescent="0.25">
      <c r="A4927" s="431">
        <v>38487</v>
      </c>
      <c r="B4927" s="432">
        <v>2348.69</v>
      </c>
      <c r="C4927" s="427">
        <f t="shared" si="152"/>
        <v>2005</v>
      </c>
      <c r="D4927" s="433">
        <f t="shared" si="153"/>
        <v>2348.69</v>
      </c>
    </row>
    <row r="4928" spans="1:4" ht="16.149999999999999" customHeight="1" x14ac:dyDescent="0.25">
      <c r="A4928" s="431">
        <v>38488</v>
      </c>
      <c r="B4928" s="434">
        <v>2348.69</v>
      </c>
      <c r="C4928" s="427">
        <f t="shared" si="152"/>
        <v>2005</v>
      </c>
      <c r="D4928" s="433">
        <f t="shared" si="153"/>
        <v>2348.69</v>
      </c>
    </row>
    <row r="4929" spans="1:4" ht="16.149999999999999" customHeight="1" x14ac:dyDescent="0.25">
      <c r="A4929" s="431">
        <v>38489</v>
      </c>
      <c r="B4929" s="432">
        <v>2347.25</v>
      </c>
      <c r="C4929" s="427">
        <f t="shared" si="152"/>
        <v>2005</v>
      </c>
      <c r="D4929" s="433">
        <f t="shared" si="153"/>
        <v>2347.25</v>
      </c>
    </row>
    <row r="4930" spans="1:4" ht="16.149999999999999" customHeight="1" x14ac:dyDescent="0.25">
      <c r="A4930" s="431">
        <v>38490</v>
      </c>
      <c r="B4930" s="434">
        <v>2341.7199999999998</v>
      </c>
      <c r="C4930" s="427">
        <f t="shared" si="152"/>
        <v>2005</v>
      </c>
      <c r="D4930" s="433">
        <f t="shared" si="153"/>
        <v>2341.7199999999998</v>
      </c>
    </row>
    <row r="4931" spans="1:4" ht="16.149999999999999" customHeight="1" x14ac:dyDescent="0.25">
      <c r="A4931" s="431">
        <v>38491</v>
      </c>
      <c r="B4931" s="432">
        <v>2339.44</v>
      </c>
      <c r="C4931" s="427">
        <f t="shared" si="152"/>
        <v>2005</v>
      </c>
      <c r="D4931" s="433">
        <f t="shared" si="153"/>
        <v>2339.44</v>
      </c>
    </row>
    <row r="4932" spans="1:4" ht="16.149999999999999" customHeight="1" x14ac:dyDescent="0.25">
      <c r="A4932" s="431">
        <v>38492</v>
      </c>
      <c r="B4932" s="434">
        <v>2336.9899999999998</v>
      </c>
      <c r="C4932" s="427">
        <f t="shared" si="152"/>
        <v>2005</v>
      </c>
      <c r="D4932" s="433">
        <f t="shared" si="153"/>
        <v>2336.9899999999998</v>
      </c>
    </row>
    <row r="4933" spans="1:4" ht="16.149999999999999" customHeight="1" x14ac:dyDescent="0.25">
      <c r="A4933" s="431">
        <v>38493</v>
      </c>
      <c r="B4933" s="432">
        <v>2337</v>
      </c>
      <c r="C4933" s="427">
        <f t="shared" si="152"/>
        <v>2005</v>
      </c>
      <c r="D4933" s="433">
        <f t="shared" si="153"/>
        <v>2337</v>
      </c>
    </row>
    <row r="4934" spans="1:4" ht="16.149999999999999" customHeight="1" x14ac:dyDescent="0.25">
      <c r="A4934" s="431">
        <v>38494</v>
      </c>
      <c r="B4934" s="434">
        <v>2337</v>
      </c>
      <c r="C4934" s="427">
        <f t="shared" si="152"/>
        <v>2005</v>
      </c>
      <c r="D4934" s="433">
        <f t="shared" si="153"/>
        <v>2337</v>
      </c>
    </row>
    <row r="4935" spans="1:4" ht="16.149999999999999" customHeight="1" x14ac:dyDescent="0.25">
      <c r="A4935" s="431">
        <v>38495</v>
      </c>
      <c r="B4935" s="432">
        <v>2337</v>
      </c>
      <c r="C4935" s="427">
        <f t="shared" si="152"/>
        <v>2005</v>
      </c>
      <c r="D4935" s="433">
        <f t="shared" si="153"/>
        <v>2337</v>
      </c>
    </row>
    <row r="4936" spans="1:4" ht="16.149999999999999" customHeight="1" x14ac:dyDescent="0.25">
      <c r="A4936" s="431">
        <v>38496</v>
      </c>
      <c r="B4936" s="434">
        <v>2329.0500000000002</v>
      </c>
      <c r="C4936" s="427">
        <f t="shared" si="152"/>
        <v>2005</v>
      </c>
      <c r="D4936" s="433">
        <f t="shared" si="153"/>
        <v>2329.0500000000002</v>
      </c>
    </row>
    <row r="4937" spans="1:4" ht="16.149999999999999" customHeight="1" x14ac:dyDescent="0.25">
      <c r="A4937" s="431">
        <v>38497</v>
      </c>
      <c r="B4937" s="432">
        <v>2328.69</v>
      </c>
      <c r="C4937" s="427">
        <f t="shared" si="152"/>
        <v>2005</v>
      </c>
      <c r="D4937" s="433">
        <f t="shared" si="153"/>
        <v>2328.69</v>
      </c>
    </row>
    <row r="4938" spans="1:4" ht="16.149999999999999" customHeight="1" x14ac:dyDescent="0.25">
      <c r="A4938" s="431">
        <v>38498</v>
      </c>
      <c r="B4938" s="434">
        <v>2329.35</v>
      </c>
      <c r="C4938" s="427">
        <f t="shared" ref="C4938:C5001" si="154">YEAR(A4938)</f>
        <v>2005</v>
      </c>
      <c r="D4938" s="433">
        <f t="shared" ref="D4938:D5001" si="155">B4938</f>
        <v>2329.35</v>
      </c>
    </row>
    <row r="4939" spans="1:4" ht="16.149999999999999" customHeight="1" x14ac:dyDescent="0.25">
      <c r="A4939" s="431">
        <v>38499</v>
      </c>
      <c r="B4939" s="432">
        <v>2330.79</v>
      </c>
      <c r="C4939" s="427">
        <f t="shared" si="154"/>
        <v>2005</v>
      </c>
      <c r="D4939" s="433">
        <f t="shared" si="155"/>
        <v>2330.79</v>
      </c>
    </row>
    <row r="4940" spans="1:4" ht="16.149999999999999" customHeight="1" x14ac:dyDescent="0.25">
      <c r="A4940" s="431">
        <v>38500</v>
      </c>
      <c r="B4940" s="434">
        <v>2332.79</v>
      </c>
      <c r="C4940" s="427">
        <f t="shared" si="154"/>
        <v>2005</v>
      </c>
      <c r="D4940" s="433">
        <f t="shared" si="155"/>
        <v>2332.79</v>
      </c>
    </row>
    <row r="4941" spans="1:4" ht="16.149999999999999" customHeight="1" x14ac:dyDescent="0.25">
      <c r="A4941" s="431">
        <v>38501</v>
      </c>
      <c r="B4941" s="432">
        <v>2332.79</v>
      </c>
      <c r="C4941" s="427">
        <f t="shared" si="154"/>
        <v>2005</v>
      </c>
      <c r="D4941" s="433">
        <f t="shared" si="155"/>
        <v>2332.79</v>
      </c>
    </row>
    <row r="4942" spans="1:4" ht="16.149999999999999" customHeight="1" x14ac:dyDescent="0.25">
      <c r="A4942" s="431">
        <v>38502</v>
      </c>
      <c r="B4942" s="434">
        <v>2332.79</v>
      </c>
      <c r="C4942" s="427">
        <f t="shared" si="154"/>
        <v>2005</v>
      </c>
      <c r="D4942" s="433">
        <f t="shared" si="155"/>
        <v>2332.79</v>
      </c>
    </row>
    <row r="4943" spans="1:4" ht="16.149999999999999" customHeight="1" x14ac:dyDescent="0.25">
      <c r="A4943" s="431">
        <v>38503</v>
      </c>
      <c r="B4943" s="432">
        <v>2332.79</v>
      </c>
      <c r="C4943" s="427">
        <f t="shared" si="154"/>
        <v>2005</v>
      </c>
      <c r="D4943" s="433">
        <f t="shared" si="155"/>
        <v>2332.79</v>
      </c>
    </row>
    <row r="4944" spans="1:4" ht="16.149999999999999" customHeight="1" x14ac:dyDescent="0.25">
      <c r="A4944" s="431">
        <v>38504</v>
      </c>
      <c r="B4944" s="434">
        <v>2338.89</v>
      </c>
      <c r="C4944" s="427">
        <f t="shared" si="154"/>
        <v>2005</v>
      </c>
      <c r="D4944" s="433">
        <f t="shared" si="155"/>
        <v>2338.89</v>
      </c>
    </row>
    <row r="4945" spans="1:4" ht="16.149999999999999" customHeight="1" x14ac:dyDescent="0.25">
      <c r="A4945" s="431">
        <v>38505</v>
      </c>
      <c r="B4945" s="432">
        <v>2339.67</v>
      </c>
      <c r="C4945" s="427">
        <f t="shared" si="154"/>
        <v>2005</v>
      </c>
      <c r="D4945" s="433">
        <f t="shared" si="155"/>
        <v>2339.67</v>
      </c>
    </row>
    <row r="4946" spans="1:4" ht="16.149999999999999" customHeight="1" x14ac:dyDescent="0.25">
      <c r="A4946" s="431">
        <v>38506</v>
      </c>
      <c r="B4946" s="434">
        <v>2336.65</v>
      </c>
      <c r="C4946" s="427">
        <f t="shared" si="154"/>
        <v>2005</v>
      </c>
      <c r="D4946" s="433">
        <f t="shared" si="155"/>
        <v>2336.65</v>
      </c>
    </row>
    <row r="4947" spans="1:4" ht="16.149999999999999" customHeight="1" x14ac:dyDescent="0.25">
      <c r="A4947" s="431">
        <v>38507</v>
      </c>
      <c r="B4947" s="432">
        <v>2330.9299999999998</v>
      </c>
      <c r="C4947" s="427">
        <f t="shared" si="154"/>
        <v>2005</v>
      </c>
      <c r="D4947" s="433">
        <f t="shared" si="155"/>
        <v>2330.9299999999998</v>
      </c>
    </row>
    <row r="4948" spans="1:4" ht="16.149999999999999" customHeight="1" x14ac:dyDescent="0.25">
      <c r="A4948" s="431">
        <v>38508</v>
      </c>
      <c r="B4948" s="434">
        <v>2330.9299999999998</v>
      </c>
      <c r="C4948" s="427">
        <f t="shared" si="154"/>
        <v>2005</v>
      </c>
      <c r="D4948" s="433">
        <f t="shared" si="155"/>
        <v>2330.9299999999998</v>
      </c>
    </row>
    <row r="4949" spans="1:4" ht="16.149999999999999" customHeight="1" x14ac:dyDescent="0.25">
      <c r="A4949" s="431">
        <v>38509</v>
      </c>
      <c r="B4949" s="432">
        <v>2330.9299999999998</v>
      </c>
      <c r="C4949" s="427">
        <f t="shared" si="154"/>
        <v>2005</v>
      </c>
      <c r="D4949" s="433">
        <f t="shared" si="155"/>
        <v>2330.9299999999998</v>
      </c>
    </row>
    <row r="4950" spans="1:4" ht="16.149999999999999" customHeight="1" x14ac:dyDescent="0.25">
      <c r="A4950" s="431">
        <v>38510</v>
      </c>
      <c r="B4950" s="434">
        <v>2330.9299999999998</v>
      </c>
      <c r="C4950" s="427">
        <f t="shared" si="154"/>
        <v>2005</v>
      </c>
      <c r="D4950" s="433">
        <f t="shared" si="155"/>
        <v>2330.9299999999998</v>
      </c>
    </row>
    <row r="4951" spans="1:4" ht="16.149999999999999" customHeight="1" x14ac:dyDescent="0.25">
      <c r="A4951" s="431">
        <v>38511</v>
      </c>
      <c r="B4951" s="432">
        <v>2331.38</v>
      </c>
      <c r="C4951" s="427">
        <f t="shared" si="154"/>
        <v>2005</v>
      </c>
      <c r="D4951" s="433">
        <f t="shared" si="155"/>
        <v>2331.38</v>
      </c>
    </row>
    <row r="4952" spans="1:4" ht="16.149999999999999" customHeight="1" x14ac:dyDescent="0.25">
      <c r="A4952" s="431">
        <v>38512</v>
      </c>
      <c r="B4952" s="434">
        <v>2347.83</v>
      </c>
      <c r="C4952" s="427">
        <f t="shared" si="154"/>
        <v>2005</v>
      </c>
      <c r="D4952" s="433">
        <f t="shared" si="155"/>
        <v>2347.83</v>
      </c>
    </row>
    <row r="4953" spans="1:4" ht="16.149999999999999" customHeight="1" x14ac:dyDescent="0.25">
      <c r="A4953" s="431">
        <v>38513</v>
      </c>
      <c r="B4953" s="432">
        <v>2361.41</v>
      </c>
      <c r="C4953" s="427">
        <f t="shared" si="154"/>
        <v>2005</v>
      </c>
      <c r="D4953" s="433">
        <f t="shared" si="155"/>
        <v>2361.41</v>
      </c>
    </row>
    <row r="4954" spans="1:4" ht="16.149999999999999" customHeight="1" x14ac:dyDescent="0.25">
      <c r="A4954" s="431">
        <v>38514</v>
      </c>
      <c r="B4954" s="434">
        <v>2349.17</v>
      </c>
      <c r="C4954" s="427">
        <f t="shared" si="154"/>
        <v>2005</v>
      </c>
      <c r="D4954" s="433">
        <f t="shared" si="155"/>
        <v>2349.17</v>
      </c>
    </row>
    <row r="4955" spans="1:4" ht="16.149999999999999" customHeight="1" x14ac:dyDescent="0.25">
      <c r="A4955" s="431">
        <v>38515</v>
      </c>
      <c r="B4955" s="432">
        <v>2349.17</v>
      </c>
      <c r="C4955" s="427">
        <f t="shared" si="154"/>
        <v>2005</v>
      </c>
      <c r="D4955" s="433">
        <f t="shared" si="155"/>
        <v>2349.17</v>
      </c>
    </row>
    <row r="4956" spans="1:4" ht="16.149999999999999" customHeight="1" x14ac:dyDescent="0.25">
      <c r="A4956" s="431">
        <v>38516</v>
      </c>
      <c r="B4956" s="434">
        <v>2349.17</v>
      </c>
      <c r="C4956" s="427">
        <f t="shared" si="154"/>
        <v>2005</v>
      </c>
      <c r="D4956" s="433">
        <f t="shared" si="155"/>
        <v>2349.17</v>
      </c>
    </row>
    <row r="4957" spans="1:4" ht="16.149999999999999" customHeight="1" x14ac:dyDescent="0.25">
      <c r="A4957" s="431">
        <v>38517</v>
      </c>
      <c r="B4957" s="432">
        <v>2345.6</v>
      </c>
      <c r="C4957" s="427">
        <f t="shared" si="154"/>
        <v>2005</v>
      </c>
      <c r="D4957" s="433">
        <f t="shared" si="155"/>
        <v>2345.6</v>
      </c>
    </row>
    <row r="4958" spans="1:4" ht="16.149999999999999" customHeight="1" x14ac:dyDescent="0.25">
      <c r="A4958" s="431">
        <v>38518</v>
      </c>
      <c r="B4958" s="434">
        <v>2334.27</v>
      </c>
      <c r="C4958" s="427">
        <f t="shared" si="154"/>
        <v>2005</v>
      </c>
      <c r="D4958" s="433">
        <f t="shared" si="155"/>
        <v>2334.27</v>
      </c>
    </row>
    <row r="4959" spans="1:4" ht="16.149999999999999" customHeight="1" x14ac:dyDescent="0.25">
      <c r="A4959" s="431">
        <v>38519</v>
      </c>
      <c r="B4959" s="432">
        <v>2330.33</v>
      </c>
      <c r="C4959" s="427">
        <f t="shared" si="154"/>
        <v>2005</v>
      </c>
      <c r="D4959" s="433">
        <f t="shared" si="155"/>
        <v>2330.33</v>
      </c>
    </row>
    <row r="4960" spans="1:4" ht="16.149999999999999" customHeight="1" x14ac:dyDescent="0.25">
      <c r="A4960" s="431">
        <v>38520</v>
      </c>
      <c r="B4960" s="434">
        <v>2326.4299999999998</v>
      </c>
      <c r="C4960" s="427">
        <f t="shared" si="154"/>
        <v>2005</v>
      </c>
      <c r="D4960" s="433">
        <f t="shared" si="155"/>
        <v>2326.4299999999998</v>
      </c>
    </row>
    <row r="4961" spans="1:4" ht="16.149999999999999" customHeight="1" x14ac:dyDescent="0.25">
      <c r="A4961" s="431">
        <v>38521</v>
      </c>
      <c r="B4961" s="432">
        <v>2322.0500000000002</v>
      </c>
      <c r="C4961" s="427">
        <f t="shared" si="154"/>
        <v>2005</v>
      </c>
      <c r="D4961" s="433">
        <f t="shared" si="155"/>
        <v>2322.0500000000002</v>
      </c>
    </row>
    <row r="4962" spans="1:4" ht="16.149999999999999" customHeight="1" x14ac:dyDescent="0.25">
      <c r="A4962" s="431">
        <v>38522</v>
      </c>
      <c r="B4962" s="434">
        <v>2322.0500000000002</v>
      </c>
      <c r="C4962" s="427">
        <f t="shared" si="154"/>
        <v>2005</v>
      </c>
      <c r="D4962" s="433">
        <f t="shared" si="155"/>
        <v>2322.0500000000002</v>
      </c>
    </row>
    <row r="4963" spans="1:4" ht="16.149999999999999" customHeight="1" x14ac:dyDescent="0.25">
      <c r="A4963" s="431">
        <v>38523</v>
      </c>
      <c r="B4963" s="432">
        <v>2322.0500000000002</v>
      </c>
      <c r="C4963" s="427">
        <f t="shared" si="154"/>
        <v>2005</v>
      </c>
      <c r="D4963" s="433">
        <f t="shared" si="155"/>
        <v>2322.0500000000002</v>
      </c>
    </row>
    <row r="4964" spans="1:4" ht="16.149999999999999" customHeight="1" x14ac:dyDescent="0.25">
      <c r="A4964" s="431">
        <v>38524</v>
      </c>
      <c r="B4964" s="434">
        <v>2319.11</v>
      </c>
      <c r="C4964" s="427">
        <f t="shared" si="154"/>
        <v>2005</v>
      </c>
      <c r="D4964" s="433">
        <f t="shared" si="155"/>
        <v>2319.11</v>
      </c>
    </row>
    <row r="4965" spans="1:4" ht="16.149999999999999" customHeight="1" x14ac:dyDescent="0.25">
      <c r="A4965" s="431">
        <v>38525</v>
      </c>
      <c r="B4965" s="432">
        <v>2314.89</v>
      </c>
      <c r="C4965" s="427">
        <f t="shared" si="154"/>
        <v>2005</v>
      </c>
      <c r="D4965" s="433">
        <f t="shared" si="155"/>
        <v>2314.89</v>
      </c>
    </row>
    <row r="4966" spans="1:4" ht="16.149999999999999" customHeight="1" x14ac:dyDescent="0.25">
      <c r="A4966" s="431">
        <v>38526</v>
      </c>
      <c r="B4966" s="434">
        <v>2316.4499999999998</v>
      </c>
      <c r="C4966" s="427">
        <f t="shared" si="154"/>
        <v>2005</v>
      </c>
      <c r="D4966" s="433">
        <f t="shared" si="155"/>
        <v>2316.4499999999998</v>
      </c>
    </row>
    <row r="4967" spans="1:4" ht="16.149999999999999" customHeight="1" x14ac:dyDescent="0.25">
      <c r="A4967" s="431">
        <v>38527</v>
      </c>
      <c r="B4967" s="432">
        <v>2319.27</v>
      </c>
      <c r="C4967" s="427">
        <f t="shared" si="154"/>
        <v>2005</v>
      </c>
      <c r="D4967" s="433">
        <f t="shared" si="155"/>
        <v>2319.27</v>
      </c>
    </row>
    <row r="4968" spans="1:4" ht="16.149999999999999" customHeight="1" x14ac:dyDescent="0.25">
      <c r="A4968" s="431">
        <v>38528</v>
      </c>
      <c r="B4968" s="434">
        <v>2320.29</v>
      </c>
      <c r="C4968" s="427">
        <f t="shared" si="154"/>
        <v>2005</v>
      </c>
      <c r="D4968" s="433">
        <f t="shared" si="155"/>
        <v>2320.29</v>
      </c>
    </row>
    <row r="4969" spans="1:4" ht="16.149999999999999" customHeight="1" x14ac:dyDescent="0.25">
      <c r="A4969" s="431">
        <v>38529</v>
      </c>
      <c r="B4969" s="432">
        <v>2320.29</v>
      </c>
      <c r="C4969" s="427">
        <f t="shared" si="154"/>
        <v>2005</v>
      </c>
      <c r="D4969" s="433">
        <f t="shared" si="155"/>
        <v>2320.29</v>
      </c>
    </row>
    <row r="4970" spans="1:4" ht="16.149999999999999" customHeight="1" x14ac:dyDescent="0.25">
      <c r="A4970" s="431">
        <v>38530</v>
      </c>
      <c r="B4970" s="434">
        <v>2320.29</v>
      </c>
      <c r="C4970" s="427">
        <f t="shared" si="154"/>
        <v>2005</v>
      </c>
      <c r="D4970" s="433">
        <f t="shared" si="155"/>
        <v>2320.29</v>
      </c>
    </row>
    <row r="4971" spans="1:4" ht="16.149999999999999" customHeight="1" x14ac:dyDescent="0.25">
      <c r="A4971" s="431">
        <v>38531</v>
      </c>
      <c r="B4971" s="432">
        <v>2323.19</v>
      </c>
      <c r="C4971" s="427">
        <f t="shared" si="154"/>
        <v>2005</v>
      </c>
      <c r="D4971" s="433">
        <f t="shared" si="155"/>
        <v>2323.19</v>
      </c>
    </row>
    <row r="4972" spans="1:4" ht="16.149999999999999" customHeight="1" x14ac:dyDescent="0.25">
      <c r="A4972" s="431">
        <v>38532</v>
      </c>
      <c r="B4972" s="434">
        <v>2327.9</v>
      </c>
      <c r="C4972" s="427">
        <f t="shared" si="154"/>
        <v>2005</v>
      </c>
      <c r="D4972" s="433">
        <f t="shared" si="155"/>
        <v>2327.9</v>
      </c>
    </row>
    <row r="4973" spans="1:4" ht="16.149999999999999" customHeight="1" x14ac:dyDescent="0.25">
      <c r="A4973" s="431">
        <v>38533</v>
      </c>
      <c r="B4973" s="432">
        <v>2331.81</v>
      </c>
      <c r="C4973" s="427">
        <f t="shared" si="154"/>
        <v>2005</v>
      </c>
      <c r="D4973" s="433">
        <f t="shared" si="155"/>
        <v>2331.81</v>
      </c>
    </row>
    <row r="4974" spans="1:4" ht="16.149999999999999" customHeight="1" x14ac:dyDescent="0.25">
      <c r="A4974" s="431">
        <v>38534</v>
      </c>
      <c r="B4974" s="434">
        <v>2324.2199999999998</v>
      </c>
      <c r="C4974" s="427">
        <f t="shared" si="154"/>
        <v>2005</v>
      </c>
      <c r="D4974" s="433">
        <f t="shared" si="155"/>
        <v>2324.2199999999998</v>
      </c>
    </row>
    <row r="4975" spans="1:4" ht="16.149999999999999" customHeight="1" x14ac:dyDescent="0.25">
      <c r="A4975" s="431">
        <v>38535</v>
      </c>
      <c r="B4975" s="432">
        <v>2324.69</v>
      </c>
      <c r="C4975" s="427">
        <f t="shared" si="154"/>
        <v>2005</v>
      </c>
      <c r="D4975" s="433">
        <f t="shared" si="155"/>
        <v>2324.69</v>
      </c>
    </row>
    <row r="4976" spans="1:4" ht="16.149999999999999" customHeight="1" x14ac:dyDescent="0.25">
      <c r="A4976" s="431">
        <v>38536</v>
      </c>
      <c r="B4976" s="434">
        <v>2324.69</v>
      </c>
      <c r="C4976" s="427">
        <f t="shared" si="154"/>
        <v>2005</v>
      </c>
      <c r="D4976" s="433">
        <f t="shared" si="155"/>
        <v>2324.69</v>
      </c>
    </row>
    <row r="4977" spans="1:4" ht="16.149999999999999" customHeight="1" x14ac:dyDescent="0.25">
      <c r="A4977" s="431">
        <v>38537</v>
      </c>
      <c r="B4977" s="432">
        <v>2324.69</v>
      </c>
      <c r="C4977" s="427">
        <f t="shared" si="154"/>
        <v>2005</v>
      </c>
      <c r="D4977" s="433">
        <f t="shared" si="155"/>
        <v>2324.69</v>
      </c>
    </row>
    <row r="4978" spans="1:4" ht="16.149999999999999" customHeight="1" x14ac:dyDescent="0.25">
      <c r="A4978" s="431">
        <v>38538</v>
      </c>
      <c r="B4978" s="434">
        <v>2324.69</v>
      </c>
      <c r="C4978" s="427">
        <f t="shared" si="154"/>
        <v>2005</v>
      </c>
      <c r="D4978" s="433">
        <f t="shared" si="155"/>
        <v>2324.69</v>
      </c>
    </row>
    <row r="4979" spans="1:4" ht="16.149999999999999" customHeight="1" x14ac:dyDescent="0.25">
      <c r="A4979" s="431">
        <v>38539</v>
      </c>
      <c r="B4979" s="432">
        <v>2338.17</v>
      </c>
      <c r="C4979" s="427">
        <f t="shared" si="154"/>
        <v>2005</v>
      </c>
      <c r="D4979" s="433">
        <f t="shared" si="155"/>
        <v>2338.17</v>
      </c>
    </row>
    <row r="4980" spans="1:4" ht="16.149999999999999" customHeight="1" x14ac:dyDescent="0.25">
      <c r="A4980" s="431">
        <v>38540</v>
      </c>
      <c r="B4980" s="434">
        <v>2338.86</v>
      </c>
      <c r="C4980" s="427">
        <f t="shared" si="154"/>
        <v>2005</v>
      </c>
      <c r="D4980" s="433">
        <f t="shared" si="155"/>
        <v>2338.86</v>
      </c>
    </row>
    <row r="4981" spans="1:4" ht="16.149999999999999" customHeight="1" x14ac:dyDescent="0.25">
      <c r="A4981" s="431">
        <v>38541</v>
      </c>
      <c r="B4981" s="432">
        <v>2332.6999999999998</v>
      </c>
      <c r="C4981" s="427">
        <f t="shared" si="154"/>
        <v>2005</v>
      </c>
      <c r="D4981" s="433">
        <f t="shared" si="155"/>
        <v>2332.6999999999998</v>
      </c>
    </row>
    <row r="4982" spans="1:4" ht="16.149999999999999" customHeight="1" x14ac:dyDescent="0.25">
      <c r="A4982" s="431">
        <v>38542</v>
      </c>
      <c r="B4982" s="434">
        <v>2330.7199999999998</v>
      </c>
      <c r="C4982" s="427">
        <f t="shared" si="154"/>
        <v>2005</v>
      </c>
      <c r="D4982" s="433">
        <f t="shared" si="155"/>
        <v>2330.7199999999998</v>
      </c>
    </row>
    <row r="4983" spans="1:4" ht="16.149999999999999" customHeight="1" x14ac:dyDescent="0.25">
      <c r="A4983" s="431">
        <v>38543</v>
      </c>
      <c r="B4983" s="432">
        <v>2330.7199999999998</v>
      </c>
      <c r="C4983" s="427">
        <f t="shared" si="154"/>
        <v>2005</v>
      </c>
      <c r="D4983" s="433">
        <f t="shared" si="155"/>
        <v>2330.7199999999998</v>
      </c>
    </row>
    <row r="4984" spans="1:4" ht="16.149999999999999" customHeight="1" x14ac:dyDescent="0.25">
      <c r="A4984" s="431">
        <v>38544</v>
      </c>
      <c r="B4984" s="434">
        <v>2330.7199999999998</v>
      </c>
      <c r="C4984" s="427">
        <f t="shared" si="154"/>
        <v>2005</v>
      </c>
      <c r="D4984" s="433">
        <f t="shared" si="155"/>
        <v>2330.7199999999998</v>
      </c>
    </row>
    <row r="4985" spans="1:4" ht="16.149999999999999" customHeight="1" x14ac:dyDescent="0.25">
      <c r="A4985" s="431">
        <v>38545</v>
      </c>
      <c r="B4985" s="432">
        <v>2324.37</v>
      </c>
      <c r="C4985" s="427">
        <f t="shared" si="154"/>
        <v>2005</v>
      </c>
      <c r="D4985" s="433">
        <f t="shared" si="155"/>
        <v>2324.37</v>
      </c>
    </row>
    <row r="4986" spans="1:4" ht="16.149999999999999" customHeight="1" x14ac:dyDescent="0.25">
      <c r="A4986" s="431">
        <v>38546</v>
      </c>
      <c r="B4986" s="434">
        <v>2323.08</v>
      </c>
      <c r="C4986" s="427">
        <f t="shared" si="154"/>
        <v>2005</v>
      </c>
      <c r="D4986" s="433">
        <f t="shared" si="155"/>
        <v>2323.08</v>
      </c>
    </row>
    <row r="4987" spans="1:4" ht="16.149999999999999" customHeight="1" x14ac:dyDescent="0.25">
      <c r="A4987" s="431">
        <v>38547</v>
      </c>
      <c r="B4987" s="432">
        <v>2326.09</v>
      </c>
      <c r="C4987" s="427">
        <f t="shared" si="154"/>
        <v>2005</v>
      </c>
      <c r="D4987" s="433">
        <f t="shared" si="155"/>
        <v>2326.09</v>
      </c>
    </row>
    <row r="4988" spans="1:4" ht="16.149999999999999" customHeight="1" x14ac:dyDescent="0.25">
      <c r="A4988" s="431">
        <v>38548</v>
      </c>
      <c r="B4988" s="434">
        <v>2329.4</v>
      </c>
      <c r="C4988" s="427">
        <f t="shared" si="154"/>
        <v>2005</v>
      </c>
      <c r="D4988" s="433">
        <f t="shared" si="155"/>
        <v>2329.4</v>
      </c>
    </row>
    <row r="4989" spans="1:4" ht="16.149999999999999" customHeight="1" x14ac:dyDescent="0.25">
      <c r="A4989" s="431">
        <v>38549</v>
      </c>
      <c r="B4989" s="432">
        <v>2332.0700000000002</v>
      </c>
      <c r="C4989" s="427">
        <f t="shared" si="154"/>
        <v>2005</v>
      </c>
      <c r="D4989" s="433">
        <f t="shared" si="155"/>
        <v>2332.0700000000002</v>
      </c>
    </row>
    <row r="4990" spans="1:4" ht="16.149999999999999" customHeight="1" x14ac:dyDescent="0.25">
      <c r="A4990" s="431">
        <v>38550</v>
      </c>
      <c r="B4990" s="434">
        <v>2332.0700000000002</v>
      </c>
      <c r="C4990" s="427">
        <f t="shared" si="154"/>
        <v>2005</v>
      </c>
      <c r="D4990" s="433">
        <f t="shared" si="155"/>
        <v>2332.0700000000002</v>
      </c>
    </row>
    <row r="4991" spans="1:4" ht="16.149999999999999" customHeight="1" x14ac:dyDescent="0.25">
      <c r="A4991" s="431">
        <v>38551</v>
      </c>
      <c r="B4991" s="432">
        <v>2332.0700000000002</v>
      </c>
      <c r="C4991" s="427">
        <f t="shared" si="154"/>
        <v>2005</v>
      </c>
      <c r="D4991" s="433">
        <f t="shared" si="155"/>
        <v>2332.0700000000002</v>
      </c>
    </row>
    <row r="4992" spans="1:4" ht="16.149999999999999" customHeight="1" x14ac:dyDescent="0.25">
      <c r="A4992" s="431">
        <v>38552</v>
      </c>
      <c r="B4992" s="434">
        <v>2320.2600000000002</v>
      </c>
      <c r="C4992" s="427">
        <f t="shared" si="154"/>
        <v>2005</v>
      </c>
      <c r="D4992" s="433">
        <f t="shared" si="155"/>
        <v>2320.2600000000002</v>
      </c>
    </row>
    <row r="4993" spans="1:4" ht="16.149999999999999" customHeight="1" x14ac:dyDescent="0.25">
      <c r="A4993" s="431">
        <v>38553</v>
      </c>
      <c r="B4993" s="432">
        <v>2312.73</v>
      </c>
      <c r="C4993" s="427">
        <f t="shared" si="154"/>
        <v>2005</v>
      </c>
      <c r="D4993" s="433">
        <f t="shared" si="155"/>
        <v>2312.73</v>
      </c>
    </row>
    <row r="4994" spans="1:4" ht="16.149999999999999" customHeight="1" x14ac:dyDescent="0.25">
      <c r="A4994" s="431">
        <v>38554</v>
      </c>
      <c r="B4994" s="434">
        <v>2312.73</v>
      </c>
      <c r="C4994" s="427">
        <f t="shared" si="154"/>
        <v>2005</v>
      </c>
      <c r="D4994" s="433">
        <f t="shared" si="155"/>
        <v>2312.73</v>
      </c>
    </row>
    <row r="4995" spans="1:4" ht="16.149999999999999" customHeight="1" x14ac:dyDescent="0.25">
      <c r="A4995" s="431">
        <v>38555</v>
      </c>
      <c r="B4995" s="432">
        <v>2312.8200000000002</v>
      </c>
      <c r="C4995" s="427">
        <f t="shared" si="154"/>
        <v>2005</v>
      </c>
      <c r="D4995" s="433">
        <f t="shared" si="155"/>
        <v>2312.8200000000002</v>
      </c>
    </row>
    <row r="4996" spans="1:4" ht="16.149999999999999" customHeight="1" x14ac:dyDescent="0.25">
      <c r="A4996" s="431">
        <v>38556</v>
      </c>
      <c r="B4996" s="434">
        <v>2316.42</v>
      </c>
      <c r="C4996" s="427">
        <f t="shared" si="154"/>
        <v>2005</v>
      </c>
      <c r="D4996" s="433">
        <f t="shared" si="155"/>
        <v>2316.42</v>
      </c>
    </row>
    <row r="4997" spans="1:4" ht="16.149999999999999" customHeight="1" x14ac:dyDescent="0.25">
      <c r="A4997" s="431">
        <v>38557</v>
      </c>
      <c r="B4997" s="432">
        <v>2316.42</v>
      </c>
      <c r="C4997" s="427">
        <f t="shared" si="154"/>
        <v>2005</v>
      </c>
      <c r="D4997" s="433">
        <f t="shared" si="155"/>
        <v>2316.42</v>
      </c>
    </row>
    <row r="4998" spans="1:4" ht="16.149999999999999" customHeight="1" x14ac:dyDescent="0.25">
      <c r="A4998" s="431">
        <v>38558</v>
      </c>
      <c r="B4998" s="434">
        <v>2316.42</v>
      </c>
      <c r="C4998" s="427">
        <f t="shared" si="154"/>
        <v>2005</v>
      </c>
      <c r="D4998" s="433">
        <f t="shared" si="155"/>
        <v>2316.42</v>
      </c>
    </row>
    <row r="4999" spans="1:4" ht="16.149999999999999" customHeight="1" x14ac:dyDescent="0.25">
      <c r="A4999" s="431">
        <v>38559</v>
      </c>
      <c r="B4999" s="432">
        <v>2315.39</v>
      </c>
      <c r="C4999" s="427">
        <f t="shared" si="154"/>
        <v>2005</v>
      </c>
      <c r="D4999" s="433">
        <f t="shared" si="155"/>
        <v>2315.39</v>
      </c>
    </row>
    <row r="5000" spans="1:4" ht="16.149999999999999" customHeight="1" x14ac:dyDescent="0.25">
      <c r="A5000" s="431">
        <v>38560</v>
      </c>
      <c r="B5000" s="434">
        <v>2316.9299999999998</v>
      </c>
      <c r="C5000" s="427">
        <f t="shared" si="154"/>
        <v>2005</v>
      </c>
      <c r="D5000" s="433">
        <f t="shared" si="155"/>
        <v>2316.9299999999998</v>
      </c>
    </row>
    <row r="5001" spans="1:4" ht="16.149999999999999" customHeight="1" x14ac:dyDescent="0.25">
      <c r="A5001" s="431">
        <v>38561</v>
      </c>
      <c r="B5001" s="432">
        <v>2313.84</v>
      </c>
      <c r="C5001" s="427">
        <f t="shared" si="154"/>
        <v>2005</v>
      </c>
      <c r="D5001" s="433">
        <f t="shared" si="155"/>
        <v>2313.84</v>
      </c>
    </row>
    <row r="5002" spans="1:4" ht="16.149999999999999" customHeight="1" x14ac:dyDescent="0.25">
      <c r="A5002" s="431">
        <v>38562</v>
      </c>
      <c r="B5002" s="434">
        <v>2311.4299999999998</v>
      </c>
      <c r="C5002" s="427">
        <f t="shared" ref="C5002:C5065" si="156">YEAR(A5002)</f>
        <v>2005</v>
      </c>
      <c r="D5002" s="433">
        <f t="shared" ref="D5002:D5065" si="157">B5002</f>
        <v>2311.4299999999998</v>
      </c>
    </row>
    <row r="5003" spans="1:4" ht="16.149999999999999" customHeight="1" x14ac:dyDescent="0.25">
      <c r="A5003" s="431">
        <v>38563</v>
      </c>
      <c r="B5003" s="432">
        <v>2308.4899999999998</v>
      </c>
      <c r="C5003" s="427">
        <f t="shared" si="156"/>
        <v>2005</v>
      </c>
      <c r="D5003" s="433">
        <f t="shared" si="157"/>
        <v>2308.4899999999998</v>
      </c>
    </row>
    <row r="5004" spans="1:4" ht="16.149999999999999" customHeight="1" x14ac:dyDescent="0.25">
      <c r="A5004" s="431">
        <v>38564</v>
      </c>
      <c r="B5004" s="434">
        <v>2308.4899999999998</v>
      </c>
      <c r="C5004" s="427">
        <f t="shared" si="156"/>
        <v>2005</v>
      </c>
      <c r="D5004" s="433">
        <f t="shared" si="157"/>
        <v>2308.4899999999998</v>
      </c>
    </row>
    <row r="5005" spans="1:4" ht="16.149999999999999" customHeight="1" x14ac:dyDescent="0.25">
      <c r="A5005" s="431">
        <v>38565</v>
      </c>
      <c r="B5005" s="432">
        <v>2308.4899999999998</v>
      </c>
      <c r="C5005" s="427">
        <f t="shared" si="156"/>
        <v>2005</v>
      </c>
      <c r="D5005" s="433">
        <f t="shared" si="157"/>
        <v>2308.4899999999998</v>
      </c>
    </row>
    <row r="5006" spans="1:4" ht="16.149999999999999" customHeight="1" x14ac:dyDescent="0.25">
      <c r="A5006" s="431">
        <v>38566</v>
      </c>
      <c r="B5006" s="434">
        <v>2308.42</v>
      </c>
      <c r="C5006" s="427">
        <f t="shared" si="156"/>
        <v>2005</v>
      </c>
      <c r="D5006" s="433">
        <f t="shared" si="157"/>
        <v>2308.42</v>
      </c>
    </row>
    <row r="5007" spans="1:4" ht="16.149999999999999" customHeight="1" x14ac:dyDescent="0.25">
      <c r="A5007" s="431">
        <v>38567</v>
      </c>
      <c r="B5007" s="432">
        <v>2305.9499999999998</v>
      </c>
      <c r="C5007" s="427">
        <f t="shared" si="156"/>
        <v>2005</v>
      </c>
      <c r="D5007" s="433">
        <f t="shared" si="157"/>
        <v>2305.9499999999998</v>
      </c>
    </row>
    <row r="5008" spans="1:4" ht="16.149999999999999" customHeight="1" x14ac:dyDescent="0.25">
      <c r="A5008" s="431">
        <v>38568</v>
      </c>
      <c r="B5008" s="434">
        <v>2306.5100000000002</v>
      </c>
      <c r="C5008" s="427">
        <f t="shared" si="156"/>
        <v>2005</v>
      </c>
      <c r="D5008" s="433">
        <f t="shared" si="157"/>
        <v>2306.5100000000002</v>
      </c>
    </row>
    <row r="5009" spans="1:4" ht="16.149999999999999" customHeight="1" x14ac:dyDescent="0.25">
      <c r="A5009" s="431">
        <v>38569</v>
      </c>
      <c r="B5009" s="432">
        <v>2307.4</v>
      </c>
      <c r="C5009" s="427">
        <f t="shared" si="156"/>
        <v>2005</v>
      </c>
      <c r="D5009" s="433">
        <f t="shared" si="157"/>
        <v>2307.4</v>
      </c>
    </row>
    <row r="5010" spans="1:4" ht="16.149999999999999" customHeight="1" x14ac:dyDescent="0.25">
      <c r="A5010" s="431">
        <v>38570</v>
      </c>
      <c r="B5010" s="434">
        <v>2307.69</v>
      </c>
      <c r="C5010" s="427">
        <f t="shared" si="156"/>
        <v>2005</v>
      </c>
      <c r="D5010" s="433">
        <f t="shared" si="157"/>
        <v>2307.69</v>
      </c>
    </row>
    <row r="5011" spans="1:4" ht="16.149999999999999" customHeight="1" x14ac:dyDescent="0.25">
      <c r="A5011" s="431">
        <v>38571</v>
      </c>
      <c r="B5011" s="432">
        <v>2307.69</v>
      </c>
      <c r="C5011" s="427">
        <f t="shared" si="156"/>
        <v>2005</v>
      </c>
      <c r="D5011" s="433">
        <f t="shared" si="157"/>
        <v>2307.69</v>
      </c>
    </row>
    <row r="5012" spans="1:4" ht="16.149999999999999" customHeight="1" x14ac:dyDescent="0.25">
      <c r="A5012" s="431">
        <v>38572</v>
      </c>
      <c r="B5012" s="434">
        <v>2307.69</v>
      </c>
      <c r="C5012" s="427">
        <f t="shared" si="156"/>
        <v>2005</v>
      </c>
      <c r="D5012" s="433">
        <f t="shared" si="157"/>
        <v>2307.69</v>
      </c>
    </row>
    <row r="5013" spans="1:4" ht="16.149999999999999" customHeight="1" x14ac:dyDescent="0.25">
      <c r="A5013" s="431">
        <v>38573</v>
      </c>
      <c r="B5013" s="432">
        <v>2308.3000000000002</v>
      </c>
      <c r="C5013" s="427">
        <f t="shared" si="156"/>
        <v>2005</v>
      </c>
      <c r="D5013" s="433">
        <f t="shared" si="157"/>
        <v>2308.3000000000002</v>
      </c>
    </row>
    <row r="5014" spans="1:4" ht="16.149999999999999" customHeight="1" x14ac:dyDescent="0.25">
      <c r="A5014" s="431">
        <v>38574</v>
      </c>
      <c r="B5014" s="434">
        <v>2305.63</v>
      </c>
      <c r="C5014" s="427">
        <f t="shared" si="156"/>
        <v>2005</v>
      </c>
      <c r="D5014" s="433">
        <f t="shared" si="157"/>
        <v>2305.63</v>
      </c>
    </row>
    <row r="5015" spans="1:4" ht="16.149999999999999" customHeight="1" x14ac:dyDescent="0.25">
      <c r="A5015" s="431">
        <v>38575</v>
      </c>
      <c r="B5015" s="432">
        <v>2299.75</v>
      </c>
      <c r="C5015" s="427">
        <f t="shared" si="156"/>
        <v>2005</v>
      </c>
      <c r="D5015" s="433">
        <f t="shared" si="157"/>
        <v>2299.75</v>
      </c>
    </row>
    <row r="5016" spans="1:4" ht="16.149999999999999" customHeight="1" x14ac:dyDescent="0.25">
      <c r="A5016" s="431">
        <v>38576</v>
      </c>
      <c r="B5016" s="434">
        <v>2313.52</v>
      </c>
      <c r="C5016" s="427">
        <f t="shared" si="156"/>
        <v>2005</v>
      </c>
      <c r="D5016" s="433">
        <f t="shared" si="157"/>
        <v>2313.52</v>
      </c>
    </row>
    <row r="5017" spans="1:4" ht="16.149999999999999" customHeight="1" x14ac:dyDescent="0.25">
      <c r="A5017" s="431">
        <v>38577</v>
      </c>
      <c r="B5017" s="432">
        <v>2308.38</v>
      </c>
      <c r="C5017" s="427">
        <f t="shared" si="156"/>
        <v>2005</v>
      </c>
      <c r="D5017" s="433">
        <f t="shared" si="157"/>
        <v>2308.38</v>
      </c>
    </row>
    <row r="5018" spans="1:4" ht="16.149999999999999" customHeight="1" x14ac:dyDescent="0.25">
      <c r="A5018" s="431">
        <v>38578</v>
      </c>
      <c r="B5018" s="434">
        <v>2308.38</v>
      </c>
      <c r="C5018" s="427">
        <f t="shared" si="156"/>
        <v>2005</v>
      </c>
      <c r="D5018" s="433">
        <f t="shared" si="157"/>
        <v>2308.38</v>
      </c>
    </row>
    <row r="5019" spans="1:4" ht="16.149999999999999" customHeight="1" x14ac:dyDescent="0.25">
      <c r="A5019" s="431">
        <v>38579</v>
      </c>
      <c r="B5019" s="432">
        <v>2308.38</v>
      </c>
      <c r="C5019" s="427">
        <f t="shared" si="156"/>
        <v>2005</v>
      </c>
      <c r="D5019" s="433">
        <f t="shared" si="157"/>
        <v>2308.38</v>
      </c>
    </row>
    <row r="5020" spans="1:4" ht="16.149999999999999" customHeight="1" x14ac:dyDescent="0.25">
      <c r="A5020" s="431">
        <v>38580</v>
      </c>
      <c r="B5020" s="434">
        <v>2308.38</v>
      </c>
      <c r="C5020" s="427">
        <f t="shared" si="156"/>
        <v>2005</v>
      </c>
      <c r="D5020" s="433">
        <f t="shared" si="157"/>
        <v>2308.38</v>
      </c>
    </row>
    <row r="5021" spans="1:4" ht="16.149999999999999" customHeight="1" x14ac:dyDescent="0.25">
      <c r="A5021" s="431">
        <v>38581</v>
      </c>
      <c r="B5021" s="432">
        <v>2301.7399999999998</v>
      </c>
      <c r="C5021" s="427">
        <f t="shared" si="156"/>
        <v>2005</v>
      </c>
      <c r="D5021" s="433">
        <f t="shared" si="157"/>
        <v>2301.7399999999998</v>
      </c>
    </row>
    <row r="5022" spans="1:4" ht="16.149999999999999" customHeight="1" x14ac:dyDescent="0.25">
      <c r="A5022" s="431">
        <v>38582</v>
      </c>
      <c r="B5022" s="434">
        <v>2303.1999999999998</v>
      </c>
      <c r="C5022" s="427">
        <f t="shared" si="156"/>
        <v>2005</v>
      </c>
      <c r="D5022" s="433">
        <f t="shared" si="157"/>
        <v>2303.1999999999998</v>
      </c>
    </row>
    <row r="5023" spans="1:4" ht="16.149999999999999" customHeight="1" x14ac:dyDescent="0.25">
      <c r="A5023" s="431">
        <v>38583</v>
      </c>
      <c r="B5023" s="432">
        <v>2307.4499999999998</v>
      </c>
      <c r="C5023" s="427">
        <f t="shared" si="156"/>
        <v>2005</v>
      </c>
      <c r="D5023" s="433">
        <f t="shared" si="157"/>
        <v>2307.4499999999998</v>
      </c>
    </row>
    <row r="5024" spans="1:4" ht="16.149999999999999" customHeight="1" x14ac:dyDescent="0.25">
      <c r="A5024" s="431">
        <v>38584</v>
      </c>
      <c r="B5024" s="434">
        <v>2309.83</v>
      </c>
      <c r="C5024" s="427">
        <f t="shared" si="156"/>
        <v>2005</v>
      </c>
      <c r="D5024" s="433">
        <f t="shared" si="157"/>
        <v>2309.83</v>
      </c>
    </row>
    <row r="5025" spans="1:4" ht="16.149999999999999" customHeight="1" x14ac:dyDescent="0.25">
      <c r="A5025" s="431">
        <v>38585</v>
      </c>
      <c r="B5025" s="432">
        <v>2309.83</v>
      </c>
      <c r="C5025" s="427">
        <f t="shared" si="156"/>
        <v>2005</v>
      </c>
      <c r="D5025" s="433">
        <f t="shared" si="157"/>
        <v>2309.83</v>
      </c>
    </row>
    <row r="5026" spans="1:4" ht="16.149999999999999" customHeight="1" x14ac:dyDescent="0.25">
      <c r="A5026" s="431">
        <v>38586</v>
      </c>
      <c r="B5026" s="434">
        <v>2309.83</v>
      </c>
      <c r="C5026" s="427">
        <f t="shared" si="156"/>
        <v>2005</v>
      </c>
      <c r="D5026" s="433">
        <f t="shared" si="157"/>
        <v>2309.83</v>
      </c>
    </row>
    <row r="5027" spans="1:4" ht="16.149999999999999" customHeight="1" x14ac:dyDescent="0.25">
      <c r="A5027" s="431">
        <v>38587</v>
      </c>
      <c r="B5027" s="432">
        <v>2304.2600000000002</v>
      </c>
      <c r="C5027" s="427">
        <f t="shared" si="156"/>
        <v>2005</v>
      </c>
      <c r="D5027" s="433">
        <f t="shared" si="157"/>
        <v>2304.2600000000002</v>
      </c>
    </row>
    <row r="5028" spans="1:4" ht="16.149999999999999" customHeight="1" x14ac:dyDescent="0.25">
      <c r="A5028" s="431">
        <v>38588</v>
      </c>
      <c r="B5028" s="434">
        <v>2302.59</v>
      </c>
      <c r="C5028" s="427">
        <f t="shared" si="156"/>
        <v>2005</v>
      </c>
      <c r="D5028" s="433">
        <f t="shared" si="157"/>
        <v>2302.59</v>
      </c>
    </row>
    <row r="5029" spans="1:4" ht="16.149999999999999" customHeight="1" x14ac:dyDescent="0.25">
      <c r="A5029" s="431">
        <v>38589</v>
      </c>
      <c r="B5029" s="432">
        <v>2305.0500000000002</v>
      </c>
      <c r="C5029" s="427">
        <f t="shared" si="156"/>
        <v>2005</v>
      </c>
      <c r="D5029" s="433">
        <f t="shared" si="157"/>
        <v>2305.0500000000002</v>
      </c>
    </row>
    <row r="5030" spans="1:4" ht="16.149999999999999" customHeight="1" x14ac:dyDescent="0.25">
      <c r="A5030" s="431">
        <v>38590</v>
      </c>
      <c r="B5030" s="434">
        <v>2305.87</v>
      </c>
      <c r="C5030" s="427">
        <f t="shared" si="156"/>
        <v>2005</v>
      </c>
      <c r="D5030" s="433">
        <f t="shared" si="157"/>
        <v>2305.87</v>
      </c>
    </row>
    <row r="5031" spans="1:4" ht="16.149999999999999" customHeight="1" x14ac:dyDescent="0.25">
      <c r="A5031" s="431">
        <v>38591</v>
      </c>
      <c r="B5031" s="432">
        <v>2306.71</v>
      </c>
      <c r="C5031" s="427">
        <f t="shared" si="156"/>
        <v>2005</v>
      </c>
      <c r="D5031" s="433">
        <f t="shared" si="157"/>
        <v>2306.71</v>
      </c>
    </row>
    <row r="5032" spans="1:4" ht="16.149999999999999" customHeight="1" x14ac:dyDescent="0.25">
      <c r="A5032" s="431">
        <v>38592</v>
      </c>
      <c r="B5032" s="434">
        <v>2306.71</v>
      </c>
      <c r="C5032" s="427">
        <f t="shared" si="156"/>
        <v>2005</v>
      </c>
      <c r="D5032" s="433">
        <f t="shared" si="157"/>
        <v>2306.71</v>
      </c>
    </row>
    <row r="5033" spans="1:4" ht="16.149999999999999" customHeight="1" x14ac:dyDescent="0.25">
      <c r="A5033" s="431">
        <v>38593</v>
      </c>
      <c r="B5033" s="432">
        <v>2306.71</v>
      </c>
      <c r="C5033" s="427">
        <f t="shared" si="156"/>
        <v>2005</v>
      </c>
      <c r="D5033" s="433">
        <f t="shared" si="157"/>
        <v>2306.71</v>
      </c>
    </row>
    <row r="5034" spans="1:4" ht="16.149999999999999" customHeight="1" x14ac:dyDescent="0.25">
      <c r="A5034" s="431">
        <v>38594</v>
      </c>
      <c r="B5034" s="434">
        <v>2305.15</v>
      </c>
      <c r="C5034" s="427">
        <f t="shared" si="156"/>
        <v>2005</v>
      </c>
      <c r="D5034" s="433">
        <f t="shared" si="157"/>
        <v>2305.15</v>
      </c>
    </row>
    <row r="5035" spans="1:4" ht="16.149999999999999" customHeight="1" x14ac:dyDescent="0.25">
      <c r="A5035" s="431">
        <v>38595</v>
      </c>
      <c r="B5035" s="432">
        <v>2304.3000000000002</v>
      </c>
      <c r="C5035" s="427">
        <f t="shared" si="156"/>
        <v>2005</v>
      </c>
      <c r="D5035" s="433">
        <f t="shared" si="157"/>
        <v>2304.3000000000002</v>
      </c>
    </row>
    <row r="5036" spans="1:4" ht="16.149999999999999" customHeight="1" x14ac:dyDescent="0.25">
      <c r="A5036" s="431">
        <v>38596</v>
      </c>
      <c r="B5036" s="434">
        <v>2302.7800000000002</v>
      </c>
      <c r="C5036" s="427">
        <f t="shared" si="156"/>
        <v>2005</v>
      </c>
      <c r="D5036" s="433">
        <f t="shared" si="157"/>
        <v>2302.7800000000002</v>
      </c>
    </row>
    <row r="5037" spans="1:4" ht="16.149999999999999" customHeight="1" x14ac:dyDescent="0.25">
      <c r="A5037" s="431">
        <v>38597</v>
      </c>
      <c r="B5037" s="432">
        <v>2298.85</v>
      </c>
      <c r="C5037" s="427">
        <f t="shared" si="156"/>
        <v>2005</v>
      </c>
      <c r="D5037" s="433">
        <f t="shared" si="157"/>
        <v>2298.85</v>
      </c>
    </row>
    <row r="5038" spans="1:4" ht="16.149999999999999" customHeight="1" x14ac:dyDescent="0.25">
      <c r="A5038" s="431">
        <v>38598</v>
      </c>
      <c r="B5038" s="434">
        <v>2295.31</v>
      </c>
      <c r="C5038" s="427">
        <f t="shared" si="156"/>
        <v>2005</v>
      </c>
      <c r="D5038" s="433">
        <f t="shared" si="157"/>
        <v>2295.31</v>
      </c>
    </row>
    <row r="5039" spans="1:4" ht="16.149999999999999" customHeight="1" x14ac:dyDescent="0.25">
      <c r="A5039" s="431">
        <v>38599</v>
      </c>
      <c r="B5039" s="432">
        <v>2295.31</v>
      </c>
      <c r="C5039" s="427">
        <f t="shared" si="156"/>
        <v>2005</v>
      </c>
      <c r="D5039" s="433">
        <f t="shared" si="157"/>
        <v>2295.31</v>
      </c>
    </row>
    <row r="5040" spans="1:4" ht="16.149999999999999" customHeight="1" x14ac:dyDescent="0.25">
      <c r="A5040" s="431">
        <v>38600</v>
      </c>
      <c r="B5040" s="434">
        <v>2295.31</v>
      </c>
      <c r="C5040" s="427">
        <f t="shared" si="156"/>
        <v>2005</v>
      </c>
      <c r="D5040" s="433">
        <f t="shared" si="157"/>
        <v>2295.31</v>
      </c>
    </row>
    <row r="5041" spans="1:4" ht="16.149999999999999" customHeight="1" x14ac:dyDescent="0.25">
      <c r="A5041" s="431">
        <v>38601</v>
      </c>
      <c r="B5041" s="432">
        <v>2295.31</v>
      </c>
      <c r="C5041" s="427">
        <f t="shared" si="156"/>
        <v>2005</v>
      </c>
      <c r="D5041" s="433">
        <f t="shared" si="157"/>
        <v>2295.31</v>
      </c>
    </row>
    <row r="5042" spans="1:4" ht="16.149999999999999" customHeight="1" x14ac:dyDescent="0.25">
      <c r="A5042" s="431">
        <v>38602</v>
      </c>
      <c r="B5042" s="434">
        <v>2286.61</v>
      </c>
      <c r="C5042" s="427">
        <f t="shared" si="156"/>
        <v>2005</v>
      </c>
      <c r="D5042" s="433">
        <f t="shared" si="157"/>
        <v>2286.61</v>
      </c>
    </row>
    <row r="5043" spans="1:4" ht="16.149999999999999" customHeight="1" x14ac:dyDescent="0.25">
      <c r="A5043" s="431">
        <v>38603</v>
      </c>
      <c r="B5043" s="432">
        <v>2279.9499999999998</v>
      </c>
      <c r="C5043" s="427">
        <f t="shared" si="156"/>
        <v>2005</v>
      </c>
      <c r="D5043" s="433">
        <f t="shared" si="157"/>
        <v>2279.9499999999998</v>
      </c>
    </row>
    <row r="5044" spans="1:4" ht="16.149999999999999" customHeight="1" x14ac:dyDescent="0.25">
      <c r="A5044" s="431">
        <v>38604</v>
      </c>
      <c r="B5044" s="434">
        <v>2289.3000000000002</v>
      </c>
      <c r="C5044" s="427">
        <f t="shared" si="156"/>
        <v>2005</v>
      </c>
      <c r="D5044" s="433">
        <f t="shared" si="157"/>
        <v>2289.3000000000002</v>
      </c>
    </row>
    <row r="5045" spans="1:4" ht="16.149999999999999" customHeight="1" x14ac:dyDescent="0.25">
      <c r="A5045" s="431">
        <v>38605</v>
      </c>
      <c r="B5045" s="432">
        <v>2305.09</v>
      </c>
      <c r="C5045" s="427">
        <f t="shared" si="156"/>
        <v>2005</v>
      </c>
      <c r="D5045" s="433">
        <f t="shared" si="157"/>
        <v>2305.09</v>
      </c>
    </row>
    <row r="5046" spans="1:4" ht="16.149999999999999" customHeight="1" x14ac:dyDescent="0.25">
      <c r="A5046" s="431">
        <v>38606</v>
      </c>
      <c r="B5046" s="434">
        <v>2305.09</v>
      </c>
      <c r="C5046" s="427">
        <f t="shared" si="156"/>
        <v>2005</v>
      </c>
      <c r="D5046" s="433">
        <f t="shared" si="157"/>
        <v>2305.09</v>
      </c>
    </row>
    <row r="5047" spans="1:4" ht="16.149999999999999" customHeight="1" x14ac:dyDescent="0.25">
      <c r="A5047" s="431">
        <v>38607</v>
      </c>
      <c r="B5047" s="432">
        <v>2305.09</v>
      </c>
      <c r="C5047" s="427">
        <f t="shared" si="156"/>
        <v>2005</v>
      </c>
      <c r="D5047" s="433">
        <f t="shared" si="157"/>
        <v>2305.09</v>
      </c>
    </row>
    <row r="5048" spans="1:4" ht="16.149999999999999" customHeight="1" x14ac:dyDescent="0.25">
      <c r="A5048" s="431">
        <v>38608</v>
      </c>
      <c r="B5048" s="434">
        <v>2306.71</v>
      </c>
      <c r="C5048" s="427">
        <f t="shared" si="156"/>
        <v>2005</v>
      </c>
      <c r="D5048" s="433">
        <f t="shared" si="157"/>
        <v>2306.71</v>
      </c>
    </row>
    <row r="5049" spans="1:4" ht="16.149999999999999" customHeight="1" x14ac:dyDescent="0.25">
      <c r="A5049" s="431">
        <v>38609</v>
      </c>
      <c r="B5049" s="432">
        <v>2295.02</v>
      </c>
      <c r="C5049" s="427">
        <f t="shared" si="156"/>
        <v>2005</v>
      </c>
      <c r="D5049" s="433">
        <f t="shared" si="157"/>
        <v>2295.02</v>
      </c>
    </row>
    <row r="5050" spans="1:4" ht="16.149999999999999" customHeight="1" x14ac:dyDescent="0.25">
      <c r="A5050" s="431">
        <v>38610</v>
      </c>
      <c r="B5050" s="434">
        <v>2290.02</v>
      </c>
      <c r="C5050" s="427">
        <f t="shared" si="156"/>
        <v>2005</v>
      </c>
      <c r="D5050" s="433">
        <f t="shared" si="157"/>
        <v>2290.02</v>
      </c>
    </row>
    <row r="5051" spans="1:4" ht="16.149999999999999" customHeight="1" x14ac:dyDescent="0.25">
      <c r="A5051" s="431">
        <v>38611</v>
      </c>
      <c r="B5051" s="432">
        <v>2299.8200000000002</v>
      </c>
      <c r="C5051" s="427">
        <f t="shared" si="156"/>
        <v>2005</v>
      </c>
      <c r="D5051" s="433">
        <f t="shared" si="157"/>
        <v>2299.8200000000002</v>
      </c>
    </row>
    <row r="5052" spans="1:4" ht="16.149999999999999" customHeight="1" x14ac:dyDescent="0.25">
      <c r="A5052" s="431">
        <v>38612</v>
      </c>
      <c r="B5052" s="434">
        <v>2301.9899999999998</v>
      </c>
      <c r="C5052" s="427">
        <f t="shared" si="156"/>
        <v>2005</v>
      </c>
      <c r="D5052" s="433">
        <f t="shared" si="157"/>
        <v>2301.9899999999998</v>
      </c>
    </row>
    <row r="5053" spans="1:4" ht="16.149999999999999" customHeight="1" x14ac:dyDescent="0.25">
      <c r="A5053" s="431">
        <v>38613</v>
      </c>
      <c r="B5053" s="432">
        <v>2301.9899999999998</v>
      </c>
      <c r="C5053" s="427">
        <f t="shared" si="156"/>
        <v>2005</v>
      </c>
      <c r="D5053" s="433">
        <f t="shared" si="157"/>
        <v>2301.9899999999998</v>
      </c>
    </row>
    <row r="5054" spans="1:4" ht="16.149999999999999" customHeight="1" x14ac:dyDescent="0.25">
      <c r="A5054" s="431">
        <v>38614</v>
      </c>
      <c r="B5054" s="434">
        <v>2301.9899999999998</v>
      </c>
      <c r="C5054" s="427">
        <f t="shared" si="156"/>
        <v>2005</v>
      </c>
      <c r="D5054" s="433">
        <f t="shared" si="157"/>
        <v>2301.9899999999998</v>
      </c>
    </row>
    <row r="5055" spans="1:4" ht="16.149999999999999" customHeight="1" x14ac:dyDescent="0.25">
      <c r="A5055" s="431">
        <v>38615</v>
      </c>
      <c r="B5055" s="432">
        <v>2295.5700000000002</v>
      </c>
      <c r="C5055" s="427">
        <f t="shared" si="156"/>
        <v>2005</v>
      </c>
      <c r="D5055" s="433">
        <f t="shared" si="157"/>
        <v>2295.5700000000002</v>
      </c>
    </row>
    <row r="5056" spans="1:4" ht="16.149999999999999" customHeight="1" x14ac:dyDescent="0.25">
      <c r="A5056" s="431">
        <v>38616</v>
      </c>
      <c r="B5056" s="434">
        <v>2300.58</v>
      </c>
      <c r="C5056" s="427">
        <f t="shared" si="156"/>
        <v>2005</v>
      </c>
      <c r="D5056" s="433">
        <f t="shared" si="157"/>
        <v>2300.58</v>
      </c>
    </row>
    <row r="5057" spans="1:4" ht="16.149999999999999" customHeight="1" x14ac:dyDescent="0.25">
      <c r="A5057" s="431">
        <v>38617</v>
      </c>
      <c r="B5057" s="432">
        <v>2291.0500000000002</v>
      </c>
      <c r="C5057" s="427">
        <f t="shared" si="156"/>
        <v>2005</v>
      </c>
      <c r="D5057" s="433">
        <f t="shared" si="157"/>
        <v>2291.0500000000002</v>
      </c>
    </row>
    <row r="5058" spans="1:4" ht="16.149999999999999" customHeight="1" x14ac:dyDescent="0.25">
      <c r="A5058" s="431">
        <v>38618</v>
      </c>
      <c r="B5058" s="434">
        <v>2292.59</v>
      </c>
      <c r="C5058" s="427">
        <f t="shared" si="156"/>
        <v>2005</v>
      </c>
      <c r="D5058" s="433">
        <f t="shared" si="157"/>
        <v>2292.59</v>
      </c>
    </row>
    <row r="5059" spans="1:4" ht="16.149999999999999" customHeight="1" x14ac:dyDescent="0.25">
      <c r="A5059" s="431">
        <v>38619</v>
      </c>
      <c r="B5059" s="432">
        <v>2290.0300000000002</v>
      </c>
      <c r="C5059" s="427">
        <f t="shared" si="156"/>
        <v>2005</v>
      </c>
      <c r="D5059" s="433">
        <f t="shared" si="157"/>
        <v>2290.0300000000002</v>
      </c>
    </row>
    <row r="5060" spans="1:4" ht="16.149999999999999" customHeight="1" x14ac:dyDescent="0.25">
      <c r="A5060" s="431">
        <v>38620</v>
      </c>
      <c r="B5060" s="434">
        <v>2290.0300000000002</v>
      </c>
      <c r="C5060" s="427">
        <f t="shared" si="156"/>
        <v>2005</v>
      </c>
      <c r="D5060" s="433">
        <f t="shared" si="157"/>
        <v>2290.0300000000002</v>
      </c>
    </row>
    <row r="5061" spans="1:4" ht="16.149999999999999" customHeight="1" x14ac:dyDescent="0.25">
      <c r="A5061" s="431">
        <v>38621</v>
      </c>
      <c r="B5061" s="432">
        <v>2290.0300000000002</v>
      </c>
      <c r="C5061" s="427">
        <f t="shared" si="156"/>
        <v>2005</v>
      </c>
      <c r="D5061" s="433">
        <f t="shared" si="157"/>
        <v>2290.0300000000002</v>
      </c>
    </row>
    <row r="5062" spans="1:4" ht="16.149999999999999" customHeight="1" x14ac:dyDescent="0.25">
      <c r="A5062" s="431">
        <v>38622</v>
      </c>
      <c r="B5062" s="434">
        <v>2289.1799999999998</v>
      </c>
      <c r="C5062" s="427">
        <f t="shared" si="156"/>
        <v>2005</v>
      </c>
      <c r="D5062" s="433">
        <f t="shared" si="157"/>
        <v>2289.1799999999998</v>
      </c>
    </row>
    <row r="5063" spans="1:4" ht="16.149999999999999" customHeight="1" x14ac:dyDescent="0.25">
      <c r="A5063" s="431">
        <v>38623</v>
      </c>
      <c r="B5063" s="432">
        <v>2290.7399999999998</v>
      </c>
      <c r="C5063" s="427">
        <f t="shared" si="156"/>
        <v>2005</v>
      </c>
      <c r="D5063" s="433">
        <f t="shared" si="157"/>
        <v>2290.7399999999998</v>
      </c>
    </row>
    <row r="5064" spans="1:4" ht="16.149999999999999" customHeight="1" x14ac:dyDescent="0.25">
      <c r="A5064" s="431">
        <v>38624</v>
      </c>
      <c r="B5064" s="434">
        <v>2293.29</v>
      </c>
      <c r="C5064" s="427">
        <f t="shared" si="156"/>
        <v>2005</v>
      </c>
      <c r="D5064" s="433">
        <f t="shared" si="157"/>
        <v>2293.29</v>
      </c>
    </row>
    <row r="5065" spans="1:4" ht="16.149999999999999" customHeight="1" x14ac:dyDescent="0.25">
      <c r="A5065" s="431">
        <v>38625</v>
      </c>
      <c r="B5065" s="432">
        <v>2289.61</v>
      </c>
      <c r="C5065" s="427">
        <f t="shared" si="156"/>
        <v>2005</v>
      </c>
      <c r="D5065" s="433">
        <f t="shared" si="157"/>
        <v>2289.61</v>
      </c>
    </row>
    <row r="5066" spans="1:4" ht="16.149999999999999" customHeight="1" x14ac:dyDescent="0.25">
      <c r="A5066" s="431">
        <v>38626</v>
      </c>
      <c r="B5066" s="434">
        <v>2288.2199999999998</v>
      </c>
      <c r="C5066" s="427">
        <f t="shared" ref="C5066:C5129" si="158">YEAR(A5066)</f>
        <v>2005</v>
      </c>
      <c r="D5066" s="433">
        <f t="shared" ref="D5066:D5129" si="159">B5066</f>
        <v>2288.2199999999998</v>
      </c>
    </row>
    <row r="5067" spans="1:4" ht="16.149999999999999" customHeight="1" x14ac:dyDescent="0.25">
      <c r="A5067" s="431">
        <v>38627</v>
      </c>
      <c r="B5067" s="432">
        <v>2288.2199999999998</v>
      </c>
      <c r="C5067" s="427">
        <f t="shared" si="158"/>
        <v>2005</v>
      </c>
      <c r="D5067" s="433">
        <f t="shared" si="159"/>
        <v>2288.2199999999998</v>
      </c>
    </row>
    <row r="5068" spans="1:4" ht="16.149999999999999" customHeight="1" x14ac:dyDescent="0.25">
      <c r="A5068" s="431">
        <v>38628</v>
      </c>
      <c r="B5068" s="434">
        <v>2288.2199999999998</v>
      </c>
      <c r="C5068" s="427">
        <f t="shared" si="158"/>
        <v>2005</v>
      </c>
      <c r="D5068" s="433">
        <f t="shared" si="159"/>
        <v>2288.2199999999998</v>
      </c>
    </row>
    <row r="5069" spans="1:4" ht="16.149999999999999" customHeight="1" x14ac:dyDescent="0.25">
      <c r="A5069" s="431">
        <v>38629</v>
      </c>
      <c r="B5069" s="432">
        <v>2289.13</v>
      </c>
      <c r="C5069" s="427">
        <f t="shared" si="158"/>
        <v>2005</v>
      </c>
      <c r="D5069" s="433">
        <f t="shared" si="159"/>
        <v>2289.13</v>
      </c>
    </row>
    <row r="5070" spans="1:4" ht="16.149999999999999" customHeight="1" x14ac:dyDescent="0.25">
      <c r="A5070" s="431">
        <v>38630</v>
      </c>
      <c r="B5070" s="434">
        <v>2289.79</v>
      </c>
      <c r="C5070" s="427">
        <f t="shared" si="158"/>
        <v>2005</v>
      </c>
      <c r="D5070" s="433">
        <f t="shared" si="159"/>
        <v>2289.79</v>
      </c>
    </row>
    <row r="5071" spans="1:4" ht="16.149999999999999" customHeight="1" x14ac:dyDescent="0.25">
      <c r="A5071" s="431">
        <v>38631</v>
      </c>
      <c r="B5071" s="432">
        <v>2294.12</v>
      </c>
      <c r="C5071" s="427">
        <f t="shared" si="158"/>
        <v>2005</v>
      </c>
      <c r="D5071" s="433">
        <f t="shared" si="159"/>
        <v>2294.12</v>
      </c>
    </row>
    <row r="5072" spans="1:4" ht="16.149999999999999" customHeight="1" x14ac:dyDescent="0.25">
      <c r="A5072" s="431">
        <v>38632</v>
      </c>
      <c r="B5072" s="434">
        <v>2302.79</v>
      </c>
      <c r="C5072" s="427">
        <f t="shared" si="158"/>
        <v>2005</v>
      </c>
      <c r="D5072" s="433">
        <f t="shared" si="159"/>
        <v>2302.79</v>
      </c>
    </row>
    <row r="5073" spans="1:4" ht="16.149999999999999" customHeight="1" x14ac:dyDescent="0.25">
      <c r="A5073" s="431">
        <v>38633</v>
      </c>
      <c r="B5073" s="432">
        <v>2303.0100000000002</v>
      </c>
      <c r="C5073" s="427">
        <f t="shared" si="158"/>
        <v>2005</v>
      </c>
      <c r="D5073" s="433">
        <f t="shared" si="159"/>
        <v>2303.0100000000002</v>
      </c>
    </row>
    <row r="5074" spans="1:4" ht="16.149999999999999" customHeight="1" x14ac:dyDescent="0.25">
      <c r="A5074" s="431">
        <v>38634</v>
      </c>
      <c r="B5074" s="434">
        <v>2303.0100000000002</v>
      </c>
      <c r="C5074" s="427">
        <f t="shared" si="158"/>
        <v>2005</v>
      </c>
      <c r="D5074" s="433">
        <f t="shared" si="159"/>
        <v>2303.0100000000002</v>
      </c>
    </row>
    <row r="5075" spans="1:4" ht="16.149999999999999" customHeight="1" x14ac:dyDescent="0.25">
      <c r="A5075" s="431">
        <v>38635</v>
      </c>
      <c r="B5075" s="432">
        <v>2303.0100000000002</v>
      </c>
      <c r="C5075" s="427">
        <f t="shared" si="158"/>
        <v>2005</v>
      </c>
      <c r="D5075" s="433">
        <f t="shared" si="159"/>
        <v>2303.0100000000002</v>
      </c>
    </row>
    <row r="5076" spans="1:4" ht="16.149999999999999" customHeight="1" x14ac:dyDescent="0.25">
      <c r="A5076" s="431">
        <v>38636</v>
      </c>
      <c r="B5076" s="434">
        <v>2303.0100000000002</v>
      </c>
      <c r="C5076" s="427">
        <f t="shared" si="158"/>
        <v>2005</v>
      </c>
      <c r="D5076" s="433">
        <f t="shared" si="159"/>
        <v>2303.0100000000002</v>
      </c>
    </row>
    <row r="5077" spans="1:4" ht="16.149999999999999" customHeight="1" x14ac:dyDescent="0.25">
      <c r="A5077" s="431">
        <v>38637</v>
      </c>
      <c r="B5077" s="432">
        <v>2299.94</v>
      </c>
      <c r="C5077" s="427">
        <f t="shared" si="158"/>
        <v>2005</v>
      </c>
      <c r="D5077" s="433">
        <f t="shared" si="159"/>
        <v>2299.94</v>
      </c>
    </row>
    <row r="5078" spans="1:4" ht="16.149999999999999" customHeight="1" x14ac:dyDescent="0.25">
      <c r="A5078" s="431">
        <v>38638</v>
      </c>
      <c r="B5078" s="434">
        <v>2299.4699999999998</v>
      </c>
      <c r="C5078" s="427">
        <f t="shared" si="158"/>
        <v>2005</v>
      </c>
      <c r="D5078" s="433">
        <f t="shared" si="159"/>
        <v>2299.4699999999998</v>
      </c>
    </row>
    <row r="5079" spans="1:4" ht="16.149999999999999" customHeight="1" x14ac:dyDescent="0.25">
      <c r="A5079" s="431">
        <v>38639</v>
      </c>
      <c r="B5079" s="432">
        <v>2298.9899999999998</v>
      </c>
      <c r="C5079" s="427">
        <f t="shared" si="158"/>
        <v>2005</v>
      </c>
      <c r="D5079" s="433">
        <f t="shared" si="159"/>
        <v>2298.9899999999998</v>
      </c>
    </row>
    <row r="5080" spans="1:4" ht="16.149999999999999" customHeight="1" x14ac:dyDescent="0.25">
      <c r="A5080" s="431">
        <v>38640</v>
      </c>
      <c r="B5080" s="434">
        <v>2294.75</v>
      </c>
      <c r="C5080" s="427">
        <f t="shared" si="158"/>
        <v>2005</v>
      </c>
      <c r="D5080" s="433">
        <f t="shared" si="159"/>
        <v>2294.75</v>
      </c>
    </row>
    <row r="5081" spans="1:4" ht="16.149999999999999" customHeight="1" x14ac:dyDescent="0.25">
      <c r="A5081" s="431">
        <v>38641</v>
      </c>
      <c r="B5081" s="432">
        <v>2294.75</v>
      </c>
      <c r="C5081" s="427">
        <f t="shared" si="158"/>
        <v>2005</v>
      </c>
      <c r="D5081" s="433">
        <f t="shared" si="159"/>
        <v>2294.75</v>
      </c>
    </row>
    <row r="5082" spans="1:4" ht="16.149999999999999" customHeight="1" x14ac:dyDescent="0.25">
      <c r="A5082" s="431">
        <v>38642</v>
      </c>
      <c r="B5082" s="434">
        <v>2294.75</v>
      </c>
      <c r="C5082" s="427">
        <f t="shared" si="158"/>
        <v>2005</v>
      </c>
      <c r="D5082" s="433">
        <f t="shared" si="159"/>
        <v>2294.75</v>
      </c>
    </row>
    <row r="5083" spans="1:4" ht="16.149999999999999" customHeight="1" x14ac:dyDescent="0.25">
      <c r="A5083" s="431">
        <v>38643</v>
      </c>
      <c r="B5083" s="432">
        <v>2294.75</v>
      </c>
      <c r="C5083" s="427">
        <f t="shared" si="158"/>
        <v>2005</v>
      </c>
      <c r="D5083" s="433">
        <f t="shared" si="159"/>
        <v>2294.75</v>
      </c>
    </row>
    <row r="5084" spans="1:4" ht="16.149999999999999" customHeight="1" x14ac:dyDescent="0.25">
      <c r="A5084" s="431">
        <v>38644</v>
      </c>
      <c r="B5084" s="434">
        <v>2288.69</v>
      </c>
      <c r="C5084" s="427">
        <f t="shared" si="158"/>
        <v>2005</v>
      </c>
      <c r="D5084" s="433">
        <f t="shared" si="159"/>
        <v>2288.69</v>
      </c>
    </row>
    <row r="5085" spans="1:4" ht="16.149999999999999" customHeight="1" x14ac:dyDescent="0.25">
      <c r="A5085" s="431">
        <v>38645</v>
      </c>
      <c r="B5085" s="432">
        <v>2283.96</v>
      </c>
      <c r="C5085" s="427">
        <f t="shared" si="158"/>
        <v>2005</v>
      </c>
      <c r="D5085" s="433">
        <f t="shared" si="159"/>
        <v>2283.96</v>
      </c>
    </row>
    <row r="5086" spans="1:4" ht="16.149999999999999" customHeight="1" x14ac:dyDescent="0.25">
      <c r="A5086" s="431">
        <v>38646</v>
      </c>
      <c r="B5086" s="434">
        <v>2289.15</v>
      </c>
      <c r="C5086" s="427">
        <f t="shared" si="158"/>
        <v>2005</v>
      </c>
      <c r="D5086" s="433">
        <f t="shared" si="159"/>
        <v>2289.15</v>
      </c>
    </row>
    <row r="5087" spans="1:4" ht="16.149999999999999" customHeight="1" x14ac:dyDescent="0.25">
      <c r="A5087" s="431">
        <v>38647</v>
      </c>
      <c r="B5087" s="432">
        <v>2288.69</v>
      </c>
      <c r="C5087" s="427">
        <f t="shared" si="158"/>
        <v>2005</v>
      </c>
      <c r="D5087" s="433">
        <f t="shared" si="159"/>
        <v>2288.69</v>
      </c>
    </row>
    <row r="5088" spans="1:4" ht="16.149999999999999" customHeight="1" x14ac:dyDescent="0.25">
      <c r="A5088" s="431">
        <v>38648</v>
      </c>
      <c r="B5088" s="434">
        <v>2288.69</v>
      </c>
      <c r="C5088" s="427">
        <f t="shared" si="158"/>
        <v>2005</v>
      </c>
      <c r="D5088" s="433">
        <f t="shared" si="159"/>
        <v>2288.69</v>
      </c>
    </row>
    <row r="5089" spans="1:4" ht="16.149999999999999" customHeight="1" x14ac:dyDescent="0.25">
      <c r="A5089" s="431">
        <v>38649</v>
      </c>
      <c r="B5089" s="432">
        <v>2288.69</v>
      </c>
      <c r="C5089" s="427">
        <f t="shared" si="158"/>
        <v>2005</v>
      </c>
      <c r="D5089" s="433">
        <f t="shared" si="159"/>
        <v>2288.69</v>
      </c>
    </row>
    <row r="5090" spans="1:4" ht="16.149999999999999" customHeight="1" x14ac:dyDescent="0.25">
      <c r="A5090" s="431">
        <v>38650</v>
      </c>
      <c r="B5090" s="434">
        <v>2285.37</v>
      </c>
      <c r="C5090" s="427">
        <f t="shared" si="158"/>
        <v>2005</v>
      </c>
      <c r="D5090" s="433">
        <f t="shared" si="159"/>
        <v>2285.37</v>
      </c>
    </row>
    <row r="5091" spans="1:4" ht="16.149999999999999" customHeight="1" x14ac:dyDescent="0.25">
      <c r="A5091" s="431">
        <v>38651</v>
      </c>
      <c r="B5091" s="432">
        <v>2284.0500000000002</v>
      </c>
      <c r="C5091" s="427">
        <f t="shared" si="158"/>
        <v>2005</v>
      </c>
      <c r="D5091" s="433">
        <f t="shared" si="159"/>
        <v>2284.0500000000002</v>
      </c>
    </row>
    <row r="5092" spans="1:4" ht="16.149999999999999" customHeight="1" x14ac:dyDescent="0.25">
      <c r="A5092" s="431">
        <v>38652</v>
      </c>
      <c r="B5092" s="434">
        <v>2288.52</v>
      </c>
      <c r="C5092" s="427">
        <f t="shared" si="158"/>
        <v>2005</v>
      </c>
      <c r="D5092" s="433">
        <f t="shared" si="159"/>
        <v>2288.52</v>
      </c>
    </row>
    <row r="5093" spans="1:4" ht="16.149999999999999" customHeight="1" x14ac:dyDescent="0.25">
      <c r="A5093" s="431">
        <v>38653</v>
      </c>
      <c r="B5093" s="432">
        <v>2289.87</v>
      </c>
      <c r="C5093" s="427">
        <f t="shared" si="158"/>
        <v>2005</v>
      </c>
      <c r="D5093" s="433">
        <f t="shared" si="159"/>
        <v>2289.87</v>
      </c>
    </row>
    <row r="5094" spans="1:4" ht="16.149999999999999" customHeight="1" x14ac:dyDescent="0.25">
      <c r="A5094" s="431">
        <v>38654</v>
      </c>
      <c r="B5094" s="434">
        <v>2289.5700000000002</v>
      </c>
      <c r="C5094" s="427">
        <f t="shared" si="158"/>
        <v>2005</v>
      </c>
      <c r="D5094" s="433">
        <f t="shared" si="159"/>
        <v>2289.5700000000002</v>
      </c>
    </row>
    <row r="5095" spans="1:4" ht="16.149999999999999" customHeight="1" x14ac:dyDescent="0.25">
      <c r="A5095" s="431">
        <v>38655</v>
      </c>
      <c r="B5095" s="432">
        <v>2289.5700000000002</v>
      </c>
      <c r="C5095" s="427">
        <f t="shared" si="158"/>
        <v>2005</v>
      </c>
      <c r="D5095" s="433">
        <f t="shared" si="159"/>
        <v>2289.5700000000002</v>
      </c>
    </row>
    <row r="5096" spans="1:4" ht="16.149999999999999" customHeight="1" x14ac:dyDescent="0.25">
      <c r="A5096" s="431">
        <v>38656</v>
      </c>
      <c r="B5096" s="434">
        <v>2289.5700000000002</v>
      </c>
      <c r="C5096" s="427">
        <f t="shared" si="158"/>
        <v>2005</v>
      </c>
      <c r="D5096" s="433">
        <f t="shared" si="159"/>
        <v>2289.5700000000002</v>
      </c>
    </row>
    <row r="5097" spans="1:4" ht="16.149999999999999" customHeight="1" x14ac:dyDescent="0.25">
      <c r="A5097" s="431">
        <v>38657</v>
      </c>
      <c r="B5097" s="432">
        <v>2287.5100000000002</v>
      </c>
      <c r="C5097" s="427">
        <f t="shared" si="158"/>
        <v>2005</v>
      </c>
      <c r="D5097" s="433">
        <f t="shared" si="159"/>
        <v>2287.5100000000002</v>
      </c>
    </row>
    <row r="5098" spans="1:4" ht="16.149999999999999" customHeight="1" x14ac:dyDescent="0.25">
      <c r="A5098" s="431">
        <v>38658</v>
      </c>
      <c r="B5098" s="434">
        <v>2285.83</v>
      </c>
      <c r="C5098" s="427">
        <f t="shared" si="158"/>
        <v>2005</v>
      </c>
      <c r="D5098" s="433">
        <f t="shared" si="159"/>
        <v>2285.83</v>
      </c>
    </row>
    <row r="5099" spans="1:4" ht="16.149999999999999" customHeight="1" x14ac:dyDescent="0.25">
      <c r="A5099" s="431">
        <v>38659</v>
      </c>
      <c r="B5099" s="432">
        <v>2285.2399999999998</v>
      </c>
      <c r="C5099" s="427">
        <f t="shared" si="158"/>
        <v>2005</v>
      </c>
      <c r="D5099" s="433">
        <f t="shared" si="159"/>
        <v>2285.2399999999998</v>
      </c>
    </row>
    <row r="5100" spans="1:4" ht="16.149999999999999" customHeight="1" x14ac:dyDescent="0.25">
      <c r="A5100" s="431">
        <v>38660</v>
      </c>
      <c r="B5100" s="434">
        <v>2283.7800000000002</v>
      </c>
      <c r="C5100" s="427">
        <f t="shared" si="158"/>
        <v>2005</v>
      </c>
      <c r="D5100" s="433">
        <f t="shared" si="159"/>
        <v>2283.7800000000002</v>
      </c>
    </row>
    <row r="5101" spans="1:4" ht="16.149999999999999" customHeight="1" x14ac:dyDescent="0.25">
      <c r="A5101" s="431">
        <v>38661</v>
      </c>
      <c r="B5101" s="432">
        <v>2282.7600000000002</v>
      </c>
      <c r="C5101" s="427">
        <f t="shared" si="158"/>
        <v>2005</v>
      </c>
      <c r="D5101" s="433">
        <f t="shared" si="159"/>
        <v>2282.7600000000002</v>
      </c>
    </row>
    <row r="5102" spans="1:4" ht="16.149999999999999" customHeight="1" x14ac:dyDescent="0.25">
      <c r="A5102" s="431">
        <v>38662</v>
      </c>
      <c r="B5102" s="434">
        <v>2282.7600000000002</v>
      </c>
      <c r="C5102" s="427">
        <f t="shared" si="158"/>
        <v>2005</v>
      </c>
      <c r="D5102" s="433">
        <f t="shared" si="159"/>
        <v>2282.7600000000002</v>
      </c>
    </row>
    <row r="5103" spans="1:4" ht="16.149999999999999" customHeight="1" x14ac:dyDescent="0.25">
      <c r="A5103" s="431">
        <v>38663</v>
      </c>
      <c r="B5103" s="432">
        <v>2282.7600000000002</v>
      </c>
      <c r="C5103" s="427">
        <f t="shared" si="158"/>
        <v>2005</v>
      </c>
      <c r="D5103" s="433">
        <f t="shared" si="159"/>
        <v>2282.7600000000002</v>
      </c>
    </row>
    <row r="5104" spans="1:4" ht="16.149999999999999" customHeight="1" x14ac:dyDescent="0.25">
      <c r="A5104" s="431">
        <v>38664</v>
      </c>
      <c r="B5104" s="434">
        <v>2282.7600000000002</v>
      </c>
      <c r="C5104" s="427">
        <f t="shared" si="158"/>
        <v>2005</v>
      </c>
      <c r="D5104" s="433">
        <f t="shared" si="159"/>
        <v>2282.7600000000002</v>
      </c>
    </row>
    <row r="5105" spans="1:4" ht="16.149999999999999" customHeight="1" x14ac:dyDescent="0.25">
      <c r="A5105" s="431">
        <v>38665</v>
      </c>
      <c r="B5105" s="432">
        <v>2282.67</v>
      </c>
      <c r="C5105" s="427">
        <f t="shared" si="158"/>
        <v>2005</v>
      </c>
      <c r="D5105" s="433">
        <f t="shared" si="159"/>
        <v>2282.67</v>
      </c>
    </row>
    <row r="5106" spans="1:4" ht="16.149999999999999" customHeight="1" x14ac:dyDescent="0.25">
      <c r="A5106" s="431">
        <v>38666</v>
      </c>
      <c r="B5106" s="434">
        <v>2280.94</v>
      </c>
      <c r="C5106" s="427">
        <f t="shared" si="158"/>
        <v>2005</v>
      </c>
      <c r="D5106" s="433">
        <f t="shared" si="159"/>
        <v>2280.94</v>
      </c>
    </row>
    <row r="5107" spans="1:4" ht="16.149999999999999" customHeight="1" x14ac:dyDescent="0.25">
      <c r="A5107" s="431">
        <v>38667</v>
      </c>
      <c r="B5107" s="432">
        <v>2280.19</v>
      </c>
      <c r="C5107" s="427">
        <f t="shared" si="158"/>
        <v>2005</v>
      </c>
      <c r="D5107" s="433">
        <f t="shared" si="159"/>
        <v>2280.19</v>
      </c>
    </row>
    <row r="5108" spans="1:4" ht="16.149999999999999" customHeight="1" x14ac:dyDescent="0.25">
      <c r="A5108" s="431">
        <v>38668</v>
      </c>
      <c r="B5108" s="434">
        <v>2280.19</v>
      </c>
      <c r="C5108" s="427">
        <f t="shared" si="158"/>
        <v>2005</v>
      </c>
      <c r="D5108" s="433">
        <f t="shared" si="159"/>
        <v>2280.19</v>
      </c>
    </row>
    <row r="5109" spans="1:4" ht="16.149999999999999" customHeight="1" x14ac:dyDescent="0.25">
      <c r="A5109" s="431">
        <v>38669</v>
      </c>
      <c r="B5109" s="432">
        <v>2280.19</v>
      </c>
      <c r="C5109" s="427">
        <f t="shared" si="158"/>
        <v>2005</v>
      </c>
      <c r="D5109" s="433">
        <f t="shared" si="159"/>
        <v>2280.19</v>
      </c>
    </row>
    <row r="5110" spans="1:4" ht="16.149999999999999" customHeight="1" x14ac:dyDescent="0.25">
      <c r="A5110" s="431">
        <v>38670</v>
      </c>
      <c r="B5110" s="434">
        <v>2280.19</v>
      </c>
      <c r="C5110" s="427">
        <f t="shared" si="158"/>
        <v>2005</v>
      </c>
      <c r="D5110" s="433">
        <f t="shared" si="159"/>
        <v>2280.19</v>
      </c>
    </row>
    <row r="5111" spans="1:4" ht="16.149999999999999" customHeight="1" x14ac:dyDescent="0.25">
      <c r="A5111" s="431">
        <v>38671</v>
      </c>
      <c r="B5111" s="432">
        <v>2280.19</v>
      </c>
      <c r="C5111" s="427">
        <f t="shared" si="158"/>
        <v>2005</v>
      </c>
      <c r="D5111" s="433">
        <f t="shared" si="159"/>
        <v>2280.19</v>
      </c>
    </row>
    <row r="5112" spans="1:4" ht="16.149999999999999" customHeight="1" x14ac:dyDescent="0.25">
      <c r="A5112" s="431">
        <v>38672</v>
      </c>
      <c r="B5112" s="434">
        <v>2280.4299999999998</v>
      </c>
      <c r="C5112" s="427">
        <f t="shared" si="158"/>
        <v>2005</v>
      </c>
      <c r="D5112" s="433">
        <f t="shared" si="159"/>
        <v>2280.4299999999998</v>
      </c>
    </row>
    <row r="5113" spans="1:4" ht="16.149999999999999" customHeight="1" x14ac:dyDescent="0.25">
      <c r="A5113" s="431">
        <v>38673</v>
      </c>
      <c r="B5113" s="432">
        <v>2278.23</v>
      </c>
      <c r="C5113" s="427">
        <f t="shared" si="158"/>
        <v>2005</v>
      </c>
      <c r="D5113" s="433">
        <f t="shared" si="159"/>
        <v>2278.23</v>
      </c>
    </row>
    <row r="5114" spans="1:4" ht="16.149999999999999" customHeight="1" x14ac:dyDescent="0.25">
      <c r="A5114" s="431">
        <v>38674</v>
      </c>
      <c r="B5114" s="434">
        <v>2277.9899999999998</v>
      </c>
      <c r="C5114" s="427">
        <f t="shared" si="158"/>
        <v>2005</v>
      </c>
      <c r="D5114" s="433">
        <f t="shared" si="159"/>
        <v>2277.9899999999998</v>
      </c>
    </row>
    <row r="5115" spans="1:4" ht="16.149999999999999" customHeight="1" x14ac:dyDescent="0.25">
      <c r="A5115" s="431">
        <v>38675</v>
      </c>
      <c r="B5115" s="432">
        <v>2277.73</v>
      </c>
      <c r="C5115" s="427">
        <f t="shared" si="158"/>
        <v>2005</v>
      </c>
      <c r="D5115" s="433">
        <f t="shared" si="159"/>
        <v>2277.73</v>
      </c>
    </row>
    <row r="5116" spans="1:4" ht="16.149999999999999" customHeight="1" x14ac:dyDescent="0.25">
      <c r="A5116" s="431">
        <v>38676</v>
      </c>
      <c r="B5116" s="434">
        <v>2277.73</v>
      </c>
      <c r="C5116" s="427">
        <f t="shared" si="158"/>
        <v>2005</v>
      </c>
      <c r="D5116" s="433">
        <f t="shared" si="159"/>
        <v>2277.73</v>
      </c>
    </row>
    <row r="5117" spans="1:4" ht="16.149999999999999" customHeight="1" x14ac:dyDescent="0.25">
      <c r="A5117" s="431">
        <v>38677</v>
      </c>
      <c r="B5117" s="432">
        <v>2277.73</v>
      </c>
      <c r="C5117" s="427">
        <f t="shared" si="158"/>
        <v>2005</v>
      </c>
      <c r="D5117" s="433">
        <f t="shared" si="159"/>
        <v>2277.73</v>
      </c>
    </row>
    <row r="5118" spans="1:4" ht="16.149999999999999" customHeight="1" x14ac:dyDescent="0.25">
      <c r="A5118" s="431">
        <v>38678</v>
      </c>
      <c r="B5118" s="434">
        <v>2276.64</v>
      </c>
      <c r="C5118" s="427">
        <f t="shared" si="158"/>
        <v>2005</v>
      </c>
      <c r="D5118" s="433">
        <f t="shared" si="159"/>
        <v>2276.64</v>
      </c>
    </row>
    <row r="5119" spans="1:4" ht="16.149999999999999" customHeight="1" x14ac:dyDescent="0.25">
      <c r="A5119" s="431">
        <v>38679</v>
      </c>
      <c r="B5119" s="432">
        <v>2278.48</v>
      </c>
      <c r="C5119" s="427">
        <f t="shared" si="158"/>
        <v>2005</v>
      </c>
      <c r="D5119" s="433">
        <f t="shared" si="159"/>
        <v>2278.48</v>
      </c>
    </row>
    <row r="5120" spans="1:4" ht="16.149999999999999" customHeight="1" x14ac:dyDescent="0.25">
      <c r="A5120" s="431">
        <v>38680</v>
      </c>
      <c r="B5120" s="434">
        <v>2277.92</v>
      </c>
      <c r="C5120" s="427">
        <f t="shared" si="158"/>
        <v>2005</v>
      </c>
      <c r="D5120" s="433">
        <f t="shared" si="159"/>
        <v>2277.92</v>
      </c>
    </row>
    <row r="5121" spans="1:4" ht="16.149999999999999" customHeight="1" x14ac:dyDescent="0.25">
      <c r="A5121" s="431">
        <v>38681</v>
      </c>
      <c r="B5121" s="432">
        <v>2277.92</v>
      </c>
      <c r="C5121" s="427">
        <f t="shared" si="158"/>
        <v>2005</v>
      </c>
      <c r="D5121" s="433">
        <f t="shared" si="159"/>
        <v>2277.92</v>
      </c>
    </row>
    <row r="5122" spans="1:4" ht="16.149999999999999" customHeight="1" x14ac:dyDescent="0.25">
      <c r="A5122" s="431">
        <v>38682</v>
      </c>
      <c r="B5122" s="434">
        <v>2275.4</v>
      </c>
      <c r="C5122" s="427">
        <f t="shared" si="158"/>
        <v>2005</v>
      </c>
      <c r="D5122" s="433">
        <f t="shared" si="159"/>
        <v>2275.4</v>
      </c>
    </row>
    <row r="5123" spans="1:4" ht="16.149999999999999" customHeight="1" x14ac:dyDescent="0.25">
      <c r="A5123" s="431">
        <v>38683</v>
      </c>
      <c r="B5123" s="432">
        <v>2275.4</v>
      </c>
      <c r="C5123" s="427">
        <f t="shared" si="158"/>
        <v>2005</v>
      </c>
      <c r="D5123" s="433">
        <f t="shared" si="159"/>
        <v>2275.4</v>
      </c>
    </row>
    <row r="5124" spans="1:4" ht="16.149999999999999" customHeight="1" x14ac:dyDescent="0.25">
      <c r="A5124" s="431">
        <v>38684</v>
      </c>
      <c r="B5124" s="434">
        <v>2275.4</v>
      </c>
      <c r="C5124" s="427">
        <f t="shared" si="158"/>
        <v>2005</v>
      </c>
      <c r="D5124" s="433">
        <f t="shared" si="159"/>
        <v>2275.4</v>
      </c>
    </row>
    <row r="5125" spans="1:4" ht="16.149999999999999" customHeight="1" x14ac:dyDescent="0.25">
      <c r="A5125" s="431">
        <v>38685</v>
      </c>
      <c r="B5125" s="432">
        <v>2273.08</v>
      </c>
      <c r="C5125" s="427">
        <f t="shared" si="158"/>
        <v>2005</v>
      </c>
      <c r="D5125" s="433">
        <f t="shared" si="159"/>
        <v>2273.08</v>
      </c>
    </row>
    <row r="5126" spans="1:4" ht="16.149999999999999" customHeight="1" x14ac:dyDescent="0.25">
      <c r="A5126" s="431">
        <v>38686</v>
      </c>
      <c r="B5126" s="434">
        <v>2274.04</v>
      </c>
      <c r="C5126" s="427">
        <f t="shared" si="158"/>
        <v>2005</v>
      </c>
      <c r="D5126" s="433">
        <f t="shared" si="159"/>
        <v>2274.04</v>
      </c>
    </row>
    <row r="5127" spans="1:4" ht="16.149999999999999" customHeight="1" x14ac:dyDescent="0.25">
      <c r="A5127" s="431">
        <v>38687</v>
      </c>
      <c r="B5127" s="432">
        <v>2274.71</v>
      </c>
      <c r="C5127" s="427">
        <f t="shared" si="158"/>
        <v>2005</v>
      </c>
      <c r="D5127" s="433">
        <f t="shared" si="159"/>
        <v>2274.71</v>
      </c>
    </row>
    <row r="5128" spans="1:4" ht="16.149999999999999" customHeight="1" x14ac:dyDescent="0.25">
      <c r="A5128" s="431">
        <v>38688</v>
      </c>
      <c r="B5128" s="434">
        <v>2272.9499999999998</v>
      </c>
      <c r="C5128" s="427">
        <f t="shared" si="158"/>
        <v>2005</v>
      </c>
      <c r="D5128" s="433">
        <f t="shared" si="159"/>
        <v>2272.9499999999998</v>
      </c>
    </row>
    <row r="5129" spans="1:4" ht="16.149999999999999" customHeight="1" x14ac:dyDescent="0.25">
      <c r="A5129" s="431">
        <v>38689</v>
      </c>
      <c r="B5129" s="432">
        <v>2274.39</v>
      </c>
      <c r="C5129" s="427">
        <f t="shared" si="158"/>
        <v>2005</v>
      </c>
      <c r="D5129" s="433">
        <f t="shared" si="159"/>
        <v>2274.39</v>
      </c>
    </row>
    <row r="5130" spans="1:4" ht="16.149999999999999" customHeight="1" x14ac:dyDescent="0.25">
      <c r="A5130" s="431">
        <v>38690</v>
      </c>
      <c r="B5130" s="434">
        <v>2274.39</v>
      </c>
      <c r="C5130" s="427">
        <f t="shared" ref="C5130:C5193" si="160">YEAR(A5130)</f>
        <v>2005</v>
      </c>
      <c r="D5130" s="433">
        <f t="shared" ref="D5130:D5193" si="161">B5130</f>
        <v>2274.39</v>
      </c>
    </row>
    <row r="5131" spans="1:4" ht="16.149999999999999" customHeight="1" x14ac:dyDescent="0.25">
      <c r="A5131" s="431">
        <v>38691</v>
      </c>
      <c r="B5131" s="432">
        <v>2274.39</v>
      </c>
      <c r="C5131" s="427">
        <f t="shared" si="160"/>
        <v>2005</v>
      </c>
      <c r="D5131" s="433">
        <f t="shared" si="161"/>
        <v>2274.39</v>
      </c>
    </row>
    <row r="5132" spans="1:4" ht="16.149999999999999" customHeight="1" x14ac:dyDescent="0.25">
      <c r="A5132" s="431">
        <v>38692</v>
      </c>
      <c r="B5132" s="434">
        <v>2274.1</v>
      </c>
      <c r="C5132" s="427">
        <f t="shared" si="160"/>
        <v>2005</v>
      </c>
      <c r="D5132" s="433">
        <f t="shared" si="161"/>
        <v>2274.1</v>
      </c>
    </row>
    <row r="5133" spans="1:4" ht="16.149999999999999" customHeight="1" x14ac:dyDescent="0.25">
      <c r="A5133" s="431">
        <v>38693</v>
      </c>
      <c r="B5133" s="432">
        <v>2274.19</v>
      </c>
      <c r="C5133" s="427">
        <f t="shared" si="160"/>
        <v>2005</v>
      </c>
      <c r="D5133" s="433">
        <f t="shared" si="161"/>
        <v>2274.19</v>
      </c>
    </row>
    <row r="5134" spans="1:4" ht="16.149999999999999" customHeight="1" x14ac:dyDescent="0.25">
      <c r="A5134" s="431">
        <v>38694</v>
      </c>
      <c r="B5134" s="434">
        <v>2274.06</v>
      </c>
      <c r="C5134" s="427">
        <f t="shared" si="160"/>
        <v>2005</v>
      </c>
      <c r="D5134" s="433">
        <f t="shared" si="161"/>
        <v>2274.06</v>
      </c>
    </row>
    <row r="5135" spans="1:4" ht="16.149999999999999" customHeight="1" x14ac:dyDescent="0.25">
      <c r="A5135" s="431">
        <v>38695</v>
      </c>
      <c r="B5135" s="432">
        <v>2274.06</v>
      </c>
      <c r="C5135" s="427">
        <f t="shared" si="160"/>
        <v>2005</v>
      </c>
      <c r="D5135" s="433">
        <f t="shared" si="161"/>
        <v>2274.06</v>
      </c>
    </row>
    <row r="5136" spans="1:4" ht="16.149999999999999" customHeight="1" x14ac:dyDescent="0.25">
      <c r="A5136" s="431">
        <v>38696</v>
      </c>
      <c r="B5136" s="434">
        <v>2275.09</v>
      </c>
      <c r="C5136" s="427">
        <f t="shared" si="160"/>
        <v>2005</v>
      </c>
      <c r="D5136" s="433">
        <f t="shared" si="161"/>
        <v>2275.09</v>
      </c>
    </row>
    <row r="5137" spans="1:4" ht="16.149999999999999" customHeight="1" x14ac:dyDescent="0.25">
      <c r="A5137" s="431">
        <v>38697</v>
      </c>
      <c r="B5137" s="432">
        <v>2275.09</v>
      </c>
      <c r="C5137" s="427">
        <f t="shared" si="160"/>
        <v>2005</v>
      </c>
      <c r="D5137" s="433">
        <f t="shared" si="161"/>
        <v>2275.09</v>
      </c>
    </row>
    <row r="5138" spans="1:4" ht="16.149999999999999" customHeight="1" x14ac:dyDescent="0.25">
      <c r="A5138" s="431">
        <v>38698</v>
      </c>
      <c r="B5138" s="434">
        <v>2275.09</v>
      </c>
      <c r="C5138" s="427">
        <f t="shared" si="160"/>
        <v>2005</v>
      </c>
      <c r="D5138" s="433">
        <f t="shared" si="161"/>
        <v>2275.09</v>
      </c>
    </row>
    <row r="5139" spans="1:4" ht="16.149999999999999" customHeight="1" x14ac:dyDescent="0.25">
      <c r="A5139" s="431">
        <v>38699</v>
      </c>
      <c r="B5139" s="432">
        <v>2275.4699999999998</v>
      </c>
      <c r="C5139" s="427">
        <f t="shared" si="160"/>
        <v>2005</v>
      </c>
      <c r="D5139" s="433">
        <f t="shared" si="161"/>
        <v>2275.4699999999998</v>
      </c>
    </row>
    <row r="5140" spans="1:4" ht="16.149999999999999" customHeight="1" x14ac:dyDescent="0.25">
      <c r="A5140" s="431">
        <v>38700</v>
      </c>
      <c r="B5140" s="434">
        <v>2275.33</v>
      </c>
      <c r="C5140" s="427">
        <f t="shared" si="160"/>
        <v>2005</v>
      </c>
      <c r="D5140" s="433">
        <f t="shared" si="161"/>
        <v>2275.33</v>
      </c>
    </row>
    <row r="5141" spans="1:4" ht="16.149999999999999" customHeight="1" x14ac:dyDescent="0.25">
      <c r="A5141" s="431">
        <v>38701</v>
      </c>
      <c r="B5141" s="432">
        <v>2275.4499999999998</v>
      </c>
      <c r="C5141" s="427">
        <f t="shared" si="160"/>
        <v>2005</v>
      </c>
      <c r="D5141" s="433">
        <f t="shared" si="161"/>
        <v>2275.4499999999998</v>
      </c>
    </row>
    <row r="5142" spans="1:4" ht="16.149999999999999" customHeight="1" x14ac:dyDescent="0.25">
      <c r="A5142" s="431">
        <v>38702</v>
      </c>
      <c r="B5142" s="434">
        <v>2276.6999999999998</v>
      </c>
      <c r="C5142" s="427">
        <f t="shared" si="160"/>
        <v>2005</v>
      </c>
      <c r="D5142" s="433">
        <f t="shared" si="161"/>
        <v>2276.6999999999998</v>
      </c>
    </row>
    <row r="5143" spans="1:4" ht="16.149999999999999" customHeight="1" x14ac:dyDescent="0.25">
      <c r="A5143" s="431">
        <v>38703</v>
      </c>
      <c r="B5143" s="432">
        <v>2277.85</v>
      </c>
      <c r="C5143" s="427">
        <f t="shared" si="160"/>
        <v>2005</v>
      </c>
      <c r="D5143" s="433">
        <f t="shared" si="161"/>
        <v>2277.85</v>
      </c>
    </row>
    <row r="5144" spans="1:4" ht="16.149999999999999" customHeight="1" x14ac:dyDescent="0.25">
      <c r="A5144" s="431">
        <v>38704</v>
      </c>
      <c r="B5144" s="434">
        <v>2277.85</v>
      </c>
      <c r="C5144" s="427">
        <f t="shared" si="160"/>
        <v>2005</v>
      </c>
      <c r="D5144" s="433">
        <f t="shared" si="161"/>
        <v>2277.85</v>
      </c>
    </row>
    <row r="5145" spans="1:4" ht="16.149999999999999" customHeight="1" x14ac:dyDescent="0.25">
      <c r="A5145" s="431">
        <v>38705</v>
      </c>
      <c r="B5145" s="432">
        <v>2277.85</v>
      </c>
      <c r="C5145" s="427">
        <f t="shared" si="160"/>
        <v>2005</v>
      </c>
      <c r="D5145" s="433">
        <f t="shared" si="161"/>
        <v>2277.85</v>
      </c>
    </row>
    <row r="5146" spans="1:4" ht="16.149999999999999" customHeight="1" x14ac:dyDescent="0.25">
      <c r="A5146" s="431">
        <v>38706</v>
      </c>
      <c r="B5146" s="434">
        <v>2286.83</v>
      </c>
      <c r="C5146" s="427">
        <f t="shared" si="160"/>
        <v>2005</v>
      </c>
      <c r="D5146" s="433">
        <f t="shared" si="161"/>
        <v>2286.83</v>
      </c>
    </row>
    <row r="5147" spans="1:4" ht="16.149999999999999" customHeight="1" x14ac:dyDescent="0.25">
      <c r="A5147" s="431">
        <v>38707</v>
      </c>
      <c r="B5147" s="432">
        <v>2286.46</v>
      </c>
      <c r="C5147" s="427">
        <f t="shared" si="160"/>
        <v>2005</v>
      </c>
      <c r="D5147" s="433">
        <f t="shared" si="161"/>
        <v>2286.46</v>
      </c>
    </row>
    <row r="5148" spans="1:4" ht="16.149999999999999" customHeight="1" x14ac:dyDescent="0.25">
      <c r="A5148" s="431">
        <v>38708</v>
      </c>
      <c r="B5148" s="434">
        <v>2285.61</v>
      </c>
      <c r="C5148" s="427">
        <f t="shared" si="160"/>
        <v>2005</v>
      </c>
      <c r="D5148" s="433">
        <f t="shared" si="161"/>
        <v>2285.61</v>
      </c>
    </row>
    <row r="5149" spans="1:4" ht="16.149999999999999" customHeight="1" x14ac:dyDescent="0.25">
      <c r="A5149" s="431">
        <v>38709</v>
      </c>
      <c r="B5149" s="432">
        <v>2283.4699999999998</v>
      </c>
      <c r="C5149" s="427">
        <f t="shared" si="160"/>
        <v>2005</v>
      </c>
      <c r="D5149" s="433">
        <f t="shared" si="161"/>
        <v>2283.4699999999998</v>
      </c>
    </row>
    <row r="5150" spans="1:4" ht="16.149999999999999" customHeight="1" x14ac:dyDescent="0.25">
      <c r="A5150" s="431">
        <v>38710</v>
      </c>
      <c r="B5150" s="434">
        <v>2282.36</v>
      </c>
      <c r="C5150" s="427">
        <f t="shared" si="160"/>
        <v>2005</v>
      </c>
      <c r="D5150" s="433">
        <f t="shared" si="161"/>
        <v>2282.36</v>
      </c>
    </row>
    <row r="5151" spans="1:4" ht="16.149999999999999" customHeight="1" x14ac:dyDescent="0.25">
      <c r="A5151" s="431">
        <v>38711</v>
      </c>
      <c r="B5151" s="432">
        <v>2282.36</v>
      </c>
      <c r="C5151" s="427">
        <f t="shared" si="160"/>
        <v>2005</v>
      </c>
      <c r="D5151" s="433">
        <f t="shared" si="161"/>
        <v>2282.36</v>
      </c>
    </row>
    <row r="5152" spans="1:4" ht="16.149999999999999" customHeight="1" x14ac:dyDescent="0.25">
      <c r="A5152" s="431">
        <v>38712</v>
      </c>
      <c r="B5152" s="434">
        <v>2282.36</v>
      </c>
      <c r="C5152" s="427">
        <f t="shared" si="160"/>
        <v>2005</v>
      </c>
      <c r="D5152" s="433">
        <f t="shared" si="161"/>
        <v>2282.36</v>
      </c>
    </row>
    <row r="5153" spans="1:4" ht="16.149999999999999" customHeight="1" x14ac:dyDescent="0.25">
      <c r="A5153" s="431">
        <v>38713</v>
      </c>
      <c r="B5153" s="432">
        <v>2282.36</v>
      </c>
      <c r="C5153" s="427">
        <f t="shared" si="160"/>
        <v>2005</v>
      </c>
      <c r="D5153" s="433">
        <f t="shared" si="161"/>
        <v>2282.36</v>
      </c>
    </row>
    <row r="5154" spans="1:4" ht="16.149999999999999" customHeight="1" x14ac:dyDescent="0.25">
      <c r="A5154" s="431">
        <v>38714</v>
      </c>
      <c r="B5154" s="434">
        <v>2283.11</v>
      </c>
      <c r="C5154" s="427">
        <f t="shared" si="160"/>
        <v>2005</v>
      </c>
      <c r="D5154" s="433">
        <f t="shared" si="161"/>
        <v>2283.11</v>
      </c>
    </row>
    <row r="5155" spans="1:4" ht="16.149999999999999" customHeight="1" x14ac:dyDescent="0.25">
      <c r="A5155" s="431">
        <v>38715</v>
      </c>
      <c r="B5155" s="432">
        <v>2282.35</v>
      </c>
      <c r="C5155" s="427">
        <f t="shared" si="160"/>
        <v>2005</v>
      </c>
      <c r="D5155" s="433">
        <f t="shared" si="161"/>
        <v>2282.35</v>
      </c>
    </row>
    <row r="5156" spans="1:4" ht="16.149999999999999" customHeight="1" x14ac:dyDescent="0.25">
      <c r="A5156" s="431">
        <v>38716</v>
      </c>
      <c r="B5156" s="434">
        <v>2284.2199999999998</v>
      </c>
      <c r="C5156" s="427">
        <f t="shared" si="160"/>
        <v>2005</v>
      </c>
      <c r="D5156" s="433">
        <f t="shared" si="161"/>
        <v>2284.2199999999998</v>
      </c>
    </row>
    <row r="5157" spans="1:4" ht="16.149999999999999" customHeight="1" x14ac:dyDescent="0.25">
      <c r="A5157" s="431">
        <v>38717</v>
      </c>
      <c r="B5157" s="432">
        <v>2284.2199999999998</v>
      </c>
      <c r="C5157" s="427">
        <f t="shared" si="160"/>
        <v>2005</v>
      </c>
      <c r="D5157" s="433">
        <f t="shared" si="161"/>
        <v>2284.2199999999998</v>
      </c>
    </row>
    <row r="5158" spans="1:4" ht="16.149999999999999" customHeight="1" x14ac:dyDescent="0.25">
      <c r="A5158" s="431">
        <v>38718</v>
      </c>
      <c r="B5158" s="434">
        <v>2284.2199999999998</v>
      </c>
      <c r="C5158" s="427">
        <f t="shared" si="160"/>
        <v>2006</v>
      </c>
      <c r="D5158" s="433">
        <f t="shared" si="161"/>
        <v>2284.2199999999998</v>
      </c>
    </row>
    <row r="5159" spans="1:4" ht="16.149999999999999" customHeight="1" x14ac:dyDescent="0.25">
      <c r="A5159" s="431">
        <v>38719</v>
      </c>
      <c r="B5159" s="432">
        <v>2284.2199999999998</v>
      </c>
      <c r="C5159" s="427">
        <f t="shared" si="160"/>
        <v>2006</v>
      </c>
      <c r="D5159" s="433">
        <f t="shared" si="161"/>
        <v>2284.2199999999998</v>
      </c>
    </row>
    <row r="5160" spans="1:4" ht="16.149999999999999" customHeight="1" x14ac:dyDescent="0.25">
      <c r="A5160" s="431">
        <v>38720</v>
      </c>
      <c r="B5160" s="434">
        <v>2284.2199999999998</v>
      </c>
      <c r="C5160" s="427">
        <f t="shared" si="160"/>
        <v>2006</v>
      </c>
      <c r="D5160" s="433">
        <f t="shared" si="161"/>
        <v>2284.2199999999998</v>
      </c>
    </row>
    <row r="5161" spans="1:4" ht="16.149999999999999" customHeight="1" x14ac:dyDescent="0.25">
      <c r="A5161" s="431">
        <v>38721</v>
      </c>
      <c r="B5161" s="432">
        <v>2282.27</v>
      </c>
      <c r="C5161" s="427">
        <f t="shared" si="160"/>
        <v>2006</v>
      </c>
      <c r="D5161" s="433">
        <f t="shared" si="161"/>
        <v>2282.27</v>
      </c>
    </row>
    <row r="5162" spans="1:4" ht="16.149999999999999" customHeight="1" x14ac:dyDescent="0.25">
      <c r="A5162" s="431">
        <v>38722</v>
      </c>
      <c r="B5162" s="434">
        <v>2282.13</v>
      </c>
      <c r="C5162" s="427">
        <f t="shared" si="160"/>
        <v>2006</v>
      </c>
      <c r="D5162" s="433">
        <f t="shared" si="161"/>
        <v>2282.13</v>
      </c>
    </row>
    <row r="5163" spans="1:4" ht="16.149999999999999" customHeight="1" x14ac:dyDescent="0.25">
      <c r="A5163" s="431">
        <v>38723</v>
      </c>
      <c r="B5163" s="432">
        <v>2279.9899999999998</v>
      </c>
      <c r="C5163" s="427">
        <f t="shared" si="160"/>
        <v>2006</v>
      </c>
      <c r="D5163" s="433">
        <f t="shared" si="161"/>
        <v>2279.9899999999998</v>
      </c>
    </row>
    <row r="5164" spans="1:4" ht="16.149999999999999" customHeight="1" x14ac:dyDescent="0.25">
      <c r="A5164" s="431">
        <v>38724</v>
      </c>
      <c r="B5164" s="434">
        <v>2278.4</v>
      </c>
      <c r="C5164" s="427">
        <f t="shared" si="160"/>
        <v>2006</v>
      </c>
      <c r="D5164" s="433">
        <f t="shared" si="161"/>
        <v>2278.4</v>
      </c>
    </row>
    <row r="5165" spans="1:4" ht="16.149999999999999" customHeight="1" x14ac:dyDescent="0.25">
      <c r="A5165" s="431">
        <v>38725</v>
      </c>
      <c r="B5165" s="432">
        <v>2278.4</v>
      </c>
      <c r="C5165" s="427">
        <f t="shared" si="160"/>
        <v>2006</v>
      </c>
      <c r="D5165" s="433">
        <f t="shared" si="161"/>
        <v>2278.4</v>
      </c>
    </row>
    <row r="5166" spans="1:4" ht="16.149999999999999" customHeight="1" x14ac:dyDescent="0.25">
      <c r="A5166" s="431">
        <v>38726</v>
      </c>
      <c r="B5166" s="434">
        <v>2278.4</v>
      </c>
      <c r="C5166" s="427">
        <f t="shared" si="160"/>
        <v>2006</v>
      </c>
      <c r="D5166" s="433">
        <f t="shared" si="161"/>
        <v>2278.4</v>
      </c>
    </row>
    <row r="5167" spans="1:4" ht="16.149999999999999" customHeight="1" x14ac:dyDescent="0.25">
      <c r="A5167" s="431">
        <v>38727</v>
      </c>
      <c r="B5167" s="432">
        <v>2278.4</v>
      </c>
      <c r="C5167" s="427">
        <f t="shared" si="160"/>
        <v>2006</v>
      </c>
      <c r="D5167" s="433">
        <f t="shared" si="161"/>
        <v>2278.4</v>
      </c>
    </row>
    <row r="5168" spans="1:4" ht="16.149999999999999" customHeight="1" x14ac:dyDescent="0.25">
      <c r="A5168" s="431">
        <v>38728</v>
      </c>
      <c r="B5168" s="434">
        <v>2276.58</v>
      </c>
      <c r="C5168" s="427">
        <f t="shared" si="160"/>
        <v>2006</v>
      </c>
      <c r="D5168" s="433">
        <f t="shared" si="161"/>
        <v>2276.58</v>
      </c>
    </row>
    <row r="5169" spans="1:4" ht="16.149999999999999" customHeight="1" x14ac:dyDescent="0.25">
      <c r="A5169" s="431">
        <v>38729</v>
      </c>
      <c r="B5169" s="432">
        <v>2274.73</v>
      </c>
      <c r="C5169" s="427">
        <f t="shared" si="160"/>
        <v>2006</v>
      </c>
      <c r="D5169" s="433">
        <f t="shared" si="161"/>
        <v>2274.73</v>
      </c>
    </row>
    <row r="5170" spans="1:4" ht="16.149999999999999" customHeight="1" x14ac:dyDescent="0.25">
      <c r="A5170" s="431">
        <v>38730</v>
      </c>
      <c r="B5170" s="434">
        <v>2274.59</v>
      </c>
      <c r="C5170" s="427">
        <f t="shared" si="160"/>
        <v>2006</v>
      </c>
      <c r="D5170" s="433">
        <f t="shared" si="161"/>
        <v>2274.59</v>
      </c>
    </row>
    <row r="5171" spans="1:4" ht="16.149999999999999" customHeight="1" x14ac:dyDescent="0.25">
      <c r="A5171" s="431">
        <v>38731</v>
      </c>
      <c r="B5171" s="432">
        <v>2273.31</v>
      </c>
      <c r="C5171" s="427">
        <f t="shared" si="160"/>
        <v>2006</v>
      </c>
      <c r="D5171" s="433">
        <f t="shared" si="161"/>
        <v>2273.31</v>
      </c>
    </row>
    <row r="5172" spans="1:4" ht="16.149999999999999" customHeight="1" x14ac:dyDescent="0.25">
      <c r="A5172" s="431">
        <v>38732</v>
      </c>
      <c r="B5172" s="434">
        <v>2273.31</v>
      </c>
      <c r="C5172" s="427">
        <f t="shared" si="160"/>
        <v>2006</v>
      </c>
      <c r="D5172" s="433">
        <f t="shared" si="161"/>
        <v>2273.31</v>
      </c>
    </row>
    <row r="5173" spans="1:4" ht="16.149999999999999" customHeight="1" x14ac:dyDescent="0.25">
      <c r="A5173" s="431">
        <v>38733</v>
      </c>
      <c r="B5173" s="432">
        <v>2273.31</v>
      </c>
      <c r="C5173" s="427">
        <f t="shared" si="160"/>
        <v>2006</v>
      </c>
      <c r="D5173" s="433">
        <f t="shared" si="161"/>
        <v>2273.31</v>
      </c>
    </row>
    <row r="5174" spans="1:4" ht="16.149999999999999" customHeight="1" x14ac:dyDescent="0.25">
      <c r="A5174" s="431">
        <v>38734</v>
      </c>
      <c r="B5174" s="434">
        <v>2273.31</v>
      </c>
      <c r="C5174" s="427">
        <f t="shared" si="160"/>
        <v>2006</v>
      </c>
      <c r="D5174" s="433">
        <f t="shared" si="161"/>
        <v>2273.31</v>
      </c>
    </row>
    <row r="5175" spans="1:4" ht="16.149999999999999" customHeight="1" x14ac:dyDescent="0.25">
      <c r="A5175" s="431">
        <v>38735</v>
      </c>
      <c r="B5175" s="432">
        <v>2270.88</v>
      </c>
      <c r="C5175" s="427">
        <f t="shared" si="160"/>
        <v>2006</v>
      </c>
      <c r="D5175" s="433">
        <f t="shared" si="161"/>
        <v>2270.88</v>
      </c>
    </row>
    <row r="5176" spans="1:4" ht="16.149999999999999" customHeight="1" x14ac:dyDescent="0.25">
      <c r="A5176" s="431">
        <v>38736</v>
      </c>
      <c r="B5176" s="434">
        <v>2271.5500000000002</v>
      </c>
      <c r="C5176" s="427">
        <f t="shared" si="160"/>
        <v>2006</v>
      </c>
      <c r="D5176" s="433">
        <f t="shared" si="161"/>
        <v>2271.5500000000002</v>
      </c>
    </row>
    <row r="5177" spans="1:4" ht="16.149999999999999" customHeight="1" x14ac:dyDescent="0.25">
      <c r="A5177" s="431">
        <v>38737</v>
      </c>
      <c r="B5177" s="432">
        <v>2269.6999999999998</v>
      </c>
      <c r="C5177" s="427">
        <f t="shared" si="160"/>
        <v>2006</v>
      </c>
      <c r="D5177" s="433">
        <f t="shared" si="161"/>
        <v>2269.6999999999998</v>
      </c>
    </row>
    <row r="5178" spans="1:4" ht="16.149999999999999" customHeight="1" x14ac:dyDescent="0.25">
      <c r="A5178" s="431">
        <v>38738</v>
      </c>
      <c r="B5178" s="434">
        <v>2269.41</v>
      </c>
      <c r="C5178" s="427">
        <f t="shared" si="160"/>
        <v>2006</v>
      </c>
      <c r="D5178" s="433">
        <f t="shared" si="161"/>
        <v>2269.41</v>
      </c>
    </row>
    <row r="5179" spans="1:4" ht="16.149999999999999" customHeight="1" x14ac:dyDescent="0.25">
      <c r="A5179" s="431">
        <v>38739</v>
      </c>
      <c r="B5179" s="432">
        <v>2269.41</v>
      </c>
      <c r="C5179" s="427">
        <f t="shared" si="160"/>
        <v>2006</v>
      </c>
      <c r="D5179" s="433">
        <f t="shared" si="161"/>
        <v>2269.41</v>
      </c>
    </row>
    <row r="5180" spans="1:4" ht="16.149999999999999" customHeight="1" x14ac:dyDescent="0.25">
      <c r="A5180" s="431">
        <v>38740</v>
      </c>
      <c r="B5180" s="434">
        <v>2269.41</v>
      </c>
      <c r="C5180" s="427">
        <f t="shared" si="160"/>
        <v>2006</v>
      </c>
      <c r="D5180" s="433">
        <f t="shared" si="161"/>
        <v>2269.41</v>
      </c>
    </row>
    <row r="5181" spans="1:4" ht="16.149999999999999" customHeight="1" x14ac:dyDescent="0.25">
      <c r="A5181" s="431">
        <v>38741</v>
      </c>
      <c r="B5181" s="432">
        <v>2262.04</v>
      </c>
      <c r="C5181" s="427">
        <f t="shared" si="160"/>
        <v>2006</v>
      </c>
      <c r="D5181" s="433">
        <f t="shared" si="161"/>
        <v>2262.04</v>
      </c>
    </row>
    <row r="5182" spans="1:4" ht="16.149999999999999" customHeight="1" x14ac:dyDescent="0.25">
      <c r="A5182" s="431">
        <v>38742</v>
      </c>
      <c r="B5182" s="434">
        <v>2262.87</v>
      </c>
      <c r="C5182" s="427">
        <f t="shared" si="160"/>
        <v>2006</v>
      </c>
      <c r="D5182" s="433">
        <f t="shared" si="161"/>
        <v>2262.87</v>
      </c>
    </row>
    <row r="5183" spans="1:4" ht="16.149999999999999" customHeight="1" x14ac:dyDescent="0.25">
      <c r="A5183" s="431">
        <v>38743</v>
      </c>
      <c r="B5183" s="432">
        <v>2273.5</v>
      </c>
      <c r="C5183" s="427">
        <f t="shared" si="160"/>
        <v>2006</v>
      </c>
      <c r="D5183" s="433">
        <f t="shared" si="161"/>
        <v>2273.5</v>
      </c>
    </row>
    <row r="5184" spans="1:4" ht="16.149999999999999" customHeight="1" x14ac:dyDescent="0.25">
      <c r="A5184" s="431">
        <v>38744</v>
      </c>
      <c r="B5184" s="434">
        <v>2270.85</v>
      </c>
      <c r="C5184" s="427">
        <f t="shared" si="160"/>
        <v>2006</v>
      </c>
      <c r="D5184" s="433">
        <f t="shared" si="161"/>
        <v>2270.85</v>
      </c>
    </row>
    <row r="5185" spans="1:4" ht="16.149999999999999" customHeight="1" x14ac:dyDescent="0.25">
      <c r="A5185" s="431">
        <v>38745</v>
      </c>
      <c r="B5185" s="432">
        <v>2266.66</v>
      </c>
      <c r="C5185" s="427">
        <f t="shared" si="160"/>
        <v>2006</v>
      </c>
      <c r="D5185" s="433">
        <f t="shared" si="161"/>
        <v>2266.66</v>
      </c>
    </row>
    <row r="5186" spans="1:4" ht="16.149999999999999" customHeight="1" x14ac:dyDescent="0.25">
      <c r="A5186" s="431">
        <v>38746</v>
      </c>
      <c r="B5186" s="434">
        <v>2266.66</v>
      </c>
      <c r="C5186" s="427">
        <f t="shared" si="160"/>
        <v>2006</v>
      </c>
      <c r="D5186" s="433">
        <f t="shared" si="161"/>
        <v>2266.66</v>
      </c>
    </row>
    <row r="5187" spans="1:4" ht="16.149999999999999" customHeight="1" x14ac:dyDescent="0.25">
      <c r="A5187" s="431">
        <v>38747</v>
      </c>
      <c r="B5187" s="432">
        <v>2266.66</v>
      </c>
      <c r="C5187" s="427">
        <f t="shared" si="160"/>
        <v>2006</v>
      </c>
      <c r="D5187" s="433">
        <f t="shared" si="161"/>
        <v>2266.66</v>
      </c>
    </row>
    <row r="5188" spans="1:4" ht="16.149999999999999" customHeight="1" x14ac:dyDescent="0.25">
      <c r="A5188" s="431">
        <v>38748</v>
      </c>
      <c r="B5188" s="434">
        <v>2265.65</v>
      </c>
      <c r="C5188" s="427">
        <f t="shared" si="160"/>
        <v>2006</v>
      </c>
      <c r="D5188" s="433">
        <f t="shared" si="161"/>
        <v>2265.65</v>
      </c>
    </row>
    <row r="5189" spans="1:4" ht="16.149999999999999" customHeight="1" x14ac:dyDescent="0.25">
      <c r="A5189" s="431">
        <v>38749</v>
      </c>
      <c r="B5189" s="432">
        <v>2267.63</v>
      </c>
      <c r="C5189" s="427">
        <f t="shared" si="160"/>
        <v>2006</v>
      </c>
      <c r="D5189" s="433">
        <f t="shared" si="161"/>
        <v>2267.63</v>
      </c>
    </row>
    <row r="5190" spans="1:4" ht="16.149999999999999" customHeight="1" x14ac:dyDescent="0.25">
      <c r="A5190" s="431">
        <v>38750</v>
      </c>
      <c r="B5190" s="434">
        <v>2267.39</v>
      </c>
      <c r="C5190" s="427">
        <f t="shared" si="160"/>
        <v>2006</v>
      </c>
      <c r="D5190" s="433">
        <f t="shared" si="161"/>
        <v>2267.39</v>
      </c>
    </row>
    <row r="5191" spans="1:4" ht="16.149999999999999" customHeight="1" x14ac:dyDescent="0.25">
      <c r="A5191" s="431">
        <v>38751</v>
      </c>
      <c r="B5191" s="432">
        <v>2266.0700000000002</v>
      </c>
      <c r="C5191" s="427">
        <f t="shared" si="160"/>
        <v>2006</v>
      </c>
      <c r="D5191" s="433">
        <f t="shared" si="161"/>
        <v>2266.0700000000002</v>
      </c>
    </row>
    <row r="5192" spans="1:4" ht="16.149999999999999" customHeight="1" x14ac:dyDescent="0.25">
      <c r="A5192" s="431">
        <v>38752</v>
      </c>
      <c r="B5192" s="434">
        <v>2265.2199999999998</v>
      </c>
      <c r="C5192" s="427">
        <f t="shared" si="160"/>
        <v>2006</v>
      </c>
      <c r="D5192" s="433">
        <f t="shared" si="161"/>
        <v>2265.2199999999998</v>
      </c>
    </row>
    <row r="5193" spans="1:4" ht="16.149999999999999" customHeight="1" x14ac:dyDescent="0.25">
      <c r="A5193" s="431">
        <v>38753</v>
      </c>
      <c r="B5193" s="432">
        <v>2265.2199999999998</v>
      </c>
      <c r="C5193" s="427">
        <f t="shared" si="160"/>
        <v>2006</v>
      </c>
      <c r="D5193" s="433">
        <f t="shared" si="161"/>
        <v>2265.2199999999998</v>
      </c>
    </row>
    <row r="5194" spans="1:4" ht="16.149999999999999" customHeight="1" x14ac:dyDescent="0.25">
      <c r="A5194" s="431">
        <v>38754</v>
      </c>
      <c r="B5194" s="434">
        <v>2265.2199999999998</v>
      </c>
      <c r="C5194" s="427">
        <f t="shared" ref="C5194:C5257" si="162">YEAR(A5194)</f>
        <v>2006</v>
      </c>
      <c r="D5194" s="433">
        <f t="shared" ref="D5194:D5257" si="163">B5194</f>
        <v>2265.2199999999998</v>
      </c>
    </row>
    <row r="5195" spans="1:4" ht="16.149999999999999" customHeight="1" x14ac:dyDescent="0.25">
      <c r="A5195" s="431">
        <v>38755</v>
      </c>
      <c r="B5195" s="432">
        <v>2259.64</v>
      </c>
      <c r="C5195" s="427">
        <f t="shared" si="162"/>
        <v>2006</v>
      </c>
      <c r="D5195" s="433">
        <f t="shared" si="163"/>
        <v>2259.64</v>
      </c>
    </row>
    <row r="5196" spans="1:4" ht="16.149999999999999" customHeight="1" x14ac:dyDescent="0.25">
      <c r="A5196" s="431">
        <v>38756</v>
      </c>
      <c r="B5196" s="434">
        <v>2256.5700000000002</v>
      </c>
      <c r="C5196" s="427">
        <f t="shared" si="162"/>
        <v>2006</v>
      </c>
      <c r="D5196" s="433">
        <f t="shared" si="163"/>
        <v>2256.5700000000002</v>
      </c>
    </row>
    <row r="5197" spans="1:4" ht="16.149999999999999" customHeight="1" x14ac:dyDescent="0.25">
      <c r="A5197" s="431">
        <v>38757</v>
      </c>
      <c r="B5197" s="432">
        <v>2259.0700000000002</v>
      </c>
      <c r="C5197" s="427">
        <f t="shared" si="162"/>
        <v>2006</v>
      </c>
      <c r="D5197" s="433">
        <f t="shared" si="163"/>
        <v>2259.0700000000002</v>
      </c>
    </row>
    <row r="5198" spans="1:4" ht="16.149999999999999" customHeight="1" x14ac:dyDescent="0.25">
      <c r="A5198" s="431">
        <v>38758</v>
      </c>
      <c r="B5198" s="434">
        <v>2256.9499999999998</v>
      </c>
      <c r="C5198" s="427">
        <f t="shared" si="162"/>
        <v>2006</v>
      </c>
      <c r="D5198" s="433">
        <f t="shared" si="163"/>
        <v>2256.9499999999998</v>
      </c>
    </row>
    <row r="5199" spans="1:4" ht="16.149999999999999" customHeight="1" x14ac:dyDescent="0.25">
      <c r="A5199" s="431">
        <v>38759</v>
      </c>
      <c r="B5199" s="432">
        <v>2253.1</v>
      </c>
      <c r="C5199" s="427">
        <f t="shared" si="162"/>
        <v>2006</v>
      </c>
      <c r="D5199" s="433">
        <f t="shared" si="163"/>
        <v>2253.1</v>
      </c>
    </row>
    <row r="5200" spans="1:4" ht="16.149999999999999" customHeight="1" x14ac:dyDescent="0.25">
      <c r="A5200" s="431">
        <v>38760</v>
      </c>
      <c r="B5200" s="434">
        <v>2253.1</v>
      </c>
      <c r="C5200" s="427">
        <f t="shared" si="162"/>
        <v>2006</v>
      </c>
      <c r="D5200" s="433">
        <f t="shared" si="163"/>
        <v>2253.1</v>
      </c>
    </row>
    <row r="5201" spans="1:4" ht="16.149999999999999" customHeight="1" x14ac:dyDescent="0.25">
      <c r="A5201" s="431">
        <v>38761</v>
      </c>
      <c r="B5201" s="432">
        <v>2253.1</v>
      </c>
      <c r="C5201" s="427">
        <f t="shared" si="162"/>
        <v>2006</v>
      </c>
      <c r="D5201" s="433">
        <f t="shared" si="163"/>
        <v>2253.1</v>
      </c>
    </row>
    <row r="5202" spans="1:4" ht="16.149999999999999" customHeight="1" x14ac:dyDescent="0.25">
      <c r="A5202" s="431">
        <v>38762</v>
      </c>
      <c r="B5202" s="434">
        <v>2254.0300000000002</v>
      </c>
      <c r="C5202" s="427">
        <f t="shared" si="162"/>
        <v>2006</v>
      </c>
      <c r="D5202" s="433">
        <f t="shared" si="163"/>
        <v>2254.0300000000002</v>
      </c>
    </row>
    <row r="5203" spans="1:4" ht="16.149999999999999" customHeight="1" x14ac:dyDescent="0.25">
      <c r="A5203" s="431">
        <v>38763</v>
      </c>
      <c r="B5203" s="432">
        <v>2254.98</v>
      </c>
      <c r="C5203" s="427">
        <f t="shared" si="162"/>
        <v>2006</v>
      </c>
      <c r="D5203" s="433">
        <f t="shared" si="163"/>
        <v>2254.98</v>
      </c>
    </row>
    <row r="5204" spans="1:4" ht="16.149999999999999" customHeight="1" x14ac:dyDescent="0.25">
      <c r="A5204" s="431">
        <v>38764</v>
      </c>
      <c r="B5204" s="434">
        <v>2253.6799999999998</v>
      </c>
      <c r="C5204" s="427">
        <f t="shared" si="162"/>
        <v>2006</v>
      </c>
      <c r="D5204" s="433">
        <f t="shared" si="163"/>
        <v>2253.6799999999998</v>
      </c>
    </row>
    <row r="5205" spans="1:4" ht="16.149999999999999" customHeight="1" x14ac:dyDescent="0.25">
      <c r="A5205" s="431">
        <v>38765</v>
      </c>
      <c r="B5205" s="432">
        <v>2254.11</v>
      </c>
      <c r="C5205" s="427">
        <f t="shared" si="162"/>
        <v>2006</v>
      </c>
      <c r="D5205" s="433">
        <f t="shared" si="163"/>
        <v>2254.11</v>
      </c>
    </row>
    <row r="5206" spans="1:4" ht="16.149999999999999" customHeight="1" x14ac:dyDescent="0.25">
      <c r="A5206" s="431">
        <v>38766</v>
      </c>
      <c r="B5206" s="434">
        <v>2253.89</v>
      </c>
      <c r="C5206" s="427">
        <f t="shared" si="162"/>
        <v>2006</v>
      </c>
      <c r="D5206" s="433">
        <f t="shared" si="163"/>
        <v>2253.89</v>
      </c>
    </row>
    <row r="5207" spans="1:4" ht="16.149999999999999" customHeight="1" x14ac:dyDescent="0.25">
      <c r="A5207" s="431">
        <v>38767</v>
      </c>
      <c r="B5207" s="432">
        <v>2253.89</v>
      </c>
      <c r="C5207" s="427">
        <f t="shared" si="162"/>
        <v>2006</v>
      </c>
      <c r="D5207" s="433">
        <f t="shared" si="163"/>
        <v>2253.89</v>
      </c>
    </row>
    <row r="5208" spans="1:4" ht="16.149999999999999" customHeight="1" x14ac:dyDescent="0.25">
      <c r="A5208" s="431">
        <v>38768</v>
      </c>
      <c r="B5208" s="434">
        <v>2253.89</v>
      </c>
      <c r="C5208" s="427">
        <f t="shared" si="162"/>
        <v>2006</v>
      </c>
      <c r="D5208" s="433">
        <f t="shared" si="163"/>
        <v>2253.89</v>
      </c>
    </row>
    <row r="5209" spans="1:4" ht="16.149999999999999" customHeight="1" x14ac:dyDescent="0.25">
      <c r="A5209" s="431">
        <v>38769</v>
      </c>
      <c r="B5209" s="432">
        <v>2253.89</v>
      </c>
      <c r="C5209" s="427">
        <f t="shared" si="162"/>
        <v>2006</v>
      </c>
      <c r="D5209" s="433">
        <f t="shared" si="163"/>
        <v>2253.89</v>
      </c>
    </row>
    <row r="5210" spans="1:4" ht="16.149999999999999" customHeight="1" x14ac:dyDescent="0.25">
      <c r="A5210" s="431">
        <v>38770</v>
      </c>
      <c r="B5210" s="434">
        <v>2253.42</v>
      </c>
      <c r="C5210" s="427">
        <f t="shared" si="162"/>
        <v>2006</v>
      </c>
      <c r="D5210" s="433">
        <f t="shared" si="163"/>
        <v>2253.42</v>
      </c>
    </row>
    <row r="5211" spans="1:4" ht="16.149999999999999" customHeight="1" x14ac:dyDescent="0.25">
      <c r="A5211" s="431">
        <v>38771</v>
      </c>
      <c r="B5211" s="432">
        <v>2251.7800000000002</v>
      </c>
      <c r="C5211" s="427">
        <f t="shared" si="162"/>
        <v>2006</v>
      </c>
      <c r="D5211" s="433">
        <f t="shared" si="163"/>
        <v>2251.7800000000002</v>
      </c>
    </row>
    <row r="5212" spans="1:4" ht="16.149999999999999" customHeight="1" x14ac:dyDescent="0.25">
      <c r="A5212" s="431">
        <v>38772</v>
      </c>
      <c r="B5212" s="434">
        <v>2249.9</v>
      </c>
      <c r="C5212" s="427">
        <f t="shared" si="162"/>
        <v>2006</v>
      </c>
      <c r="D5212" s="433">
        <f t="shared" si="163"/>
        <v>2249.9</v>
      </c>
    </row>
    <row r="5213" spans="1:4" ht="16.149999999999999" customHeight="1" x14ac:dyDescent="0.25">
      <c r="A5213" s="431">
        <v>38773</v>
      </c>
      <c r="B5213" s="432">
        <v>2246.1799999999998</v>
      </c>
      <c r="C5213" s="427">
        <f t="shared" si="162"/>
        <v>2006</v>
      </c>
      <c r="D5213" s="433">
        <f t="shared" si="163"/>
        <v>2246.1799999999998</v>
      </c>
    </row>
    <row r="5214" spans="1:4" ht="16.149999999999999" customHeight="1" x14ac:dyDescent="0.25">
      <c r="A5214" s="431">
        <v>38774</v>
      </c>
      <c r="B5214" s="434">
        <v>2246.1799999999998</v>
      </c>
      <c r="C5214" s="427">
        <f t="shared" si="162"/>
        <v>2006</v>
      </c>
      <c r="D5214" s="433">
        <f t="shared" si="163"/>
        <v>2246.1799999999998</v>
      </c>
    </row>
    <row r="5215" spans="1:4" ht="16.149999999999999" customHeight="1" x14ac:dyDescent="0.25">
      <c r="A5215" s="431">
        <v>38775</v>
      </c>
      <c r="B5215" s="432">
        <v>2246.1799999999998</v>
      </c>
      <c r="C5215" s="427">
        <f t="shared" si="162"/>
        <v>2006</v>
      </c>
      <c r="D5215" s="433">
        <f t="shared" si="163"/>
        <v>2246.1799999999998</v>
      </c>
    </row>
    <row r="5216" spans="1:4" ht="16.149999999999999" customHeight="1" x14ac:dyDescent="0.25">
      <c r="A5216" s="431">
        <v>38776</v>
      </c>
      <c r="B5216" s="434">
        <v>2247.3200000000002</v>
      </c>
      <c r="C5216" s="427">
        <f t="shared" si="162"/>
        <v>2006</v>
      </c>
      <c r="D5216" s="433">
        <f t="shared" si="163"/>
        <v>2247.3200000000002</v>
      </c>
    </row>
    <row r="5217" spans="1:4" ht="16.149999999999999" customHeight="1" x14ac:dyDescent="0.25">
      <c r="A5217" s="431">
        <v>38777</v>
      </c>
      <c r="B5217" s="432">
        <v>2245.71</v>
      </c>
      <c r="C5217" s="427">
        <f t="shared" si="162"/>
        <v>2006</v>
      </c>
      <c r="D5217" s="433">
        <f t="shared" si="163"/>
        <v>2245.71</v>
      </c>
    </row>
    <row r="5218" spans="1:4" ht="16.149999999999999" customHeight="1" x14ac:dyDescent="0.25">
      <c r="A5218" s="431">
        <v>38778</v>
      </c>
      <c r="B5218" s="434">
        <v>2247.48</v>
      </c>
      <c r="C5218" s="427">
        <f t="shared" si="162"/>
        <v>2006</v>
      </c>
      <c r="D5218" s="433">
        <f t="shared" si="163"/>
        <v>2247.48</v>
      </c>
    </row>
    <row r="5219" spans="1:4" ht="16.149999999999999" customHeight="1" x14ac:dyDescent="0.25">
      <c r="A5219" s="431">
        <v>38779</v>
      </c>
      <c r="B5219" s="432">
        <v>2251.4499999999998</v>
      </c>
      <c r="C5219" s="427">
        <f t="shared" si="162"/>
        <v>2006</v>
      </c>
      <c r="D5219" s="433">
        <f t="shared" si="163"/>
        <v>2251.4499999999998</v>
      </c>
    </row>
    <row r="5220" spans="1:4" ht="16.149999999999999" customHeight="1" x14ac:dyDescent="0.25">
      <c r="A5220" s="431">
        <v>38780</v>
      </c>
      <c r="B5220" s="434">
        <v>2256.17</v>
      </c>
      <c r="C5220" s="427">
        <f t="shared" si="162"/>
        <v>2006</v>
      </c>
      <c r="D5220" s="433">
        <f t="shared" si="163"/>
        <v>2256.17</v>
      </c>
    </row>
    <row r="5221" spans="1:4" ht="16.149999999999999" customHeight="1" x14ac:dyDescent="0.25">
      <c r="A5221" s="431">
        <v>38781</v>
      </c>
      <c r="B5221" s="432">
        <v>2256.17</v>
      </c>
      <c r="C5221" s="427">
        <f t="shared" si="162"/>
        <v>2006</v>
      </c>
      <c r="D5221" s="433">
        <f t="shared" si="163"/>
        <v>2256.17</v>
      </c>
    </row>
    <row r="5222" spans="1:4" ht="16.149999999999999" customHeight="1" x14ac:dyDescent="0.25">
      <c r="A5222" s="431">
        <v>38782</v>
      </c>
      <c r="B5222" s="434">
        <v>2256.17</v>
      </c>
      <c r="C5222" s="427">
        <f t="shared" si="162"/>
        <v>2006</v>
      </c>
      <c r="D5222" s="433">
        <f t="shared" si="163"/>
        <v>2256.17</v>
      </c>
    </row>
    <row r="5223" spans="1:4" ht="16.149999999999999" customHeight="1" x14ac:dyDescent="0.25">
      <c r="A5223" s="431">
        <v>38783</v>
      </c>
      <c r="B5223" s="432">
        <v>2259.12</v>
      </c>
      <c r="C5223" s="427">
        <f t="shared" si="162"/>
        <v>2006</v>
      </c>
      <c r="D5223" s="433">
        <f t="shared" si="163"/>
        <v>2259.12</v>
      </c>
    </row>
    <row r="5224" spans="1:4" ht="16.149999999999999" customHeight="1" x14ac:dyDescent="0.25">
      <c r="A5224" s="431">
        <v>38784</v>
      </c>
      <c r="B5224" s="434">
        <v>2258.11</v>
      </c>
      <c r="C5224" s="427">
        <f t="shared" si="162"/>
        <v>2006</v>
      </c>
      <c r="D5224" s="433">
        <f t="shared" si="163"/>
        <v>2258.11</v>
      </c>
    </row>
    <row r="5225" spans="1:4" ht="16.149999999999999" customHeight="1" x14ac:dyDescent="0.25">
      <c r="A5225" s="431">
        <v>38785</v>
      </c>
      <c r="B5225" s="432">
        <v>2254.5500000000002</v>
      </c>
      <c r="C5225" s="427">
        <f t="shared" si="162"/>
        <v>2006</v>
      </c>
      <c r="D5225" s="433">
        <f t="shared" si="163"/>
        <v>2254.5500000000002</v>
      </c>
    </row>
    <row r="5226" spans="1:4" ht="16.149999999999999" customHeight="1" x14ac:dyDescent="0.25">
      <c r="A5226" s="431">
        <v>38786</v>
      </c>
      <c r="B5226" s="434">
        <v>2257.67</v>
      </c>
      <c r="C5226" s="427">
        <f t="shared" si="162"/>
        <v>2006</v>
      </c>
      <c r="D5226" s="433">
        <f t="shared" si="163"/>
        <v>2257.67</v>
      </c>
    </row>
    <row r="5227" spans="1:4" ht="16.149999999999999" customHeight="1" x14ac:dyDescent="0.25">
      <c r="A5227" s="431">
        <v>38787</v>
      </c>
      <c r="B5227" s="432">
        <v>2265.15</v>
      </c>
      <c r="C5227" s="427">
        <f t="shared" si="162"/>
        <v>2006</v>
      </c>
      <c r="D5227" s="433">
        <f t="shared" si="163"/>
        <v>2265.15</v>
      </c>
    </row>
    <row r="5228" spans="1:4" ht="16.149999999999999" customHeight="1" x14ac:dyDescent="0.25">
      <c r="A5228" s="431">
        <v>38788</v>
      </c>
      <c r="B5228" s="434">
        <v>2265.15</v>
      </c>
      <c r="C5228" s="427">
        <f t="shared" si="162"/>
        <v>2006</v>
      </c>
      <c r="D5228" s="433">
        <f t="shared" si="163"/>
        <v>2265.15</v>
      </c>
    </row>
    <row r="5229" spans="1:4" ht="16.149999999999999" customHeight="1" x14ac:dyDescent="0.25">
      <c r="A5229" s="431">
        <v>38789</v>
      </c>
      <c r="B5229" s="432">
        <v>2265.15</v>
      </c>
      <c r="C5229" s="427">
        <f t="shared" si="162"/>
        <v>2006</v>
      </c>
      <c r="D5229" s="433">
        <f t="shared" si="163"/>
        <v>2265.15</v>
      </c>
    </row>
    <row r="5230" spans="1:4" ht="16.149999999999999" customHeight="1" x14ac:dyDescent="0.25">
      <c r="A5230" s="431">
        <v>38790</v>
      </c>
      <c r="B5230" s="434">
        <v>2263.46</v>
      </c>
      <c r="C5230" s="427">
        <f t="shared" si="162"/>
        <v>2006</v>
      </c>
      <c r="D5230" s="433">
        <f t="shared" si="163"/>
        <v>2263.46</v>
      </c>
    </row>
    <row r="5231" spans="1:4" ht="16.149999999999999" customHeight="1" x14ac:dyDescent="0.25">
      <c r="A5231" s="431">
        <v>38791</v>
      </c>
      <c r="B5231" s="432">
        <v>2262.41</v>
      </c>
      <c r="C5231" s="427">
        <f t="shared" si="162"/>
        <v>2006</v>
      </c>
      <c r="D5231" s="433">
        <f t="shared" si="163"/>
        <v>2262.41</v>
      </c>
    </row>
    <row r="5232" spans="1:4" ht="16.149999999999999" customHeight="1" x14ac:dyDescent="0.25">
      <c r="A5232" s="431">
        <v>38792</v>
      </c>
      <c r="B5232" s="434">
        <v>2259.5300000000002</v>
      </c>
      <c r="C5232" s="427">
        <f t="shared" si="162"/>
        <v>2006</v>
      </c>
      <c r="D5232" s="433">
        <f t="shared" si="163"/>
        <v>2259.5300000000002</v>
      </c>
    </row>
    <row r="5233" spans="1:4" ht="16.149999999999999" customHeight="1" x14ac:dyDescent="0.25">
      <c r="A5233" s="431">
        <v>38793</v>
      </c>
      <c r="B5233" s="432">
        <v>2258.0100000000002</v>
      </c>
      <c r="C5233" s="427">
        <f t="shared" si="162"/>
        <v>2006</v>
      </c>
      <c r="D5233" s="433">
        <f t="shared" si="163"/>
        <v>2258.0100000000002</v>
      </c>
    </row>
    <row r="5234" spans="1:4" ht="16.149999999999999" customHeight="1" x14ac:dyDescent="0.25">
      <c r="A5234" s="431">
        <v>38794</v>
      </c>
      <c r="B5234" s="434">
        <v>2257.0100000000002</v>
      </c>
      <c r="C5234" s="427">
        <f t="shared" si="162"/>
        <v>2006</v>
      </c>
      <c r="D5234" s="433">
        <f t="shared" si="163"/>
        <v>2257.0100000000002</v>
      </c>
    </row>
    <row r="5235" spans="1:4" ht="16.149999999999999" customHeight="1" x14ac:dyDescent="0.25">
      <c r="A5235" s="431">
        <v>38795</v>
      </c>
      <c r="B5235" s="432">
        <v>2257.0100000000002</v>
      </c>
      <c r="C5235" s="427">
        <f t="shared" si="162"/>
        <v>2006</v>
      </c>
      <c r="D5235" s="433">
        <f t="shared" si="163"/>
        <v>2257.0100000000002</v>
      </c>
    </row>
    <row r="5236" spans="1:4" ht="16.149999999999999" customHeight="1" x14ac:dyDescent="0.25">
      <c r="A5236" s="431">
        <v>38796</v>
      </c>
      <c r="B5236" s="434">
        <v>2257.0100000000002</v>
      </c>
      <c r="C5236" s="427">
        <f t="shared" si="162"/>
        <v>2006</v>
      </c>
      <c r="D5236" s="433">
        <f t="shared" si="163"/>
        <v>2257.0100000000002</v>
      </c>
    </row>
    <row r="5237" spans="1:4" ht="16.149999999999999" customHeight="1" x14ac:dyDescent="0.25">
      <c r="A5237" s="431">
        <v>38797</v>
      </c>
      <c r="B5237" s="432">
        <v>2257.0100000000002</v>
      </c>
      <c r="C5237" s="427">
        <f t="shared" si="162"/>
        <v>2006</v>
      </c>
      <c r="D5237" s="433">
        <f t="shared" si="163"/>
        <v>2257.0100000000002</v>
      </c>
    </row>
    <row r="5238" spans="1:4" ht="16.149999999999999" customHeight="1" x14ac:dyDescent="0.25">
      <c r="A5238" s="431">
        <v>38798</v>
      </c>
      <c r="B5238" s="434">
        <v>2259.19</v>
      </c>
      <c r="C5238" s="427">
        <f t="shared" si="162"/>
        <v>2006</v>
      </c>
      <c r="D5238" s="433">
        <f t="shared" si="163"/>
        <v>2259.19</v>
      </c>
    </row>
    <row r="5239" spans="1:4" ht="16.149999999999999" customHeight="1" x14ac:dyDescent="0.25">
      <c r="A5239" s="431">
        <v>38799</v>
      </c>
      <c r="B5239" s="432">
        <v>2263.31</v>
      </c>
      <c r="C5239" s="427">
        <f t="shared" si="162"/>
        <v>2006</v>
      </c>
      <c r="D5239" s="433">
        <f t="shared" si="163"/>
        <v>2263.31</v>
      </c>
    </row>
    <row r="5240" spans="1:4" ht="16.149999999999999" customHeight="1" x14ac:dyDescent="0.25">
      <c r="A5240" s="431">
        <v>38800</v>
      </c>
      <c r="B5240" s="434">
        <v>2265.4899999999998</v>
      </c>
      <c r="C5240" s="427">
        <f t="shared" si="162"/>
        <v>2006</v>
      </c>
      <c r="D5240" s="433">
        <f t="shared" si="163"/>
        <v>2265.4899999999998</v>
      </c>
    </row>
    <row r="5241" spans="1:4" ht="16.149999999999999" customHeight="1" x14ac:dyDescent="0.25">
      <c r="A5241" s="431">
        <v>38801</v>
      </c>
      <c r="B5241" s="432">
        <v>2266.9499999999998</v>
      </c>
      <c r="C5241" s="427">
        <f t="shared" si="162"/>
        <v>2006</v>
      </c>
      <c r="D5241" s="433">
        <f t="shared" si="163"/>
        <v>2266.9499999999998</v>
      </c>
    </row>
    <row r="5242" spans="1:4" ht="16.149999999999999" customHeight="1" x14ac:dyDescent="0.25">
      <c r="A5242" s="431">
        <v>38802</v>
      </c>
      <c r="B5242" s="434">
        <v>2266.9499999999998</v>
      </c>
      <c r="C5242" s="427">
        <f t="shared" si="162"/>
        <v>2006</v>
      </c>
      <c r="D5242" s="433">
        <f t="shared" si="163"/>
        <v>2266.9499999999998</v>
      </c>
    </row>
    <row r="5243" spans="1:4" ht="16.149999999999999" customHeight="1" x14ac:dyDescent="0.25">
      <c r="A5243" s="431">
        <v>38803</v>
      </c>
      <c r="B5243" s="432">
        <v>2266.9499999999998</v>
      </c>
      <c r="C5243" s="427">
        <f t="shared" si="162"/>
        <v>2006</v>
      </c>
      <c r="D5243" s="433">
        <f t="shared" si="163"/>
        <v>2266.9499999999998</v>
      </c>
    </row>
    <row r="5244" spans="1:4" ht="16.149999999999999" customHeight="1" x14ac:dyDescent="0.25">
      <c r="A5244" s="431">
        <v>38804</v>
      </c>
      <c r="B5244" s="434">
        <v>2268.35</v>
      </c>
      <c r="C5244" s="427">
        <f t="shared" si="162"/>
        <v>2006</v>
      </c>
      <c r="D5244" s="433">
        <f t="shared" si="163"/>
        <v>2268.35</v>
      </c>
    </row>
    <row r="5245" spans="1:4" ht="16.149999999999999" customHeight="1" x14ac:dyDescent="0.25">
      <c r="A5245" s="431">
        <v>38805</v>
      </c>
      <c r="B5245" s="432">
        <v>2276.08</v>
      </c>
      <c r="C5245" s="427">
        <f t="shared" si="162"/>
        <v>2006</v>
      </c>
      <c r="D5245" s="433">
        <f t="shared" si="163"/>
        <v>2276.08</v>
      </c>
    </row>
    <row r="5246" spans="1:4" ht="16.149999999999999" customHeight="1" x14ac:dyDescent="0.25">
      <c r="A5246" s="431">
        <v>38806</v>
      </c>
      <c r="B5246" s="434">
        <v>2286.73</v>
      </c>
      <c r="C5246" s="427">
        <f t="shared" si="162"/>
        <v>2006</v>
      </c>
      <c r="D5246" s="433">
        <f t="shared" si="163"/>
        <v>2286.73</v>
      </c>
    </row>
    <row r="5247" spans="1:4" ht="16.149999999999999" customHeight="1" x14ac:dyDescent="0.25">
      <c r="A5247" s="431">
        <v>38807</v>
      </c>
      <c r="B5247" s="432">
        <v>2289.98</v>
      </c>
      <c r="C5247" s="427">
        <f t="shared" si="162"/>
        <v>2006</v>
      </c>
      <c r="D5247" s="433">
        <f t="shared" si="163"/>
        <v>2289.98</v>
      </c>
    </row>
    <row r="5248" spans="1:4" ht="16.149999999999999" customHeight="1" x14ac:dyDescent="0.25">
      <c r="A5248" s="431">
        <v>38808</v>
      </c>
      <c r="B5248" s="434">
        <v>2293.38</v>
      </c>
      <c r="C5248" s="427">
        <f t="shared" si="162"/>
        <v>2006</v>
      </c>
      <c r="D5248" s="433">
        <f t="shared" si="163"/>
        <v>2293.38</v>
      </c>
    </row>
    <row r="5249" spans="1:4" ht="16.149999999999999" customHeight="1" x14ac:dyDescent="0.25">
      <c r="A5249" s="431">
        <v>38809</v>
      </c>
      <c r="B5249" s="432">
        <v>2293.38</v>
      </c>
      <c r="C5249" s="427">
        <f t="shared" si="162"/>
        <v>2006</v>
      </c>
      <c r="D5249" s="433">
        <f t="shared" si="163"/>
        <v>2293.38</v>
      </c>
    </row>
    <row r="5250" spans="1:4" ht="16.149999999999999" customHeight="1" x14ac:dyDescent="0.25">
      <c r="A5250" s="431">
        <v>38810</v>
      </c>
      <c r="B5250" s="434">
        <v>2293.38</v>
      </c>
      <c r="C5250" s="427">
        <f t="shared" si="162"/>
        <v>2006</v>
      </c>
      <c r="D5250" s="433">
        <f t="shared" si="163"/>
        <v>2293.38</v>
      </c>
    </row>
    <row r="5251" spans="1:4" ht="16.149999999999999" customHeight="1" x14ac:dyDescent="0.25">
      <c r="A5251" s="431">
        <v>38811</v>
      </c>
      <c r="B5251" s="432">
        <v>2296.1799999999998</v>
      </c>
      <c r="C5251" s="427">
        <f t="shared" si="162"/>
        <v>2006</v>
      </c>
      <c r="D5251" s="433">
        <f t="shared" si="163"/>
        <v>2296.1799999999998</v>
      </c>
    </row>
    <row r="5252" spans="1:4" ht="16.149999999999999" customHeight="1" x14ac:dyDescent="0.25">
      <c r="A5252" s="431">
        <v>38812</v>
      </c>
      <c r="B5252" s="434">
        <v>2288.67</v>
      </c>
      <c r="C5252" s="427">
        <f t="shared" si="162"/>
        <v>2006</v>
      </c>
      <c r="D5252" s="433">
        <f t="shared" si="163"/>
        <v>2288.67</v>
      </c>
    </row>
    <row r="5253" spans="1:4" ht="16.149999999999999" customHeight="1" x14ac:dyDescent="0.25">
      <c r="A5253" s="431">
        <v>38813</v>
      </c>
      <c r="B5253" s="432">
        <v>2294.9899999999998</v>
      </c>
      <c r="C5253" s="427">
        <f t="shared" si="162"/>
        <v>2006</v>
      </c>
      <c r="D5253" s="433">
        <f t="shared" si="163"/>
        <v>2294.9899999999998</v>
      </c>
    </row>
    <row r="5254" spans="1:4" ht="16.149999999999999" customHeight="1" x14ac:dyDescent="0.25">
      <c r="A5254" s="431">
        <v>38814</v>
      </c>
      <c r="B5254" s="434">
        <v>2313.0500000000002</v>
      </c>
      <c r="C5254" s="427">
        <f t="shared" si="162"/>
        <v>2006</v>
      </c>
      <c r="D5254" s="433">
        <f t="shared" si="163"/>
        <v>2313.0500000000002</v>
      </c>
    </row>
    <row r="5255" spans="1:4" ht="16.149999999999999" customHeight="1" x14ac:dyDescent="0.25">
      <c r="A5255" s="431">
        <v>38815</v>
      </c>
      <c r="B5255" s="432">
        <v>2342.35</v>
      </c>
      <c r="C5255" s="427">
        <f t="shared" si="162"/>
        <v>2006</v>
      </c>
      <c r="D5255" s="433">
        <f t="shared" si="163"/>
        <v>2342.35</v>
      </c>
    </row>
    <row r="5256" spans="1:4" ht="16.149999999999999" customHeight="1" x14ac:dyDescent="0.25">
      <c r="A5256" s="431">
        <v>38816</v>
      </c>
      <c r="B5256" s="434">
        <v>2342.35</v>
      </c>
      <c r="C5256" s="427">
        <f t="shared" si="162"/>
        <v>2006</v>
      </c>
      <c r="D5256" s="433">
        <f t="shared" si="163"/>
        <v>2342.35</v>
      </c>
    </row>
    <row r="5257" spans="1:4" ht="16.149999999999999" customHeight="1" x14ac:dyDescent="0.25">
      <c r="A5257" s="431">
        <v>38817</v>
      </c>
      <c r="B5257" s="432">
        <v>2342.35</v>
      </c>
      <c r="C5257" s="427">
        <f t="shared" si="162"/>
        <v>2006</v>
      </c>
      <c r="D5257" s="433">
        <f t="shared" si="163"/>
        <v>2342.35</v>
      </c>
    </row>
    <row r="5258" spans="1:4" ht="16.149999999999999" customHeight="1" x14ac:dyDescent="0.25">
      <c r="A5258" s="431">
        <v>38818</v>
      </c>
      <c r="B5258" s="434">
        <v>2352.58</v>
      </c>
      <c r="C5258" s="427">
        <f t="shared" ref="C5258:C5321" si="164">YEAR(A5258)</f>
        <v>2006</v>
      </c>
      <c r="D5258" s="433">
        <f t="shared" ref="D5258:D5321" si="165">B5258</f>
        <v>2352.58</v>
      </c>
    </row>
    <row r="5259" spans="1:4" ht="16.149999999999999" customHeight="1" x14ac:dyDescent="0.25">
      <c r="A5259" s="431">
        <v>38819</v>
      </c>
      <c r="B5259" s="432">
        <v>2336.2600000000002</v>
      </c>
      <c r="C5259" s="427">
        <f t="shared" si="164"/>
        <v>2006</v>
      </c>
      <c r="D5259" s="433">
        <f t="shared" si="165"/>
        <v>2336.2600000000002</v>
      </c>
    </row>
    <row r="5260" spans="1:4" ht="16.149999999999999" customHeight="1" x14ac:dyDescent="0.25">
      <c r="A5260" s="431">
        <v>38820</v>
      </c>
      <c r="B5260" s="434">
        <v>2335.16</v>
      </c>
      <c r="C5260" s="427">
        <f t="shared" si="164"/>
        <v>2006</v>
      </c>
      <c r="D5260" s="433">
        <f t="shared" si="165"/>
        <v>2335.16</v>
      </c>
    </row>
    <row r="5261" spans="1:4" ht="16.149999999999999" customHeight="1" x14ac:dyDescent="0.25">
      <c r="A5261" s="431">
        <v>38821</v>
      </c>
      <c r="B5261" s="432">
        <v>2335.16</v>
      </c>
      <c r="C5261" s="427">
        <f t="shared" si="164"/>
        <v>2006</v>
      </c>
      <c r="D5261" s="433">
        <f t="shared" si="165"/>
        <v>2335.16</v>
      </c>
    </row>
    <row r="5262" spans="1:4" ht="16.149999999999999" customHeight="1" x14ac:dyDescent="0.25">
      <c r="A5262" s="431">
        <v>38822</v>
      </c>
      <c r="B5262" s="434">
        <v>2335.16</v>
      </c>
      <c r="C5262" s="427">
        <f t="shared" si="164"/>
        <v>2006</v>
      </c>
      <c r="D5262" s="433">
        <f t="shared" si="165"/>
        <v>2335.16</v>
      </c>
    </row>
    <row r="5263" spans="1:4" ht="16.149999999999999" customHeight="1" x14ac:dyDescent="0.25">
      <c r="A5263" s="431">
        <v>38823</v>
      </c>
      <c r="B5263" s="432">
        <v>2335.16</v>
      </c>
      <c r="C5263" s="427">
        <f t="shared" si="164"/>
        <v>2006</v>
      </c>
      <c r="D5263" s="433">
        <f t="shared" si="165"/>
        <v>2335.16</v>
      </c>
    </row>
    <row r="5264" spans="1:4" ht="16.149999999999999" customHeight="1" x14ac:dyDescent="0.25">
      <c r="A5264" s="431">
        <v>38824</v>
      </c>
      <c r="B5264" s="434">
        <v>2335.16</v>
      </c>
      <c r="C5264" s="427">
        <f t="shared" si="164"/>
        <v>2006</v>
      </c>
      <c r="D5264" s="433">
        <f t="shared" si="165"/>
        <v>2335.16</v>
      </c>
    </row>
    <row r="5265" spans="1:4" ht="16.149999999999999" customHeight="1" x14ac:dyDescent="0.25">
      <c r="A5265" s="431">
        <v>38825</v>
      </c>
      <c r="B5265" s="432">
        <v>2366.15</v>
      </c>
      <c r="C5265" s="427">
        <f t="shared" si="164"/>
        <v>2006</v>
      </c>
      <c r="D5265" s="433">
        <f t="shared" si="165"/>
        <v>2366.15</v>
      </c>
    </row>
    <row r="5266" spans="1:4" ht="16.149999999999999" customHeight="1" x14ac:dyDescent="0.25">
      <c r="A5266" s="431">
        <v>38826</v>
      </c>
      <c r="B5266" s="434">
        <v>2349.0300000000002</v>
      </c>
      <c r="C5266" s="427">
        <f t="shared" si="164"/>
        <v>2006</v>
      </c>
      <c r="D5266" s="433">
        <f t="shared" si="165"/>
        <v>2349.0300000000002</v>
      </c>
    </row>
    <row r="5267" spans="1:4" ht="16.149999999999999" customHeight="1" x14ac:dyDescent="0.25">
      <c r="A5267" s="431">
        <v>38827</v>
      </c>
      <c r="B5267" s="432">
        <v>2344.73</v>
      </c>
      <c r="C5267" s="427">
        <f t="shared" si="164"/>
        <v>2006</v>
      </c>
      <c r="D5267" s="433">
        <f t="shared" si="165"/>
        <v>2344.73</v>
      </c>
    </row>
    <row r="5268" spans="1:4" ht="16.149999999999999" customHeight="1" x14ac:dyDescent="0.25">
      <c r="A5268" s="431">
        <v>38828</v>
      </c>
      <c r="B5268" s="434">
        <v>2336.1</v>
      </c>
      <c r="C5268" s="427">
        <f t="shared" si="164"/>
        <v>2006</v>
      </c>
      <c r="D5268" s="433">
        <f t="shared" si="165"/>
        <v>2336.1</v>
      </c>
    </row>
    <row r="5269" spans="1:4" ht="16.149999999999999" customHeight="1" x14ac:dyDescent="0.25">
      <c r="A5269" s="431">
        <v>38829</v>
      </c>
      <c r="B5269" s="432">
        <v>2337.42</v>
      </c>
      <c r="C5269" s="427">
        <f t="shared" si="164"/>
        <v>2006</v>
      </c>
      <c r="D5269" s="433">
        <f t="shared" si="165"/>
        <v>2337.42</v>
      </c>
    </row>
    <row r="5270" spans="1:4" ht="16.149999999999999" customHeight="1" x14ac:dyDescent="0.25">
      <c r="A5270" s="431">
        <v>38830</v>
      </c>
      <c r="B5270" s="434">
        <v>2337.42</v>
      </c>
      <c r="C5270" s="427">
        <f t="shared" si="164"/>
        <v>2006</v>
      </c>
      <c r="D5270" s="433">
        <f t="shared" si="165"/>
        <v>2337.42</v>
      </c>
    </row>
    <row r="5271" spans="1:4" ht="16.149999999999999" customHeight="1" x14ac:dyDescent="0.25">
      <c r="A5271" s="431">
        <v>38831</v>
      </c>
      <c r="B5271" s="432">
        <v>2337.42</v>
      </c>
      <c r="C5271" s="427">
        <f t="shared" si="164"/>
        <v>2006</v>
      </c>
      <c r="D5271" s="433">
        <f t="shared" si="165"/>
        <v>2337.42</v>
      </c>
    </row>
    <row r="5272" spans="1:4" ht="16.149999999999999" customHeight="1" x14ac:dyDescent="0.25">
      <c r="A5272" s="431">
        <v>38832</v>
      </c>
      <c r="B5272" s="434">
        <v>2332.9899999999998</v>
      </c>
      <c r="C5272" s="427">
        <f t="shared" si="164"/>
        <v>2006</v>
      </c>
      <c r="D5272" s="433">
        <f t="shared" si="165"/>
        <v>2332.9899999999998</v>
      </c>
    </row>
    <row r="5273" spans="1:4" ht="16.149999999999999" customHeight="1" x14ac:dyDescent="0.25">
      <c r="A5273" s="431">
        <v>38833</v>
      </c>
      <c r="B5273" s="432">
        <v>2348.4899999999998</v>
      </c>
      <c r="C5273" s="427">
        <f t="shared" si="164"/>
        <v>2006</v>
      </c>
      <c r="D5273" s="433">
        <f t="shared" si="165"/>
        <v>2348.4899999999998</v>
      </c>
    </row>
    <row r="5274" spans="1:4" ht="16.149999999999999" customHeight="1" x14ac:dyDescent="0.25">
      <c r="A5274" s="431">
        <v>38834</v>
      </c>
      <c r="B5274" s="434">
        <v>2373.94</v>
      </c>
      <c r="C5274" s="427">
        <f t="shared" si="164"/>
        <v>2006</v>
      </c>
      <c r="D5274" s="433">
        <f t="shared" si="165"/>
        <v>2373.94</v>
      </c>
    </row>
    <row r="5275" spans="1:4" ht="16.149999999999999" customHeight="1" x14ac:dyDescent="0.25">
      <c r="A5275" s="431">
        <v>38835</v>
      </c>
      <c r="B5275" s="432">
        <v>2375.66</v>
      </c>
      <c r="C5275" s="427">
        <f t="shared" si="164"/>
        <v>2006</v>
      </c>
      <c r="D5275" s="433">
        <f t="shared" si="165"/>
        <v>2375.66</v>
      </c>
    </row>
    <row r="5276" spans="1:4" ht="16.149999999999999" customHeight="1" x14ac:dyDescent="0.25">
      <c r="A5276" s="431">
        <v>38836</v>
      </c>
      <c r="B5276" s="434">
        <v>2375.0300000000002</v>
      </c>
      <c r="C5276" s="427">
        <f t="shared" si="164"/>
        <v>2006</v>
      </c>
      <c r="D5276" s="433">
        <f t="shared" si="165"/>
        <v>2375.0300000000002</v>
      </c>
    </row>
    <row r="5277" spans="1:4" ht="16.149999999999999" customHeight="1" x14ac:dyDescent="0.25">
      <c r="A5277" s="431">
        <v>38837</v>
      </c>
      <c r="B5277" s="432">
        <v>2375.0300000000002</v>
      </c>
      <c r="C5277" s="427">
        <f t="shared" si="164"/>
        <v>2006</v>
      </c>
      <c r="D5277" s="433">
        <f t="shared" si="165"/>
        <v>2375.0300000000002</v>
      </c>
    </row>
    <row r="5278" spans="1:4" ht="16.149999999999999" customHeight="1" x14ac:dyDescent="0.25">
      <c r="A5278" s="431">
        <v>38838</v>
      </c>
      <c r="B5278" s="434">
        <v>2375.0300000000002</v>
      </c>
      <c r="C5278" s="427">
        <f t="shared" si="164"/>
        <v>2006</v>
      </c>
      <c r="D5278" s="433">
        <f t="shared" si="165"/>
        <v>2375.0300000000002</v>
      </c>
    </row>
    <row r="5279" spans="1:4" ht="16.149999999999999" customHeight="1" x14ac:dyDescent="0.25">
      <c r="A5279" s="431">
        <v>38839</v>
      </c>
      <c r="B5279" s="432">
        <v>2375.0300000000002</v>
      </c>
      <c r="C5279" s="427">
        <f t="shared" si="164"/>
        <v>2006</v>
      </c>
      <c r="D5279" s="433">
        <f t="shared" si="165"/>
        <v>2375.0300000000002</v>
      </c>
    </row>
    <row r="5280" spans="1:4" ht="16.149999999999999" customHeight="1" x14ac:dyDescent="0.25">
      <c r="A5280" s="431">
        <v>38840</v>
      </c>
      <c r="B5280" s="434">
        <v>2380.31</v>
      </c>
      <c r="C5280" s="427">
        <f t="shared" si="164"/>
        <v>2006</v>
      </c>
      <c r="D5280" s="433">
        <f t="shared" si="165"/>
        <v>2380.31</v>
      </c>
    </row>
    <row r="5281" spans="1:4" ht="16.149999999999999" customHeight="1" x14ac:dyDescent="0.25">
      <c r="A5281" s="431">
        <v>38841</v>
      </c>
      <c r="B5281" s="432">
        <v>2377.59</v>
      </c>
      <c r="C5281" s="427">
        <f t="shared" si="164"/>
        <v>2006</v>
      </c>
      <c r="D5281" s="433">
        <f t="shared" si="165"/>
        <v>2377.59</v>
      </c>
    </row>
    <row r="5282" spans="1:4" ht="16.149999999999999" customHeight="1" x14ac:dyDescent="0.25">
      <c r="A5282" s="431">
        <v>38842</v>
      </c>
      <c r="B5282" s="434">
        <v>2381.36</v>
      </c>
      <c r="C5282" s="427">
        <f t="shared" si="164"/>
        <v>2006</v>
      </c>
      <c r="D5282" s="433">
        <f t="shared" si="165"/>
        <v>2381.36</v>
      </c>
    </row>
    <row r="5283" spans="1:4" ht="16.149999999999999" customHeight="1" x14ac:dyDescent="0.25">
      <c r="A5283" s="431">
        <v>38843</v>
      </c>
      <c r="B5283" s="432">
        <v>2370.63</v>
      </c>
      <c r="C5283" s="427">
        <f t="shared" si="164"/>
        <v>2006</v>
      </c>
      <c r="D5283" s="433">
        <f t="shared" si="165"/>
        <v>2370.63</v>
      </c>
    </row>
    <row r="5284" spans="1:4" ht="16.149999999999999" customHeight="1" x14ac:dyDescent="0.25">
      <c r="A5284" s="431">
        <v>38844</v>
      </c>
      <c r="B5284" s="434">
        <v>2370.63</v>
      </c>
      <c r="C5284" s="427">
        <f t="shared" si="164"/>
        <v>2006</v>
      </c>
      <c r="D5284" s="433">
        <f t="shared" si="165"/>
        <v>2370.63</v>
      </c>
    </row>
    <row r="5285" spans="1:4" ht="16.149999999999999" customHeight="1" x14ac:dyDescent="0.25">
      <c r="A5285" s="431">
        <v>38845</v>
      </c>
      <c r="B5285" s="432">
        <v>2370.63</v>
      </c>
      <c r="C5285" s="427">
        <f t="shared" si="164"/>
        <v>2006</v>
      </c>
      <c r="D5285" s="433">
        <f t="shared" si="165"/>
        <v>2370.63</v>
      </c>
    </row>
    <row r="5286" spans="1:4" ht="16.149999999999999" customHeight="1" x14ac:dyDescent="0.25">
      <c r="A5286" s="431">
        <v>38846</v>
      </c>
      <c r="B5286" s="434">
        <v>2351.06</v>
      </c>
      <c r="C5286" s="427">
        <f t="shared" si="164"/>
        <v>2006</v>
      </c>
      <c r="D5286" s="433">
        <f t="shared" si="165"/>
        <v>2351.06</v>
      </c>
    </row>
    <row r="5287" spans="1:4" ht="16.149999999999999" customHeight="1" x14ac:dyDescent="0.25">
      <c r="A5287" s="431">
        <v>38847</v>
      </c>
      <c r="B5287" s="432">
        <v>2338.7600000000002</v>
      </c>
      <c r="C5287" s="427">
        <f t="shared" si="164"/>
        <v>2006</v>
      </c>
      <c r="D5287" s="433">
        <f t="shared" si="165"/>
        <v>2338.7600000000002</v>
      </c>
    </row>
    <row r="5288" spans="1:4" ht="16.149999999999999" customHeight="1" x14ac:dyDescent="0.25">
      <c r="A5288" s="431">
        <v>38848</v>
      </c>
      <c r="B5288" s="434">
        <v>2329.35</v>
      </c>
      <c r="C5288" s="427">
        <f t="shared" si="164"/>
        <v>2006</v>
      </c>
      <c r="D5288" s="433">
        <f t="shared" si="165"/>
        <v>2329.35</v>
      </c>
    </row>
    <row r="5289" spans="1:4" ht="16.149999999999999" customHeight="1" x14ac:dyDescent="0.25">
      <c r="A5289" s="431">
        <v>38849</v>
      </c>
      <c r="B5289" s="432">
        <v>2346.06</v>
      </c>
      <c r="C5289" s="427">
        <f t="shared" si="164"/>
        <v>2006</v>
      </c>
      <c r="D5289" s="433">
        <f t="shared" si="165"/>
        <v>2346.06</v>
      </c>
    </row>
    <row r="5290" spans="1:4" ht="16.149999999999999" customHeight="1" x14ac:dyDescent="0.25">
      <c r="A5290" s="431">
        <v>38850</v>
      </c>
      <c r="B5290" s="434">
        <v>2375.86</v>
      </c>
      <c r="C5290" s="427">
        <f t="shared" si="164"/>
        <v>2006</v>
      </c>
      <c r="D5290" s="433">
        <f t="shared" si="165"/>
        <v>2375.86</v>
      </c>
    </row>
    <row r="5291" spans="1:4" ht="16.149999999999999" customHeight="1" x14ac:dyDescent="0.25">
      <c r="A5291" s="431">
        <v>38851</v>
      </c>
      <c r="B5291" s="432">
        <v>2375.86</v>
      </c>
      <c r="C5291" s="427">
        <f t="shared" si="164"/>
        <v>2006</v>
      </c>
      <c r="D5291" s="433">
        <f t="shared" si="165"/>
        <v>2375.86</v>
      </c>
    </row>
    <row r="5292" spans="1:4" ht="16.149999999999999" customHeight="1" x14ac:dyDescent="0.25">
      <c r="A5292" s="431">
        <v>38852</v>
      </c>
      <c r="B5292" s="434">
        <v>2375.86</v>
      </c>
      <c r="C5292" s="427">
        <f t="shared" si="164"/>
        <v>2006</v>
      </c>
      <c r="D5292" s="433">
        <f t="shared" si="165"/>
        <v>2375.86</v>
      </c>
    </row>
    <row r="5293" spans="1:4" ht="16.149999999999999" customHeight="1" x14ac:dyDescent="0.25">
      <c r="A5293" s="431">
        <v>38853</v>
      </c>
      <c r="B5293" s="432">
        <v>2424.27</v>
      </c>
      <c r="C5293" s="427">
        <f t="shared" si="164"/>
        <v>2006</v>
      </c>
      <c r="D5293" s="433">
        <f t="shared" si="165"/>
        <v>2424.27</v>
      </c>
    </row>
    <row r="5294" spans="1:4" ht="16.149999999999999" customHeight="1" x14ac:dyDescent="0.25">
      <c r="A5294" s="431">
        <v>38854</v>
      </c>
      <c r="B5294" s="434">
        <v>2410.96</v>
      </c>
      <c r="C5294" s="427">
        <f t="shared" si="164"/>
        <v>2006</v>
      </c>
      <c r="D5294" s="433">
        <f t="shared" si="165"/>
        <v>2410.96</v>
      </c>
    </row>
    <row r="5295" spans="1:4" ht="16.149999999999999" customHeight="1" x14ac:dyDescent="0.25">
      <c r="A5295" s="431">
        <v>38855</v>
      </c>
      <c r="B5295" s="432">
        <v>2435.52</v>
      </c>
      <c r="C5295" s="427">
        <f t="shared" si="164"/>
        <v>2006</v>
      </c>
      <c r="D5295" s="433">
        <f t="shared" si="165"/>
        <v>2435.52</v>
      </c>
    </row>
    <row r="5296" spans="1:4" ht="16.149999999999999" customHeight="1" x14ac:dyDescent="0.25">
      <c r="A5296" s="431">
        <v>38856</v>
      </c>
      <c r="B5296" s="434">
        <v>2450.63</v>
      </c>
      <c r="C5296" s="427">
        <f t="shared" si="164"/>
        <v>2006</v>
      </c>
      <c r="D5296" s="433">
        <f t="shared" si="165"/>
        <v>2450.63</v>
      </c>
    </row>
    <row r="5297" spans="1:4" ht="16.149999999999999" customHeight="1" x14ac:dyDescent="0.25">
      <c r="A5297" s="431">
        <v>38857</v>
      </c>
      <c r="B5297" s="432">
        <v>2452.5</v>
      </c>
      <c r="C5297" s="427">
        <f t="shared" si="164"/>
        <v>2006</v>
      </c>
      <c r="D5297" s="433">
        <f t="shared" si="165"/>
        <v>2452.5</v>
      </c>
    </row>
    <row r="5298" spans="1:4" ht="16.149999999999999" customHeight="1" x14ac:dyDescent="0.25">
      <c r="A5298" s="431">
        <v>38858</v>
      </c>
      <c r="B5298" s="434">
        <v>2452.5</v>
      </c>
      <c r="C5298" s="427">
        <f t="shared" si="164"/>
        <v>2006</v>
      </c>
      <c r="D5298" s="433">
        <f t="shared" si="165"/>
        <v>2452.5</v>
      </c>
    </row>
    <row r="5299" spans="1:4" ht="16.149999999999999" customHeight="1" x14ac:dyDescent="0.25">
      <c r="A5299" s="431">
        <v>38859</v>
      </c>
      <c r="B5299" s="432">
        <v>2452.5</v>
      </c>
      <c r="C5299" s="427">
        <f t="shared" si="164"/>
        <v>2006</v>
      </c>
      <c r="D5299" s="433">
        <f t="shared" si="165"/>
        <v>2452.5</v>
      </c>
    </row>
    <row r="5300" spans="1:4" ht="16.149999999999999" customHeight="1" x14ac:dyDescent="0.25">
      <c r="A5300" s="431">
        <v>38860</v>
      </c>
      <c r="B5300" s="434">
        <v>2493.98</v>
      </c>
      <c r="C5300" s="427">
        <f t="shared" si="164"/>
        <v>2006</v>
      </c>
      <c r="D5300" s="433">
        <f t="shared" si="165"/>
        <v>2493.98</v>
      </c>
    </row>
    <row r="5301" spans="1:4" ht="16.149999999999999" customHeight="1" x14ac:dyDescent="0.25">
      <c r="A5301" s="431">
        <v>38861</v>
      </c>
      <c r="B5301" s="432">
        <v>2490.06</v>
      </c>
      <c r="C5301" s="427">
        <f t="shared" si="164"/>
        <v>2006</v>
      </c>
      <c r="D5301" s="433">
        <f t="shared" si="165"/>
        <v>2490.06</v>
      </c>
    </row>
    <row r="5302" spans="1:4" ht="16.149999999999999" customHeight="1" x14ac:dyDescent="0.25">
      <c r="A5302" s="431">
        <v>38862</v>
      </c>
      <c r="B5302" s="434">
        <v>2518.34</v>
      </c>
      <c r="C5302" s="427">
        <f t="shared" si="164"/>
        <v>2006</v>
      </c>
      <c r="D5302" s="433">
        <f t="shared" si="165"/>
        <v>2518.34</v>
      </c>
    </row>
    <row r="5303" spans="1:4" ht="16.149999999999999" customHeight="1" x14ac:dyDescent="0.25">
      <c r="A5303" s="431">
        <v>38863</v>
      </c>
      <c r="B5303" s="432">
        <v>2517.44</v>
      </c>
      <c r="C5303" s="427">
        <f t="shared" si="164"/>
        <v>2006</v>
      </c>
      <c r="D5303" s="433">
        <f t="shared" si="165"/>
        <v>2517.44</v>
      </c>
    </row>
    <row r="5304" spans="1:4" ht="16.149999999999999" customHeight="1" x14ac:dyDescent="0.25">
      <c r="A5304" s="431">
        <v>38864</v>
      </c>
      <c r="B5304" s="434">
        <v>2475.75</v>
      </c>
      <c r="C5304" s="427">
        <f t="shared" si="164"/>
        <v>2006</v>
      </c>
      <c r="D5304" s="433">
        <f t="shared" si="165"/>
        <v>2475.75</v>
      </c>
    </row>
    <row r="5305" spans="1:4" ht="16.149999999999999" customHeight="1" x14ac:dyDescent="0.25">
      <c r="A5305" s="431">
        <v>38865</v>
      </c>
      <c r="B5305" s="432">
        <v>2475.75</v>
      </c>
      <c r="C5305" s="427">
        <f t="shared" si="164"/>
        <v>2006</v>
      </c>
      <c r="D5305" s="433">
        <f t="shared" si="165"/>
        <v>2475.75</v>
      </c>
    </row>
    <row r="5306" spans="1:4" ht="16.149999999999999" customHeight="1" x14ac:dyDescent="0.25">
      <c r="A5306" s="431">
        <v>38866</v>
      </c>
      <c r="B5306" s="434">
        <v>2475.75</v>
      </c>
      <c r="C5306" s="427">
        <f t="shared" si="164"/>
        <v>2006</v>
      </c>
      <c r="D5306" s="433">
        <f t="shared" si="165"/>
        <v>2475.75</v>
      </c>
    </row>
    <row r="5307" spans="1:4" ht="16.149999999999999" customHeight="1" x14ac:dyDescent="0.25">
      <c r="A5307" s="431">
        <v>38867</v>
      </c>
      <c r="B5307" s="432">
        <v>2475.75</v>
      </c>
      <c r="C5307" s="427">
        <f t="shared" si="164"/>
        <v>2006</v>
      </c>
      <c r="D5307" s="433">
        <f t="shared" si="165"/>
        <v>2475.75</v>
      </c>
    </row>
    <row r="5308" spans="1:4" ht="16.149999999999999" customHeight="1" x14ac:dyDescent="0.25">
      <c r="A5308" s="431">
        <v>38868</v>
      </c>
      <c r="B5308" s="434">
        <v>2482.41</v>
      </c>
      <c r="C5308" s="427">
        <f t="shared" si="164"/>
        <v>2006</v>
      </c>
      <c r="D5308" s="433">
        <f t="shared" si="165"/>
        <v>2482.41</v>
      </c>
    </row>
    <row r="5309" spans="1:4" ht="16.149999999999999" customHeight="1" x14ac:dyDescent="0.25">
      <c r="A5309" s="431">
        <v>38869</v>
      </c>
      <c r="B5309" s="432">
        <v>2486.0700000000002</v>
      </c>
      <c r="C5309" s="427">
        <f t="shared" si="164"/>
        <v>2006</v>
      </c>
      <c r="D5309" s="433">
        <f t="shared" si="165"/>
        <v>2486.0700000000002</v>
      </c>
    </row>
    <row r="5310" spans="1:4" ht="16.149999999999999" customHeight="1" x14ac:dyDescent="0.25">
      <c r="A5310" s="431">
        <v>38870</v>
      </c>
      <c r="B5310" s="434">
        <v>2484.62</v>
      </c>
      <c r="C5310" s="427">
        <f t="shared" si="164"/>
        <v>2006</v>
      </c>
      <c r="D5310" s="433">
        <f t="shared" si="165"/>
        <v>2484.62</v>
      </c>
    </row>
    <row r="5311" spans="1:4" ht="16.149999999999999" customHeight="1" x14ac:dyDescent="0.25">
      <c r="A5311" s="431">
        <v>38871</v>
      </c>
      <c r="B5311" s="432">
        <v>2450.8000000000002</v>
      </c>
      <c r="C5311" s="427">
        <f t="shared" si="164"/>
        <v>2006</v>
      </c>
      <c r="D5311" s="433">
        <f t="shared" si="165"/>
        <v>2450.8000000000002</v>
      </c>
    </row>
    <row r="5312" spans="1:4" ht="16.149999999999999" customHeight="1" x14ac:dyDescent="0.25">
      <c r="A5312" s="431">
        <v>38872</v>
      </c>
      <c r="B5312" s="434">
        <v>2450.8000000000002</v>
      </c>
      <c r="C5312" s="427">
        <f t="shared" si="164"/>
        <v>2006</v>
      </c>
      <c r="D5312" s="433">
        <f t="shared" si="165"/>
        <v>2450.8000000000002</v>
      </c>
    </row>
    <row r="5313" spans="1:4" ht="16.149999999999999" customHeight="1" x14ac:dyDescent="0.25">
      <c r="A5313" s="431">
        <v>38873</v>
      </c>
      <c r="B5313" s="432">
        <v>2450.8000000000002</v>
      </c>
      <c r="C5313" s="427">
        <f t="shared" si="164"/>
        <v>2006</v>
      </c>
      <c r="D5313" s="433">
        <f t="shared" si="165"/>
        <v>2450.8000000000002</v>
      </c>
    </row>
    <row r="5314" spans="1:4" ht="16.149999999999999" customHeight="1" x14ac:dyDescent="0.25">
      <c r="A5314" s="431">
        <v>38874</v>
      </c>
      <c r="B5314" s="434">
        <v>2443.7199999999998</v>
      </c>
      <c r="C5314" s="427">
        <f t="shared" si="164"/>
        <v>2006</v>
      </c>
      <c r="D5314" s="433">
        <f t="shared" si="165"/>
        <v>2443.7199999999998</v>
      </c>
    </row>
    <row r="5315" spans="1:4" ht="16.149999999999999" customHeight="1" x14ac:dyDescent="0.25">
      <c r="A5315" s="431">
        <v>38875</v>
      </c>
      <c r="B5315" s="432">
        <v>2470.9899999999998</v>
      </c>
      <c r="C5315" s="427">
        <f t="shared" si="164"/>
        <v>2006</v>
      </c>
      <c r="D5315" s="433">
        <f t="shared" si="165"/>
        <v>2470.9899999999998</v>
      </c>
    </row>
    <row r="5316" spans="1:4" ht="16.149999999999999" customHeight="1" x14ac:dyDescent="0.25">
      <c r="A5316" s="431">
        <v>38876</v>
      </c>
      <c r="B5316" s="434">
        <v>2482.15</v>
      </c>
      <c r="C5316" s="427">
        <f t="shared" si="164"/>
        <v>2006</v>
      </c>
      <c r="D5316" s="433">
        <f t="shared" si="165"/>
        <v>2482.15</v>
      </c>
    </row>
    <row r="5317" spans="1:4" ht="16.149999999999999" customHeight="1" x14ac:dyDescent="0.25">
      <c r="A5317" s="431">
        <v>38877</v>
      </c>
      <c r="B5317" s="432">
        <v>2511.34</v>
      </c>
      <c r="C5317" s="427">
        <f t="shared" si="164"/>
        <v>2006</v>
      </c>
      <c r="D5317" s="433">
        <f t="shared" si="165"/>
        <v>2511.34</v>
      </c>
    </row>
    <row r="5318" spans="1:4" ht="16.149999999999999" customHeight="1" x14ac:dyDescent="0.25">
      <c r="A5318" s="431">
        <v>38878</v>
      </c>
      <c r="B5318" s="434">
        <v>2510.8200000000002</v>
      </c>
      <c r="C5318" s="427">
        <f t="shared" si="164"/>
        <v>2006</v>
      </c>
      <c r="D5318" s="433">
        <f t="shared" si="165"/>
        <v>2510.8200000000002</v>
      </c>
    </row>
    <row r="5319" spans="1:4" ht="16.149999999999999" customHeight="1" x14ac:dyDescent="0.25">
      <c r="A5319" s="431">
        <v>38879</v>
      </c>
      <c r="B5319" s="432">
        <v>2510.8200000000002</v>
      </c>
      <c r="C5319" s="427">
        <f t="shared" si="164"/>
        <v>2006</v>
      </c>
      <c r="D5319" s="433">
        <f t="shared" si="165"/>
        <v>2510.8200000000002</v>
      </c>
    </row>
    <row r="5320" spans="1:4" ht="16.149999999999999" customHeight="1" x14ac:dyDescent="0.25">
      <c r="A5320" s="431">
        <v>38880</v>
      </c>
      <c r="B5320" s="434">
        <v>2510.8200000000002</v>
      </c>
      <c r="C5320" s="427">
        <f t="shared" si="164"/>
        <v>2006</v>
      </c>
      <c r="D5320" s="433">
        <f t="shared" si="165"/>
        <v>2510.8200000000002</v>
      </c>
    </row>
    <row r="5321" spans="1:4" ht="16.149999999999999" customHeight="1" x14ac:dyDescent="0.25">
      <c r="A5321" s="431">
        <v>38881</v>
      </c>
      <c r="B5321" s="432">
        <v>2534.83</v>
      </c>
      <c r="C5321" s="427">
        <f t="shared" si="164"/>
        <v>2006</v>
      </c>
      <c r="D5321" s="433">
        <f t="shared" si="165"/>
        <v>2534.83</v>
      </c>
    </row>
    <row r="5322" spans="1:4" ht="16.149999999999999" customHeight="1" x14ac:dyDescent="0.25">
      <c r="A5322" s="431">
        <v>38882</v>
      </c>
      <c r="B5322" s="434">
        <v>2569.1</v>
      </c>
      <c r="C5322" s="427">
        <f t="shared" ref="C5322:C5385" si="166">YEAR(A5322)</f>
        <v>2006</v>
      </c>
      <c r="D5322" s="433">
        <f t="shared" ref="D5322:D5385" si="167">B5322</f>
        <v>2569.1</v>
      </c>
    </row>
    <row r="5323" spans="1:4" ht="16.149999999999999" customHeight="1" x14ac:dyDescent="0.25">
      <c r="A5323" s="431">
        <v>38883</v>
      </c>
      <c r="B5323" s="432">
        <v>2570.11</v>
      </c>
      <c r="C5323" s="427">
        <f t="shared" si="166"/>
        <v>2006</v>
      </c>
      <c r="D5323" s="433">
        <f t="shared" si="167"/>
        <v>2570.11</v>
      </c>
    </row>
    <row r="5324" spans="1:4" ht="16.149999999999999" customHeight="1" x14ac:dyDescent="0.25">
      <c r="A5324" s="431">
        <v>38884</v>
      </c>
      <c r="B5324" s="434">
        <v>2564.3000000000002</v>
      </c>
      <c r="C5324" s="427">
        <f t="shared" si="166"/>
        <v>2006</v>
      </c>
      <c r="D5324" s="433">
        <f t="shared" si="167"/>
        <v>2564.3000000000002</v>
      </c>
    </row>
    <row r="5325" spans="1:4" ht="16.149999999999999" customHeight="1" x14ac:dyDescent="0.25">
      <c r="A5325" s="431">
        <v>38885</v>
      </c>
      <c r="B5325" s="432">
        <v>2559.04</v>
      </c>
      <c r="C5325" s="427">
        <f t="shared" si="166"/>
        <v>2006</v>
      </c>
      <c r="D5325" s="433">
        <f t="shared" si="167"/>
        <v>2559.04</v>
      </c>
    </row>
    <row r="5326" spans="1:4" ht="16.149999999999999" customHeight="1" x14ac:dyDescent="0.25">
      <c r="A5326" s="431">
        <v>38886</v>
      </c>
      <c r="B5326" s="434">
        <v>2559.04</v>
      </c>
      <c r="C5326" s="427">
        <f t="shared" si="166"/>
        <v>2006</v>
      </c>
      <c r="D5326" s="433">
        <f t="shared" si="167"/>
        <v>2559.04</v>
      </c>
    </row>
    <row r="5327" spans="1:4" ht="16.149999999999999" customHeight="1" x14ac:dyDescent="0.25">
      <c r="A5327" s="431">
        <v>38887</v>
      </c>
      <c r="B5327" s="432">
        <v>2559.04</v>
      </c>
      <c r="C5327" s="427">
        <f t="shared" si="166"/>
        <v>2006</v>
      </c>
      <c r="D5327" s="433">
        <f t="shared" si="167"/>
        <v>2559.04</v>
      </c>
    </row>
    <row r="5328" spans="1:4" ht="16.149999999999999" customHeight="1" x14ac:dyDescent="0.25">
      <c r="A5328" s="431">
        <v>38888</v>
      </c>
      <c r="B5328" s="434">
        <v>2559.04</v>
      </c>
      <c r="C5328" s="427">
        <f t="shared" si="166"/>
        <v>2006</v>
      </c>
      <c r="D5328" s="433">
        <f t="shared" si="167"/>
        <v>2559.04</v>
      </c>
    </row>
    <row r="5329" spans="1:4" ht="16.149999999999999" customHeight="1" x14ac:dyDescent="0.25">
      <c r="A5329" s="431">
        <v>38889</v>
      </c>
      <c r="B5329" s="432">
        <v>2568.12</v>
      </c>
      <c r="C5329" s="427">
        <f t="shared" si="166"/>
        <v>2006</v>
      </c>
      <c r="D5329" s="433">
        <f t="shared" si="167"/>
        <v>2568.12</v>
      </c>
    </row>
    <row r="5330" spans="1:4" ht="16.149999999999999" customHeight="1" x14ac:dyDescent="0.25">
      <c r="A5330" s="431">
        <v>38890</v>
      </c>
      <c r="B5330" s="434">
        <v>2566.7600000000002</v>
      </c>
      <c r="C5330" s="427">
        <f t="shared" si="166"/>
        <v>2006</v>
      </c>
      <c r="D5330" s="433">
        <f t="shared" si="167"/>
        <v>2566.7600000000002</v>
      </c>
    </row>
    <row r="5331" spans="1:4" ht="16.149999999999999" customHeight="1" x14ac:dyDescent="0.25">
      <c r="A5331" s="431">
        <v>38891</v>
      </c>
      <c r="B5331" s="432">
        <v>2578.02</v>
      </c>
      <c r="C5331" s="427">
        <f t="shared" si="166"/>
        <v>2006</v>
      </c>
      <c r="D5331" s="433">
        <f t="shared" si="167"/>
        <v>2578.02</v>
      </c>
    </row>
    <row r="5332" spans="1:4" ht="16.149999999999999" customHeight="1" x14ac:dyDescent="0.25">
      <c r="A5332" s="431">
        <v>38892</v>
      </c>
      <c r="B5332" s="434">
        <v>2607.13</v>
      </c>
      <c r="C5332" s="427">
        <f t="shared" si="166"/>
        <v>2006</v>
      </c>
      <c r="D5332" s="433">
        <f t="shared" si="167"/>
        <v>2607.13</v>
      </c>
    </row>
    <row r="5333" spans="1:4" ht="16.149999999999999" customHeight="1" x14ac:dyDescent="0.25">
      <c r="A5333" s="431">
        <v>38893</v>
      </c>
      <c r="B5333" s="432">
        <v>2607.13</v>
      </c>
      <c r="C5333" s="427">
        <f t="shared" si="166"/>
        <v>2006</v>
      </c>
      <c r="D5333" s="433">
        <f t="shared" si="167"/>
        <v>2607.13</v>
      </c>
    </row>
    <row r="5334" spans="1:4" ht="16.149999999999999" customHeight="1" x14ac:dyDescent="0.25">
      <c r="A5334" s="431">
        <v>38894</v>
      </c>
      <c r="B5334" s="434">
        <v>2607.13</v>
      </c>
      <c r="C5334" s="427">
        <f t="shared" si="166"/>
        <v>2006</v>
      </c>
      <c r="D5334" s="433">
        <f t="shared" si="167"/>
        <v>2607.13</v>
      </c>
    </row>
    <row r="5335" spans="1:4" ht="16.149999999999999" customHeight="1" x14ac:dyDescent="0.25">
      <c r="A5335" s="431">
        <v>38895</v>
      </c>
      <c r="B5335" s="432">
        <v>2607.13</v>
      </c>
      <c r="C5335" s="427">
        <f t="shared" si="166"/>
        <v>2006</v>
      </c>
      <c r="D5335" s="433">
        <f t="shared" si="167"/>
        <v>2607.13</v>
      </c>
    </row>
    <row r="5336" spans="1:4" ht="16.149999999999999" customHeight="1" x14ac:dyDescent="0.25">
      <c r="A5336" s="431">
        <v>38896</v>
      </c>
      <c r="B5336" s="434">
        <v>2619.75</v>
      </c>
      <c r="C5336" s="427">
        <f t="shared" si="166"/>
        <v>2006</v>
      </c>
      <c r="D5336" s="433">
        <f t="shared" si="167"/>
        <v>2619.75</v>
      </c>
    </row>
    <row r="5337" spans="1:4" ht="16.149999999999999" customHeight="1" x14ac:dyDescent="0.25">
      <c r="A5337" s="431">
        <v>38897</v>
      </c>
      <c r="B5337" s="432">
        <v>2634.06</v>
      </c>
      <c r="C5337" s="427">
        <f t="shared" si="166"/>
        <v>2006</v>
      </c>
      <c r="D5337" s="433">
        <f t="shared" si="167"/>
        <v>2634.06</v>
      </c>
    </row>
    <row r="5338" spans="1:4" ht="16.149999999999999" customHeight="1" x14ac:dyDescent="0.25">
      <c r="A5338" s="431">
        <v>38898</v>
      </c>
      <c r="B5338" s="434">
        <v>2633.12</v>
      </c>
      <c r="C5338" s="427">
        <f t="shared" si="166"/>
        <v>2006</v>
      </c>
      <c r="D5338" s="433">
        <f t="shared" si="167"/>
        <v>2633.12</v>
      </c>
    </row>
    <row r="5339" spans="1:4" ht="16.149999999999999" customHeight="1" x14ac:dyDescent="0.25">
      <c r="A5339" s="431">
        <v>38899</v>
      </c>
      <c r="B5339" s="432">
        <v>2579.08</v>
      </c>
      <c r="C5339" s="427">
        <f t="shared" si="166"/>
        <v>2006</v>
      </c>
      <c r="D5339" s="433">
        <f t="shared" si="167"/>
        <v>2579.08</v>
      </c>
    </row>
    <row r="5340" spans="1:4" ht="16.149999999999999" customHeight="1" x14ac:dyDescent="0.25">
      <c r="A5340" s="431">
        <v>38900</v>
      </c>
      <c r="B5340" s="434">
        <v>2579.08</v>
      </c>
      <c r="C5340" s="427">
        <f t="shared" si="166"/>
        <v>2006</v>
      </c>
      <c r="D5340" s="433">
        <f t="shared" si="167"/>
        <v>2579.08</v>
      </c>
    </row>
    <row r="5341" spans="1:4" ht="16.149999999999999" customHeight="1" x14ac:dyDescent="0.25">
      <c r="A5341" s="431">
        <v>38901</v>
      </c>
      <c r="B5341" s="432">
        <v>2579.08</v>
      </c>
      <c r="C5341" s="427">
        <f t="shared" si="166"/>
        <v>2006</v>
      </c>
      <c r="D5341" s="433">
        <f t="shared" si="167"/>
        <v>2579.08</v>
      </c>
    </row>
    <row r="5342" spans="1:4" ht="16.149999999999999" customHeight="1" x14ac:dyDescent="0.25">
      <c r="A5342" s="431">
        <v>38902</v>
      </c>
      <c r="B5342" s="434">
        <v>2579.08</v>
      </c>
      <c r="C5342" s="427">
        <f t="shared" si="166"/>
        <v>2006</v>
      </c>
      <c r="D5342" s="433">
        <f t="shared" si="167"/>
        <v>2579.08</v>
      </c>
    </row>
    <row r="5343" spans="1:4" ht="16.149999999999999" customHeight="1" x14ac:dyDescent="0.25">
      <c r="A5343" s="431">
        <v>38903</v>
      </c>
      <c r="B5343" s="432">
        <v>2579.08</v>
      </c>
      <c r="C5343" s="427">
        <f t="shared" si="166"/>
        <v>2006</v>
      </c>
      <c r="D5343" s="433">
        <f t="shared" si="167"/>
        <v>2579.08</v>
      </c>
    </row>
    <row r="5344" spans="1:4" ht="16.149999999999999" customHeight="1" x14ac:dyDescent="0.25">
      <c r="A5344" s="431">
        <v>38904</v>
      </c>
      <c r="B5344" s="434">
        <v>2574.7399999999998</v>
      </c>
      <c r="C5344" s="427">
        <f t="shared" si="166"/>
        <v>2006</v>
      </c>
      <c r="D5344" s="433">
        <f t="shared" si="167"/>
        <v>2574.7399999999998</v>
      </c>
    </row>
    <row r="5345" spans="1:4" ht="16.149999999999999" customHeight="1" x14ac:dyDescent="0.25">
      <c r="A5345" s="431">
        <v>38905</v>
      </c>
      <c r="B5345" s="432">
        <v>2562.85</v>
      </c>
      <c r="C5345" s="427">
        <f t="shared" si="166"/>
        <v>2006</v>
      </c>
      <c r="D5345" s="433">
        <f t="shared" si="167"/>
        <v>2562.85</v>
      </c>
    </row>
    <row r="5346" spans="1:4" ht="16.149999999999999" customHeight="1" x14ac:dyDescent="0.25">
      <c r="A5346" s="431">
        <v>38906</v>
      </c>
      <c r="B5346" s="434">
        <v>2525.5</v>
      </c>
      <c r="C5346" s="427">
        <f t="shared" si="166"/>
        <v>2006</v>
      </c>
      <c r="D5346" s="433">
        <f t="shared" si="167"/>
        <v>2525.5</v>
      </c>
    </row>
    <row r="5347" spans="1:4" ht="16.149999999999999" customHeight="1" x14ac:dyDescent="0.25">
      <c r="A5347" s="431">
        <v>38907</v>
      </c>
      <c r="B5347" s="432">
        <v>2525.5</v>
      </c>
      <c r="C5347" s="427">
        <f t="shared" si="166"/>
        <v>2006</v>
      </c>
      <c r="D5347" s="433">
        <f t="shared" si="167"/>
        <v>2525.5</v>
      </c>
    </row>
    <row r="5348" spans="1:4" ht="16.149999999999999" customHeight="1" x14ac:dyDescent="0.25">
      <c r="A5348" s="431">
        <v>38908</v>
      </c>
      <c r="B5348" s="434">
        <v>2525.5</v>
      </c>
      <c r="C5348" s="427">
        <f t="shared" si="166"/>
        <v>2006</v>
      </c>
      <c r="D5348" s="433">
        <f t="shared" si="167"/>
        <v>2525.5</v>
      </c>
    </row>
    <row r="5349" spans="1:4" ht="16.149999999999999" customHeight="1" x14ac:dyDescent="0.25">
      <c r="A5349" s="431">
        <v>38909</v>
      </c>
      <c r="B5349" s="432">
        <v>2491.4499999999998</v>
      </c>
      <c r="C5349" s="427">
        <f t="shared" si="166"/>
        <v>2006</v>
      </c>
      <c r="D5349" s="433">
        <f t="shared" si="167"/>
        <v>2491.4499999999998</v>
      </c>
    </row>
    <row r="5350" spans="1:4" ht="16.149999999999999" customHeight="1" x14ac:dyDescent="0.25">
      <c r="A5350" s="431">
        <v>38910</v>
      </c>
      <c r="B5350" s="434">
        <v>2488.33</v>
      </c>
      <c r="C5350" s="427">
        <f t="shared" si="166"/>
        <v>2006</v>
      </c>
      <c r="D5350" s="433">
        <f t="shared" si="167"/>
        <v>2488.33</v>
      </c>
    </row>
    <row r="5351" spans="1:4" ht="16.149999999999999" customHeight="1" x14ac:dyDescent="0.25">
      <c r="A5351" s="431">
        <v>38911</v>
      </c>
      <c r="B5351" s="432">
        <v>2512.4</v>
      </c>
      <c r="C5351" s="427">
        <f t="shared" si="166"/>
        <v>2006</v>
      </c>
      <c r="D5351" s="433">
        <f t="shared" si="167"/>
        <v>2512.4</v>
      </c>
    </row>
    <row r="5352" spans="1:4" ht="16.149999999999999" customHeight="1" x14ac:dyDescent="0.25">
      <c r="A5352" s="431">
        <v>38912</v>
      </c>
      <c r="B5352" s="434">
        <v>2534.13</v>
      </c>
      <c r="C5352" s="427">
        <f t="shared" si="166"/>
        <v>2006</v>
      </c>
      <c r="D5352" s="433">
        <f t="shared" si="167"/>
        <v>2534.13</v>
      </c>
    </row>
    <row r="5353" spans="1:4" ht="16.149999999999999" customHeight="1" x14ac:dyDescent="0.25">
      <c r="A5353" s="431">
        <v>38913</v>
      </c>
      <c r="B5353" s="432">
        <v>2549.77</v>
      </c>
      <c r="C5353" s="427">
        <f t="shared" si="166"/>
        <v>2006</v>
      </c>
      <c r="D5353" s="433">
        <f t="shared" si="167"/>
        <v>2549.77</v>
      </c>
    </row>
    <row r="5354" spans="1:4" ht="16.149999999999999" customHeight="1" x14ac:dyDescent="0.25">
      <c r="A5354" s="431">
        <v>38914</v>
      </c>
      <c r="B5354" s="434">
        <v>2549.77</v>
      </c>
      <c r="C5354" s="427">
        <f t="shared" si="166"/>
        <v>2006</v>
      </c>
      <c r="D5354" s="433">
        <f t="shared" si="167"/>
        <v>2549.77</v>
      </c>
    </row>
    <row r="5355" spans="1:4" ht="16.149999999999999" customHeight="1" x14ac:dyDescent="0.25">
      <c r="A5355" s="431">
        <v>38915</v>
      </c>
      <c r="B5355" s="432">
        <v>2549.77</v>
      </c>
      <c r="C5355" s="427">
        <f t="shared" si="166"/>
        <v>2006</v>
      </c>
      <c r="D5355" s="433">
        <f t="shared" si="167"/>
        <v>2549.77</v>
      </c>
    </row>
    <row r="5356" spans="1:4" ht="16.149999999999999" customHeight="1" x14ac:dyDescent="0.25">
      <c r="A5356" s="431">
        <v>38916</v>
      </c>
      <c r="B5356" s="434">
        <v>2556.7199999999998</v>
      </c>
      <c r="C5356" s="427">
        <f t="shared" si="166"/>
        <v>2006</v>
      </c>
      <c r="D5356" s="433">
        <f t="shared" si="167"/>
        <v>2556.7199999999998</v>
      </c>
    </row>
    <row r="5357" spans="1:4" ht="16.149999999999999" customHeight="1" x14ac:dyDescent="0.25">
      <c r="A5357" s="431">
        <v>38917</v>
      </c>
      <c r="B5357" s="432">
        <v>2531.85</v>
      </c>
      <c r="C5357" s="427">
        <f t="shared" si="166"/>
        <v>2006</v>
      </c>
      <c r="D5357" s="433">
        <f t="shared" si="167"/>
        <v>2531.85</v>
      </c>
    </row>
    <row r="5358" spans="1:4" ht="16.149999999999999" customHeight="1" x14ac:dyDescent="0.25">
      <c r="A5358" s="431">
        <v>38918</v>
      </c>
      <c r="B5358" s="434">
        <v>2521.1799999999998</v>
      </c>
      <c r="C5358" s="427">
        <f t="shared" si="166"/>
        <v>2006</v>
      </c>
      <c r="D5358" s="433">
        <f t="shared" si="167"/>
        <v>2521.1799999999998</v>
      </c>
    </row>
    <row r="5359" spans="1:4" ht="16.149999999999999" customHeight="1" x14ac:dyDescent="0.25">
      <c r="A5359" s="431">
        <v>38919</v>
      </c>
      <c r="B5359" s="432">
        <v>2521.1799999999998</v>
      </c>
      <c r="C5359" s="427">
        <f t="shared" si="166"/>
        <v>2006</v>
      </c>
      <c r="D5359" s="433">
        <f t="shared" si="167"/>
        <v>2521.1799999999998</v>
      </c>
    </row>
    <row r="5360" spans="1:4" ht="16.149999999999999" customHeight="1" x14ac:dyDescent="0.25">
      <c r="A5360" s="431">
        <v>38920</v>
      </c>
      <c r="B5360" s="434">
        <v>2470.3200000000002</v>
      </c>
      <c r="C5360" s="427">
        <f t="shared" si="166"/>
        <v>2006</v>
      </c>
      <c r="D5360" s="433">
        <f t="shared" si="167"/>
        <v>2470.3200000000002</v>
      </c>
    </row>
    <row r="5361" spans="1:4" ht="16.149999999999999" customHeight="1" x14ac:dyDescent="0.25">
      <c r="A5361" s="431">
        <v>38921</v>
      </c>
      <c r="B5361" s="432">
        <v>2470.3200000000002</v>
      </c>
      <c r="C5361" s="427">
        <f t="shared" si="166"/>
        <v>2006</v>
      </c>
      <c r="D5361" s="433">
        <f t="shared" si="167"/>
        <v>2470.3200000000002</v>
      </c>
    </row>
    <row r="5362" spans="1:4" ht="16.149999999999999" customHeight="1" x14ac:dyDescent="0.25">
      <c r="A5362" s="431">
        <v>38922</v>
      </c>
      <c r="B5362" s="434">
        <v>2470.3200000000002</v>
      </c>
      <c r="C5362" s="427">
        <f t="shared" si="166"/>
        <v>2006</v>
      </c>
      <c r="D5362" s="433">
        <f t="shared" si="167"/>
        <v>2470.3200000000002</v>
      </c>
    </row>
    <row r="5363" spans="1:4" ht="16.149999999999999" customHeight="1" x14ac:dyDescent="0.25">
      <c r="A5363" s="431">
        <v>38923</v>
      </c>
      <c r="B5363" s="432">
        <v>2450.79</v>
      </c>
      <c r="C5363" s="427">
        <f t="shared" si="166"/>
        <v>2006</v>
      </c>
      <c r="D5363" s="433">
        <f t="shared" si="167"/>
        <v>2450.79</v>
      </c>
    </row>
    <row r="5364" spans="1:4" ht="16.149999999999999" customHeight="1" x14ac:dyDescent="0.25">
      <c r="A5364" s="431">
        <v>38924</v>
      </c>
      <c r="B5364" s="434">
        <v>2458.56</v>
      </c>
      <c r="C5364" s="427">
        <f t="shared" si="166"/>
        <v>2006</v>
      </c>
      <c r="D5364" s="433">
        <f t="shared" si="167"/>
        <v>2458.56</v>
      </c>
    </row>
    <row r="5365" spans="1:4" ht="16.149999999999999" customHeight="1" x14ac:dyDescent="0.25">
      <c r="A5365" s="431">
        <v>38925</v>
      </c>
      <c r="B5365" s="432">
        <v>2466.9499999999998</v>
      </c>
      <c r="C5365" s="427">
        <f t="shared" si="166"/>
        <v>2006</v>
      </c>
      <c r="D5365" s="433">
        <f t="shared" si="167"/>
        <v>2466.9499999999998</v>
      </c>
    </row>
    <row r="5366" spans="1:4" ht="16.149999999999999" customHeight="1" x14ac:dyDescent="0.25">
      <c r="A5366" s="431">
        <v>38926</v>
      </c>
      <c r="B5366" s="434">
        <v>2443.35</v>
      </c>
      <c r="C5366" s="427">
        <f t="shared" si="166"/>
        <v>2006</v>
      </c>
      <c r="D5366" s="433">
        <f t="shared" si="167"/>
        <v>2443.35</v>
      </c>
    </row>
    <row r="5367" spans="1:4" ht="16.149999999999999" customHeight="1" x14ac:dyDescent="0.25">
      <c r="A5367" s="431">
        <v>38927</v>
      </c>
      <c r="B5367" s="432">
        <v>2426</v>
      </c>
      <c r="C5367" s="427">
        <f t="shared" si="166"/>
        <v>2006</v>
      </c>
      <c r="D5367" s="433">
        <f t="shared" si="167"/>
        <v>2426</v>
      </c>
    </row>
    <row r="5368" spans="1:4" ht="16.149999999999999" customHeight="1" x14ac:dyDescent="0.25">
      <c r="A5368" s="431">
        <v>38928</v>
      </c>
      <c r="B5368" s="434">
        <v>2426</v>
      </c>
      <c r="C5368" s="427">
        <f t="shared" si="166"/>
        <v>2006</v>
      </c>
      <c r="D5368" s="433">
        <f t="shared" si="167"/>
        <v>2426</v>
      </c>
    </row>
    <row r="5369" spans="1:4" ht="16.149999999999999" customHeight="1" x14ac:dyDescent="0.25">
      <c r="A5369" s="431">
        <v>38929</v>
      </c>
      <c r="B5369" s="432">
        <v>2426</v>
      </c>
      <c r="C5369" s="427">
        <f t="shared" si="166"/>
        <v>2006</v>
      </c>
      <c r="D5369" s="433">
        <f t="shared" si="167"/>
        <v>2426</v>
      </c>
    </row>
    <row r="5370" spans="1:4" ht="16.149999999999999" customHeight="1" x14ac:dyDescent="0.25">
      <c r="A5370" s="431">
        <v>38930</v>
      </c>
      <c r="B5370" s="434">
        <v>2426.52</v>
      </c>
      <c r="C5370" s="427">
        <f t="shared" si="166"/>
        <v>2006</v>
      </c>
      <c r="D5370" s="433">
        <f t="shared" si="167"/>
        <v>2426.52</v>
      </c>
    </row>
    <row r="5371" spans="1:4" ht="16.149999999999999" customHeight="1" x14ac:dyDescent="0.25">
      <c r="A5371" s="431">
        <v>38931</v>
      </c>
      <c r="B5371" s="432">
        <v>2436.4299999999998</v>
      </c>
      <c r="C5371" s="427">
        <f t="shared" si="166"/>
        <v>2006</v>
      </c>
      <c r="D5371" s="433">
        <f t="shared" si="167"/>
        <v>2436.4299999999998</v>
      </c>
    </row>
    <row r="5372" spans="1:4" ht="16.149999999999999" customHeight="1" x14ac:dyDescent="0.25">
      <c r="A5372" s="431">
        <v>38932</v>
      </c>
      <c r="B5372" s="434">
        <v>2429.2399999999998</v>
      </c>
      <c r="C5372" s="427">
        <f t="shared" si="166"/>
        <v>2006</v>
      </c>
      <c r="D5372" s="433">
        <f t="shared" si="167"/>
        <v>2429.2399999999998</v>
      </c>
    </row>
    <row r="5373" spans="1:4" ht="16.149999999999999" customHeight="1" x14ac:dyDescent="0.25">
      <c r="A5373" s="431">
        <v>38933</v>
      </c>
      <c r="B5373" s="432">
        <v>2415.5100000000002</v>
      </c>
      <c r="C5373" s="427">
        <f t="shared" si="166"/>
        <v>2006</v>
      </c>
      <c r="D5373" s="433">
        <f t="shared" si="167"/>
        <v>2415.5100000000002</v>
      </c>
    </row>
    <row r="5374" spans="1:4" ht="16.149999999999999" customHeight="1" x14ac:dyDescent="0.25">
      <c r="A5374" s="431">
        <v>38934</v>
      </c>
      <c r="B5374" s="434">
        <v>2389.87</v>
      </c>
      <c r="C5374" s="427">
        <f t="shared" si="166"/>
        <v>2006</v>
      </c>
      <c r="D5374" s="433">
        <f t="shared" si="167"/>
        <v>2389.87</v>
      </c>
    </row>
    <row r="5375" spans="1:4" ht="16.149999999999999" customHeight="1" x14ac:dyDescent="0.25">
      <c r="A5375" s="431">
        <v>38935</v>
      </c>
      <c r="B5375" s="432">
        <v>2389.87</v>
      </c>
      <c r="C5375" s="427">
        <f t="shared" si="166"/>
        <v>2006</v>
      </c>
      <c r="D5375" s="433">
        <f t="shared" si="167"/>
        <v>2389.87</v>
      </c>
    </row>
    <row r="5376" spans="1:4" ht="16.149999999999999" customHeight="1" x14ac:dyDescent="0.25">
      <c r="A5376" s="431">
        <v>38936</v>
      </c>
      <c r="B5376" s="434">
        <v>2389.87</v>
      </c>
      <c r="C5376" s="427">
        <f t="shared" si="166"/>
        <v>2006</v>
      </c>
      <c r="D5376" s="433">
        <f t="shared" si="167"/>
        <v>2389.87</v>
      </c>
    </row>
    <row r="5377" spans="1:4" ht="16.149999999999999" customHeight="1" x14ac:dyDescent="0.25">
      <c r="A5377" s="431">
        <v>38937</v>
      </c>
      <c r="B5377" s="432">
        <v>2389.87</v>
      </c>
      <c r="C5377" s="427">
        <f t="shared" si="166"/>
        <v>2006</v>
      </c>
      <c r="D5377" s="433">
        <f t="shared" si="167"/>
        <v>2389.87</v>
      </c>
    </row>
    <row r="5378" spans="1:4" ht="16.149999999999999" customHeight="1" x14ac:dyDescent="0.25">
      <c r="A5378" s="431">
        <v>38938</v>
      </c>
      <c r="B5378" s="434">
        <v>2388.13</v>
      </c>
      <c r="C5378" s="427">
        <f t="shared" si="166"/>
        <v>2006</v>
      </c>
      <c r="D5378" s="433">
        <f t="shared" si="167"/>
        <v>2388.13</v>
      </c>
    </row>
    <row r="5379" spans="1:4" ht="16.149999999999999" customHeight="1" x14ac:dyDescent="0.25">
      <c r="A5379" s="431">
        <v>38939</v>
      </c>
      <c r="B5379" s="432">
        <v>2363.8200000000002</v>
      </c>
      <c r="C5379" s="427">
        <f t="shared" si="166"/>
        <v>2006</v>
      </c>
      <c r="D5379" s="433">
        <f t="shared" si="167"/>
        <v>2363.8200000000002</v>
      </c>
    </row>
    <row r="5380" spans="1:4" ht="16.149999999999999" customHeight="1" x14ac:dyDescent="0.25">
      <c r="A5380" s="431">
        <v>38940</v>
      </c>
      <c r="B5380" s="434">
        <v>2363.56</v>
      </c>
      <c r="C5380" s="427">
        <f t="shared" si="166"/>
        <v>2006</v>
      </c>
      <c r="D5380" s="433">
        <f t="shared" si="167"/>
        <v>2363.56</v>
      </c>
    </row>
    <row r="5381" spans="1:4" ht="16.149999999999999" customHeight="1" x14ac:dyDescent="0.25">
      <c r="A5381" s="431">
        <v>38941</v>
      </c>
      <c r="B5381" s="432">
        <v>2371.77</v>
      </c>
      <c r="C5381" s="427">
        <f t="shared" si="166"/>
        <v>2006</v>
      </c>
      <c r="D5381" s="433">
        <f t="shared" si="167"/>
        <v>2371.77</v>
      </c>
    </row>
    <row r="5382" spans="1:4" ht="16.149999999999999" customHeight="1" x14ac:dyDescent="0.25">
      <c r="A5382" s="431">
        <v>38942</v>
      </c>
      <c r="B5382" s="434">
        <v>2371.77</v>
      </c>
      <c r="C5382" s="427">
        <f t="shared" si="166"/>
        <v>2006</v>
      </c>
      <c r="D5382" s="433">
        <f t="shared" si="167"/>
        <v>2371.77</v>
      </c>
    </row>
    <row r="5383" spans="1:4" ht="16.149999999999999" customHeight="1" x14ac:dyDescent="0.25">
      <c r="A5383" s="431">
        <v>38943</v>
      </c>
      <c r="B5383" s="432">
        <v>2371.77</v>
      </c>
      <c r="C5383" s="427">
        <f t="shared" si="166"/>
        <v>2006</v>
      </c>
      <c r="D5383" s="433">
        <f t="shared" si="167"/>
        <v>2371.77</v>
      </c>
    </row>
    <row r="5384" spans="1:4" ht="16.149999999999999" customHeight="1" x14ac:dyDescent="0.25">
      <c r="A5384" s="431">
        <v>38944</v>
      </c>
      <c r="B5384" s="434">
        <v>2372.9499999999998</v>
      </c>
      <c r="C5384" s="427">
        <f t="shared" si="166"/>
        <v>2006</v>
      </c>
      <c r="D5384" s="433">
        <f t="shared" si="167"/>
        <v>2372.9499999999998</v>
      </c>
    </row>
    <row r="5385" spans="1:4" ht="16.149999999999999" customHeight="1" x14ac:dyDescent="0.25">
      <c r="A5385" s="431">
        <v>38945</v>
      </c>
      <c r="B5385" s="432">
        <v>2362.2800000000002</v>
      </c>
      <c r="C5385" s="427">
        <f t="shared" si="166"/>
        <v>2006</v>
      </c>
      <c r="D5385" s="433">
        <f t="shared" si="167"/>
        <v>2362.2800000000002</v>
      </c>
    </row>
    <row r="5386" spans="1:4" ht="16.149999999999999" customHeight="1" x14ac:dyDescent="0.25">
      <c r="A5386" s="431">
        <v>38946</v>
      </c>
      <c r="B5386" s="434">
        <v>2356.4899999999998</v>
      </c>
      <c r="C5386" s="427">
        <f t="shared" ref="C5386:C5449" si="168">YEAR(A5386)</f>
        <v>2006</v>
      </c>
      <c r="D5386" s="433">
        <f t="shared" ref="D5386:D5449" si="169">B5386</f>
        <v>2356.4899999999998</v>
      </c>
    </row>
    <row r="5387" spans="1:4" ht="16.149999999999999" customHeight="1" x14ac:dyDescent="0.25">
      <c r="A5387" s="431">
        <v>38947</v>
      </c>
      <c r="B5387" s="432">
        <v>2366.36</v>
      </c>
      <c r="C5387" s="427">
        <f t="shared" si="168"/>
        <v>2006</v>
      </c>
      <c r="D5387" s="433">
        <f t="shared" si="169"/>
        <v>2366.36</v>
      </c>
    </row>
    <row r="5388" spans="1:4" ht="16.149999999999999" customHeight="1" x14ac:dyDescent="0.25">
      <c r="A5388" s="431">
        <v>38948</v>
      </c>
      <c r="B5388" s="434">
        <v>2370.4899999999998</v>
      </c>
      <c r="C5388" s="427">
        <f t="shared" si="168"/>
        <v>2006</v>
      </c>
      <c r="D5388" s="433">
        <f t="shared" si="169"/>
        <v>2370.4899999999998</v>
      </c>
    </row>
    <row r="5389" spans="1:4" ht="16.149999999999999" customHeight="1" x14ac:dyDescent="0.25">
      <c r="A5389" s="431">
        <v>38949</v>
      </c>
      <c r="B5389" s="432">
        <v>2370.4899999999998</v>
      </c>
      <c r="C5389" s="427">
        <f t="shared" si="168"/>
        <v>2006</v>
      </c>
      <c r="D5389" s="433">
        <f t="shared" si="169"/>
        <v>2370.4899999999998</v>
      </c>
    </row>
    <row r="5390" spans="1:4" ht="16.149999999999999" customHeight="1" x14ac:dyDescent="0.25">
      <c r="A5390" s="431">
        <v>38950</v>
      </c>
      <c r="B5390" s="434">
        <v>2370.4899999999998</v>
      </c>
      <c r="C5390" s="427">
        <f t="shared" si="168"/>
        <v>2006</v>
      </c>
      <c r="D5390" s="433">
        <f t="shared" si="169"/>
        <v>2370.4899999999998</v>
      </c>
    </row>
    <row r="5391" spans="1:4" ht="16.149999999999999" customHeight="1" x14ac:dyDescent="0.25">
      <c r="A5391" s="431">
        <v>38951</v>
      </c>
      <c r="B5391" s="432">
        <v>2370.4899999999998</v>
      </c>
      <c r="C5391" s="427">
        <f t="shared" si="168"/>
        <v>2006</v>
      </c>
      <c r="D5391" s="433">
        <f t="shared" si="169"/>
        <v>2370.4899999999998</v>
      </c>
    </row>
    <row r="5392" spans="1:4" ht="16.149999999999999" customHeight="1" x14ac:dyDescent="0.25">
      <c r="A5392" s="431">
        <v>38952</v>
      </c>
      <c r="B5392" s="434">
        <v>2362.67</v>
      </c>
      <c r="C5392" s="427">
        <f t="shared" si="168"/>
        <v>2006</v>
      </c>
      <c r="D5392" s="433">
        <f t="shared" si="169"/>
        <v>2362.67</v>
      </c>
    </row>
    <row r="5393" spans="1:4" ht="16.149999999999999" customHeight="1" x14ac:dyDescent="0.25">
      <c r="A5393" s="431">
        <v>38953</v>
      </c>
      <c r="B5393" s="432">
        <v>2374.59</v>
      </c>
      <c r="C5393" s="427">
        <f t="shared" si="168"/>
        <v>2006</v>
      </c>
      <c r="D5393" s="433">
        <f t="shared" si="169"/>
        <v>2374.59</v>
      </c>
    </row>
    <row r="5394" spans="1:4" ht="16.149999999999999" customHeight="1" x14ac:dyDescent="0.25">
      <c r="A5394" s="431">
        <v>38954</v>
      </c>
      <c r="B5394" s="434">
        <v>2398</v>
      </c>
      <c r="C5394" s="427">
        <f t="shared" si="168"/>
        <v>2006</v>
      </c>
      <c r="D5394" s="433">
        <f t="shared" si="169"/>
        <v>2398</v>
      </c>
    </row>
    <row r="5395" spans="1:4" ht="16.149999999999999" customHeight="1" x14ac:dyDescent="0.25">
      <c r="A5395" s="431">
        <v>38955</v>
      </c>
      <c r="B5395" s="432">
        <v>2425.65</v>
      </c>
      <c r="C5395" s="427">
        <f t="shared" si="168"/>
        <v>2006</v>
      </c>
      <c r="D5395" s="433">
        <f t="shared" si="169"/>
        <v>2425.65</v>
      </c>
    </row>
    <row r="5396" spans="1:4" ht="16.149999999999999" customHeight="1" x14ac:dyDescent="0.25">
      <c r="A5396" s="431">
        <v>38956</v>
      </c>
      <c r="B5396" s="434">
        <v>2425.65</v>
      </c>
      <c r="C5396" s="427">
        <f t="shared" si="168"/>
        <v>2006</v>
      </c>
      <c r="D5396" s="433">
        <f t="shared" si="169"/>
        <v>2425.65</v>
      </c>
    </row>
    <row r="5397" spans="1:4" ht="16.149999999999999" customHeight="1" x14ac:dyDescent="0.25">
      <c r="A5397" s="431">
        <v>38957</v>
      </c>
      <c r="B5397" s="432">
        <v>2425.65</v>
      </c>
      <c r="C5397" s="427">
        <f t="shared" si="168"/>
        <v>2006</v>
      </c>
      <c r="D5397" s="433">
        <f t="shared" si="169"/>
        <v>2425.65</v>
      </c>
    </row>
    <row r="5398" spans="1:4" ht="16.149999999999999" customHeight="1" x14ac:dyDescent="0.25">
      <c r="A5398" s="431">
        <v>38958</v>
      </c>
      <c r="B5398" s="434">
        <v>2409.54</v>
      </c>
      <c r="C5398" s="427">
        <f t="shared" si="168"/>
        <v>2006</v>
      </c>
      <c r="D5398" s="433">
        <f t="shared" si="169"/>
        <v>2409.54</v>
      </c>
    </row>
    <row r="5399" spans="1:4" ht="16.149999999999999" customHeight="1" x14ac:dyDescent="0.25">
      <c r="A5399" s="431">
        <v>38959</v>
      </c>
      <c r="B5399" s="432">
        <v>2402.0700000000002</v>
      </c>
      <c r="C5399" s="427">
        <f t="shared" si="168"/>
        <v>2006</v>
      </c>
      <c r="D5399" s="433">
        <f t="shared" si="169"/>
        <v>2402.0700000000002</v>
      </c>
    </row>
    <row r="5400" spans="1:4" ht="16.149999999999999" customHeight="1" x14ac:dyDescent="0.25">
      <c r="A5400" s="431">
        <v>38960</v>
      </c>
      <c r="B5400" s="434">
        <v>2396.63</v>
      </c>
      <c r="C5400" s="427">
        <f t="shared" si="168"/>
        <v>2006</v>
      </c>
      <c r="D5400" s="433">
        <f t="shared" si="169"/>
        <v>2396.63</v>
      </c>
    </row>
    <row r="5401" spans="1:4" ht="16.149999999999999" customHeight="1" x14ac:dyDescent="0.25">
      <c r="A5401" s="431">
        <v>38961</v>
      </c>
      <c r="B5401" s="432">
        <v>2398.56</v>
      </c>
      <c r="C5401" s="427">
        <f t="shared" si="168"/>
        <v>2006</v>
      </c>
      <c r="D5401" s="433">
        <f t="shared" si="169"/>
        <v>2398.56</v>
      </c>
    </row>
    <row r="5402" spans="1:4" ht="16.149999999999999" customHeight="1" x14ac:dyDescent="0.25">
      <c r="A5402" s="431">
        <v>38962</v>
      </c>
      <c r="B5402" s="434">
        <v>2398.83</v>
      </c>
      <c r="C5402" s="427">
        <f t="shared" si="168"/>
        <v>2006</v>
      </c>
      <c r="D5402" s="433">
        <f t="shared" si="169"/>
        <v>2398.83</v>
      </c>
    </row>
    <row r="5403" spans="1:4" ht="16.149999999999999" customHeight="1" x14ac:dyDescent="0.25">
      <c r="A5403" s="431">
        <v>38963</v>
      </c>
      <c r="B5403" s="432">
        <v>2398.83</v>
      </c>
      <c r="C5403" s="427">
        <f t="shared" si="168"/>
        <v>2006</v>
      </c>
      <c r="D5403" s="433">
        <f t="shared" si="169"/>
        <v>2398.83</v>
      </c>
    </row>
    <row r="5404" spans="1:4" ht="16.149999999999999" customHeight="1" x14ac:dyDescent="0.25">
      <c r="A5404" s="431">
        <v>38964</v>
      </c>
      <c r="B5404" s="434">
        <v>2398.83</v>
      </c>
      <c r="C5404" s="427">
        <f t="shared" si="168"/>
        <v>2006</v>
      </c>
      <c r="D5404" s="433">
        <f t="shared" si="169"/>
        <v>2398.83</v>
      </c>
    </row>
    <row r="5405" spans="1:4" ht="16.149999999999999" customHeight="1" x14ac:dyDescent="0.25">
      <c r="A5405" s="431">
        <v>38965</v>
      </c>
      <c r="B5405" s="432">
        <v>2398.83</v>
      </c>
      <c r="C5405" s="427">
        <f t="shared" si="168"/>
        <v>2006</v>
      </c>
      <c r="D5405" s="433">
        <f t="shared" si="169"/>
        <v>2398.83</v>
      </c>
    </row>
    <row r="5406" spans="1:4" ht="16.149999999999999" customHeight="1" x14ac:dyDescent="0.25">
      <c r="A5406" s="431">
        <v>38966</v>
      </c>
      <c r="B5406" s="434">
        <v>2377.1799999999998</v>
      </c>
      <c r="C5406" s="427">
        <f t="shared" si="168"/>
        <v>2006</v>
      </c>
      <c r="D5406" s="433">
        <f t="shared" si="169"/>
        <v>2377.1799999999998</v>
      </c>
    </row>
    <row r="5407" spans="1:4" ht="16.149999999999999" customHeight="1" x14ac:dyDescent="0.25">
      <c r="A5407" s="431">
        <v>38967</v>
      </c>
      <c r="B5407" s="432">
        <v>2381.46</v>
      </c>
      <c r="C5407" s="427">
        <f t="shared" si="168"/>
        <v>2006</v>
      </c>
      <c r="D5407" s="433">
        <f t="shared" si="169"/>
        <v>2381.46</v>
      </c>
    </row>
    <row r="5408" spans="1:4" ht="16.149999999999999" customHeight="1" x14ac:dyDescent="0.25">
      <c r="A5408" s="431">
        <v>38968</v>
      </c>
      <c r="B5408" s="434">
        <v>2387.31</v>
      </c>
      <c r="C5408" s="427">
        <f t="shared" si="168"/>
        <v>2006</v>
      </c>
      <c r="D5408" s="433">
        <f t="shared" si="169"/>
        <v>2387.31</v>
      </c>
    </row>
    <row r="5409" spans="1:4" ht="16.149999999999999" customHeight="1" x14ac:dyDescent="0.25">
      <c r="A5409" s="431">
        <v>38969</v>
      </c>
      <c r="B5409" s="432">
        <v>2388.54</v>
      </c>
      <c r="C5409" s="427">
        <f t="shared" si="168"/>
        <v>2006</v>
      </c>
      <c r="D5409" s="433">
        <f t="shared" si="169"/>
        <v>2388.54</v>
      </c>
    </row>
    <row r="5410" spans="1:4" ht="16.149999999999999" customHeight="1" x14ac:dyDescent="0.25">
      <c r="A5410" s="431">
        <v>38970</v>
      </c>
      <c r="B5410" s="434">
        <v>2388.54</v>
      </c>
      <c r="C5410" s="427">
        <f t="shared" si="168"/>
        <v>2006</v>
      </c>
      <c r="D5410" s="433">
        <f t="shared" si="169"/>
        <v>2388.54</v>
      </c>
    </row>
    <row r="5411" spans="1:4" ht="16.149999999999999" customHeight="1" x14ac:dyDescent="0.25">
      <c r="A5411" s="431">
        <v>38971</v>
      </c>
      <c r="B5411" s="432">
        <v>2388.54</v>
      </c>
      <c r="C5411" s="427">
        <f t="shared" si="168"/>
        <v>2006</v>
      </c>
      <c r="D5411" s="433">
        <f t="shared" si="169"/>
        <v>2388.54</v>
      </c>
    </row>
    <row r="5412" spans="1:4" ht="16.149999999999999" customHeight="1" x14ac:dyDescent="0.25">
      <c r="A5412" s="431">
        <v>38972</v>
      </c>
      <c r="B5412" s="434">
        <v>2409.9299999999998</v>
      </c>
      <c r="C5412" s="427">
        <f t="shared" si="168"/>
        <v>2006</v>
      </c>
      <c r="D5412" s="433">
        <f t="shared" si="169"/>
        <v>2409.9299999999998</v>
      </c>
    </row>
    <row r="5413" spans="1:4" ht="16.149999999999999" customHeight="1" x14ac:dyDescent="0.25">
      <c r="A5413" s="431">
        <v>38973</v>
      </c>
      <c r="B5413" s="432">
        <v>2406.89</v>
      </c>
      <c r="C5413" s="427">
        <f t="shared" si="168"/>
        <v>2006</v>
      </c>
      <c r="D5413" s="433">
        <f t="shared" si="169"/>
        <v>2406.89</v>
      </c>
    </row>
    <row r="5414" spans="1:4" ht="16.149999999999999" customHeight="1" x14ac:dyDescent="0.25">
      <c r="A5414" s="431">
        <v>38974</v>
      </c>
      <c r="B5414" s="434">
        <v>2399.92</v>
      </c>
      <c r="C5414" s="427">
        <f t="shared" si="168"/>
        <v>2006</v>
      </c>
      <c r="D5414" s="433">
        <f t="shared" si="169"/>
        <v>2399.92</v>
      </c>
    </row>
    <row r="5415" spans="1:4" ht="16.149999999999999" customHeight="1" x14ac:dyDescent="0.25">
      <c r="A5415" s="431">
        <v>38975</v>
      </c>
      <c r="B5415" s="432">
        <v>2392.81</v>
      </c>
      <c r="C5415" s="427">
        <f t="shared" si="168"/>
        <v>2006</v>
      </c>
      <c r="D5415" s="433">
        <f t="shared" si="169"/>
        <v>2392.81</v>
      </c>
    </row>
    <row r="5416" spans="1:4" ht="16.149999999999999" customHeight="1" x14ac:dyDescent="0.25">
      <c r="A5416" s="431">
        <v>38976</v>
      </c>
      <c r="B5416" s="434">
        <v>2390.66</v>
      </c>
      <c r="C5416" s="427">
        <f t="shared" si="168"/>
        <v>2006</v>
      </c>
      <c r="D5416" s="433">
        <f t="shared" si="169"/>
        <v>2390.66</v>
      </c>
    </row>
    <row r="5417" spans="1:4" ht="16.149999999999999" customHeight="1" x14ac:dyDescent="0.25">
      <c r="A5417" s="431">
        <v>38977</v>
      </c>
      <c r="B5417" s="432">
        <v>2390.66</v>
      </c>
      <c r="C5417" s="427">
        <f t="shared" si="168"/>
        <v>2006</v>
      </c>
      <c r="D5417" s="433">
        <f t="shared" si="169"/>
        <v>2390.66</v>
      </c>
    </row>
    <row r="5418" spans="1:4" ht="16.149999999999999" customHeight="1" x14ac:dyDescent="0.25">
      <c r="A5418" s="431">
        <v>38978</v>
      </c>
      <c r="B5418" s="434">
        <v>2390.66</v>
      </c>
      <c r="C5418" s="427">
        <f t="shared" si="168"/>
        <v>2006</v>
      </c>
      <c r="D5418" s="433">
        <f t="shared" si="169"/>
        <v>2390.66</v>
      </c>
    </row>
    <row r="5419" spans="1:4" ht="16.149999999999999" customHeight="1" x14ac:dyDescent="0.25">
      <c r="A5419" s="431">
        <v>38979</v>
      </c>
      <c r="B5419" s="432">
        <v>2395.4299999999998</v>
      </c>
      <c r="C5419" s="427">
        <f t="shared" si="168"/>
        <v>2006</v>
      </c>
      <c r="D5419" s="433">
        <f t="shared" si="169"/>
        <v>2395.4299999999998</v>
      </c>
    </row>
    <row r="5420" spans="1:4" ht="16.149999999999999" customHeight="1" x14ac:dyDescent="0.25">
      <c r="A5420" s="431">
        <v>38980</v>
      </c>
      <c r="B5420" s="434">
        <v>2396.41</v>
      </c>
      <c r="C5420" s="427">
        <f t="shared" si="168"/>
        <v>2006</v>
      </c>
      <c r="D5420" s="433">
        <f t="shared" si="169"/>
        <v>2396.41</v>
      </c>
    </row>
    <row r="5421" spans="1:4" ht="16.149999999999999" customHeight="1" x14ac:dyDescent="0.25">
      <c r="A5421" s="431">
        <v>38981</v>
      </c>
      <c r="B5421" s="432">
        <v>2399.46</v>
      </c>
      <c r="C5421" s="427">
        <f t="shared" si="168"/>
        <v>2006</v>
      </c>
      <c r="D5421" s="433">
        <f t="shared" si="169"/>
        <v>2399.46</v>
      </c>
    </row>
    <row r="5422" spans="1:4" ht="16.149999999999999" customHeight="1" x14ac:dyDescent="0.25">
      <c r="A5422" s="431">
        <v>38982</v>
      </c>
      <c r="B5422" s="434">
        <v>2408.62</v>
      </c>
      <c r="C5422" s="427">
        <f t="shared" si="168"/>
        <v>2006</v>
      </c>
      <c r="D5422" s="433">
        <f t="shared" si="169"/>
        <v>2408.62</v>
      </c>
    </row>
    <row r="5423" spans="1:4" ht="16.149999999999999" customHeight="1" x14ac:dyDescent="0.25">
      <c r="A5423" s="431">
        <v>38983</v>
      </c>
      <c r="B5423" s="432">
        <v>2417.23</v>
      </c>
      <c r="C5423" s="427">
        <f t="shared" si="168"/>
        <v>2006</v>
      </c>
      <c r="D5423" s="433">
        <f t="shared" si="169"/>
        <v>2417.23</v>
      </c>
    </row>
    <row r="5424" spans="1:4" ht="16.149999999999999" customHeight="1" x14ac:dyDescent="0.25">
      <c r="A5424" s="431">
        <v>38984</v>
      </c>
      <c r="B5424" s="434">
        <v>2417.23</v>
      </c>
      <c r="C5424" s="427">
        <f t="shared" si="168"/>
        <v>2006</v>
      </c>
      <c r="D5424" s="433">
        <f t="shared" si="169"/>
        <v>2417.23</v>
      </c>
    </row>
    <row r="5425" spans="1:4" ht="16.149999999999999" customHeight="1" x14ac:dyDescent="0.25">
      <c r="A5425" s="431">
        <v>38985</v>
      </c>
      <c r="B5425" s="432">
        <v>2417.23</v>
      </c>
      <c r="C5425" s="427">
        <f t="shared" si="168"/>
        <v>2006</v>
      </c>
      <c r="D5425" s="433">
        <f t="shared" si="169"/>
        <v>2417.23</v>
      </c>
    </row>
    <row r="5426" spans="1:4" ht="16.149999999999999" customHeight="1" x14ac:dyDescent="0.25">
      <c r="A5426" s="431">
        <v>38986</v>
      </c>
      <c r="B5426" s="434">
        <v>2420.25</v>
      </c>
      <c r="C5426" s="427">
        <f t="shared" si="168"/>
        <v>2006</v>
      </c>
      <c r="D5426" s="433">
        <f t="shared" si="169"/>
        <v>2420.25</v>
      </c>
    </row>
    <row r="5427" spans="1:4" ht="16.149999999999999" customHeight="1" x14ac:dyDescent="0.25">
      <c r="A5427" s="431">
        <v>38987</v>
      </c>
      <c r="B5427" s="432">
        <v>2411.6799999999998</v>
      </c>
      <c r="C5427" s="427">
        <f t="shared" si="168"/>
        <v>2006</v>
      </c>
      <c r="D5427" s="433">
        <f t="shared" si="169"/>
        <v>2411.6799999999998</v>
      </c>
    </row>
    <row r="5428" spans="1:4" ht="16.149999999999999" customHeight="1" x14ac:dyDescent="0.25">
      <c r="A5428" s="431">
        <v>38988</v>
      </c>
      <c r="B5428" s="434">
        <v>2399.36</v>
      </c>
      <c r="C5428" s="427">
        <f t="shared" si="168"/>
        <v>2006</v>
      </c>
      <c r="D5428" s="433">
        <f t="shared" si="169"/>
        <v>2399.36</v>
      </c>
    </row>
    <row r="5429" spans="1:4" ht="16.149999999999999" customHeight="1" x14ac:dyDescent="0.25">
      <c r="A5429" s="431">
        <v>38989</v>
      </c>
      <c r="B5429" s="432">
        <v>2397.0700000000002</v>
      </c>
      <c r="C5429" s="427">
        <f t="shared" si="168"/>
        <v>2006</v>
      </c>
      <c r="D5429" s="433">
        <f t="shared" si="169"/>
        <v>2397.0700000000002</v>
      </c>
    </row>
    <row r="5430" spans="1:4" ht="16.149999999999999" customHeight="1" x14ac:dyDescent="0.25">
      <c r="A5430" s="431">
        <v>38990</v>
      </c>
      <c r="B5430" s="434">
        <v>2394.31</v>
      </c>
      <c r="C5430" s="427">
        <f t="shared" si="168"/>
        <v>2006</v>
      </c>
      <c r="D5430" s="433">
        <f t="shared" si="169"/>
        <v>2394.31</v>
      </c>
    </row>
    <row r="5431" spans="1:4" ht="16.149999999999999" customHeight="1" x14ac:dyDescent="0.25">
      <c r="A5431" s="431">
        <v>38991</v>
      </c>
      <c r="B5431" s="432">
        <v>2394.31</v>
      </c>
      <c r="C5431" s="427">
        <f t="shared" si="168"/>
        <v>2006</v>
      </c>
      <c r="D5431" s="433">
        <f t="shared" si="169"/>
        <v>2394.31</v>
      </c>
    </row>
    <row r="5432" spans="1:4" ht="16.149999999999999" customHeight="1" x14ac:dyDescent="0.25">
      <c r="A5432" s="431">
        <v>38992</v>
      </c>
      <c r="B5432" s="434">
        <v>2394.31</v>
      </c>
      <c r="C5432" s="427">
        <f t="shared" si="168"/>
        <v>2006</v>
      </c>
      <c r="D5432" s="433">
        <f t="shared" si="169"/>
        <v>2394.31</v>
      </c>
    </row>
    <row r="5433" spans="1:4" ht="16.149999999999999" customHeight="1" x14ac:dyDescent="0.25">
      <c r="A5433" s="431">
        <v>38993</v>
      </c>
      <c r="B5433" s="432">
        <v>2390.41</v>
      </c>
      <c r="C5433" s="427">
        <f t="shared" si="168"/>
        <v>2006</v>
      </c>
      <c r="D5433" s="433">
        <f t="shared" si="169"/>
        <v>2390.41</v>
      </c>
    </row>
    <row r="5434" spans="1:4" ht="16.149999999999999" customHeight="1" x14ac:dyDescent="0.25">
      <c r="A5434" s="431">
        <v>38994</v>
      </c>
      <c r="B5434" s="434">
        <v>2396.38</v>
      </c>
      <c r="C5434" s="427">
        <f t="shared" si="168"/>
        <v>2006</v>
      </c>
      <c r="D5434" s="433">
        <f t="shared" si="169"/>
        <v>2396.38</v>
      </c>
    </row>
    <row r="5435" spans="1:4" ht="16.149999999999999" customHeight="1" x14ac:dyDescent="0.25">
      <c r="A5435" s="431">
        <v>38995</v>
      </c>
      <c r="B5435" s="432">
        <v>2403.4299999999998</v>
      </c>
      <c r="C5435" s="427">
        <f t="shared" si="168"/>
        <v>2006</v>
      </c>
      <c r="D5435" s="433">
        <f t="shared" si="169"/>
        <v>2403.4299999999998</v>
      </c>
    </row>
    <row r="5436" spans="1:4" ht="16.149999999999999" customHeight="1" x14ac:dyDescent="0.25">
      <c r="A5436" s="431">
        <v>38996</v>
      </c>
      <c r="B5436" s="434">
        <v>2393.4699999999998</v>
      </c>
      <c r="C5436" s="427">
        <f t="shared" si="168"/>
        <v>2006</v>
      </c>
      <c r="D5436" s="433">
        <f t="shared" si="169"/>
        <v>2393.4699999999998</v>
      </c>
    </row>
    <row r="5437" spans="1:4" ht="16.149999999999999" customHeight="1" x14ac:dyDescent="0.25">
      <c r="A5437" s="431">
        <v>38997</v>
      </c>
      <c r="B5437" s="432">
        <v>2395.23</v>
      </c>
      <c r="C5437" s="427">
        <f t="shared" si="168"/>
        <v>2006</v>
      </c>
      <c r="D5437" s="433">
        <f t="shared" si="169"/>
        <v>2395.23</v>
      </c>
    </row>
    <row r="5438" spans="1:4" ht="16.149999999999999" customHeight="1" x14ac:dyDescent="0.25">
      <c r="A5438" s="431">
        <v>38998</v>
      </c>
      <c r="B5438" s="434">
        <v>2395.23</v>
      </c>
      <c r="C5438" s="427">
        <f t="shared" si="168"/>
        <v>2006</v>
      </c>
      <c r="D5438" s="433">
        <f t="shared" si="169"/>
        <v>2395.23</v>
      </c>
    </row>
    <row r="5439" spans="1:4" ht="16.149999999999999" customHeight="1" x14ac:dyDescent="0.25">
      <c r="A5439" s="431">
        <v>38999</v>
      </c>
      <c r="B5439" s="432">
        <v>2395.23</v>
      </c>
      <c r="C5439" s="427">
        <f t="shared" si="168"/>
        <v>2006</v>
      </c>
      <c r="D5439" s="433">
        <f t="shared" si="169"/>
        <v>2395.23</v>
      </c>
    </row>
    <row r="5440" spans="1:4" ht="16.149999999999999" customHeight="1" x14ac:dyDescent="0.25">
      <c r="A5440" s="431">
        <v>39000</v>
      </c>
      <c r="B5440" s="434">
        <v>2395.23</v>
      </c>
      <c r="C5440" s="427">
        <f t="shared" si="168"/>
        <v>2006</v>
      </c>
      <c r="D5440" s="433">
        <f t="shared" si="169"/>
        <v>2395.23</v>
      </c>
    </row>
    <row r="5441" spans="1:4" ht="16.149999999999999" customHeight="1" x14ac:dyDescent="0.25">
      <c r="A5441" s="431">
        <v>39001</v>
      </c>
      <c r="B5441" s="432">
        <v>2387.11</v>
      </c>
      <c r="C5441" s="427">
        <f t="shared" si="168"/>
        <v>2006</v>
      </c>
      <c r="D5441" s="433">
        <f t="shared" si="169"/>
        <v>2387.11</v>
      </c>
    </row>
    <row r="5442" spans="1:4" ht="16.149999999999999" customHeight="1" x14ac:dyDescent="0.25">
      <c r="A5442" s="431">
        <v>39002</v>
      </c>
      <c r="B5442" s="434">
        <v>2389.0700000000002</v>
      </c>
      <c r="C5442" s="427">
        <f t="shared" si="168"/>
        <v>2006</v>
      </c>
      <c r="D5442" s="433">
        <f t="shared" si="169"/>
        <v>2389.0700000000002</v>
      </c>
    </row>
    <row r="5443" spans="1:4" ht="16.149999999999999" customHeight="1" x14ac:dyDescent="0.25">
      <c r="A5443" s="431">
        <v>39003</v>
      </c>
      <c r="B5443" s="432">
        <v>2374.5100000000002</v>
      </c>
      <c r="C5443" s="427">
        <f t="shared" si="168"/>
        <v>2006</v>
      </c>
      <c r="D5443" s="433">
        <f t="shared" si="169"/>
        <v>2374.5100000000002</v>
      </c>
    </row>
    <row r="5444" spans="1:4" ht="16.149999999999999" customHeight="1" x14ac:dyDescent="0.25">
      <c r="A5444" s="431">
        <v>39004</v>
      </c>
      <c r="B5444" s="434">
        <v>2356.5300000000002</v>
      </c>
      <c r="C5444" s="427">
        <f t="shared" si="168"/>
        <v>2006</v>
      </c>
      <c r="D5444" s="433">
        <f t="shared" si="169"/>
        <v>2356.5300000000002</v>
      </c>
    </row>
    <row r="5445" spans="1:4" ht="16.149999999999999" customHeight="1" x14ac:dyDescent="0.25">
      <c r="A5445" s="431">
        <v>39005</v>
      </c>
      <c r="B5445" s="432">
        <v>2356.5300000000002</v>
      </c>
      <c r="C5445" s="427">
        <f t="shared" si="168"/>
        <v>2006</v>
      </c>
      <c r="D5445" s="433">
        <f t="shared" si="169"/>
        <v>2356.5300000000002</v>
      </c>
    </row>
    <row r="5446" spans="1:4" ht="16.149999999999999" customHeight="1" x14ac:dyDescent="0.25">
      <c r="A5446" s="431">
        <v>39006</v>
      </c>
      <c r="B5446" s="434">
        <v>2356.5300000000002</v>
      </c>
      <c r="C5446" s="427">
        <f t="shared" si="168"/>
        <v>2006</v>
      </c>
      <c r="D5446" s="433">
        <f t="shared" si="169"/>
        <v>2356.5300000000002</v>
      </c>
    </row>
    <row r="5447" spans="1:4" ht="16.149999999999999" customHeight="1" x14ac:dyDescent="0.25">
      <c r="A5447" s="431">
        <v>39007</v>
      </c>
      <c r="B5447" s="432">
        <v>2356.5300000000002</v>
      </c>
      <c r="C5447" s="427">
        <f t="shared" si="168"/>
        <v>2006</v>
      </c>
      <c r="D5447" s="433">
        <f t="shared" si="169"/>
        <v>2356.5300000000002</v>
      </c>
    </row>
    <row r="5448" spans="1:4" ht="16.149999999999999" customHeight="1" x14ac:dyDescent="0.25">
      <c r="A5448" s="431">
        <v>39008</v>
      </c>
      <c r="B5448" s="434">
        <v>2359.41</v>
      </c>
      <c r="C5448" s="427">
        <f t="shared" si="168"/>
        <v>2006</v>
      </c>
      <c r="D5448" s="433">
        <f t="shared" si="169"/>
        <v>2359.41</v>
      </c>
    </row>
    <row r="5449" spans="1:4" ht="16.149999999999999" customHeight="1" x14ac:dyDescent="0.25">
      <c r="A5449" s="431">
        <v>39009</v>
      </c>
      <c r="B5449" s="432">
        <v>2348.4299999999998</v>
      </c>
      <c r="C5449" s="427">
        <f t="shared" si="168"/>
        <v>2006</v>
      </c>
      <c r="D5449" s="433">
        <f t="shared" si="169"/>
        <v>2348.4299999999998</v>
      </c>
    </row>
    <row r="5450" spans="1:4" ht="16.149999999999999" customHeight="1" x14ac:dyDescent="0.25">
      <c r="A5450" s="431">
        <v>39010</v>
      </c>
      <c r="B5450" s="434">
        <v>2345.4899999999998</v>
      </c>
      <c r="C5450" s="427">
        <f t="shared" ref="C5450:C5513" si="170">YEAR(A5450)</f>
        <v>2006</v>
      </c>
      <c r="D5450" s="433">
        <f t="shared" ref="D5450:D5513" si="171">B5450</f>
        <v>2345.4899999999998</v>
      </c>
    </row>
    <row r="5451" spans="1:4" ht="16.149999999999999" customHeight="1" x14ac:dyDescent="0.25">
      <c r="A5451" s="431">
        <v>39011</v>
      </c>
      <c r="B5451" s="432">
        <v>2340.89</v>
      </c>
      <c r="C5451" s="427">
        <f t="shared" si="170"/>
        <v>2006</v>
      </c>
      <c r="D5451" s="433">
        <f t="shared" si="171"/>
        <v>2340.89</v>
      </c>
    </row>
    <row r="5452" spans="1:4" ht="16.149999999999999" customHeight="1" x14ac:dyDescent="0.25">
      <c r="A5452" s="431">
        <v>39012</v>
      </c>
      <c r="B5452" s="434">
        <v>2340.89</v>
      </c>
      <c r="C5452" s="427">
        <f t="shared" si="170"/>
        <v>2006</v>
      </c>
      <c r="D5452" s="433">
        <f t="shared" si="171"/>
        <v>2340.89</v>
      </c>
    </row>
    <row r="5453" spans="1:4" ht="16.149999999999999" customHeight="1" x14ac:dyDescent="0.25">
      <c r="A5453" s="431">
        <v>39013</v>
      </c>
      <c r="B5453" s="432">
        <v>2340.89</v>
      </c>
      <c r="C5453" s="427">
        <f t="shared" si="170"/>
        <v>2006</v>
      </c>
      <c r="D5453" s="433">
        <f t="shared" si="171"/>
        <v>2340.89</v>
      </c>
    </row>
    <row r="5454" spans="1:4" ht="16.149999999999999" customHeight="1" x14ac:dyDescent="0.25">
      <c r="A5454" s="431">
        <v>39014</v>
      </c>
      <c r="B5454" s="434">
        <v>2341.5100000000002</v>
      </c>
      <c r="C5454" s="427">
        <f t="shared" si="170"/>
        <v>2006</v>
      </c>
      <c r="D5454" s="433">
        <f t="shared" si="171"/>
        <v>2341.5100000000002</v>
      </c>
    </row>
    <row r="5455" spans="1:4" ht="16.149999999999999" customHeight="1" x14ac:dyDescent="0.25">
      <c r="A5455" s="431">
        <v>39015</v>
      </c>
      <c r="B5455" s="432">
        <v>2341.33</v>
      </c>
      <c r="C5455" s="427">
        <f t="shared" si="170"/>
        <v>2006</v>
      </c>
      <c r="D5455" s="433">
        <f t="shared" si="171"/>
        <v>2341.33</v>
      </c>
    </row>
    <row r="5456" spans="1:4" ht="16.149999999999999" customHeight="1" x14ac:dyDescent="0.25">
      <c r="A5456" s="431">
        <v>39016</v>
      </c>
      <c r="B5456" s="434">
        <v>2339.92</v>
      </c>
      <c r="C5456" s="427">
        <f t="shared" si="170"/>
        <v>2006</v>
      </c>
      <c r="D5456" s="433">
        <f t="shared" si="171"/>
        <v>2339.92</v>
      </c>
    </row>
    <row r="5457" spans="1:4" ht="16.149999999999999" customHeight="1" x14ac:dyDescent="0.25">
      <c r="A5457" s="431">
        <v>39017</v>
      </c>
      <c r="B5457" s="432">
        <v>2327.23</v>
      </c>
      <c r="C5457" s="427">
        <f t="shared" si="170"/>
        <v>2006</v>
      </c>
      <c r="D5457" s="433">
        <f t="shared" si="171"/>
        <v>2327.23</v>
      </c>
    </row>
    <row r="5458" spans="1:4" ht="16.149999999999999" customHeight="1" x14ac:dyDescent="0.25">
      <c r="A5458" s="431">
        <v>39018</v>
      </c>
      <c r="B5458" s="434">
        <v>2314.7600000000002</v>
      </c>
      <c r="C5458" s="427">
        <f t="shared" si="170"/>
        <v>2006</v>
      </c>
      <c r="D5458" s="433">
        <f t="shared" si="171"/>
        <v>2314.7600000000002</v>
      </c>
    </row>
    <row r="5459" spans="1:4" ht="16.149999999999999" customHeight="1" x14ac:dyDescent="0.25">
      <c r="A5459" s="431">
        <v>39019</v>
      </c>
      <c r="B5459" s="432">
        <v>2314.7600000000002</v>
      </c>
      <c r="C5459" s="427">
        <f t="shared" si="170"/>
        <v>2006</v>
      </c>
      <c r="D5459" s="433">
        <f t="shared" si="171"/>
        <v>2314.7600000000002</v>
      </c>
    </row>
    <row r="5460" spans="1:4" ht="16.149999999999999" customHeight="1" x14ac:dyDescent="0.25">
      <c r="A5460" s="431">
        <v>39020</v>
      </c>
      <c r="B5460" s="434">
        <v>2314.7600000000002</v>
      </c>
      <c r="C5460" s="427">
        <f t="shared" si="170"/>
        <v>2006</v>
      </c>
      <c r="D5460" s="433">
        <f t="shared" si="171"/>
        <v>2314.7600000000002</v>
      </c>
    </row>
    <row r="5461" spans="1:4" ht="16.149999999999999" customHeight="1" x14ac:dyDescent="0.25">
      <c r="A5461" s="431">
        <v>39021</v>
      </c>
      <c r="B5461" s="432">
        <v>2315.38</v>
      </c>
      <c r="C5461" s="427">
        <f t="shared" si="170"/>
        <v>2006</v>
      </c>
      <c r="D5461" s="433">
        <f t="shared" si="171"/>
        <v>2315.38</v>
      </c>
    </row>
    <row r="5462" spans="1:4" ht="16.149999999999999" customHeight="1" x14ac:dyDescent="0.25">
      <c r="A5462" s="431">
        <v>39022</v>
      </c>
      <c r="B5462" s="434">
        <v>2308.4899999999998</v>
      </c>
      <c r="C5462" s="427">
        <f t="shared" si="170"/>
        <v>2006</v>
      </c>
      <c r="D5462" s="433">
        <f t="shared" si="171"/>
        <v>2308.4899999999998</v>
      </c>
    </row>
    <row r="5463" spans="1:4" ht="16.149999999999999" customHeight="1" x14ac:dyDescent="0.25">
      <c r="A5463" s="431">
        <v>39023</v>
      </c>
      <c r="B5463" s="432">
        <v>2302.64</v>
      </c>
      <c r="C5463" s="427">
        <f t="shared" si="170"/>
        <v>2006</v>
      </c>
      <c r="D5463" s="433">
        <f t="shared" si="171"/>
        <v>2302.64</v>
      </c>
    </row>
    <row r="5464" spans="1:4" ht="16.149999999999999" customHeight="1" x14ac:dyDescent="0.25">
      <c r="A5464" s="431">
        <v>39024</v>
      </c>
      <c r="B5464" s="434">
        <v>2296.65</v>
      </c>
      <c r="C5464" s="427">
        <f t="shared" si="170"/>
        <v>2006</v>
      </c>
      <c r="D5464" s="433">
        <f t="shared" si="171"/>
        <v>2296.65</v>
      </c>
    </row>
    <row r="5465" spans="1:4" ht="16.149999999999999" customHeight="1" x14ac:dyDescent="0.25">
      <c r="A5465" s="431">
        <v>39025</v>
      </c>
      <c r="B5465" s="432">
        <v>2300.88</v>
      </c>
      <c r="C5465" s="427">
        <f t="shared" si="170"/>
        <v>2006</v>
      </c>
      <c r="D5465" s="433">
        <f t="shared" si="171"/>
        <v>2300.88</v>
      </c>
    </row>
    <row r="5466" spans="1:4" ht="16.149999999999999" customHeight="1" x14ac:dyDescent="0.25">
      <c r="A5466" s="431">
        <v>39026</v>
      </c>
      <c r="B5466" s="434">
        <v>2300.88</v>
      </c>
      <c r="C5466" s="427">
        <f t="shared" si="170"/>
        <v>2006</v>
      </c>
      <c r="D5466" s="433">
        <f t="shared" si="171"/>
        <v>2300.88</v>
      </c>
    </row>
    <row r="5467" spans="1:4" ht="16.149999999999999" customHeight="1" x14ac:dyDescent="0.25">
      <c r="A5467" s="431">
        <v>39027</v>
      </c>
      <c r="B5467" s="432">
        <v>2300.88</v>
      </c>
      <c r="C5467" s="427">
        <f t="shared" si="170"/>
        <v>2006</v>
      </c>
      <c r="D5467" s="433">
        <f t="shared" si="171"/>
        <v>2300.88</v>
      </c>
    </row>
    <row r="5468" spans="1:4" ht="16.149999999999999" customHeight="1" x14ac:dyDescent="0.25">
      <c r="A5468" s="431">
        <v>39028</v>
      </c>
      <c r="B5468" s="434">
        <v>2300.88</v>
      </c>
      <c r="C5468" s="427">
        <f t="shared" si="170"/>
        <v>2006</v>
      </c>
      <c r="D5468" s="433">
        <f t="shared" si="171"/>
        <v>2300.88</v>
      </c>
    </row>
    <row r="5469" spans="1:4" ht="16.149999999999999" customHeight="1" x14ac:dyDescent="0.25">
      <c r="A5469" s="431">
        <v>39029</v>
      </c>
      <c r="B5469" s="432">
        <v>2288.13</v>
      </c>
      <c r="C5469" s="427">
        <f t="shared" si="170"/>
        <v>2006</v>
      </c>
      <c r="D5469" s="433">
        <f t="shared" si="171"/>
        <v>2288.13</v>
      </c>
    </row>
    <row r="5470" spans="1:4" ht="16.149999999999999" customHeight="1" x14ac:dyDescent="0.25">
      <c r="A5470" s="431">
        <v>39030</v>
      </c>
      <c r="B5470" s="434">
        <v>2282.52</v>
      </c>
      <c r="C5470" s="427">
        <f t="shared" si="170"/>
        <v>2006</v>
      </c>
      <c r="D5470" s="433">
        <f t="shared" si="171"/>
        <v>2282.52</v>
      </c>
    </row>
    <row r="5471" spans="1:4" ht="16.149999999999999" customHeight="1" x14ac:dyDescent="0.25">
      <c r="A5471" s="431">
        <v>39031</v>
      </c>
      <c r="B5471" s="432">
        <v>2268.4699999999998</v>
      </c>
      <c r="C5471" s="427">
        <f t="shared" si="170"/>
        <v>2006</v>
      </c>
      <c r="D5471" s="433">
        <f t="shared" si="171"/>
        <v>2268.4699999999998</v>
      </c>
    </row>
    <row r="5472" spans="1:4" ht="16.149999999999999" customHeight="1" x14ac:dyDescent="0.25">
      <c r="A5472" s="431">
        <v>39032</v>
      </c>
      <c r="B5472" s="434">
        <v>2277.66</v>
      </c>
      <c r="C5472" s="427">
        <f t="shared" si="170"/>
        <v>2006</v>
      </c>
      <c r="D5472" s="433">
        <f t="shared" si="171"/>
        <v>2277.66</v>
      </c>
    </row>
    <row r="5473" spans="1:4" ht="16.149999999999999" customHeight="1" x14ac:dyDescent="0.25">
      <c r="A5473" s="431">
        <v>39033</v>
      </c>
      <c r="B5473" s="432">
        <v>2277.66</v>
      </c>
      <c r="C5473" s="427">
        <f t="shared" si="170"/>
        <v>2006</v>
      </c>
      <c r="D5473" s="433">
        <f t="shared" si="171"/>
        <v>2277.66</v>
      </c>
    </row>
    <row r="5474" spans="1:4" ht="16.149999999999999" customHeight="1" x14ac:dyDescent="0.25">
      <c r="A5474" s="431">
        <v>39034</v>
      </c>
      <c r="B5474" s="434">
        <v>2277.66</v>
      </c>
      <c r="C5474" s="427">
        <f t="shared" si="170"/>
        <v>2006</v>
      </c>
      <c r="D5474" s="433">
        <f t="shared" si="171"/>
        <v>2277.66</v>
      </c>
    </row>
    <row r="5475" spans="1:4" ht="16.149999999999999" customHeight="1" x14ac:dyDescent="0.25">
      <c r="A5475" s="431">
        <v>39035</v>
      </c>
      <c r="B5475" s="432">
        <v>2277.66</v>
      </c>
      <c r="C5475" s="427">
        <f t="shared" si="170"/>
        <v>2006</v>
      </c>
      <c r="D5475" s="433">
        <f t="shared" si="171"/>
        <v>2277.66</v>
      </c>
    </row>
    <row r="5476" spans="1:4" ht="16.149999999999999" customHeight="1" x14ac:dyDescent="0.25">
      <c r="A5476" s="431">
        <v>39036</v>
      </c>
      <c r="B5476" s="434">
        <v>2277.21</v>
      </c>
      <c r="C5476" s="427">
        <f t="shared" si="170"/>
        <v>2006</v>
      </c>
      <c r="D5476" s="433">
        <f t="shared" si="171"/>
        <v>2277.21</v>
      </c>
    </row>
    <row r="5477" spans="1:4" ht="16.149999999999999" customHeight="1" x14ac:dyDescent="0.25">
      <c r="A5477" s="431">
        <v>39037</v>
      </c>
      <c r="B5477" s="432">
        <v>2274.2600000000002</v>
      </c>
      <c r="C5477" s="427">
        <f t="shared" si="170"/>
        <v>2006</v>
      </c>
      <c r="D5477" s="433">
        <f t="shared" si="171"/>
        <v>2274.2600000000002</v>
      </c>
    </row>
    <row r="5478" spans="1:4" ht="16.149999999999999" customHeight="1" x14ac:dyDescent="0.25">
      <c r="A5478" s="431">
        <v>39038</v>
      </c>
      <c r="B5478" s="434">
        <v>2276.37</v>
      </c>
      <c r="C5478" s="427">
        <f t="shared" si="170"/>
        <v>2006</v>
      </c>
      <c r="D5478" s="433">
        <f t="shared" si="171"/>
        <v>2276.37</v>
      </c>
    </row>
    <row r="5479" spans="1:4" ht="16.149999999999999" customHeight="1" x14ac:dyDescent="0.25">
      <c r="A5479" s="431">
        <v>39039</v>
      </c>
      <c r="B5479" s="432">
        <v>2285.65</v>
      </c>
      <c r="C5479" s="427">
        <f t="shared" si="170"/>
        <v>2006</v>
      </c>
      <c r="D5479" s="433">
        <f t="shared" si="171"/>
        <v>2285.65</v>
      </c>
    </row>
    <row r="5480" spans="1:4" ht="16.149999999999999" customHeight="1" x14ac:dyDescent="0.25">
      <c r="A5480" s="431">
        <v>39040</v>
      </c>
      <c r="B5480" s="434">
        <v>2285.65</v>
      </c>
      <c r="C5480" s="427">
        <f t="shared" si="170"/>
        <v>2006</v>
      </c>
      <c r="D5480" s="433">
        <f t="shared" si="171"/>
        <v>2285.65</v>
      </c>
    </row>
    <row r="5481" spans="1:4" ht="16.149999999999999" customHeight="1" x14ac:dyDescent="0.25">
      <c r="A5481" s="431">
        <v>39041</v>
      </c>
      <c r="B5481" s="432">
        <v>2285.65</v>
      </c>
      <c r="C5481" s="427">
        <f t="shared" si="170"/>
        <v>2006</v>
      </c>
      <c r="D5481" s="433">
        <f t="shared" si="171"/>
        <v>2285.65</v>
      </c>
    </row>
    <row r="5482" spans="1:4" ht="16.149999999999999" customHeight="1" x14ac:dyDescent="0.25">
      <c r="A5482" s="431">
        <v>39042</v>
      </c>
      <c r="B5482" s="434">
        <v>2283.9899999999998</v>
      </c>
      <c r="C5482" s="427">
        <f t="shared" si="170"/>
        <v>2006</v>
      </c>
      <c r="D5482" s="433">
        <f t="shared" si="171"/>
        <v>2283.9899999999998</v>
      </c>
    </row>
    <row r="5483" spans="1:4" ht="16.149999999999999" customHeight="1" x14ac:dyDescent="0.25">
      <c r="A5483" s="431">
        <v>39043</v>
      </c>
      <c r="B5483" s="432">
        <v>2282.67</v>
      </c>
      <c r="C5483" s="427">
        <f t="shared" si="170"/>
        <v>2006</v>
      </c>
      <c r="D5483" s="433">
        <f t="shared" si="171"/>
        <v>2282.67</v>
      </c>
    </row>
    <row r="5484" spans="1:4" ht="16.149999999999999" customHeight="1" x14ac:dyDescent="0.25">
      <c r="A5484" s="431">
        <v>39044</v>
      </c>
      <c r="B5484" s="434">
        <v>2283.33</v>
      </c>
      <c r="C5484" s="427">
        <f t="shared" si="170"/>
        <v>2006</v>
      </c>
      <c r="D5484" s="433">
        <f t="shared" si="171"/>
        <v>2283.33</v>
      </c>
    </row>
    <row r="5485" spans="1:4" ht="16.149999999999999" customHeight="1" x14ac:dyDescent="0.25">
      <c r="A5485" s="431">
        <v>39045</v>
      </c>
      <c r="B5485" s="432">
        <v>2283.33</v>
      </c>
      <c r="C5485" s="427">
        <f t="shared" si="170"/>
        <v>2006</v>
      </c>
      <c r="D5485" s="433">
        <f t="shared" si="171"/>
        <v>2283.33</v>
      </c>
    </row>
    <row r="5486" spans="1:4" ht="16.149999999999999" customHeight="1" x14ac:dyDescent="0.25">
      <c r="A5486" s="431">
        <v>39046</v>
      </c>
      <c r="B5486" s="434">
        <v>2298.52</v>
      </c>
      <c r="C5486" s="427">
        <f t="shared" si="170"/>
        <v>2006</v>
      </c>
      <c r="D5486" s="433">
        <f t="shared" si="171"/>
        <v>2298.52</v>
      </c>
    </row>
    <row r="5487" spans="1:4" ht="16.149999999999999" customHeight="1" x14ac:dyDescent="0.25">
      <c r="A5487" s="431">
        <v>39047</v>
      </c>
      <c r="B5487" s="432">
        <v>2298.52</v>
      </c>
      <c r="C5487" s="427">
        <f t="shared" si="170"/>
        <v>2006</v>
      </c>
      <c r="D5487" s="433">
        <f t="shared" si="171"/>
        <v>2298.52</v>
      </c>
    </row>
    <row r="5488" spans="1:4" ht="16.149999999999999" customHeight="1" x14ac:dyDescent="0.25">
      <c r="A5488" s="431">
        <v>39048</v>
      </c>
      <c r="B5488" s="434">
        <v>2298.52</v>
      </c>
      <c r="C5488" s="427">
        <f t="shared" si="170"/>
        <v>2006</v>
      </c>
      <c r="D5488" s="433">
        <f t="shared" si="171"/>
        <v>2298.52</v>
      </c>
    </row>
    <row r="5489" spans="1:4" ht="16.149999999999999" customHeight="1" x14ac:dyDescent="0.25">
      <c r="A5489" s="431">
        <v>39049</v>
      </c>
      <c r="B5489" s="432">
        <v>2320.64</v>
      </c>
      <c r="C5489" s="427">
        <f t="shared" si="170"/>
        <v>2006</v>
      </c>
      <c r="D5489" s="433">
        <f t="shared" si="171"/>
        <v>2320.64</v>
      </c>
    </row>
    <row r="5490" spans="1:4" ht="16.149999999999999" customHeight="1" x14ac:dyDescent="0.25">
      <c r="A5490" s="431">
        <v>39050</v>
      </c>
      <c r="B5490" s="434">
        <v>2317.35</v>
      </c>
      <c r="C5490" s="427">
        <f t="shared" si="170"/>
        <v>2006</v>
      </c>
      <c r="D5490" s="433">
        <f t="shared" si="171"/>
        <v>2317.35</v>
      </c>
    </row>
    <row r="5491" spans="1:4" ht="16.149999999999999" customHeight="1" x14ac:dyDescent="0.25">
      <c r="A5491" s="431">
        <v>39051</v>
      </c>
      <c r="B5491" s="432">
        <v>2300.42</v>
      </c>
      <c r="C5491" s="427">
        <f t="shared" si="170"/>
        <v>2006</v>
      </c>
      <c r="D5491" s="433">
        <f t="shared" si="171"/>
        <v>2300.42</v>
      </c>
    </row>
    <row r="5492" spans="1:4" ht="16.149999999999999" customHeight="1" x14ac:dyDescent="0.25">
      <c r="A5492" s="431">
        <v>39052</v>
      </c>
      <c r="B5492" s="434">
        <v>2295.9899999999998</v>
      </c>
      <c r="C5492" s="427">
        <f t="shared" si="170"/>
        <v>2006</v>
      </c>
      <c r="D5492" s="433">
        <f t="shared" si="171"/>
        <v>2295.9899999999998</v>
      </c>
    </row>
    <row r="5493" spans="1:4" ht="16.149999999999999" customHeight="1" x14ac:dyDescent="0.25">
      <c r="A5493" s="431">
        <v>39053</v>
      </c>
      <c r="B5493" s="432">
        <v>2293.42</v>
      </c>
      <c r="C5493" s="427">
        <f t="shared" si="170"/>
        <v>2006</v>
      </c>
      <c r="D5493" s="433">
        <f t="shared" si="171"/>
        <v>2293.42</v>
      </c>
    </row>
    <row r="5494" spans="1:4" ht="16.149999999999999" customHeight="1" x14ac:dyDescent="0.25">
      <c r="A5494" s="431">
        <v>39054</v>
      </c>
      <c r="B5494" s="434">
        <v>2293.42</v>
      </c>
      <c r="C5494" s="427">
        <f t="shared" si="170"/>
        <v>2006</v>
      </c>
      <c r="D5494" s="433">
        <f t="shared" si="171"/>
        <v>2293.42</v>
      </c>
    </row>
    <row r="5495" spans="1:4" ht="16.149999999999999" customHeight="1" x14ac:dyDescent="0.25">
      <c r="A5495" s="431">
        <v>39055</v>
      </c>
      <c r="B5495" s="432">
        <v>2293.42</v>
      </c>
      <c r="C5495" s="427">
        <f t="shared" si="170"/>
        <v>2006</v>
      </c>
      <c r="D5495" s="433">
        <f t="shared" si="171"/>
        <v>2293.42</v>
      </c>
    </row>
    <row r="5496" spans="1:4" ht="16.149999999999999" customHeight="1" x14ac:dyDescent="0.25">
      <c r="A5496" s="431">
        <v>39056</v>
      </c>
      <c r="B5496" s="434">
        <v>2292.63</v>
      </c>
      <c r="C5496" s="427">
        <f t="shared" si="170"/>
        <v>2006</v>
      </c>
      <c r="D5496" s="433">
        <f t="shared" si="171"/>
        <v>2292.63</v>
      </c>
    </row>
    <row r="5497" spans="1:4" ht="16.149999999999999" customHeight="1" x14ac:dyDescent="0.25">
      <c r="A5497" s="431">
        <v>39057</v>
      </c>
      <c r="B5497" s="432">
        <v>2278.9699999999998</v>
      </c>
      <c r="C5497" s="427">
        <f t="shared" si="170"/>
        <v>2006</v>
      </c>
      <c r="D5497" s="433">
        <f t="shared" si="171"/>
        <v>2278.9699999999998</v>
      </c>
    </row>
    <row r="5498" spans="1:4" ht="16.149999999999999" customHeight="1" x14ac:dyDescent="0.25">
      <c r="A5498" s="431">
        <v>39058</v>
      </c>
      <c r="B5498" s="434">
        <v>2279.8200000000002</v>
      </c>
      <c r="C5498" s="427">
        <f t="shared" si="170"/>
        <v>2006</v>
      </c>
      <c r="D5498" s="433">
        <f t="shared" si="171"/>
        <v>2279.8200000000002</v>
      </c>
    </row>
    <row r="5499" spans="1:4" ht="16.149999999999999" customHeight="1" x14ac:dyDescent="0.25">
      <c r="A5499" s="431">
        <v>39059</v>
      </c>
      <c r="B5499" s="432">
        <v>2280.5</v>
      </c>
      <c r="C5499" s="427">
        <f t="shared" si="170"/>
        <v>2006</v>
      </c>
      <c r="D5499" s="433">
        <f t="shared" si="171"/>
        <v>2280.5</v>
      </c>
    </row>
    <row r="5500" spans="1:4" ht="16.149999999999999" customHeight="1" x14ac:dyDescent="0.25">
      <c r="A5500" s="431">
        <v>39060</v>
      </c>
      <c r="B5500" s="434">
        <v>2280.5</v>
      </c>
      <c r="C5500" s="427">
        <f t="shared" si="170"/>
        <v>2006</v>
      </c>
      <c r="D5500" s="433">
        <f t="shared" si="171"/>
        <v>2280.5</v>
      </c>
    </row>
    <row r="5501" spans="1:4" ht="16.149999999999999" customHeight="1" x14ac:dyDescent="0.25">
      <c r="A5501" s="431">
        <v>39061</v>
      </c>
      <c r="B5501" s="432">
        <v>2280.5</v>
      </c>
      <c r="C5501" s="427">
        <f t="shared" si="170"/>
        <v>2006</v>
      </c>
      <c r="D5501" s="433">
        <f t="shared" si="171"/>
        <v>2280.5</v>
      </c>
    </row>
    <row r="5502" spans="1:4" ht="16.149999999999999" customHeight="1" x14ac:dyDescent="0.25">
      <c r="A5502" s="431">
        <v>39062</v>
      </c>
      <c r="B5502" s="434">
        <v>2280.5</v>
      </c>
      <c r="C5502" s="427">
        <f t="shared" si="170"/>
        <v>2006</v>
      </c>
      <c r="D5502" s="433">
        <f t="shared" si="171"/>
        <v>2280.5</v>
      </c>
    </row>
    <row r="5503" spans="1:4" ht="16.149999999999999" customHeight="1" x14ac:dyDescent="0.25">
      <c r="A5503" s="431">
        <v>39063</v>
      </c>
      <c r="B5503" s="432">
        <v>2272.09</v>
      </c>
      <c r="C5503" s="427">
        <f t="shared" si="170"/>
        <v>2006</v>
      </c>
      <c r="D5503" s="433">
        <f t="shared" si="171"/>
        <v>2272.09</v>
      </c>
    </row>
    <row r="5504" spans="1:4" ht="16.149999999999999" customHeight="1" x14ac:dyDescent="0.25">
      <c r="A5504" s="431">
        <v>39064</v>
      </c>
      <c r="B5504" s="434">
        <v>2272.27</v>
      </c>
      <c r="C5504" s="427">
        <f t="shared" si="170"/>
        <v>2006</v>
      </c>
      <c r="D5504" s="433">
        <f t="shared" si="171"/>
        <v>2272.27</v>
      </c>
    </row>
    <row r="5505" spans="1:4" ht="16.149999999999999" customHeight="1" x14ac:dyDescent="0.25">
      <c r="A5505" s="431">
        <v>39065</v>
      </c>
      <c r="B5505" s="432">
        <v>2272.75</v>
      </c>
      <c r="C5505" s="427">
        <f t="shared" si="170"/>
        <v>2006</v>
      </c>
      <c r="D5505" s="433">
        <f t="shared" si="171"/>
        <v>2272.75</v>
      </c>
    </row>
    <row r="5506" spans="1:4" ht="16.149999999999999" customHeight="1" x14ac:dyDescent="0.25">
      <c r="A5506" s="431">
        <v>39066</v>
      </c>
      <c r="B5506" s="434">
        <v>2270.1799999999998</v>
      </c>
      <c r="C5506" s="427">
        <f t="shared" si="170"/>
        <v>2006</v>
      </c>
      <c r="D5506" s="433">
        <f t="shared" si="171"/>
        <v>2270.1799999999998</v>
      </c>
    </row>
    <row r="5507" spans="1:4" ht="16.149999999999999" customHeight="1" x14ac:dyDescent="0.25">
      <c r="A5507" s="431">
        <v>39067</v>
      </c>
      <c r="B5507" s="432">
        <v>2262.15</v>
      </c>
      <c r="C5507" s="427">
        <f t="shared" si="170"/>
        <v>2006</v>
      </c>
      <c r="D5507" s="433">
        <f t="shared" si="171"/>
        <v>2262.15</v>
      </c>
    </row>
    <row r="5508" spans="1:4" ht="16.149999999999999" customHeight="1" x14ac:dyDescent="0.25">
      <c r="A5508" s="431">
        <v>39068</v>
      </c>
      <c r="B5508" s="434">
        <v>2262.15</v>
      </c>
      <c r="C5508" s="427">
        <f t="shared" si="170"/>
        <v>2006</v>
      </c>
      <c r="D5508" s="433">
        <f t="shared" si="171"/>
        <v>2262.15</v>
      </c>
    </row>
    <row r="5509" spans="1:4" ht="16.149999999999999" customHeight="1" x14ac:dyDescent="0.25">
      <c r="A5509" s="431">
        <v>39069</v>
      </c>
      <c r="B5509" s="432">
        <v>2262.15</v>
      </c>
      <c r="C5509" s="427">
        <f t="shared" si="170"/>
        <v>2006</v>
      </c>
      <c r="D5509" s="433">
        <f t="shared" si="171"/>
        <v>2262.15</v>
      </c>
    </row>
    <row r="5510" spans="1:4" ht="16.149999999999999" customHeight="1" x14ac:dyDescent="0.25">
      <c r="A5510" s="431">
        <v>39070</v>
      </c>
      <c r="B5510" s="434">
        <v>2255.38</v>
      </c>
      <c r="C5510" s="427">
        <f t="shared" si="170"/>
        <v>2006</v>
      </c>
      <c r="D5510" s="433">
        <f t="shared" si="171"/>
        <v>2255.38</v>
      </c>
    </row>
    <row r="5511" spans="1:4" ht="16.149999999999999" customHeight="1" x14ac:dyDescent="0.25">
      <c r="A5511" s="431">
        <v>39071</v>
      </c>
      <c r="B5511" s="432">
        <v>2249.2800000000002</v>
      </c>
      <c r="C5511" s="427">
        <f t="shared" si="170"/>
        <v>2006</v>
      </c>
      <c r="D5511" s="433">
        <f t="shared" si="171"/>
        <v>2249.2800000000002</v>
      </c>
    </row>
    <row r="5512" spans="1:4" ht="16.149999999999999" customHeight="1" x14ac:dyDescent="0.25">
      <c r="A5512" s="431">
        <v>39072</v>
      </c>
      <c r="B5512" s="434">
        <v>2234.36</v>
      </c>
      <c r="C5512" s="427">
        <f t="shared" si="170"/>
        <v>2006</v>
      </c>
      <c r="D5512" s="433">
        <f t="shared" si="171"/>
        <v>2234.36</v>
      </c>
    </row>
    <row r="5513" spans="1:4" ht="16.149999999999999" customHeight="1" x14ac:dyDescent="0.25">
      <c r="A5513" s="431">
        <v>39073</v>
      </c>
      <c r="B5513" s="432">
        <v>2229.2800000000002</v>
      </c>
      <c r="C5513" s="427">
        <f t="shared" si="170"/>
        <v>2006</v>
      </c>
      <c r="D5513" s="433">
        <f t="shared" si="171"/>
        <v>2229.2800000000002</v>
      </c>
    </row>
    <row r="5514" spans="1:4" ht="16.149999999999999" customHeight="1" x14ac:dyDescent="0.25">
      <c r="A5514" s="431">
        <v>39074</v>
      </c>
      <c r="B5514" s="434">
        <v>2228.7600000000002</v>
      </c>
      <c r="C5514" s="427">
        <f t="shared" ref="C5514:C5577" si="172">YEAR(A5514)</f>
        <v>2006</v>
      </c>
      <c r="D5514" s="433">
        <f t="shared" ref="D5514:D5577" si="173">B5514</f>
        <v>2228.7600000000002</v>
      </c>
    </row>
    <row r="5515" spans="1:4" ht="16.149999999999999" customHeight="1" x14ac:dyDescent="0.25">
      <c r="A5515" s="431">
        <v>39075</v>
      </c>
      <c r="B5515" s="432">
        <v>2228.7600000000002</v>
      </c>
      <c r="C5515" s="427">
        <f t="shared" si="172"/>
        <v>2006</v>
      </c>
      <c r="D5515" s="433">
        <f t="shared" si="173"/>
        <v>2228.7600000000002</v>
      </c>
    </row>
    <row r="5516" spans="1:4" ht="16.149999999999999" customHeight="1" x14ac:dyDescent="0.25">
      <c r="A5516" s="431">
        <v>39076</v>
      </c>
      <c r="B5516" s="434">
        <v>2228.7600000000002</v>
      </c>
      <c r="C5516" s="427">
        <f t="shared" si="172"/>
        <v>2006</v>
      </c>
      <c r="D5516" s="433">
        <f t="shared" si="173"/>
        <v>2228.7600000000002</v>
      </c>
    </row>
    <row r="5517" spans="1:4" ht="16.149999999999999" customHeight="1" x14ac:dyDescent="0.25">
      <c r="A5517" s="431">
        <v>39077</v>
      </c>
      <c r="B5517" s="432">
        <v>2228.7600000000002</v>
      </c>
      <c r="C5517" s="427">
        <f t="shared" si="172"/>
        <v>2006</v>
      </c>
      <c r="D5517" s="433">
        <f t="shared" si="173"/>
        <v>2228.7600000000002</v>
      </c>
    </row>
    <row r="5518" spans="1:4" ht="16.149999999999999" customHeight="1" x14ac:dyDescent="0.25">
      <c r="A5518" s="431">
        <v>39078</v>
      </c>
      <c r="B5518" s="434">
        <v>2225.44</v>
      </c>
      <c r="C5518" s="427">
        <f t="shared" si="172"/>
        <v>2006</v>
      </c>
      <c r="D5518" s="433">
        <f t="shared" si="173"/>
        <v>2225.44</v>
      </c>
    </row>
    <row r="5519" spans="1:4" ht="16.149999999999999" customHeight="1" x14ac:dyDescent="0.25">
      <c r="A5519" s="431">
        <v>39079</v>
      </c>
      <c r="B5519" s="432">
        <v>2233.31</v>
      </c>
      <c r="C5519" s="427">
        <f t="shared" si="172"/>
        <v>2006</v>
      </c>
      <c r="D5519" s="433">
        <f t="shared" si="173"/>
        <v>2233.31</v>
      </c>
    </row>
    <row r="5520" spans="1:4" ht="16.149999999999999" customHeight="1" x14ac:dyDescent="0.25">
      <c r="A5520" s="431">
        <v>39080</v>
      </c>
      <c r="B5520" s="434">
        <v>2238.79</v>
      </c>
      <c r="C5520" s="427">
        <f t="shared" si="172"/>
        <v>2006</v>
      </c>
      <c r="D5520" s="433">
        <f t="shared" si="173"/>
        <v>2238.79</v>
      </c>
    </row>
    <row r="5521" spans="1:4" ht="16.149999999999999" customHeight="1" x14ac:dyDescent="0.25">
      <c r="A5521" s="431">
        <v>39081</v>
      </c>
      <c r="B5521" s="432">
        <v>2238.79</v>
      </c>
      <c r="C5521" s="427">
        <f t="shared" si="172"/>
        <v>2006</v>
      </c>
      <c r="D5521" s="433">
        <f t="shared" si="173"/>
        <v>2238.79</v>
      </c>
    </row>
    <row r="5522" spans="1:4" ht="16.149999999999999" customHeight="1" x14ac:dyDescent="0.25">
      <c r="A5522" s="431">
        <v>39082</v>
      </c>
      <c r="B5522" s="434">
        <v>2238.79</v>
      </c>
      <c r="C5522" s="427">
        <f t="shared" si="172"/>
        <v>2006</v>
      </c>
      <c r="D5522" s="433">
        <f t="shared" si="173"/>
        <v>2238.79</v>
      </c>
    </row>
    <row r="5523" spans="1:4" ht="16.149999999999999" customHeight="1" x14ac:dyDescent="0.25">
      <c r="A5523" s="431">
        <v>39083</v>
      </c>
      <c r="B5523" s="432">
        <v>2238.79</v>
      </c>
      <c r="C5523" s="427">
        <f t="shared" si="172"/>
        <v>2007</v>
      </c>
      <c r="D5523" s="433">
        <f t="shared" si="173"/>
        <v>2238.79</v>
      </c>
    </row>
    <row r="5524" spans="1:4" ht="16.149999999999999" customHeight="1" x14ac:dyDescent="0.25">
      <c r="A5524" s="431">
        <v>39084</v>
      </c>
      <c r="B5524" s="434">
        <v>2238.79</v>
      </c>
      <c r="C5524" s="427">
        <f t="shared" si="172"/>
        <v>2007</v>
      </c>
      <c r="D5524" s="433">
        <f t="shared" si="173"/>
        <v>2238.79</v>
      </c>
    </row>
    <row r="5525" spans="1:4" ht="16.149999999999999" customHeight="1" x14ac:dyDescent="0.25">
      <c r="A5525" s="431">
        <v>39085</v>
      </c>
      <c r="B5525" s="432">
        <v>2231.42</v>
      </c>
      <c r="C5525" s="427">
        <f t="shared" si="172"/>
        <v>2007</v>
      </c>
      <c r="D5525" s="433">
        <f t="shared" si="173"/>
        <v>2231.42</v>
      </c>
    </row>
    <row r="5526" spans="1:4" ht="16.149999999999999" customHeight="1" x14ac:dyDescent="0.25">
      <c r="A5526" s="431">
        <v>39086</v>
      </c>
      <c r="B5526" s="434">
        <v>2218.11</v>
      </c>
      <c r="C5526" s="427">
        <f t="shared" si="172"/>
        <v>2007</v>
      </c>
      <c r="D5526" s="433">
        <f t="shared" si="173"/>
        <v>2218.11</v>
      </c>
    </row>
    <row r="5527" spans="1:4" ht="16.149999999999999" customHeight="1" x14ac:dyDescent="0.25">
      <c r="A5527" s="431">
        <v>39087</v>
      </c>
      <c r="B5527" s="432">
        <v>2218.0500000000002</v>
      </c>
      <c r="C5527" s="427">
        <f t="shared" si="172"/>
        <v>2007</v>
      </c>
      <c r="D5527" s="433">
        <f t="shared" si="173"/>
        <v>2218.0500000000002</v>
      </c>
    </row>
    <row r="5528" spans="1:4" ht="16.149999999999999" customHeight="1" x14ac:dyDescent="0.25">
      <c r="A5528" s="431">
        <v>39088</v>
      </c>
      <c r="B5528" s="434">
        <v>2228.38</v>
      </c>
      <c r="C5528" s="427">
        <f t="shared" si="172"/>
        <v>2007</v>
      </c>
      <c r="D5528" s="433">
        <f t="shared" si="173"/>
        <v>2228.38</v>
      </c>
    </row>
    <row r="5529" spans="1:4" ht="16.149999999999999" customHeight="1" x14ac:dyDescent="0.25">
      <c r="A5529" s="431">
        <v>39089</v>
      </c>
      <c r="B5529" s="432">
        <v>2228.38</v>
      </c>
      <c r="C5529" s="427">
        <f t="shared" si="172"/>
        <v>2007</v>
      </c>
      <c r="D5529" s="433">
        <f t="shared" si="173"/>
        <v>2228.38</v>
      </c>
    </row>
    <row r="5530" spans="1:4" ht="16.149999999999999" customHeight="1" x14ac:dyDescent="0.25">
      <c r="A5530" s="431">
        <v>39090</v>
      </c>
      <c r="B5530" s="434">
        <v>2228.38</v>
      </c>
      <c r="C5530" s="427">
        <f t="shared" si="172"/>
        <v>2007</v>
      </c>
      <c r="D5530" s="433">
        <f t="shared" si="173"/>
        <v>2228.38</v>
      </c>
    </row>
    <row r="5531" spans="1:4" ht="16.149999999999999" customHeight="1" x14ac:dyDescent="0.25">
      <c r="A5531" s="431">
        <v>39091</v>
      </c>
      <c r="B5531" s="432">
        <v>2228.38</v>
      </c>
      <c r="C5531" s="427">
        <f t="shared" si="172"/>
        <v>2007</v>
      </c>
      <c r="D5531" s="433">
        <f t="shared" si="173"/>
        <v>2228.38</v>
      </c>
    </row>
    <row r="5532" spans="1:4" ht="16.149999999999999" customHeight="1" x14ac:dyDescent="0.25">
      <c r="A5532" s="431">
        <v>39092</v>
      </c>
      <c r="B5532" s="434">
        <v>2238.52</v>
      </c>
      <c r="C5532" s="427">
        <f t="shared" si="172"/>
        <v>2007</v>
      </c>
      <c r="D5532" s="433">
        <f t="shared" si="173"/>
        <v>2238.52</v>
      </c>
    </row>
    <row r="5533" spans="1:4" ht="16.149999999999999" customHeight="1" x14ac:dyDescent="0.25">
      <c r="A5533" s="431">
        <v>39093</v>
      </c>
      <c r="B5533" s="432">
        <v>2250.6</v>
      </c>
      <c r="C5533" s="427">
        <f t="shared" si="172"/>
        <v>2007</v>
      </c>
      <c r="D5533" s="433">
        <f t="shared" si="173"/>
        <v>2250.6</v>
      </c>
    </row>
    <row r="5534" spans="1:4" ht="16.149999999999999" customHeight="1" x14ac:dyDescent="0.25">
      <c r="A5534" s="431">
        <v>39094</v>
      </c>
      <c r="B5534" s="434">
        <v>2231.48</v>
      </c>
      <c r="C5534" s="427">
        <f t="shared" si="172"/>
        <v>2007</v>
      </c>
      <c r="D5534" s="433">
        <f t="shared" si="173"/>
        <v>2231.48</v>
      </c>
    </row>
    <row r="5535" spans="1:4" ht="16.149999999999999" customHeight="1" x14ac:dyDescent="0.25">
      <c r="A5535" s="431">
        <v>39095</v>
      </c>
      <c r="B5535" s="432">
        <v>2221.35</v>
      </c>
      <c r="C5535" s="427">
        <f t="shared" si="172"/>
        <v>2007</v>
      </c>
      <c r="D5535" s="433">
        <f t="shared" si="173"/>
        <v>2221.35</v>
      </c>
    </row>
    <row r="5536" spans="1:4" ht="16.149999999999999" customHeight="1" x14ac:dyDescent="0.25">
      <c r="A5536" s="431">
        <v>39096</v>
      </c>
      <c r="B5536" s="434">
        <v>2221.35</v>
      </c>
      <c r="C5536" s="427">
        <f t="shared" si="172"/>
        <v>2007</v>
      </c>
      <c r="D5536" s="433">
        <f t="shared" si="173"/>
        <v>2221.35</v>
      </c>
    </row>
    <row r="5537" spans="1:4" ht="16.149999999999999" customHeight="1" x14ac:dyDescent="0.25">
      <c r="A5537" s="431">
        <v>39097</v>
      </c>
      <c r="B5537" s="432">
        <v>2221.35</v>
      </c>
      <c r="C5537" s="427">
        <f t="shared" si="172"/>
        <v>2007</v>
      </c>
      <c r="D5537" s="433">
        <f t="shared" si="173"/>
        <v>2221.35</v>
      </c>
    </row>
    <row r="5538" spans="1:4" ht="16.149999999999999" customHeight="1" x14ac:dyDescent="0.25">
      <c r="A5538" s="431">
        <v>39098</v>
      </c>
      <c r="B5538" s="434">
        <v>2221.35</v>
      </c>
      <c r="C5538" s="427">
        <f t="shared" si="172"/>
        <v>2007</v>
      </c>
      <c r="D5538" s="433">
        <f t="shared" si="173"/>
        <v>2221.35</v>
      </c>
    </row>
    <row r="5539" spans="1:4" ht="16.149999999999999" customHeight="1" x14ac:dyDescent="0.25">
      <c r="A5539" s="431">
        <v>39099</v>
      </c>
      <c r="B5539" s="432">
        <v>2221.96</v>
      </c>
      <c r="C5539" s="427">
        <f t="shared" si="172"/>
        <v>2007</v>
      </c>
      <c r="D5539" s="433">
        <f t="shared" si="173"/>
        <v>2221.96</v>
      </c>
    </row>
    <row r="5540" spans="1:4" ht="16.149999999999999" customHeight="1" x14ac:dyDescent="0.25">
      <c r="A5540" s="431">
        <v>39100</v>
      </c>
      <c r="B5540" s="434">
        <v>2224.2199999999998</v>
      </c>
      <c r="C5540" s="427">
        <f t="shared" si="172"/>
        <v>2007</v>
      </c>
      <c r="D5540" s="433">
        <f t="shared" si="173"/>
        <v>2224.2199999999998</v>
      </c>
    </row>
    <row r="5541" spans="1:4" ht="16.149999999999999" customHeight="1" x14ac:dyDescent="0.25">
      <c r="A5541" s="431">
        <v>39101</v>
      </c>
      <c r="B5541" s="432">
        <v>2226.06</v>
      </c>
      <c r="C5541" s="427">
        <f t="shared" si="172"/>
        <v>2007</v>
      </c>
      <c r="D5541" s="433">
        <f t="shared" si="173"/>
        <v>2226.06</v>
      </c>
    </row>
    <row r="5542" spans="1:4" ht="16.149999999999999" customHeight="1" x14ac:dyDescent="0.25">
      <c r="A5542" s="431">
        <v>39102</v>
      </c>
      <c r="B5542" s="434">
        <v>2229.29</v>
      </c>
      <c r="C5542" s="427">
        <f t="shared" si="172"/>
        <v>2007</v>
      </c>
      <c r="D5542" s="433">
        <f t="shared" si="173"/>
        <v>2229.29</v>
      </c>
    </row>
    <row r="5543" spans="1:4" ht="16.149999999999999" customHeight="1" x14ac:dyDescent="0.25">
      <c r="A5543" s="431">
        <v>39103</v>
      </c>
      <c r="B5543" s="432">
        <v>2229.29</v>
      </c>
      <c r="C5543" s="427">
        <f t="shared" si="172"/>
        <v>2007</v>
      </c>
      <c r="D5543" s="433">
        <f t="shared" si="173"/>
        <v>2229.29</v>
      </c>
    </row>
    <row r="5544" spans="1:4" ht="16.149999999999999" customHeight="1" x14ac:dyDescent="0.25">
      <c r="A5544" s="431">
        <v>39104</v>
      </c>
      <c r="B5544" s="434">
        <v>2229.29</v>
      </c>
      <c r="C5544" s="427">
        <f t="shared" si="172"/>
        <v>2007</v>
      </c>
      <c r="D5544" s="433">
        <f t="shared" si="173"/>
        <v>2229.29</v>
      </c>
    </row>
    <row r="5545" spans="1:4" ht="16.149999999999999" customHeight="1" x14ac:dyDescent="0.25">
      <c r="A5545" s="431">
        <v>39105</v>
      </c>
      <c r="B5545" s="432">
        <v>2240.3200000000002</v>
      </c>
      <c r="C5545" s="427">
        <f t="shared" si="172"/>
        <v>2007</v>
      </c>
      <c r="D5545" s="433">
        <f t="shared" si="173"/>
        <v>2240.3200000000002</v>
      </c>
    </row>
    <row r="5546" spans="1:4" ht="16.149999999999999" customHeight="1" x14ac:dyDescent="0.25">
      <c r="A5546" s="431">
        <v>39106</v>
      </c>
      <c r="B5546" s="434">
        <v>2250.38</v>
      </c>
      <c r="C5546" s="427">
        <f t="shared" si="172"/>
        <v>2007</v>
      </c>
      <c r="D5546" s="433">
        <f t="shared" si="173"/>
        <v>2250.38</v>
      </c>
    </row>
    <row r="5547" spans="1:4" ht="16.149999999999999" customHeight="1" x14ac:dyDescent="0.25">
      <c r="A5547" s="431">
        <v>39107</v>
      </c>
      <c r="B5547" s="432">
        <v>2254.67</v>
      </c>
      <c r="C5547" s="427">
        <f t="shared" si="172"/>
        <v>2007</v>
      </c>
      <c r="D5547" s="433">
        <f t="shared" si="173"/>
        <v>2254.67</v>
      </c>
    </row>
    <row r="5548" spans="1:4" ht="16.149999999999999" customHeight="1" x14ac:dyDescent="0.25">
      <c r="A5548" s="431">
        <v>39108</v>
      </c>
      <c r="B5548" s="434">
        <v>2252.88</v>
      </c>
      <c r="C5548" s="427">
        <f t="shared" si="172"/>
        <v>2007</v>
      </c>
      <c r="D5548" s="433">
        <f t="shared" si="173"/>
        <v>2252.88</v>
      </c>
    </row>
    <row r="5549" spans="1:4" ht="16.149999999999999" customHeight="1" x14ac:dyDescent="0.25">
      <c r="A5549" s="431">
        <v>39109</v>
      </c>
      <c r="B5549" s="432">
        <v>2259.4299999999998</v>
      </c>
      <c r="C5549" s="427">
        <f t="shared" si="172"/>
        <v>2007</v>
      </c>
      <c r="D5549" s="433">
        <f t="shared" si="173"/>
        <v>2259.4299999999998</v>
      </c>
    </row>
    <row r="5550" spans="1:4" ht="16.149999999999999" customHeight="1" x14ac:dyDescent="0.25">
      <c r="A5550" s="431">
        <v>39110</v>
      </c>
      <c r="B5550" s="434">
        <v>2259.4299999999998</v>
      </c>
      <c r="C5550" s="427">
        <f t="shared" si="172"/>
        <v>2007</v>
      </c>
      <c r="D5550" s="433">
        <f t="shared" si="173"/>
        <v>2259.4299999999998</v>
      </c>
    </row>
    <row r="5551" spans="1:4" ht="16.149999999999999" customHeight="1" x14ac:dyDescent="0.25">
      <c r="A5551" s="431">
        <v>39111</v>
      </c>
      <c r="B5551" s="432">
        <v>2259.4299999999998</v>
      </c>
      <c r="C5551" s="427">
        <f t="shared" si="172"/>
        <v>2007</v>
      </c>
      <c r="D5551" s="433">
        <f t="shared" si="173"/>
        <v>2259.4299999999998</v>
      </c>
    </row>
    <row r="5552" spans="1:4" ht="16.149999999999999" customHeight="1" x14ac:dyDescent="0.25">
      <c r="A5552" s="431">
        <v>39112</v>
      </c>
      <c r="B5552" s="434">
        <v>2261.2199999999998</v>
      </c>
      <c r="C5552" s="427">
        <f t="shared" si="172"/>
        <v>2007</v>
      </c>
      <c r="D5552" s="433">
        <f t="shared" si="173"/>
        <v>2261.2199999999998</v>
      </c>
    </row>
    <row r="5553" spans="1:4" ht="16.149999999999999" customHeight="1" x14ac:dyDescent="0.25">
      <c r="A5553" s="431">
        <v>39113</v>
      </c>
      <c r="B5553" s="432">
        <v>2259.7199999999998</v>
      </c>
      <c r="C5553" s="427">
        <f t="shared" si="172"/>
        <v>2007</v>
      </c>
      <c r="D5553" s="433">
        <f t="shared" si="173"/>
        <v>2259.7199999999998</v>
      </c>
    </row>
    <row r="5554" spans="1:4" ht="16.149999999999999" customHeight="1" x14ac:dyDescent="0.25">
      <c r="A5554" s="431">
        <v>39114</v>
      </c>
      <c r="B5554" s="434">
        <v>2255.17</v>
      </c>
      <c r="C5554" s="427">
        <f t="shared" si="172"/>
        <v>2007</v>
      </c>
      <c r="D5554" s="433">
        <f t="shared" si="173"/>
        <v>2255.17</v>
      </c>
    </row>
    <row r="5555" spans="1:4" ht="16.149999999999999" customHeight="1" x14ac:dyDescent="0.25">
      <c r="A5555" s="431">
        <v>39115</v>
      </c>
      <c r="B5555" s="432">
        <v>2246.06</v>
      </c>
      <c r="C5555" s="427">
        <f t="shared" si="172"/>
        <v>2007</v>
      </c>
      <c r="D5555" s="433">
        <f t="shared" si="173"/>
        <v>2246.06</v>
      </c>
    </row>
    <row r="5556" spans="1:4" ht="16.149999999999999" customHeight="1" x14ac:dyDescent="0.25">
      <c r="A5556" s="431">
        <v>39116</v>
      </c>
      <c r="B5556" s="434">
        <v>2241.5300000000002</v>
      </c>
      <c r="C5556" s="427">
        <f t="shared" si="172"/>
        <v>2007</v>
      </c>
      <c r="D5556" s="433">
        <f t="shared" si="173"/>
        <v>2241.5300000000002</v>
      </c>
    </row>
    <row r="5557" spans="1:4" ht="16.149999999999999" customHeight="1" x14ac:dyDescent="0.25">
      <c r="A5557" s="431">
        <v>39117</v>
      </c>
      <c r="B5557" s="432">
        <v>2241.5300000000002</v>
      </c>
      <c r="C5557" s="427">
        <f t="shared" si="172"/>
        <v>2007</v>
      </c>
      <c r="D5557" s="433">
        <f t="shared" si="173"/>
        <v>2241.5300000000002</v>
      </c>
    </row>
    <row r="5558" spans="1:4" ht="16.149999999999999" customHeight="1" x14ac:dyDescent="0.25">
      <c r="A5558" s="431">
        <v>39118</v>
      </c>
      <c r="B5558" s="434">
        <v>2241.5300000000002</v>
      </c>
      <c r="C5558" s="427">
        <f t="shared" si="172"/>
        <v>2007</v>
      </c>
      <c r="D5558" s="433">
        <f t="shared" si="173"/>
        <v>2241.5300000000002</v>
      </c>
    </row>
    <row r="5559" spans="1:4" ht="16.149999999999999" customHeight="1" x14ac:dyDescent="0.25">
      <c r="A5559" s="431">
        <v>39119</v>
      </c>
      <c r="B5559" s="432">
        <v>2229.3000000000002</v>
      </c>
      <c r="C5559" s="427">
        <f t="shared" si="172"/>
        <v>2007</v>
      </c>
      <c r="D5559" s="433">
        <f t="shared" si="173"/>
        <v>2229.3000000000002</v>
      </c>
    </row>
    <row r="5560" spans="1:4" ht="16.149999999999999" customHeight="1" x14ac:dyDescent="0.25">
      <c r="A5560" s="431">
        <v>39120</v>
      </c>
      <c r="B5560" s="434">
        <v>2232.37</v>
      </c>
      <c r="C5560" s="427">
        <f t="shared" si="172"/>
        <v>2007</v>
      </c>
      <c r="D5560" s="433">
        <f t="shared" si="173"/>
        <v>2232.37</v>
      </c>
    </row>
    <row r="5561" spans="1:4" ht="16.149999999999999" customHeight="1" x14ac:dyDescent="0.25">
      <c r="A5561" s="431">
        <v>39121</v>
      </c>
      <c r="B5561" s="432">
        <v>2235.3000000000002</v>
      </c>
      <c r="C5561" s="427">
        <f t="shared" si="172"/>
        <v>2007</v>
      </c>
      <c r="D5561" s="433">
        <f t="shared" si="173"/>
        <v>2235.3000000000002</v>
      </c>
    </row>
    <row r="5562" spans="1:4" ht="16.149999999999999" customHeight="1" x14ac:dyDescent="0.25">
      <c r="A5562" s="431">
        <v>39122</v>
      </c>
      <c r="B5562" s="434">
        <v>2239.1999999999998</v>
      </c>
      <c r="C5562" s="427">
        <f t="shared" si="172"/>
        <v>2007</v>
      </c>
      <c r="D5562" s="433">
        <f t="shared" si="173"/>
        <v>2239.1999999999998</v>
      </c>
    </row>
    <row r="5563" spans="1:4" ht="16.149999999999999" customHeight="1" x14ac:dyDescent="0.25">
      <c r="A5563" s="431">
        <v>39123</v>
      </c>
      <c r="B5563" s="432">
        <v>2229.87</v>
      </c>
      <c r="C5563" s="427">
        <f t="shared" si="172"/>
        <v>2007</v>
      </c>
      <c r="D5563" s="433">
        <f t="shared" si="173"/>
        <v>2229.87</v>
      </c>
    </row>
    <row r="5564" spans="1:4" ht="16.149999999999999" customHeight="1" x14ac:dyDescent="0.25">
      <c r="A5564" s="431">
        <v>39124</v>
      </c>
      <c r="B5564" s="434">
        <v>2229.87</v>
      </c>
      <c r="C5564" s="427">
        <f t="shared" si="172"/>
        <v>2007</v>
      </c>
      <c r="D5564" s="433">
        <f t="shared" si="173"/>
        <v>2229.87</v>
      </c>
    </row>
    <row r="5565" spans="1:4" ht="16.149999999999999" customHeight="1" x14ac:dyDescent="0.25">
      <c r="A5565" s="431">
        <v>39125</v>
      </c>
      <c r="B5565" s="432">
        <v>2229.87</v>
      </c>
      <c r="C5565" s="427">
        <f t="shared" si="172"/>
        <v>2007</v>
      </c>
      <c r="D5565" s="433">
        <f t="shared" si="173"/>
        <v>2229.87</v>
      </c>
    </row>
    <row r="5566" spans="1:4" ht="16.149999999999999" customHeight="1" x14ac:dyDescent="0.25">
      <c r="A5566" s="431">
        <v>39126</v>
      </c>
      <c r="B5566" s="434">
        <v>2230.4</v>
      </c>
      <c r="C5566" s="427">
        <f t="shared" si="172"/>
        <v>2007</v>
      </c>
      <c r="D5566" s="433">
        <f t="shared" si="173"/>
        <v>2230.4</v>
      </c>
    </row>
    <row r="5567" spans="1:4" ht="16.149999999999999" customHeight="1" x14ac:dyDescent="0.25">
      <c r="A5567" s="431">
        <v>39127</v>
      </c>
      <c r="B5567" s="432">
        <v>2223.3000000000002</v>
      </c>
      <c r="C5567" s="427">
        <f t="shared" si="172"/>
        <v>2007</v>
      </c>
      <c r="D5567" s="433">
        <f t="shared" si="173"/>
        <v>2223.3000000000002</v>
      </c>
    </row>
    <row r="5568" spans="1:4" ht="16.149999999999999" customHeight="1" x14ac:dyDescent="0.25">
      <c r="A5568" s="431">
        <v>39128</v>
      </c>
      <c r="B5568" s="434">
        <v>2221.4299999999998</v>
      </c>
      <c r="C5568" s="427">
        <f t="shared" si="172"/>
        <v>2007</v>
      </c>
      <c r="D5568" s="433">
        <f t="shared" si="173"/>
        <v>2221.4299999999998</v>
      </c>
    </row>
    <row r="5569" spans="1:4" ht="16.149999999999999" customHeight="1" x14ac:dyDescent="0.25">
      <c r="A5569" s="431">
        <v>39129</v>
      </c>
      <c r="B5569" s="432">
        <v>2219.15</v>
      </c>
      <c r="C5569" s="427">
        <f t="shared" si="172"/>
        <v>2007</v>
      </c>
      <c r="D5569" s="433">
        <f t="shared" si="173"/>
        <v>2219.15</v>
      </c>
    </row>
    <row r="5570" spans="1:4" ht="16.149999999999999" customHeight="1" x14ac:dyDescent="0.25">
      <c r="A5570" s="431">
        <v>39130</v>
      </c>
      <c r="B5570" s="434">
        <v>2221.6999999999998</v>
      </c>
      <c r="C5570" s="427">
        <f t="shared" si="172"/>
        <v>2007</v>
      </c>
      <c r="D5570" s="433">
        <f t="shared" si="173"/>
        <v>2221.6999999999998</v>
      </c>
    </row>
    <row r="5571" spans="1:4" ht="16.149999999999999" customHeight="1" x14ac:dyDescent="0.25">
      <c r="A5571" s="431">
        <v>39131</v>
      </c>
      <c r="B5571" s="432">
        <v>2221.6999999999998</v>
      </c>
      <c r="C5571" s="427">
        <f t="shared" si="172"/>
        <v>2007</v>
      </c>
      <c r="D5571" s="433">
        <f t="shared" si="173"/>
        <v>2221.6999999999998</v>
      </c>
    </row>
    <row r="5572" spans="1:4" ht="16.149999999999999" customHeight="1" x14ac:dyDescent="0.25">
      <c r="A5572" s="431">
        <v>39132</v>
      </c>
      <c r="B5572" s="434">
        <v>2221.6999999999998</v>
      </c>
      <c r="C5572" s="427">
        <f t="shared" si="172"/>
        <v>2007</v>
      </c>
      <c r="D5572" s="433">
        <f t="shared" si="173"/>
        <v>2221.6999999999998</v>
      </c>
    </row>
    <row r="5573" spans="1:4" ht="16.149999999999999" customHeight="1" x14ac:dyDescent="0.25">
      <c r="A5573" s="431">
        <v>39133</v>
      </c>
      <c r="B5573" s="432">
        <v>2221.6999999999998</v>
      </c>
      <c r="C5573" s="427">
        <f t="shared" si="172"/>
        <v>2007</v>
      </c>
      <c r="D5573" s="433">
        <f t="shared" si="173"/>
        <v>2221.6999999999998</v>
      </c>
    </row>
    <row r="5574" spans="1:4" ht="16.149999999999999" customHeight="1" x14ac:dyDescent="0.25">
      <c r="A5574" s="431">
        <v>39134</v>
      </c>
      <c r="B5574" s="434">
        <v>2220.7600000000002</v>
      </c>
      <c r="C5574" s="427">
        <f t="shared" si="172"/>
        <v>2007</v>
      </c>
      <c r="D5574" s="433">
        <f t="shared" si="173"/>
        <v>2220.7600000000002</v>
      </c>
    </row>
    <row r="5575" spans="1:4" ht="16.149999999999999" customHeight="1" x14ac:dyDescent="0.25">
      <c r="A5575" s="431">
        <v>39135</v>
      </c>
      <c r="B5575" s="432">
        <v>2218.7800000000002</v>
      </c>
      <c r="C5575" s="427">
        <f t="shared" si="172"/>
        <v>2007</v>
      </c>
      <c r="D5575" s="433">
        <f t="shared" si="173"/>
        <v>2218.7800000000002</v>
      </c>
    </row>
    <row r="5576" spans="1:4" ht="16.149999999999999" customHeight="1" x14ac:dyDescent="0.25">
      <c r="A5576" s="431">
        <v>39136</v>
      </c>
      <c r="B5576" s="434">
        <v>2214.44</v>
      </c>
      <c r="C5576" s="427">
        <f t="shared" si="172"/>
        <v>2007</v>
      </c>
      <c r="D5576" s="433">
        <f t="shared" si="173"/>
        <v>2214.44</v>
      </c>
    </row>
    <row r="5577" spans="1:4" ht="16.149999999999999" customHeight="1" x14ac:dyDescent="0.25">
      <c r="A5577" s="431">
        <v>39137</v>
      </c>
      <c r="B5577" s="432">
        <v>2216.5700000000002</v>
      </c>
      <c r="C5577" s="427">
        <f t="shared" si="172"/>
        <v>2007</v>
      </c>
      <c r="D5577" s="433">
        <f t="shared" si="173"/>
        <v>2216.5700000000002</v>
      </c>
    </row>
    <row r="5578" spans="1:4" ht="16.149999999999999" customHeight="1" x14ac:dyDescent="0.25">
      <c r="A5578" s="431">
        <v>39138</v>
      </c>
      <c r="B5578" s="434">
        <v>2216.5700000000002</v>
      </c>
      <c r="C5578" s="427">
        <f t="shared" ref="C5578:C5641" si="174">YEAR(A5578)</f>
        <v>2007</v>
      </c>
      <c r="D5578" s="433">
        <f t="shared" ref="D5578:D5641" si="175">B5578</f>
        <v>2216.5700000000002</v>
      </c>
    </row>
    <row r="5579" spans="1:4" ht="16.149999999999999" customHeight="1" x14ac:dyDescent="0.25">
      <c r="A5579" s="431">
        <v>39139</v>
      </c>
      <c r="B5579" s="432">
        <v>2216.5700000000002</v>
      </c>
      <c r="C5579" s="427">
        <f t="shared" si="174"/>
        <v>2007</v>
      </c>
      <c r="D5579" s="433">
        <f t="shared" si="175"/>
        <v>2216.5700000000002</v>
      </c>
    </row>
    <row r="5580" spans="1:4" ht="16.149999999999999" customHeight="1" x14ac:dyDescent="0.25">
      <c r="A5580" s="431">
        <v>39140</v>
      </c>
      <c r="B5580" s="434">
        <v>2211.46</v>
      </c>
      <c r="C5580" s="427">
        <f t="shared" si="174"/>
        <v>2007</v>
      </c>
      <c r="D5580" s="433">
        <f t="shared" si="175"/>
        <v>2211.46</v>
      </c>
    </row>
    <row r="5581" spans="1:4" ht="16.149999999999999" customHeight="1" x14ac:dyDescent="0.25">
      <c r="A5581" s="431">
        <v>39141</v>
      </c>
      <c r="B5581" s="432">
        <v>2224.12</v>
      </c>
      <c r="C5581" s="427">
        <f t="shared" si="174"/>
        <v>2007</v>
      </c>
      <c r="D5581" s="433">
        <f t="shared" si="175"/>
        <v>2224.12</v>
      </c>
    </row>
    <row r="5582" spans="1:4" ht="16.149999999999999" customHeight="1" x14ac:dyDescent="0.25">
      <c r="A5582" s="431">
        <v>39142</v>
      </c>
      <c r="B5582" s="434">
        <v>2231.94</v>
      </c>
      <c r="C5582" s="427">
        <f t="shared" si="174"/>
        <v>2007</v>
      </c>
      <c r="D5582" s="433">
        <f t="shared" si="175"/>
        <v>2231.94</v>
      </c>
    </row>
    <row r="5583" spans="1:4" ht="16.149999999999999" customHeight="1" x14ac:dyDescent="0.25">
      <c r="A5583" s="431">
        <v>39143</v>
      </c>
      <c r="B5583" s="432">
        <v>2246.88</v>
      </c>
      <c r="C5583" s="427">
        <f t="shared" si="174"/>
        <v>2007</v>
      </c>
      <c r="D5583" s="433">
        <f t="shared" si="175"/>
        <v>2246.88</v>
      </c>
    </row>
    <row r="5584" spans="1:4" ht="16.149999999999999" customHeight="1" x14ac:dyDescent="0.25">
      <c r="A5584" s="431">
        <v>39144</v>
      </c>
      <c r="B5584" s="434">
        <v>2242.62</v>
      </c>
      <c r="C5584" s="427">
        <f t="shared" si="174"/>
        <v>2007</v>
      </c>
      <c r="D5584" s="433">
        <f t="shared" si="175"/>
        <v>2242.62</v>
      </c>
    </row>
    <row r="5585" spans="1:4" ht="16.149999999999999" customHeight="1" x14ac:dyDescent="0.25">
      <c r="A5585" s="431">
        <v>39145</v>
      </c>
      <c r="B5585" s="432">
        <v>2242.62</v>
      </c>
      <c r="C5585" s="427">
        <f t="shared" si="174"/>
        <v>2007</v>
      </c>
      <c r="D5585" s="433">
        <f t="shared" si="175"/>
        <v>2242.62</v>
      </c>
    </row>
    <row r="5586" spans="1:4" ht="16.149999999999999" customHeight="1" x14ac:dyDescent="0.25">
      <c r="A5586" s="431">
        <v>39146</v>
      </c>
      <c r="B5586" s="434">
        <v>2242.62</v>
      </c>
      <c r="C5586" s="427">
        <f t="shared" si="174"/>
        <v>2007</v>
      </c>
      <c r="D5586" s="433">
        <f t="shared" si="175"/>
        <v>2242.62</v>
      </c>
    </row>
    <row r="5587" spans="1:4" ht="16.149999999999999" customHeight="1" x14ac:dyDescent="0.25">
      <c r="A5587" s="431">
        <v>39147</v>
      </c>
      <c r="B5587" s="432">
        <v>2245.71</v>
      </c>
      <c r="C5587" s="427">
        <f t="shared" si="174"/>
        <v>2007</v>
      </c>
      <c r="D5587" s="433">
        <f t="shared" si="175"/>
        <v>2245.71</v>
      </c>
    </row>
    <row r="5588" spans="1:4" ht="16.149999999999999" customHeight="1" x14ac:dyDescent="0.25">
      <c r="A5588" s="431">
        <v>39148</v>
      </c>
      <c r="B5588" s="434">
        <v>2222.4499999999998</v>
      </c>
      <c r="C5588" s="427">
        <f t="shared" si="174"/>
        <v>2007</v>
      </c>
      <c r="D5588" s="433">
        <f t="shared" si="175"/>
        <v>2222.4499999999998</v>
      </c>
    </row>
    <row r="5589" spans="1:4" ht="16.149999999999999" customHeight="1" x14ac:dyDescent="0.25">
      <c r="A5589" s="431">
        <v>39149</v>
      </c>
      <c r="B5589" s="432">
        <v>2218.94</v>
      </c>
      <c r="C5589" s="427">
        <f t="shared" si="174"/>
        <v>2007</v>
      </c>
      <c r="D5589" s="433">
        <f t="shared" si="175"/>
        <v>2218.94</v>
      </c>
    </row>
    <row r="5590" spans="1:4" ht="16.149999999999999" customHeight="1" x14ac:dyDescent="0.25">
      <c r="A5590" s="431">
        <v>39150</v>
      </c>
      <c r="B5590" s="434">
        <v>2214.0500000000002</v>
      </c>
      <c r="C5590" s="427">
        <f t="shared" si="174"/>
        <v>2007</v>
      </c>
      <c r="D5590" s="433">
        <f t="shared" si="175"/>
        <v>2214.0500000000002</v>
      </c>
    </row>
    <row r="5591" spans="1:4" ht="16.149999999999999" customHeight="1" x14ac:dyDescent="0.25">
      <c r="A5591" s="431">
        <v>39151</v>
      </c>
      <c r="B5591" s="432">
        <v>2210.98</v>
      </c>
      <c r="C5591" s="427">
        <f t="shared" si="174"/>
        <v>2007</v>
      </c>
      <c r="D5591" s="433">
        <f t="shared" si="175"/>
        <v>2210.98</v>
      </c>
    </row>
    <row r="5592" spans="1:4" ht="16.149999999999999" customHeight="1" x14ac:dyDescent="0.25">
      <c r="A5592" s="431">
        <v>39152</v>
      </c>
      <c r="B5592" s="434">
        <v>2210.98</v>
      </c>
      <c r="C5592" s="427">
        <f t="shared" si="174"/>
        <v>2007</v>
      </c>
      <c r="D5592" s="433">
        <f t="shared" si="175"/>
        <v>2210.98</v>
      </c>
    </row>
    <row r="5593" spans="1:4" ht="16.149999999999999" customHeight="1" x14ac:dyDescent="0.25">
      <c r="A5593" s="431">
        <v>39153</v>
      </c>
      <c r="B5593" s="432">
        <v>2210.98</v>
      </c>
      <c r="C5593" s="427">
        <f t="shared" si="174"/>
        <v>2007</v>
      </c>
      <c r="D5593" s="433">
        <f t="shared" si="175"/>
        <v>2210.98</v>
      </c>
    </row>
    <row r="5594" spans="1:4" ht="16.149999999999999" customHeight="1" x14ac:dyDescent="0.25">
      <c r="A5594" s="431">
        <v>39154</v>
      </c>
      <c r="B5594" s="434">
        <v>2205.77</v>
      </c>
      <c r="C5594" s="427">
        <f t="shared" si="174"/>
        <v>2007</v>
      </c>
      <c r="D5594" s="433">
        <f t="shared" si="175"/>
        <v>2205.77</v>
      </c>
    </row>
    <row r="5595" spans="1:4" ht="16.149999999999999" customHeight="1" x14ac:dyDescent="0.25">
      <c r="A5595" s="431">
        <v>39155</v>
      </c>
      <c r="B5595" s="432">
        <v>2206.38</v>
      </c>
      <c r="C5595" s="427">
        <f t="shared" si="174"/>
        <v>2007</v>
      </c>
      <c r="D5595" s="433">
        <f t="shared" si="175"/>
        <v>2206.38</v>
      </c>
    </row>
    <row r="5596" spans="1:4" ht="16.149999999999999" customHeight="1" x14ac:dyDescent="0.25">
      <c r="A5596" s="431">
        <v>39156</v>
      </c>
      <c r="B5596" s="434">
        <v>2210.12</v>
      </c>
      <c r="C5596" s="427">
        <f t="shared" si="174"/>
        <v>2007</v>
      </c>
      <c r="D5596" s="433">
        <f t="shared" si="175"/>
        <v>2210.12</v>
      </c>
    </row>
    <row r="5597" spans="1:4" ht="16.149999999999999" customHeight="1" x14ac:dyDescent="0.25">
      <c r="A5597" s="431">
        <v>39157</v>
      </c>
      <c r="B5597" s="432">
        <v>2197.7600000000002</v>
      </c>
      <c r="C5597" s="427">
        <f t="shared" si="174"/>
        <v>2007</v>
      </c>
      <c r="D5597" s="433">
        <f t="shared" si="175"/>
        <v>2197.7600000000002</v>
      </c>
    </row>
    <row r="5598" spans="1:4" ht="16.149999999999999" customHeight="1" x14ac:dyDescent="0.25">
      <c r="A5598" s="431">
        <v>39158</v>
      </c>
      <c r="B5598" s="434">
        <v>2204.0500000000002</v>
      </c>
      <c r="C5598" s="427">
        <f t="shared" si="174"/>
        <v>2007</v>
      </c>
      <c r="D5598" s="433">
        <f t="shared" si="175"/>
        <v>2204.0500000000002</v>
      </c>
    </row>
    <row r="5599" spans="1:4" ht="16.149999999999999" customHeight="1" x14ac:dyDescent="0.25">
      <c r="A5599" s="431">
        <v>39159</v>
      </c>
      <c r="B5599" s="432">
        <v>2204.0500000000002</v>
      </c>
      <c r="C5599" s="427">
        <f t="shared" si="174"/>
        <v>2007</v>
      </c>
      <c r="D5599" s="433">
        <f t="shared" si="175"/>
        <v>2204.0500000000002</v>
      </c>
    </row>
    <row r="5600" spans="1:4" ht="16.149999999999999" customHeight="1" x14ac:dyDescent="0.25">
      <c r="A5600" s="431">
        <v>39160</v>
      </c>
      <c r="B5600" s="434">
        <v>2204.0500000000002</v>
      </c>
      <c r="C5600" s="427">
        <f t="shared" si="174"/>
        <v>2007</v>
      </c>
      <c r="D5600" s="433">
        <f t="shared" si="175"/>
        <v>2204.0500000000002</v>
      </c>
    </row>
    <row r="5601" spans="1:4" ht="16.149999999999999" customHeight="1" x14ac:dyDescent="0.25">
      <c r="A5601" s="431">
        <v>39161</v>
      </c>
      <c r="B5601" s="432">
        <v>2204.0500000000002</v>
      </c>
      <c r="C5601" s="427">
        <f t="shared" si="174"/>
        <v>2007</v>
      </c>
      <c r="D5601" s="433">
        <f t="shared" si="175"/>
        <v>2204.0500000000002</v>
      </c>
    </row>
    <row r="5602" spans="1:4" ht="16.149999999999999" customHeight="1" x14ac:dyDescent="0.25">
      <c r="A5602" s="431">
        <v>39162</v>
      </c>
      <c r="B5602" s="434">
        <v>2186.21</v>
      </c>
      <c r="C5602" s="427">
        <f t="shared" si="174"/>
        <v>2007</v>
      </c>
      <c r="D5602" s="433">
        <f t="shared" si="175"/>
        <v>2186.21</v>
      </c>
    </row>
    <row r="5603" spans="1:4" ht="16.149999999999999" customHeight="1" x14ac:dyDescent="0.25">
      <c r="A5603" s="431">
        <v>39163</v>
      </c>
      <c r="B5603" s="432">
        <v>2172.6</v>
      </c>
      <c r="C5603" s="427">
        <f t="shared" si="174"/>
        <v>2007</v>
      </c>
      <c r="D5603" s="433">
        <f t="shared" si="175"/>
        <v>2172.6</v>
      </c>
    </row>
    <row r="5604" spans="1:4" ht="16.149999999999999" customHeight="1" x14ac:dyDescent="0.25">
      <c r="A5604" s="431">
        <v>39164</v>
      </c>
      <c r="B5604" s="434">
        <v>2168.9499999999998</v>
      </c>
      <c r="C5604" s="427">
        <f t="shared" si="174"/>
        <v>2007</v>
      </c>
      <c r="D5604" s="433">
        <f t="shared" si="175"/>
        <v>2168.9499999999998</v>
      </c>
    </row>
    <row r="5605" spans="1:4" ht="16.149999999999999" customHeight="1" x14ac:dyDescent="0.25">
      <c r="A5605" s="431">
        <v>39165</v>
      </c>
      <c r="B5605" s="432">
        <v>2174.7199999999998</v>
      </c>
      <c r="C5605" s="427">
        <f t="shared" si="174"/>
        <v>2007</v>
      </c>
      <c r="D5605" s="433">
        <f t="shared" si="175"/>
        <v>2174.7199999999998</v>
      </c>
    </row>
    <row r="5606" spans="1:4" ht="16.149999999999999" customHeight="1" x14ac:dyDescent="0.25">
      <c r="A5606" s="431">
        <v>39166</v>
      </c>
      <c r="B5606" s="434">
        <v>2174.7199999999998</v>
      </c>
      <c r="C5606" s="427">
        <f t="shared" si="174"/>
        <v>2007</v>
      </c>
      <c r="D5606" s="433">
        <f t="shared" si="175"/>
        <v>2174.7199999999998</v>
      </c>
    </row>
    <row r="5607" spans="1:4" ht="16.149999999999999" customHeight="1" x14ac:dyDescent="0.25">
      <c r="A5607" s="431">
        <v>39167</v>
      </c>
      <c r="B5607" s="432">
        <v>2174.7199999999998</v>
      </c>
      <c r="C5607" s="427">
        <f t="shared" si="174"/>
        <v>2007</v>
      </c>
      <c r="D5607" s="433">
        <f t="shared" si="175"/>
        <v>2174.7199999999998</v>
      </c>
    </row>
    <row r="5608" spans="1:4" ht="16.149999999999999" customHeight="1" x14ac:dyDescent="0.25">
      <c r="A5608" s="431">
        <v>39168</v>
      </c>
      <c r="B5608" s="434">
        <v>2172.14</v>
      </c>
      <c r="C5608" s="427">
        <f t="shared" si="174"/>
        <v>2007</v>
      </c>
      <c r="D5608" s="433">
        <f t="shared" si="175"/>
        <v>2172.14</v>
      </c>
    </row>
    <row r="5609" spans="1:4" ht="16.149999999999999" customHeight="1" x14ac:dyDescent="0.25">
      <c r="A5609" s="431">
        <v>39169</v>
      </c>
      <c r="B5609" s="432">
        <v>2172.09</v>
      </c>
      <c r="C5609" s="427">
        <f t="shared" si="174"/>
        <v>2007</v>
      </c>
      <c r="D5609" s="433">
        <f t="shared" si="175"/>
        <v>2172.09</v>
      </c>
    </row>
    <row r="5610" spans="1:4" ht="16.149999999999999" customHeight="1" x14ac:dyDescent="0.25">
      <c r="A5610" s="431">
        <v>39170</v>
      </c>
      <c r="B5610" s="434">
        <v>2169.67</v>
      </c>
      <c r="C5610" s="427">
        <f t="shared" si="174"/>
        <v>2007</v>
      </c>
      <c r="D5610" s="433">
        <f t="shared" si="175"/>
        <v>2169.67</v>
      </c>
    </row>
    <row r="5611" spans="1:4" ht="16.149999999999999" customHeight="1" x14ac:dyDescent="0.25">
      <c r="A5611" s="431">
        <v>39171</v>
      </c>
      <c r="B5611" s="432">
        <v>2155.06</v>
      </c>
      <c r="C5611" s="427">
        <f t="shared" si="174"/>
        <v>2007</v>
      </c>
      <c r="D5611" s="433">
        <f t="shared" si="175"/>
        <v>2155.06</v>
      </c>
    </row>
    <row r="5612" spans="1:4" ht="16.149999999999999" customHeight="1" x14ac:dyDescent="0.25">
      <c r="A5612" s="431">
        <v>39172</v>
      </c>
      <c r="B5612" s="434">
        <v>2190.3000000000002</v>
      </c>
      <c r="C5612" s="427">
        <f t="shared" si="174"/>
        <v>2007</v>
      </c>
      <c r="D5612" s="433">
        <f t="shared" si="175"/>
        <v>2190.3000000000002</v>
      </c>
    </row>
    <row r="5613" spans="1:4" ht="16.149999999999999" customHeight="1" x14ac:dyDescent="0.25">
      <c r="A5613" s="431">
        <v>39173</v>
      </c>
      <c r="B5613" s="432">
        <v>2190.3000000000002</v>
      </c>
      <c r="C5613" s="427">
        <f t="shared" si="174"/>
        <v>2007</v>
      </c>
      <c r="D5613" s="433">
        <f t="shared" si="175"/>
        <v>2190.3000000000002</v>
      </c>
    </row>
    <row r="5614" spans="1:4" ht="16.149999999999999" customHeight="1" x14ac:dyDescent="0.25">
      <c r="A5614" s="431">
        <v>39174</v>
      </c>
      <c r="B5614" s="434">
        <v>2190.3000000000002</v>
      </c>
      <c r="C5614" s="427">
        <f t="shared" si="174"/>
        <v>2007</v>
      </c>
      <c r="D5614" s="433">
        <f t="shared" si="175"/>
        <v>2190.3000000000002</v>
      </c>
    </row>
    <row r="5615" spans="1:4" ht="16.149999999999999" customHeight="1" x14ac:dyDescent="0.25">
      <c r="A5615" s="431">
        <v>39175</v>
      </c>
      <c r="B5615" s="432">
        <v>2189.1799999999998</v>
      </c>
      <c r="C5615" s="427">
        <f t="shared" si="174"/>
        <v>2007</v>
      </c>
      <c r="D5615" s="433">
        <f t="shared" si="175"/>
        <v>2189.1799999999998</v>
      </c>
    </row>
    <row r="5616" spans="1:4" ht="16.149999999999999" customHeight="1" x14ac:dyDescent="0.25">
      <c r="A5616" s="431">
        <v>39176</v>
      </c>
      <c r="B5616" s="434">
        <v>2171.4699999999998</v>
      </c>
      <c r="C5616" s="427">
        <f t="shared" si="174"/>
        <v>2007</v>
      </c>
      <c r="D5616" s="433">
        <f t="shared" si="175"/>
        <v>2171.4699999999998</v>
      </c>
    </row>
    <row r="5617" spans="1:4" ht="16.149999999999999" customHeight="1" x14ac:dyDescent="0.25">
      <c r="A5617" s="431">
        <v>39177</v>
      </c>
      <c r="B5617" s="432">
        <v>2166.9299999999998</v>
      </c>
      <c r="C5617" s="427">
        <f t="shared" si="174"/>
        <v>2007</v>
      </c>
      <c r="D5617" s="433">
        <f t="shared" si="175"/>
        <v>2166.9299999999998</v>
      </c>
    </row>
    <row r="5618" spans="1:4" ht="16.149999999999999" customHeight="1" x14ac:dyDescent="0.25">
      <c r="A5618" s="431">
        <v>39178</v>
      </c>
      <c r="B5618" s="434">
        <v>2166.9299999999998</v>
      </c>
      <c r="C5618" s="427">
        <f t="shared" si="174"/>
        <v>2007</v>
      </c>
      <c r="D5618" s="433">
        <f t="shared" si="175"/>
        <v>2166.9299999999998</v>
      </c>
    </row>
    <row r="5619" spans="1:4" ht="16.149999999999999" customHeight="1" x14ac:dyDescent="0.25">
      <c r="A5619" s="431">
        <v>39179</v>
      </c>
      <c r="B5619" s="432">
        <v>2166.9299999999998</v>
      </c>
      <c r="C5619" s="427">
        <f t="shared" si="174"/>
        <v>2007</v>
      </c>
      <c r="D5619" s="433">
        <f t="shared" si="175"/>
        <v>2166.9299999999998</v>
      </c>
    </row>
    <row r="5620" spans="1:4" ht="16.149999999999999" customHeight="1" x14ac:dyDescent="0.25">
      <c r="A5620" s="431">
        <v>39180</v>
      </c>
      <c r="B5620" s="434">
        <v>2166.9299999999998</v>
      </c>
      <c r="C5620" s="427">
        <f t="shared" si="174"/>
        <v>2007</v>
      </c>
      <c r="D5620" s="433">
        <f t="shared" si="175"/>
        <v>2166.9299999999998</v>
      </c>
    </row>
    <row r="5621" spans="1:4" ht="16.149999999999999" customHeight="1" x14ac:dyDescent="0.25">
      <c r="A5621" s="431">
        <v>39181</v>
      </c>
      <c r="B5621" s="432">
        <v>2166.9299999999998</v>
      </c>
      <c r="C5621" s="427">
        <f t="shared" si="174"/>
        <v>2007</v>
      </c>
      <c r="D5621" s="433">
        <f t="shared" si="175"/>
        <v>2166.9299999999998</v>
      </c>
    </row>
    <row r="5622" spans="1:4" ht="16.149999999999999" customHeight="1" x14ac:dyDescent="0.25">
      <c r="A5622" s="431">
        <v>39182</v>
      </c>
      <c r="B5622" s="434">
        <v>2164.5500000000002</v>
      </c>
      <c r="C5622" s="427">
        <f t="shared" si="174"/>
        <v>2007</v>
      </c>
      <c r="D5622" s="433">
        <f t="shared" si="175"/>
        <v>2164.5500000000002</v>
      </c>
    </row>
    <row r="5623" spans="1:4" ht="16.149999999999999" customHeight="1" x14ac:dyDescent="0.25">
      <c r="A5623" s="431">
        <v>39183</v>
      </c>
      <c r="B5623" s="432">
        <v>2157.8200000000002</v>
      </c>
      <c r="C5623" s="427">
        <f t="shared" si="174"/>
        <v>2007</v>
      </c>
      <c r="D5623" s="433">
        <f t="shared" si="175"/>
        <v>2157.8200000000002</v>
      </c>
    </row>
    <row r="5624" spans="1:4" ht="16.149999999999999" customHeight="1" x14ac:dyDescent="0.25">
      <c r="A5624" s="431">
        <v>39184</v>
      </c>
      <c r="B5624" s="434">
        <v>2154.61</v>
      </c>
      <c r="C5624" s="427">
        <f t="shared" si="174"/>
        <v>2007</v>
      </c>
      <c r="D5624" s="433">
        <f t="shared" si="175"/>
        <v>2154.61</v>
      </c>
    </row>
    <row r="5625" spans="1:4" ht="16.149999999999999" customHeight="1" x14ac:dyDescent="0.25">
      <c r="A5625" s="431">
        <v>39185</v>
      </c>
      <c r="B5625" s="432">
        <v>2152.65</v>
      </c>
      <c r="C5625" s="427">
        <f t="shared" si="174"/>
        <v>2007</v>
      </c>
      <c r="D5625" s="433">
        <f t="shared" si="175"/>
        <v>2152.65</v>
      </c>
    </row>
    <row r="5626" spans="1:4" ht="16.149999999999999" customHeight="1" x14ac:dyDescent="0.25">
      <c r="A5626" s="431">
        <v>39186</v>
      </c>
      <c r="B5626" s="434">
        <v>2138.7399999999998</v>
      </c>
      <c r="C5626" s="427">
        <f t="shared" si="174"/>
        <v>2007</v>
      </c>
      <c r="D5626" s="433">
        <f t="shared" si="175"/>
        <v>2138.7399999999998</v>
      </c>
    </row>
    <row r="5627" spans="1:4" ht="16.149999999999999" customHeight="1" x14ac:dyDescent="0.25">
      <c r="A5627" s="431">
        <v>39187</v>
      </c>
      <c r="B5627" s="432">
        <v>2138.7399999999998</v>
      </c>
      <c r="C5627" s="427">
        <f t="shared" si="174"/>
        <v>2007</v>
      </c>
      <c r="D5627" s="433">
        <f t="shared" si="175"/>
        <v>2138.7399999999998</v>
      </c>
    </row>
    <row r="5628" spans="1:4" ht="16.149999999999999" customHeight="1" x14ac:dyDescent="0.25">
      <c r="A5628" s="431">
        <v>39188</v>
      </c>
      <c r="B5628" s="434">
        <v>2138.7399999999998</v>
      </c>
      <c r="C5628" s="427">
        <f t="shared" si="174"/>
        <v>2007</v>
      </c>
      <c r="D5628" s="433">
        <f t="shared" si="175"/>
        <v>2138.7399999999998</v>
      </c>
    </row>
    <row r="5629" spans="1:4" ht="16.149999999999999" customHeight="1" x14ac:dyDescent="0.25">
      <c r="A5629" s="431">
        <v>39189</v>
      </c>
      <c r="B5629" s="432">
        <v>2136.8200000000002</v>
      </c>
      <c r="C5629" s="427">
        <f t="shared" si="174"/>
        <v>2007</v>
      </c>
      <c r="D5629" s="433">
        <f t="shared" si="175"/>
        <v>2136.8200000000002</v>
      </c>
    </row>
    <row r="5630" spans="1:4" ht="16.149999999999999" customHeight="1" x14ac:dyDescent="0.25">
      <c r="A5630" s="431">
        <v>39190</v>
      </c>
      <c r="B5630" s="434">
        <v>2141.35</v>
      </c>
      <c r="C5630" s="427">
        <f t="shared" si="174"/>
        <v>2007</v>
      </c>
      <c r="D5630" s="433">
        <f t="shared" si="175"/>
        <v>2141.35</v>
      </c>
    </row>
    <row r="5631" spans="1:4" ht="16.149999999999999" customHeight="1" x14ac:dyDescent="0.25">
      <c r="A5631" s="431">
        <v>39191</v>
      </c>
      <c r="B5631" s="432">
        <v>2148.46</v>
      </c>
      <c r="C5631" s="427">
        <f t="shared" si="174"/>
        <v>2007</v>
      </c>
      <c r="D5631" s="433">
        <f t="shared" si="175"/>
        <v>2148.46</v>
      </c>
    </row>
    <row r="5632" spans="1:4" ht="16.149999999999999" customHeight="1" x14ac:dyDescent="0.25">
      <c r="A5632" s="431">
        <v>39192</v>
      </c>
      <c r="B5632" s="434">
        <v>2143.31</v>
      </c>
      <c r="C5632" s="427">
        <f t="shared" si="174"/>
        <v>2007</v>
      </c>
      <c r="D5632" s="433">
        <f t="shared" si="175"/>
        <v>2143.31</v>
      </c>
    </row>
    <row r="5633" spans="1:4" ht="16.149999999999999" customHeight="1" x14ac:dyDescent="0.25">
      <c r="A5633" s="431">
        <v>39193</v>
      </c>
      <c r="B5633" s="432">
        <v>2121.42</v>
      </c>
      <c r="C5633" s="427">
        <f t="shared" si="174"/>
        <v>2007</v>
      </c>
      <c r="D5633" s="433">
        <f t="shared" si="175"/>
        <v>2121.42</v>
      </c>
    </row>
    <row r="5634" spans="1:4" ht="16.149999999999999" customHeight="1" x14ac:dyDescent="0.25">
      <c r="A5634" s="431">
        <v>39194</v>
      </c>
      <c r="B5634" s="434">
        <v>2121.42</v>
      </c>
      <c r="C5634" s="427">
        <f t="shared" si="174"/>
        <v>2007</v>
      </c>
      <c r="D5634" s="433">
        <f t="shared" si="175"/>
        <v>2121.42</v>
      </c>
    </row>
    <row r="5635" spans="1:4" ht="16.149999999999999" customHeight="1" x14ac:dyDescent="0.25">
      <c r="A5635" s="431">
        <v>39195</v>
      </c>
      <c r="B5635" s="432">
        <v>2121.42</v>
      </c>
      <c r="C5635" s="427">
        <f t="shared" si="174"/>
        <v>2007</v>
      </c>
      <c r="D5635" s="433">
        <f t="shared" si="175"/>
        <v>2121.42</v>
      </c>
    </row>
    <row r="5636" spans="1:4" ht="16.149999999999999" customHeight="1" x14ac:dyDescent="0.25">
      <c r="A5636" s="431">
        <v>39196</v>
      </c>
      <c r="B5636" s="434">
        <v>2115.56</v>
      </c>
      <c r="C5636" s="427">
        <f t="shared" si="174"/>
        <v>2007</v>
      </c>
      <c r="D5636" s="433">
        <f t="shared" si="175"/>
        <v>2115.56</v>
      </c>
    </row>
    <row r="5637" spans="1:4" ht="16.149999999999999" customHeight="1" x14ac:dyDescent="0.25">
      <c r="A5637" s="431">
        <v>39197</v>
      </c>
      <c r="B5637" s="432">
        <v>2119.37</v>
      </c>
      <c r="C5637" s="427">
        <f t="shared" si="174"/>
        <v>2007</v>
      </c>
      <c r="D5637" s="433">
        <f t="shared" si="175"/>
        <v>2119.37</v>
      </c>
    </row>
    <row r="5638" spans="1:4" ht="16.149999999999999" customHeight="1" x14ac:dyDescent="0.25">
      <c r="A5638" s="431">
        <v>39198</v>
      </c>
      <c r="B5638" s="434">
        <v>2112.61</v>
      </c>
      <c r="C5638" s="427">
        <f t="shared" si="174"/>
        <v>2007</v>
      </c>
      <c r="D5638" s="433">
        <f t="shared" si="175"/>
        <v>2112.61</v>
      </c>
    </row>
    <row r="5639" spans="1:4" ht="16.149999999999999" customHeight="1" x14ac:dyDescent="0.25">
      <c r="A5639" s="431">
        <v>39199</v>
      </c>
      <c r="B5639" s="432">
        <v>2111.52</v>
      </c>
      <c r="C5639" s="427">
        <f t="shared" si="174"/>
        <v>2007</v>
      </c>
      <c r="D5639" s="433">
        <f t="shared" si="175"/>
        <v>2111.52</v>
      </c>
    </row>
    <row r="5640" spans="1:4" ht="16.149999999999999" customHeight="1" x14ac:dyDescent="0.25">
      <c r="A5640" s="431">
        <v>39200</v>
      </c>
      <c r="B5640" s="434">
        <v>2110.67</v>
      </c>
      <c r="C5640" s="427">
        <f t="shared" si="174"/>
        <v>2007</v>
      </c>
      <c r="D5640" s="433">
        <f t="shared" si="175"/>
        <v>2110.67</v>
      </c>
    </row>
    <row r="5641" spans="1:4" ht="16.149999999999999" customHeight="1" x14ac:dyDescent="0.25">
      <c r="A5641" s="431">
        <v>39201</v>
      </c>
      <c r="B5641" s="432">
        <v>2110.67</v>
      </c>
      <c r="C5641" s="427">
        <f t="shared" si="174"/>
        <v>2007</v>
      </c>
      <c r="D5641" s="433">
        <f t="shared" si="175"/>
        <v>2110.67</v>
      </c>
    </row>
    <row r="5642" spans="1:4" ht="16.149999999999999" customHeight="1" x14ac:dyDescent="0.25">
      <c r="A5642" s="431">
        <v>39202</v>
      </c>
      <c r="B5642" s="434">
        <v>2110.67</v>
      </c>
      <c r="C5642" s="427">
        <f t="shared" ref="C5642:C5705" si="176">YEAR(A5642)</f>
        <v>2007</v>
      </c>
      <c r="D5642" s="433">
        <f t="shared" ref="D5642:D5705" si="177">B5642</f>
        <v>2110.67</v>
      </c>
    </row>
    <row r="5643" spans="1:4" ht="16.149999999999999" customHeight="1" x14ac:dyDescent="0.25">
      <c r="A5643" s="431">
        <v>39203</v>
      </c>
      <c r="B5643" s="432">
        <v>2104.16</v>
      </c>
      <c r="C5643" s="427">
        <f t="shared" si="176"/>
        <v>2007</v>
      </c>
      <c r="D5643" s="433">
        <f t="shared" si="177"/>
        <v>2104.16</v>
      </c>
    </row>
    <row r="5644" spans="1:4" ht="16.149999999999999" customHeight="1" x14ac:dyDescent="0.25">
      <c r="A5644" s="431">
        <v>39204</v>
      </c>
      <c r="B5644" s="434">
        <v>2104.16</v>
      </c>
      <c r="C5644" s="427">
        <f t="shared" si="176"/>
        <v>2007</v>
      </c>
      <c r="D5644" s="433">
        <f t="shared" si="177"/>
        <v>2104.16</v>
      </c>
    </row>
    <row r="5645" spans="1:4" ht="16.149999999999999" customHeight="1" x14ac:dyDescent="0.25">
      <c r="A5645" s="431">
        <v>39205</v>
      </c>
      <c r="B5645" s="432">
        <v>2085.1799999999998</v>
      </c>
      <c r="C5645" s="427">
        <f t="shared" si="176"/>
        <v>2007</v>
      </c>
      <c r="D5645" s="433">
        <f t="shared" si="177"/>
        <v>2085.1799999999998</v>
      </c>
    </row>
    <row r="5646" spans="1:4" ht="16.149999999999999" customHeight="1" x14ac:dyDescent="0.25">
      <c r="A5646" s="431">
        <v>39206</v>
      </c>
      <c r="B5646" s="434">
        <v>2077.12</v>
      </c>
      <c r="C5646" s="427">
        <f t="shared" si="176"/>
        <v>2007</v>
      </c>
      <c r="D5646" s="433">
        <f t="shared" si="177"/>
        <v>2077.12</v>
      </c>
    </row>
    <row r="5647" spans="1:4" ht="16.149999999999999" customHeight="1" x14ac:dyDescent="0.25">
      <c r="A5647" s="431">
        <v>39207</v>
      </c>
      <c r="B5647" s="432">
        <v>2069.0100000000002</v>
      </c>
      <c r="C5647" s="427">
        <f t="shared" si="176"/>
        <v>2007</v>
      </c>
      <c r="D5647" s="433">
        <f t="shared" si="177"/>
        <v>2069.0100000000002</v>
      </c>
    </row>
    <row r="5648" spans="1:4" ht="16.149999999999999" customHeight="1" x14ac:dyDescent="0.25">
      <c r="A5648" s="431">
        <v>39208</v>
      </c>
      <c r="B5648" s="434">
        <v>2069.0100000000002</v>
      </c>
      <c r="C5648" s="427">
        <f t="shared" si="176"/>
        <v>2007</v>
      </c>
      <c r="D5648" s="433">
        <f t="shared" si="177"/>
        <v>2069.0100000000002</v>
      </c>
    </row>
    <row r="5649" spans="1:4" ht="16.149999999999999" customHeight="1" x14ac:dyDescent="0.25">
      <c r="A5649" s="431">
        <v>39209</v>
      </c>
      <c r="B5649" s="432">
        <v>2069.0100000000002</v>
      </c>
      <c r="C5649" s="427">
        <f t="shared" si="176"/>
        <v>2007</v>
      </c>
      <c r="D5649" s="433">
        <f t="shared" si="177"/>
        <v>2069.0100000000002</v>
      </c>
    </row>
    <row r="5650" spans="1:4" ht="16.149999999999999" customHeight="1" x14ac:dyDescent="0.25">
      <c r="A5650" s="431">
        <v>39210</v>
      </c>
      <c r="B5650" s="434">
        <v>2081.2399999999998</v>
      </c>
      <c r="C5650" s="427">
        <f t="shared" si="176"/>
        <v>2007</v>
      </c>
      <c r="D5650" s="433">
        <f t="shared" si="177"/>
        <v>2081.2399999999998</v>
      </c>
    </row>
    <row r="5651" spans="1:4" ht="16.149999999999999" customHeight="1" x14ac:dyDescent="0.25">
      <c r="A5651" s="431">
        <v>39211</v>
      </c>
      <c r="B5651" s="432">
        <v>2074.0300000000002</v>
      </c>
      <c r="C5651" s="427">
        <f t="shared" si="176"/>
        <v>2007</v>
      </c>
      <c r="D5651" s="433">
        <f t="shared" si="177"/>
        <v>2074.0300000000002</v>
      </c>
    </row>
    <row r="5652" spans="1:4" ht="16.149999999999999" customHeight="1" x14ac:dyDescent="0.25">
      <c r="A5652" s="431">
        <v>39212</v>
      </c>
      <c r="B5652" s="434">
        <v>2045.51</v>
      </c>
      <c r="C5652" s="427">
        <f t="shared" si="176"/>
        <v>2007</v>
      </c>
      <c r="D5652" s="433">
        <f t="shared" si="177"/>
        <v>2045.51</v>
      </c>
    </row>
    <row r="5653" spans="1:4" ht="16.149999999999999" customHeight="1" x14ac:dyDescent="0.25">
      <c r="A5653" s="431">
        <v>39213</v>
      </c>
      <c r="B5653" s="432">
        <v>2041.39</v>
      </c>
      <c r="C5653" s="427">
        <f t="shared" si="176"/>
        <v>2007</v>
      </c>
      <c r="D5653" s="433">
        <f t="shared" si="177"/>
        <v>2041.39</v>
      </c>
    </row>
    <row r="5654" spans="1:4" ht="16.149999999999999" customHeight="1" x14ac:dyDescent="0.25">
      <c r="A5654" s="431">
        <v>39214</v>
      </c>
      <c r="B5654" s="434">
        <v>2029.2</v>
      </c>
      <c r="C5654" s="427">
        <f t="shared" si="176"/>
        <v>2007</v>
      </c>
      <c r="D5654" s="433">
        <f t="shared" si="177"/>
        <v>2029.2</v>
      </c>
    </row>
    <row r="5655" spans="1:4" ht="16.149999999999999" customHeight="1" x14ac:dyDescent="0.25">
      <c r="A5655" s="431">
        <v>39215</v>
      </c>
      <c r="B5655" s="432">
        <v>2029.2</v>
      </c>
      <c r="C5655" s="427">
        <f t="shared" si="176"/>
        <v>2007</v>
      </c>
      <c r="D5655" s="433">
        <f t="shared" si="177"/>
        <v>2029.2</v>
      </c>
    </row>
    <row r="5656" spans="1:4" ht="16.149999999999999" customHeight="1" x14ac:dyDescent="0.25">
      <c r="A5656" s="431">
        <v>39216</v>
      </c>
      <c r="B5656" s="434">
        <v>2029.2</v>
      </c>
      <c r="C5656" s="427">
        <f t="shared" si="176"/>
        <v>2007</v>
      </c>
      <c r="D5656" s="433">
        <f t="shared" si="177"/>
        <v>2029.2</v>
      </c>
    </row>
    <row r="5657" spans="1:4" ht="16.149999999999999" customHeight="1" x14ac:dyDescent="0.25">
      <c r="A5657" s="431">
        <v>39217</v>
      </c>
      <c r="B5657" s="432">
        <v>2002.04</v>
      </c>
      <c r="C5657" s="427">
        <f t="shared" si="176"/>
        <v>2007</v>
      </c>
      <c r="D5657" s="433">
        <f t="shared" si="177"/>
        <v>2002.04</v>
      </c>
    </row>
    <row r="5658" spans="1:4" ht="16.149999999999999" customHeight="1" x14ac:dyDescent="0.25">
      <c r="A5658" s="431">
        <v>39218</v>
      </c>
      <c r="B5658" s="434">
        <v>1995.17</v>
      </c>
      <c r="C5658" s="427">
        <f t="shared" si="176"/>
        <v>2007</v>
      </c>
      <c r="D5658" s="433">
        <f t="shared" si="177"/>
        <v>1995.17</v>
      </c>
    </row>
    <row r="5659" spans="1:4" ht="16.149999999999999" customHeight="1" x14ac:dyDescent="0.25">
      <c r="A5659" s="431">
        <v>39219</v>
      </c>
      <c r="B5659" s="432">
        <v>1988.01</v>
      </c>
      <c r="C5659" s="427">
        <f t="shared" si="176"/>
        <v>2007</v>
      </c>
      <c r="D5659" s="433">
        <f t="shared" si="177"/>
        <v>1988.01</v>
      </c>
    </row>
    <row r="5660" spans="1:4" ht="16.149999999999999" customHeight="1" x14ac:dyDescent="0.25">
      <c r="A5660" s="431">
        <v>39220</v>
      </c>
      <c r="B5660" s="434">
        <v>1990.43</v>
      </c>
      <c r="C5660" s="427">
        <f t="shared" si="176"/>
        <v>2007</v>
      </c>
      <c r="D5660" s="433">
        <f t="shared" si="177"/>
        <v>1990.43</v>
      </c>
    </row>
    <row r="5661" spans="1:4" ht="16.149999999999999" customHeight="1" x14ac:dyDescent="0.25">
      <c r="A5661" s="431">
        <v>39221</v>
      </c>
      <c r="B5661" s="432">
        <v>1985.33</v>
      </c>
      <c r="C5661" s="427">
        <f t="shared" si="176"/>
        <v>2007</v>
      </c>
      <c r="D5661" s="433">
        <f t="shared" si="177"/>
        <v>1985.33</v>
      </c>
    </row>
    <row r="5662" spans="1:4" ht="16.149999999999999" customHeight="1" x14ac:dyDescent="0.25">
      <c r="A5662" s="431">
        <v>39222</v>
      </c>
      <c r="B5662" s="434">
        <v>1985.33</v>
      </c>
      <c r="C5662" s="427">
        <f t="shared" si="176"/>
        <v>2007</v>
      </c>
      <c r="D5662" s="433">
        <f t="shared" si="177"/>
        <v>1985.33</v>
      </c>
    </row>
    <row r="5663" spans="1:4" ht="16.149999999999999" customHeight="1" x14ac:dyDescent="0.25">
      <c r="A5663" s="431">
        <v>39223</v>
      </c>
      <c r="B5663" s="432">
        <v>1985.33</v>
      </c>
      <c r="C5663" s="427">
        <f t="shared" si="176"/>
        <v>2007</v>
      </c>
      <c r="D5663" s="433">
        <f t="shared" si="177"/>
        <v>1985.33</v>
      </c>
    </row>
    <row r="5664" spans="1:4" ht="16.149999999999999" customHeight="1" x14ac:dyDescent="0.25">
      <c r="A5664" s="431">
        <v>39224</v>
      </c>
      <c r="B5664" s="434">
        <v>1985.33</v>
      </c>
      <c r="C5664" s="427">
        <f t="shared" si="176"/>
        <v>2007</v>
      </c>
      <c r="D5664" s="433">
        <f t="shared" si="177"/>
        <v>1985.33</v>
      </c>
    </row>
    <row r="5665" spans="1:4" ht="16.149999999999999" customHeight="1" x14ac:dyDescent="0.25">
      <c r="A5665" s="431">
        <v>39225</v>
      </c>
      <c r="B5665" s="432">
        <v>1957.54</v>
      </c>
      <c r="C5665" s="427">
        <f t="shared" si="176"/>
        <v>2007</v>
      </c>
      <c r="D5665" s="433">
        <f t="shared" si="177"/>
        <v>1957.54</v>
      </c>
    </row>
    <row r="5666" spans="1:4" ht="16.149999999999999" customHeight="1" x14ac:dyDescent="0.25">
      <c r="A5666" s="431">
        <v>39226</v>
      </c>
      <c r="B5666" s="434">
        <v>1963.56</v>
      </c>
      <c r="C5666" s="427">
        <f t="shared" si="176"/>
        <v>2007</v>
      </c>
      <c r="D5666" s="433">
        <f t="shared" si="177"/>
        <v>1963.56</v>
      </c>
    </row>
    <row r="5667" spans="1:4" ht="16.149999999999999" customHeight="1" x14ac:dyDescent="0.25">
      <c r="A5667" s="431">
        <v>39227</v>
      </c>
      <c r="B5667" s="432">
        <v>1962.59</v>
      </c>
      <c r="C5667" s="427">
        <f t="shared" si="176"/>
        <v>2007</v>
      </c>
      <c r="D5667" s="433">
        <f t="shared" si="177"/>
        <v>1962.59</v>
      </c>
    </row>
    <row r="5668" spans="1:4" ht="16.149999999999999" customHeight="1" x14ac:dyDescent="0.25">
      <c r="A5668" s="431">
        <v>39228</v>
      </c>
      <c r="B5668" s="434">
        <v>1934.55</v>
      </c>
      <c r="C5668" s="427">
        <f t="shared" si="176"/>
        <v>2007</v>
      </c>
      <c r="D5668" s="433">
        <f t="shared" si="177"/>
        <v>1934.55</v>
      </c>
    </row>
    <row r="5669" spans="1:4" ht="16.149999999999999" customHeight="1" x14ac:dyDescent="0.25">
      <c r="A5669" s="431">
        <v>39229</v>
      </c>
      <c r="B5669" s="432">
        <v>1934.55</v>
      </c>
      <c r="C5669" s="427">
        <f t="shared" si="176"/>
        <v>2007</v>
      </c>
      <c r="D5669" s="433">
        <f t="shared" si="177"/>
        <v>1934.55</v>
      </c>
    </row>
    <row r="5670" spans="1:4" ht="16.149999999999999" customHeight="1" x14ac:dyDescent="0.25">
      <c r="A5670" s="431">
        <v>39230</v>
      </c>
      <c r="B5670" s="434">
        <v>1934.55</v>
      </c>
      <c r="C5670" s="427">
        <f t="shared" si="176"/>
        <v>2007</v>
      </c>
      <c r="D5670" s="433">
        <f t="shared" si="177"/>
        <v>1934.55</v>
      </c>
    </row>
    <row r="5671" spans="1:4" ht="16.149999999999999" customHeight="1" x14ac:dyDescent="0.25">
      <c r="A5671" s="431">
        <v>39231</v>
      </c>
      <c r="B5671" s="432">
        <v>1934.55</v>
      </c>
      <c r="C5671" s="427">
        <f t="shared" si="176"/>
        <v>2007</v>
      </c>
      <c r="D5671" s="433">
        <f t="shared" si="177"/>
        <v>1934.55</v>
      </c>
    </row>
    <row r="5672" spans="1:4" ht="16.149999999999999" customHeight="1" x14ac:dyDescent="0.25">
      <c r="A5672" s="431">
        <v>39232</v>
      </c>
      <c r="B5672" s="434">
        <v>1914.96</v>
      </c>
      <c r="C5672" s="427">
        <f t="shared" si="176"/>
        <v>2007</v>
      </c>
      <c r="D5672" s="433">
        <f t="shared" si="177"/>
        <v>1914.96</v>
      </c>
    </row>
    <row r="5673" spans="1:4" ht="16.149999999999999" customHeight="1" x14ac:dyDescent="0.25">
      <c r="A5673" s="431">
        <v>39233</v>
      </c>
      <c r="B5673" s="432">
        <v>1930.64</v>
      </c>
      <c r="C5673" s="427">
        <f t="shared" si="176"/>
        <v>2007</v>
      </c>
      <c r="D5673" s="433">
        <f t="shared" si="177"/>
        <v>1930.64</v>
      </c>
    </row>
    <row r="5674" spans="1:4" ht="16.149999999999999" customHeight="1" x14ac:dyDescent="0.25">
      <c r="A5674" s="431">
        <v>39234</v>
      </c>
      <c r="B5674" s="434">
        <v>1900.09</v>
      </c>
      <c r="C5674" s="427">
        <f t="shared" si="176"/>
        <v>2007</v>
      </c>
      <c r="D5674" s="433">
        <f t="shared" si="177"/>
        <v>1900.09</v>
      </c>
    </row>
    <row r="5675" spans="1:4" ht="16.149999999999999" customHeight="1" x14ac:dyDescent="0.25">
      <c r="A5675" s="431">
        <v>39235</v>
      </c>
      <c r="B5675" s="432">
        <v>1885.8</v>
      </c>
      <c r="C5675" s="427">
        <f t="shared" si="176"/>
        <v>2007</v>
      </c>
      <c r="D5675" s="433">
        <f t="shared" si="177"/>
        <v>1885.8</v>
      </c>
    </row>
    <row r="5676" spans="1:4" ht="16.149999999999999" customHeight="1" x14ac:dyDescent="0.25">
      <c r="A5676" s="431">
        <v>39236</v>
      </c>
      <c r="B5676" s="434">
        <v>1885.8</v>
      </c>
      <c r="C5676" s="427">
        <f t="shared" si="176"/>
        <v>2007</v>
      </c>
      <c r="D5676" s="433">
        <f t="shared" si="177"/>
        <v>1885.8</v>
      </c>
    </row>
    <row r="5677" spans="1:4" ht="16.149999999999999" customHeight="1" x14ac:dyDescent="0.25">
      <c r="A5677" s="431">
        <v>39237</v>
      </c>
      <c r="B5677" s="432">
        <v>1885.8</v>
      </c>
      <c r="C5677" s="427">
        <f t="shared" si="176"/>
        <v>2007</v>
      </c>
      <c r="D5677" s="433">
        <f t="shared" si="177"/>
        <v>1885.8</v>
      </c>
    </row>
    <row r="5678" spans="1:4" ht="16.149999999999999" customHeight="1" x14ac:dyDescent="0.25">
      <c r="A5678" s="431">
        <v>39238</v>
      </c>
      <c r="B5678" s="434">
        <v>1882.06</v>
      </c>
      <c r="C5678" s="427">
        <f t="shared" si="176"/>
        <v>2007</v>
      </c>
      <c r="D5678" s="433">
        <f t="shared" si="177"/>
        <v>1882.06</v>
      </c>
    </row>
    <row r="5679" spans="1:4" ht="16.149999999999999" customHeight="1" x14ac:dyDescent="0.25">
      <c r="A5679" s="431">
        <v>39239</v>
      </c>
      <c r="B5679" s="432">
        <v>1877.88</v>
      </c>
      <c r="C5679" s="427">
        <f t="shared" si="176"/>
        <v>2007</v>
      </c>
      <c r="D5679" s="433">
        <f t="shared" si="177"/>
        <v>1877.88</v>
      </c>
    </row>
    <row r="5680" spans="1:4" ht="16.149999999999999" customHeight="1" x14ac:dyDescent="0.25">
      <c r="A5680" s="431">
        <v>39240</v>
      </c>
      <c r="B5680" s="434">
        <v>1886.92</v>
      </c>
      <c r="C5680" s="427">
        <f t="shared" si="176"/>
        <v>2007</v>
      </c>
      <c r="D5680" s="433">
        <f t="shared" si="177"/>
        <v>1886.92</v>
      </c>
    </row>
    <row r="5681" spans="1:4" ht="16.149999999999999" customHeight="1" x14ac:dyDescent="0.25">
      <c r="A5681" s="431">
        <v>39241</v>
      </c>
      <c r="B5681" s="432">
        <v>1900.68</v>
      </c>
      <c r="C5681" s="427">
        <f t="shared" si="176"/>
        <v>2007</v>
      </c>
      <c r="D5681" s="433">
        <f t="shared" si="177"/>
        <v>1900.68</v>
      </c>
    </row>
    <row r="5682" spans="1:4" ht="16.149999999999999" customHeight="1" x14ac:dyDescent="0.25">
      <c r="A5682" s="431">
        <v>39242</v>
      </c>
      <c r="B5682" s="434">
        <v>1924.54</v>
      </c>
      <c r="C5682" s="427">
        <f t="shared" si="176"/>
        <v>2007</v>
      </c>
      <c r="D5682" s="433">
        <f t="shared" si="177"/>
        <v>1924.54</v>
      </c>
    </row>
    <row r="5683" spans="1:4" ht="16.149999999999999" customHeight="1" x14ac:dyDescent="0.25">
      <c r="A5683" s="431">
        <v>39243</v>
      </c>
      <c r="B5683" s="432">
        <v>1924.54</v>
      </c>
      <c r="C5683" s="427">
        <f t="shared" si="176"/>
        <v>2007</v>
      </c>
      <c r="D5683" s="433">
        <f t="shared" si="177"/>
        <v>1924.54</v>
      </c>
    </row>
    <row r="5684" spans="1:4" ht="16.149999999999999" customHeight="1" x14ac:dyDescent="0.25">
      <c r="A5684" s="431">
        <v>39244</v>
      </c>
      <c r="B5684" s="434">
        <v>1924.54</v>
      </c>
      <c r="C5684" s="427">
        <f t="shared" si="176"/>
        <v>2007</v>
      </c>
      <c r="D5684" s="433">
        <f t="shared" si="177"/>
        <v>1924.54</v>
      </c>
    </row>
    <row r="5685" spans="1:4" ht="16.149999999999999" customHeight="1" x14ac:dyDescent="0.25">
      <c r="A5685" s="431">
        <v>39245</v>
      </c>
      <c r="B5685" s="432">
        <v>1924.54</v>
      </c>
      <c r="C5685" s="427">
        <f t="shared" si="176"/>
        <v>2007</v>
      </c>
      <c r="D5685" s="433">
        <f t="shared" si="177"/>
        <v>1924.54</v>
      </c>
    </row>
    <row r="5686" spans="1:4" ht="16.149999999999999" customHeight="1" x14ac:dyDescent="0.25">
      <c r="A5686" s="431">
        <v>39246</v>
      </c>
      <c r="B5686" s="434">
        <v>1931.36</v>
      </c>
      <c r="C5686" s="427">
        <f t="shared" si="176"/>
        <v>2007</v>
      </c>
      <c r="D5686" s="433">
        <f t="shared" si="177"/>
        <v>1931.36</v>
      </c>
    </row>
    <row r="5687" spans="1:4" ht="16.149999999999999" customHeight="1" x14ac:dyDescent="0.25">
      <c r="A5687" s="431">
        <v>39247</v>
      </c>
      <c r="B5687" s="432">
        <v>1947.37</v>
      </c>
      <c r="C5687" s="427">
        <f t="shared" si="176"/>
        <v>2007</v>
      </c>
      <c r="D5687" s="433">
        <f t="shared" si="177"/>
        <v>1947.37</v>
      </c>
    </row>
    <row r="5688" spans="1:4" ht="16.149999999999999" customHeight="1" x14ac:dyDescent="0.25">
      <c r="A5688" s="431">
        <v>39248</v>
      </c>
      <c r="B5688" s="434">
        <v>1945.09</v>
      </c>
      <c r="C5688" s="427">
        <f t="shared" si="176"/>
        <v>2007</v>
      </c>
      <c r="D5688" s="433">
        <f t="shared" si="177"/>
        <v>1945.09</v>
      </c>
    </row>
    <row r="5689" spans="1:4" ht="16.149999999999999" customHeight="1" x14ac:dyDescent="0.25">
      <c r="A5689" s="431">
        <v>39249</v>
      </c>
      <c r="B5689" s="432">
        <v>1920.25</v>
      </c>
      <c r="C5689" s="427">
        <f t="shared" si="176"/>
        <v>2007</v>
      </c>
      <c r="D5689" s="433">
        <f t="shared" si="177"/>
        <v>1920.25</v>
      </c>
    </row>
    <row r="5690" spans="1:4" ht="16.149999999999999" customHeight="1" x14ac:dyDescent="0.25">
      <c r="A5690" s="431">
        <v>39250</v>
      </c>
      <c r="B5690" s="434">
        <v>1920.25</v>
      </c>
      <c r="C5690" s="427">
        <f t="shared" si="176"/>
        <v>2007</v>
      </c>
      <c r="D5690" s="433">
        <f t="shared" si="177"/>
        <v>1920.25</v>
      </c>
    </row>
    <row r="5691" spans="1:4" ht="16.149999999999999" customHeight="1" x14ac:dyDescent="0.25">
      <c r="A5691" s="431">
        <v>39251</v>
      </c>
      <c r="B5691" s="432">
        <v>1920.25</v>
      </c>
      <c r="C5691" s="427">
        <f t="shared" si="176"/>
        <v>2007</v>
      </c>
      <c r="D5691" s="433">
        <f t="shared" si="177"/>
        <v>1920.25</v>
      </c>
    </row>
    <row r="5692" spans="1:4" ht="16.149999999999999" customHeight="1" x14ac:dyDescent="0.25">
      <c r="A5692" s="431">
        <v>39252</v>
      </c>
      <c r="B5692" s="434">
        <v>1920.25</v>
      </c>
      <c r="C5692" s="427">
        <f t="shared" si="176"/>
        <v>2007</v>
      </c>
      <c r="D5692" s="433">
        <f t="shared" si="177"/>
        <v>1920.25</v>
      </c>
    </row>
    <row r="5693" spans="1:4" ht="16.149999999999999" customHeight="1" x14ac:dyDescent="0.25">
      <c r="A5693" s="431">
        <v>39253</v>
      </c>
      <c r="B5693" s="432">
        <v>1896.07</v>
      </c>
      <c r="C5693" s="427">
        <f t="shared" si="176"/>
        <v>2007</v>
      </c>
      <c r="D5693" s="433">
        <f t="shared" si="177"/>
        <v>1896.07</v>
      </c>
    </row>
    <row r="5694" spans="1:4" ht="16.149999999999999" customHeight="1" x14ac:dyDescent="0.25">
      <c r="A5694" s="431">
        <v>39254</v>
      </c>
      <c r="B5694" s="434">
        <v>1905.13</v>
      </c>
      <c r="C5694" s="427">
        <f t="shared" si="176"/>
        <v>2007</v>
      </c>
      <c r="D5694" s="433">
        <f t="shared" si="177"/>
        <v>1905.13</v>
      </c>
    </row>
    <row r="5695" spans="1:4" ht="16.149999999999999" customHeight="1" x14ac:dyDescent="0.25">
      <c r="A5695" s="431">
        <v>39255</v>
      </c>
      <c r="B5695" s="432">
        <v>1938.17</v>
      </c>
      <c r="C5695" s="427">
        <f t="shared" si="176"/>
        <v>2007</v>
      </c>
      <c r="D5695" s="433">
        <f t="shared" si="177"/>
        <v>1938.17</v>
      </c>
    </row>
    <row r="5696" spans="1:4" ht="16.149999999999999" customHeight="1" x14ac:dyDescent="0.25">
      <c r="A5696" s="431">
        <v>39256</v>
      </c>
      <c r="B5696" s="434">
        <v>1944.01</v>
      </c>
      <c r="C5696" s="427">
        <f t="shared" si="176"/>
        <v>2007</v>
      </c>
      <c r="D5696" s="433">
        <f t="shared" si="177"/>
        <v>1944.01</v>
      </c>
    </row>
    <row r="5697" spans="1:4" ht="16.149999999999999" customHeight="1" x14ac:dyDescent="0.25">
      <c r="A5697" s="431">
        <v>39257</v>
      </c>
      <c r="B5697" s="432">
        <v>1944.01</v>
      </c>
      <c r="C5697" s="427">
        <f t="shared" si="176"/>
        <v>2007</v>
      </c>
      <c r="D5697" s="433">
        <f t="shared" si="177"/>
        <v>1944.01</v>
      </c>
    </row>
    <row r="5698" spans="1:4" ht="16.149999999999999" customHeight="1" x14ac:dyDescent="0.25">
      <c r="A5698" s="431">
        <v>39258</v>
      </c>
      <c r="B5698" s="434">
        <v>1944.01</v>
      </c>
      <c r="C5698" s="427">
        <f t="shared" si="176"/>
        <v>2007</v>
      </c>
      <c r="D5698" s="433">
        <f t="shared" si="177"/>
        <v>1944.01</v>
      </c>
    </row>
    <row r="5699" spans="1:4" ht="16.149999999999999" customHeight="1" x14ac:dyDescent="0.25">
      <c r="A5699" s="431">
        <v>39259</v>
      </c>
      <c r="B5699" s="432">
        <v>1960.32</v>
      </c>
      <c r="C5699" s="427">
        <f t="shared" si="176"/>
        <v>2007</v>
      </c>
      <c r="D5699" s="433">
        <f t="shared" si="177"/>
        <v>1960.32</v>
      </c>
    </row>
    <row r="5700" spans="1:4" ht="16.149999999999999" customHeight="1" x14ac:dyDescent="0.25">
      <c r="A5700" s="431">
        <v>39260</v>
      </c>
      <c r="B5700" s="434">
        <v>1965.31</v>
      </c>
      <c r="C5700" s="427">
        <f t="shared" si="176"/>
        <v>2007</v>
      </c>
      <c r="D5700" s="433">
        <f t="shared" si="177"/>
        <v>1965.31</v>
      </c>
    </row>
    <row r="5701" spans="1:4" ht="16.149999999999999" customHeight="1" x14ac:dyDescent="0.25">
      <c r="A5701" s="431">
        <v>39261</v>
      </c>
      <c r="B5701" s="432">
        <v>1982.29</v>
      </c>
      <c r="C5701" s="427">
        <f t="shared" si="176"/>
        <v>2007</v>
      </c>
      <c r="D5701" s="433">
        <f t="shared" si="177"/>
        <v>1982.29</v>
      </c>
    </row>
    <row r="5702" spans="1:4" ht="16.149999999999999" customHeight="1" x14ac:dyDescent="0.25">
      <c r="A5702" s="431">
        <v>39262</v>
      </c>
      <c r="B5702" s="434">
        <v>1958.09</v>
      </c>
      <c r="C5702" s="427">
        <f t="shared" si="176"/>
        <v>2007</v>
      </c>
      <c r="D5702" s="433">
        <f t="shared" si="177"/>
        <v>1958.09</v>
      </c>
    </row>
    <row r="5703" spans="1:4" ht="16.149999999999999" customHeight="1" x14ac:dyDescent="0.25">
      <c r="A5703" s="431">
        <v>39263</v>
      </c>
      <c r="B5703" s="432">
        <v>1960.61</v>
      </c>
      <c r="C5703" s="427">
        <f t="shared" si="176"/>
        <v>2007</v>
      </c>
      <c r="D5703" s="433">
        <f t="shared" si="177"/>
        <v>1960.61</v>
      </c>
    </row>
    <row r="5704" spans="1:4" ht="16.149999999999999" customHeight="1" x14ac:dyDescent="0.25">
      <c r="A5704" s="431">
        <v>39264</v>
      </c>
      <c r="B5704" s="434">
        <v>1960.61</v>
      </c>
      <c r="C5704" s="427">
        <f t="shared" si="176"/>
        <v>2007</v>
      </c>
      <c r="D5704" s="433">
        <f t="shared" si="177"/>
        <v>1960.61</v>
      </c>
    </row>
    <row r="5705" spans="1:4" ht="16.149999999999999" customHeight="1" x14ac:dyDescent="0.25">
      <c r="A5705" s="431">
        <v>39265</v>
      </c>
      <c r="B5705" s="432">
        <v>1960.61</v>
      </c>
      <c r="C5705" s="427">
        <f t="shared" si="176"/>
        <v>2007</v>
      </c>
      <c r="D5705" s="433">
        <f t="shared" si="177"/>
        <v>1960.61</v>
      </c>
    </row>
    <row r="5706" spans="1:4" ht="16.149999999999999" customHeight="1" x14ac:dyDescent="0.25">
      <c r="A5706" s="431">
        <v>39266</v>
      </c>
      <c r="B5706" s="434">
        <v>1960.61</v>
      </c>
      <c r="C5706" s="427">
        <f t="shared" ref="C5706:C5769" si="178">YEAR(A5706)</f>
        <v>2007</v>
      </c>
      <c r="D5706" s="433">
        <f t="shared" ref="D5706:D5769" si="179">B5706</f>
        <v>1960.61</v>
      </c>
    </row>
    <row r="5707" spans="1:4" ht="16.149999999999999" customHeight="1" x14ac:dyDescent="0.25">
      <c r="A5707" s="431">
        <v>39267</v>
      </c>
      <c r="B5707" s="432">
        <v>1958.95</v>
      </c>
      <c r="C5707" s="427">
        <f t="shared" si="178"/>
        <v>2007</v>
      </c>
      <c r="D5707" s="433">
        <f t="shared" si="179"/>
        <v>1958.95</v>
      </c>
    </row>
    <row r="5708" spans="1:4" ht="16.149999999999999" customHeight="1" x14ac:dyDescent="0.25">
      <c r="A5708" s="431">
        <v>39268</v>
      </c>
      <c r="B5708" s="434">
        <v>1958.95</v>
      </c>
      <c r="C5708" s="427">
        <f t="shared" si="178"/>
        <v>2007</v>
      </c>
      <c r="D5708" s="433">
        <f t="shared" si="179"/>
        <v>1958.95</v>
      </c>
    </row>
    <row r="5709" spans="1:4" ht="16.149999999999999" customHeight="1" x14ac:dyDescent="0.25">
      <c r="A5709" s="431">
        <v>39269</v>
      </c>
      <c r="B5709" s="432">
        <v>1969.36</v>
      </c>
      <c r="C5709" s="427">
        <f t="shared" si="178"/>
        <v>2007</v>
      </c>
      <c r="D5709" s="433">
        <f t="shared" si="179"/>
        <v>1969.36</v>
      </c>
    </row>
    <row r="5710" spans="1:4" ht="16.149999999999999" customHeight="1" x14ac:dyDescent="0.25">
      <c r="A5710" s="431">
        <v>39270</v>
      </c>
      <c r="B5710" s="434">
        <v>1962.55</v>
      </c>
      <c r="C5710" s="427">
        <f t="shared" si="178"/>
        <v>2007</v>
      </c>
      <c r="D5710" s="433">
        <f t="shared" si="179"/>
        <v>1962.55</v>
      </c>
    </row>
    <row r="5711" spans="1:4" ht="16.149999999999999" customHeight="1" x14ac:dyDescent="0.25">
      <c r="A5711" s="431">
        <v>39271</v>
      </c>
      <c r="B5711" s="432">
        <v>1962.55</v>
      </c>
      <c r="C5711" s="427">
        <f t="shared" si="178"/>
        <v>2007</v>
      </c>
      <c r="D5711" s="433">
        <f t="shared" si="179"/>
        <v>1962.55</v>
      </c>
    </row>
    <row r="5712" spans="1:4" ht="16.149999999999999" customHeight="1" x14ac:dyDescent="0.25">
      <c r="A5712" s="431">
        <v>39272</v>
      </c>
      <c r="B5712" s="434">
        <v>1962.55</v>
      </c>
      <c r="C5712" s="427">
        <f t="shared" si="178"/>
        <v>2007</v>
      </c>
      <c r="D5712" s="433">
        <f t="shared" si="179"/>
        <v>1962.55</v>
      </c>
    </row>
    <row r="5713" spans="1:4" ht="16.149999999999999" customHeight="1" x14ac:dyDescent="0.25">
      <c r="A5713" s="431">
        <v>39273</v>
      </c>
      <c r="B5713" s="432">
        <v>1945.94</v>
      </c>
      <c r="C5713" s="427">
        <f t="shared" si="178"/>
        <v>2007</v>
      </c>
      <c r="D5713" s="433">
        <f t="shared" si="179"/>
        <v>1945.94</v>
      </c>
    </row>
    <row r="5714" spans="1:4" ht="16.149999999999999" customHeight="1" x14ac:dyDescent="0.25">
      <c r="A5714" s="431">
        <v>39274</v>
      </c>
      <c r="B5714" s="434">
        <v>1960.31</v>
      </c>
      <c r="C5714" s="427">
        <f t="shared" si="178"/>
        <v>2007</v>
      </c>
      <c r="D5714" s="433">
        <f t="shared" si="179"/>
        <v>1960.31</v>
      </c>
    </row>
    <row r="5715" spans="1:4" ht="16.149999999999999" customHeight="1" x14ac:dyDescent="0.25">
      <c r="A5715" s="431">
        <v>39275</v>
      </c>
      <c r="B5715" s="432">
        <v>1964.82</v>
      </c>
      <c r="C5715" s="427">
        <f t="shared" si="178"/>
        <v>2007</v>
      </c>
      <c r="D5715" s="433">
        <f t="shared" si="179"/>
        <v>1964.82</v>
      </c>
    </row>
    <row r="5716" spans="1:4" ht="16.149999999999999" customHeight="1" x14ac:dyDescent="0.25">
      <c r="A5716" s="431">
        <v>39276</v>
      </c>
      <c r="B5716" s="434">
        <v>1954.48</v>
      </c>
      <c r="C5716" s="427">
        <f t="shared" si="178"/>
        <v>2007</v>
      </c>
      <c r="D5716" s="433">
        <f t="shared" si="179"/>
        <v>1954.48</v>
      </c>
    </row>
    <row r="5717" spans="1:4" ht="16.149999999999999" customHeight="1" x14ac:dyDescent="0.25">
      <c r="A5717" s="431">
        <v>39277</v>
      </c>
      <c r="B5717" s="432">
        <v>1956.05</v>
      </c>
      <c r="C5717" s="427">
        <f t="shared" si="178"/>
        <v>2007</v>
      </c>
      <c r="D5717" s="433">
        <f t="shared" si="179"/>
        <v>1956.05</v>
      </c>
    </row>
    <row r="5718" spans="1:4" ht="16.149999999999999" customHeight="1" x14ac:dyDescent="0.25">
      <c r="A5718" s="431">
        <v>39278</v>
      </c>
      <c r="B5718" s="434">
        <v>1956.05</v>
      </c>
      <c r="C5718" s="427">
        <f t="shared" si="178"/>
        <v>2007</v>
      </c>
      <c r="D5718" s="433">
        <f t="shared" si="179"/>
        <v>1956.05</v>
      </c>
    </row>
    <row r="5719" spans="1:4" ht="16.149999999999999" customHeight="1" x14ac:dyDescent="0.25">
      <c r="A5719" s="431">
        <v>39279</v>
      </c>
      <c r="B5719" s="432">
        <v>1956.05</v>
      </c>
      <c r="C5719" s="427">
        <f t="shared" si="178"/>
        <v>2007</v>
      </c>
      <c r="D5719" s="433">
        <f t="shared" si="179"/>
        <v>1956.05</v>
      </c>
    </row>
    <row r="5720" spans="1:4" ht="16.149999999999999" customHeight="1" x14ac:dyDescent="0.25">
      <c r="A5720" s="431">
        <v>39280</v>
      </c>
      <c r="B5720" s="434">
        <v>1942.43</v>
      </c>
      <c r="C5720" s="427">
        <f t="shared" si="178"/>
        <v>2007</v>
      </c>
      <c r="D5720" s="433">
        <f t="shared" si="179"/>
        <v>1942.43</v>
      </c>
    </row>
    <row r="5721" spans="1:4" ht="16.149999999999999" customHeight="1" x14ac:dyDescent="0.25">
      <c r="A5721" s="431">
        <v>39281</v>
      </c>
      <c r="B5721" s="432">
        <v>1931.04</v>
      </c>
      <c r="C5721" s="427">
        <f t="shared" si="178"/>
        <v>2007</v>
      </c>
      <c r="D5721" s="433">
        <f t="shared" si="179"/>
        <v>1931.04</v>
      </c>
    </row>
    <row r="5722" spans="1:4" ht="16.149999999999999" customHeight="1" x14ac:dyDescent="0.25">
      <c r="A5722" s="431">
        <v>39282</v>
      </c>
      <c r="B5722" s="434">
        <v>1928.59</v>
      </c>
      <c r="C5722" s="427">
        <f t="shared" si="178"/>
        <v>2007</v>
      </c>
      <c r="D5722" s="433">
        <f t="shared" si="179"/>
        <v>1928.59</v>
      </c>
    </row>
    <row r="5723" spans="1:4" ht="16.149999999999999" customHeight="1" x14ac:dyDescent="0.25">
      <c r="A5723" s="431">
        <v>39283</v>
      </c>
      <c r="B5723" s="432">
        <v>1921.04</v>
      </c>
      <c r="C5723" s="427">
        <f t="shared" si="178"/>
        <v>2007</v>
      </c>
      <c r="D5723" s="433">
        <f t="shared" si="179"/>
        <v>1921.04</v>
      </c>
    </row>
    <row r="5724" spans="1:4" ht="16.149999999999999" customHeight="1" x14ac:dyDescent="0.25">
      <c r="A5724" s="431">
        <v>39284</v>
      </c>
      <c r="B5724" s="434">
        <v>1921.04</v>
      </c>
      <c r="C5724" s="427">
        <f t="shared" si="178"/>
        <v>2007</v>
      </c>
      <c r="D5724" s="433">
        <f t="shared" si="179"/>
        <v>1921.04</v>
      </c>
    </row>
    <row r="5725" spans="1:4" ht="16.149999999999999" customHeight="1" x14ac:dyDescent="0.25">
      <c r="A5725" s="431">
        <v>39285</v>
      </c>
      <c r="B5725" s="432">
        <v>1921.04</v>
      </c>
      <c r="C5725" s="427">
        <f t="shared" si="178"/>
        <v>2007</v>
      </c>
      <c r="D5725" s="433">
        <f t="shared" si="179"/>
        <v>1921.04</v>
      </c>
    </row>
    <row r="5726" spans="1:4" ht="16.149999999999999" customHeight="1" x14ac:dyDescent="0.25">
      <c r="A5726" s="431">
        <v>39286</v>
      </c>
      <c r="B5726" s="434">
        <v>1921.04</v>
      </c>
      <c r="C5726" s="427">
        <f t="shared" si="178"/>
        <v>2007</v>
      </c>
      <c r="D5726" s="433">
        <f t="shared" si="179"/>
        <v>1921.04</v>
      </c>
    </row>
    <row r="5727" spans="1:4" ht="16.149999999999999" customHeight="1" x14ac:dyDescent="0.25">
      <c r="A5727" s="431">
        <v>39287</v>
      </c>
      <c r="B5727" s="432">
        <v>1912.9</v>
      </c>
      <c r="C5727" s="427">
        <f t="shared" si="178"/>
        <v>2007</v>
      </c>
      <c r="D5727" s="433">
        <f t="shared" si="179"/>
        <v>1912.9</v>
      </c>
    </row>
    <row r="5728" spans="1:4" ht="16.149999999999999" customHeight="1" x14ac:dyDescent="0.25">
      <c r="A5728" s="431">
        <v>39288</v>
      </c>
      <c r="B5728" s="434">
        <v>1916.23</v>
      </c>
      <c r="C5728" s="427">
        <f t="shared" si="178"/>
        <v>2007</v>
      </c>
      <c r="D5728" s="433">
        <f t="shared" si="179"/>
        <v>1916.23</v>
      </c>
    </row>
    <row r="5729" spans="1:4" ht="16.149999999999999" customHeight="1" x14ac:dyDescent="0.25">
      <c r="A5729" s="431">
        <v>39289</v>
      </c>
      <c r="B5729" s="432">
        <v>1935.68</v>
      </c>
      <c r="C5729" s="427">
        <f t="shared" si="178"/>
        <v>2007</v>
      </c>
      <c r="D5729" s="433">
        <f t="shared" si="179"/>
        <v>1935.68</v>
      </c>
    </row>
    <row r="5730" spans="1:4" ht="16.149999999999999" customHeight="1" x14ac:dyDescent="0.25">
      <c r="A5730" s="431">
        <v>39290</v>
      </c>
      <c r="B5730" s="434">
        <v>1981.58</v>
      </c>
      <c r="C5730" s="427">
        <f t="shared" si="178"/>
        <v>2007</v>
      </c>
      <c r="D5730" s="433">
        <f t="shared" si="179"/>
        <v>1981.58</v>
      </c>
    </row>
    <row r="5731" spans="1:4" ht="16.149999999999999" customHeight="1" x14ac:dyDescent="0.25">
      <c r="A5731" s="431">
        <v>39291</v>
      </c>
      <c r="B5731" s="432">
        <v>1984.1</v>
      </c>
      <c r="C5731" s="427">
        <f t="shared" si="178"/>
        <v>2007</v>
      </c>
      <c r="D5731" s="433">
        <f t="shared" si="179"/>
        <v>1984.1</v>
      </c>
    </row>
    <row r="5732" spans="1:4" ht="16.149999999999999" customHeight="1" x14ac:dyDescent="0.25">
      <c r="A5732" s="431">
        <v>39292</v>
      </c>
      <c r="B5732" s="434">
        <v>1984.1</v>
      </c>
      <c r="C5732" s="427">
        <f t="shared" si="178"/>
        <v>2007</v>
      </c>
      <c r="D5732" s="433">
        <f t="shared" si="179"/>
        <v>1984.1</v>
      </c>
    </row>
    <row r="5733" spans="1:4" ht="16.149999999999999" customHeight="1" x14ac:dyDescent="0.25">
      <c r="A5733" s="431">
        <v>39293</v>
      </c>
      <c r="B5733" s="432">
        <v>1984.1</v>
      </c>
      <c r="C5733" s="427">
        <f t="shared" si="178"/>
        <v>2007</v>
      </c>
      <c r="D5733" s="433">
        <f t="shared" si="179"/>
        <v>1984.1</v>
      </c>
    </row>
    <row r="5734" spans="1:4" ht="16.149999999999999" customHeight="1" x14ac:dyDescent="0.25">
      <c r="A5734" s="431">
        <v>39294</v>
      </c>
      <c r="B5734" s="434">
        <v>1971.8</v>
      </c>
      <c r="C5734" s="427">
        <f t="shared" si="178"/>
        <v>2007</v>
      </c>
      <c r="D5734" s="433">
        <f t="shared" si="179"/>
        <v>1971.8</v>
      </c>
    </row>
    <row r="5735" spans="1:4" ht="16.149999999999999" customHeight="1" x14ac:dyDescent="0.25">
      <c r="A5735" s="431">
        <v>39295</v>
      </c>
      <c r="B5735" s="432">
        <v>1958.5</v>
      </c>
      <c r="C5735" s="427">
        <f t="shared" si="178"/>
        <v>2007</v>
      </c>
      <c r="D5735" s="433">
        <f t="shared" si="179"/>
        <v>1958.5</v>
      </c>
    </row>
    <row r="5736" spans="1:4" ht="16.149999999999999" customHeight="1" x14ac:dyDescent="0.25">
      <c r="A5736" s="431">
        <v>39296</v>
      </c>
      <c r="B5736" s="434">
        <v>1971.2</v>
      </c>
      <c r="C5736" s="427">
        <f t="shared" si="178"/>
        <v>2007</v>
      </c>
      <c r="D5736" s="433">
        <f t="shared" si="179"/>
        <v>1971.2</v>
      </c>
    </row>
    <row r="5737" spans="1:4" ht="16.149999999999999" customHeight="1" x14ac:dyDescent="0.25">
      <c r="A5737" s="431">
        <v>39297</v>
      </c>
      <c r="B5737" s="432">
        <v>1957.68</v>
      </c>
      <c r="C5737" s="427">
        <f t="shared" si="178"/>
        <v>2007</v>
      </c>
      <c r="D5737" s="433">
        <f t="shared" si="179"/>
        <v>1957.68</v>
      </c>
    </row>
    <row r="5738" spans="1:4" ht="16.149999999999999" customHeight="1" x14ac:dyDescent="0.25">
      <c r="A5738" s="431">
        <v>39298</v>
      </c>
      <c r="B5738" s="434">
        <v>1963.69</v>
      </c>
      <c r="C5738" s="427">
        <f t="shared" si="178"/>
        <v>2007</v>
      </c>
      <c r="D5738" s="433">
        <f t="shared" si="179"/>
        <v>1963.69</v>
      </c>
    </row>
    <row r="5739" spans="1:4" ht="16.149999999999999" customHeight="1" x14ac:dyDescent="0.25">
      <c r="A5739" s="431">
        <v>39299</v>
      </c>
      <c r="B5739" s="432">
        <v>1963.69</v>
      </c>
      <c r="C5739" s="427">
        <f t="shared" si="178"/>
        <v>2007</v>
      </c>
      <c r="D5739" s="433">
        <f t="shared" si="179"/>
        <v>1963.69</v>
      </c>
    </row>
    <row r="5740" spans="1:4" ht="16.149999999999999" customHeight="1" x14ac:dyDescent="0.25">
      <c r="A5740" s="431">
        <v>39300</v>
      </c>
      <c r="B5740" s="434">
        <v>1963.69</v>
      </c>
      <c r="C5740" s="427">
        <f t="shared" si="178"/>
        <v>2007</v>
      </c>
      <c r="D5740" s="433">
        <f t="shared" si="179"/>
        <v>1963.69</v>
      </c>
    </row>
    <row r="5741" spans="1:4" ht="16.149999999999999" customHeight="1" x14ac:dyDescent="0.25">
      <c r="A5741" s="431">
        <v>39301</v>
      </c>
      <c r="B5741" s="432">
        <v>1976.89</v>
      </c>
      <c r="C5741" s="427">
        <f t="shared" si="178"/>
        <v>2007</v>
      </c>
      <c r="D5741" s="433">
        <f t="shared" si="179"/>
        <v>1976.89</v>
      </c>
    </row>
    <row r="5742" spans="1:4" ht="16.149999999999999" customHeight="1" x14ac:dyDescent="0.25">
      <c r="A5742" s="431">
        <v>39302</v>
      </c>
      <c r="B5742" s="434">
        <v>1976.89</v>
      </c>
      <c r="C5742" s="427">
        <f t="shared" si="178"/>
        <v>2007</v>
      </c>
      <c r="D5742" s="433">
        <f t="shared" si="179"/>
        <v>1976.89</v>
      </c>
    </row>
    <row r="5743" spans="1:4" ht="16.149999999999999" customHeight="1" x14ac:dyDescent="0.25">
      <c r="A5743" s="431">
        <v>39303</v>
      </c>
      <c r="B5743" s="432">
        <v>1957.58</v>
      </c>
      <c r="C5743" s="427">
        <f t="shared" si="178"/>
        <v>2007</v>
      </c>
      <c r="D5743" s="433">
        <f t="shared" si="179"/>
        <v>1957.58</v>
      </c>
    </row>
    <row r="5744" spans="1:4" ht="16.149999999999999" customHeight="1" x14ac:dyDescent="0.25">
      <c r="A5744" s="431">
        <v>39304</v>
      </c>
      <c r="B5744" s="434">
        <v>1981.9</v>
      </c>
      <c r="C5744" s="427">
        <f t="shared" si="178"/>
        <v>2007</v>
      </c>
      <c r="D5744" s="433">
        <f t="shared" si="179"/>
        <v>1981.9</v>
      </c>
    </row>
    <row r="5745" spans="1:4" ht="16.149999999999999" customHeight="1" x14ac:dyDescent="0.25">
      <c r="A5745" s="431">
        <v>39305</v>
      </c>
      <c r="B5745" s="432">
        <v>2006.79</v>
      </c>
      <c r="C5745" s="427">
        <f t="shared" si="178"/>
        <v>2007</v>
      </c>
      <c r="D5745" s="433">
        <f t="shared" si="179"/>
        <v>2006.79</v>
      </c>
    </row>
    <row r="5746" spans="1:4" ht="16.149999999999999" customHeight="1" x14ac:dyDescent="0.25">
      <c r="A5746" s="431">
        <v>39306</v>
      </c>
      <c r="B5746" s="434">
        <v>2006.79</v>
      </c>
      <c r="C5746" s="427">
        <f t="shared" si="178"/>
        <v>2007</v>
      </c>
      <c r="D5746" s="433">
        <f t="shared" si="179"/>
        <v>2006.79</v>
      </c>
    </row>
    <row r="5747" spans="1:4" ht="16.149999999999999" customHeight="1" x14ac:dyDescent="0.25">
      <c r="A5747" s="431">
        <v>39307</v>
      </c>
      <c r="B5747" s="432">
        <v>2006.79</v>
      </c>
      <c r="C5747" s="427">
        <f t="shared" si="178"/>
        <v>2007</v>
      </c>
      <c r="D5747" s="433">
        <f t="shared" si="179"/>
        <v>2006.79</v>
      </c>
    </row>
    <row r="5748" spans="1:4" ht="16.149999999999999" customHeight="1" x14ac:dyDescent="0.25">
      <c r="A5748" s="431">
        <v>39308</v>
      </c>
      <c r="B5748" s="434">
        <v>1997.38</v>
      </c>
      <c r="C5748" s="427">
        <f t="shared" si="178"/>
        <v>2007</v>
      </c>
      <c r="D5748" s="433">
        <f t="shared" si="179"/>
        <v>1997.38</v>
      </c>
    </row>
    <row r="5749" spans="1:4" ht="16.149999999999999" customHeight="1" x14ac:dyDescent="0.25">
      <c r="A5749" s="431">
        <v>39309</v>
      </c>
      <c r="B5749" s="432">
        <v>2016.3</v>
      </c>
      <c r="C5749" s="427">
        <f t="shared" si="178"/>
        <v>2007</v>
      </c>
      <c r="D5749" s="433">
        <f t="shared" si="179"/>
        <v>2016.3</v>
      </c>
    </row>
    <row r="5750" spans="1:4" ht="16.149999999999999" customHeight="1" x14ac:dyDescent="0.25">
      <c r="A5750" s="431">
        <v>39310</v>
      </c>
      <c r="B5750" s="434">
        <v>2048.44</v>
      </c>
      <c r="C5750" s="427">
        <f t="shared" si="178"/>
        <v>2007</v>
      </c>
      <c r="D5750" s="433">
        <f t="shared" si="179"/>
        <v>2048.44</v>
      </c>
    </row>
    <row r="5751" spans="1:4" ht="16.149999999999999" customHeight="1" x14ac:dyDescent="0.25">
      <c r="A5751" s="431">
        <v>39311</v>
      </c>
      <c r="B5751" s="432">
        <v>2124.4</v>
      </c>
      <c r="C5751" s="427">
        <f t="shared" si="178"/>
        <v>2007</v>
      </c>
      <c r="D5751" s="433">
        <f t="shared" si="179"/>
        <v>2124.4</v>
      </c>
    </row>
    <row r="5752" spans="1:4" ht="16.149999999999999" customHeight="1" x14ac:dyDescent="0.25">
      <c r="A5752" s="431">
        <v>39312</v>
      </c>
      <c r="B5752" s="434">
        <v>2113.54</v>
      </c>
      <c r="C5752" s="427">
        <f t="shared" si="178"/>
        <v>2007</v>
      </c>
      <c r="D5752" s="433">
        <f t="shared" si="179"/>
        <v>2113.54</v>
      </c>
    </row>
    <row r="5753" spans="1:4" ht="16.149999999999999" customHeight="1" x14ac:dyDescent="0.25">
      <c r="A5753" s="431">
        <v>39313</v>
      </c>
      <c r="B5753" s="432">
        <v>2113.54</v>
      </c>
      <c r="C5753" s="427">
        <f t="shared" si="178"/>
        <v>2007</v>
      </c>
      <c r="D5753" s="433">
        <f t="shared" si="179"/>
        <v>2113.54</v>
      </c>
    </row>
    <row r="5754" spans="1:4" ht="16.149999999999999" customHeight="1" x14ac:dyDescent="0.25">
      <c r="A5754" s="431">
        <v>39314</v>
      </c>
      <c r="B5754" s="434">
        <v>2113.54</v>
      </c>
      <c r="C5754" s="427">
        <f t="shared" si="178"/>
        <v>2007</v>
      </c>
      <c r="D5754" s="433">
        <f t="shared" si="179"/>
        <v>2113.54</v>
      </c>
    </row>
    <row r="5755" spans="1:4" ht="16.149999999999999" customHeight="1" x14ac:dyDescent="0.25">
      <c r="A5755" s="431">
        <v>39315</v>
      </c>
      <c r="B5755" s="432">
        <v>2113.54</v>
      </c>
      <c r="C5755" s="427">
        <f t="shared" si="178"/>
        <v>2007</v>
      </c>
      <c r="D5755" s="433">
        <f t="shared" si="179"/>
        <v>2113.54</v>
      </c>
    </row>
    <row r="5756" spans="1:4" ht="16.149999999999999" customHeight="1" x14ac:dyDescent="0.25">
      <c r="A5756" s="431">
        <v>39316</v>
      </c>
      <c r="B5756" s="434">
        <v>2154.94</v>
      </c>
      <c r="C5756" s="427">
        <f t="shared" si="178"/>
        <v>2007</v>
      </c>
      <c r="D5756" s="433">
        <f t="shared" si="179"/>
        <v>2154.94</v>
      </c>
    </row>
    <row r="5757" spans="1:4" ht="16.149999999999999" customHeight="1" x14ac:dyDescent="0.25">
      <c r="A5757" s="431">
        <v>39317</v>
      </c>
      <c r="B5757" s="432">
        <v>2133.04</v>
      </c>
      <c r="C5757" s="427">
        <f t="shared" si="178"/>
        <v>2007</v>
      </c>
      <c r="D5757" s="433">
        <f t="shared" si="179"/>
        <v>2133.04</v>
      </c>
    </row>
    <row r="5758" spans="1:4" ht="16.149999999999999" customHeight="1" x14ac:dyDescent="0.25">
      <c r="A5758" s="431">
        <v>39318</v>
      </c>
      <c r="B5758" s="434">
        <v>2138.13</v>
      </c>
      <c r="C5758" s="427">
        <f t="shared" si="178"/>
        <v>2007</v>
      </c>
      <c r="D5758" s="433">
        <f t="shared" si="179"/>
        <v>2138.13</v>
      </c>
    </row>
    <row r="5759" spans="1:4" ht="16.149999999999999" customHeight="1" x14ac:dyDescent="0.25">
      <c r="A5759" s="431">
        <v>39319</v>
      </c>
      <c r="B5759" s="432">
        <v>2128.17</v>
      </c>
      <c r="C5759" s="427">
        <f t="shared" si="178"/>
        <v>2007</v>
      </c>
      <c r="D5759" s="433">
        <f t="shared" si="179"/>
        <v>2128.17</v>
      </c>
    </row>
    <row r="5760" spans="1:4" ht="16.149999999999999" customHeight="1" x14ac:dyDescent="0.25">
      <c r="A5760" s="431">
        <v>39320</v>
      </c>
      <c r="B5760" s="434">
        <v>2128.17</v>
      </c>
      <c r="C5760" s="427">
        <f t="shared" si="178"/>
        <v>2007</v>
      </c>
      <c r="D5760" s="433">
        <f t="shared" si="179"/>
        <v>2128.17</v>
      </c>
    </row>
    <row r="5761" spans="1:4" ht="16.149999999999999" customHeight="1" x14ac:dyDescent="0.25">
      <c r="A5761" s="431">
        <v>39321</v>
      </c>
      <c r="B5761" s="432">
        <v>2128.17</v>
      </c>
      <c r="C5761" s="427">
        <f t="shared" si="178"/>
        <v>2007</v>
      </c>
      <c r="D5761" s="433">
        <f t="shared" si="179"/>
        <v>2128.17</v>
      </c>
    </row>
    <row r="5762" spans="1:4" ht="16.149999999999999" customHeight="1" x14ac:dyDescent="0.25">
      <c r="A5762" s="431">
        <v>39322</v>
      </c>
      <c r="B5762" s="434">
        <v>2114.15</v>
      </c>
      <c r="C5762" s="427">
        <f t="shared" si="178"/>
        <v>2007</v>
      </c>
      <c r="D5762" s="433">
        <f t="shared" si="179"/>
        <v>2114.15</v>
      </c>
    </row>
    <row r="5763" spans="1:4" ht="16.149999999999999" customHeight="1" x14ac:dyDescent="0.25">
      <c r="A5763" s="431">
        <v>39323</v>
      </c>
      <c r="B5763" s="432">
        <v>2147.34</v>
      </c>
      <c r="C5763" s="427">
        <f t="shared" si="178"/>
        <v>2007</v>
      </c>
      <c r="D5763" s="433">
        <f t="shared" si="179"/>
        <v>2147.34</v>
      </c>
    </row>
    <row r="5764" spans="1:4" ht="16.149999999999999" customHeight="1" x14ac:dyDescent="0.25">
      <c r="A5764" s="431">
        <v>39324</v>
      </c>
      <c r="B5764" s="434">
        <v>2160.65</v>
      </c>
      <c r="C5764" s="427">
        <f t="shared" si="178"/>
        <v>2007</v>
      </c>
      <c r="D5764" s="433">
        <f t="shared" si="179"/>
        <v>2160.65</v>
      </c>
    </row>
    <row r="5765" spans="1:4" ht="16.149999999999999" customHeight="1" x14ac:dyDescent="0.25">
      <c r="A5765" s="431">
        <v>39325</v>
      </c>
      <c r="B5765" s="432">
        <v>2173.17</v>
      </c>
      <c r="C5765" s="427">
        <f t="shared" si="178"/>
        <v>2007</v>
      </c>
      <c r="D5765" s="433">
        <f t="shared" si="179"/>
        <v>2173.17</v>
      </c>
    </row>
    <row r="5766" spans="1:4" ht="16.149999999999999" customHeight="1" x14ac:dyDescent="0.25">
      <c r="A5766" s="431">
        <v>39326</v>
      </c>
      <c r="B5766" s="434">
        <v>2160.9899999999998</v>
      </c>
      <c r="C5766" s="427">
        <f t="shared" si="178"/>
        <v>2007</v>
      </c>
      <c r="D5766" s="433">
        <f t="shared" si="179"/>
        <v>2160.9899999999998</v>
      </c>
    </row>
    <row r="5767" spans="1:4" ht="16.149999999999999" customHeight="1" x14ac:dyDescent="0.25">
      <c r="A5767" s="431">
        <v>39327</v>
      </c>
      <c r="B5767" s="432">
        <v>2160.9899999999998</v>
      </c>
      <c r="C5767" s="427">
        <f t="shared" si="178"/>
        <v>2007</v>
      </c>
      <c r="D5767" s="433">
        <f t="shared" si="179"/>
        <v>2160.9899999999998</v>
      </c>
    </row>
    <row r="5768" spans="1:4" ht="16.149999999999999" customHeight="1" x14ac:dyDescent="0.25">
      <c r="A5768" s="431">
        <v>39328</v>
      </c>
      <c r="B5768" s="434">
        <v>2160.9899999999998</v>
      </c>
      <c r="C5768" s="427">
        <f t="shared" si="178"/>
        <v>2007</v>
      </c>
      <c r="D5768" s="433">
        <f t="shared" si="179"/>
        <v>2160.9899999999998</v>
      </c>
    </row>
    <row r="5769" spans="1:4" ht="16.149999999999999" customHeight="1" x14ac:dyDescent="0.25">
      <c r="A5769" s="431">
        <v>39329</v>
      </c>
      <c r="B5769" s="432">
        <v>2160.9899999999998</v>
      </c>
      <c r="C5769" s="427">
        <f t="shared" si="178"/>
        <v>2007</v>
      </c>
      <c r="D5769" s="433">
        <f t="shared" si="179"/>
        <v>2160.9899999999998</v>
      </c>
    </row>
    <row r="5770" spans="1:4" ht="16.149999999999999" customHeight="1" x14ac:dyDescent="0.25">
      <c r="A5770" s="431">
        <v>39330</v>
      </c>
      <c r="B5770" s="434">
        <v>2161.56</v>
      </c>
      <c r="C5770" s="427">
        <f t="shared" ref="C5770:C5833" si="180">YEAR(A5770)</f>
        <v>2007</v>
      </c>
      <c r="D5770" s="433">
        <f t="shared" ref="D5770:D5833" si="181">B5770</f>
        <v>2161.56</v>
      </c>
    </row>
    <row r="5771" spans="1:4" ht="16.149999999999999" customHeight="1" x14ac:dyDescent="0.25">
      <c r="A5771" s="431">
        <v>39331</v>
      </c>
      <c r="B5771" s="432">
        <v>2174.56</v>
      </c>
      <c r="C5771" s="427">
        <f t="shared" si="180"/>
        <v>2007</v>
      </c>
      <c r="D5771" s="433">
        <f t="shared" si="181"/>
        <v>2174.56</v>
      </c>
    </row>
    <row r="5772" spans="1:4" ht="16.149999999999999" customHeight="1" x14ac:dyDescent="0.25">
      <c r="A5772" s="431">
        <v>39332</v>
      </c>
      <c r="B5772" s="434">
        <v>2166.6</v>
      </c>
      <c r="C5772" s="427">
        <f t="shared" si="180"/>
        <v>2007</v>
      </c>
      <c r="D5772" s="433">
        <f t="shared" si="181"/>
        <v>2166.6</v>
      </c>
    </row>
    <row r="5773" spans="1:4" ht="16.149999999999999" customHeight="1" x14ac:dyDescent="0.25">
      <c r="A5773" s="431">
        <v>39333</v>
      </c>
      <c r="B5773" s="432">
        <v>2191</v>
      </c>
      <c r="C5773" s="427">
        <f t="shared" si="180"/>
        <v>2007</v>
      </c>
      <c r="D5773" s="433">
        <f t="shared" si="181"/>
        <v>2191</v>
      </c>
    </row>
    <row r="5774" spans="1:4" ht="16.149999999999999" customHeight="1" x14ac:dyDescent="0.25">
      <c r="A5774" s="431">
        <v>39334</v>
      </c>
      <c r="B5774" s="434">
        <v>2191</v>
      </c>
      <c r="C5774" s="427">
        <f t="shared" si="180"/>
        <v>2007</v>
      </c>
      <c r="D5774" s="433">
        <f t="shared" si="181"/>
        <v>2191</v>
      </c>
    </row>
    <row r="5775" spans="1:4" ht="16.149999999999999" customHeight="1" x14ac:dyDescent="0.25">
      <c r="A5775" s="431">
        <v>39335</v>
      </c>
      <c r="B5775" s="432">
        <v>2191</v>
      </c>
      <c r="C5775" s="427">
        <f t="shared" si="180"/>
        <v>2007</v>
      </c>
      <c r="D5775" s="433">
        <f t="shared" si="181"/>
        <v>2191</v>
      </c>
    </row>
    <row r="5776" spans="1:4" ht="16.149999999999999" customHeight="1" x14ac:dyDescent="0.25">
      <c r="A5776" s="431">
        <v>39336</v>
      </c>
      <c r="B5776" s="434">
        <v>2194.65</v>
      </c>
      <c r="C5776" s="427">
        <f t="shared" si="180"/>
        <v>2007</v>
      </c>
      <c r="D5776" s="433">
        <f t="shared" si="181"/>
        <v>2194.65</v>
      </c>
    </row>
    <row r="5777" spans="1:4" ht="16.149999999999999" customHeight="1" x14ac:dyDescent="0.25">
      <c r="A5777" s="431">
        <v>39337</v>
      </c>
      <c r="B5777" s="432">
        <v>2185.89</v>
      </c>
      <c r="C5777" s="427">
        <f t="shared" si="180"/>
        <v>2007</v>
      </c>
      <c r="D5777" s="433">
        <f t="shared" si="181"/>
        <v>2185.89</v>
      </c>
    </row>
    <row r="5778" spans="1:4" ht="16.149999999999999" customHeight="1" x14ac:dyDescent="0.25">
      <c r="A5778" s="431">
        <v>39338</v>
      </c>
      <c r="B5778" s="434">
        <v>2182.2199999999998</v>
      </c>
      <c r="C5778" s="427">
        <f t="shared" si="180"/>
        <v>2007</v>
      </c>
      <c r="D5778" s="433">
        <f t="shared" si="181"/>
        <v>2182.2199999999998</v>
      </c>
    </row>
    <row r="5779" spans="1:4" ht="16.149999999999999" customHeight="1" x14ac:dyDescent="0.25">
      <c r="A5779" s="431">
        <v>39339</v>
      </c>
      <c r="B5779" s="432">
        <v>2157.75</v>
      </c>
      <c r="C5779" s="427">
        <f t="shared" si="180"/>
        <v>2007</v>
      </c>
      <c r="D5779" s="433">
        <f t="shared" si="181"/>
        <v>2157.75</v>
      </c>
    </row>
    <row r="5780" spans="1:4" ht="16.149999999999999" customHeight="1" x14ac:dyDescent="0.25">
      <c r="A5780" s="431">
        <v>39340</v>
      </c>
      <c r="B5780" s="434">
        <v>2128.5</v>
      </c>
      <c r="C5780" s="427">
        <f t="shared" si="180"/>
        <v>2007</v>
      </c>
      <c r="D5780" s="433">
        <f t="shared" si="181"/>
        <v>2128.5</v>
      </c>
    </row>
    <row r="5781" spans="1:4" ht="16.149999999999999" customHeight="1" x14ac:dyDescent="0.25">
      <c r="A5781" s="431">
        <v>39341</v>
      </c>
      <c r="B5781" s="432">
        <v>2128.5</v>
      </c>
      <c r="C5781" s="427">
        <f t="shared" si="180"/>
        <v>2007</v>
      </c>
      <c r="D5781" s="433">
        <f t="shared" si="181"/>
        <v>2128.5</v>
      </c>
    </row>
    <row r="5782" spans="1:4" ht="16.149999999999999" customHeight="1" x14ac:dyDescent="0.25">
      <c r="A5782" s="431">
        <v>39342</v>
      </c>
      <c r="B5782" s="434">
        <v>2128.5</v>
      </c>
      <c r="C5782" s="427">
        <f t="shared" si="180"/>
        <v>2007</v>
      </c>
      <c r="D5782" s="433">
        <f t="shared" si="181"/>
        <v>2128.5</v>
      </c>
    </row>
    <row r="5783" spans="1:4" ht="16.149999999999999" customHeight="1" x14ac:dyDescent="0.25">
      <c r="A5783" s="431">
        <v>39343</v>
      </c>
      <c r="B5783" s="432">
        <v>2130.66</v>
      </c>
      <c r="C5783" s="427">
        <f t="shared" si="180"/>
        <v>2007</v>
      </c>
      <c r="D5783" s="433">
        <f t="shared" si="181"/>
        <v>2130.66</v>
      </c>
    </row>
    <row r="5784" spans="1:4" ht="16.149999999999999" customHeight="1" x14ac:dyDescent="0.25">
      <c r="A5784" s="431">
        <v>39344</v>
      </c>
      <c r="B5784" s="434">
        <v>2124.36</v>
      </c>
      <c r="C5784" s="427">
        <f t="shared" si="180"/>
        <v>2007</v>
      </c>
      <c r="D5784" s="433">
        <f t="shared" si="181"/>
        <v>2124.36</v>
      </c>
    </row>
    <row r="5785" spans="1:4" ht="16.149999999999999" customHeight="1" x14ac:dyDescent="0.25">
      <c r="A5785" s="431">
        <v>39345</v>
      </c>
      <c r="B5785" s="432">
        <v>2055.2800000000002</v>
      </c>
      <c r="C5785" s="427">
        <f t="shared" si="180"/>
        <v>2007</v>
      </c>
      <c r="D5785" s="433">
        <f t="shared" si="181"/>
        <v>2055.2800000000002</v>
      </c>
    </row>
    <row r="5786" spans="1:4" ht="16.149999999999999" customHeight="1" x14ac:dyDescent="0.25">
      <c r="A5786" s="431">
        <v>39346</v>
      </c>
      <c r="B5786" s="434">
        <v>2042.63</v>
      </c>
      <c r="C5786" s="427">
        <f t="shared" si="180"/>
        <v>2007</v>
      </c>
      <c r="D5786" s="433">
        <f t="shared" si="181"/>
        <v>2042.63</v>
      </c>
    </row>
    <row r="5787" spans="1:4" ht="16.149999999999999" customHeight="1" x14ac:dyDescent="0.25">
      <c r="A5787" s="431">
        <v>39347</v>
      </c>
      <c r="B5787" s="432">
        <v>2026.33</v>
      </c>
      <c r="C5787" s="427">
        <f t="shared" si="180"/>
        <v>2007</v>
      </c>
      <c r="D5787" s="433">
        <f t="shared" si="181"/>
        <v>2026.33</v>
      </c>
    </row>
    <row r="5788" spans="1:4" ht="16.149999999999999" customHeight="1" x14ac:dyDescent="0.25">
      <c r="A5788" s="431">
        <v>39348</v>
      </c>
      <c r="B5788" s="434">
        <v>2026.33</v>
      </c>
      <c r="C5788" s="427">
        <f t="shared" si="180"/>
        <v>2007</v>
      </c>
      <c r="D5788" s="433">
        <f t="shared" si="181"/>
        <v>2026.33</v>
      </c>
    </row>
    <row r="5789" spans="1:4" ht="16.149999999999999" customHeight="1" x14ac:dyDescent="0.25">
      <c r="A5789" s="431">
        <v>39349</v>
      </c>
      <c r="B5789" s="432">
        <v>2026.33</v>
      </c>
      <c r="C5789" s="427">
        <f t="shared" si="180"/>
        <v>2007</v>
      </c>
      <c r="D5789" s="433">
        <f t="shared" si="181"/>
        <v>2026.33</v>
      </c>
    </row>
    <row r="5790" spans="1:4" ht="16.149999999999999" customHeight="1" x14ac:dyDescent="0.25">
      <c r="A5790" s="431">
        <v>39350</v>
      </c>
      <c r="B5790" s="434">
        <v>2028.95</v>
      </c>
      <c r="C5790" s="427">
        <f t="shared" si="180"/>
        <v>2007</v>
      </c>
      <c r="D5790" s="433">
        <f t="shared" si="181"/>
        <v>2028.95</v>
      </c>
    </row>
    <row r="5791" spans="1:4" ht="16.149999999999999" customHeight="1" x14ac:dyDescent="0.25">
      <c r="A5791" s="431">
        <v>39351</v>
      </c>
      <c r="B5791" s="432">
        <v>2045.51</v>
      </c>
      <c r="C5791" s="427">
        <f t="shared" si="180"/>
        <v>2007</v>
      </c>
      <c r="D5791" s="433">
        <f t="shared" si="181"/>
        <v>2045.51</v>
      </c>
    </row>
    <row r="5792" spans="1:4" ht="16.149999999999999" customHeight="1" x14ac:dyDescent="0.25">
      <c r="A5792" s="431">
        <v>39352</v>
      </c>
      <c r="B5792" s="434">
        <v>2009.46</v>
      </c>
      <c r="C5792" s="427">
        <f t="shared" si="180"/>
        <v>2007</v>
      </c>
      <c r="D5792" s="433">
        <f t="shared" si="181"/>
        <v>2009.46</v>
      </c>
    </row>
    <row r="5793" spans="1:4" ht="16.149999999999999" customHeight="1" x14ac:dyDescent="0.25">
      <c r="A5793" s="431">
        <v>39353</v>
      </c>
      <c r="B5793" s="432">
        <v>2013.18</v>
      </c>
      <c r="C5793" s="427">
        <f t="shared" si="180"/>
        <v>2007</v>
      </c>
      <c r="D5793" s="433">
        <f t="shared" si="181"/>
        <v>2013.18</v>
      </c>
    </row>
    <row r="5794" spans="1:4" ht="16.149999999999999" customHeight="1" x14ac:dyDescent="0.25">
      <c r="A5794" s="431">
        <v>39354</v>
      </c>
      <c r="B5794" s="434">
        <v>2023.19</v>
      </c>
      <c r="C5794" s="427">
        <f t="shared" si="180"/>
        <v>2007</v>
      </c>
      <c r="D5794" s="433">
        <f t="shared" si="181"/>
        <v>2023.19</v>
      </c>
    </row>
    <row r="5795" spans="1:4" ht="16.149999999999999" customHeight="1" x14ac:dyDescent="0.25">
      <c r="A5795" s="431">
        <v>39355</v>
      </c>
      <c r="B5795" s="432">
        <v>2023.19</v>
      </c>
      <c r="C5795" s="427">
        <f t="shared" si="180"/>
        <v>2007</v>
      </c>
      <c r="D5795" s="433">
        <f t="shared" si="181"/>
        <v>2023.19</v>
      </c>
    </row>
    <row r="5796" spans="1:4" ht="16.149999999999999" customHeight="1" x14ac:dyDescent="0.25">
      <c r="A5796" s="431">
        <v>39356</v>
      </c>
      <c r="B5796" s="434">
        <v>2023.19</v>
      </c>
      <c r="C5796" s="427">
        <f t="shared" si="180"/>
        <v>2007</v>
      </c>
      <c r="D5796" s="433">
        <f t="shared" si="181"/>
        <v>2023.19</v>
      </c>
    </row>
    <row r="5797" spans="1:4" ht="16.149999999999999" customHeight="1" x14ac:dyDescent="0.25">
      <c r="A5797" s="431">
        <v>39357</v>
      </c>
      <c r="B5797" s="432">
        <v>2015.75</v>
      </c>
      <c r="C5797" s="427">
        <f t="shared" si="180"/>
        <v>2007</v>
      </c>
      <c r="D5797" s="433">
        <f t="shared" si="181"/>
        <v>2015.75</v>
      </c>
    </row>
    <row r="5798" spans="1:4" ht="16.149999999999999" customHeight="1" x14ac:dyDescent="0.25">
      <c r="A5798" s="431">
        <v>39358</v>
      </c>
      <c r="B5798" s="434">
        <v>2013.39</v>
      </c>
      <c r="C5798" s="427">
        <f t="shared" si="180"/>
        <v>2007</v>
      </c>
      <c r="D5798" s="433">
        <f t="shared" si="181"/>
        <v>2013.39</v>
      </c>
    </row>
    <row r="5799" spans="1:4" ht="16.149999999999999" customHeight="1" x14ac:dyDescent="0.25">
      <c r="A5799" s="431">
        <v>39359</v>
      </c>
      <c r="B5799" s="432">
        <v>2017.69</v>
      </c>
      <c r="C5799" s="427">
        <f t="shared" si="180"/>
        <v>2007</v>
      </c>
      <c r="D5799" s="433">
        <f t="shared" si="181"/>
        <v>2017.69</v>
      </c>
    </row>
    <row r="5800" spans="1:4" ht="16.149999999999999" customHeight="1" x14ac:dyDescent="0.25">
      <c r="A5800" s="431">
        <v>39360</v>
      </c>
      <c r="B5800" s="434">
        <v>2018.45</v>
      </c>
      <c r="C5800" s="427">
        <f t="shared" si="180"/>
        <v>2007</v>
      </c>
      <c r="D5800" s="433">
        <f t="shared" si="181"/>
        <v>2018.45</v>
      </c>
    </row>
    <row r="5801" spans="1:4" ht="16.149999999999999" customHeight="1" x14ac:dyDescent="0.25">
      <c r="A5801" s="431">
        <v>39361</v>
      </c>
      <c r="B5801" s="432">
        <v>1999.95</v>
      </c>
      <c r="C5801" s="427">
        <f t="shared" si="180"/>
        <v>2007</v>
      </c>
      <c r="D5801" s="433">
        <f t="shared" si="181"/>
        <v>1999.95</v>
      </c>
    </row>
    <row r="5802" spans="1:4" ht="16.149999999999999" customHeight="1" x14ac:dyDescent="0.25">
      <c r="A5802" s="431">
        <v>39362</v>
      </c>
      <c r="B5802" s="434">
        <v>1999.95</v>
      </c>
      <c r="C5802" s="427">
        <f t="shared" si="180"/>
        <v>2007</v>
      </c>
      <c r="D5802" s="433">
        <f t="shared" si="181"/>
        <v>1999.95</v>
      </c>
    </row>
    <row r="5803" spans="1:4" ht="16.149999999999999" customHeight="1" x14ac:dyDescent="0.25">
      <c r="A5803" s="431">
        <v>39363</v>
      </c>
      <c r="B5803" s="432">
        <v>1999.95</v>
      </c>
      <c r="C5803" s="427">
        <f t="shared" si="180"/>
        <v>2007</v>
      </c>
      <c r="D5803" s="433">
        <f t="shared" si="181"/>
        <v>1999.95</v>
      </c>
    </row>
    <row r="5804" spans="1:4" ht="16.149999999999999" customHeight="1" x14ac:dyDescent="0.25">
      <c r="A5804" s="431">
        <v>39364</v>
      </c>
      <c r="B5804" s="434">
        <v>1999.95</v>
      </c>
      <c r="C5804" s="427">
        <f t="shared" si="180"/>
        <v>2007</v>
      </c>
      <c r="D5804" s="433">
        <f t="shared" si="181"/>
        <v>1999.95</v>
      </c>
    </row>
    <row r="5805" spans="1:4" ht="16.149999999999999" customHeight="1" x14ac:dyDescent="0.25">
      <c r="A5805" s="431">
        <v>39365</v>
      </c>
      <c r="B5805" s="432">
        <v>1968.13</v>
      </c>
      <c r="C5805" s="427">
        <f t="shared" si="180"/>
        <v>2007</v>
      </c>
      <c r="D5805" s="433">
        <f t="shared" si="181"/>
        <v>1968.13</v>
      </c>
    </row>
    <row r="5806" spans="1:4" ht="16.149999999999999" customHeight="1" x14ac:dyDescent="0.25">
      <c r="A5806" s="431">
        <v>39366</v>
      </c>
      <c r="B5806" s="434">
        <v>1972.81</v>
      </c>
      <c r="C5806" s="427">
        <f t="shared" si="180"/>
        <v>2007</v>
      </c>
      <c r="D5806" s="433">
        <f t="shared" si="181"/>
        <v>1972.81</v>
      </c>
    </row>
    <row r="5807" spans="1:4" ht="16.149999999999999" customHeight="1" x14ac:dyDescent="0.25">
      <c r="A5807" s="431">
        <v>39367</v>
      </c>
      <c r="B5807" s="432">
        <v>1963.03</v>
      </c>
      <c r="C5807" s="427">
        <f t="shared" si="180"/>
        <v>2007</v>
      </c>
      <c r="D5807" s="433">
        <f t="shared" si="181"/>
        <v>1963.03</v>
      </c>
    </row>
    <row r="5808" spans="1:4" ht="16.149999999999999" customHeight="1" x14ac:dyDescent="0.25">
      <c r="A5808" s="431">
        <v>39368</v>
      </c>
      <c r="B5808" s="434">
        <v>1978.97</v>
      </c>
      <c r="C5808" s="427">
        <f t="shared" si="180"/>
        <v>2007</v>
      </c>
      <c r="D5808" s="433">
        <f t="shared" si="181"/>
        <v>1978.97</v>
      </c>
    </row>
    <row r="5809" spans="1:4" ht="16.149999999999999" customHeight="1" x14ac:dyDescent="0.25">
      <c r="A5809" s="431">
        <v>39369</v>
      </c>
      <c r="B5809" s="432">
        <v>1978.97</v>
      </c>
      <c r="C5809" s="427">
        <f t="shared" si="180"/>
        <v>2007</v>
      </c>
      <c r="D5809" s="433">
        <f t="shared" si="181"/>
        <v>1978.97</v>
      </c>
    </row>
    <row r="5810" spans="1:4" ht="16.149999999999999" customHeight="1" x14ac:dyDescent="0.25">
      <c r="A5810" s="431">
        <v>39370</v>
      </c>
      <c r="B5810" s="434">
        <v>1978.97</v>
      </c>
      <c r="C5810" s="427">
        <f t="shared" si="180"/>
        <v>2007</v>
      </c>
      <c r="D5810" s="433">
        <f t="shared" si="181"/>
        <v>1978.97</v>
      </c>
    </row>
    <row r="5811" spans="1:4" ht="16.149999999999999" customHeight="1" x14ac:dyDescent="0.25">
      <c r="A5811" s="431">
        <v>39371</v>
      </c>
      <c r="B5811" s="432">
        <v>1978.97</v>
      </c>
      <c r="C5811" s="427">
        <f t="shared" si="180"/>
        <v>2007</v>
      </c>
      <c r="D5811" s="433">
        <f t="shared" si="181"/>
        <v>1978.97</v>
      </c>
    </row>
    <row r="5812" spans="1:4" ht="16.149999999999999" customHeight="1" x14ac:dyDescent="0.25">
      <c r="A5812" s="431">
        <v>39372</v>
      </c>
      <c r="B5812" s="434">
        <v>2004.58</v>
      </c>
      <c r="C5812" s="427">
        <f t="shared" si="180"/>
        <v>2007</v>
      </c>
      <c r="D5812" s="433">
        <f t="shared" si="181"/>
        <v>2004.58</v>
      </c>
    </row>
    <row r="5813" spans="1:4" ht="16.149999999999999" customHeight="1" x14ac:dyDescent="0.25">
      <c r="A5813" s="431">
        <v>39373</v>
      </c>
      <c r="B5813" s="432">
        <v>1994.06</v>
      </c>
      <c r="C5813" s="427">
        <f t="shared" si="180"/>
        <v>2007</v>
      </c>
      <c r="D5813" s="433">
        <f t="shared" si="181"/>
        <v>1994.06</v>
      </c>
    </row>
    <row r="5814" spans="1:4" ht="16.149999999999999" customHeight="1" x14ac:dyDescent="0.25">
      <c r="A5814" s="431">
        <v>39374</v>
      </c>
      <c r="B5814" s="434">
        <v>2018.55</v>
      </c>
      <c r="C5814" s="427">
        <f t="shared" si="180"/>
        <v>2007</v>
      </c>
      <c r="D5814" s="433">
        <f t="shared" si="181"/>
        <v>2018.55</v>
      </c>
    </row>
    <row r="5815" spans="1:4" ht="16.149999999999999" customHeight="1" x14ac:dyDescent="0.25">
      <c r="A5815" s="431">
        <v>39375</v>
      </c>
      <c r="B5815" s="432">
        <v>2007.24</v>
      </c>
      <c r="C5815" s="427">
        <f t="shared" si="180"/>
        <v>2007</v>
      </c>
      <c r="D5815" s="433">
        <f t="shared" si="181"/>
        <v>2007.24</v>
      </c>
    </row>
    <row r="5816" spans="1:4" ht="16.149999999999999" customHeight="1" x14ac:dyDescent="0.25">
      <c r="A5816" s="431">
        <v>39376</v>
      </c>
      <c r="B5816" s="434">
        <v>2007.24</v>
      </c>
      <c r="C5816" s="427">
        <f t="shared" si="180"/>
        <v>2007</v>
      </c>
      <c r="D5816" s="433">
        <f t="shared" si="181"/>
        <v>2007.24</v>
      </c>
    </row>
    <row r="5817" spans="1:4" ht="16.149999999999999" customHeight="1" x14ac:dyDescent="0.25">
      <c r="A5817" s="431">
        <v>39377</v>
      </c>
      <c r="B5817" s="432">
        <v>2007.24</v>
      </c>
      <c r="C5817" s="427">
        <f t="shared" si="180"/>
        <v>2007</v>
      </c>
      <c r="D5817" s="433">
        <f t="shared" si="181"/>
        <v>2007.24</v>
      </c>
    </row>
    <row r="5818" spans="1:4" ht="16.149999999999999" customHeight="1" x14ac:dyDescent="0.25">
      <c r="A5818" s="431">
        <v>39378</v>
      </c>
      <c r="B5818" s="434">
        <v>2022.76</v>
      </c>
      <c r="C5818" s="427">
        <f t="shared" si="180"/>
        <v>2007</v>
      </c>
      <c r="D5818" s="433">
        <f t="shared" si="181"/>
        <v>2022.76</v>
      </c>
    </row>
    <row r="5819" spans="1:4" ht="16.149999999999999" customHeight="1" x14ac:dyDescent="0.25">
      <c r="A5819" s="431">
        <v>39379</v>
      </c>
      <c r="B5819" s="432">
        <v>2006.67</v>
      </c>
      <c r="C5819" s="427">
        <f t="shared" si="180"/>
        <v>2007</v>
      </c>
      <c r="D5819" s="433">
        <f t="shared" si="181"/>
        <v>2006.67</v>
      </c>
    </row>
    <row r="5820" spans="1:4" ht="16.149999999999999" customHeight="1" x14ac:dyDescent="0.25">
      <c r="A5820" s="431">
        <v>39380</v>
      </c>
      <c r="B5820" s="434">
        <v>2025.7</v>
      </c>
      <c r="C5820" s="427">
        <f t="shared" si="180"/>
        <v>2007</v>
      </c>
      <c r="D5820" s="433">
        <f t="shared" si="181"/>
        <v>2025.7</v>
      </c>
    </row>
    <row r="5821" spans="1:4" ht="16.149999999999999" customHeight="1" x14ac:dyDescent="0.25">
      <c r="A5821" s="431">
        <v>39381</v>
      </c>
      <c r="B5821" s="432">
        <v>2020.29</v>
      </c>
      <c r="C5821" s="427">
        <f t="shared" si="180"/>
        <v>2007</v>
      </c>
      <c r="D5821" s="433">
        <f t="shared" si="181"/>
        <v>2020.29</v>
      </c>
    </row>
    <row r="5822" spans="1:4" ht="16.149999999999999" customHeight="1" x14ac:dyDescent="0.25">
      <c r="A5822" s="431">
        <v>39382</v>
      </c>
      <c r="B5822" s="434">
        <v>2005.28</v>
      </c>
      <c r="C5822" s="427">
        <f t="shared" si="180"/>
        <v>2007</v>
      </c>
      <c r="D5822" s="433">
        <f t="shared" si="181"/>
        <v>2005.28</v>
      </c>
    </row>
    <row r="5823" spans="1:4" ht="16.149999999999999" customHeight="1" x14ac:dyDescent="0.25">
      <c r="A5823" s="431">
        <v>39383</v>
      </c>
      <c r="B5823" s="432">
        <v>2005.28</v>
      </c>
      <c r="C5823" s="427">
        <f t="shared" si="180"/>
        <v>2007</v>
      </c>
      <c r="D5823" s="433">
        <f t="shared" si="181"/>
        <v>2005.28</v>
      </c>
    </row>
    <row r="5824" spans="1:4" ht="16.149999999999999" customHeight="1" x14ac:dyDescent="0.25">
      <c r="A5824" s="431">
        <v>39384</v>
      </c>
      <c r="B5824" s="434">
        <v>2005.28</v>
      </c>
      <c r="C5824" s="427">
        <f t="shared" si="180"/>
        <v>2007</v>
      </c>
      <c r="D5824" s="433">
        <f t="shared" si="181"/>
        <v>2005.28</v>
      </c>
    </row>
    <row r="5825" spans="1:4" ht="16.149999999999999" customHeight="1" x14ac:dyDescent="0.25">
      <c r="A5825" s="431">
        <v>39385</v>
      </c>
      <c r="B5825" s="432">
        <v>1995.94</v>
      </c>
      <c r="C5825" s="427">
        <f t="shared" si="180"/>
        <v>2007</v>
      </c>
      <c r="D5825" s="433">
        <f t="shared" si="181"/>
        <v>1995.94</v>
      </c>
    </row>
    <row r="5826" spans="1:4" ht="16.149999999999999" customHeight="1" x14ac:dyDescent="0.25">
      <c r="A5826" s="431">
        <v>39386</v>
      </c>
      <c r="B5826" s="434">
        <v>1999.44</v>
      </c>
      <c r="C5826" s="427">
        <f t="shared" si="180"/>
        <v>2007</v>
      </c>
      <c r="D5826" s="433">
        <f t="shared" si="181"/>
        <v>1999.44</v>
      </c>
    </row>
    <row r="5827" spans="1:4" ht="16.149999999999999" customHeight="1" x14ac:dyDescent="0.25">
      <c r="A5827" s="431">
        <v>39387</v>
      </c>
      <c r="B5827" s="432">
        <v>1987.69</v>
      </c>
      <c r="C5827" s="427">
        <f t="shared" si="180"/>
        <v>2007</v>
      </c>
      <c r="D5827" s="433">
        <f t="shared" si="181"/>
        <v>1987.69</v>
      </c>
    </row>
    <row r="5828" spans="1:4" ht="16.149999999999999" customHeight="1" x14ac:dyDescent="0.25">
      <c r="A5828" s="431">
        <v>39388</v>
      </c>
      <c r="B5828" s="434">
        <v>2008.11</v>
      </c>
      <c r="C5828" s="427">
        <f t="shared" si="180"/>
        <v>2007</v>
      </c>
      <c r="D5828" s="433">
        <f t="shared" si="181"/>
        <v>2008.11</v>
      </c>
    </row>
    <row r="5829" spans="1:4" ht="16.149999999999999" customHeight="1" x14ac:dyDescent="0.25">
      <c r="A5829" s="431">
        <v>39389</v>
      </c>
      <c r="B5829" s="432">
        <v>2014.12</v>
      </c>
      <c r="C5829" s="427">
        <f t="shared" si="180"/>
        <v>2007</v>
      </c>
      <c r="D5829" s="433">
        <f t="shared" si="181"/>
        <v>2014.12</v>
      </c>
    </row>
    <row r="5830" spans="1:4" ht="16.149999999999999" customHeight="1" x14ac:dyDescent="0.25">
      <c r="A5830" s="431">
        <v>39390</v>
      </c>
      <c r="B5830" s="434">
        <v>2014.12</v>
      </c>
      <c r="C5830" s="427">
        <f t="shared" si="180"/>
        <v>2007</v>
      </c>
      <c r="D5830" s="433">
        <f t="shared" si="181"/>
        <v>2014.12</v>
      </c>
    </row>
    <row r="5831" spans="1:4" ht="16.149999999999999" customHeight="1" x14ac:dyDescent="0.25">
      <c r="A5831" s="431">
        <v>39391</v>
      </c>
      <c r="B5831" s="432">
        <v>2014.12</v>
      </c>
      <c r="C5831" s="427">
        <f t="shared" si="180"/>
        <v>2007</v>
      </c>
      <c r="D5831" s="433">
        <f t="shared" si="181"/>
        <v>2014.12</v>
      </c>
    </row>
    <row r="5832" spans="1:4" ht="16.149999999999999" customHeight="1" x14ac:dyDescent="0.25">
      <c r="A5832" s="431">
        <v>39392</v>
      </c>
      <c r="B5832" s="434">
        <v>2014.12</v>
      </c>
      <c r="C5832" s="427">
        <f t="shared" si="180"/>
        <v>2007</v>
      </c>
      <c r="D5832" s="433">
        <f t="shared" si="181"/>
        <v>2014.12</v>
      </c>
    </row>
    <row r="5833" spans="1:4" ht="16.149999999999999" customHeight="1" x14ac:dyDescent="0.25">
      <c r="A5833" s="431">
        <v>39393</v>
      </c>
      <c r="B5833" s="432">
        <v>2012.89</v>
      </c>
      <c r="C5833" s="427">
        <f t="shared" si="180"/>
        <v>2007</v>
      </c>
      <c r="D5833" s="433">
        <f t="shared" si="181"/>
        <v>2012.89</v>
      </c>
    </row>
    <row r="5834" spans="1:4" ht="16.149999999999999" customHeight="1" x14ac:dyDescent="0.25">
      <c r="A5834" s="431">
        <v>39394</v>
      </c>
      <c r="B5834" s="434">
        <v>2023.99</v>
      </c>
      <c r="C5834" s="427">
        <f t="shared" ref="C5834:C5897" si="182">YEAR(A5834)</f>
        <v>2007</v>
      </c>
      <c r="D5834" s="433">
        <f t="shared" ref="D5834:D5897" si="183">B5834</f>
        <v>2023.99</v>
      </c>
    </row>
    <row r="5835" spans="1:4" ht="16.149999999999999" customHeight="1" x14ac:dyDescent="0.25">
      <c r="A5835" s="431">
        <v>39395</v>
      </c>
      <c r="B5835" s="432">
        <v>2033.94</v>
      </c>
      <c r="C5835" s="427">
        <f t="shared" si="182"/>
        <v>2007</v>
      </c>
      <c r="D5835" s="433">
        <f t="shared" si="183"/>
        <v>2033.94</v>
      </c>
    </row>
    <row r="5836" spans="1:4" ht="16.149999999999999" customHeight="1" x14ac:dyDescent="0.25">
      <c r="A5836" s="431">
        <v>39396</v>
      </c>
      <c r="B5836" s="434">
        <v>2045.59</v>
      </c>
      <c r="C5836" s="427">
        <f t="shared" si="182"/>
        <v>2007</v>
      </c>
      <c r="D5836" s="433">
        <f t="shared" si="183"/>
        <v>2045.59</v>
      </c>
    </row>
    <row r="5837" spans="1:4" ht="16.149999999999999" customHeight="1" x14ac:dyDescent="0.25">
      <c r="A5837" s="431">
        <v>39397</v>
      </c>
      <c r="B5837" s="432">
        <v>2045.59</v>
      </c>
      <c r="C5837" s="427">
        <f t="shared" si="182"/>
        <v>2007</v>
      </c>
      <c r="D5837" s="433">
        <f t="shared" si="183"/>
        <v>2045.59</v>
      </c>
    </row>
    <row r="5838" spans="1:4" ht="16.149999999999999" customHeight="1" x14ac:dyDescent="0.25">
      <c r="A5838" s="431">
        <v>39398</v>
      </c>
      <c r="B5838" s="434">
        <v>2045.59</v>
      </c>
      <c r="C5838" s="427">
        <f t="shared" si="182"/>
        <v>2007</v>
      </c>
      <c r="D5838" s="433">
        <f t="shared" si="183"/>
        <v>2045.59</v>
      </c>
    </row>
    <row r="5839" spans="1:4" ht="16.149999999999999" customHeight="1" x14ac:dyDescent="0.25">
      <c r="A5839" s="431">
        <v>39399</v>
      </c>
      <c r="B5839" s="432">
        <v>2045.59</v>
      </c>
      <c r="C5839" s="427">
        <f t="shared" si="182"/>
        <v>2007</v>
      </c>
      <c r="D5839" s="433">
        <f t="shared" si="183"/>
        <v>2045.59</v>
      </c>
    </row>
    <row r="5840" spans="1:4" ht="16.149999999999999" customHeight="1" x14ac:dyDescent="0.25">
      <c r="A5840" s="431">
        <v>39400</v>
      </c>
      <c r="B5840" s="434">
        <v>2051.88</v>
      </c>
      <c r="C5840" s="427">
        <f t="shared" si="182"/>
        <v>2007</v>
      </c>
      <c r="D5840" s="433">
        <f t="shared" si="183"/>
        <v>2051.88</v>
      </c>
    </row>
    <row r="5841" spans="1:4" ht="16.149999999999999" customHeight="1" x14ac:dyDescent="0.25">
      <c r="A5841" s="431">
        <v>39401</v>
      </c>
      <c r="B5841" s="432">
        <v>2032.04</v>
      </c>
      <c r="C5841" s="427">
        <f t="shared" si="182"/>
        <v>2007</v>
      </c>
      <c r="D5841" s="433">
        <f t="shared" si="183"/>
        <v>2032.04</v>
      </c>
    </row>
    <row r="5842" spans="1:4" ht="16.149999999999999" customHeight="1" x14ac:dyDescent="0.25">
      <c r="A5842" s="431">
        <v>39402</v>
      </c>
      <c r="B5842" s="434">
        <v>2044.7</v>
      </c>
      <c r="C5842" s="427">
        <f t="shared" si="182"/>
        <v>2007</v>
      </c>
      <c r="D5842" s="433">
        <f t="shared" si="183"/>
        <v>2044.7</v>
      </c>
    </row>
    <row r="5843" spans="1:4" ht="16.149999999999999" customHeight="1" x14ac:dyDescent="0.25">
      <c r="A5843" s="431">
        <v>39403</v>
      </c>
      <c r="B5843" s="432">
        <v>2040.35</v>
      </c>
      <c r="C5843" s="427">
        <f t="shared" si="182"/>
        <v>2007</v>
      </c>
      <c r="D5843" s="433">
        <f t="shared" si="183"/>
        <v>2040.35</v>
      </c>
    </row>
    <row r="5844" spans="1:4" ht="16.149999999999999" customHeight="1" x14ac:dyDescent="0.25">
      <c r="A5844" s="431">
        <v>39404</v>
      </c>
      <c r="B5844" s="434">
        <v>2040.35</v>
      </c>
      <c r="C5844" s="427">
        <f t="shared" si="182"/>
        <v>2007</v>
      </c>
      <c r="D5844" s="433">
        <f t="shared" si="183"/>
        <v>2040.35</v>
      </c>
    </row>
    <row r="5845" spans="1:4" ht="16.149999999999999" customHeight="1" x14ac:dyDescent="0.25">
      <c r="A5845" s="431">
        <v>39405</v>
      </c>
      <c r="B5845" s="432">
        <v>2040.35</v>
      </c>
      <c r="C5845" s="427">
        <f t="shared" si="182"/>
        <v>2007</v>
      </c>
      <c r="D5845" s="433">
        <f t="shared" si="183"/>
        <v>2040.35</v>
      </c>
    </row>
    <row r="5846" spans="1:4" ht="16.149999999999999" customHeight="1" x14ac:dyDescent="0.25">
      <c r="A5846" s="431">
        <v>39406</v>
      </c>
      <c r="B5846" s="434">
        <v>2054.3000000000002</v>
      </c>
      <c r="C5846" s="427">
        <f t="shared" si="182"/>
        <v>2007</v>
      </c>
      <c r="D5846" s="433">
        <f t="shared" si="183"/>
        <v>2054.3000000000002</v>
      </c>
    </row>
    <row r="5847" spans="1:4" ht="16.149999999999999" customHeight="1" x14ac:dyDescent="0.25">
      <c r="A5847" s="431">
        <v>39407</v>
      </c>
      <c r="B5847" s="432">
        <v>2056.2800000000002</v>
      </c>
      <c r="C5847" s="427">
        <f t="shared" si="182"/>
        <v>2007</v>
      </c>
      <c r="D5847" s="433">
        <f t="shared" si="183"/>
        <v>2056.2800000000002</v>
      </c>
    </row>
    <row r="5848" spans="1:4" ht="16.149999999999999" customHeight="1" x14ac:dyDescent="0.25">
      <c r="A5848" s="431">
        <v>39408</v>
      </c>
      <c r="B5848" s="434">
        <v>2074.6</v>
      </c>
      <c r="C5848" s="427">
        <f t="shared" si="182"/>
        <v>2007</v>
      </c>
      <c r="D5848" s="433">
        <f t="shared" si="183"/>
        <v>2074.6</v>
      </c>
    </row>
    <row r="5849" spans="1:4" ht="16.149999999999999" customHeight="1" x14ac:dyDescent="0.25">
      <c r="A5849" s="431">
        <v>39409</v>
      </c>
      <c r="B5849" s="432">
        <v>2074.6</v>
      </c>
      <c r="C5849" s="427">
        <f t="shared" si="182"/>
        <v>2007</v>
      </c>
      <c r="D5849" s="433">
        <f t="shared" si="183"/>
        <v>2074.6</v>
      </c>
    </row>
    <row r="5850" spans="1:4" ht="16.149999999999999" customHeight="1" x14ac:dyDescent="0.25">
      <c r="A5850" s="431">
        <v>39410</v>
      </c>
      <c r="B5850" s="434">
        <v>2088.2399999999998</v>
      </c>
      <c r="C5850" s="427">
        <f t="shared" si="182"/>
        <v>2007</v>
      </c>
      <c r="D5850" s="433">
        <f t="shared" si="183"/>
        <v>2088.2399999999998</v>
      </c>
    </row>
    <row r="5851" spans="1:4" ht="16.149999999999999" customHeight="1" x14ac:dyDescent="0.25">
      <c r="A5851" s="431">
        <v>39411</v>
      </c>
      <c r="B5851" s="432">
        <v>2088.2399999999998</v>
      </c>
      <c r="C5851" s="427">
        <f t="shared" si="182"/>
        <v>2007</v>
      </c>
      <c r="D5851" s="433">
        <f t="shared" si="183"/>
        <v>2088.2399999999998</v>
      </c>
    </row>
    <row r="5852" spans="1:4" ht="16.149999999999999" customHeight="1" x14ac:dyDescent="0.25">
      <c r="A5852" s="431">
        <v>39412</v>
      </c>
      <c r="B5852" s="434">
        <v>2088.2399999999998</v>
      </c>
      <c r="C5852" s="427">
        <f t="shared" si="182"/>
        <v>2007</v>
      </c>
      <c r="D5852" s="433">
        <f t="shared" si="183"/>
        <v>2088.2399999999998</v>
      </c>
    </row>
    <row r="5853" spans="1:4" ht="16.149999999999999" customHeight="1" x14ac:dyDescent="0.25">
      <c r="A5853" s="431">
        <v>39413</v>
      </c>
      <c r="B5853" s="432">
        <v>2089.11</v>
      </c>
      <c r="C5853" s="427">
        <f t="shared" si="182"/>
        <v>2007</v>
      </c>
      <c r="D5853" s="433">
        <f t="shared" si="183"/>
        <v>2089.11</v>
      </c>
    </row>
    <row r="5854" spans="1:4" ht="16.149999999999999" customHeight="1" x14ac:dyDescent="0.25">
      <c r="A5854" s="431">
        <v>39414</v>
      </c>
      <c r="B5854" s="434">
        <v>2094.7399999999998</v>
      </c>
      <c r="C5854" s="427">
        <f t="shared" si="182"/>
        <v>2007</v>
      </c>
      <c r="D5854" s="433">
        <f t="shared" si="183"/>
        <v>2094.7399999999998</v>
      </c>
    </row>
    <row r="5855" spans="1:4" ht="16.149999999999999" customHeight="1" x14ac:dyDescent="0.25">
      <c r="A5855" s="431">
        <v>39415</v>
      </c>
      <c r="B5855" s="432">
        <v>2066.81</v>
      </c>
      <c r="C5855" s="427">
        <f t="shared" si="182"/>
        <v>2007</v>
      </c>
      <c r="D5855" s="433">
        <f t="shared" si="183"/>
        <v>2066.81</v>
      </c>
    </row>
    <row r="5856" spans="1:4" ht="16.149999999999999" customHeight="1" x14ac:dyDescent="0.25">
      <c r="A5856" s="431">
        <v>39416</v>
      </c>
      <c r="B5856" s="434">
        <v>2060.42</v>
      </c>
      <c r="C5856" s="427">
        <f t="shared" si="182"/>
        <v>2007</v>
      </c>
      <c r="D5856" s="433">
        <f t="shared" si="183"/>
        <v>2060.42</v>
      </c>
    </row>
    <row r="5857" spans="1:4" ht="16.149999999999999" customHeight="1" x14ac:dyDescent="0.25">
      <c r="A5857" s="431">
        <v>39417</v>
      </c>
      <c r="B5857" s="432">
        <v>2043.11</v>
      </c>
      <c r="C5857" s="427">
        <f t="shared" si="182"/>
        <v>2007</v>
      </c>
      <c r="D5857" s="433">
        <f t="shared" si="183"/>
        <v>2043.11</v>
      </c>
    </row>
    <row r="5858" spans="1:4" ht="16.149999999999999" customHeight="1" x14ac:dyDescent="0.25">
      <c r="A5858" s="431">
        <v>39418</v>
      </c>
      <c r="B5858" s="434">
        <v>2043.11</v>
      </c>
      <c r="C5858" s="427">
        <f t="shared" si="182"/>
        <v>2007</v>
      </c>
      <c r="D5858" s="433">
        <f t="shared" si="183"/>
        <v>2043.11</v>
      </c>
    </row>
    <row r="5859" spans="1:4" ht="16.149999999999999" customHeight="1" x14ac:dyDescent="0.25">
      <c r="A5859" s="431">
        <v>39419</v>
      </c>
      <c r="B5859" s="432">
        <v>2043.11</v>
      </c>
      <c r="C5859" s="427">
        <f t="shared" si="182"/>
        <v>2007</v>
      </c>
      <c r="D5859" s="433">
        <f t="shared" si="183"/>
        <v>2043.11</v>
      </c>
    </row>
    <row r="5860" spans="1:4" ht="16.149999999999999" customHeight="1" x14ac:dyDescent="0.25">
      <c r="A5860" s="431">
        <v>39420</v>
      </c>
      <c r="B5860" s="434">
        <v>2052.1799999999998</v>
      </c>
      <c r="C5860" s="427">
        <f t="shared" si="182"/>
        <v>2007</v>
      </c>
      <c r="D5860" s="433">
        <f t="shared" si="183"/>
        <v>2052.1799999999998</v>
      </c>
    </row>
    <row r="5861" spans="1:4" ht="16.149999999999999" customHeight="1" x14ac:dyDescent="0.25">
      <c r="A5861" s="431">
        <v>39421</v>
      </c>
      <c r="B5861" s="432">
        <v>2057.4</v>
      </c>
      <c r="C5861" s="427">
        <f t="shared" si="182"/>
        <v>2007</v>
      </c>
      <c r="D5861" s="433">
        <f t="shared" si="183"/>
        <v>2057.4</v>
      </c>
    </row>
    <row r="5862" spans="1:4" ht="16.149999999999999" customHeight="1" x14ac:dyDescent="0.25">
      <c r="A5862" s="431">
        <v>39422</v>
      </c>
      <c r="B5862" s="434">
        <v>2036.6</v>
      </c>
      <c r="C5862" s="427">
        <f t="shared" si="182"/>
        <v>2007</v>
      </c>
      <c r="D5862" s="433">
        <f t="shared" si="183"/>
        <v>2036.6</v>
      </c>
    </row>
    <row r="5863" spans="1:4" ht="16.149999999999999" customHeight="1" x14ac:dyDescent="0.25">
      <c r="A5863" s="431">
        <v>39423</v>
      </c>
      <c r="B5863" s="432">
        <v>2023.18</v>
      </c>
      <c r="C5863" s="427">
        <f t="shared" si="182"/>
        <v>2007</v>
      </c>
      <c r="D5863" s="433">
        <f t="shared" si="183"/>
        <v>2023.18</v>
      </c>
    </row>
    <row r="5864" spans="1:4" ht="16.149999999999999" customHeight="1" x14ac:dyDescent="0.25">
      <c r="A5864" s="431">
        <v>39424</v>
      </c>
      <c r="B5864" s="434">
        <v>2016.77</v>
      </c>
      <c r="C5864" s="427">
        <f t="shared" si="182"/>
        <v>2007</v>
      </c>
      <c r="D5864" s="433">
        <f t="shared" si="183"/>
        <v>2016.77</v>
      </c>
    </row>
    <row r="5865" spans="1:4" ht="16.149999999999999" customHeight="1" x14ac:dyDescent="0.25">
      <c r="A5865" s="431">
        <v>39425</v>
      </c>
      <c r="B5865" s="432">
        <v>2016.77</v>
      </c>
      <c r="C5865" s="427">
        <f t="shared" si="182"/>
        <v>2007</v>
      </c>
      <c r="D5865" s="433">
        <f t="shared" si="183"/>
        <v>2016.77</v>
      </c>
    </row>
    <row r="5866" spans="1:4" ht="16.149999999999999" customHeight="1" x14ac:dyDescent="0.25">
      <c r="A5866" s="431">
        <v>39426</v>
      </c>
      <c r="B5866" s="434">
        <v>2016.77</v>
      </c>
      <c r="C5866" s="427">
        <f t="shared" si="182"/>
        <v>2007</v>
      </c>
      <c r="D5866" s="433">
        <f t="shared" si="183"/>
        <v>2016.77</v>
      </c>
    </row>
    <row r="5867" spans="1:4" ht="16.149999999999999" customHeight="1" x14ac:dyDescent="0.25">
      <c r="A5867" s="431">
        <v>39427</v>
      </c>
      <c r="B5867" s="432">
        <v>2009.83</v>
      </c>
      <c r="C5867" s="427">
        <f t="shared" si="182"/>
        <v>2007</v>
      </c>
      <c r="D5867" s="433">
        <f t="shared" si="183"/>
        <v>2009.83</v>
      </c>
    </row>
    <row r="5868" spans="1:4" ht="16.149999999999999" customHeight="1" x14ac:dyDescent="0.25">
      <c r="A5868" s="431">
        <v>39428</v>
      </c>
      <c r="B5868" s="434">
        <v>2005.82</v>
      </c>
      <c r="C5868" s="427">
        <f t="shared" si="182"/>
        <v>2007</v>
      </c>
      <c r="D5868" s="433">
        <f t="shared" si="183"/>
        <v>2005.82</v>
      </c>
    </row>
    <row r="5869" spans="1:4" ht="16.149999999999999" customHeight="1" x14ac:dyDescent="0.25">
      <c r="A5869" s="431">
        <v>39429</v>
      </c>
      <c r="B5869" s="432">
        <v>2003.9</v>
      </c>
      <c r="C5869" s="427">
        <f t="shared" si="182"/>
        <v>2007</v>
      </c>
      <c r="D5869" s="433">
        <f t="shared" si="183"/>
        <v>2003.9</v>
      </c>
    </row>
    <row r="5870" spans="1:4" ht="16.149999999999999" customHeight="1" x14ac:dyDescent="0.25">
      <c r="A5870" s="431">
        <v>39430</v>
      </c>
      <c r="B5870" s="434">
        <v>2017.36</v>
      </c>
      <c r="C5870" s="427">
        <f t="shared" si="182"/>
        <v>2007</v>
      </c>
      <c r="D5870" s="433">
        <f t="shared" si="183"/>
        <v>2017.36</v>
      </c>
    </row>
    <row r="5871" spans="1:4" ht="16.149999999999999" customHeight="1" x14ac:dyDescent="0.25">
      <c r="A5871" s="431">
        <v>39431</v>
      </c>
      <c r="B5871" s="432">
        <v>2009.85</v>
      </c>
      <c r="C5871" s="427">
        <f t="shared" si="182"/>
        <v>2007</v>
      </c>
      <c r="D5871" s="433">
        <f t="shared" si="183"/>
        <v>2009.85</v>
      </c>
    </row>
    <row r="5872" spans="1:4" ht="16.149999999999999" customHeight="1" x14ac:dyDescent="0.25">
      <c r="A5872" s="431">
        <v>39432</v>
      </c>
      <c r="B5872" s="434">
        <v>2009.85</v>
      </c>
      <c r="C5872" s="427">
        <f t="shared" si="182"/>
        <v>2007</v>
      </c>
      <c r="D5872" s="433">
        <f t="shared" si="183"/>
        <v>2009.85</v>
      </c>
    </row>
    <row r="5873" spans="1:4" ht="16.149999999999999" customHeight="1" x14ac:dyDescent="0.25">
      <c r="A5873" s="431">
        <v>39433</v>
      </c>
      <c r="B5873" s="432">
        <v>2009.85</v>
      </c>
      <c r="C5873" s="427">
        <f t="shared" si="182"/>
        <v>2007</v>
      </c>
      <c r="D5873" s="433">
        <f t="shared" si="183"/>
        <v>2009.85</v>
      </c>
    </row>
    <row r="5874" spans="1:4" ht="16.149999999999999" customHeight="1" x14ac:dyDescent="0.25">
      <c r="A5874" s="431">
        <v>39434</v>
      </c>
      <c r="B5874" s="434">
        <v>2006.48</v>
      </c>
      <c r="C5874" s="427">
        <f t="shared" si="182"/>
        <v>2007</v>
      </c>
      <c r="D5874" s="433">
        <f t="shared" si="183"/>
        <v>2006.48</v>
      </c>
    </row>
    <row r="5875" spans="1:4" ht="16.149999999999999" customHeight="1" x14ac:dyDescent="0.25">
      <c r="A5875" s="431">
        <v>39435</v>
      </c>
      <c r="B5875" s="432">
        <v>2007.98</v>
      </c>
      <c r="C5875" s="427">
        <f t="shared" si="182"/>
        <v>2007</v>
      </c>
      <c r="D5875" s="433">
        <f t="shared" si="183"/>
        <v>2007.98</v>
      </c>
    </row>
    <row r="5876" spans="1:4" ht="16.149999999999999" customHeight="1" x14ac:dyDescent="0.25">
      <c r="A5876" s="431">
        <v>39436</v>
      </c>
      <c r="B5876" s="434">
        <v>2005.92</v>
      </c>
      <c r="C5876" s="427">
        <f t="shared" si="182"/>
        <v>2007</v>
      </c>
      <c r="D5876" s="433">
        <f t="shared" si="183"/>
        <v>2005.92</v>
      </c>
    </row>
    <row r="5877" spans="1:4" ht="16.149999999999999" customHeight="1" x14ac:dyDescent="0.25">
      <c r="A5877" s="431">
        <v>39437</v>
      </c>
      <c r="B5877" s="432">
        <v>2000.58</v>
      </c>
      <c r="C5877" s="427">
        <f t="shared" si="182"/>
        <v>2007</v>
      </c>
      <c r="D5877" s="433">
        <f t="shared" si="183"/>
        <v>2000.58</v>
      </c>
    </row>
    <row r="5878" spans="1:4" ht="16.149999999999999" customHeight="1" x14ac:dyDescent="0.25">
      <c r="A5878" s="431">
        <v>39438</v>
      </c>
      <c r="B5878" s="434">
        <v>1993.08</v>
      </c>
      <c r="C5878" s="427">
        <f t="shared" si="182"/>
        <v>2007</v>
      </c>
      <c r="D5878" s="433">
        <f t="shared" si="183"/>
        <v>1993.08</v>
      </c>
    </row>
    <row r="5879" spans="1:4" ht="16.149999999999999" customHeight="1" x14ac:dyDescent="0.25">
      <c r="A5879" s="431">
        <v>39439</v>
      </c>
      <c r="B5879" s="432">
        <v>1993.08</v>
      </c>
      <c r="C5879" s="427">
        <f t="shared" si="182"/>
        <v>2007</v>
      </c>
      <c r="D5879" s="433">
        <f t="shared" si="183"/>
        <v>1993.08</v>
      </c>
    </row>
    <row r="5880" spans="1:4" ht="16.149999999999999" customHeight="1" x14ac:dyDescent="0.25">
      <c r="A5880" s="431">
        <v>39440</v>
      </c>
      <c r="B5880" s="434">
        <v>1993.08</v>
      </c>
      <c r="C5880" s="427">
        <f t="shared" si="182"/>
        <v>2007</v>
      </c>
      <c r="D5880" s="433">
        <f t="shared" si="183"/>
        <v>1993.08</v>
      </c>
    </row>
    <row r="5881" spans="1:4" ht="16.149999999999999" customHeight="1" x14ac:dyDescent="0.25">
      <c r="A5881" s="431">
        <v>39441</v>
      </c>
      <c r="B5881" s="432">
        <v>1989.7</v>
      </c>
      <c r="C5881" s="427">
        <f t="shared" si="182"/>
        <v>2007</v>
      </c>
      <c r="D5881" s="433">
        <f t="shared" si="183"/>
        <v>1989.7</v>
      </c>
    </row>
    <row r="5882" spans="1:4" ht="16.149999999999999" customHeight="1" x14ac:dyDescent="0.25">
      <c r="A5882" s="431">
        <v>39442</v>
      </c>
      <c r="B5882" s="434">
        <v>1989.7</v>
      </c>
      <c r="C5882" s="427">
        <f t="shared" si="182"/>
        <v>2007</v>
      </c>
      <c r="D5882" s="433">
        <f t="shared" si="183"/>
        <v>1989.7</v>
      </c>
    </row>
    <row r="5883" spans="1:4" ht="16.149999999999999" customHeight="1" x14ac:dyDescent="0.25">
      <c r="A5883" s="431">
        <v>39443</v>
      </c>
      <c r="B5883" s="432">
        <v>1987.81</v>
      </c>
      <c r="C5883" s="427">
        <f t="shared" si="182"/>
        <v>2007</v>
      </c>
      <c r="D5883" s="433">
        <f t="shared" si="183"/>
        <v>1987.81</v>
      </c>
    </row>
    <row r="5884" spans="1:4" ht="16.149999999999999" customHeight="1" x14ac:dyDescent="0.25">
      <c r="A5884" s="431">
        <v>39444</v>
      </c>
      <c r="B5884" s="434">
        <v>2001.72</v>
      </c>
      <c r="C5884" s="427">
        <f t="shared" si="182"/>
        <v>2007</v>
      </c>
      <c r="D5884" s="433">
        <f t="shared" si="183"/>
        <v>2001.72</v>
      </c>
    </row>
    <row r="5885" spans="1:4" ht="16.149999999999999" customHeight="1" x14ac:dyDescent="0.25">
      <c r="A5885" s="431">
        <v>39445</v>
      </c>
      <c r="B5885" s="432">
        <v>2014.76</v>
      </c>
      <c r="C5885" s="427">
        <f t="shared" si="182"/>
        <v>2007</v>
      </c>
      <c r="D5885" s="433">
        <f t="shared" si="183"/>
        <v>2014.76</v>
      </c>
    </row>
    <row r="5886" spans="1:4" ht="16.149999999999999" customHeight="1" x14ac:dyDescent="0.25">
      <c r="A5886" s="431">
        <v>39446</v>
      </c>
      <c r="B5886" s="434">
        <v>2014.76</v>
      </c>
      <c r="C5886" s="427">
        <f t="shared" si="182"/>
        <v>2007</v>
      </c>
      <c r="D5886" s="433">
        <f t="shared" si="183"/>
        <v>2014.76</v>
      </c>
    </row>
    <row r="5887" spans="1:4" ht="16.149999999999999" customHeight="1" x14ac:dyDescent="0.25">
      <c r="A5887" s="431">
        <v>39447</v>
      </c>
      <c r="B5887" s="432">
        <v>2014.76</v>
      </c>
      <c r="C5887" s="427">
        <f t="shared" si="182"/>
        <v>2007</v>
      </c>
      <c r="D5887" s="433">
        <f t="shared" si="183"/>
        <v>2014.76</v>
      </c>
    </row>
    <row r="5888" spans="1:4" ht="16.149999999999999" customHeight="1" x14ac:dyDescent="0.25">
      <c r="A5888" s="431">
        <v>39448</v>
      </c>
      <c r="B5888" s="434">
        <v>2014.76</v>
      </c>
      <c r="C5888" s="427">
        <f t="shared" si="182"/>
        <v>2008</v>
      </c>
      <c r="D5888" s="433">
        <f t="shared" si="183"/>
        <v>2014.76</v>
      </c>
    </row>
    <row r="5889" spans="1:4" ht="16.149999999999999" customHeight="1" x14ac:dyDescent="0.25">
      <c r="A5889" s="431">
        <v>39449</v>
      </c>
      <c r="B5889" s="432">
        <v>2014.76</v>
      </c>
      <c r="C5889" s="427">
        <f t="shared" si="182"/>
        <v>2008</v>
      </c>
      <c r="D5889" s="433">
        <f t="shared" si="183"/>
        <v>2014.76</v>
      </c>
    </row>
    <row r="5890" spans="1:4" ht="16.149999999999999" customHeight="1" x14ac:dyDescent="0.25">
      <c r="A5890" s="431">
        <v>39450</v>
      </c>
      <c r="B5890" s="434">
        <v>2012.82</v>
      </c>
      <c r="C5890" s="427">
        <f t="shared" si="182"/>
        <v>2008</v>
      </c>
      <c r="D5890" s="433">
        <f t="shared" si="183"/>
        <v>2012.82</v>
      </c>
    </row>
    <row r="5891" spans="1:4" ht="16.149999999999999" customHeight="1" x14ac:dyDescent="0.25">
      <c r="A5891" s="431">
        <v>39451</v>
      </c>
      <c r="B5891" s="432">
        <v>2013.27</v>
      </c>
      <c r="C5891" s="427">
        <f t="shared" si="182"/>
        <v>2008</v>
      </c>
      <c r="D5891" s="433">
        <f t="shared" si="183"/>
        <v>2013.27</v>
      </c>
    </row>
    <row r="5892" spans="1:4" ht="16.149999999999999" customHeight="1" x14ac:dyDescent="0.25">
      <c r="A5892" s="431">
        <v>39452</v>
      </c>
      <c r="B5892" s="434">
        <v>2013.98</v>
      </c>
      <c r="C5892" s="427">
        <f t="shared" si="182"/>
        <v>2008</v>
      </c>
      <c r="D5892" s="433">
        <f t="shared" si="183"/>
        <v>2013.98</v>
      </c>
    </row>
    <row r="5893" spans="1:4" ht="16.149999999999999" customHeight="1" x14ac:dyDescent="0.25">
      <c r="A5893" s="431">
        <v>39453</v>
      </c>
      <c r="B5893" s="432">
        <v>2013.98</v>
      </c>
      <c r="C5893" s="427">
        <f t="shared" si="182"/>
        <v>2008</v>
      </c>
      <c r="D5893" s="433">
        <f t="shared" si="183"/>
        <v>2013.98</v>
      </c>
    </row>
    <row r="5894" spans="1:4" ht="16.149999999999999" customHeight="1" x14ac:dyDescent="0.25">
      <c r="A5894" s="431">
        <v>39454</v>
      </c>
      <c r="B5894" s="434">
        <v>2013.98</v>
      </c>
      <c r="C5894" s="427">
        <f t="shared" si="182"/>
        <v>2008</v>
      </c>
      <c r="D5894" s="433">
        <f t="shared" si="183"/>
        <v>2013.98</v>
      </c>
    </row>
    <row r="5895" spans="1:4" ht="16.149999999999999" customHeight="1" x14ac:dyDescent="0.25">
      <c r="A5895" s="431">
        <v>39455</v>
      </c>
      <c r="B5895" s="432">
        <v>2013.98</v>
      </c>
      <c r="C5895" s="427">
        <f t="shared" si="182"/>
        <v>2008</v>
      </c>
      <c r="D5895" s="433">
        <f t="shared" si="183"/>
        <v>2013.98</v>
      </c>
    </row>
    <row r="5896" spans="1:4" ht="16.149999999999999" customHeight="1" x14ac:dyDescent="0.25">
      <c r="A5896" s="431">
        <v>39456</v>
      </c>
      <c r="B5896" s="434">
        <v>2000.91</v>
      </c>
      <c r="C5896" s="427">
        <f t="shared" si="182"/>
        <v>2008</v>
      </c>
      <c r="D5896" s="433">
        <f t="shared" si="183"/>
        <v>2000.91</v>
      </c>
    </row>
    <row r="5897" spans="1:4" ht="16.149999999999999" customHeight="1" x14ac:dyDescent="0.25">
      <c r="A5897" s="431">
        <v>39457</v>
      </c>
      <c r="B5897" s="432">
        <v>2004.7</v>
      </c>
      <c r="C5897" s="427">
        <f t="shared" si="182"/>
        <v>2008</v>
      </c>
      <c r="D5897" s="433">
        <f t="shared" si="183"/>
        <v>2004.7</v>
      </c>
    </row>
    <row r="5898" spans="1:4" ht="16.149999999999999" customHeight="1" x14ac:dyDescent="0.25">
      <c r="A5898" s="431">
        <v>39458</v>
      </c>
      <c r="B5898" s="434">
        <v>2003.74</v>
      </c>
      <c r="C5898" s="427">
        <f t="shared" ref="C5898:C5961" si="184">YEAR(A5898)</f>
        <v>2008</v>
      </c>
      <c r="D5898" s="433">
        <f t="shared" ref="D5898:D5961" si="185">B5898</f>
        <v>2003.74</v>
      </c>
    </row>
    <row r="5899" spans="1:4" ht="16.149999999999999" customHeight="1" x14ac:dyDescent="0.25">
      <c r="A5899" s="431">
        <v>39459</v>
      </c>
      <c r="B5899" s="432">
        <v>1985.35</v>
      </c>
      <c r="C5899" s="427">
        <f t="shared" si="184"/>
        <v>2008</v>
      </c>
      <c r="D5899" s="433">
        <f t="shared" si="185"/>
        <v>1985.35</v>
      </c>
    </row>
    <row r="5900" spans="1:4" ht="16.149999999999999" customHeight="1" x14ac:dyDescent="0.25">
      <c r="A5900" s="431">
        <v>39460</v>
      </c>
      <c r="B5900" s="434">
        <v>1985.35</v>
      </c>
      <c r="C5900" s="427">
        <f t="shared" si="184"/>
        <v>2008</v>
      </c>
      <c r="D5900" s="433">
        <f t="shared" si="185"/>
        <v>1985.35</v>
      </c>
    </row>
    <row r="5901" spans="1:4" ht="16.149999999999999" customHeight="1" x14ac:dyDescent="0.25">
      <c r="A5901" s="431">
        <v>39461</v>
      </c>
      <c r="B5901" s="432">
        <v>1985.35</v>
      </c>
      <c r="C5901" s="427">
        <f t="shared" si="184"/>
        <v>2008</v>
      </c>
      <c r="D5901" s="433">
        <f t="shared" si="185"/>
        <v>1985.35</v>
      </c>
    </row>
    <row r="5902" spans="1:4" ht="16.149999999999999" customHeight="1" x14ac:dyDescent="0.25">
      <c r="A5902" s="431">
        <v>39462</v>
      </c>
      <c r="B5902" s="434">
        <v>1949.43</v>
      </c>
      <c r="C5902" s="427">
        <f t="shared" si="184"/>
        <v>2008</v>
      </c>
      <c r="D5902" s="433">
        <f t="shared" si="185"/>
        <v>1949.43</v>
      </c>
    </row>
    <row r="5903" spans="1:4" ht="16.149999999999999" customHeight="1" x14ac:dyDescent="0.25">
      <c r="A5903" s="431">
        <v>39463</v>
      </c>
      <c r="B5903" s="432">
        <v>1948.91</v>
      </c>
      <c r="C5903" s="427">
        <f t="shared" si="184"/>
        <v>2008</v>
      </c>
      <c r="D5903" s="433">
        <f t="shared" si="185"/>
        <v>1948.91</v>
      </c>
    </row>
    <row r="5904" spans="1:4" ht="16.149999999999999" customHeight="1" x14ac:dyDescent="0.25">
      <c r="A5904" s="431">
        <v>39464</v>
      </c>
      <c r="B5904" s="434">
        <v>1960.49</v>
      </c>
      <c r="C5904" s="427">
        <f t="shared" si="184"/>
        <v>2008</v>
      </c>
      <c r="D5904" s="433">
        <f t="shared" si="185"/>
        <v>1960.49</v>
      </c>
    </row>
    <row r="5905" spans="1:4" ht="16.149999999999999" customHeight="1" x14ac:dyDescent="0.25">
      <c r="A5905" s="431">
        <v>39465</v>
      </c>
      <c r="B5905" s="432">
        <v>1947.6</v>
      </c>
      <c r="C5905" s="427">
        <f t="shared" si="184"/>
        <v>2008</v>
      </c>
      <c r="D5905" s="433">
        <f t="shared" si="185"/>
        <v>1947.6</v>
      </c>
    </row>
    <row r="5906" spans="1:4" ht="16.149999999999999" customHeight="1" x14ac:dyDescent="0.25">
      <c r="A5906" s="431">
        <v>39466</v>
      </c>
      <c r="B5906" s="434">
        <v>1968.13</v>
      </c>
      <c r="C5906" s="427">
        <f t="shared" si="184"/>
        <v>2008</v>
      </c>
      <c r="D5906" s="433">
        <f t="shared" si="185"/>
        <v>1968.13</v>
      </c>
    </row>
    <row r="5907" spans="1:4" ht="16.149999999999999" customHeight="1" x14ac:dyDescent="0.25">
      <c r="A5907" s="431">
        <v>39467</v>
      </c>
      <c r="B5907" s="432">
        <v>1968.13</v>
      </c>
      <c r="C5907" s="427">
        <f t="shared" si="184"/>
        <v>2008</v>
      </c>
      <c r="D5907" s="433">
        <f t="shared" si="185"/>
        <v>1968.13</v>
      </c>
    </row>
    <row r="5908" spans="1:4" ht="16.149999999999999" customHeight="1" x14ac:dyDescent="0.25">
      <c r="A5908" s="431">
        <v>39468</v>
      </c>
      <c r="B5908" s="434">
        <v>1968.13</v>
      </c>
      <c r="C5908" s="427">
        <f t="shared" si="184"/>
        <v>2008</v>
      </c>
      <c r="D5908" s="433">
        <f t="shared" si="185"/>
        <v>1968.13</v>
      </c>
    </row>
    <row r="5909" spans="1:4" ht="16.149999999999999" customHeight="1" x14ac:dyDescent="0.25">
      <c r="A5909" s="431">
        <v>39469</v>
      </c>
      <c r="B5909" s="432">
        <v>1968.13</v>
      </c>
      <c r="C5909" s="427">
        <f t="shared" si="184"/>
        <v>2008</v>
      </c>
      <c r="D5909" s="433">
        <f t="shared" si="185"/>
        <v>1968.13</v>
      </c>
    </row>
    <row r="5910" spans="1:4" ht="16.149999999999999" customHeight="1" x14ac:dyDescent="0.25">
      <c r="A5910" s="431">
        <v>39470</v>
      </c>
      <c r="B5910" s="434">
        <v>2007.41</v>
      </c>
      <c r="C5910" s="427">
        <f t="shared" si="184"/>
        <v>2008</v>
      </c>
      <c r="D5910" s="433">
        <f t="shared" si="185"/>
        <v>2007.41</v>
      </c>
    </row>
    <row r="5911" spans="1:4" ht="16.149999999999999" customHeight="1" x14ac:dyDescent="0.25">
      <c r="A5911" s="431">
        <v>39471</v>
      </c>
      <c r="B5911" s="432">
        <v>2005.08</v>
      </c>
      <c r="C5911" s="427">
        <f t="shared" si="184"/>
        <v>2008</v>
      </c>
      <c r="D5911" s="433">
        <f t="shared" si="185"/>
        <v>2005.08</v>
      </c>
    </row>
    <row r="5912" spans="1:4" ht="16.149999999999999" customHeight="1" x14ac:dyDescent="0.25">
      <c r="A5912" s="431">
        <v>39472</v>
      </c>
      <c r="B5912" s="434">
        <v>1970.65</v>
      </c>
      <c r="C5912" s="427">
        <f t="shared" si="184"/>
        <v>2008</v>
      </c>
      <c r="D5912" s="433">
        <f t="shared" si="185"/>
        <v>1970.65</v>
      </c>
    </row>
    <row r="5913" spans="1:4" ht="16.149999999999999" customHeight="1" x14ac:dyDescent="0.25">
      <c r="A5913" s="431">
        <v>39473</v>
      </c>
      <c r="B5913" s="432">
        <v>1961.3</v>
      </c>
      <c r="C5913" s="427">
        <f t="shared" si="184"/>
        <v>2008</v>
      </c>
      <c r="D5913" s="433">
        <f t="shared" si="185"/>
        <v>1961.3</v>
      </c>
    </row>
    <row r="5914" spans="1:4" ht="16.149999999999999" customHeight="1" x14ac:dyDescent="0.25">
      <c r="A5914" s="431">
        <v>39474</v>
      </c>
      <c r="B5914" s="434">
        <v>1961.3</v>
      </c>
      <c r="C5914" s="427">
        <f t="shared" si="184"/>
        <v>2008</v>
      </c>
      <c r="D5914" s="433">
        <f t="shared" si="185"/>
        <v>1961.3</v>
      </c>
    </row>
    <row r="5915" spans="1:4" ht="16.149999999999999" customHeight="1" x14ac:dyDescent="0.25">
      <c r="A5915" s="431">
        <v>39475</v>
      </c>
      <c r="B5915" s="432">
        <v>1961.3</v>
      </c>
      <c r="C5915" s="427">
        <f t="shared" si="184"/>
        <v>2008</v>
      </c>
      <c r="D5915" s="433">
        <f t="shared" si="185"/>
        <v>1961.3</v>
      </c>
    </row>
    <row r="5916" spans="1:4" ht="16.149999999999999" customHeight="1" x14ac:dyDescent="0.25">
      <c r="A5916" s="431">
        <v>39476</v>
      </c>
      <c r="B5916" s="434">
        <v>1969.65</v>
      </c>
      <c r="C5916" s="427">
        <f t="shared" si="184"/>
        <v>2008</v>
      </c>
      <c r="D5916" s="433">
        <f t="shared" si="185"/>
        <v>1969.65</v>
      </c>
    </row>
    <row r="5917" spans="1:4" ht="16.149999999999999" customHeight="1" x14ac:dyDescent="0.25">
      <c r="A5917" s="431">
        <v>39477</v>
      </c>
      <c r="B5917" s="432">
        <v>1946.54</v>
      </c>
      <c r="C5917" s="427">
        <f t="shared" si="184"/>
        <v>2008</v>
      </c>
      <c r="D5917" s="433">
        <f t="shared" si="185"/>
        <v>1946.54</v>
      </c>
    </row>
    <row r="5918" spans="1:4" ht="16.149999999999999" customHeight="1" x14ac:dyDescent="0.25">
      <c r="A5918" s="431">
        <v>39478</v>
      </c>
      <c r="B5918" s="434">
        <v>1939.6</v>
      </c>
      <c r="C5918" s="427">
        <f t="shared" si="184"/>
        <v>2008</v>
      </c>
      <c r="D5918" s="433">
        <f t="shared" si="185"/>
        <v>1939.6</v>
      </c>
    </row>
    <row r="5919" spans="1:4" ht="16.149999999999999" customHeight="1" x14ac:dyDescent="0.25">
      <c r="A5919" s="431">
        <v>39479</v>
      </c>
      <c r="B5919" s="432">
        <v>1939.77</v>
      </c>
      <c r="C5919" s="427">
        <f t="shared" si="184"/>
        <v>2008</v>
      </c>
      <c r="D5919" s="433">
        <f t="shared" si="185"/>
        <v>1939.77</v>
      </c>
    </row>
    <row r="5920" spans="1:4" ht="16.149999999999999" customHeight="1" x14ac:dyDescent="0.25">
      <c r="A5920" s="431">
        <v>39480</v>
      </c>
      <c r="B5920" s="434">
        <v>1921.94</v>
      </c>
      <c r="C5920" s="427">
        <f t="shared" si="184"/>
        <v>2008</v>
      </c>
      <c r="D5920" s="433">
        <f t="shared" si="185"/>
        <v>1921.94</v>
      </c>
    </row>
    <row r="5921" spans="1:4" ht="16.149999999999999" customHeight="1" x14ac:dyDescent="0.25">
      <c r="A5921" s="431">
        <v>39481</v>
      </c>
      <c r="B5921" s="432">
        <v>1921.94</v>
      </c>
      <c r="C5921" s="427">
        <f t="shared" si="184"/>
        <v>2008</v>
      </c>
      <c r="D5921" s="433">
        <f t="shared" si="185"/>
        <v>1921.94</v>
      </c>
    </row>
    <row r="5922" spans="1:4" ht="16.149999999999999" customHeight="1" x14ac:dyDescent="0.25">
      <c r="A5922" s="431">
        <v>39482</v>
      </c>
      <c r="B5922" s="434">
        <v>1921.94</v>
      </c>
      <c r="C5922" s="427">
        <f t="shared" si="184"/>
        <v>2008</v>
      </c>
      <c r="D5922" s="433">
        <f t="shared" si="185"/>
        <v>1921.94</v>
      </c>
    </row>
    <row r="5923" spans="1:4" ht="16.149999999999999" customHeight="1" x14ac:dyDescent="0.25">
      <c r="A5923" s="431">
        <v>39483</v>
      </c>
      <c r="B5923" s="432">
        <v>1917.26</v>
      </c>
      <c r="C5923" s="427">
        <f t="shared" si="184"/>
        <v>2008</v>
      </c>
      <c r="D5923" s="433">
        <f t="shared" si="185"/>
        <v>1917.26</v>
      </c>
    </row>
    <row r="5924" spans="1:4" ht="16.149999999999999" customHeight="1" x14ac:dyDescent="0.25">
      <c r="A5924" s="431">
        <v>39484</v>
      </c>
      <c r="B5924" s="434">
        <v>1928.3</v>
      </c>
      <c r="C5924" s="427">
        <f t="shared" si="184"/>
        <v>2008</v>
      </c>
      <c r="D5924" s="433">
        <f t="shared" si="185"/>
        <v>1928.3</v>
      </c>
    </row>
    <row r="5925" spans="1:4" ht="16.149999999999999" customHeight="1" x14ac:dyDescent="0.25">
      <c r="A5925" s="431">
        <v>39485</v>
      </c>
      <c r="B5925" s="432">
        <v>1929.7</v>
      </c>
      <c r="C5925" s="427">
        <f t="shared" si="184"/>
        <v>2008</v>
      </c>
      <c r="D5925" s="433">
        <f t="shared" si="185"/>
        <v>1929.7</v>
      </c>
    </row>
    <row r="5926" spans="1:4" ht="16.149999999999999" customHeight="1" x14ac:dyDescent="0.25">
      <c r="A5926" s="431">
        <v>39486</v>
      </c>
      <c r="B5926" s="434">
        <v>1935.49</v>
      </c>
      <c r="C5926" s="427">
        <f t="shared" si="184"/>
        <v>2008</v>
      </c>
      <c r="D5926" s="433">
        <f t="shared" si="185"/>
        <v>1935.49</v>
      </c>
    </row>
    <row r="5927" spans="1:4" ht="16.149999999999999" customHeight="1" x14ac:dyDescent="0.25">
      <c r="A5927" s="431">
        <v>39487</v>
      </c>
      <c r="B5927" s="432">
        <v>1923.08</v>
      </c>
      <c r="C5927" s="427">
        <f t="shared" si="184"/>
        <v>2008</v>
      </c>
      <c r="D5927" s="433">
        <f t="shared" si="185"/>
        <v>1923.08</v>
      </c>
    </row>
    <row r="5928" spans="1:4" ht="16.149999999999999" customHeight="1" x14ac:dyDescent="0.25">
      <c r="A5928" s="431">
        <v>39488</v>
      </c>
      <c r="B5928" s="434">
        <v>1923.08</v>
      </c>
      <c r="C5928" s="427">
        <f t="shared" si="184"/>
        <v>2008</v>
      </c>
      <c r="D5928" s="433">
        <f t="shared" si="185"/>
        <v>1923.08</v>
      </c>
    </row>
    <row r="5929" spans="1:4" ht="16.149999999999999" customHeight="1" x14ac:dyDescent="0.25">
      <c r="A5929" s="431">
        <v>39489</v>
      </c>
      <c r="B5929" s="432">
        <v>1923.08</v>
      </c>
      <c r="C5929" s="427">
        <f t="shared" si="184"/>
        <v>2008</v>
      </c>
      <c r="D5929" s="433">
        <f t="shared" si="185"/>
        <v>1923.08</v>
      </c>
    </row>
    <row r="5930" spans="1:4" ht="16.149999999999999" customHeight="1" x14ac:dyDescent="0.25">
      <c r="A5930" s="431">
        <v>39490</v>
      </c>
      <c r="B5930" s="434">
        <v>1912.8</v>
      </c>
      <c r="C5930" s="427">
        <f t="shared" si="184"/>
        <v>2008</v>
      </c>
      <c r="D5930" s="433">
        <f t="shared" si="185"/>
        <v>1912.8</v>
      </c>
    </row>
    <row r="5931" spans="1:4" ht="16.149999999999999" customHeight="1" x14ac:dyDescent="0.25">
      <c r="A5931" s="431">
        <v>39491</v>
      </c>
      <c r="B5931" s="432">
        <v>1901.38</v>
      </c>
      <c r="C5931" s="427">
        <f t="shared" si="184"/>
        <v>2008</v>
      </c>
      <c r="D5931" s="433">
        <f t="shared" si="185"/>
        <v>1901.38</v>
      </c>
    </row>
    <row r="5932" spans="1:4" ht="16.149999999999999" customHeight="1" x14ac:dyDescent="0.25">
      <c r="A5932" s="431">
        <v>39492</v>
      </c>
      <c r="B5932" s="434">
        <v>1898.4</v>
      </c>
      <c r="C5932" s="427">
        <f t="shared" si="184"/>
        <v>2008</v>
      </c>
      <c r="D5932" s="433">
        <f t="shared" si="185"/>
        <v>1898.4</v>
      </c>
    </row>
    <row r="5933" spans="1:4" ht="16.149999999999999" customHeight="1" x14ac:dyDescent="0.25">
      <c r="A5933" s="431">
        <v>39493</v>
      </c>
      <c r="B5933" s="432">
        <v>1894.87</v>
      </c>
      <c r="C5933" s="427">
        <f t="shared" si="184"/>
        <v>2008</v>
      </c>
      <c r="D5933" s="433">
        <f t="shared" si="185"/>
        <v>1894.87</v>
      </c>
    </row>
    <row r="5934" spans="1:4" ht="16.149999999999999" customHeight="1" x14ac:dyDescent="0.25">
      <c r="A5934" s="431">
        <v>39494</v>
      </c>
      <c r="B5934" s="434">
        <v>1905.37</v>
      </c>
      <c r="C5934" s="427">
        <f t="shared" si="184"/>
        <v>2008</v>
      </c>
      <c r="D5934" s="433">
        <f t="shared" si="185"/>
        <v>1905.37</v>
      </c>
    </row>
    <row r="5935" spans="1:4" ht="16.149999999999999" customHeight="1" x14ac:dyDescent="0.25">
      <c r="A5935" s="431">
        <v>39495</v>
      </c>
      <c r="B5935" s="432">
        <v>1905.37</v>
      </c>
      <c r="C5935" s="427">
        <f t="shared" si="184"/>
        <v>2008</v>
      </c>
      <c r="D5935" s="433">
        <f t="shared" si="185"/>
        <v>1905.37</v>
      </c>
    </row>
    <row r="5936" spans="1:4" ht="16.149999999999999" customHeight="1" x14ac:dyDescent="0.25">
      <c r="A5936" s="431">
        <v>39496</v>
      </c>
      <c r="B5936" s="434">
        <v>1905.37</v>
      </c>
      <c r="C5936" s="427">
        <f t="shared" si="184"/>
        <v>2008</v>
      </c>
      <c r="D5936" s="433">
        <f t="shared" si="185"/>
        <v>1905.37</v>
      </c>
    </row>
    <row r="5937" spans="1:4" ht="16.149999999999999" customHeight="1" x14ac:dyDescent="0.25">
      <c r="A5937" s="431">
        <v>39497</v>
      </c>
      <c r="B5937" s="432">
        <v>1905.37</v>
      </c>
      <c r="C5937" s="427">
        <f t="shared" si="184"/>
        <v>2008</v>
      </c>
      <c r="D5937" s="433">
        <f t="shared" si="185"/>
        <v>1905.37</v>
      </c>
    </row>
    <row r="5938" spans="1:4" ht="16.149999999999999" customHeight="1" x14ac:dyDescent="0.25">
      <c r="A5938" s="431">
        <v>39498</v>
      </c>
      <c r="B5938" s="434">
        <v>1890.74</v>
      </c>
      <c r="C5938" s="427">
        <f t="shared" si="184"/>
        <v>2008</v>
      </c>
      <c r="D5938" s="433">
        <f t="shared" si="185"/>
        <v>1890.74</v>
      </c>
    </row>
    <row r="5939" spans="1:4" ht="16.149999999999999" customHeight="1" x14ac:dyDescent="0.25">
      <c r="A5939" s="431">
        <v>39499</v>
      </c>
      <c r="B5939" s="432">
        <v>1910.81</v>
      </c>
      <c r="C5939" s="427">
        <f t="shared" si="184"/>
        <v>2008</v>
      </c>
      <c r="D5939" s="433">
        <f t="shared" si="185"/>
        <v>1910.81</v>
      </c>
    </row>
    <row r="5940" spans="1:4" ht="16.149999999999999" customHeight="1" x14ac:dyDescent="0.25">
      <c r="A5940" s="431">
        <v>39500</v>
      </c>
      <c r="B5940" s="434">
        <v>1895.85</v>
      </c>
      <c r="C5940" s="427">
        <f t="shared" si="184"/>
        <v>2008</v>
      </c>
      <c r="D5940" s="433">
        <f t="shared" si="185"/>
        <v>1895.85</v>
      </c>
    </row>
    <row r="5941" spans="1:4" ht="16.149999999999999" customHeight="1" x14ac:dyDescent="0.25">
      <c r="A5941" s="431">
        <v>39501</v>
      </c>
      <c r="B5941" s="432">
        <v>1892</v>
      </c>
      <c r="C5941" s="427">
        <f t="shared" si="184"/>
        <v>2008</v>
      </c>
      <c r="D5941" s="433">
        <f t="shared" si="185"/>
        <v>1892</v>
      </c>
    </row>
    <row r="5942" spans="1:4" ht="16.149999999999999" customHeight="1" x14ac:dyDescent="0.25">
      <c r="A5942" s="431">
        <v>39502</v>
      </c>
      <c r="B5942" s="434">
        <v>1892</v>
      </c>
      <c r="C5942" s="427">
        <f t="shared" si="184"/>
        <v>2008</v>
      </c>
      <c r="D5942" s="433">
        <f t="shared" si="185"/>
        <v>1892</v>
      </c>
    </row>
    <row r="5943" spans="1:4" ht="16.149999999999999" customHeight="1" x14ac:dyDescent="0.25">
      <c r="A5943" s="431">
        <v>39503</v>
      </c>
      <c r="B5943" s="432">
        <v>1892</v>
      </c>
      <c r="C5943" s="427">
        <f t="shared" si="184"/>
        <v>2008</v>
      </c>
      <c r="D5943" s="433">
        <f t="shared" si="185"/>
        <v>1892</v>
      </c>
    </row>
    <row r="5944" spans="1:4" ht="16.149999999999999" customHeight="1" x14ac:dyDescent="0.25">
      <c r="A5944" s="431">
        <v>39504</v>
      </c>
      <c r="B5944" s="434">
        <v>1887.97</v>
      </c>
      <c r="C5944" s="427">
        <f t="shared" si="184"/>
        <v>2008</v>
      </c>
      <c r="D5944" s="433">
        <f t="shared" si="185"/>
        <v>1887.97</v>
      </c>
    </row>
    <row r="5945" spans="1:4" ht="16.149999999999999" customHeight="1" x14ac:dyDescent="0.25">
      <c r="A5945" s="431">
        <v>39505</v>
      </c>
      <c r="B5945" s="432">
        <v>1879.19</v>
      </c>
      <c r="C5945" s="427">
        <f t="shared" si="184"/>
        <v>2008</v>
      </c>
      <c r="D5945" s="433">
        <f t="shared" si="185"/>
        <v>1879.19</v>
      </c>
    </row>
    <row r="5946" spans="1:4" ht="16.149999999999999" customHeight="1" x14ac:dyDescent="0.25">
      <c r="A5946" s="431">
        <v>39506</v>
      </c>
      <c r="B5946" s="434">
        <v>1854.87</v>
      </c>
      <c r="C5946" s="427">
        <f t="shared" si="184"/>
        <v>2008</v>
      </c>
      <c r="D5946" s="433">
        <f t="shared" si="185"/>
        <v>1854.87</v>
      </c>
    </row>
    <row r="5947" spans="1:4" ht="16.149999999999999" customHeight="1" x14ac:dyDescent="0.25">
      <c r="A5947" s="431">
        <v>39507</v>
      </c>
      <c r="B5947" s="432">
        <v>1843.59</v>
      </c>
      <c r="C5947" s="427">
        <f t="shared" si="184"/>
        <v>2008</v>
      </c>
      <c r="D5947" s="433">
        <f t="shared" si="185"/>
        <v>1843.59</v>
      </c>
    </row>
    <row r="5948" spans="1:4" ht="16.149999999999999" customHeight="1" x14ac:dyDescent="0.25">
      <c r="A5948" s="431">
        <v>39508</v>
      </c>
      <c r="B5948" s="434">
        <v>1845.17</v>
      </c>
      <c r="C5948" s="427">
        <f t="shared" si="184"/>
        <v>2008</v>
      </c>
      <c r="D5948" s="433">
        <f t="shared" si="185"/>
        <v>1845.17</v>
      </c>
    </row>
    <row r="5949" spans="1:4" ht="16.149999999999999" customHeight="1" x14ac:dyDescent="0.25">
      <c r="A5949" s="431">
        <v>39509</v>
      </c>
      <c r="B5949" s="432">
        <v>1845.17</v>
      </c>
      <c r="C5949" s="427">
        <f t="shared" si="184"/>
        <v>2008</v>
      </c>
      <c r="D5949" s="433">
        <f t="shared" si="185"/>
        <v>1845.17</v>
      </c>
    </row>
    <row r="5950" spans="1:4" ht="16.149999999999999" customHeight="1" x14ac:dyDescent="0.25">
      <c r="A5950" s="431">
        <v>39510</v>
      </c>
      <c r="B5950" s="434">
        <v>1845.17</v>
      </c>
      <c r="C5950" s="427">
        <f t="shared" si="184"/>
        <v>2008</v>
      </c>
      <c r="D5950" s="433">
        <f t="shared" si="185"/>
        <v>1845.17</v>
      </c>
    </row>
    <row r="5951" spans="1:4" ht="16.149999999999999" customHeight="1" x14ac:dyDescent="0.25">
      <c r="A5951" s="431">
        <v>39511</v>
      </c>
      <c r="B5951" s="432">
        <v>1849.46</v>
      </c>
      <c r="C5951" s="427">
        <f t="shared" si="184"/>
        <v>2008</v>
      </c>
      <c r="D5951" s="433">
        <f t="shared" si="185"/>
        <v>1849.46</v>
      </c>
    </row>
    <row r="5952" spans="1:4" ht="16.149999999999999" customHeight="1" x14ac:dyDescent="0.25">
      <c r="A5952" s="431">
        <v>39512</v>
      </c>
      <c r="B5952" s="434">
        <v>1841.61</v>
      </c>
      <c r="C5952" s="427">
        <f t="shared" si="184"/>
        <v>2008</v>
      </c>
      <c r="D5952" s="433">
        <f t="shared" si="185"/>
        <v>1841.61</v>
      </c>
    </row>
    <row r="5953" spans="1:4" ht="16.149999999999999" customHeight="1" x14ac:dyDescent="0.25">
      <c r="A5953" s="431">
        <v>39513</v>
      </c>
      <c r="B5953" s="432">
        <v>1856.69</v>
      </c>
      <c r="C5953" s="427">
        <f t="shared" si="184"/>
        <v>2008</v>
      </c>
      <c r="D5953" s="433">
        <f t="shared" si="185"/>
        <v>1856.69</v>
      </c>
    </row>
    <row r="5954" spans="1:4" ht="16.149999999999999" customHeight="1" x14ac:dyDescent="0.25">
      <c r="A5954" s="431">
        <v>39514</v>
      </c>
      <c r="B5954" s="434">
        <v>1880.12</v>
      </c>
      <c r="C5954" s="427">
        <f t="shared" si="184"/>
        <v>2008</v>
      </c>
      <c r="D5954" s="433">
        <f t="shared" si="185"/>
        <v>1880.12</v>
      </c>
    </row>
    <row r="5955" spans="1:4" ht="16.149999999999999" customHeight="1" x14ac:dyDescent="0.25">
      <c r="A5955" s="431">
        <v>39515</v>
      </c>
      <c r="B5955" s="432">
        <v>1902.17</v>
      </c>
      <c r="C5955" s="427">
        <f t="shared" si="184"/>
        <v>2008</v>
      </c>
      <c r="D5955" s="433">
        <f t="shared" si="185"/>
        <v>1902.17</v>
      </c>
    </row>
    <row r="5956" spans="1:4" ht="16.149999999999999" customHeight="1" x14ac:dyDescent="0.25">
      <c r="A5956" s="431">
        <v>39516</v>
      </c>
      <c r="B5956" s="434">
        <v>1902.17</v>
      </c>
      <c r="C5956" s="427">
        <f t="shared" si="184"/>
        <v>2008</v>
      </c>
      <c r="D5956" s="433">
        <f t="shared" si="185"/>
        <v>1902.17</v>
      </c>
    </row>
    <row r="5957" spans="1:4" ht="16.149999999999999" customHeight="1" x14ac:dyDescent="0.25">
      <c r="A5957" s="431">
        <v>39517</v>
      </c>
      <c r="B5957" s="432">
        <v>1902.17</v>
      </c>
      <c r="C5957" s="427">
        <f t="shared" si="184"/>
        <v>2008</v>
      </c>
      <c r="D5957" s="433">
        <f t="shared" si="185"/>
        <v>1902.17</v>
      </c>
    </row>
    <row r="5958" spans="1:4" ht="16.149999999999999" customHeight="1" x14ac:dyDescent="0.25">
      <c r="A5958" s="431">
        <v>39518</v>
      </c>
      <c r="B5958" s="434">
        <v>1864.78</v>
      </c>
      <c r="C5958" s="427">
        <f t="shared" si="184"/>
        <v>2008</v>
      </c>
      <c r="D5958" s="433">
        <f t="shared" si="185"/>
        <v>1864.78</v>
      </c>
    </row>
    <row r="5959" spans="1:4" ht="16.149999999999999" customHeight="1" x14ac:dyDescent="0.25">
      <c r="A5959" s="431">
        <v>39519</v>
      </c>
      <c r="B5959" s="432">
        <v>1865.98</v>
      </c>
      <c r="C5959" s="427">
        <f t="shared" si="184"/>
        <v>2008</v>
      </c>
      <c r="D5959" s="433">
        <f t="shared" si="185"/>
        <v>1865.98</v>
      </c>
    </row>
    <row r="5960" spans="1:4" ht="16.149999999999999" customHeight="1" x14ac:dyDescent="0.25">
      <c r="A5960" s="431">
        <v>39520</v>
      </c>
      <c r="B5960" s="434">
        <v>1853.41</v>
      </c>
      <c r="C5960" s="427">
        <f t="shared" si="184"/>
        <v>2008</v>
      </c>
      <c r="D5960" s="433">
        <f t="shared" si="185"/>
        <v>1853.41</v>
      </c>
    </row>
    <row r="5961" spans="1:4" ht="16.149999999999999" customHeight="1" x14ac:dyDescent="0.25">
      <c r="A5961" s="431">
        <v>39521</v>
      </c>
      <c r="B5961" s="432">
        <v>1856.01</v>
      </c>
      <c r="C5961" s="427">
        <f t="shared" si="184"/>
        <v>2008</v>
      </c>
      <c r="D5961" s="433">
        <f t="shared" si="185"/>
        <v>1856.01</v>
      </c>
    </row>
    <row r="5962" spans="1:4" ht="16.149999999999999" customHeight="1" x14ac:dyDescent="0.25">
      <c r="A5962" s="431">
        <v>39522</v>
      </c>
      <c r="B5962" s="434">
        <v>1843.95</v>
      </c>
      <c r="C5962" s="427">
        <f t="shared" ref="C5962:C6025" si="186">YEAR(A5962)</f>
        <v>2008</v>
      </c>
      <c r="D5962" s="433">
        <f t="shared" ref="D5962:D6025" si="187">B5962</f>
        <v>1843.95</v>
      </c>
    </row>
    <row r="5963" spans="1:4" ht="16.149999999999999" customHeight="1" x14ac:dyDescent="0.25">
      <c r="A5963" s="431">
        <v>39523</v>
      </c>
      <c r="B5963" s="432">
        <v>1843.95</v>
      </c>
      <c r="C5963" s="427">
        <f t="shared" si="186"/>
        <v>2008</v>
      </c>
      <c r="D5963" s="433">
        <f t="shared" si="187"/>
        <v>1843.95</v>
      </c>
    </row>
    <row r="5964" spans="1:4" ht="16.149999999999999" customHeight="1" x14ac:dyDescent="0.25">
      <c r="A5964" s="431">
        <v>39524</v>
      </c>
      <c r="B5964" s="434">
        <v>1843.95</v>
      </c>
      <c r="C5964" s="427">
        <f t="shared" si="186"/>
        <v>2008</v>
      </c>
      <c r="D5964" s="433">
        <f t="shared" si="187"/>
        <v>1843.95</v>
      </c>
    </row>
    <row r="5965" spans="1:4" ht="16.149999999999999" customHeight="1" x14ac:dyDescent="0.25">
      <c r="A5965" s="431">
        <v>39525</v>
      </c>
      <c r="B5965" s="432">
        <v>1857.55</v>
      </c>
      <c r="C5965" s="427">
        <f t="shared" si="186"/>
        <v>2008</v>
      </c>
      <c r="D5965" s="433">
        <f t="shared" si="187"/>
        <v>1857.55</v>
      </c>
    </row>
    <row r="5966" spans="1:4" ht="16.149999999999999" customHeight="1" x14ac:dyDescent="0.25">
      <c r="A5966" s="431">
        <v>39526</v>
      </c>
      <c r="B5966" s="434">
        <v>1823.11</v>
      </c>
      <c r="C5966" s="427">
        <f t="shared" si="186"/>
        <v>2008</v>
      </c>
      <c r="D5966" s="433">
        <f t="shared" si="187"/>
        <v>1823.11</v>
      </c>
    </row>
    <row r="5967" spans="1:4" ht="16.149999999999999" customHeight="1" x14ac:dyDescent="0.25">
      <c r="A5967" s="431">
        <v>39527</v>
      </c>
      <c r="B5967" s="432">
        <v>1815.65</v>
      </c>
      <c r="C5967" s="427">
        <f t="shared" si="186"/>
        <v>2008</v>
      </c>
      <c r="D5967" s="433">
        <f t="shared" si="187"/>
        <v>1815.65</v>
      </c>
    </row>
    <row r="5968" spans="1:4" ht="16.149999999999999" customHeight="1" x14ac:dyDescent="0.25">
      <c r="A5968" s="431">
        <v>39528</v>
      </c>
      <c r="B5968" s="434">
        <v>1815.65</v>
      </c>
      <c r="C5968" s="427">
        <f t="shared" si="186"/>
        <v>2008</v>
      </c>
      <c r="D5968" s="433">
        <f t="shared" si="187"/>
        <v>1815.65</v>
      </c>
    </row>
    <row r="5969" spans="1:4" ht="16.149999999999999" customHeight="1" x14ac:dyDescent="0.25">
      <c r="A5969" s="431">
        <v>39529</v>
      </c>
      <c r="B5969" s="432">
        <v>1815.65</v>
      </c>
      <c r="C5969" s="427">
        <f t="shared" si="186"/>
        <v>2008</v>
      </c>
      <c r="D5969" s="433">
        <f t="shared" si="187"/>
        <v>1815.65</v>
      </c>
    </row>
    <row r="5970" spans="1:4" ht="16.149999999999999" customHeight="1" x14ac:dyDescent="0.25">
      <c r="A5970" s="431">
        <v>39530</v>
      </c>
      <c r="B5970" s="434">
        <v>1815.65</v>
      </c>
      <c r="C5970" s="427">
        <f t="shared" si="186"/>
        <v>2008</v>
      </c>
      <c r="D5970" s="433">
        <f t="shared" si="187"/>
        <v>1815.65</v>
      </c>
    </row>
    <row r="5971" spans="1:4" ht="16.149999999999999" customHeight="1" x14ac:dyDescent="0.25">
      <c r="A5971" s="431">
        <v>39531</v>
      </c>
      <c r="B5971" s="432">
        <v>1815.65</v>
      </c>
      <c r="C5971" s="427">
        <f t="shared" si="186"/>
        <v>2008</v>
      </c>
      <c r="D5971" s="433">
        <f t="shared" si="187"/>
        <v>1815.65</v>
      </c>
    </row>
    <row r="5972" spans="1:4" ht="16.149999999999999" customHeight="1" x14ac:dyDescent="0.25">
      <c r="A5972" s="431">
        <v>39532</v>
      </c>
      <c r="B5972" s="434">
        <v>1815.65</v>
      </c>
      <c r="C5972" s="427">
        <f t="shared" si="186"/>
        <v>2008</v>
      </c>
      <c r="D5972" s="433">
        <f t="shared" si="187"/>
        <v>1815.65</v>
      </c>
    </row>
    <row r="5973" spans="1:4" ht="16.149999999999999" customHeight="1" x14ac:dyDescent="0.25">
      <c r="A5973" s="431">
        <v>39533</v>
      </c>
      <c r="B5973" s="432">
        <v>1835.01</v>
      </c>
      <c r="C5973" s="427">
        <f t="shared" si="186"/>
        <v>2008</v>
      </c>
      <c r="D5973" s="433">
        <f t="shared" si="187"/>
        <v>1835.01</v>
      </c>
    </row>
    <row r="5974" spans="1:4" ht="16.149999999999999" customHeight="1" x14ac:dyDescent="0.25">
      <c r="A5974" s="431">
        <v>39534</v>
      </c>
      <c r="B5974" s="434">
        <v>1821.31</v>
      </c>
      <c r="C5974" s="427">
        <f t="shared" si="186"/>
        <v>2008</v>
      </c>
      <c r="D5974" s="433">
        <f t="shared" si="187"/>
        <v>1821.31</v>
      </c>
    </row>
    <row r="5975" spans="1:4" ht="16.149999999999999" customHeight="1" x14ac:dyDescent="0.25">
      <c r="A5975" s="431">
        <v>39535</v>
      </c>
      <c r="B5975" s="432">
        <v>1810.68</v>
      </c>
      <c r="C5975" s="427">
        <f t="shared" si="186"/>
        <v>2008</v>
      </c>
      <c r="D5975" s="433">
        <f t="shared" si="187"/>
        <v>1810.68</v>
      </c>
    </row>
    <row r="5976" spans="1:4" ht="16.149999999999999" customHeight="1" x14ac:dyDescent="0.25">
      <c r="A5976" s="431">
        <v>39536</v>
      </c>
      <c r="B5976" s="434">
        <v>1821.6</v>
      </c>
      <c r="C5976" s="427">
        <f t="shared" si="186"/>
        <v>2008</v>
      </c>
      <c r="D5976" s="433">
        <f t="shared" si="187"/>
        <v>1821.6</v>
      </c>
    </row>
    <row r="5977" spans="1:4" ht="16.149999999999999" customHeight="1" x14ac:dyDescent="0.25">
      <c r="A5977" s="431">
        <v>39537</v>
      </c>
      <c r="B5977" s="432">
        <v>1821.6</v>
      </c>
      <c r="C5977" s="427">
        <f t="shared" si="186"/>
        <v>2008</v>
      </c>
      <c r="D5977" s="433">
        <f t="shared" si="187"/>
        <v>1821.6</v>
      </c>
    </row>
    <row r="5978" spans="1:4" ht="16.149999999999999" customHeight="1" x14ac:dyDescent="0.25">
      <c r="A5978" s="431">
        <v>39538</v>
      </c>
      <c r="B5978" s="434">
        <v>1821.6</v>
      </c>
      <c r="C5978" s="427">
        <f t="shared" si="186"/>
        <v>2008</v>
      </c>
      <c r="D5978" s="433">
        <f t="shared" si="187"/>
        <v>1821.6</v>
      </c>
    </row>
    <row r="5979" spans="1:4" ht="16.149999999999999" customHeight="1" x14ac:dyDescent="0.25">
      <c r="A5979" s="431">
        <v>39539</v>
      </c>
      <c r="B5979" s="432">
        <v>1834.96</v>
      </c>
      <c r="C5979" s="427">
        <f t="shared" si="186"/>
        <v>2008</v>
      </c>
      <c r="D5979" s="433">
        <f t="shared" si="187"/>
        <v>1834.96</v>
      </c>
    </row>
    <row r="5980" spans="1:4" ht="16.149999999999999" customHeight="1" x14ac:dyDescent="0.25">
      <c r="A5980" s="431">
        <v>39540</v>
      </c>
      <c r="B5980" s="434">
        <v>1827.94</v>
      </c>
      <c r="C5980" s="427">
        <f t="shared" si="186"/>
        <v>2008</v>
      </c>
      <c r="D5980" s="433">
        <f t="shared" si="187"/>
        <v>1827.94</v>
      </c>
    </row>
    <row r="5981" spans="1:4" ht="16.149999999999999" customHeight="1" x14ac:dyDescent="0.25">
      <c r="A5981" s="431">
        <v>39541</v>
      </c>
      <c r="B5981" s="432">
        <v>1826.34</v>
      </c>
      <c r="C5981" s="427">
        <f t="shared" si="186"/>
        <v>2008</v>
      </c>
      <c r="D5981" s="433">
        <f t="shared" si="187"/>
        <v>1826.34</v>
      </c>
    </row>
    <row r="5982" spans="1:4" ht="16.149999999999999" customHeight="1" x14ac:dyDescent="0.25">
      <c r="A5982" s="431">
        <v>39542</v>
      </c>
      <c r="B5982" s="434">
        <v>1824.39</v>
      </c>
      <c r="C5982" s="427">
        <f t="shared" si="186"/>
        <v>2008</v>
      </c>
      <c r="D5982" s="433">
        <f t="shared" si="187"/>
        <v>1824.39</v>
      </c>
    </row>
    <row r="5983" spans="1:4" ht="16.149999999999999" customHeight="1" x14ac:dyDescent="0.25">
      <c r="A5983" s="431">
        <v>39543</v>
      </c>
      <c r="B5983" s="432">
        <v>1816.28</v>
      </c>
      <c r="C5983" s="427">
        <f t="shared" si="186"/>
        <v>2008</v>
      </c>
      <c r="D5983" s="433">
        <f t="shared" si="187"/>
        <v>1816.28</v>
      </c>
    </row>
    <row r="5984" spans="1:4" ht="16.149999999999999" customHeight="1" x14ac:dyDescent="0.25">
      <c r="A5984" s="431">
        <v>39544</v>
      </c>
      <c r="B5984" s="434">
        <v>1816.28</v>
      </c>
      <c r="C5984" s="427">
        <f t="shared" si="186"/>
        <v>2008</v>
      </c>
      <c r="D5984" s="433">
        <f t="shared" si="187"/>
        <v>1816.28</v>
      </c>
    </row>
    <row r="5985" spans="1:4" ht="16.149999999999999" customHeight="1" x14ac:dyDescent="0.25">
      <c r="A5985" s="431">
        <v>39545</v>
      </c>
      <c r="B5985" s="432">
        <v>1816.28</v>
      </c>
      <c r="C5985" s="427">
        <f t="shared" si="186"/>
        <v>2008</v>
      </c>
      <c r="D5985" s="433">
        <f t="shared" si="187"/>
        <v>1816.28</v>
      </c>
    </row>
    <row r="5986" spans="1:4" ht="16.149999999999999" customHeight="1" x14ac:dyDescent="0.25">
      <c r="A5986" s="431">
        <v>39546</v>
      </c>
      <c r="B5986" s="434">
        <v>1811.23</v>
      </c>
      <c r="C5986" s="427">
        <f t="shared" si="186"/>
        <v>2008</v>
      </c>
      <c r="D5986" s="433">
        <f t="shared" si="187"/>
        <v>1811.23</v>
      </c>
    </row>
    <row r="5987" spans="1:4" ht="16.149999999999999" customHeight="1" x14ac:dyDescent="0.25">
      <c r="A5987" s="431">
        <v>39547</v>
      </c>
      <c r="B5987" s="432">
        <v>1812.85</v>
      </c>
      <c r="C5987" s="427">
        <f t="shared" si="186"/>
        <v>2008</v>
      </c>
      <c r="D5987" s="433">
        <f t="shared" si="187"/>
        <v>1812.85</v>
      </c>
    </row>
    <row r="5988" spans="1:4" ht="16.149999999999999" customHeight="1" x14ac:dyDescent="0.25">
      <c r="A5988" s="431">
        <v>39548</v>
      </c>
      <c r="B5988" s="434">
        <v>1799.07</v>
      </c>
      <c r="C5988" s="427">
        <f t="shared" si="186"/>
        <v>2008</v>
      </c>
      <c r="D5988" s="433">
        <f t="shared" si="187"/>
        <v>1799.07</v>
      </c>
    </row>
    <row r="5989" spans="1:4" ht="16.149999999999999" customHeight="1" x14ac:dyDescent="0.25">
      <c r="A5989" s="431">
        <v>39549</v>
      </c>
      <c r="B5989" s="432">
        <v>1791.63</v>
      </c>
      <c r="C5989" s="427">
        <f t="shared" si="186"/>
        <v>2008</v>
      </c>
      <c r="D5989" s="433">
        <f t="shared" si="187"/>
        <v>1791.63</v>
      </c>
    </row>
    <row r="5990" spans="1:4" ht="16.149999999999999" customHeight="1" x14ac:dyDescent="0.25">
      <c r="A5990" s="431">
        <v>39550</v>
      </c>
      <c r="B5990" s="434">
        <v>1792.49</v>
      </c>
      <c r="C5990" s="427">
        <f t="shared" si="186"/>
        <v>2008</v>
      </c>
      <c r="D5990" s="433">
        <f t="shared" si="187"/>
        <v>1792.49</v>
      </c>
    </row>
    <row r="5991" spans="1:4" ht="16.149999999999999" customHeight="1" x14ac:dyDescent="0.25">
      <c r="A5991" s="431">
        <v>39551</v>
      </c>
      <c r="B5991" s="432">
        <v>1792.49</v>
      </c>
      <c r="C5991" s="427">
        <f t="shared" si="186"/>
        <v>2008</v>
      </c>
      <c r="D5991" s="433">
        <f t="shared" si="187"/>
        <v>1792.49</v>
      </c>
    </row>
    <row r="5992" spans="1:4" ht="16.149999999999999" customHeight="1" x14ac:dyDescent="0.25">
      <c r="A5992" s="431">
        <v>39552</v>
      </c>
      <c r="B5992" s="434">
        <v>1792.49</v>
      </c>
      <c r="C5992" s="427">
        <f t="shared" si="186"/>
        <v>2008</v>
      </c>
      <c r="D5992" s="433">
        <f t="shared" si="187"/>
        <v>1792.49</v>
      </c>
    </row>
    <row r="5993" spans="1:4" ht="16.149999999999999" customHeight="1" x14ac:dyDescent="0.25">
      <c r="A5993" s="431">
        <v>39553</v>
      </c>
      <c r="B5993" s="432">
        <v>1792.69</v>
      </c>
      <c r="C5993" s="427">
        <f t="shared" si="186"/>
        <v>2008</v>
      </c>
      <c r="D5993" s="433">
        <f t="shared" si="187"/>
        <v>1792.69</v>
      </c>
    </row>
    <row r="5994" spans="1:4" ht="16.149999999999999" customHeight="1" x14ac:dyDescent="0.25">
      <c r="A5994" s="431">
        <v>39554</v>
      </c>
      <c r="B5994" s="434">
        <v>1797.89</v>
      </c>
      <c r="C5994" s="427">
        <f t="shared" si="186"/>
        <v>2008</v>
      </c>
      <c r="D5994" s="433">
        <f t="shared" si="187"/>
        <v>1797.89</v>
      </c>
    </row>
    <row r="5995" spans="1:4" ht="16.149999999999999" customHeight="1" x14ac:dyDescent="0.25">
      <c r="A5995" s="431">
        <v>39555</v>
      </c>
      <c r="B5995" s="432">
        <v>1798.89</v>
      </c>
      <c r="C5995" s="427">
        <f t="shared" si="186"/>
        <v>2008</v>
      </c>
      <c r="D5995" s="433">
        <f t="shared" si="187"/>
        <v>1798.89</v>
      </c>
    </row>
    <row r="5996" spans="1:4" ht="16.149999999999999" customHeight="1" x14ac:dyDescent="0.25">
      <c r="A5996" s="431">
        <v>39556</v>
      </c>
      <c r="B5996" s="434">
        <v>1792.87</v>
      </c>
      <c r="C5996" s="427">
        <f t="shared" si="186"/>
        <v>2008</v>
      </c>
      <c r="D5996" s="433">
        <f t="shared" si="187"/>
        <v>1792.87</v>
      </c>
    </row>
    <row r="5997" spans="1:4" ht="16.149999999999999" customHeight="1" x14ac:dyDescent="0.25">
      <c r="A5997" s="431">
        <v>39557</v>
      </c>
      <c r="B5997" s="432">
        <v>1785.17</v>
      </c>
      <c r="C5997" s="427">
        <f t="shared" si="186"/>
        <v>2008</v>
      </c>
      <c r="D5997" s="433">
        <f t="shared" si="187"/>
        <v>1785.17</v>
      </c>
    </row>
    <row r="5998" spans="1:4" ht="16.149999999999999" customHeight="1" x14ac:dyDescent="0.25">
      <c r="A5998" s="431">
        <v>39558</v>
      </c>
      <c r="B5998" s="434">
        <v>1785.17</v>
      </c>
      <c r="C5998" s="427">
        <f t="shared" si="186"/>
        <v>2008</v>
      </c>
      <c r="D5998" s="433">
        <f t="shared" si="187"/>
        <v>1785.17</v>
      </c>
    </row>
    <row r="5999" spans="1:4" ht="16.149999999999999" customHeight="1" x14ac:dyDescent="0.25">
      <c r="A5999" s="431">
        <v>39559</v>
      </c>
      <c r="B5999" s="432">
        <v>1785.17</v>
      </c>
      <c r="C5999" s="427">
        <f t="shared" si="186"/>
        <v>2008</v>
      </c>
      <c r="D5999" s="433">
        <f t="shared" si="187"/>
        <v>1785.17</v>
      </c>
    </row>
    <row r="6000" spans="1:4" ht="16.149999999999999" customHeight="1" x14ac:dyDescent="0.25">
      <c r="A6000" s="431">
        <v>39560</v>
      </c>
      <c r="B6000" s="434">
        <v>1780.79</v>
      </c>
      <c r="C6000" s="427">
        <f t="shared" si="186"/>
        <v>2008</v>
      </c>
      <c r="D6000" s="433">
        <f t="shared" si="187"/>
        <v>1780.79</v>
      </c>
    </row>
    <row r="6001" spans="1:4" ht="16.149999999999999" customHeight="1" x14ac:dyDescent="0.25">
      <c r="A6001" s="431">
        <v>39561</v>
      </c>
      <c r="B6001" s="432">
        <v>1775.08</v>
      </c>
      <c r="C6001" s="427">
        <f t="shared" si="186"/>
        <v>2008</v>
      </c>
      <c r="D6001" s="433">
        <f t="shared" si="187"/>
        <v>1775.08</v>
      </c>
    </row>
    <row r="6002" spans="1:4" ht="16.149999999999999" customHeight="1" x14ac:dyDescent="0.25">
      <c r="A6002" s="431">
        <v>39562</v>
      </c>
      <c r="B6002" s="434">
        <v>1765.3</v>
      </c>
      <c r="C6002" s="427">
        <f t="shared" si="186"/>
        <v>2008</v>
      </c>
      <c r="D6002" s="433">
        <f t="shared" si="187"/>
        <v>1765.3</v>
      </c>
    </row>
    <row r="6003" spans="1:4" ht="16.149999999999999" customHeight="1" x14ac:dyDescent="0.25">
      <c r="A6003" s="431">
        <v>39563</v>
      </c>
      <c r="B6003" s="432">
        <v>1765.75</v>
      </c>
      <c r="C6003" s="427">
        <f t="shared" si="186"/>
        <v>2008</v>
      </c>
      <c r="D6003" s="433">
        <f t="shared" si="187"/>
        <v>1765.75</v>
      </c>
    </row>
    <row r="6004" spans="1:4" ht="16.149999999999999" customHeight="1" x14ac:dyDescent="0.25">
      <c r="A6004" s="431">
        <v>39564</v>
      </c>
      <c r="B6004" s="434">
        <v>1775.22</v>
      </c>
      <c r="C6004" s="427">
        <f t="shared" si="186"/>
        <v>2008</v>
      </c>
      <c r="D6004" s="433">
        <f t="shared" si="187"/>
        <v>1775.22</v>
      </c>
    </row>
    <row r="6005" spans="1:4" ht="16.149999999999999" customHeight="1" x14ac:dyDescent="0.25">
      <c r="A6005" s="431">
        <v>39565</v>
      </c>
      <c r="B6005" s="432">
        <v>1775.22</v>
      </c>
      <c r="C6005" s="427">
        <f t="shared" si="186"/>
        <v>2008</v>
      </c>
      <c r="D6005" s="433">
        <f t="shared" si="187"/>
        <v>1775.22</v>
      </c>
    </row>
    <row r="6006" spans="1:4" ht="16.149999999999999" customHeight="1" x14ac:dyDescent="0.25">
      <c r="A6006" s="431">
        <v>39566</v>
      </c>
      <c r="B6006" s="434">
        <v>1775.22</v>
      </c>
      <c r="C6006" s="427">
        <f t="shared" si="186"/>
        <v>2008</v>
      </c>
      <c r="D6006" s="433">
        <f t="shared" si="187"/>
        <v>1775.22</v>
      </c>
    </row>
    <row r="6007" spans="1:4" ht="16.149999999999999" customHeight="1" x14ac:dyDescent="0.25">
      <c r="A6007" s="431">
        <v>39567</v>
      </c>
      <c r="B6007" s="432">
        <v>1767.73</v>
      </c>
      <c r="C6007" s="427">
        <f t="shared" si="186"/>
        <v>2008</v>
      </c>
      <c r="D6007" s="433">
        <f t="shared" si="187"/>
        <v>1767.73</v>
      </c>
    </row>
    <row r="6008" spans="1:4" ht="16.149999999999999" customHeight="1" x14ac:dyDescent="0.25">
      <c r="A6008" s="431">
        <v>39568</v>
      </c>
      <c r="B6008" s="434">
        <v>1780.21</v>
      </c>
      <c r="C6008" s="427">
        <f t="shared" si="186"/>
        <v>2008</v>
      </c>
      <c r="D6008" s="433">
        <f t="shared" si="187"/>
        <v>1780.21</v>
      </c>
    </row>
    <row r="6009" spans="1:4" ht="16.149999999999999" customHeight="1" x14ac:dyDescent="0.25">
      <c r="A6009" s="431">
        <v>39569</v>
      </c>
      <c r="B6009" s="432">
        <v>1767.27</v>
      </c>
      <c r="C6009" s="427">
        <f t="shared" si="186"/>
        <v>2008</v>
      </c>
      <c r="D6009" s="433">
        <f t="shared" si="187"/>
        <v>1767.27</v>
      </c>
    </row>
    <row r="6010" spans="1:4" ht="16.149999999999999" customHeight="1" x14ac:dyDescent="0.25">
      <c r="A6010" s="431">
        <v>39570</v>
      </c>
      <c r="B6010" s="434">
        <v>1767.27</v>
      </c>
      <c r="C6010" s="427">
        <f t="shared" si="186"/>
        <v>2008</v>
      </c>
      <c r="D6010" s="433">
        <f t="shared" si="187"/>
        <v>1767.27</v>
      </c>
    </row>
    <row r="6011" spans="1:4" ht="16.149999999999999" customHeight="1" x14ac:dyDescent="0.25">
      <c r="A6011" s="431">
        <v>39571</v>
      </c>
      <c r="B6011" s="432">
        <v>1756.25</v>
      </c>
      <c r="C6011" s="427">
        <f t="shared" si="186"/>
        <v>2008</v>
      </c>
      <c r="D6011" s="433">
        <f t="shared" si="187"/>
        <v>1756.25</v>
      </c>
    </row>
    <row r="6012" spans="1:4" ht="16.149999999999999" customHeight="1" x14ac:dyDescent="0.25">
      <c r="A6012" s="431">
        <v>39572</v>
      </c>
      <c r="B6012" s="434">
        <v>1756.25</v>
      </c>
      <c r="C6012" s="427">
        <f t="shared" si="186"/>
        <v>2008</v>
      </c>
      <c r="D6012" s="433">
        <f t="shared" si="187"/>
        <v>1756.25</v>
      </c>
    </row>
    <row r="6013" spans="1:4" ht="16.149999999999999" customHeight="1" x14ac:dyDescent="0.25">
      <c r="A6013" s="431">
        <v>39573</v>
      </c>
      <c r="B6013" s="432">
        <v>1756.25</v>
      </c>
      <c r="C6013" s="427">
        <f t="shared" si="186"/>
        <v>2008</v>
      </c>
      <c r="D6013" s="433">
        <f t="shared" si="187"/>
        <v>1756.25</v>
      </c>
    </row>
    <row r="6014" spans="1:4" ht="16.149999999999999" customHeight="1" x14ac:dyDescent="0.25">
      <c r="A6014" s="431">
        <v>39574</v>
      </c>
      <c r="B6014" s="434">
        <v>1756.25</v>
      </c>
      <c r="C6014" s="427">
        <f t="shared" si="186"/>
        <v>2008</v>
      </c>
      <c r="D6014" s="433">
        <f t="shared" si="187"/>
        <v>1756.25</v>
      </c>
    </row>
    <row r="6015" spans="1:4" ht="16.149999999999999" customHeight="1" x14ac:dyDescent="0.25">
      <c r="A6015" s="431">
        <v>39575</v>
      </c>
      <c r="B6015" s="432">
        <v>1769.32</v>
      </c>
      <c r="C6015" s="427">
        <f t="shared" si="186"/>
        <v>2008</v>
      </c>
      <c r="D6015" s="433">
        <f t="shared" si="187"/>
        <v>1769.32</v>
      </c>
    </row>
    <row r="6016" spans="1:4" ht="16.149999999999999" customHeight="1" x14ac:dyDescent="0.25">
      <c r="A6016" s="431">
        <v>39576</v>
      </c>
      <c r="B6016" s="434">
        <v>1787.62</v>
      </c>
      <c r="C6016" s="427">
        <f t="shared" si="186"/>
        <v>2008</v>
      </c>
      <c r="D6016" s="433">
        <f t="shared" si="187"/>
        <v>1787.62</v>
      </c>
    </row>
    <row r="6017" spans="1:4" ht="16.149999999999999" customHeight="1" x14ac:dyDescent="0.25">
      <c r="A6017" s="431">
        <v>39577</v>
      </c>
      <c r="B6017" s="432">
        <v>1793.13</v>
      </c>
      <c r="C6017" s="427">
        <f t="shared" si="186"/>
        <v>2008</v>
      </c>
      <c r="D6017" s="433">
        <f t="shared" si="187"/>
        <v>1793.13</v>
      </c>
    </row>
    <row r="6018" spans="1:4" ht="16.149999999999999" customHeight="1" x14ac:dyDescent="0.25">
      <c r="A6018" s="431">
        <v>39578</v>
      </c>
      <c r="B6018" s="434">
        <v>1781.79</v>
      </c>
      <c r="C6018" s="427">
        <f t="shared" si="186"/>
        <v>2008</v>
      </c>
      <c r="D6018" s="433">
        <f t="shared" si="187"/>
        <v>1781.79</v>
      </c>
    </row>
    <row r="6019" spans="1:4" ht="16.149999999999999" customHeight="1" x14ac:dyDescent="0.25">
      <c r="A6019" s="431">
        <v>39579</v>
      </c>
      <c r="B6019" s="432">
        <v>1781.79</v>
      </c>
      <c r="C6019" s="427">
        <f t="shared" si="186"/>
        <v>2008</v>
      </c>
      <c r="D6019" s="433">
        <f t="shared" si="187"/>
        <v>1781.79</v>
      </c>
    </row>
    <row r="6020" spans="1:4" ht="16.149999999999999" customHeight="1" x14ac:dyDescent="0.25">
      <c r="A6020" s="431">
        <v>39580</v>
      </c>
      <c r="B6020" s="434">
        <v>1781.79</v>
      </c>
      <c r="C6020" s="427">
        <f t="shared" si="186"/>
        <v>2008</v>
      </c>
      <c r="D6020" s="433">
        <f t="shared" si="187"/>
        <v>1781.79</v>
      </c>
    </row>
    <row r="6021" spans="1:4" ht="16.149999999999999" customHeight="1" x14ac:dyDescent="0.25">
      <c r="A6021" s="431">
        <v>39581</v>
      </c>
      <c r="B6021" s="432">
        <v>1781.29</v>
      </c>
      <c r="C6021" s="427">
        <f t="shared" si="186"/>
        <v>2008</v>
      </c>
      <c r="D6021" s="433">
        <f t="shared" si="187"/>
        <v>1781.29</v>
      </c>
    </row>
    <row r="6022" spans="1:4" ht="16.149999999999999" customHeight="1" x14ac:dyDescent="0.25">
      <c r="A6022" s="431">
        <v>39582</v>
      </c>
      <c r="B6022" s="434">
        <v>1780.01</v>
      </c>
      <c r="C6022" s="427">
        <f t="shared" si="186"/>
        <v>2008</v>
      </c>
      <c r="D6022" s="433">
        <f t="shared" si="187"/>
        <v>1780.01</v>
      </c>
    </row>
    <row r="6023" spans="1:4" ht="16.149999999999999" customHeight="1" x14ac:dyDescent="0.25">
      <c r="A6023" s="431">
        <v>39583</v>
      </c>
      <c r="B6023" s="432">
        <v>1787.65</v>
      </c>
      <c r="C6023" s="427">
        <f t="shared" si="186"/>
        <v>2008</v>
      </c>
      <c r="D6023" s="433">
        <f t="shared" si="187"/>
        <v>1787.65</v>
      </c>
    </row>
    <row r="6024" spans="1:4" ht="16.149999999999999" customHeight="1" x14ac:dyDescent="0.25">
      <c r="A6024" s="431">
        <v>39584</v>
      </c>
      <c r="B6024" s="434">
        <v>1792.94</v>
      </c>
      <c r="C6024" s="427">
        <f t="shared" si="186"/>
        <v>2008</v>
      </c>
      <c r="D6024" s="433">
        <f t="shared" si="187"/>
        <v>1792.94</v>
      </c>
    </row>
    <row r="6025" spans="1:4" ht="16.149999999999999" customHeight="1" x14ac:dyDescent="0.25">
      <c r="A6025" s="431">
        <v>39585</v>
      </c>
      <c r="B6025" s="432">
        <v>1785.04</v>
      </c>
      <c r="C6025" s="427">
        <f t="shared" si="186"/>
        <v>2008</v>
      </c>
      <c r="D6025" s="433">
        <f t="shared" si="187"/>
        <v>1785.04</v>
      </c>
    </row>
    <row r="6026" spans="1:4" ht="16.149999999999999" customHeight="1" x14ac:dyDescent="0.25">
      <c r="A6026" s="431">
        <v>39586</v>
      </c>
      <c r="B6026" s="434">
        <v>1785.04</v>
      </c>
      <c r="C6026" s="427">
        <f t="shared" ref="C6026:C6089" si="188">YEAR(A6026)</f>
        <v>2008</v>
      </c>
      <c r="D6026" s="433">
        <f t="shared" ref="D6026:D6089" si="189">B6026</f>
        <v>1785.04</v>
      </c>
    </row>
    <row r="6027" spans="1:4" ht="16.149999999999999" customHeight="1" x14ac:dyDescent="0.25">
      <c r="A6027" s="431">
        <v>39587</v>
      </c>
      <c r="B6027" s="432">
        <v>1785.04</v>
      </c>
      <c r="C6027" s="427">
        <f t="shared" si="188"/>
        <v>2008</v>
      </c>
      <c r="D6027" s="433">
        <f t="shared" si="189"/>
        <v>1785.04</v>
      </c>
    </row>
    <row r="6028" spans="1:4" ht="16.149999999999999" customHeight="1" x14ac:dyDescent="0.25">
      <c r="A6028" s="431">
        <v>39588</v>
      </c>
      <c r="B6028" s="434">
        <v>1779.35</v>
      </c>
      <c r="C6028" s="427">
        <f t="shared" si="188"/>
        <v>2008</v>
      </c>
      <c r="D6028" s="433">
        <f t="shared" si="189"/>
        <v>1779.35</v>
      </c>
    </row>
    <row r="6029" spans="1:4" ht="16.149999999999999" customHeight="1" x14ac:dyDescent="0.25">
      <c r="A6029" s="431">
        <v>39589</v>
      </c>
      <c r="B6029" s="432">
        <v>1787.59</v>
      </c>
      <c r="C6029" s="427">
        <f t="shared" si="188"/>
        <v>2008</v>
      </c>
      <c r="D6029" s="433">
        <f t="shared" si="189"/>
        <v>1787.59</v>
      </c>
    </row>
    <row r="6030" spans="1:4" ht="16.149999999999999" customHeight="1" x14ac:dyDescent="0.25">
      <c r="A6030" s="431">
        <v>39590</v>
      </c>
      <c r="B6030" s="434">
        <v>1779.48</v>
      </c>
      <c r="C6030" s="427">
        <f t="shared" si="188"/>
        <v>2008</v>
      </c>
      <c r="D6030" s="433">
        <f t="shared" si="189"/>
        <v>1779.48</v>
      </c>
    </row>
    <row r="6031" spans="1:4" ht="16.149999999999999" customHeight="1" x14ac:dyDescent="0.25">
      <c r="A6031" s="431">
        <v>39591</v>
      </c>
      <c r="B6031" s="432">
        <v>1779.59</v>
      </c>
      <c r="C6031" s="427">
        <f t="shared" si="188"/>
        <v>2008</v>
      </c>
      <c r="D6031" s="433">
        <f t="shared" si="189"/>
        <v>1779.59</v>
      </c>
    </row>
    <row r="6032" spans="1:4" ht="16.149999999999999" customHeight="1" x14ac:dyDescent="0.25">
      <c r="A6032" s="431">
        <v>39592</v>
      </c>
      <c r="B6032" s="434">
        <v>1777.98</v>
      </c>
      <c r="C6032" s="427">
        <f t="shared" si="188"/>
        <v>2008</v>
      </c>
      <c r="D6032" s="433">
        <f t="shared" si="189"/>
        <v>1777.98</v>
      </c>
    </row>
    <row r="6033" spans="1:4" ht="16.149999999999999" customHeight="1" x14ac:dyDescent="0.25">
      <c r="A6033" s="431">
        <v>39593</v>
      </c>
      <c r="B6033" s="432">
        <v>1777.98</v>
      </c>
      <c r="C6033" s="427">
        <f t="shared" si="188"/>
        <v>2008</v>
      </c>
      <c r="D6033" s="433">
        <f t="shared" si="189"/>
        <v>1777.98</v>
      </c>
    </row>
    <row r="6034" spans="1:4" ht="16.149999999999999" customHeight="1" x14ac:dyDescent="0.25">
      <c r="A6034" s="431">
        <v>39594</v>
      </c>
      <c r="B6034" s="434">
        <v>1777.98</v>
      </c>
      <c r="C6034" s="427">
        <f t="shared" si="188"/>
        <v>2008</v>
      </c>
      <c r="D6034" s="433">
        <f t="shared" si="189"/>
        <v>1777.98</v>
      </c>
    </row>
    <row r="6035" spans="1:4" ht="16.149999999999999" customHeight="1" x14ac:dyDescent="0.25">
      <c r="A6035" s="431">
        <v>39595</v>
      </c>
      <c r="B6035" s="432">
        <v>1777.98</v>
      </c>
      <c r="C6035" s="427">
        <f t="shared" si="188"/>
        <v>2008</v>
      </c>
      <c r="D6035" s="433">
        <f t="shared" si="189"/>
        <v>1777.98</v>
      </c>
    </row>
    <row r="6036" spans="1:4" ht="16.149999999999999" customHeight="1" x14ac:dyDescent="0.25">
      <c r="A6036" s="431">
        <v>39596</v>
      </c>
      <c r="B6036" s="434">
        <v>1772.55</v>
      </c>
      <c r="C6036" s="427">
        <f t="shared" si="188"/>
        <v>2008</v>
      </c>
      <c r="D6036" s="433">
        <f t="shared" si="189"/>
        <v>1772.55</v>
      </c>
    </row>
    <row r="6037" spans="1:4" ht="16.149999999999999" customHeight="1" x14ac:dyDescent="0.25">
      <c r="A6037" s="431">
        <v>39597</v>
      </c>
      <c r="B6037" s="432">
        <v>1767.41</v>
      </c>
      <c r="C6037" s="427">
        <f t="shared" si="188"/>
        <v>2008</v>
      </c>
      <c r="D6037" s="433">
        <f t="shared" si="189"/>
        <v>1767.41</v>
      </c>
    </row>
    <row r="6038" spans="1:4" ht="16.149999999999999" customHeight="1" x14ac:dyDescent="0.25">
      <c r="A6038" s="431">
        <v>39598</v>
      </c>
      <c r="B6038" s="434">
        <v>1755.95</v>
      </c>
      <c r="C6038" s="427">
        <f t="shared" si="188"/>
        <v>2008</v>
      </c>
      <c r="D6038" s="433">
        <f t="shared" si="189"/>
        <v>1755.95</v>
      </c>
    </row>
    <row r="6039" spans="1:4" ht="16.149999999999999" customHeight="1" x14ac:dyDescent="0.25">
      <c r="A6039" s="431">
        <v>39599</v>
      </c>
      <c r="B6039" s="432">
        <v>1744.01</v>
      </c>
      <c r="C6039" s="427">
        <f t="shared" si="188"/>
        <v>2008</v>
      </c>
      <c r="D6039" s="433">
        <f t="shared" si="189"/>
        <v>1744.01</v>
      </c>
    </row>
    <row r="6040" spans="1:4" ht="16.149999999999999" customHeight="1" x14ac:dyDescent="0.25">
      <c r="A6040" s="431">
        <v>39600</v>
      </c>
      <c r="B6040" s="434">
        <v>1744.01</v>
      </c>
      <c r="C6040" s="427">
        <f t="shared" si="188"/>
        <v>2008</v>
      </c>
      <c r="D6040" s="433">
        <f t="shared" si="189"/>
        <v>1744.01</v>
      </c>
    </row>
    <row r="6041" spans="1:4" ht="16.149999999999999" customHeight="1" x14ac:dyDescent="0.25">
      <c r="A6041" s="431">
        <v>39601</v>
      </c>
      <c r="B6041" s="432">
        <v>1744.01</v>
      </c>
      <c r="C6041" s="427">
        <f t="shared" si="188"/>
        <v>2008</v>
      </c>
      <c r="D6041" s="433">
        <f t="shared" si="189"/>
        <v>1744.01</v>
      </c>
    </row>
    <row r="6042" spans="1:4" ht="16.149999999999999" customHeight="1" x14ac:dyDescent="0.25">
      <c r="A6042" s="431">
        <v>39602</v>
      </c>
      <c r="B6042" s="434">
        <v>1744.01</v>
      </c>
      <c r="C6042" s="427">
        <f t="shared" si="188"/>
        <v>2008</v>
      </c>
      <c r="D6042" s="433">
        <f t="shared" si="189"/>
        <v>1744.01</v>
      </c>
    </row>
    <row r="6043" spans="1:4" ht="16.149999999999999" customHeight="1" x14ac:dyDescent="0.25">
      <c r="A6043" s="431">
        <v>39603</v>
      </c>
      <c r="B6043" s="432">
        <v>1730.61</v>
      </c>
      <c r="C6043" s="427">
        <f t="shared" si="188"/>
        <v>2008</v>
      </c>
      <c r="D6043" s="433">
        <f t="shared" si="189"/>
        <v>1730.61</v>
      </c>
    </row>
    <row r="6044" spans="1:4" ht="16.149999999999999" customHeight="1" x14ac:dyDescent="0.25">
      <c r="A6044" s="431">
        <v>39604</v>
      </c>
      <c r="B6044" s="434">
        <v>1728.76</v>
      </c>
      <c r="C6044" s="427">
        <f t="shared" si="188"/>
        <v>2008</v>
      </c>
      <c r="D6044" s="433">
        <f t="shared" si="189"/>
        <v>1728.76</v>
      </c>
    </row>
    <row r="6045" spans="1:4" ht="16.149999999999999" customHeight="1" x14ac:dyDescent="0.25">
      <c r="A6045" s="431">
        <v>39605</v>
      </c>
      <c r="B6045" s="432">
        <v>1709.95</v>
      </c>
      <c r="C6045" s="427">
        <f t="shared" si="188"/>
        <v>2008</v>
      </c>
      <c r="D6045" s="433">
        <f t="shared" si="189"/>
        <v>1709.95</v>
      </c>
    </row>
    <row r="6046" spans="1:4" ht="16.149999999999999" customHeight="1" x14ac:dyDescent="0.25">
      <c r="A6046" s="431">
        <v>39606</v>
      </c>
      <c r="B6046" s="434">
        <v>1702.44</v>
      </c>
      <c r="C6046" s="427">
        <f t="shared" si="188"/>
        <v>2008</v>
      </c>
      <c r="D6046" s="433">
        <f t="shared" si="189"/>
        <v>1702.44</v>
      </c>
    </row>
    <row r="6047" spans="1:4" ht="16.149999999999999" customHeight="1" x14ac:dyDescent="0.25">
      <c r="A6047" s="431">
        <v>39607</v>
      </c>
      <c r="B6047" s="432">
        <v>1702.44</v>
      </c>
      <c r="C6047" s="427">
        <f t="shared" si="188"/>
        <v>2008</v>
      </c>
      <c r="D6047" s="433">
        <f t="shared" si="189"/>
        <v>1702.44</v>
      </c>
    </row>
    <row r="6048" spans="1:4" ht="16.149999999999999" customHeight="1" x14ac:dyDescent="0.25">
      <c r="A6048" s="431">
        <v>39608</v>
      </c>
      <c r="B6048" s="434">
        <v>1702.44</v>
      </c>
      <c r="C6048" s="427">
        <f t="shared" si="188"/>
        <v>2008</v>
      </c>
      <c r="D6048" s="433">
        <f t="shared" si="189"/>
        <v>1702.44</v>
      </c>
    </row>
    <row r="6049" spans="1:4" ht="16.149999999999999" customHeight="1" x14ac:dyDescent="0.25">
      <c r="A6049" s="431">
        <v>39609</v>
      </c>
      <c r="B6049" s="432">
        <v>1687.13</v>
      </c>
      <c r="C6049" s="427">
        <f t="shared" si="188"/>
        <v>2008</v>
      </c>
      <c r="D6049" s="433">
        <f t="shared" si="189"/>
        <v>1687.13</v>
      </c>
    </row>
    <row r="6050" spans="1:4" ht="16.149999999999999" customHeight="1" x14ac:dyDescent="0.25">
      <c r="A6050" s="431">
        <v>39610</v>
      </c>
      <c r="B6050" s="434">
        <v>1696.79</v>
      </c>
      <c r="C6050" s="427">
        <f t="shared" si="188"/>
        <v>2008</v>
      </c>
      <c r="D6050" s="433">
        <f t="shared" si="189"/>
        <v>1696.79</v>
      </c>
    </row>
    <row r="6051" spans="1:4" ht="16.149999999999999" customHeight="1" x14ac:dyDescent="0.25">
      <c r="A6051" s="431">
        <v>39611</v>
      </c>
      <c r="B6051" s="432">
        <v>1700.94</v>
      </c>
      <c r="C6051" s="427">
        <f t="shared" si="188"/>
        <v>2008</v>
      </c>
      <c r="D6051" s="433">
        <f t="shared" si="189"/>
        <v>1700.94</v>
      </c>
    </row>
    <row r="6052" spans="1:4" ht="16.149999999999999" customHeight="1" x14ac:dyDescent="0.25">
      <c r="A6052" s="431">
        <v>39612</v>
      </c>
      <c r="B6052" s="434">
        <v>1705.35</v>
      </c>
      <c r="C6052" s="427">
        <f t="shared" si="188"/>
        <v>2008</v>
      </c>
      <c r="D6052" s="433">
        <f t="shared" si="189"/>
        <v>1705.35</v>
      </c>
    </row>
    <row r="6053" spans="1:4" ht="16.149999999999999" customHeight="1" x14ac:dyDescent="0.25">
      <c r="A6053" s="431">
        <v>39613</v>
      </c>
      <c r="B6053" s="432">
        <v>1707.87</v>
      </c>
      <c r="C6053" s="427">
        <f t="shared" si="188"/>
        <v>2008</v>
      </c>
      <c r="D6053" s="433">
        <f t="shared" si="189"/>
        <v>1707.87</v>
      </c>
    </row>
    <row r="6054" spans="1:4" ht="16.149999999999999" customHeight="1" x14ac:dyDescent="0.25">
      <c r="A6054" s="431">
        <v>39614</v>
      </c>
      <c r="B6054" s="434">
        <v>1707.87</v>
      </c>
      <c r="C6054" s="427">
        <f t="shared" si="188"/>
        <v>2008</v>
      </c>
      <c r="D6054" s="433">
        <f t="shared" si="189"/>
        <v>1707.87</v>
      </c>
    </row>
    <row r="6055" spans="1:4" ht="16.149999999999999" customHeight="1" x14ac:dyDescent="0.25">
      <c r="A6055" s="431">
        <v>39615</v>
      </c>
      <c r="B6055" s="432">
        <v>1707.87</v>
      </c>
      <c r="C6055" s="427">
        <f t="shared" si="188"/>
        <v>2008</v>
      </c>
      <c r="D6055" s="433">
        <f t="shared" si="189"/>
        <v>1707.87</v>
      </c>
    </row>
    <row r="6056" spans="1:4" ht="16.149999999999999" customHeight="1" x14ac:dyDescent="0.25">
      <c r="A6056" s="431">
        <v>39616</v>
      </c>
      <c r="B6056" s="434">
        <v>1684.52</v>
      </c>
      <c r="C6056" s="427">
        <f t="shared" si="188"/>
        <v>2008</v>
      </c>
      <c r="D6056" s="433">
        <f t="shared" si="189"/>
        <v>1684.52</v>
      </c>
    </row>
    <row r="6057" spans="1:4" ht="16.149999999999999" customHeight="1" x14ac:dyDescent="0.25">
      <c r="A6057" s="431">
        <v>39617</v>
      </c>
      <c r="B6057" s="432">
        <v>1655.42</v>
      </c>
      <c r="C6057" s="427">
        <f t="shared" si="188"/>
        <v>2008</v>
      </c>
      <c r="D6057" s="433">
        <f t="shared" si="189"/>
        <v>1655.42</v>
      </c>
    </row>
    <row r="6058" spans="1:4" ht="16.149999999999999" customHeight="1" x14ac:dyDescent="0.25">
      <c r="A6058" s="431">
        <v>39618</v>
      </c>
      <c r="B6058" s="434">
        <v>1652.41</v>
      </c>
      <c r="C6058" s="427">
        <f t="shared" si="188"/>
        <v>2008</v>
      </c>
      <c r="D6058" s="433">
        <f t="shared" si="189"/>
        <v>1652.41</v>
      </c>
    </row>
    <row r="6059" spans="1:4" ht="16.149999999999999" customHeight="1" x14ac:dyDescent="0.25">
      <c r="A6059" s="431">
        <v>39619</v>
      </c>
      <c r="B6059" s="432">
        <v>1670.31</v>
      </c>
      <c r="C6059" s="427">
        <f t="shared" si="188"/>
        <v>2008</v>
      </c>
      <c r="D6059" s="433">
        <f t="shared" si="189"/>
        <v>1670.31</v>
      </c>
    </row>
    <row r="6060" spans="1:4" ht="16.149999999999999" customHeight="1" x14ac:dyDescent="0.25">
      <c r="A6060" s="431">
        <v>39620</v>
      </c>
      <c r="B6060" s="434">
        <v>1678.82</v>
      </c>
      <c r="C6060" s="427">
        <f t="shared" si="188"/>
        <v>2008</v>
      </c>
      <c r="D6060" s="433">
        <f t="shared" si="189"/>
        <v>1678.82</v>
      </c>
    </row>
    <row r="6061" spans="1:4" ht="16.149999999999999" customHeight="1" x14ac:dyDescent="0.25">
      <c r="A6061" s="431">
        <v>39621</v>
      </c>
      <c r="B6061" s="432">
        <v>1678.82</v>
      </c>
      <c r="C6061" s="427">
        <f t="shared" si="188"/>
        <v>2008</v>
      </c>
      <c r="D6061" s="433">
        <f t="shared" si="189"/>
        <v>1678.82</v>
      </c>
    </row>
    <row r="6062" spans="1:4" ht="16.149999999999999" customHeight="1" x14ac:dyDescent="0.25">
      <c r="A6062" s="431">
        <v>39622</v>
      </c>
      <c r="B6062" s="434">
        <v>1678.82</v>
      </c>
      <c r="C6062" s="427">
        <f t="shared" si="188"/>
        <v>2008</v>
      </c>
      <c r="D6062" s="433">
        <f t="shared" si="189"/>
        <v>1678.82</v>
      </c>
    </row>
    <row r="6063" spans="1:4" ht="16.149999999999999" customHeight="1" x14ac:dyDescent="0.25">
      <c r="A6063" s="431">
        <v>39623</v>
      </c>
      <c r="B6063" s="432">
        <v>1713.63</v>
      </c>
      <c r="C6063" s="427">
        <f t="shared" si="188"/>
        <v>2008</v>
      </c>
      <c r="D6063" s="433">
        <f t="shared" si="189"/>
        <v>1713.63</v>
      </c>
    </row>
    <row r="6064" spans="1:4" ht="16.149999999999999" customHeight="1" x14ac:dyDescent="0.25">
      <c r="A6064" s="431">
        <v>39624</v>
      </c>
      <c r="B6064" s="434">
        <v>1748.04</v>
      </c>
      <c r="C6064" s="427">
        <f t="shared" si="188"/>
        <v>2008</v>
      </c>
      <c r="D6064" s="433">
        <f t="shared" si="189"/>
        <v>1748.04</v>
      </c>
    </row>
    <row r="6065" spans="1:4" ht="16.149999999999999" customHeight="1" x14ac:dyDescent="0.25">
      <c r="A6065" s="431">
        <v>39625</v>
      </c>
      <c r="B6065" s="432">
        <v>1783.44</v>
      </c>
      <c r="C6065" s="427">
        <f t="shared" si="188"/>
        <v>2008</v>
      </c>
      <c r="D6065" s="433">
        <f t="shared" si="189"/>
        <v>1783.44</v>
      </c>
    </row>
    <row r="6066" spans="1:4" ht="16.149999999999999" customHeight="1" x14ac:dyDescent="0.25">
      <c r="A6066" s="431">
        <v>39626</v>
      </c>
      <c r="B6066" s="434">
        <v>1832.81</v>
      </c>
      <c r="C6066" s="427">
        <f t="shared" si="188"/>
        <v>2008</v>
      </c>
      <c r="D6066" s="433">
        <f t="shared" si="189"/>
        <v>1832.81</v>
      </c>
    </row>
    <row r="6067" spans="1:4" ht="16.149999999999999" customHeight="1" x14ac:dyDescent="0.25">
      <c r="A6067" s="431">
        <v>39627</v>
      </c>
      <c r="B6067" s="432">
        <v>1923.02</v>
      </c>
      <c r="C6067" s="427">
        <f t="shared" si="188"/>
        <v>2008</v>
      </c>
      <c r="D6067" s="433">
        <f t="shared" si="189"/>
        <v>1923.02</v>
      </c>
    </row>
    <row r="6068" spans="1:4" ht="16.149999999999999" customHeight="1" x14ac:dyDescent="0.25">
      <c r="A6068" s="431">
        <v>39628</v>
      </c>
      <c r="B6068" s="434">
        <v>1923.02</v>
      </c>
      <c r="C6068" s="427">
        <f t="shared" si="188"/>
        <v>2008</v>
      </c>
      <c r="D6068" s="433">
        <f t="shared" si="189"/>
        <v>1923.02</v>
      </c>
    </row>
    <row r="6069" spans="1:4" ht="16.149999999999999" customHeight="1" x14ac:dyDescent="0.25">
      <c r="A6069" s="431">
        <v>39629</v>
      </c>
      <c r="B6069" s="432">
        <v>1923.02</v>
      </c>
      <c r="C6069" s="427">
        <f t="shared" si="188"/>
        <v>2008</v>
      </c>
      <c r="D6069" s="433">
        <f t="shared" si="189"/>
        <v>1923.02</v>
      </c>
    </row>
    <row r="6070" spans="1:4" ht="16.149999999999999" customHeight="1" x14ac:dyDescent="0.25">
      <c r="A6070" s="431">
        <v>39630</v>
      </c>
      <c r="B6070" s="434">
        <v>1923.02</v>
      </c>
      <c r="C6070" s="427">
        <f t="shared" si="188"/>
        <v>2008</v>
      </c>
      <c r="D6070" s="433">
        <f t="shared" si="189"/>
        <v>1923.02</v>
      </c>
    </row>
    <row r="6071" spans="1:4" ht="16.149999999999999" customHeight="1" x14ac:dyDescent="0.25">
      <c r="A6071" s="431">
        <v>39631</v>
      </c>
      <c r="B6071" s="432">
        <v>1915.44</v>
      </c>
      <c r="C6071" s="427">
        <f t="shared" si="188"/>
        <v>2008</v>
      </c>
      <c r="D6071" s="433">
        <f t="shared" si="189"/>
        <v>1915.44</v>
      </c>
    </row>
    <row r="6072" spans="1:4" ht="16.149999999999999" customHeight="1" x14ac:dyDescent="0.25">
      <c r="A6072" s="431">
        <v>39632</v>
      </c>
      <c r="B6072" s="434">
        <v>1818.6</v>
      </c>
      <c r="C6072" s="427">
        <f t="shared" si="188"/>
        <v>2008</v>
      </c>
      <c r="D6072" s="433">
        <f t="shared" si="189"/>
        <v>1818.6</v>
      </c>
    </row>
    <row r="6073" spans="1:4" ht="16.149999999999999" customHeight="1" x14ac:dyDescent="0.25">
      <c r="A6073" s="431">
        <v>39633</v>
      </c>
      <c r="B6073" s="432">
        <v>1748.43</v>
      </c>
      <c r="C6073" s="427">
        <f t="shared" si="188"/>
        <v>2008</v>
      </c>
      <c r="D6073" s="433">
        <f t="shared" si="189"/>
        <v>1748.43</v>
      </c>
    </row>
    <row r="6074" spans="1:4" ht="16.149999999999999" customHeight="1" x14ac:dyDescent="0.25">
      <c r="A6074" s="431">
        <v>39634</v>
      </c>
      <c r="B6074" s="434">
        <v>1748.43</v>
      </c>
      <c r="C6074" s="427">
        <f t="shared" si="188"/>
        <v>2008</v>
      </c>
      <c r="D6074" s="433">
        <f t="shared" si="189"/>
        <v>1748.43</v>
      </c>
    </row>
    <row r="6075" spans="1:4" ht="16.149999999999999" customHeight="1" x14ac:dyDescent="0.25">
      <c r="A6075" s="431">
        <v>39635</v>
      </c>
      <c r="B6075" s="432">
        <v>1748.43</v>
      </c>
      <c r="C6075" s="427">
        <f t="shared" si="188"/>
        <v>2008</v>
      </c>
      <c r="D6075" s="433">
        <f t="shared" si="189"/>
        <v>1748.43</v>
      </c>
    </row>
    <row r="6076" spans="1:4" ht="16.149999999999999" customHeight="1" x14ac:dyDescent="0.25">
      <c r="A6076" s="431">
        <v>39636</v>
      </c>
      <c r="B6076" s="434">
        <v>1748.43</v>
      </c>
      <c r="C6076" s="427">
        <f t="shared" si="188"/>
        <v>2008</v>
      </c>
      <c r="D6076" s="433">
        <f t="shared" si="189"/>
        <v>1748.43</v>
      </c>
    </row>
    <row r="6077" spans="1:4" ht="16.149999999999999" customHeight="1" x14ac:dyDescent="0.25">
      <c r="A6077" s="431">
        <v>39637</v>
      </c>
      <c r="B6077" s="432">
        <v>1719.48</v>
      </c>
      <c r="C6077" s="427">
        <f t="shared" si="188"/>
        <v>2008</v>
      </c>
      <c r="D6077" s="433">
        <f t="shared" si="189"/>
        <v>1719.48</v>
      </c>
    </row>
    <row r="6078" spans="1:4" ht="16.149999999999999" customHeight="1" x14ac:dyDescent="0.25">
      <c r="A6078" s="431">
        <v>39638</v>
      </c>
      <c r="B6078" s="434">
        <v>1736.49</v>
      </c>
      <c r="C6078" s="427">
        <f t="shared" si="188"/>
        <v>2008</v>
      </c>
      <c r="D6078" s="433">
        <f t="shared" si="189"/>
        <v>1736.49</v>
      </c>
    </row>
    <row r="6079" spans="1:4" ht="16.149999999999999" customHeight="1" x14ac:dyDescent="0.25">
      <c r="A6079" s="431">
        <v>39639</v>
      </c>
      <c r="B6079" s="432">
        <v>1728.74</v>
      </c>
      <c r="C6079" s="427">
        <f t="shared" si="188"/>
        <v>2008</v>
      </c>
      <c r="D6079" s="433">
        <f t="shared" si="189"/>
        <v>1728.74</v>
      </c>
    </row>
    <row r="6080" spans="1:4" ht="16.149999999999999" customHeight="1" x14ac:dyDescent="0.25">
      <c r="A6080" s="431">
        <v>39640</v>
      </c>
      <c r="B6080" s="434">
        <v>1768.09</v>
      </c>
      <c r="C6080" s="427">
        <f t="shared" si="188"/>
        <v>2008</v>
      </c>
      <c r="D6080" s="433">
        <f t="shared" si="189"/>
        <v>1768.09</v>
      </c>
    </row>
    <row r="6081" spans="1:4" ht="16.149999999999999" customHeight="1" x14ac:dyDescent="0.25">
      <c r="A6081" s="431">
        <v>39641</v>
      </c>
      <c r="B6081" s="432">
        <v>1778.8</v>
      </c>
      <c r="C6081" s="427">
        <f t="shared" si="188"/>
        <v>2008</v>
      </c>
      <c r="D6081" s="433">
        <f t="shared" si="189"/>
        <v>1778.8</v>
      </c>
    </row>
    <row r="6082" spans="1:4" ht="16.149999999999999" customHeight="1" x14ac:dyDescent="0.25">
      <c r="A6082" s="431">
        <v>39642</v>
      </c>
      <c r="B6082" s="434">
        <v>1778.8</v>
      </c>
      <c r="C6082" s="427">
        <f t="shared" si="188"/>
        <v>2008</v>
      </c>
      <c r="D6082" s="433">
        <f t="shared" si="189"/>
        <v>1778.8</v>
      </c>
    </row>
    <row r="6083" spans="1:4" ht="16.149999999999999" customHeight="1" x14ac:dyDescent="0.25">
      <c r="A6083" s="431">
        <v>39643</v>
      </c>
      <c r="B6083" s="432">
        <v>1778.8</v>
      </c>
      <c r="C6083" s="427">
        <f t="shared" si="188"/>
        <v>2008</v>
      </c>
      <c r="D6083" s="433">
        <f t="shared" si="189"/>
        <v>1778.8</v>
      </c>
    </row>
    <row r="6084" spans="1:4" ht="16.149999999999999" customHeight="1" x14ac:dyDescent="0.25">
      <c r="A6084" s="431">
        <v>39644</v>
      </c>
      <c r="B6084" s="434">
        <v>1753.51</v>
      </c>
      <c r="C6084" s="427">
        <f t="shared" si="188"/>
        <v>2008</v>
      </c>
      <c r="D6084" s="433">
        <f t="shared" si="189"/>
        <v>1753.51</v>
      </c>
    </row>
    <row r="6085" spans="1:4" ht="16.149999999999999" customHeight="1" x14ac:dyDescent="0.25">
      <c r="A6085" s="431">
        <v>39645</v>
      </c>
      <c r="B6085" s="432">
        <v>1777.17</v>
      </c>
      <c r="C6085" s="427">
        <f t="shared" si="188"/>
        <v>2008</v>
      </c>
      <c r="D6085" s="433">
        <f t="shared" si="189"/>
        <v>1777.17</v>
      </c>
    </row>
    <row r="6086" spans="1:4" ht="16.149999999999999" customHeight="1" x14ac:dyDescent="0.25">
      <c r="A6086" s="431">
        <v>39646</v>
      </c>
      <c r="B6086" s="434">
        <v>1768.53</v>
      </c>
      <c r="C6086" s="427">
        <f t="shared" si="188"/>
        <v>2008</v>
      </c>
      <c r="D6086" s="433">
        <f t="shared" si="189"/>
        <v>1768.53</v>
      </c>
    </row>
    <row r="6087" spans="1:4" ht="16.149999999999999" customHeight="1" x14ac:dyDescent="0.25">
      <c r="A6087" s="431">
        <v>39647</v>
      </c>
      <c r="B6087" s="432">
        <v>1757.79</v>
      </c>
      <c r="C6087" s="427">
        <f t="shared" si="188"/>
        <v>2008</v>
      </c>
      <c r="D6087" s="433">
        <f t="shared" si="189"/>
        <v>1757.79</v>
      </c>
    </row>
    <row r="6088" spans="1:4" ht="16.149999999999999" customHeight="1" x14ac:dyDescent="0.25">
      <c r="A6088" s="431">
        <v>39648</v>
      </c>
      <c r="B6088" s="434">
        <v>1788.24</v>
      </c>
      <c r="C6088" s="427">
        <f t="shared" si="188"/>
        <v>2008</v>
      </c>
      <c r="D6088" s="433">
        <f t="shared" si="189"/>
        <v>1788.24</v>
      </c>
    </row>
    <row r="6089" spans="1:4" ht="16.149999999999999" customHeight="1" x14ac:dyDescent="0.25">
      <c r="A6089" s="431">
        <v>39649</v>
      </c>
      <c r="B6089" s="432">
        <v>1788.24</v>
      </c>
      <c r="C6089" s="427">
        <f t="shared" si="188"/>
        <v>2008</v>
      </c>
      <c r="D6089" s="433">
        <f t="shared" si="189"/>
        <v>1788.24</v>
      </c>
    </row>
    <row r="6090" spans="1:4" ht="16.149999999999999" customHeight="1" x14ac:dyDescent="0.25">
      <c r="A6090" s="431">
        <v>39650</v>
      </c>
      <c r="B6090" s="434">
        <v>1788.24</v>
      </c>
      <c r="C6090" s="427">
        <f t="shared" ref="C6090:C6153" si="190">YEAR(A6090)</f>
        <v>2008</v>
      </c>
      <c r="D6090" s="433">
        <f t="shared" ref="D6090:D6153" si="191">B6090</f>
        <v>1788.24</v>
      </c>
    </row>
    <row r="6091" spans="1:4" ht="16.149999999999999" customHeight="1" x14ac:dyDescent="0.25">
      <c r="A6091" s="431">
        <v>39651</v>
      </c>
      <c r="B6091" s="432">
        <v>1802.01</v>
      </c>
      <c r="C6091" s="427">
        <f t="shared" si="190"/>
        <v>2008</v>
      </c>
      <c r="D6091" s="433">
        <f t="shared" si="191"/>
        <v>1802.01</v>
      </c>
    </row>
    <row r="6092" spans="1:4" ht="16.149999999999999" customHeight="1" x14ac:dyDescent="0.25">
      <c r="A6092" s="431">
        <v>39652</v>
      </c>
      <c r="B6092" s="434">
        <v>1797.43</v>
      </c>
      <c r="C6092" s="427">
        <f t="shared" si="190"/>
        <v>2008</v>
      </c>
      <c r="D6092" s="433">
        <f t="shared" si="191"/>
        <v>1797.43</v>
      </c>
    </row>
    <row r="6093" spans="1:4" ht="16.149999999999999" customHeight="1" x14ac:dyDescent="0.25">
      <c r="A6093" s="431">
        <v>39653</v>
      </c>
      <c r="B6093" s="432">
        <v>1772.25</v>
      </c>
      <c r="C6093" s="427">
        <f t="shared" si="190"/>
        <v>2008</v>
      </c>
      <c r="D6093" s="433">
        <f t="shared" si="191"/>
        <v>1772.25</v>
      </c>
    </row>
    <row r="6094" spans="1:4" ht="16.149999999999999" customHeight="1" x14ac:dyDescent="0.25">
      <c r="A6094" s="431">
        <v>39654</v>
      </c>
      <c r="B6094" s="434">
        <v>1777.1</v>
      </c>
      <c r="C6094" s="427">
        <f t="shared" si="190"/>
        <v>2008</v>
      </c>
      <c r="D6094" s="433">
        <f t="shared" si="191"/>
        <v>1777.1</v>
      </c>
    </row>
    <row r="6095" spans="1:4" ht="16.149999999999999" customHeight="1" x14ac:dyDescent="0.25">
      <c r="A6095" s="431">
        <v>39655</v>
      </c>
      <c r="B6095" s="432">
        <v>1785.17</v>
      </c>
      <c r="C6095" s="427">
        <f t="shared" si="190"/>
        <v>2008</v>
      </c>
      <c r="D6095" s="433">
        <f t="shared" si="191"/>
        <v>1785.17</v>
      </c>
    </row>
    <row r="6096" spans="1:4" ht="16.149999999999999" customHeight="1" x14ac:dyDescent="0.25">
      <c r="A6096" s="431">
        <v>39656</v>
      </c>
      <c r="B6096" s="434">
        <v>1785.17</v>
      </c>
      <c r="C6096" s="427">
        <f t="shared" si="190"/>
        <v>2008</v>
      </c>
      <c r="D6096" s="433">
        <f t="shared" si="191"/>
        <v>1785.17</v>
      </c>
    </row>
    <row r="6097" spans="1:4" ht="16.149999999999999" customHeight="1" x14ac:dyDescent="0.25">
      <c r="A6097" s="431">
        <v>39657</v>
      </c>
      <c r="B6097" s="432">
        <v>1785.17</v>
      </c>
      <c r="C6097" s="427">
        <f t="shared" si="190"/>
        <v>2008</v>
      </c>
      <c r="D6097" s="433">
        <f t="shared" si="191"/>
        <v>1785.17</v>
      </c>
    </row>
    <row r="6098" spans="1:4" ht="16.149999999999999" customHeight="1" x14ac:dyDescent="0.25">
      <c r="A6098" s="431">
        <v>39658</v>
      </c>
      <c r="B6098" s="434">
        <v>1764.48</v>
      </c>
      <c r="C6098" s="427">
        <f t="shared" si="190"/>
        <v>2008</v>
      </c>
      <c r="D6098" s="433">
        <f t="shared" si="191"/>
        <v>1764.48</v>
      </c>
    </row>
    <row r="6099" spans="1:4" ht="16.149999999999999" customHeight="1" x14ac:dyDescent="0.25">
      <c r="A6099" s="431">
        <v>39659</v>
      </c>
      <c r="B6099" s="432">
        <v>1789.68</v>
      </c>
      <c r="C6099" s="427">
        <f t="shared" si="190"/>
        <v>2008</v>
      </c>
      <c r="D6099" s="433">
        <f t="shared" si="191"/>
        <v>1789.68</v>
      </c>
    </row>
    <row r="6100" spans="1:4" ht="16.149999999999999" customHeight="1" x14ac:dyDescent="0.25">
      <c r="A6100" s="431">
        <v>39660</v>
      </c>
      <c r="B6100" s="434">
        <v>1792.24</v>
      </c>
      <c r="C6100" s="427">
        <f t="shared" si="190"/>
        <v>2008</v>
      </c>
      <c r="D6100" s="433">
        <f t="shared" si="191"/>
        <v>1792.24</v>
      </c>
    </row>
    <row r="6101" spans="1:4" ht="16.149999999999999" customHeight="1" x14ac:dyDescent="0.25">
      <c r="A6101" s="431">
        <v>39661</v>
      </c>
      <c r="B6101" s="432">
        <v>1800.54</v>
      </c>
      <c r="C6101" s="427">
        <f t="shared" si="190"/>
        <v>2008</v>
      </c>
      <c r="D6101" s="433">
        <f t="shared" si="191"/>
        <v>1800.54</v>
      </c>
    </row>
    <row r="6102" spans="1:4" ht="16.149999999999999" customHeight="1" x14ac:dyDescent="0.25">
      <c r="A6102" s="431">
        <v>39662</v>
      </c>
      <c r="B6102" s="434">
        <v>1779.97</v>
      </c>
      <c r="C6102" s="427">
        <f t="shared" si="190"/>
        <v>2008</v>
      </c>
      <c r="D6102" s="433">
        <f t="shared" si="191"/>
        <v>1779.97</v>
      </c>
    </row>
    <row r="6103" spans="1:4" ht="16.149999999999999" customHeight="1" x14ac:dyDescent="0.25">
      <c r="A6103" s="431">
        <v>39663</v>
      </c>
      <c r="B6103" s="432">
        <v>1779.97</v>
      </c>
      <c r="C6103" s="427">
        <f t="shared" si="190"/>
        <v>2008</v>
      </c>
      <c r="D6103" s="433">
        <f t="shared" si="191"/>
        <v>1779.97</v>
      </c>
    </row>
    <row r="6104" spans="1:4" ht="16.149999999999999" customHeight="1" x14ac:dyDescent="0.25">
      <c r="A6104" s="431">
        <v>39664</v>
      </c>
      <c r="B6104" s="434">
        <v>1779.97</v>
      </c>
      <c r="C6104" s="427">
        <f t="shared" si="190"/>
        <v>2008</v>
      </c>
      <c r="D6104" s="433">
        <f t="shared" si="191"/>
        <v>1779.97</v>
      </c>
    </row>
    <row r="6105" spans="1:4" ht="16.149999999999999" customHeight="1" x14ac:dyDescent="0.25">
      <c r="A6105" s="431">
        <v>39665</v>
      </c>
      <c r="B6105" s="432">
        <v>1771.31</v>
      </c>
      <c r="C6105" s="427">
        <f t="shared" si="190"/>
        <v>2008</v>
      </c>
      <c r="D6105" s="433">
        <f t="shared" si="191"/>
        <v>1771.31</v>
      </c>
    </row>
    <row r="6106" spans="1:4" ht="16.149999999999999" customHeight="1" x14ac:dyDescent="0.25">
      <c r="A6106" s="431">
        <v>39666</v>
      </c>
      <c r="B6106" s="434">
        <v>1772.16</v>
      </c>
      <c r="C6106" s="427">
        <f t="shared" si="190"/>
        <v>2008</v>
      </c>
      <c r="D6106" s="433">
        <f t="shared" si="191"/>
        <v>1772.16</v>
      </c>
    </row>
    <row r="6107" spans="1:4" ht="16.149999999999999" customHeight="1" x14ac:dyDescent="0.25">
      <c r="A6107" s="431">
        <v>39667</v>
      </c>
      <c r="B6107" s="432">
        <v>1782.92</v>
      </c>
      <c r="C6107" s="427">
        <f t="shared" si="190"/>
        <v>2008</v>
      </c>
      <c r="D6107" s="433">
        <f t="shared" si="191"/>
        <v>1782.92</v>
      </c>
    </row>
    <row r="6108" spans="1:4" ht="16.149999999999999" customHeight="1" x14ac:dyDescent="0.25">
      <c r="A6108" s="431">
        <v>39668</v>
      </c>
      <c r="B6108" s="434">
        <v>1782.92</v>
      </c>
      <c r="C6108" s="427">
        <f t="shared" si="190"/>
        <v>2008</v>
      </c>
      <c r="D6108" s="433">
        <f t="shared" si="191"/>
        <v>1782.92</v>
      </c>
    </row>
    <row r="6109" spans="1:4" ht="16.149999999999999" customHeight="1" x14ac:dyDescent="0.25">
      <c r="A6109" s="431">
        <v>39669</v>
      </c>
      <c r="B6109" s="432">
        <v>1816.25</v>
      </c>
      <c r="C6109" s="427">
        <f t="shared" si="190"/>
        <v>2008</v>
      </c>
      <c r="D6109" s="433">
        <f t="shared" si="191"/>
        <v>1816.25</v>
      </c>
    </row>
    <row r="6110" spans="1:4" ht="16.149999999999999" customHeight="1" x14ac:dyDescent="0.25">
      <c r="A6110" s="431">
        <v>39670</v>
      </c>
      <c r="B6110" s="434">
        <v>1816.25</v>
      </c>
      <c r="C6110" s="427">
        <f t="shared" si="190"/>
        <v>2008</v>
      </c>
      <c r="D6110" s="433">
        <f t="shared" si="191"/>
        <v>1816.25</v>
      </c>
    </row>
    <row r="6111" spans="1:4" ht="16.149999999999999" customHeight="1" x14ac:dyDescent="0.25">
      <c r="A6111" s="431">
        <v>39671</v>
      </c>
      <c r="B6111" s="432">
        <v>1816.25</v>
      </c>
      <c r="C6111" s="427">
        <f t="shared" si="190"/>
        <v>2008</v>
      </c>
      <c r="D6111" s="433">
        <f t="shared" si="191"/>
        <v>1816.25</v>
      </c>
    </row>
    <row r="6112" spans="1:4" ht="16.149999999999999" customHeight="1" x14ac:dyDescent="0.25">
      <c r="A6112" s="431">
        <v>39672</v>
      </c>
      <c r="B6112" s="434">
        <v>1821.76</v>
      </c>
      <c r="C6112" s="427">
        <f t="shared" si="190"/>
        <v>2008</v>
      </c>
      <c r="D6112" s="433">
        <f t="shared" si="191"/>
        <v>1821.76</v>
      </c>
    </row>
    <row r="6113" spans="1:4" ht="16.149999999999999" customHeight="1" x14ac:dyDescent="0.25">
      <c r="A6113" s="431">
        <v>39673</v>
      </c>
      <c r="B6113" s="432">
        <v>1836.25</v>
      </c>
      <c r="C6113" s="427">
        <f t="shared" si="190"/>
        <v>2008</v>
      </c>
      <c r="D6113" s="433">
        <f t="shared" si="191"/>
        <v>1836.25</v>
      </c>
    </row>
    <row r="6114" spans="1:4" ht="16.149999999999999" customHeight="1" x14ac:dyDescent="0.25">
      <c r="A6114" s="431">
        <v>39674</v>
      </c>
      <c r="B6114" s="434">
        <v>1854.16</v>
      </c>
      <c r="C6114" s="427">
        <f t="shared" si="190"/>
        <v>2008</v>
      </c>
      <c r="D6114" s="433">
        <f t="shared" si="191"/>
        <v>1854.16</v>
      </c>
    </row>
    <row r="6115" spans="1:4" ht="16.149999999999999" customHeight="1" x14ac:dyDescent="0.25">
      <c r="A6115" s="431">
        <v>39675</v>
      </c>
      <c r="B6115" s="432">
        <v>1853.45</v>
      </c>
      <c r="C6115" s="427">
        <f t="shared" si="190"/>
        <v>2008</v>
      </c>
      <c r="D6115" s="433">
        <f t="shared" si="191"/>
        <v>1853.45</v>
      </c>
    </row>
    <row r="6116" spans="1:4" ht="16.149999999999999" customHeight="1" x14ac:dyDescent="0.25">
      <c r="A6116" s="431">
        <v>39676</v>
      </c>
      <c r="B6116" s="434">
        <v>1882.11</v>
      </c>
      <c r="C6116" s="427">
        <f t="shared" si="190"/>
        <v>2008</v>
      </c>
      <c r="D6116" s="433">
        <f t="shared" si="191"/>
        <v>1882.11</v>
      </c>
    </row>
    <row r="6117" spans="1:4" ht="16.149999999999999" customHeight="1" x14ac:dyDescent="0.25">
      <c r="A6117" s="431">
        <v>39677</v>
      </c>
      <c r="B6117" s="432">
        <v>1882.11</v>
      </c>
      <c r="C6117" s="427">
        <f t="shared" si="190"/>
        <v>2008</v>
      </c>
      <c r="D6117" s="433">
        <f t="shared" si="191"/>
        <v>1882.11</v>
      </c>
    </row>
    <row r="6118" spans="1:4" ht="16.149999999999999" customHeight="1" x14ac:dyDescent="0.25">
      <c r="A6118" s="431">
        <v>39678</v>
      </c>
      <c r="B6118" s="434">
        <v>1882.11</v>
      </c>
      <c r="C6118" s="427">
        <f t="shared" si="190"/>
        <v>2008</v>
      </c>
      <c r="D6118" s="433">
        <f t="shared" si="191"/>
        <v>1882.11</v>
      </c>
    </row>
    <row r="6119" spans="1:4" ht="16.149999999999999" customHeight="1" x14ac:dyDescent="0.25">
      <c r="A6119" s="431">
        <v>39679</v>
      </c>
      <c r="B6119" s="432">
        <v>1882.11</v>
      </c>
      <c r="C6119" s="427">
        <f t="shared" si="190"/>
        <v>2008</v>
      </c>
      <c r="D6119" s="433">
        <f t="shared" si="191"/>
        <v>1882.11</v>
      </c>
    </row>
    <row r="6120" spans="1:4" ht="16.149999999999999" customHeight="1" x14ac:dyDescent="0.25">
      <c r="A6120" s="431">
        <v>39680</v>
      </c>
      <c r="B6120" s="434">
        <v>1891.99</v>
      </c>
      <c r="C6120" s="427">
        <f t="shared" si="190"/>
        <v>2008</v>
      </c>
      <c r="D6120" s="433">
        <f t="shared" si="191"/>
        <v>1891.99</v>
      </c>
    </row>
    <row r="6121" spans="1:4" ht="16.149999999999999" customHeight="1" x14ac:dyDescent="0.25">
      <c r="A6121" s="431">
        <v>39681</v>
      </c>
      <c r="B6121" s="432">
        <v>1880.69</v>
      </c>
      <c r="C6121" s="427">
        <f t="shared" si="190"/>
        <v>2008</v>
      </c>
      <c r="D6121" s="433">
        <f t="shared" si="191"/>
        <v>1880.69</v>
      </c>
    </row>
    <row r="6122" spans="1:4" ht="16.149999999999999" customHeight="1" x14ac:dyDescent="0.25">
      <c r="A6122" s="431">
        <v>39682</v>
      </c>
      <c r="B6122" s="434">
        <v>1864.26</v>
      </c>
      <c r="C6122" s="427">
        <f t="shared" si="190"/>
        <v>2008</v>
      </c>
      <c r="D6122" s="433">
        <f t="shared" si="191"/>
        <v>1864.26</v>
      </c>
    </row>
    <row r="6123" spans="1:4" ht="16.149999999999999" customHeight="1" x14ac:dyDescent="0.25">
      <c r="A6123" s="431">
        <v>39683</v>
      </c>
      <c r="B6123" s="432">
        <v>1872.07</v>
      </c>
      <c r="C6123" s="427">
        <f t="shared" si="190"/>
        <v>2008</v>
      </c>
      <c r="D6123" s="433">
        <f t="shared" si="191"/>
        <v>1872.07</v>
      </c>
    </row>
    <row r="6124" spans="1:4" ht="16.149999999999999" customHeight="1" x14ac:dyDescent="0.25">
      <c r="A6124" s="431">
        <v>39684</v>
      </c>
      <c r="B6124" s="434">
        <v>1872.07</v>
      </c>
      <c r="C6124" s="427">
        <f t="shared" si="190"/>
        <v>2008</v>
      </c>
      <c r="D6124" s="433">
        <f t="shared" si="191"/>
        <v>1872.07</v>
      </c>
    </row>
    <row r="6125" spans="1:4" ht="16.149999999999999" customHeight="1" x14ac:dyDescent="0.25">
      <c r="A6125" s="431">
        <v>39685</v>
      </c>
      <c r="B6125" s="432">
        <v>1872.07</v>
      </c>
      <c r="C6125" s="427">
        <f t="shared" si="190"/>
        <v>2008</v>
      </c>
      <c r="D6125" s="433">
        <f t="shared" si="191"/>
        <v>1872.07</v>
      </c>
    </row>
    <row r="6126" spans="1:4" ht="16.149999999999999" customHeight="1" x14ac:dyDescent="0.25">
      <c r="A6126" s="431">
        <v>39686</v>
      </c>
      <c r="B6126" s="434">
        <v>1873.94</v>
      </c>
      <c r="C6126" s="427">
        <f t="shared" si="190"/>
        <v>2008</v>
      </c>
      <c r="D6126" s="433">
        <f t="shared" si="191"/>
        <v>1873.94</v>
      </c>
    </row>
    <row r="6127" spans="1:4" ht="16.149999999999999" customHeight="1" x14ac:dyDescent="0.25">
      <c r="A6127" s="431">
        <v>39687</v>
      </c>
      <c r="B6127" s="432">
        <v>1892.06</v>
      </c>
      <c r="C6127" s="427">
        <f t="shared" si="190"/>
        <v>2008</v>
      </c>
      <c r="D6127" s="433">
        <f t="shared" si="191"/>
        <v>1892.06</v>
      </c>
    </row>
    <row r="6128" spans="1:4" ht="16.149999999999999" customHeight="1" x14ac:dyDescent="0.25">
      <c r="A6128" s="431">
        <v>39688</v>
      </c>
      <c r="B6128" s="434">
        <v>1887.71</v>
      </c>
      <c r="C6128" s="427">
        <f t="shared" si="190"/>
        <v>2008</v>
      </c>
      <c r="D6128" s="433">
        <f t="shared" si="191"/>
        <v>1887.71</v>
      </c>
    </row>
    <row r="6129" spans="1:4" ht="16.149999999999999" customHeight="1" x14ac:dyDescent="0.25">
      <c r="A6129" s="431">
        <v>39689</v>
      </c>
      <c r="B6129" s="432">
        <v>1907.97</v>
      </c>
      <c r="C6129" s="427">
        <f t="shared" si="190"/>
        <v>2008</v>
      </c>
      <c r="D6129" s="433">
        <f t="shared" si="191"/>
        <v>1907.97</v>
      </c>
    </row>
    <row r="6130" spans="1:4" ht="16.149999999999999" customHeight="1" x14ac:dyDescent="0.25">
      <c r="A6130" s="431">
        <v>39690</v>
      </c>
      <c r="B6130" s="434">
        <v>1932.2</v>
      </c>
      <c r="C6130" s="427">
        <f t="shared" si="190"/>
        <v>2008</v>
      </c>
      <c r="D6130" s="433">
        <f t="shared" si="191"/>
        <v>1932.2</v>
      </c>
    </row>
    <row r="6131" spans="1:4" ht="16.149999999999999" customHeight="1" x14ac:dyDescent="0.25">
      <c r="A6131" s="431">
        <v>39691</v>
      </c>
      <c r="B6131" s="432">
        <v>1932.2</v>
      </c>
      <c r="C6131" s="427">
        <f t="shared" si="190"/>
        <v>2008</v>
      </c>
      <c r="D6131" s="433">
        <f t="shared" si="191"/>
        <v>1932.2</v>
      </c>
    </row>
    <row r="6132" spans="1:4" ht="16.149999999999999" customHeight="1" x14ac:dyDescent="0.25">
      <c r="A6132" s="431">
        <v>39692</v>
      </c>
      <c r="B6132" s="434">
        <v>1932.2</v>
      </c>
      <c r="C6132" s="427">
        <f t="shared" si="190"/>
        <v>2008</v>
      </c>
      <c r="D6132" s="433">
        <f t="shared" si="191"/>
        <v>1932.2</v>
      </c>
    </row>
    <row r="6133" spans="1:4" ht="16.149999999999999" customHeight="1" x14ac:dyDescent="0.25">
      <c r="A6133" s="431">
        <v>39693</v>
      </c>
      <c r="B6133" s="432">
        <v>1932.2</v>
      </c>
      <c r="C6133" s="427">
        <f t="shared" si="190"/>
        <v>2008</v>
      </c>
      <c r="D6133" s="433">
        <f t="shared" si="191"/>
        <v>1932.2</v>
      </c>
    </row>
    <row r="6134" spans="1:4" ht="16.149999999999999" customHeight="1" x14ac:dyDescent="0.25">
      <c r="A6134" s="431">
        <v>39694</v>
      </c>
      <c r="B6134" s="434">
        <v>1975.1</v>
      </c>
      <c r="C6134" s="427">
        <f t="shared" si="190"/>
        <v>2008</v>
      </c>
      <c r="D6134" s="433">
        <f t="shared" si="191"/>
        <v>1975.1</v>
      </c>
    </row>
    <row r="6135" spans="1:4" ht="16.149999999999999" customHeight="1" x14ac:dyDescent="0.25">
      <c r="A6135" s="431">
        <v>39695</v>
      </c>
      <c r="B6135" s="432">
        <v>1992.59</v>
      </c>
      <c r="C6135" s="427">
        <f t="shared" si="190"/>
        <v>2008</v>
      </c>
      <c r="D6135" s="433">
        <f t="shared" si="191"/>
        <v>1992.59</v>
      </c>
    </row>
    <row r="6136" spans="1:4" ht="16.149999999999999" customHeight="1" x14ac:dyDescent="0.25">
      <c r="A6136" s="431">
        <v>39696</v>
      </c>
      <c r="B6136" s="434">
        <v>2017.53</v>
      </c>
      <c r="C6136" s="427">
        <f t="shared" si="190"/>
        <v>2008</v>
      </c>
      <c r="D6136" s="433">
        <f t="shared" si="191"/>
        <v>2017.53</v>
      </c>
    </row>
    <row r="6137" spans="1:4" ht="16.149999999999999" customHeight="1" x14ac:dyDescent="0.25">
      <c r="A6137" s="431">
        <v>39697</v>
      </c>
      <c r="B6137" s="432">
        <v>2041.81</v>
      </c>
      <c r="C6137" s="427">
        <f t="shared" si="190"/>
        <v>2008</v>
      </c>
      <c r="D6137" s="433">
        <f t="shared" si="191"/>
        <v>2041.81</v>
      </c>
    </row>
    <row r="6138" spans="1:4" ht="16.149999999999999" customHeight="1" x14ac:dyDescent="0.25">
      <c r="A6138" s="431">
        <v>39698</v>
      </c>
      <c r="B6138" s="434">
        <v>2041.81</v>
      </c>
      <c r="C6138" s="427">
        <f t="shared" si="190"/>
        <v>2008</v>
      </c>
      <c r="D6138" s="433">
        <f t="shared" si="191"/>
        <v>2041.81</v>
      </c>
    </row>
    <row r="6139" spans="1:4" ht="16.149999999999999" customHeight="1" x14ac:dyDescent="0.25">
      <c r="A6139" s="431">
        <v>39699</v>
      </c>
      <c r="B6139" s="432">
        <v>2041.81</v>
      </c>
      <c r="C6139" s="427">
        <f t="shared" si="190"/>
        <v>2008</v>
      </c>
      <c r="D6139" s="433">
        <f t="shared" si="191"/>
        <v>2041.81</v>
      </c>
    </row>
    <row r="6140" spans="1:4" ht="16.149999999999999" customHeight="1" x14ac:dyDescent="0.25">
      <c r="A6140" s="431">
        <v>39700</v>
      </c>
      <c r="B6140" s="434">
        <v>2031.12</v>
      </c>
      <c r="C6140" s="427">
        <f t="shared" si="190"/>
        <v>2008</v>
      </c>
      <c r="D6140" s="433">
        <f t="shared" si="191"/>
        <v>2031.12</v>
      </c>
    </row>
    <row r="6141" spans="1:4" ht="16.149999999999999" customHeight="1" x14ac:dyDescent="0.25">
      <c r="A6141" s="431">
        <v>39701</v>
      </c>
      <c r="B6141" s="432">
        <v>2071.2399999999998</v>
      </c>
      <c r="C6141" s="427">
        <f t="shared" si="190"/>
        <v>2008</v>
      </c>
      <c r="D6141" s="433">
        <f t="shared" si="191"/>
        <v>2071.2399999999998</v>
      </c>
    </row>
    <row r="6142" spans="1:4" ht="16.149999999999999" customHeight="1" x14ac:dyDescent="0.25">
      <c r="A6142" s="431">
        <v>39702</v>
      </c>
      <c r="B6142" s="434">
        <v>2081.3200000000002</v>
      </c>
      <c r="C6142" s="427">
        <f t="shared" si="190"/>
        <v>2008</v>
      </c>
      <c r="D6142" s="433">
        <f t="shared" si="191"/>
        <v>2081.3200000000002</v>
      </c>
    </row>
    <row r="6143" spans="1:4" ht="16.149999999999999" customHeight="1" x14ac:dyDescent="0.25">
      <c r="A6143" s="431">
        <v>39703</v>
      </c>
      <c r="B6143" s="432">
        <v>2082.46</v>
      </c>
      <c r="C6143" s="427">
        <f t="shared" si="190"/>
        <v>2008</v>
      </c>
      <c r="D6143" s="433">
        <f t="shared" si="191"/>
        <v>2082.46</v>
      </c>
    </row>
    <row r="6144" spans="1:4" ht="16.149999999999999" customHeight="1" x14ac:dyDescent="0.25">
      <c r="A6144" s="431">
        <v>39704</v>
      </c>
      <c r="B6144" s="434">
        <v>2051.5500000000002</v>
      </c>
      <c r="C6144" s="427">
        <f t="shared" si="190"/>
        <v>2008</v>
      </c>
      <c r="D6144" s="433">
        <f t="shared" si="191"/>
        <v>2051.5500000000002</v>
      </c>
    </row>
    <row r="6145" spans="1:4" ht="16.149999999999999" customHeight="1" x14ac:dyDescent="0.25">
      <c r="A6145" s="431">
        <v>39705</v>
      </c>
      <c r="B6145" s="432">
        <v>2051.5500000000002</v>
      </c>
      <c r="C6145" s="427">
        <f t="shared" si="190"/>
        <v>2008</v>
      </c>
      <c r="D6145" s="433">
        <f t="shared" si="191"/>
        <v>2051.5500000000002</v>
      </c>
    </row>
    <row r="6146" spans="1:4" ht="16.149999999999999" customHeight="1" x14ac:dyDescent="0.25">
      <c r="A6146" s="431">
        <v>39706</v>
      </c>
      <c r="B6146" s="434">
        <v>2051.5500000000002</v>
      </c>
      <c r="C6146" s="427">
        <f t="shared" si="190"/>
        <v>2008</v>
      </c>
      <c r="D6146" s="433">
        <f t="shared" si="191"/>
        <v>2051.5500000000002</v>
      </c>
    </row>
    <row r="6147" spans="1:4" ht="16.149999999999999" customHeight="1" x14ac:dyDescent="0.25">
      <c r="A6147" s="431">
        <v>39707</v>
      </c>
      <c r="B6147" s="432">
        <v>2071.29</v>
      </c>
      <c r="C6147" s="427">
        <f t="shared" si="190"/>
        <v>2008</v>
      </c>
      <c r="D6147" s="433">
        <f t="shared" si="191"/>
        <v>2071.29</v>
      </c>
    </row>
    <row r="6148" spans="1:4" ht="16.149999999999999" customHeight="1" x14ac:dyDescent="0.25">
      <c r="A6148" s="431">
        <v>39708</v>
      </c>
      <c r="B6148" s="434">
        <v>2109.37</v>
      </c>
      <c r="C6148" s="427">
        <f t="shared" si="190"/>
        <v>2008</v>
      </c>
      <c r="D6148" s="433">
        <f t="shared" si="191"/>
        <v>2109.37</v>
      </c>
    </row>
    <row r="6149" spans="1:4" ht="16.149999999999999" customHeight="1" x14ac:dyDescent="0.25">
      <c r="A6149" s="431">
        <v>39709</v>
      </c>
      <c r="B6149" s="432">
        <v>2139.14</v>
      </c>
      <c r="C6149" s="427">
        <f t="shared" si="190"/>
        <v>2008</v>
      </c>
      <c r="D6149" s="433">
        <f t="shared" si="191"/>
        <v>2139.14</v>
      </c>
    </row>
    <row r="6150" spans="1:4" ht="16.149999999999999" customHeight="1" x14ac:dyDescent="0.25">
      <c r="A6150" s="431">
        <v>39710</v>
      </c>
      <c r="B6150" s="434">
        <v>2187.0100000000002</v>
      </c>
      <c r="C6150" s="427">
        <f t="shared" si="190"/>
        <v>2008</v>
      </c>
      <c r="D6150" s="433">
        <f t="shared" si="191"/>
        <v>2187.0100000000002</v>
      </c>
    </row>
    <row r="6151" spans="1:4" ht="16.149999999999999" customHeight="1" x14ac:dyDescent="0.25">
      <c r="A6151" s="431">
        <v>39711</v>
      </c>
      <c r="B6151" s="432">
        <v>2067.4499999999998</v>
      </c>
      <c r="C6151" s="427">
        <f t="shared" si="190"/>
        <v>2008</v>
      </c>
      <c r="D6151" s="433">
        <f t="shared" si="191"/>
        <v>2067.4499999999998</v>
      </c>
    </row>
    <row r="6152" spans="1:4" ht="16.149999999999999" customHeight="1" x14ac:dyDescent="0.25">
      <c r="A6152" s="431">
        <v>39712</v>
      </c>
      <c r="B6152" s="434">
        <v>2067.4499999999998</v>
      </c>
      <c r="C6152" s="427">
        <f t="shared" si="190"/>
        <v>2008</v>
      </c>
      <c r="D6152" s="433">
        <f t="shared" si="191"/>
        <v>2067.4499999999998</v>
      </c>
    </row>
    <row r="6153" spans="1:4" ht="16.149999999999999" customHeight="1" x14ac:dyDescent="0.25">
      <c r="A6153" s="431">
        <v>39713</v>
      </c>
      <c r="B6153" s="432">
        <v>2067.4499999999998</v>
      </c>
      <c r="C6153" s="427">
        <f t="shared" si="190"/>
        <v>2008</v>
      </c>
      <c r="D6153" s="433">
        <f t="shared" si="191"/>
        <v>2067.4499999999998</v>
      </c>
    </row>
    <row r="6154" spans="1:4" ht="16.149999999999999" customHeight="1" x14ac:dyDescent="0.25">
      <c r="A6154" s="431">
        <v>39714</v>
      </c>
      <c r="B6154" s="434">
        <v>2045.85</v>
      </c>
      <c r="C6154" s="427">
        <f t="shared" ref="C6154:C6217" si="192">YEAR(A6154)</f>
        <v>2008</v>
      </c>
      <c r="D6154" s="433">
        <f t="shared" ref="D6154:D6217" si="193">B6154</f>
        <v>2045.85</v>
      </c>
    </row>
    <row r="6155" spans="1:4" ht="16.149999999999999" customHeight="1" x14ac:dyDescent="0.25">
      <c r="A6155" s="431">
        <v>39715</v>
      </c>
      <c r="B6155" s="432">
        <v>2077.59</v>
      </c>
      <c r="C6155" s="427">
        <f t="shared" si="192"/>
        <v>2008</v>
      </c>
      <c r="D6155" s="433">
        <f t="shared" si="193"/>
        <v>2077.59</v>
      </c>
    </row>
    <row r="6156" spans="1:4" ht="16.149999999999999" customHeight="1" x14ac:dyDescent="0.25">
      <c r="A6156" s="431">
        <v>39716</v>
      </c>
      <c r="B6156" s="434">
        <v>2147.41</v>
      </c>
      <c r="C6156" s="427">
        <f t="shared" si="192"/>
        <v>2008</v>
      </c>
      <c r="D6156" s="433">
        <f t="shared" si="193"/>
        <v>2147.41</v>
      </c>
    </row>
    <row r="6157" spans="1:4" ht="16.149999999999999" customHeight="1" x14ac:dyDescent="0.25">
      <c r="A6157" s="431">
        <v>39717</v>
      </c>
      <c r="B6157" s="432">
        <v>2118.31</v>
      </c>
      <c r="C6157" s="427">
        <f t="shared" si="192"/>
        <v>2008</v>
      </c>
      <c r="D6157" s="433">
        <f t="shared" si="193"/>
        <v>2118.31</v>
      </c>
    </row>
    <row r="6158" spans="1:4" ht="16.149999999999999" customHeight="1" x14ac:dyDescent="0.25">
      <c r="A6158" s="431">
        <v>39718</v>
      </c>
      <c r="B6158" s="434">
        <v>2105.61</v>
      </c>
      <c r="C6158" s="427">
        <f t="shared" si="192"/>
        <v>2008</v>
      </c>
      <c r="D6158" s="433">
        <f t="shared" si="193"/>
        <v>2105.61</v>
      </c>
    </row>
    <row r="6159" spans="1:4" ht="16.149999999999999" customHeight="1" x14ac:dyDescent="0.25">
      <c r="A6159" s="431">
        <v>39719</v>
      </c>
      <c r="B6159" s="432">
        <v>2105.61</v>
      </c>
      <c r="C6159" s="427">
        <f t="shared" si="192"/>
        <v>2008</v>
      </c>
      <c r="D6159" s="433">
        <f t="shared" si="193"/>
        <v>2105.61</v>
      </c>
    </row>
    <row r="6160" spans="1:4" ht="16.149999999999999" customHeight="1" x14ac:dyDescent="0.25">
      <c r="A6160" s="431">
        <v>39720</v>
      </c>
      <c r="B6160" s="434">
        <v>2105.61</v>
      </c>
      <c r="C6160" s="427">
        <f t="shared" si="192"/>
        <v>2008</v>
      </c>
      <c r="D6160" s="433">
        <f t="shared" si="193"/>
        <v>2105.61</v>
      </c>
    </row>
    <row r="6161" spans="1:4" ht="16.149999999999999" customHeight="1" x14ac:dyDescent="0.25">
      <c r="A6161" s="431">
        <v>39721</v>
      </c>
      <c r="B6161" s="432">
        <v>2174.62</v>
      </c>
      <c r="C6161" s="427">
        <f t="shared" si="192"/>
        <v>2008</v>
      </c>
      <c r="D6161" s="433">
        <f t="shared" si="193"/>
        <v>2174.62</v>
      </c>
    </row>
    <row r="6162" spans="1:4" ht="16.149999999999999" customHeight="1" x14ac:dyDescent="0.25">
      <c r="A6162" s="431">
        <v>39722</v>
      </c>
      <c r="B6162" s="434">
        <v>2184.7600000000002</v>
      </c>
      <c r="C6162" s="427">
        <f t="shared" si="192"/>
        <v>2008</v>
      </c>
      <c r="D6162" s="433">
        <f t="shared" si="193"/>
        <v>2184.7600000000002</v>
      </c>
    </row>
    <row r="6163" spans="1:4" ht="16.149999999999999" customHeight="1" x14ac:dyDescent="0.25">
      <c r="A6163" s="431">
        <v>39723</v>
      </c>
      <c r="B6163" s="432">
        <v>2166.0500000000002</v>
      </c>
      <c r="C6163" s="427">
        <f t="shared" si="192"/>
        <v>2008</v>
      </c>
      <c r="D6163" s="433">
        <f t="shared" si="193"/>
        <v>2166.0500000000002</v>
      </c>
    </row>
    <row r="6164" spans="1:4" ht="16.149999999999999" customHeight="1" x14ac:dyDescent="0.25">
      <c r="A6164" s="431">
        <v>39724</v>
      </c>
      <c r="B6164" s="434">
        <v>2192.69</v>
      </c>
      <c r="C6164" s="427">
        <f t="shared" si="192"/>
        <v>2008</v>
      </c>
      <c r="D6164" s="433">
        <f t="shared" si="193"/>
        <v>2192.69</v>
      </c>
    </row>
    <row r="6165" spans="1:4" ht="16.149999999999999" customHeight="1" x14ac:dyDescent="0.25">
      <c r="A6165" s="431">
        <v>39725</v>
      </c>
      <c r="B6165" s="432">
        <v>2160.08</v>
      </c>
      <c r="C6165" s="427">
        <f t="shared" si="192"/>
        <v>2008</v>
      </c>
      <c r="D6165" s="433">
        <f t="shared" si="193"/>
        <v>2160.08</v>
      </c>
    </row>
    <row r="6166" spans="1:4" ht="16.149999999999999" customHeight="1" x14ac:dyDescent="0.25">
      <c r="A6166" s="431">
        <v>39726</v>
      </c>
      <c r="B6166" s="434">
        <v>2160.08</v>
      </c>
      <c r="C6166" s="427">
        <f t="shared" si="192"/>
        <v>2008</v>
      </c>
      <c r="D6166" s="433">
        <f t="shared" si="193"/>
        <v>2160.08</v>
      </c>
    </row>
    <row r="6167" spans="1:4" ht="16.149999999999999" customHeight="1" x14ac:dyDescent="0.25">
      <c r="A6167" s="431">
        <v>39727</v>
      </c>
      <c r="B6167" s="432">
        <v>2160.08</v>
      </c>
      <c r="C6167" s="427">
        <f t="shared" si="192"/>
        <v>2008</v>
      </c>
      <c r="D6167" s="433">
        <f t="shared" si="193"/>
        <v>2160.08</v>
      </c>
    </row>
    <row r="6168" spans="1:4" ht="16.149999999999999" customHeight="1" x14ac:dyDescent="0.25">
      <c r="A6168" s="431">
        <v>39728</v>
      </c>
      <c r="B6168" s="434">
        <v>2250.73</v>
      </c>
      <c r="C6168" s="427">
        <f t="shared" si="192"/>
        <v>2008</v>
      </c>
      <c r="D6168" s="433">
        <f t="shared" si="193"/>
        <v>2250.73</v>
      </c>
    </row>
    <row r="6169" spans="1:4" ht="16.149999999999999" customHeight="1" x14ac:dyDescent="0.25">
      <c r="A6169" s="431">
        <v>39729</v>
      </c>
      <c r="B6169" s="432">
        <v>2261.96</v>
      </c>
      <c r="C6169" s="427">
        <f t="shared" si="192"/>
        <v>2008</v>
      </c>
      <c r="D6169" s="433">
        <f t="shared" si="193"/>
        <v>2261.96</v>
      </c>
    </row>
    <row r="6170" spans="1:4" ht="16.149999999999999" customHeight="1" x14ac:dyDescent="0.25">
      <c r="A6170" s="431">
        <v>39730</v>
      </c>
      <c r="B6170" s="434">
        <v>2326.41</v>
      </c>
      <c r="C6170" s="427">
        <f t="shared" si="192"/>
        <v>2008</v>
      </c>
      <c r="D6170" s="433">
        <f t="shared" si="193"/>
        <v>2326.41</v>
      </c>
    </row>
    <row r="6171" spans="1:4" ht="16.149999999999999" customHeight="1" x14ac:dyDescent="0.25">
      <c r="A6171" s="431">
        <v>39731</v>
      </c>
      <c r="B6171" s="432">
        <v>2254.2399999999998</v>
      </c>
      <c r="C6171" s="427">
        <f t="shared" si="192"/>
        <v>2008</v>
      </c>
      <c r="D6171" s="433">
        <f t="shared" si="193"/>
        <v>2254.2399999999998</v>
      </c>
    </row>
    <row r="6172" spans="1:4" ht="16.149999999999999" customHeight="1" x14ac:dyDescent="0.25">
      <c r="A6172" s="431">
        <v>39732</v>
      </c>
      <c r="B6172" s="434">
        <v>2318.63</v>
      </c>
      <c r="C6172" s="427">
        <f t="shared" si="192"/>
        <v>2008</v>
      </c>
      <c r="D6172" s="433">
        <f t="shared" si="193"/>
        <v>2318.63</v>
      </c>
    </row>
    <row r="6173" spans="1:4" ht="16.149999999999999" customHeight="1" x14ac:dyDescent="0.25">
      <c r="A6173" s="431">
        <v>39733</v>
      </c>
      <c r="B6173" s="432">
        <v>2318.63</v>
      </c>
      <c r="C6173" s="427">
        <f t="shared" si="192"/>
        <v>2008</v>
      </c>
      <c r="D6173" s="433">
        <f t="shared" si="193"/>
        <v>2318.63</v>
      </c>
    </row>
    <row r="6174" spans="1:4" ht="16.149999999999999" customHeight="1" x14ac:dyDescent="0.25">
      <c r="A6174" s="431">
        <v>39734</v>
      </c>
      <c r="B6174" s="434">
        <v>2318.63</v>
      </c>
      <c r="C6174" s="427">
        <f t="shared" si="192"/>
        <v>2008</v>
      </c>
      <c r="D6174" s="433">
        <f t="shared" si="193"/>
        <v>2318.63</v>
      </c>
    </row>
    <row r="6175" spans="1:4" ht="16.149999999999999" customHeight="1" x14ac:dyDescent="0.25">
      <c r="A6175" s="431">
        <v>39735</v>
      </c>
      <c r="B6175" s="432">
        <v>2318.63</v>
      </c>
      <c r="C6175" s="427">
        <f t="shared" si="192"/>
        <v>2008</v>
      </c>
      <c r="D6175" s="433">
        <f t="shared" si="193"/>
        <v>2318.63</v>
      </c>
    </row>
    <row r="6176" spans="1:4" ht="16.149999999999999" customHeight="1" x14ac:dyDescent="0.25">
      <c r="A6176" s="431">
        <v>39736</v>
      </c>
      <c r="B6176" s="434">
        <v>2223.94</v>
      </c>
      <c r="C6176" s="427">
        <f t="shared" si="192"/>
        <v>2008</v>
      </c>
      <c r="D6176" s="433">
        <f t="shared" si="193"/>
        <v>2223.94</v>
      </c>
    </row>
    <row r="6177" spans="1:4" ht="16.149999999999999" customHeight="1" x14ac:dyDescent="0.25">
      <c r="A6177" s="431">
        <v>39737</v>
      </c>
      <c r="B6177" s="432">
        <v>2316.54</v>
      </c>
      <c r="C6177" s="427">
        <f t="shared" si="192"/>
        <v>2008</v>
      </c>
      <c r="D6177" s="433">
        <f t="shared" si="193"/>
        <v>2316.54</v>
      </c>
    </row>
    <row r="6178" spans="1:4" ht="16.149999999999999" customHeight="1" x14ac:dyDescent="0.25">
      <c r="A6178" s="431">
        <v>39738</v>
      </c>
      <c r="B6178" s="434">
        <v>2304.6799999999998</v>
      </c>
      <c r="C6178" s="427">
        <f t="shared" si="192"/>
        <v>2008</v>
      </c>
      <c r="D6178" s="433">
        <f t="shared" si="193"/>
        <v>2304.6799999999998</v>
      </c>
    </row>
    <row r="6179" spans="1:4" ht="16.149999999999999" customHeight="1" x14ac:dyDescent="0.25">
      <c r="A6179" s="431">
        <v>39739</v>
      </c>
      <c r="B6179" s="432">
        <v>2271.98</v>
      </c>
      <c r="C6179" s="427">
        <f t="shared" si="192"/>
        <v>2008</v>
      </c>
      <c r="D6179" s="433">
        <f t="shared" si="193"/>
        <v>2271.98</v>
      </c>
    </row>
    <row r="6180" spans="1:4" ht="16.149999999999999" customHeight="1" x14ac:dyDescent="0.25">
      <c r="A6180" s="431">
        <v>39740</v>
      </c>
      <c r="B6180" s="434">
        <v>2271.98</v>
      </c>
      <c r="C6180" s="427">
        <f t="shared" si="192"/>
        <v>2008</v>
      </c>
      <c r="D6180" s="433">
        <f t="shared" si="193"/>
        <v>2271.98</v>
      </c>
    </row>
    <row r="6181" spans="1:4" ht="16.149999999999999" customHeight="1" x14ac:dyDescent="0.25">
      <c r="A6181" s="431">
        <v>39741</v>
      </c>
      <c r="B6181" s="432">
        <v>2271.98</v>
      </c>
      <c r="C6181" s="427">
        <f t="shared" si="192"/>
        <v>2008</v>
      </c>
      <c r="D6181" s="433">
        <f t="shared" si="193"/>
        <v>2271.98</v>
      </c>
    </row>
    <row r="6182" spans="1:4" ht="16.149999999999999" customHeight="1" x14ac:dyDescent="0.25">
      <c r="A6182" s="431">
        <v>39742</v>
      </c>
      <c r="B6182" s="434">
        <v>2243.4899999999998</v>
      </c>
      <c r="C6182" s="427">
        <f t="shared" si="192"/>
        <v>2008</v>
      </c>
      <c r="D6182" s="433">
        <f t="shared" si="193"/>
        <v>2243.4899999999998</v>
      </c>
    </row>
    <row r="6183" spans="1:4" ht="16.149999999999999" customHeight="1" x14ac:dyDescent="0.25">
      <c r="A6183" s="431">
        <v>39743</v>
      </c>
      <c r="B6183" s="432">
        <v>2296.3200000000002</v>
      </c>
      <c r="C6183" s="427">
        <f t="shared" si="192"/>
        <v>2008</v>
      </c>
      <c r="D6183" s="433">
        <f t="shared" si="193"/>
        <v>2296.3200000000002</v>
      </c>
    </row>
    <row r="6184" spans="1:4" ht="16.149999999999999" customHeight="1" x14ac:dyDescent="0.25">
      <c r="A6184" s="431">
        <v>39744</v>
      </c>
      <c r="B6184" s="434">
        <v>2346.4699999999998</v>
      </c>
      <c r="C6184" s="427">
        <f t="shared" si="192"/>
        <v>2008</v>
      </c>
      <c r="D6184" s="433">
        <f t="shared" si="193"/>
        <v>2346.4699999999998</v>
      </c>
    </row>
    <row r="6185" spans="1:4" ht="16.149999999999999" customHeight="1" x14ac:dyDescent="0.25">
      <c r="A6185" s="431">
        <v>39745</v>
      </c>
      <c r="B6185" s="432">
        <v>2361.0100000000002</v>
      </c>
      <c r="C6185" s="427">
        <f t="shared" si="192"/>
        <v>2008</v>
      </c>
      <c r="D6185" s="433">
        <f t="shared" si="193"/>
        <v>2361.0100000000002</v>
      </c>
    </row>
    <row r="6186" spans="1:4" ht="16.149999999999999" customHeight="1" x14ac:dyDescent="0.25">
      <c r="A6186" s="431">
        <v>39746</v>
      </c>
      <c r="B6186" s="434">
        <v>2386.48</v>
      </c>
      <c r="C6186" s="427">
        <f t="shared" si="192"/>
        <v>2008</v>
      </c>
      <c r="D6186" s="433">
        <f t="shared" si="193"/>
        <v>2386.48</v>
      </c>
    </row>
    <row r="6187" spans="1:4" ht="16.149999999999999" customHeight="1" x14ac:dyDescent="0.25">
      <c r="A6187" s="431">
        <v>39747</v>
      </c>
      <c r="B6187" s="432">
        <v>2386.48</v>
      </c>
      <c r="C6187" s="427">
        <f t="shared" si="192"/>
        <v>2008</v>
      </c>
      <c r="D6187" s="433">
        <f t="shared" si="193"/>
        <v>2386.48</v>
      </c>
    </row>
    <row r="6188" spans="1:4" ht="16.149999999999999" customHeight="1" x14ac:dyDescent="0.25">
      <c r="A6188" s="431">
        <v>39748</v>
      </c>
      <c r="B6188" s="434">
        <v>2386.48</v>
      </c>
      <c r="C6188" s="427">
        <f t="shared" si="192"/>
        <v>2008</v>
      </c>
      <c r="D6188" s="433">
        <f t="shared" si="193"/>
        <v>2386.48</v>
      </c>
    </row>
    <row r="6189" spans="1:4" ht="16.149999999999999" customHeight="1" x14ac:dyDescent="0.25">
      <c r="A6189" s="431">
        <v>39749</v>
      </c>
      <c r="B6189" s="432">
        <v>2379.2399999999998</v>
      </c>
      <c r="C6189" s="427">
        <f t="shared" si="192"/>
        <v>2008</v>
      </c>
      <c r="D6189" s="433">
        <f t="shared" si="193"/>
        <v>2379.2399999999998</v>
      </c>
    </row>
    <row r="6190" spans="1:4" ht="16.149999999999999" customHeight="1" x14ac:dyDescent="0.25">
      <c r="A6190" s="431">
        <v>39750</v>
      </c>
      <c r="B6190" s="434">
        <v>2382.31</v>
      </c>
      <c r="C6190" s="427">
        <f t="shared" si="192"/>
        <v>2008</v>
      </c>
      <c r="D6190" s="433">
        <f t="shared" si="193"/>
        <v>2382.31</v>
      </c>
    </row>
    <row r="6191" spans="1:4" ht="16.149999999999999" customHeight="1" x14ac:dyDescent="0.25">
      <c r="A6191" s="431">
        <v>39751</v>
      </c>
      <c r="B6191" s="432">
        <v>2374.1</v>
      </c>
      <c r="C6191" s="427">
        <f t="shared" si="192"/>
        <v>2008</v>
      </c>
      <c r="D6191" s="433">
        <f t="shared" si="193"/>
        <v>2374.1</v>
      </c>
    </row>
    <row r="6192" spans="1:4" ht="16.149999999999999" customHeight="1" x14ac:dyDescent="0.25">
      <c r="A6192" s="431">
        <v>39752</v>
      </c>
      <c r="B6192" s="434">
        <v>2359.52</v>
      </c>
      <c r="C6192" s="427">
        <f t="shared" si="192"/>
        <v>2008</v>
      </c>
      <c r="D6192" s="433">
        <f t="shared" si="193"/>
        <v>2359.52</v>
      </c>
    </row>
    <row r="6193" spans="1:4" ht="16.149999999999999" customHeight="1" x14ac:dyDescent="0.25">
      <c r="A6193" s="431">
        <v>39753</v>
      </c>
      <c r="B6193" s="432">
        <v>2392.2800000000002</v>
      </c>
      <c r="C6193" s="427">
        <f t="shared" si="192"/>
        <v>2008</v>
      </c>
      <c r="D6193" s="433">
        <f t="shared" si="193"/>
        <v>2392.2800000000002</v>
      </c>
    </row>
    <row r="6194" spans="1:4" ht="16.149999999999999" customHeight="1" x14ac:dyDescent="0.25">
      <c r="A6194" s="431">
        <v>39754</v>
      </c>
      <c r="B6194" s="434">
        <v>2392.2800000000002</v>
      </c>
      <c r="C6194" s="427">
        <f t="shared" si="192"/>
        <v>2008</v>
      </c>
      <c r="D6194" s="433">
        <f t="shared" si="193"/>
        <v>2392.2800000000002</v>
      </c>
    </row>
    <row r="6195" spans="1:4" ht="16.149999999999999" customHeight="1" x14ac:dyDescent="0.25">
      <c r="A6195" s="431">
        <v>39755</v>
      </c>
      <c r="B6195" s="432">
        <v>2392.2800000000002</v>
      </c>
      <c r="C6195" s="427">
        <f t="shared" si="192"/>
        <v>2008</v>
      </c>
      <c r="D6195" s="433">
        <f t="shared" si="193"/>
        <v>2392.2800000000002</v>
      </c>
    </row>
    <row r="6196" spans="1:4" ht="16.149999999999999" customHeight="1" x14ac:dyDescent="0.25">
      <c r="A6196" s="431">
        <v>39756</v>
      </c>
      <c r="B6196" s="434">
        <v>2392.2800000000002</v>
      </c>
      <c r="C6196" s="427">
        <f t="shared" si="192"/>
        <v>2008</v>
      </c>
      <c r="D6196" s="433">
        <f t="shared" si="193"/>
        <v>2392.2800000000002</v>
      </c>
    </row>
    <row r="6197" spans="1:4" ht="16.149999999999999" customHeight="1" x14ac:dyDescent="0.25">
      <c r="A6197" s="431">
        <v>39757</v>
      </c>
      <c r="B6197" s="432">
        <v>2351.56</v>
      </c>
      <c r="C6197" s="427">
        <f t="shared" si="192"/>
        <v>2008</v>
      </c>
      <c r="D6197" s="433">
        <f t="shared" si="193"/>
        <v>2351.56</v>
      </c>
    </row>
    <row r="6198" spans="1:4" ht="16.149999999999999" customHeight="1" x14ac:dyDescent="0.25">
      <c r="A6198" s="431">
        <v>39758</v>
      </c>
      <c r="B6198" s="434">
        <v>2327.7800000000002</v>
      </c>
      <c r="C6198" s="427">
        <f t="shared" si="192"/>
        <v>2008</v>
      </c>
      <c r="D6198" s="433">
        <f t="shared" si="193"/>
        <v>2327.7800000000002</v>
      </c>
    </row>
    <row r="6199" spans="1:4" ht="16.149999999999999" customHeight="1" x14ac:dyDescent="0.25">
      <c r="A6199" s="431">
        <v>39759</v>
      </c>
      <c r="B6199" s="432">
        <v>2342.65</v>
      </c>
      <c r="C6199" s="427">
        <f t="shared" si="192"/>
        <v>2008</v>
      </c>
      <c r="D6199" s="433">
        <f t="shared" si="193"/>
        <v>2342.65</v>
      </c>
    </row>
    <row r="6200" spans="1:4" ht="16.149999999999999" customHeight="1" x14ac:dyDescent="0.25">
      <c r="A6200" s="431">
        <v>39760</v>
      </c>
      <c r="B6200" s="434">
        <v>2317.34</v>
      </c>
      <c r="C6200" s="427">
        <f t="shared" si="192"/>
        <v>2008</v>
      </c>
      <c r="D6200" s="433">
        <f t="shared" si="193"/>
        <v>2317.34</v>
      </c>
    </row>
    <row r="6201" spans="1:4" ht="16.149999999999999" customHeight="1" x14ac:dyDescent="0.25">
      <c r="A6201" s="431">
        <v>39761</v>
      </c>
      <c r="B6201" s="432">
        <v>2317.34</v>
      </c>
      <c r="C6201" s="427">
        <f t="shared" si="192"/>
        <v>2008</v>
      </c>
      <c r="D6201" s="433">
        <f t="shared" si="193"/>
        <v>2317.34</v>
      </c>
    </row>
    <row r="6202" spans="1:4" ht="16.149999999999999" customHeight="1" x14ac:dyDescent="0.25">
      <c r="A6202" s="431">
        <v>39762</v>
      </c>
      <c r="B6202" s="434">
        <v>2317.34</v>
      </c>
      <c r="C6202" s="427">
        <f t="shared" si="192"/>
        <v>2008</v>
      </c>
      <c r="D6202" s="433">
        <f t="shared" si="193"/>
        <v>2317.34</v>
      </c>
    </row>
    <row r="6203" spans="1:4" ht="16.149999999999999" customHeight="1" x14ac:dyDescent="0.25">
      <c r="A6203" s="431">
        <v>39763</v>
      </c>
      <c r="B6203" s="432">
        <v>2281.2399999999998</v>
      </c>
      <c r="C6203" s="427">
        <f t="shared" si="192"/>
        <v>2008</v>
      </c>
      <c r="D6203" s="433">
        <f t="shared" si="193"/>
        <v>2281.2399999999998</v>
      </c>
    </row>
    <row r="6204" spans="1:4" ht="16.149999999999999" customHeight="1" x14ac:dyDescent="0.25">
      <c r="A6204" s="431">
        <v>39764</v>
      </c>
      <c r="B6204" s="434">
        <v>2281.2399999999998</v>
      </c>
      <c r="C6204" s="427">
        <f t="shared" si="192"/>
        <v>2008</v>
      </c>
      <c r="D6204" s="433">
        <f t="shared" si="193"/>
        <v>2281.2399999999998</v>
      </c>
    </row>
    <row r="6205" spans="1:4" ht="16.149999999999999" customHeight="1" x14ac:dyDescent="0.25">
      <c r="A6205" s="431">
        <v>39765</v>
      </c>
      <c r="B6205" s="432">
        <v>2335.02</v>
      </c>
      <c r="C6205" s="427">
        <f t="shared" si="192"/>
        <v>2008</v>
      </c>
      <c r="D6205" s="433">
        <f t="shared" si="193"/>
        <v>2335.02</v>
      </c>
    </row>
    <row r="6206" spans="1:4" ht="16.149999999999999" customHeight="1" x14ac:dyDescent="0.25">
      <c r="A6206" s="431">
        <v>39766</v>
      </c>
      <c r="B6206" s="434">
        <v>2329.8200000000002</v>
      </c>
      <c r="C6206" s="427">
        <f t="shared" si="192"/>
        <v>2008</v>
      </c>
      <c r="D6206" s="433">
        <f t="shared" si="193"/>
        <v>2329.8200000000002</v>
      </c>
    </row>
    <row r="6207" spans="1:4" ht="16.149999999999999" customHeight="1" x14ac:dyDescent="0.25">
      <c r="A6207" s="431">
        <v>39767</v>
      </c>
      <c r="B6207" s="432">
        <v>2308.65</v>
      </c>
      <c r="C6207" s="427">
        <f t="shared" si="192"/>
        <v>2008</v>
      </c>
      <c r="D6207" s="433">
        <f t="shared" si="193"/>
        <v>2308.65</v>
      </c>
    </row>
    <row r="6208" spans="1:4" ht="16.149999999999999" customHeight="1" x14ac:dyDescent="0.25">
      <c r="A6208" s="431">
        <v>39768</v>
      </c>
      <c r="B6208" s="434">
        <v>2308.65</v>
      </c>
      <c r="C6208" s="427">
        <f t="shared" si="192"/>
        <v>2008</v>
      </c>
      <c r="D6208" s="433">
        <f t="shared" si="193"/>
        <v>2308.65</v>
      </c>
    </row>
    <row r="6209" spans="1:4" ht="16.149999999999999" customHeight="1" x14ac:dyDescent="0.25">
      <c r="A6209" s="431">
        <v>39769</v>
      </c>
      <c r="B6209" s="432">
        <v>2308.65</v>
      </c>
      <c r="C6209" s="427">
        <f t="shared" si="192"/>
        <v>2008</v>
      </c>
      <c r="D6209" s="433">
        <f t="shared" si="193"/>
        <v>2308.65</v>
      </c>
    </row>
    <row r="6210" spans="1:4" ht="16.149999999999999" customHeight="1" x14ac:dyDescent="0.25">
      <c r="A6210" s="431">
        <v>39770</v>
      </c>
      <c r="B6210" s="434">
        <v>2308.65</v>
      </c>
      <c r="C6210" s="427">
        <f t="shared" si="192"/>
        <v>2008</v>
      </c>
      <c r="D6210" s="433">
        <f t="shared" si="193"/>
        <v>2308.65</v>
      </c>
    </row>
    <row r="6211" spans="1:4" ht="16.149999999999999" customHeight="1" x14ac:dyDescent="0.25">
      <c r="A6211" s="431">
        <v>39771</v>
      </c>
      <c r="B6211" s="432">
        <v>2329.9</v>
      </c>
      <c r="C6211" s="427">
        <f t="shared" si="192"/>
        <v>2008</v>
      </c>
      <c r="D6211" s="433">
        <f t="shared" si="193"/>
        <v>2329.9</v>
      </c>
    </row>
    <row r="6212" spans="1:4" ht="16.149999999999999" customHeight="1" x14ac:dyDescent="0.25">
      <c r="A6212" s="431">
        <v>39772</v>
      </c>
      <c r="B6212" s="434">
        <v>2342.1799999999998</v>
      </c>
      <c r="C6212" s="427">
        <f t="shared" si="192"/>
        <v>2008</v>
      </c>
      <c r="D6212" s="433">
        <f t="shared" si="193"/>
        <v>2342.1799999999998</v>
      </c>
    </row>
    <row r="6213" spans="1:4" ht="16.149999999999999" customHeight="1" x14ac:dyDescent="0.25">
      <c r="A6213" s="431">
        <v>39773</v>
      </c>
      <c r="B6213" s="432">
        <v>2359.2600000000002</v>
      </c>
      <c r="C6213" s="427">
        <f t="shared" si="192"/>
        <v>2008</v>
      </c>
      <c r="D6213" s="433">
        <f t="shared" si="193"/>
        <v>2359.2600000000002</v>
      </c>
    </row>
    <row r="6214" spans="1:4" ht="16.149999999999999" customHeight="1" x14ac:dyDescent="0.25">
      <c r="A6214" s="431">
        <v>39774</v>
      </c>
      <c r="B6214" s="434">
        <v>2355.71</v>
      </c>
      <c r="C6214" s="427">
        <f t="shared" si="192"/>
        <v>2008</v>
      </c>
      <c r="D6214" s="433">
        <f t="shared" si="193"/>
        <v>2355.71</v>
      </c>
    </row>
    <row r="6215" spans="1:4" ht="16.149999999999999" customHeight="1" x14ac:dyDescent="0.25">
      <c r="A6215" s="431">
        <v>39775</v>
      </c>
      <c r="B6215" s="432">
        <v>2355.71</v>
      </c>
      <c r="C6215" s="427">
        <f t="shared" si="192"/>
        <v>2008</v>
      </c>
      <c r="D6215" s="433">
        <f t="shared" si="193"/>
        <v>2355.71</v>
      </c>
    </row>
    <row r="6216" spans="1:4" ht="16.149999999999999" customHeight="1" x14ac:dyDescent="0.25">
      <c r="A6216" s="431">
        <v>39776</v>
      </c>
      <c r="B6216" s="434">
        <v>2355.71</v>
      </c>
      <c r="C6216" s="427">
        <f t="shared" si="192"/>
        <v>2008</v>
      </c>
      <c r="D6216" s="433">
        <f t="shared" si="193"/>
        <v>2355.71</v>
      </c>
    </row>
    <row r="6217" spans="1:4" ht="16.149999999999999" customHeight="1" x14ac:dyDescent="0.25">
      <c r="A6217" s="431">
        <v>39777</v>
      </c>
      <c r="B6217" s="432">
        <v>2314.7199999999998</v>
      </c>
      <c r="C6217" s="427">
        <f t="shared" si="192"/>
        <v>2008</v>
      </c>
      <c r="D6217" s="433">
        <f t="shared" si="193"/>
        <v>2314.7199999999998</v>
      </c>
    </row>
    <row r="6218" spans="1:4" ht="16.149999999999999" customHeight="1" x14ac:dyDescent="0.25">
      <c r="A6218" s="431">
        <v>39778</v>
      </c>
      <c r="B6218" s="434">
        <v>2307.37</v>
      </c>
      <c r="C6218" s="427">
        <f t="shared" ref="C6218:C6281" si="194">YEAR(A6218)</f>
        <v>2008</v>
      </c>
      <c r="D6218" s="433">
        <f t="shared" ref="D6218:D6281" si="195">B6218</f>
        <v>2307.37</v>
      </c>
    </row>
    <row r="6219" spans="1:4" ht="16.149999999999999" customHeight="1" x14ac:dyDescent="0.25">
      <c r="A6219" s="431">
        <v>39779</v>
      </c>
      <c r="B6219" s="432">
        <v>2324.1</v>
      </c>
      <c r="C6219" s="427">
        <f t="shared" si="194"/>
        <v>2008</v>
      </c>
      <c r="D6219" s="433">
        <f t="shared" si="195"/>
        <v>2324.1</v>
      </c>
    </row>
    <row r="6220" spans="1:4" ht="16.149999999999999" customHeight="1" x14ac:dyDescent="0.25">
      <c r="A6220" s="431">
        <v>39780</v>
      </c>
      <c r="B6220" s="434">
        <v>2324.1</v>
      </c>
      <c r="C6220" s="427">
        <f t="shared" si="194"/>
        <v>2008</v>
      </c>
      <c r="D6220" s="433">
        <f t="shared" si="195"/>
        <v>2324.1</v>
      </c>
    </row>
    <row r="6221" spans="1:4" ht="16.149999999999999" customHeight="1" x14ac:dyDescent="0.25">
      <c r="A6221" s="431">
        <v>39781</v>
      </c>
      <c r="B6221" s="432">
        <v>2318</v>
      </c>
      <c r="C6221" s="427">
        <f t="shared" si="194"/>
        <v>2008</v>
      </c>
      <c r="D6221" s="433">
        <f t="shared" si="195"/>
        <v>2318</v>
      </c>
    </row>
    <row r="6222" spans="1:4" ht="16.149999999999999" customHeight="1" x14ac:dyDescent="0.25">
      <c r="A6222" s="431">
        <v>39782</v>
      </c>
      <c r="B6222" s="434">
        <v>2318</v>
      </c>
      <c r="C6222" s="427">
        <f t="shared" si="194"/>
        <v>2008</v>
      </c>
      <c r="D6222" s="433">
        <f t="shared" si="195"/>
        <v>2318</v>
      </c>
    </row>
    <row r="6223" spans="1:4" ht="16.149999999999999" customHeight="1" x14ac:dyDescent="0.25">
      <c r="A6223" s="431">
        <v>39783</v>
      </c>
      <c r="B6223" s="432">
        <v>2318</v>
      </c>
      <c r="C6223" s="427">
        <f t="shared" si="194"/>
        <v>2008</v>
      </c>
      <c r="D6223" s="433">
        <f t="shared" si="195"/>
        <v>2318</v>
      </c>
    </row>
    <row r="6224" spans="1:4" ht="16.149999999999999" customHeight="1" x14ac:dyDescent="0.25">
      <c r="A6224" s="431">
        <v>39784</v>
      </c>
      <c r="B6224" s="434">
        <v>2320.12</v>
      </c>
      <c r="C6224" s="427">
        <f t="shared" si="194"/>
        <v>2008</v>
      </c>
      <c r="D6224" s="433">
        <f t="shared" si="195"/>
        <v>2320.12</v>
      </c>
    </row>
    <row r="6225" spans="1:4" ht="16.149999999999999" customHeight="1" x14ac:dyDescent="0.25">
      <c r="A6225" s="431">
        <v>39785</v>
      </c>
      <c r="B6225" s="432">
        <v>2315.35</v>
      </c>
      <c r="C6225" s="427">
        <f t="shared" si="194"/>
        <v>2008</v>
      </c>
      <c r="D6225" s="433">
        <f t="shared" si="195"/>
        <v>2315.35</v>
      </c>
    </row>
    <row r="6226" spans="1:4" ht="16.149999999999999" customHeight="1" x14ac:dyDescent="0.25">
      <c r="A6226" s="431">
        <v>39786</v>
      </c>
      <c r="B6226" s="434">
        <v>2317.48</v>
      </c>
      <c r="C6226" s="427">
        <f t="shared" si="194"/>
        <v>2008</v>
      </c>
      <c r="D6226" s="433">
        <f t="shared" si="195"/>
        <v>2317.48</v>
      </c>
    </row>
    <row r="6227" spans="1:4" ht="16.149999999999999" customHeight="1" x14ac:dyDescent="0.25">
      <c r="A6227" s="431">
        <v>39787</v>
      </c>
      <c r="B6227" s="432">
        <v>2323.2800000000002</v>
      </c>
      <c r="C6227" s="427">
        <f t="shared" si="194"/>
        <v>2008</v>
      </c>
      <c r="D6227" s="433">
        <f t="shared" si="195"/>
        <v>2323.2800000000002</v>
      </c>
    </row>
    <row r="6228" spans="1:4" ht="16.149999999999999" customHeight="1" x14ac:dyDescent="0.25">
      <c r="A6228" s="431">
        <v>39788</v>
      </c>
      <c r="B6228" s="434">
        <v>2333.54</v>
      </c>
      <c r="C6228" s="427">
        <f t="shared" si="194"/>
        <v>2008</v>
      </c>
      <c r="D6228" s="433">
        <f t="shared" si="195"/>
        <v>2333.54</v>
      </c>
    </row>
    <row r="6229" spans="1:4" ht="16.149999999999999" customHeight="1" x14ac:dyDescent="0.25">
      <c r="A6229" s="431">
        <v>39789</v>
      </c>
      <c r="B6229" s="432">
        <v>2333.54</v>
      </c>
      <c r="C6229" s="427">
        <f t="shared" si="194"/>
        <v>2008</v>
      </c>
      <c r="D6229" s="433">
        <f t="shared" si="195"/>
        <v>2333.54</v>
      </c>
    </row>
    <row r="6230" spans="1:4" ht="16.149999999999999" customHeight="1" x14ac:dyDescent="0.25">
      <c r="A6230" s="431">
        <v>39790</v>
      </c>
      <c r="B6230" s="434">
        <v>2333.54</v>
      </c>
      <c r="C6230" s="427">
        <f t="shared" si="194"/>
        <v>2008</v>
      </c>
      <c r="D6230" s="433">
        <f t="shared" si="195"/>
        <v>2333.54</v>
      </c>
    </row>
    <row r="6231" spans="1:4" ht="16.149999999999999" customHeight="1" x14ac:dyDescent="0.25">
      <c r="A6231" s="431">
        <v>39791</v>
      </c>
      <c r="B6231" s="432">
        <v>2333.54</v>
      </c>
      <c r="C6231" s="427">
        <f t="shared" si="194"/>
        <v>2008</v>
      </c>
      <c r="D6231" s="433">
        <f t="shared" si="195"/>
        <v>2333.54</v>
      </c>
    </row>
    <row r="6232" spans="1:4" ht="16.149999999999999" customHeight="1" x14ac:dyDescent="0.25">
      <c r="A6232" s="431">
        <v>39792</v>
      </c>
      <c r="B6232" s="434">
        <v>2311.6999999999998</v>
      </c>
      <c r="C6232" s="427">
        <f t="shared" si="194"/>
        <v>2008</v>
      </c>
      <c r="D6232" s="433">
        <f t="shared" si="195"/>
        <v>2311.6999999999998</v>
      </c>
    </row>
    <row r="6233" spans="1:4" ht="16.149999999999999" customHeight="1" x14ac:dyDescent="0.25">
      <c r="A6233" s="431">
        <v>39793</v>
      </c>
      <c r="B6233" s="432">
        <v>2302.9299999999998</v>
      </c>
      <c r="C6233" s="427">
        <f t="shared" si="194"/>
        <v>2008</v>
      </c>
      <c r="D6233" s="433">
        <f t="shared" si="195"/>
        <v>2302.9299999999998</v>
      </c>
    </row>
    <row r="6234" spans="1:4" ht="16.149999999999999" customHeight="1" x14ac:dyDescent="0.25">
      <c r="A6234" s="431">
        <v>39794</v>
      </c>
      <c r="B6234" s="434">
        <v>2278.29</v>
      </c>
      <c r="C6234" s="427">
        <f t="shared" si="194"/>
        <v>2008</v>
      </c>
      <c r="D6234" s="433">
        <f t="shared" si="195"/>
        <v>2278.29</v>
      </c>
    </row>
    <row r="6235" spans="1:4" ht="16.149999999999999" customHeight="1" x14ac:dyDescent="0.25">
      <c r="A6235" s="431">
        <v>39795</v>
      </c>
      <c r="B6235" s="432">
        <v>2273.2399999999998</v>
      </c>
      <c r="C6235" s="427">
        <f t="shared" si="194"/>
        <v>2008</v>
      </c>
      <c r="D6235" s="433">
        <f t="shared" si="195"/>
        <v>2273.2399999999998</v>
      </c>
    </row>
    <row r="6236" spans="1:4" ht="16.149999999999999" customHeight="1" x14ac:dyDescent="0.25">
      <c r="A6236" s="431">
        <v>39796</v>
      </c>
      <c r="B6236" s="434">
        <v>2273.2399999999998</v>
      </c>
      <c r="C6236" s="427">
        <f t="shared" si="194"/>
        <v>2008</v>
      </c>
      <c r="D6236" s="433">
        <f t="shared" si="195"/>
        <v>2273.2399999999998</v>
      </c>
    </row>
    <row r="6237" spans="1:4" ht="16.149999999999999" customHeight="1" x14ac:dyDescent="0.25">
      <c r="A6237" s="431">
        <v>39797</v>
      </c>
      <c r="B6237" s="432">
        <v>2273.2399999999998</v>
      </c>
      <c r="C6237" s="427">
        <f t="shared" si="194"/>
        <v>2008</v>
      </c>
      <c r="D6237" s="433">
        <f t="shared" si="195"/>
        <v>2273.2399999999998</v>
      </c>
    </row>
    <row r="6238" spans="1:4" ht="16.149999999999999" customHeight="1" x14ac:dyDescent="0.25">
      <c r="A6238" s="431">
        <v>39798</v>
      </c>
      <c r="B6238" s="434">
        <v>2254.5</v>
      </c>
      <c r="C6238" s="427">
        <f t="shared" si="194"/>
        <v>2008</v>
      </c>
      <c r="D6238" s="433">
        <f t="shared" si="195"/>
        <v>2254.5</v>
      </c>
    </row>
    <row r="6239" spans="1:4" ht="16.149999999999999" customHeight="1" x14ac:dyDescent="0.25">
      <c r="A6239" s="431">
        <v>39799</v>
      </c>
      <c r="B6239" s="432">
        <v>2223.3000000000002</v>
      </c>
      <c r="C6239" s="427">
        <f t="shared" si="194"/>
        <v>2008</v>
      </c>
      <c r="D6239" s="433">
        <f t="shared" si="195"/>
        <v>2223.3000000000002</v>
      </c>
    </row>
    <row r="6240" spans="1:4" ht="16.149999999999999" customHeight="1" x14ac:dyDescent="0.25">
      <c r="A6240" s="431">
        <v>39800</v>
      </c>
      <c r="B6240" s="434">
        <v>2173.86</v>
      </c>
      <c r="C6240" s="427">
        <f t="shared" si="194"/>
        <v>2008</v>
      </c>
      <c r="D6240" s="433">
        <f t="shared" si="195"/>
        <v>2173.86</v>
      </c>
    </row>
    <row r="6241" spans="1:4" ht="16.149999999999999" customHeight="1" x14ac:dyDescent="0.25">
      <c r="A6241" s="431">
        <v>39801</v>
      </c>
      <c r="B6241" s="432">
        <v>2163.14</v>
      </c>
      <c r="C6241" s="427">
        <f t="shared" si="194"/>
        <v>2008</v>
      </c>
      <c r="D6241" s="433">
        <f t="shared" si="195"/>
        <v>2163.14</v>
      </c>
    </row>
    <row r="6242" spans="1:4" ht="16.149999999999999" customHeight="1" x14ac:dyDescent="0.25">
      <c r="A6242" s="431">
        <v>39802</v>
      </c>
      <c r="B6242" s="434">
        <v>2167.35</v>
      </c>
      <c r="C6242" s="427">
        <f t="shared" si="194"/>
        <v>2008</v>
      </c>
      <c r="D6242" s="433">
        <f t="shared" si="195"/>
        <v>2167.35</v>
      </c>
    </row>
    <row r="6243" spans="1:4" ht="16.149999999999999" customHeight="1" x14ac:dyDescent="0.25">
      <c r="A6243" s="431">
        <v>39803</v>
      </c>
      <c r="B6243" s="432">
        <v>2167.35</v>
      </c>
      <c r="C6243" s="427">
        <f t="shared" si="194"/>
        <v>2008</v>
      </c>
      <c r="D6243" s="433">
        <f t="shared" si="195"/>
        <v>2167.35</v>
      </c>
    </row>
    <row r="6244" spans="1:4" ht="16.149999999999999" customHeight="1" x14ac:dyDescent="0.25">
      <c r="A6244" s="431">
        <v>39804</v>
      </c>
      <c r="B6244" s="434">
        <v>2167.35</v>
      </c>
      <c r="C6244" s="427">
        <f t="shared" si="194"/>
        <v>2008</v>
      </c>
      <c r="D6244" s="433">
        <f t="shared" si="195"/>
        <v>2167.35</v>
      </c>
    </row>
    <row r="6245" spans="1:4" ht="16.149999999999999" customHeight="1" x14ac:dyDescent="0.25">
      <c r="A6245" s="431">
        <v>39805</v>
      </c>
      <c r="B6245" s="432">
        <v>2169.83</v>
      </c>
      <c r="C6245" s="427">
        <f t="shared" si="194"/>
        <v>2008</v>
      </c>
      <c r="D6245" s="433">
        <f t="shared" si="195"/>
        <v>2169.83</v>
      </c>
    </row>
    <row r="6246" spans="1:4" ht="16.149999999999999" customHeight="1" x14ac:dyDescent="0.25">
      <c r="A6246" s="431">
        <v>39806</v>
      </c>
      <c r="B6246" s="434">
        <v>2180.4899999999998</v>
      </c>
      <c r="C6246" s="427">
        <f t="shared" si="194"/>
        <v>2008</v>
      </c>
      <c r="D6246" s="433">
        <f t="shared" si="195"/>
        <v>2180.4899999999998</v>
      </c>
    </row>
    <row r="6247" spans="1:4" ht="16.149999999999999" customHeight="1" x14ac:dyDescent="0.25">
      <c r="A6247" s="431">
        <v>39807</v>
      </c>
      <c r="B6247" s="432">
        <v>2198.09</v>
      </c>
      <c r="C6247" s="427">
        <f t="shared" si="194"/>
        <v>2008</v>
      </c>
      <c r="D6247" s="433">
        <f t="shared" si="195"/>
        <v>2198.09</v>
      </c>
    </row>
    <row r="6248" spans="1:4" ht="16.149999999999999" customHeight="1" x14ac:dyDescent="0.25">
      <c r="A6248" s="431">
        <v>39808</v>
      </c>
      <c r="B6248" s="434">
        <v>2198.09</v>
      </c>
      <c r="C6248" s="427">
        <f t="shared" si="194"/>
        <v>2008</v>
      </c>
      <c r="D6248" s="433">
        <f t="shared" si="195"/>
        <v>2198.09</v>
      </c>
    </row>
    <row r="6249" spans="1:4" ht="16.149999999999999" customHeight="1" x14ac:dyDescent="0.25">
      <c r="A6249" s="431">
        <v>39809</v>
      </c>
      <c r="B6249" s="432">
        <v>2204.9499999999998</v>
      </c>
      <c r="C6249" s="427">
        <f t="shared" si="194"/>
        <v>2008</v>
      </c>
      <c r="D6249" s="433">
        <f t="shared" si="195"/>
        <v>2204.9499999999998</v>
      </c>
    </row>
    <row r="6250" spans="1:4" ht="16.149999999999999" customHeight="1" x14ac:dyDescent="0.25">
      <c r="A6250" s="431">
        <v>39810</v>
      </c>
      <c r="B6250" s="434">
        <v>2204.9499999999998</v>
      </c>
      <c r="C6250" s="427">
        <f t="shared" si="194"/>
        <v>2008</v>
      </c>
      <c r="D6250" s="433">
        <f t="shared" si="195"/>
        <v>2204.9499999999998</v>
      </c>
    </row>
    <row r="6251" spans="1:4" ht="16.149999999999999" customHeight="1" x14ac:dyDescent="0.25">
      <c r="A6251" s="431">
        <v>39811</v>
      </c>
      <c r="B6251" s="432">
        <v>2204.9499999999998</v>
      </c>
      <c r="C6251" s="427">
        <f t="shared" si="194"/>
        <v>2008</v>
      </c>
      <c r="D6251" s="433">
        <f t="shared" si="195"/>
        <v>2204.9499999999998</v>
      </c>
    </row>
    <row r="6252" spans="1:4" ht="16.149999999999999" customHeight="1" x14ac:dyDescent="0.25">
      <c r="A6252" s="431">
        <v>39812</v>
      </c>
      <c r="B6252" s="434">
        <v>2234</v>
      </c>
      <c r="C6252" s="427">
        <f t="shared" si="194"/>
        <v>2008</v>
      </c>
      <c r="D6252" s="433">
        <f t="shared" si="195"/>
        <v>2234</v>
      </c>
    </row>
    <row r="6253" spans="1:4" ht="16.149999999999999" customHeight="1" x14ac:dyDescent="0.25">
      <c r="A6253" s="431">
        <v>39813</v>
      </c>
      <c r="B6253" s="432">
        <v>2243.59</v>
      </c>
      <c r="C6253" s="427">
        <f t="shared" si="194"/>
        <v>2008</v>
      </c>
      <c r="D6253" s="433">
        <f t="shared" si="195"/>
        <v>2243.59</v>
      </c>
    </row>
    <row r="6254" spans="1:4" ht="16.149999999999999" customHeight="1" x14ac:dyDescent="0.25">
      <c r="A6254" s="431">
        <v>39814</v>
      </c>
      <c r="B6254" s="434">
        <v>2243.59</v>
      </c>
      <c r="C6254" s="427">
        <f t="shared" si="194"/>
        <v>2009</v>
      </c>
      <c r="D6254" s="433">
        <f t="shared" si="195"/>
        <v>2243.59</v>
      </c>
    </row>
    <row r="6255" spans="1:4" ht="16.149999999999999" customHeight="1" x14ac:dyDescent="0.25">
      <c r="A6255" s="431">
        <v>39815</v>
      </c>
      <c r="B6255" s="432">
        <v>2243.59</v>
      </c>
      <c r="C6255" s="427">
        <f t="shared" si="194"/>
        <v>2009</v>
      </c>
      <c r="D6255" s="433">
        <f t="shared" si="195"/>
        <v>2243.59</v>
      </c>
    </row>
    <row r="6256" spans="1:4" ht="16.149999999999999" customHeight="1" x14ac:dyDescent="0.25">
      <c r="A6256" s="431">
        <v>39816</v>
      </c>
      <c r="B6256" s="434">
        <v>2234.81</v>
      </c>
      <c r="C6256" s="427">
        <f t="shared" si="194"/>
        <v>2009</v>
      </c>
      <c r="D6256" s="433">
        <f t="shared" si="195"/>
        <v>2234.81</v>
      </c>
    </row>
    <row r="6257" spans="1:4" ht="16.149999999999999" customHeight="1" x14ac:dyDescent="0.25">
      <c r="A6257" s="431">
        <v>39817</v>
      </c>
      <c r="B6257" s="432">
        <v>2234.81</v>
      </c>
      <c r="C6257" s="427">
        <f t="shared" si="194"/>
        <v>2009</v>
      </c>
      <c r="D6257" s="433">
        <f t="shared" si="195"/>
        <v>2234.81</v>
      </c>
    </row>
    <row r="6258" spans="1:4" ht="16.149999999999999" customHeight="1" x14ac:dyDescent="0.25">
      <c r="A6258" s="431">
        <v>39818</v>
      </c>
      <c r="B6258" s="434">
        <v>2234.81</v>
      </c>
      <c r="C6258" s="427">
        <f t="shared" si="194"/>
        <v>2009</v>
      </c>
      <c r="D6258" s="433">
        <f t="shared" si="195"/>
        <v>2234.81</v>
      </c>
    </row>
    <row r="6259" spans="1:4" ht="16.149999999999999" customHeight="1" x14ac:dyDescent="0.25">
      <c r="A6259" s="431">
        <v>39819</v>
      </c>
      <c r="B6259" s="432">
        <v>2227.2399999999998</v>
      </c>
      <c r="C6259" s="427">
        <f t="shared" si="194"/>
        <v>2009</v>
      </c>
      <c r="D6259" s="433">
        <f t="shared" si="195"/>
        <v>2227.2399999999998</v>
      </c>
    </row>
    <row r="6260" spans="1:4" ht="16.149999999999999" customHeight="1" x14ac:dyDescent="0.25">
      <c r="A6260" s="431">
        <v>39820</v>
      </c>
      <c r="B6260" s="434">
        <v>2197.7199999999998</v>
      </c>
      <c r="C6260" s="427">
        <f t="shared" si="194"/>
        <v>2009</v>
      </c>
      <c r="D6260" s="433">
        <f t="shared" si="195"/>
        <v>2197.7199999999998</v>
      </c>
    </row>
    <row r="6261" spans="1:4" ht="16.149999999999999" customHeight="1" x14ac:dyDescent="0.25">
      <c r="A6261" s="431">
        <v>39821</v>
      </c>
      <c r="B6261" s="432">
        <v>2214.13</v>
      </c>
      <c r="C6261" s="427">
        <f t="shared" si="194"/>
        <v>2009</v>
      </c>
      <c r="D6261" s="433">
        <f t="shared" si="195"/>
        <v>2214.13</v>
      </c>
    </row>
    <row r="6262" spans="1:4" ht="16.149999999999999" customHeight="1" x14ac:dyDescent="0.25">
      <c r="A6262" s="431">
        <v>39822</v>
      </c>
      <c r="B6262" s="434">
        <v>2220.8200000000002</v>
      </c>
      <c r="C6262" s="427">
        <f t="shared" si="194"/>
        <v>2009</v>
      </c>
      <c r="D6262" s="433">
        <f t="shared" si="195"/>
        <v>2220.8200000000002</v>
      </c>
    </row>
    <row r="6263" spans="1:4" ht="16.149999999999999" customHeight="1" x14ac:dyDescent="0.25">
      <c r="A6263" s="431">
        <v>39823</v>
      </c>
      <c r="B6263" s="432">
        <v>2216.23</v>
      </c>
      <c r="C6263" s="427">
        <f t="shared" si="194"/>
        <v>2009</v>
      </c>
      <c r="D6263" s="433">
        <f t="shared" si="195"/>
        <v>2216.23</v>
      </c>
    </row>
    <row r="6264" spans="1:4" ht="16.149999999999999" customHeight="1" x14ac:dyDescent="0.25">
      <c r="A6264" s="431">
        <v>39824</v>
      </c>
      <c r="B6264" s="434">
        <v>2216.23</v>
      </c>
      <c r="C6264" s="427">
        <f t="shared" si="194"/>
        <v>2009</v>
      </c>
      <c r="D6264" s="433">
        <f t="shared" si="195"/>
        <v>2216.23</v>
      </c>
    </row>
    <row r="6265" spans="1:4" ht="16.149999999999999" customHeight="1" x14ac:dyDescent="0.25">
      <c r="A6265" s="431">
        <v>39825</v>
      </c>
      <c r="B6265" s="432">
        <v>2216.23</v>
      </c>
      <c r="C6265" s="427">
        <f t="shared" si="194"/>
        <v>2009</v>
      </c>
      <c r="D6265" s="433">
        <f t="shared" si="195"/>
        <v>2216.23</v>
      </c>
    </row>
    <row r="6266" spans="1:4" ht="16.149999999999999" customHeight="1" x14ac:dyDescent="0.25">
      <c r="A6266" s="431">
        <v>39826</v>
      </c>
      <c r="B6266" s="434">
        <v>2216.23</v>
      </c>
      <c r="C6266" s="427">
        <f t="shared" si="194"/>
        <v>2009</v>
      </c>
      <c r="D6266" s="433">
        <f t="shared" si="195"/>
        <v>2216.23</v>
      </c>
    </row>
    <row r="6267" spans="1:4" ht="16.149999999999999" customHeight="1" x14ac:dyDescent="0.25">
      <c r="A6267" s="431">
        <v>39827</v>
      </c>
      <c r="B6267" s="432">
        <v>2226.87</v>
      </c>
      <c r="C6267" s="427">
        <f t="shared" si="194"/>
        <v>2009</v>
      </c>
      <c r="D6267" s="433">
        <f t="shared" si="195"/>
        <v>2226.87</v>
      </c>
    </row>
    <row r="6268" spans="1:4" ht="16.149999999999999" customHeight="1" x14ac:dyDescent="0.25">
      <c r="A6268" s="431">
        <v>39828</v>
      </c>
      <c r="B6268" s="434">
        <v>2234.4</v>
      </c>
      <c r="C6268" s="427">
        <f t="shared" si="194"/>
        <v>2009</v>
      </c>
      <c r="D6268" s="433">
        <f t="shared" si="195"/>
        <v>2234.4</v>
      </c>
    </row>
    <row r="6269" spans="1:4" ht="16.149999999999999" customHeight="1" x14ac:dyDescent="0.25">
      <c r="A6269" s="431">
        <v>39829</v>
      </c>
      <c r="B6269" s="432">
        <v>2249.64</v>
      </c>
      <c r="C6269" s="427">
        <f t="shared" si="194"/>
        <v>2009</v>
      </c>
      <c r="D6269" s="433">
        <f t="shared" si="195"/>
        <v>2249.64</v>
      </c>
    </row>
    <row r="6270" spans="1:4" ht="16.149999999999999" customHeight="1" x14ac:dyDescent="0.25">
      <c r="A6270" s="431">
        <v>39830</v>
      </c>
      <c r="B6270" s="434">
        <v>2227.6799999999998</v>
      </c>
      <c r="C6270" s="427">
        <f t="shared" si="194"/>
        <v>2009</v>
      </c>
      <c r="D6270" s="433">
        <f t="shared" si="195"/>
        <v>2227.6799999999998</v>
      </c>
    </row>
    <row r="6271" spans="1:4" ht="16.149999999999999" customHeight="1" x14ac:dyDescent="0.25">
      <c r="A6271" s="431">
        <v>39831</v>
      </c>
      <c r="B6271" s="432">
        <v>2227.6799999999998</v>
      </c>
      <c r="C6271" s="427">
        <f t="shared" si="194"/>
        <v>2009</v>
      </c>
      <c r="D6271" s="433">
        <f t="shared" si="195"/>
        <v>2227.6799999999998</v>
      </c>
    </row>
    <row r="6272" spans="1:4" ht="16.149999999999999" customHeight="1" x14ac:dyDescent="0.25">
      <c r="A6272" s="431">
        <v>39832</v>
      </c>
      <c r="B6272" s="434">
        <v>2227.6799999999998</v>
      </c>
      <c r="C6272" s="427">
        <f t="shared" si="194"/>
        <v>2009</v>
      </c>
      <c r="D6272" s="433">
        <f t="shared" si="195"/>
        <v>2227.6799999999998</v>
      </c>
    </row>
    <row r="6273" spans="1:4" ht="16.149999999999999" customHeight="1" x14ac:dyDescent="0.25">
      <c r="A6273" s="431">
        <v>39833</v>
      </c>
      <c r="B6273" s="432">
        <v>2227.6799999999998</v>
      </c>
      <c r="C6273" s="427">
        <f t="shared" si="194"/>
        <v>2009</v>
      </c>
      <c r="D6273" s="433">
        <f t="shared" si="195"/>
        <v>2227.6799999999998</v>
      </c>
    </row>
    <row r="6274" spans="1:4" ht="16.149999999999999" customHeight="1" x14ac:dyDescent="0.25">
      <c r="A6274" s="431">
        <v>39834</v>
      </c>
      <c r="B6274" s="434">
        <v>2245.2800000000002</v>
      </c>
      <c r="C6274" s="427">
        <f t="shared" si="194"/>
        <v>2009</v>
      </c>
      <c r="D6274" s="433">
        <f t="shared" si="195"/>
        <v>2245.2800000000002</v>
      </c>
    </row>
    <row r="6275" spans="1:4" ht="16.149999999999999" customHeight="1" x14ac:dyDescent="0.25">
      <c r="A6275" s="431">
        <v>39835</v>
      </c>
      <c r="B6275" s="432">
        <v>2245.9699999999998</v>
      </c>
      <c r="C6275" s="427">
        <f t="shared" si="194"/>
        <v>2009</v>
      </c>
      <c r="D6275" s="433">
        <f t="shared" si="195"/>
        <v>2245.9699999999998</v>
      </c>
    </row>
    <row r="6276" spans="1:4" ht="16.149999999999999" customHeight="1" x14ac:dyDescent="0.25">
      <c r="A6276" s="431">
        <v>39836</v>
      </c>
      <c r="B6276" s="434">
        <v>2247.87</v>
      </c>
      <c r="C6276" s="427">
        <f t="shared" si="194"/>
        <v>2009</v>
      </c>
      <c r="D6276" s="433">
        <f t="shared" si="195"/>
        <v>2247.87</v>
      </c>
    </row>
    <row r="6277" spans="1:4" ht="16.149999999999999" customHeight="1" x14ac:dyDescent="0.25">
      <c r="A6277" s="431">
        <v>39837</v>
      </c>
      <c r="B6277" s="432">
        <v>2280.77</v>
      </c>
      <c r="C6277" s="427">
        <f t="shared" si="194"/>
        <v>2009</v>
      </c>
      <c r="D6277" s="433">
        <f t="shared" si="195"/>
        <v>2280.77</v>
      </c>
    </row>
    <row r="6278" spans="1:4" ht="16.149999999999999" customHeight="1" x14ac:dyDescent="0.25">
      <c r="A6278" s="431">
        <v>39838</v>
      </c>
      <c r="B6278" s="434">
        <v>2280.77</v>
      </c>
      <c r="C6278" s="427">
        <f t="shared" si="194"/>
        <v>2009</v>
      </c>
      <c r="D6278" s="433">
        <f t="shared" si="195"/>
        <v>2280.77</v>
      </c>
    </row>
    <row r="6279" spans="1:4" ht="16.149999999999999" customHeight="1" x14ac:dyDescent="0.25">
      <c r="A6279" s="431">
        <v>39839</v>
      </c>
      <c r="B6279" s="432">
        <v>2280.77</v>
      </c>
      <c r="C6279" s="427">
        <f t="shared" si="194"/>
        <v>2009</v>
      </c>
      <c r="D6279" s="433">
        <f t="shared" si="195"/>
        <v>2280.77</v>
      </c>
    </row>
    <row r="6280" spans="1:4" ht="16.149999999999999" customHeight="1" x14ac:dyDescent="0.25">
      <c r="A6280" s="431">
        <v>39840</v>
      </c>
      <c r="B6280" s="434">
        <v>2280.4299999999998</v>
      </c>
      <c r="C6280" s="427">
        <f t="shared" si="194"/>
        <v>2009</v>
      </c>
      <c r="D6280" s="433">
        <f t="shared" si="195"/>
        <v>2280.4299999999998</v>
      </c>
    </row>
    <row r="6281" spans="1:4" ht="16.149999999999999" customHeight="1" x14ac:dyDescent="0.25">
      <c r="A6281" s="431">
        <v>39841</v>
      </c>
      <c r="B6281" s="432">
        <v>2310.83</v>
      </c>
      <c r="C6281" s="427">
        <f t="shared" si="194"/>
        <v>2009</v>
      </c>
      <c r="D6281" s="433">
        <f t="shared" si="195"/>
        <v>2310.83</v>
      </c>
    </row>
    <row r="6282" spans="1:4" ht="16.149999999999999" customHeight="1" x14ac:dyDescent="0.25">
      <c r="A6282" s="431">
        <v>39842</v>
      </c>
      <c r="B6282" s="434">
        <v>2341.09</v>
      </c>
      <c r="C6282" s="427">
        <f t="shared" ref="C6282:C6345" si="196">YEAR(A6282)</f>
        <v>2009</v>
      </c>
      <c r="D6282" s="433">
        <f t="shared" ref="D6282:D6345" si="197">B6282</f>
        <v>2341.09</v>
      </c>
    </row>
    <row r="6283" spans="1:4" ht="16.149999999999999" customHeight="1" x14ac:dyDescent="0.25">
      <c r="A6283" s="431">
        <v>39843</v>
      </c>
      <c r="B6283" s="432">
        <v>2386.58</v>
      </c>
      <c r="C6283" s="427">
        <f t="shared" si="196"/>
        <v>2009</v>
      </c>
      <c r="D6283" s="433">
        <f t="shared" si="197"/>
        <v>2386.58</v>
      </c>
    </row>
    <row r="6284" spans="1:4" ht="16.149999999999999" customHeight="1" x14ac:dyDescent="0.25">
      <c r="A6284" s="431">
        <v>39844</v>
      </c>
      <c r="B6284" s="434">
        <v>2420.2600000000002</v>
      </c>
      <c r="C6284" s="427">
        <f t="shared" si="196"/>
        <v>2009</v>
      </c>
      <c r="D6284" s="433">
        <f t="shared" si="197"/>
        <v>2420.2600000000002</v>
      </c>
    </row>
    <row r="6285" spans="1:4" ht="16.149999999999999" customHeight="1" x14ac:dyDescent="0.25">
      <c r="A6285" s="431">
        <v>39845</v>
      </c>
      <c r="B6285" s="432">
        <v>2420.2600000000002</v>
      </c>
      <c r="C6285" s="427">
        <f t="shared" si="196"/>
        <v>2009</v>
      </c>
      <c r="D6285" s="433">
        <f t="shared" si="197"/>
        <v>2420.2600000000002</v>
      </c>
    </row>
    <row r="6286" spans="1:4" ht="16.149999999999999" customHeight="1" x14ac:dyDescent="0.25">
      <c r="A6286" s="431">
        <v>39846</v>
      </c>
      <c r="B6286" s="434">
        <v>2420.2600000000002</v>
      </c>
      <c r="C6286" s="427">
        <f t="shared" si="196"/>
        <v>2009</v>
      </c>
      <c r="D6286" s="433">
        <f t="shared" si="197"/>
        <v>2420.2600000000002</v>
      </c>
    </row>
    <row r="6287" spans="1:4" ht="16.149999999999999" customHeight="1" x14ac:dyDescent="0.25">
      <c r="A6287" s="431">
        <v>39847</v>
      </c>
      <c r="B6287" s="432">
        <v>2450.7800000000002</v>
      </c>
      <c r="C6287" s="427">
        <f t="shared" si="196"/>
        <v>2009</v>
      </c>
      <c r="D6287" s="433">
        <f t="shared" si="197"/>
        <v>2450.7800000000002</v>
      </c>
    </row>
    <row r="6288" spans="1:4" ht="16.149999999999999" customHeight="1" x14ac:dyDescent="0.25">
      <c r="A6288" s="431">
        <v>39848</v>
      </c>
      <c r="B6288" s="434">
        <v>2443.67</v>
      </c>
      <c r="C6288" s="427">
        <f t="shared" si="196"/>
        <v>2009</v>
      </c>
      <c r="D6288" s="433">
        <f t="shared" si="197"/>
        <v>2443.67</v>
      </c>
    </row>
    <row r="6289" spans="1:4" ht="16.149999999999999" customHeight="1" x14ac:dyDescent="0.25">
      <c r="A6289" s="431">
        <v>39849</v>
      </c>
      <c r="B6289" s="432">
        <v>2469.02</v>
      </c>
      <c r="C6289" s="427">
        <f t="shared" si="196"/>
        <v>2009</v>
      </c>
      <c r="D6289" s="433">
        <f t="shared" si="197"/>
        <v>2469.02</v>
      </c>
    </row>
    <row r="6290" spans="1:4" ht="16.149999999999999" customHeight="1" x14ac:dyDescent="0.25">
      <c r="A6290" s="431">
        <v>39850</v>
      </c>
      <c r="B6290" s="434">
        <v>2472.65</v>
      </c>
      <c r="C6290" s="427">
        <f t="shared" si="196"/>
        <v>2009</v>
      </c>
      <c r="D6290" s="433">
        <f t="shared" si="197"/>
        <v>2472.65</v>
      </c>
    </row>
    <row r="6291" spans="1:4" ht="16.149999999999999" customHeight="1" x14ac:dyDescent="0.25">
      <c r="A6291" s="431">
        <v>39851</v>
      </c>
      <c r="B6291" s="432">
        <v>2449.4899999999998</v>
      </c>
      <c r="C6291" s="427">
        <f t="shared" si="196"/>
        <v>2009</v>
      </c>
      <c r="D6291" s="433">
        <f t="shared" si="197"/>
        <v>2449.4899999999998</v>
      </c>
    </row>
    <row r="6292" spans="1:4" ht="16.149999999999999" customHeight="1" x14ac:dyDescent="0.25">
      <c r="A6292" s="431">
        <v>39852</v>
      </c>
      <c r="B6292" s="434">
        <v>2449.4899999999998</v>
      </c>
      <c r="C6292" s="427">
        <f t="shared" si="196"/>
        <v>2009</v>
      </c>
      <c r="D6292" s="433">
        <f t="shared" si="197"/>
        <v>2449.4899999999998</v>
      </c>
    </row>
    <row r="6293" spans="1:4" ht="16.149999999999999" customHeight="1" x14ac:dyDescent="0.25">
      <c r="A6293" s="431">
        <v>39853</v>
      </c>
      <c r="B6293" s="432">
        <v>2449.4899999999998</v>
      </c>
      <c r="C6293" s="427">
        <f t="shared" si="196"/>
        <v>2009</v>
      </c>
      <c r="D6293" s="433">
        <f t="shared" si="197"/>
        <v>2449.4899999999998</v>
      </c>
    </row>
    <row r="6294" spans="1:4" ht="16.149999999999999" customHeight="1" x14ac:dyDescent="0.25">
      <c r="A6294" s="431">
        <v>39854</v>
      </c>
      <c r="B6294" s="434">
        <v>2450.6</v>
      </c>
      <c r="C6294" s="427">
        <f t="shared" si="196"/>
        <v>2009</v>
      </c>
      <c r="D6294" s="433">
        <f t="shared" si="197"/>
        <v>2450.6</v>
      </c>
    </row>
    <row r="6295" spans="1:4" ht="16.149999999999999" customHeight="1" x14ac:dyDescent="0.25">
      <c r="A6295" s="431">
        <v>39855</v>
      </c>
      <c r="B6295" s="432">
        <v>2494.0700000000002</v>
      </c>
      <c r="C6295" s="427">
        <f t="shared" si="196"/>
        <v>2009</v>
      </c>
      <c r="D6295" s="433">
        <f t="shared" si="197"/>
        <v>2494.0700000000002</v>
      </c>
    </row>
    <row r="6296" spans="1:4" ht="16.149999999999999" customHeight="1" x14ac:dyDescent="0.25">
      <c r="A6296" s="431">
        <v>39856</v>
      </c>
      <c r="B6296" s="434">
        <v>2537.8200000000002</v>
      </c>
      <c r="C6296" s="427">
        <f t="shared" si="196"/>
        <v>2009</v>
      </c>
      <c r="D6296" s="433">
        <f t="shared" si="197"/>
        <v>2537.8200000000002</v>
      </c>
    </row>
    <row r="6297" spans="1:4" ht="16.149999999999999" customHeight="1" x14ac:dyDescent="0.25">
      <c r="A6297" s="431">
        <v>39857</v>
      </c>
      <c r="B6297" s="432">
        <v>2520.06</v>
      </c>
      <c r="C6297" s="427">
        <f t="shared" si="196"/>
        <v>2009</v>
      </c>
      <c r="D6297" s="433">
        <f t="shared" si="197"/>
        <v>2520.06</v>
      </c>
    </row>
    <row r="6298" spans="1:4" ht="16.149999999999999" customHeight="1" x14ac:dyDescent="0.25">
      <c r="A6298" s="431">
        <v>39858</v>
      </c>
      <c r="B6298" s="434">
        <v>2509.5</v>
      </c>
      <c r="C6298" s="427">
        <f t="shared" si="196"/>
        <v>2009</v>
      </c>
      <c r="D6298" s="433">
        <f t="shared" si="197"/>
        <v>2509.5</v>
      </c>
    </row>
    <row r="6299" spans="1:4" ht="16.149999999999999" customHeight="1" x14ac:dyDescent="0.25">
      <c r="A6299" s="431">
        <v>39859</v>
      </c>
      <c r="B6299" s="432">
        <v>2509.5</v>
      </c>
      <c r="C6299" s="427">
        <f t="shared" si="196"/>
        <v>2009</v>
      </c>
      <c r="D6299" s="433">
        <f t="shared" si="197"/>
        <v>2509.5</v>
      </c>
    </row>
    <row r="6300" spans="1:4" ht="16.149999999999999" customHeight="1" x14ac:dyDescent="0.25">
      <c r="A6300" s="431">
        <v>39860</v>
      </c>
      <c r="B6300" s="434">
        <v>2509.5</v>
      </c>
      <c r="C6300" s="427">
        <f t="shared" si="196"/>
        <v>2009</v>
      </c>
      <c r="D6300" s="433">
        <f t="shared" si="197"/>
        <v>2509.5</v>
      </c>
    </row>
    <row r="6301" spans="1:4" ht="16.149999999999999" customHeight="1" x14ac:dyDescent="0.25">
      <c r="A6301" s="431">
        <v>39861</v>
      </c>
      <c r="B6301" s="432">
        <v>2509.5</v>
      </c>
      <c r="C6301" s="427">
        <f t="shared" si="196"/>
        <v>2009</v>
      </c>
      <c r="D6301" s="433">
        <f t="shared" si="197"/>
        <v>2509.5</v>
      </c>
    </row>
    <row r="6302" spans="1:4" ht="16.149999999999999" customHeight="1" x14ac:dyDescent="0.25">
      <c r="A6302" s="431">
        <v>39862</v>
      </c>
      <c r="B6302" s="434">
        <v>2554.4</v>
      </c>
      <c r="C6302" s="427">
        <f t="shared" si="196"/>
        <v>2009</v>
      </c>
      <c r="D6302" s="433">
        <f t="shared" si="197"/>
        <v>2554.4</v>
      </c>
    </row>
    <row r="6303" spans="1:4" ht="16.149999999999999" customHeight="1" x14ac:dyDescent="0.25">
      <c r="A6303" s="431">
        <v>39863</v>
      </c>
      <c r="B6303" s="432">
        <v>2558.14</v>
      </c>
      <c r="C6303" s="427">
        <f t="shared" si="196"/>
        <v>2009</v>
      </c>
      <c r="D6303" s="433">
        <f t="shared" si="197"/>
        <v>2558.14</v>
      </c>
    </row>
    <row r="6304" spans="1:4" ht="16.149999999999999" customHeight="1" x14ac:dyDescent="0.25">
      <c r="A6304" s="431">
        <v>39864</v>
      </c>
      <c r="B6304" s="434">
        <v>2547.4</v>
      </c>
      <c r="C6304" s="427">
        <f t="shared" si="196"/>
        <v>2009</v>
      </c>
      <c r="D6304" s="433">
        <f t="shared" si="197"/>
        <v>2547.4</v>
      </c>
    </row>
    <row r="6305" spans="1:4" ht="16.149999999999999" customHeight="1" x14ac:dyDescent="0.25">
      <c r="A6305" s="431">
        <v>39865</v>
      </c>
      <c r="B6305" s="432">
        <v>2588.31</v>
      </c>
      <c r="C6305" s="427">
        <f t="shared" si="196"/>
        <v>2009</v>
      </c>
      <c r="D6305" s="433">
        <f t="shared" si="197"/>
        <v>2588.31</v>
      </c>
    </row>
    <row r="6306" spans="1:4" ht="16.149999999999999" customHeight="1" x14ac:dyDescent="0.25">
      <c r="A6306" s="431">
        <v>39866</v>
      </c>
      <c r="B6306" s="434">
        <v>2588.31</v>
      </c>
      <c r="C6306" s="427">
        <f t="shared" si="196"/>
        <v>2009</v>
      </c>
      <c r="D6306" s="433">
        <f t="shared" si="197"/>
        <v>2588.31</v>
      </c>
    </row>
    <row r="6307" spans="1:4" ht="16.149999999999999" customHeight="1" x14ac:dyDescent="0.25">
      <c r="A6307" s="431">
        <v>39867</v>
      </c>
      <c r="B6307" s="432">
        <v>2588.31</v>
      </c>
      <c r="C6307" s="427">
        <f t="shared" si="196"/>
        <v>2009</v>
      </c>
      <c r="D6307" s="433">
        <f t="shared" si="197"/>
        <v>2588.31</v>
      </c>
    </row>
    <row r="6308" spans="1:4" ht="16.149999999999999" customHeight="1" x14ac:dyDescent="0.25">
      <c r="A6308" s="431">
        <v>39868</v>
      </c>
      <c r="B6308" s="434">
        <v>2572.3000000000002</v>
      </c>
      <c r="C6308" s="427">
        <f t="shared" si="196"/>
        <v>2009</v>
      </c>
      <c r="D6308" s="433">
        <f t="shared" si="197"/>
        <v>2572.3000000000002</v>
      </c>
    </row>
    <row r="6309" spans="1:4" ht="16.149999999999999" customHeight="1" x14ac:dyDescent="0.25">
      <c r="A6309" s="431">
        <v>39869</v>
      </c>
      <c r="B6309" s="432">
        <v>2596.37</v>
      </c>
      <c r="C6309" s="427">
        <f t="shared" si="196"/>
        <v>2009</v>
      </c>
      <c r="D6309" s="433">
        <f t="shared" si="197"/>
        <v>2596.37</v>
      </c>
    </row>
    <row r="6310" spans="1:4" ht="16.149999999999999" customHeight="1" x14ac:dyDescent="0.25">
      <c r="A6310" s="431">
        <v>39870</v>
      </c>
      <c r="B6310" s="434">
        <v>2575.5</v>
      </c>
      <c r="C6310" s="427">
        <f t="shared" si="196"/>
        <v>2009</v>
      </c>
      <c r="D6310" s="433">
        <f t="shared" si="197"/>
        <v>2575.5</v>
      </c>
    </row>
    <row r="6311" spans="1:4" ht="16.149999999999999" customHeight="1" x14ac:dyDescent="0.25">
      <c r="A6311" s="431">
        <v>39871</v>
      </c>
      <c r="B6311" s="432">
        <v>2555.0500000000002</v>
      </c>
      <c r="C6311" s="427">
        <f t="shared" si="196"/>
        <v>2009</v>
      </c>
      <c r="D6311" s="433">
        <f t="shared" si="197"/>
        <v>2555.0500000000002</v>
      </c>
    </row>
    <row r="6312" spans="1:4" ht="16.149999999999999" customHeight="1" x14ac:dyDescent="0.25">
      <c r="A6312" s="431">
        <v>39872</v>
      </c>
      <c r="B6312" s="434">
        <v>2555.89</v>
      </c>
      <c r="C6312" s="427">
        <f t="shared" si="196"/>
        <v>2009</v>
      </c>
      <c r="D6312" s="433">
        <f t="shared" si="197"/>
        <v>2555.89</v>
      </c>
    </row>
    <row r="6313" spans="1:4" ht="16.149999999999999" customHeight="1" x14ac:dyDescent="0.25">
      <c r="A6313" s="431">
        <v>39873</v>
      </c>
      <c r="B6313" s="432">
        <v>2555.89</v>
      </c>
      <c r="C6313" s="427">
        <f t="shared" si="196"/>
        <v>2009</v>
      </c>
      <c r="D6313" s="433">
        <f t="shared" si="197"/>
        <v>2555.89</v>
      </c>
    </row>
    <row r="6314" spans="1:4" ht="16.149999999999999" customHeight="1" x14ac:dyDescent="0.25">
      <c r="A6314" s="431">
        <v>39874</v>
      </c>
      <c r="B6314" s="434">
        <v>2555.89</v>
      </c>
      <c r="C6314" s="427">
        <f t="shared" si="196"/>
        <v>2009</v>
      </c>
      <c r="D6314" s="433">
        <f t="shared" si="197"/>
        <v>2555.89</v>
      </c>
    </row>
    <row r="6315" spans="1:4" ht="16.149999999999999" customHeight="1" x14ac:dyDescent="0.25">
      <c r="A6315" s="431">
        <v>39875</v>
      </c>
      <c r="B6315" s="432">
        <v>2590.9699999999998</v>
      </c>
      <c r="C6315" s="427">
        <f t="shared" si="196"/>
        <v>2009</v>
      </c>
      <c r="D6315" s="433">
        <f t="shared" si="197"/>
        <v>2590.9699999999998</v>
      </c>
    </row>
    <row r="6316" spans="1:4" ht="16.149999999999999" customHeight="1" x14ac:dyDescent="0.25">
      <c r="A6316" s="431">
        <v>39876</v>
      </c>
      <c r="B6316" s="434">
        <v>2588.96</v>
      </c>
      <c r="C6316" s="427">
        <f t="shared" si="196"/>
        <v>2009</v>
      </c>
      <c r="D6316" s="433">
        <f t="shared" si="197"/>
        <v>2588.96</v>
      </c>
    </row>
    <row r="6317" spans="1:4" ht="16.149999999999999" customHeight="1" x14ac:dyDescent="0.25">
      <c r="A6317" s="431">
        <v>39877</v>
      </c>
      <c r="B6317" s="432">
        <v>2589.48</v>
      </c>
      <c r="C6317" s="427">
        <f t="shared" si="196"/>
        <v>2009</v>
      </c>
      <c r="D6317" s="433">
        <f t="shared" si="197"/>
        <v>2589.48</v>
      </c>
    </row>
    <row r="6318" spans="1:4" ht="16.149999999999999" customHeight="1" x14ac:dyDescent="0.25">
      <c r="A6318" s="431">
        <v>39878</v>
      </c>
      <c r="B6318" s="434">
        <v>2572.92</v>
      </c>
      <c r="C6318" s="427">
        <f t="shared" si="196"/>
        <v>2009</v>
      </c>
      <c r="D6318" s="433">
        <f t="shared" si="197"/>
        <v>2572.92</v>
      </c>
    </row>
    <row r="6319" spans="1:4" ht="16.149999999999999" customHeight="1" x14ac:dyDescent="0.25">
      <c r="A6319" s="431">
        <v>39879</v>
      </c>
      <c r="B6319" s="432">
        <v>2548.5700000000002</v>
      </c>
      <c r="C6319" s="427">
        <f t="shared" si="196"/>
        <v>2009</v>
      </c>
      <c r="D6319" s="433">
        <f t="shared" si="197"/>
        <v>2548.5700000000002</v>
      </c>
    </row>
    <row r="6320" spans="1:4" ht="16.149999999999999" customHeight="1" x14ac:dyDescent="0.25">
      <c r="A6320" s="431">
        <v>39880</v>
      </c>
      <c r="B6320" s="434">
        <v>2548.5700000000002</v>
      </c>
      <c r="C6320" s="427">
        <f t="shared" si="196"/>
        <v>2009</v>
      </c>
      <c r="D6320" s="433">
        <f t="shared" si="197"/>
        <v>2548.5700000000002</v>
      </c>
    </row>
    <row r="6321" spans="1:4" ht="16.149999999999999" customHeight="1" x14ac:dyDescent="0.25">
      <c r="A6321" s="431">
        <v>39881</v>
      </c>
      <c r="B6321" s="432">
        <v>2548.5700000000002</v>
      </c>
      <c r="C6321" s="427">
        <f t="shared" si="196"/>
        <v>2009</v>
      </c>
      <c r="D6321" s="433">
        <f t="shared" si="197"/>
        <v>2548.5700000000002</v>
      </c>
    </row>
    <row r="6322" spans="1:4" ht="16.149999999999999" customHeight="1" x14ac:dyDescent="0.25">
      <c r="A6322" s="431">
        <v>39882</v>
      </c>
      <c r="B6322" s="434">
        <v>2559.36</v>
      </c>
      <c r="C6322" s="427">
        <f t="shared" si="196"/>
        <v>2009</v>
      </c>
      <c r="D6322" s="433">
        <f t="shared" si="197"/>
        <v>2559.36</v>
      </c>
    </row>
    <row r="6323" spans="1:4" ht="16.149999999999999" customHeight="1" x14ac:dyDescent="0.25">
      <c r="A6323" s="431">
        <v>39883</v>
      </c>
      <c r="B6323" s="432">
        <v>2525.06</v>
      </c>
      <c r="C6323" s="427">
        <f t="shared" si="196"/>
        <v>2009</v>
      </c>
      <c r="D6323" s="433">
        <f t="shared" si="197"/>
        <v>2525.06</v>
      </c>
    </row>
    <row r="6324" spans="1:4" ht="16.149999999999999" customHeight="1" x14ac:dyDescent="0.25">
      <c r="A6324" s="431">
        <v>39884</v>
      </c>
      <c r="B6324" s="434">
        <v>2506.73</v>
      </c>
      <c r="C6324" s="427">
        <f t="shared" si="196"/>
        <v>2009</v>
      </c>
      <c r="D6324" s="433">
        <f t="shared" si="197"/>
        <v>2506.73</v>
      </c>
    </row>
    <row r="6325" spans="1:4" ht="16.149999999999999" customHeight="1" x14ac:dyDescent="0.25">
      <c r="A6325" s="431">
        <v>39885</v>
      </c>
      <c r="B6325" s="432">
        <v>2481.2600000000002</v>
      </c>
      <c r="C6325" s="427">
        <f t="shared" si="196"/>
        <v>2009</v>
      </c>
      <c r="D6325" s="433">
        <f t="shared" si="197"/>
        <v>2481.2600000000002</v>
      </c>
    </row>
    <row r="6326" spans="1:4" ht="16.149999999999999" customHeight="1" x14ac:dyDescent="0.25">
      <c r="A6326" s="431">
        <v>39886</v>
      </c>
      <c r="B6326" s="434">
        <v>2445.3000000000002</v>
      </c>
      <c r="C6326" s="427">
        <f t="shared" si="196"/>
        <v>2009</v>
      </c>
      <c r="D6326" s="433">
        <f t="shared" si="197"/>
        <v>2445.3000000000002</v>
      </c>
    </row>
    <row r="6327" spans="1:4" ht="16.149999999999999" customHeight="1" x14ac:dyDescent="0.25">
      <c r="A6327" s="431">
        <v>39887</v>
      </c>
      <c r="B6327" s="432">
        <v>2445.3000000000002</v>
      </c>
      <c r="C6327" s="427">
        <f t="shared" si="196"/>
        <v>2009</v>
      </c>
      <c r="D6327" s="433">
        <f t="shared" si="197"/>
        <v>2445.3000000000002</v>
      </c>
    </row>
    <row r="6328" spans="1:4" ht="16.149999999999999" customHeight="1" x14ac:dyDescent="0.25">
      <c r="A6328" s="431">
        <v>39888</v>
      </c>
      <c r="B6328" s="434">
        <v>2445.3000000000002</v>
      </c>
      <c r="C6328" s="427">
        <f t="shared" si="196"/>
        <v>2009</v>
      </c>
      <c r="D6328" s="433">
        <f t="shared" si="197"/>
        <v>2445.3000000000002</v>
      </c>
    </row>
    <row r="6329" spans="1:4" ht="16.149999999999999" customHeight="1" x14ac:dyDescent="0.25">
      <c r="A6329" s="431">
        <v>39889</v>
      </c>
      <c r="B6329" s="432">
        <v>2390.96</v>
      </c>
      <c r="C6329" s="427">
        <f t="shared" si="196"/>
        <v>2009</v>
      </c>
      <c r="D6329" s="433">
        <f t="shared" si="197"/>
        <v>2390.96</v>
      </c>
    </row>
    <row r="6330" spans="1:4" ht="16.149999999999999" customHeight="1" x14ac:dyDescent="0.25">
      <c r="A6330" s="431">
        <v>39890</v>
      </c>
      <c r="B6330" s="434">
        <v>2390.98</v>
      </c>
      <c r="C6330" s="427">
        <f t="shared" si="196"/>
        <v>2009</v>
      </c>
      <c r="D6330" s="433">
        <f t="shared" si="197"/>
        <v>2390.98</v>
      </c>
    </row>
    <row r="6331" spans="1:4" ht="16.149999999999999" customHeight="1" x14ac:dyDescent="0.25">
      <c r="A6331" s="431">
        <v>39891</v>
      </c>
      <c r="B6331" s="432">
        <v>2383.15</v>
      </c>
      <c r="C6331" s="427">
        <f t="shared" si="196"/>
        <v>2009</v>
      </c>
      <c r="D6331" s="433">
        <f t="shared" si="197"/>
        <v>2383.15</v>
      </c>
    </row>
    <row r="6332" spans="1:4" ht="16.149999999999999" customHeight="1" x14ac:dyDescent="0.25">
      <c r="A6332" s="431">
        <v>39892</v>
      </c>
      <c r="B6332" s="434">
        <v>2335.29</v>
      </c>
      <c r="C6332" s="427">
        <f t="shared" si="196"/>
        <v>2009</v>
      </c>
      <c r="D6332" s="433">
        <f t="shared" si="197"/>
        <v>2335.29</v>
      </c>
    </row>
    <row r="6333" spans="1:4" ht="16.149999999999999" customHeight="1" x14ac:dyDescent="0.25">
      <c r="A6333" s="431">
        <v>39893</v>
      </c>
      <c r="B6333" s="432">
        <v>2340.83</v>
      </c>
      <c r="C6333" s="427">
        <f t="shared" si="196"/>
        <v>2009</v>
      </c>
      <c r="D6333" s="433">
        <f t="shared" si="197"/>
        <v>2340.83</v>
      </c>
    </row>
    <row r="6334" spans="1:4" ht="16.149999999999999" customHeight="1" x14ac:dyDescent="0.25">
      <c r="A6334" s="431">
        <v>39894</v>
      </c>
      <c r="B6334" s="434">
        <v>2340.83</v>
      </c>
      <c r="C6334" s="427">
        <f t="shared" si="196"/>
        <v>2009</v>
      </c>
      <c r="D6334" s="433">
        <f t="shared" si="197"/>
        <v>2340.83</v>
      </c>
    </row>
    <row r="6335" spans="1:4" ht="16.149999999999999" customHeight="1" x14ac:dyDescent="0.25">
      <c r="A6335" s="431">
        <v>39895</v>
      </c>
      <c r="B6335" s="432">
        <v>2340.83</v>
      </c>
      <c r="C6335" s="427">
        <f t="shared" si="196"/>
        <v>2009</v>
      </c>
      <c r="D6335" s="433">
        <f t="shared" si="197"/>
        <v>2340.83</v>
      </c>
    </row>
    <row r="6336" spans="1:4" ht="16.149999999999999" customHeight="1" x14ac:dyDescent="0.25">
      <c r="A6336" s="431">
        <v>39896</v>
      </c>
      <c r="B6336" s="434">
        <v>2340.83</v>
      </c>
      <c r="C6336" s="427">
        <f t="shared" si="196"/>
        <v>2009</v>
      </c>
      <c r="D6336" s="433">
        <f t="shared" si="197"/>
        <v>2340.83</v>
      </c>
    </row>
    <row r="6337" spans="1:4" ht="16.149999999999999" customHeight="1" x14ac:dyDescent="0.25">
      <c r="A6337" s="431">
        <v>39897</v>
      </c>
      <c r="B6337" s="432">
        <v>2353.21</v>
      </c>
      <c r="C6337" s="427">
        <f t="shared" si="196"/>
        <v>2009</v>
      </c>
      <c r="D6337" s="433">
        <f t="shared" si="197"/>
        <v>2353.21</v>
      </c>
    </row>
    <row r="6338" spans="1:4" ht="16.149999999999999" customHeight="1" x14ac:dyDescent="0.25">
      <c r="A6338" s="431">
        <v>39898</v>
      </c>
      <c r="B6338" s="434">
        <v>2379.94</v>
      </c>
      <c r="C6338" s="427">
        <f t="shared" si="196"/>
        <v>2009</v>
      </c>
      <c r="D6338" s="433">
        <f t="shared" si="197"/>
        <v>2379.94</v>
      </c>
    </row>
    <row r="6339" spans="1:4" ht="16.149999999999999" customHeight="1" x14ac:dyDescent="0.25">
      <c r="A6339" s="431">
        <v>39899</v>
      </c>
      <c r="B6339" s="432">
        <v>2435.81</v>
      </c>
      <c r="C6339" s="427">
        <f t="shared" si="196"/>
        <v>2009</v>
      </c>
      <c r="D6339" s="433">
        <f t="shared" si="197"/>
        <v>2435.81</v>
      </c>
    </row>
    <row r="6340" spans="1:4" ht="16.149999999999999" customHeight="1" x14ac:dyDescent="0.25">
      <c r="A6340" s="431">
        <v>39900</v>
      </c>
      <c r="B6340" s="434">
        <v>2485.56</v>
      </c>
      <c r="C6340" s="427">
        <f t="shared" si="196"/>
        <v>2009</v>
      </c>
      <c r="D6340" s="433">
        <f t="shared" si="197"/>
        <v>2485.56</v>
      </c>
    </row>
    <row r="6341" spans="1:4" ht="16.149999999999999" customHeight="1" x14ac:dyDescent="0.25">
      <c r="A6341" s="431">
        <v>39901</v>
      </c>
      <c r="B6341" s="432">
        <v>2485.56</v>
      </c>
      <c r="C6341" s="427">
        <f t="shared" si="196"/>
        <v>2009</v>
      </c>
      <c r="D6341" s="433">
        <f t="shared" si="197"/>
        <v>2485.56</v>
      </c>
    </row>
    <row r="6342" spans="1:4" ht="16.149999999999999" customHeight="1" x14ac:dyDescent="0.25">
      <c r="A6342" s="431">
        <v>39902</v>
      </c>
      <c r="B6342" s="434">
        <v>2485.56</v>
      </c>
      <c r="C6342" s="427">
        <f t="shared" si="196"/>
        <v>2009</v>
      </c>
      <c r="D6342" s="433">
        <f t="shared" si="197"/>
        <v>2485.56</v>
      </c>
    </row>
    <row r="6343" spans="1:4" ht="16.149999999999999" customHeight="1" x14ac:dyDescent="0.25">
      <c r="A6343" s="431">
        <v>39903</v>
      </c>
      <c r="B6343" s="432">
        <v>2561.21</v>
      </c>
      <c r="C6343" s="427">
        <f t="shared" si="196"/>
        <v>2009</v>
      </c>
      <c r="D6343" s="433">
        <f t="shared" si="197"/>
        <v>2561.21</v>
      </c>
    </row>
    <row r="6344" spans="1:4" ht="16.149999999999999" customHeight="1" x14ac:dyDescent="0.25">
      <c r="A6344" s="431">
        <v>39904</v>
      </c>
      <c r="B6344" s="434">
        <v>2544.2399999999998</v>
      </c>
      <c r="C6344" s="427">
        <f t="shared" si="196"/>
        <v>2009</v>
      </c>
      <c r="D6344" s="433">
        <f t="shared" si="197"/>
        <v>2544.2399999999998</v>
      </c>
    </row>
    <row r="6345" spans="1:4" ht="16.149999999999999" customHeight="1" x14ac:dyDescent="0.25">
      <c r="A6345" s="431">
        <v>39905</v>
      </c>
      <c r="B6345" s="432">
        <v>2534.9899999999998</v>
      </c>
      <c r="C6345" s="427">
        <f t="shared" si="196"/>
        <v>2009</v>
      </c>
      <c r="D6345" s="433">
        <f t="shared" si="197"/>
        <v>2534.9899999999998</v>
      </c>
    </row>
    <row r="6346" spans="1:4" ht="16.149999999999999" customHeight="1" x14ac:dyDescent="0.25">
      <c r="A6346" s="431">
        <v>39906</v>
      </c>
      <c r="B6346" s="434">
        <v>2451.7199999999998</v>
      </c>
      <c r="C6346" s="427">
        <f t="shared" ref="C6346:C6409" si="198">YEAR(A6346)</f>
        <v>2009</v>
      </c>
      <c r="D6346" s="433">
        <f t="shared" ref="D6346:D6409" si="199">B6346</f>
        <v>2451.7199999999998</v>
      </c>
    </row>
    <row r="6347" spans="1:4" ht="16.149999999999999" customHeight="1" x14ac:dyDescent="0.25">
      <c r="A6347" s="431">
        <v>39907</v>
      </c>
      <c r="B6347" s="432">
        <v>2422.71</v>
      </c>
      <c r="C6347" s="427">
        <f t="shared" si="198"/>
        <v>2009</v>
      </c>
      <c r="D6347" s="433">
        <f t="shared" si="199"/>
        <v>2422.71</v>
      </c>
    </row>
    <row r="6348" spans="1:4" ht="16.149999999999999" customHeight="1" x14ac:dyDescent="0.25">
      <c r="A6348" s="431">
        <v>39908</v>
      </c>
      <c r="B6348" s="434">
        <v>2422.71</v>
      </c>
      <c r="C6348" s="427">
        <f t="shared" si="198"/>
        <v>2009</v>
      </c>
      <c r="D6348" s="433">
        <f t="shared" si="199"/>
        <v>2422.71</v>
      </c>
    </row>
    <row r="6349" spans="1:4" ht="16.149999999999999" customHeight="1" x14ac:dyDescent="0.25">
      <c r="A6349" s="431">
        <v>39909</v>
      </c>
      <c r="B6349" s="432">
        <v>2422.71</v>
      </c>
      <c r="C6349" s="427">
        <f t="shared" si="198"/>
        <v>2009</v>
      </c>
      <c r="D6349" s="433">
        <f t="shared" si="199"/>
        <v>2422.71</v>
      </c>
    </row>
    <row r="6350" spans="1:4" ht="16.149999999999999" customHeight="1" x14ac:dyDescent="0.25">
      <c r="A6350" s="431">
        <v>39910</v>
      </c>
      <c r="B6350" s="434">
        <v>2408.42</v>
      </c>
      <c r="C6350" s="427">
        <f t="shared" si="198"/>
        <v>2009</v>
      </c>
      <c r="D6350" s="433">
        <f t="shared" si="199"/>
        <v>2408.42</v>
      </c>
    </row>
    <row r="6351" spans="1:4" ht="16.149999999999999" customHeight="1" x14ac:dyDescent="0.25">
      <c r="A6351" s="431">
        <v>39911</v>
      </c>
      <c r="B6351" s="432">
        <v>2416.63</v>
      </c>
      <c r="C6351" s="427">
        <f t="shared" si="198"/>
        <v>2009</v>
      </c>
      <c r="D6351" s="433">
        <f t="shared" si="199"/>
        <v>2416.63</v>
      </c>
    </row>
    <row r="6352" spans="1:4" ht="16.149999999999999" customHeight="1" x14ac:dyDescent="0.25">
      <c r="A6352" s="431">
        <v>39912</v>
      </c>
      <c r="B6352" s="434">
        <v>2388.11</v>
      </c>
      <c r="C6352" s="427">
        <f t="shared" si="198"/>
        <v>2009</v>
      </c>
      <c r="D6352" s="433">
        <f t="shared" si="199"/>
        <v>2388.11</v>
      </c>
    </row>
    <row r="6353" spans="1:4" ht="16.149999999999999" customHeight="1" x14ac:dyDescent="0.25">
      <c r="A6353" s="431">
        <v>39913</v>
      </c>
      <c r="B6353" s="432">
        <v>2388.11</v>
      </c>
      <c r="C6353" s="427">
        <f t="shared" si="198"/>
        <v>2009</v>
      </c>
      <c r="D6353" s="433">
        <f t="shared" si="199"/>
        <v>2388.11</v>
      </c>
    </row>
    <row r="6354" spans="1:4" ht="16.149999999999999" customHeight="1" x14ac:dyDescent="0.25">
      <c r="A6354" s="431">
        <v>39914</v>
      </c>
      <c r="B6354" s="434">
        <v>2388.11</v>
      </c>
      <c r="C6354" s="427">
        <f t="shared" si="198"/>
        <v>2009</v>
      </c>
      <c r="D6354" s="433">
        <f t="shared" si="199"/>
        <v>2388.11</v>
      </c>
    </row>
    <row r="6355" spans="1:4" ht="16.149999999999999" customHeight="1" x14ac:dyDescent="0.25">
      <c r="A6355" s="431">
        <v>39915</v>
      </c>
      <c r="B6355" s="432">
        <v>2388.11</v>
      </c>
      <c r="C6355" s="427">
        <f t="shared" si="198"/>
        <v>2009</v>
      </c>
      <c r="D6355" s="433">
        <f t="shared" si="199"/>
        <v>2388.11</v>
      </c>
    </row>
    <row r="6356" spans="1:4" ht="16.149999999999999" customHeight="1" x14ac:dyDescent="0.25">
      <c r="A6356" s="431">
        <v>39916</v>
      </c>
      <c r="B6356" s="434">
        <v>2388.11</v>
      </c>
      <c r="C6356" s="427">
        <f t="shared" si="198"/>
        <v>2009</v>
      </c>
      <c r="D6356" s="433">
        <f t="shared" si="199"/>
        <v>2388.11</v>
      </c>
    </row>
    <row r="6357" spans="1:4" ht="16.149999999999999" customHeight="1" x14ac:dyDescent="0.25">
      <c r="A6357" s="431">
        <v>39917</v>
      </c>
      <c r="B6357" s="432">
        <v>2392.2199999999998</v>
      </c>
      <c r="C6357" s="427">
        <f t="shared" si="198"/>
        <v>2009</v>
      </c>
      <c r="D6357" s="433">
        <f t="shared" si="199"/>
        <v>2392.2199999999998</v>
      </c>
    </row>
    <row r="6358" spans="1:4" ht="16.149999999999999" customHeight="1" x14ac:dyDescent="0.25">
      <c r="A6358" s="431">
        <v>39918</v>
      </c>
      <c r="B6358" s="434">
        <v>2394.27</v>
      </c>
      <c r="C6358" s="427">
        <f t="shared" si="198"/>
        <v>2009</v>
      </c>
      <c r="D6358" s="433">
        <f t="shared" si="199"/>
        <v>2394.27</v>
      </c>
    </row>
    <row r="6359" spans="1:4" ht="16.149999999999999" customHeight="1" x14ac:dyDescent="0.25">
      <c r="A6359" s="431">
        <v>39919</v>
      </c>
      <c r="B6359" s="432">
        <v>2380.69</v>
      </c>
      <c r="C6359" s="427">
        <f t="shared" si="198"/>
        <v>2009</v>
      </c>
      <c r="D6359" s="433">
        <f t="shared" si="199"/>
        <v>2380.69</v>
      </c>
    </row>
    <row r="6360" spans="1:4" ht="16.149999999999999" customHeight="1" x14ac:dyDescent="0.25">
      <c r="A6360" s="431">
        <v>39920</v>
      </c>
      <c r="B6360" s="434">
        <v>2344.98</v>
      </c>
      <c r="C6360" s="427">
        <f t="shared" si="198"/>
        <v>2009</v>
      </c>
      <c r="D6360" s="433">
        <f t="shared" si="199"/>
        <v>2344.98</v>
      </c>
    </row>
    <row r="6361" spans="1:4" ht="16.149999999999999" customHeight="1" x14ac:dyDescent="0.25">
      <c r="A6361" s="431">
        <v>39921</v>
      </c>
      <c r="B6361" s="432">
        <v>2343.34</v>
      </c>
      <c r="C6361" s="427">
        <f t="shared" si="198"/>
        <v>2009</v>
      </c>
      <c r="D6361" s="433">
        <f t="shared" si="199"/>
        <v>2343.34</v>
      </c>
    </row>
    <row r="6362" spans="1:4" ht="16.149999999999999" customHeight="1" x14ac:dyDescent="0.25">
      <c r="A6362" s="431">
        <v>39922</v>
      </c>
      <c r="B6362" s="434">
        <v>2343.34</v>
      </c>
      <c r="C6362" s="427">
        <f t="shared" si="198"/>
        <v>2009</v>
      </c>
      <c r="D6362" s="433">
        <f t="shared" si="199"/>
        <v>2343.34</v>
      </c>
    </row>
    <row r="6363" spans="1:4" ht="16.149999999999999" customHeight="1" x14ac:dyDescent="0.25">
      <c r="A6363" s="431">
        <v>39923</v>
      </c>
      <c r="B6363" s="432">
        <v>2343.34</v>
      </c>
      <c r="C6363" s="427">
        <f t="shared" si="198"/>
        <v>2009</v>
      </c>
      <c r="D6363" s="433">
        <f t="shared" si="199"/>
        <v>2343.34</v>
      </c>
    </row>
    <row r="6364" spans="1:4" ht="16.149999999999999" customHeight="1" x14ac:dyDescent="0.25">
      <c r="A6364" s="431">
        <v>39924</v>
      </c>
      <c r="B6364" s="434">
        <v>2376.38</v>
      </c>
      <c r="C6364" s="427">
        <f t="shared" si="198"/>
        <v>2009</v>
      </c>
      <c r="D6364" s="433">
        <f t="shared" si="199"/>
        <v>2376.38</v>
      </c>
    </row>
    <row r="6365" spans="1:4" ht="16.149999999999999" customHeight="1" x14ac:dyDescent="0.25">
      <c r="A6365" s="431">
        <v>39925</v>
      </c>
      <c r="B6365" s="432">
        <v>2338.6</v>
      </c>
      <c r="C6365" s="427">
        <f t="shared" si="198"/>
        <v>2009</v>
      </c>
      <c r="D6365" s="433">
        <f t="shared" si="199"/>
        <v>2338.6</v>
      </c>
    </row>
    <row r="6366" spans="1:4" ht="16.149999999999999" customHeight="1" x14ac:dyDescent="0.25">
      <c r="A6366" s="431">
        <v>39926</v>
      </c>
      <c r="B6366" s="434">
        <v>2318.83</v>
      </c>
      <c r="C6366" s="427">
        <f t="shared" si="198"/>
        <v>2009</v>
      </c>
      <c r="D6366" s="433">
        <f t="shared" si="199"/>
        <v>2318.83</v>
      </c>
    </row>
    <row r="6367" spans="1:4" ht="16.149999999999999" customHeight="1" x14ac:dyDescent="0.25">
      <c r="A6367" s="431">
        <v>39927</v>
      </c>
      <c r="B6367" s="432">
        <v>2300.7399999999998</v>
      </c>
      <c r="C6367" s="427">
        <f t="shared" si="198"/>
        <v>2009</v>
      </c>
      <c r="D6367" s="433">
        <f t="shared" si="199"/>
        <v>2300.7399999999998</v>
      </c>
    </row>
    <row r="6368" spans="1:4" ht="16.149999999999999" customHeight="1" x14ac:dyDescent="0.25">
      <c r="A6368" s="431">
        <v>39928</v>
      </c>
      <c r="B6368" s="434">
        <v>2283.1999999999998</v>
      </c>
      <c r="C6368" s="427">
        <f t="shared" si="198"/>
        <v>2009</v>
      </c>
      <c r="D6368" s="433">
        <f t="shared" si="199"/>
        <v>2283.1999999999998</v>
      </c>
    </row>
    <row r="6369" spans="1:4" ht="16.149999999999999" customHeight="1" x14ac:dyDescent="0.25">
      <c r="A6369" s="431">
        <v>39929</v>
      </c>
      <c r="B6369" s="432">
        <v>2283.1999999999998</v>
      </c>
      <c r="C6369" s="427">
        <f t="shared" si="198"/>
        <v>2009</v>
      </c>
      <c r="D6369" s="433">
        <f t="shared" si="199"/>
        <v>2283.1999999999998</v>
      </c>
    </row>
    <row r="6370" spans="1:4" ht="16.149999999999999" customHeight="1" x14ac:dyDescent="0.25">
      <c r="A6370" s="431">
        <v>39930</v>
      </c>
      <c r="B6370" s="434">
        <v>2283.1999999999998</v>
      </c>
      <c r="C6370" s="427">
        <f t="shared" si="198"/>
        <v>2009</v>
      </c>
      <c r="D6370" s="433">
        <f t="shared" si="199"/>
        <v>2283.1999999999998</v>
      </c>
    </row>
    <row r="6371" spans="1:4" ht="16.149999999999999" customHeight="1" x14ac:dyDescent="0.25">
      <c r="A6371" s="431">
        <v>39931</v>
      </c>
      <c r="B6371" s="432">
        <v>2325.02</v>
      </c>
      <c r="C6371" s="427">
        <f t="shared" si="198"/>
        <v>2009</v>
      </c>
      <c r="D6371" s="433">
        <f t="shared" si="199"/>
        <v>2325.02</v>
      </c>
    </row>
    <row r="6372" spans="1:4" ht="16.149999999999999" customHeight="1" x14ac:dyDescent="0.25">
      <c r="A6372" s="431">
        <v>39932</v>
      </c>
      <c r="B6372" s="434">
        <v>2332.4699999999998</v>
      </c>
      <c r="C6372" s="427">
        <f t="shared" si="198"/>
        <v>2009</v>
      </c>
      <c r="D6372" s="433">
        <f t="shared" si="199"/>
        <v>2332.4699999999998</v>
      </c>
    </row>
    <row r="6373" spans="1:4" ht="16.149999999999999" customHeight="1" x14ac:dyDescent="0.25">
      <c r="A6373" s="431">
        <v>39933</v>
      </c>
      <c r="B6373" s="432">
        <v>2289.73</v>
      </c>
      <c r="C6373" s="427">
        <f t="shared" si="198"/>
        <v>2009</v>
      </c>
      <c r="D6373" s="433">
        <f t="shared" si="199"/>
        <v>2289.73</v>
      </c>
    </row>
    <row r="6374" spans="1:4" ht="16.149999999999999" customHeight="1" x14ac:dyDescent="0.25">
      <c r="A6374" s="431">
        <v>39934</v>
      </c>
      <c r="B6374" s="434">
        <v>2288.64</v>
      </c>
      <c r="C6374" s="427">
        <f t="shared" si="198"/>
        <v>2009</v>
      </c>
      <c r="D6374" s="433">
        <f t="shared" si="199"/>
        <v>2288.64</v>
      </c>
    </row>
    <row r="6375" spans="1:4" ht="16.149999999999999" customHeight="1" x14ac:dyDescent="0.25">
      <c r="A6375" s="431">
        <v>39935</v>
      </c>
      <c r="B6375" s="432">
        <v>2288.64</v>
      </c>
      <c r="C6375" s="427">
        <f t="shared" si="198"/>
        <v>2009</v>
      </c>
      <c r="D6375" s="433">
        <f t="shared" si="199"/>
        <v>2288.64</v>
      </c>
    </row>
    <row r="6376" spans="1:4" ht="16.149999999999999" customHeight="1" x14ac:dyDescent="0.25">
      <c r="A6376" s="431">
        <v>39936</v>
      </c>
      <c r="B6376" s="434">
        <v>2288.64</v>
      </c>
      <c r="C6376" s="427">
        <f t="shared" si="198"/>
        <v>2009</v>
      </c>
      <c r="D6376" s="433">
        <f t="shared" si="199"/>
        <v>2288.64</v>
      </c>
    </row>
    <row r="6377" spans="1:4" ht="16.149999999999999" customHeight="1" x14ac:dyDescent="0.25">
      <c r="A6377" s="431">
        <v>39937</v>
      </c>
      <c r="B6377" s="432">
        <v>2288.64</v>
      </c>
      <c r="C6377" s="427">
        <f t="shared" si="198"/>
        <v>2009</v>
      </c>
      <c r="D6377" s="433">
        <f t="shared" si="199"/>
        <v>2288.64</v>
      </c>
    </row>
    <row r="6378" spans="1:4" ht="16.149999999999999" customHeight="1" x14ac:dyDescent="0.25">
      <c r="A6378" s="431">
        <v>39938</v>
      </c>
      <c r="B6378" s="434">
        <v>2272.5500000000002</v>
      </c>
      <c r="C6378" s="427">
        <f t="shared" si="198"/>
        <v>2009</v>
      </c>
      <c r="D6378" s="433">
        <f t="shared" si="199"/>
        <v>2272.5500000000002</v>
      </c>
    </row>
    <row r="6379" spans="1:4" ht="16.149999999999999" customHeight="1" x14ac:dyDescent="0.25">
      <c r="A6379" s="431">
        <v>39939</v>
      </c>
      <c r="B6379" s="432">
        <v>2256.9899999999998</v>
      </c>
      <c r="C6379" s="427">
        <f t="shared" si="198"/>
        <v>2009</v>
      </c>
      <c r="D6379" s="433">
        <f t="shared" si="199"/>
        <v>2256.9899999999998</v>
      </c>
    </row>
    <row r="6380" spans="1:4" ht="16.149999999999999" customHeight="1" x14ac:dyDescent="0.25">
      <c r="A6380" s="431">
        <v>39940</v>
      </c>
      <c r="B6380" s="434">
        <v>2233.5</v>
      </c>
      <c r="C6380" s="427">
        <f t="shared" si="198"/>
        <v>2009</v>
      </c>
      <c r="D6380" s="433">
        <f t="shared" si="199"/>
        <v>2233.5</v>
      </c>
    </row>
    <row r="6381" spans="1:4" ht="16.149999999999999" customHeight="1" x14ac:dyDescent="0.25">
      <c r="A6381" s="431">
        <v>39941</v>
      </c>
      <c r="B6381" s="432">
        <v>2208.98</v>
      </c>
      <c r="C6381" s="427">
        <f t="shared" si="198"/>
        <v>2009</v>
      </c>
      <c r="D6381" s="433">
        <f t="shared" si="199"/>
        <v>2208.98</v>
      </c>
    </row>
    <row r="6382" spans="1:4" ht="16.149999999999999" customHeight="1" x14ac:dyDescent="0.25">
      <c r="A6382" s="431">
        <v>39942</v>
      </c>
      <c r="B6382" s="434">
        <v>2210.35</v>
      </c>
      <c r="C6382" s="427">
        <f t="shared" si="198"/>
        <v>2009</v>
      </c>
      <c r="D6382" s="433">
        <f t="shared" si="199"/>
        <v>2210.35</v>
      </c>
    </row>
    <row r="6383" spans="1:4" ht="16.149999999999999" customHeight="1" x14ac:dyDescent="0.25">
      <c r="A6383" s="431">
        <v>39943</v>
      </c>
      <c r="B6383" s="432">
        <v>2210.35</v>
      </c>
      <c r="C6383" s="427">
        <f t="shared" si="198"/>
        <v>2009</v>
      </c>
      <c r="D6383" s="433">
        <f t="shared" si="199"/>
        <v>2210.35</v>
      </c>
    </row>
    <row r="6384" spans="1:4" ht="16.149999999999999" customHeight="1" x14ac:dyDescent="0.25">
      <c r="A6384" s="431">
        <v>39944</v>
      </c>
      <c r="B6384" s="434">
        <v>2210.35</v>
      </c>
      <c r="C6384" s="427">
        <f t="shared" si="198"/>
        <v>2009</v>
      </c>
      <c r="D6384" s="433">
        <f t="shared" si="199"/>
        <v>2210.35</v>
      </c>
    </row>
    <row r="6385" spans="1:4" ht="16.149999999999999" customHeight="1" x14ac:dyDescent="0.25">
      <c r="A6385" s="431">
        <v>39945</v>
      </c>
      <c r="B6385" s="432">
        <v>2220.92</v>
      </c>
      <c r="C6385" s="427">
        <f t="shared" si="198"/>
        <v>2009</v>
      </c>
      <c r="D6385" s="433">
        <f t="shared" si="199"/>
        <v>2220.92</v>
      </c>
    </row>
    <row r="6386" spans="1:4" ht="16.149999999999999" customHeight="1" x14ac:dyDescent="0.25">
      <c r="A6386" s="431">
        <v>39946</v>
      </c>
      <c r="B6386" s="434">
        <v>2221.4</v>
      </c>
      <c r="C6386" s="427">
        <f t="shared" si="198"/>
        <v>2009</v>
      </c>
      <c r="D6386" s="433">
        <f t="shared" si="199"/>
        <v>2221.4</v>
      </c>
    </row>
    <row r="6387" spans="1:4" ht="16.149999999999999" customHeight="1" x14ac:dyDescent="0.25">
      <c r="A6387" s="431">
        <v>39947</v>
      </c>
      <c r="B6387" s="432">
        <v>2257.36</v>
      </c>
      <c r="C6387" s="427">
        <f t="shared" si="198"/>
        <v>2009</v>
      </c>
      <c r="D6387" s="433">
        <f t="shared" si="199"/>
        <v>2257.36</v>
      </c>
    </row>
    <row r="6388" spans="1:4" ht="16.149999999999999" customHeight="1" x14ac:dyDescent="0.25">
      <c r="A6388" s="431">
        <v>39948</v>
      </c>
      <c r="B6388" s="434">
        <v>2251.5300000000002</v>
      </c>
      <c r="C6388" s="427">
        <f t="shared" si="198"/>
        <v>2009</v>
      </c>
      <c r="D6388" s="433">
        <f t="shared" si="199"/>
        <v>2251.5300000000002</v>
      </c>
    </row>
    <row r="6389" spans="1:4" ht="16.149999999999999" customHeight="1" x14ac:dyDescent="0.25">
      <c r="A6389" s="431">
        <v>39949</v>
      </c>
      <c r="B6389" s="432">
        <v>2252.8000000000002</v>
      </c>
      <c r="C6389" s="427">
        <f t="shared" si="198"/>
        <v>2009</v>
      </c>
      <c r="D6389" s="433">
        <f t="shared" si="199"/>
        <v>2252.8000000000002</v>
      </c>
    </row>
    <row r="6390" spans="1:4" ht="16.149999999999999" customHeight="1" x14ac:dyDescent="0.25">
      <c r="A6390" s="431">
        <v>39950</v>
      </c>
      <c r="B6390" s="434">
        <v>2252.8000000000002</v>
      </c>
      <c r="C6390" s="427">
        <f t="shared" si="198"/>
        <v>2009</v>
      </c>
      <c r="D6390" s="433">
        <f t="shared" si="199"/>
        <v>2252.8000000000002</v>
      </c>
    </row>
    <row r="6391" spans="1:4" ht="16.149999999999999" customHeight="1" x14ac:dyDescent="0.25">
      <c r="A6391" s="431">
        <v>39951</v>
      </c>
      <c r="B6391" s="432">
        <v>2252.8000000000002</v>
      </c>
      <c r="C6391" s="427">
        <f t="shared" si="198"/>
        <v>2009</v>
      </c>
      <c r="D6391" s="433">
        <f t="shared" si="199"/>
        <v>2252.8000000000002</v>
      </c>
    </row>
    <row r="6392" spans="1:4" ht="16.149999999999999" customHeight="1" x14ac:dyDescent="0.25">
      <c r="A6392" s="431">
        <v>39952</v>
      </c>
      <c r="B6392" s="434">
        <v>2255.2199999999998</v>
      </c>
      <c r="C6392" s="427">
        <f t="shared" si="198"/>
        <v>2009</v>
      </c>
      <c r="D6392" s="433">
        <f t="shared" si="199"/>
        <v>2255.2199999999998</v>
      </c>
    </row>
    <row r="6393" spans="1:4" ht="16.149999999999999" customHeight="1" x14ac:dyDescent="0.25">
      <c r="A6393" s="431">
        <v>39953</v>
      </c>
      <c r="B6393" s="432">
        <v>2221.27</v>
      </c>
      <c r="C6393" s="427">
        <f t="shared" si="198"/>
        <v>2009</v>
      </c>
      <c r="D6393" s="433">
        <f t="shared" si="199"/>
        <v>2221.27</v>
      </c>
    </row>
    <row r="6394" spans="1:4" ht="16.149999999999999" customHeight="1" x14ac:dyDescent="0.25">
      <c r="A6394" s="431">
        <v>39954</v>
      </c>
      <c r="B6394" s="434">
        <v>2196.21</v>
      </c>
      <c r="C6394" s="427">
        <f t="shared" si="198"/>
        <v>2009</v>
      </c>
      <c r="D6394" s="433">
        <f t="shared" si="199"/>
        <v>2196.21</v>
      </c>
    </row>
    <row r="6395" spans="1:4" ht="16.149999999999999" customHeight="1" x14ac:dyDescent="0.25">
      <c r="A6395" s="431">
        <v>39955</v>
      </c>
      <c r="B6395" s="432">
        <v>2206.6</v>
      </c>
      <c r="C6395" s="427">
        <f t="shared" si="198"/>
        <v>2009</v>
      </c>
      <c r="D6395" s="433">
        <f t="shared" si="199"/>
        <v>2206.6</v>
      </c>
    </row>
    <row r="6396" spans="1:4" ht="16.149999999999999" customHeight="1" x14ac:dyDescent="0.25">
      <c r="A6396" s="431">
        <v>39956</v>
      </c>
      <c r="B6396" s="434">
        <v>2201.44</v>
      </c>
      <c r="C6396" s="427">
        <f t="shared" si="198"/>
        <v>2009</v>
      </c>
      <c r="D6396" s="433">
        <f t="shared" si="199"/>
        <v>2201.44</v>
      </c>
    </row>
    <row r="6397" spans="1:4" ht="16.149999999999999" customHeight="1" x14ac:dyDescent="0.25">
      <c r="A6397" s="431">
        <v>39957</v>
      </c>
      <c r="B6397" s="432">
        <v>2201.44</v>
      </c>
      <c r="C6397" s="427">
        <f t="shared" si="198"/>
        <v>2009</v>
      </c>
      <c r="D6397" s="433">
        <f t="shared" si="199"/>
        <v>2201.44</v>
      </c>
    </row>
    <row r="6398" spans="1:4" ht="16.149999999999999" customHeight="1" x14ac:dyDescent="0.25">
      <c r="A6398" s="431">
        <v>39958</v>
      </c>
      <c r="B6398" s="434">
        <v>2201.44</v>
      </c>
      <c r="C6398" s="427">
        <f t="shared" si="198"/>
        <v>2009</v>
      </c>
      <c r="D6398" s="433">
        <f t="shared" si="199"/>
        <v>2201.44</v>
      </c>
    </row>
    <row r="6399" spans="1:4" ht="16.149999999999999" customHeight="1" x14ac:dyDescent="0.25">
      <c r="A6399" s="431">
        <v>39959</v>
      </c>
      <c r="B6399" s="432">
        <v>2201.44</v>
      </c>
      <c r="C6399" s="427">
        <f t="shared" si="198"/>
        <v>2009</v>
      </c>
      <c r="D6399" s="433">
        <f t="shared" si="199"/>
        <v>2201.44</v>
      </c>
    </row>
    <row r="6400" spans="1:4" ht="16.149999999999999" customHeight="1" x14ac:dyDescent="0.25">
      <c r="A6400" s="431">
        <v>39960</v>
      </c>
      <c r="B6400" s="434">
        <v>2213.89</v>
      </c>
      <c r="C6400" s="427">
        <f t="shared" si="198"/>
        <v>2009</v>
      </c>
      <c r="D6400" s="433">
        <f t="shared" si="199"/>
        <v>2213.89</v>
      </c>
    </row>
    <row r="6401" spans="1:4" ht="16.149999999999999" customHeight="1" x14ac:dyDescent="0.25">
      <c r="A6401" s="431">
        <v>39961</v>
      </c>
      <c r="B6401" s="432">
        <v>2208.89</v>
      </c>
      <c r="C6401" s="427">
        <f t="shared" si="198"/>
        <v>2009</v>
      </c>
      <c r="D6401" s="433">
        <f t="shared" si="199"/>
        <v>2208.89</v>
      </c>
    </row>
    <row r="6402" spans="1:4" ht="16.149999999999999" customHeight="1" x14ac:dyDescent="0.25">
      <c r="A6402" s="431">
        <v>39962</v>
      </c>
      <c r="B6402" s="434">
        <v>2190.4499999999998</v>
      </c>
      <c r="C6402" s="427">
        <f t="shared" si="198"/>
        <v>2009</v>
      </c>
      <c r="D6402" s="433">
        <f t="shared" si="199"/>
        <v>2190.4499999999998</v>
      </c>
    </row>
    <row r="6403" spans="1:4" ht="16.149999999999999" customHeight="1" x14ac:dyDescent="0.25">
      <c r="A6403" s="431">
        <v>39963</v>
      </c>
      <c r="B6403" s="432">
        <v>2140.66</v>
      </c>
      <c r="C6403" s="427">
        <f t="shared" si="198"/>
        <v>2009</v>
      </c>
      <c r="D6403" s="433">
        <f t="shared" si="199"/>
        <v>2140.66</v>
      </c>
    </row>
    <row r="6404" spans="1:4" ht="16.149999999999999" customHeight="1" x14ac:dyDescent="0.25">
      <c r="A6404" s="431">
        <v>39964</v>
      </c>
      <c r="B6404" s="434">
        <v>2140.66</v>
      </c>
      <c r="C6404" s="427">
        <f t="shared" si="198"/>
        <v>2009</v>
      </c>
      <c r="D6404" s="433">
        <f t="shared" si="199"/>
        <v>2140.66</v>
      </c>
    </row>
    <row r="6405" spans="1:4" ht="16.149999999999999" customHeight="1" x14ac:dyDescent="0.25">
      <c r="A6405" s="431">
        <v>39965</v>
      </c>
      <c r="B6405" s="432">
        <v>2140.66</v>
      </c>
      <c r="C6405" s="427">
        <f t="shared" si="198"/>
        <v>2009</v>
      </c>
      <c r="D6405" s="433">
        <f t="shared" si="199"/>
        <v>2140.66</v>
      </c>
    </row>
    <row r="6406" spans="1:4" ht="16.149999999999999" customHeight="1" x14ac:dyDescent="0.25">
      <c r="A6406" s="431">
        <v>39966</v>
      </c>
      <c r="B6406" s="434">
        <v>2109.42</v>
      </c>
      <c r="C6406" s="427">
        <f t="shared" si="198"/>
        <v>2009</v>
      </c>
      <c r="D6406" s="433">
        <f t="shared" si="199"/>
        <v>2109.42</v>
      </c>
    </row>
    <row r="6407" spans="1:4" ht="16.149999999999999" customHeight="1" x14ac:dyDescent="0.25">
      <c r="A6407" s="431">
        <v>39967</v>
      </c>
      <c r="B6407" s="432">
        <v>2077.02</v>
      </c>
      <c r="C6407" s="427">
        <f t="shared" si="198"/>
        <v>2009</v>
      </c>
      <c r="D6407" s="433">
        <f t="shared" si="199"/>
        <v>2077.02</v>
      </c>
    </row>
    <row r="6408" spans="1:4" ht="16.149999999999999" customHeight="1" x14ac:dyDescent="0.25">
      <c r="A6408" s="431">
        <v>39968</v>
      </c>
      <c r="B6408" s="434">
        <v>2073.5500000000002</v>
      </c>
      <c r="C6408" s="427">
        <f t="shared" si="198"/>
        <v>2009</v>
      </c>
      <c r="D6408" s="433">
        <f t="shared" si="199"/>
        <v>2073.5500000000002</v>
      </c>
    </row>
    <row r="6409" spans="1:4" ht="16.149999999999999" customHeight="1" x14ac:dyDescent="0.25">
      <c r="A6409" s="431">
        <v>39969</v>
      </c>
      <c r="B6409" s="432">
        <v>2072</v>
      </c>
      <c r="C6409" s="427">
        <f t="shared" si="198"/>
        <v>2009</v>
      </c>
      <c r="D6409" s="433">
        <f t="shared" si="199"/>
        <v>2072</v>
      </c>
    </row>
    <row r="6410" spans="1:4" ht="16.149999999999999" customHeight="1" x14ac:dyDescent="0.25">
      <c r="A6410" s="431">
        <v>39970</v>
      </c>
      <c r="B6410" s="434">
        <v>2063.1</v>
      </c>
      <c r="C6410" s="427">
        <f t="shared" ref="C6410:C6473" si="200">YEAR(A6410)</f>
        <v>2009</v>
      </c>
      <c r="D6410" s="433">
        <f t="shared" ref="D6410:D6473" si="201">B6410</f>
        <v>2063.1</v>
      </c>
    </row>
    <row r="6411" spans="1:4" ht="16.149999999999999" customHeight="1" x14ac:dyDescent="0.25">
      <c r="A6411" s="431">
        <v>39971</v>
      </c>
      <c r="B6411" s="432">
        <v>2063.1</v>
      </c>
      <c r="C6411" s="427">
        <f t="shared" si="200"/>
        <v>2009</v>
      </c>
      <c r="D6411" s="433">
        <f t="shared" si="201"/>
        <v>2063.1</v>
      </c>
    </row>
    <row r="6412" spans="1:4" ht="16.149999999999999" customHeight="1" x14ac:dyDescent="0.25">
      <c r="A6412" s="431">
        <v>39972</v>
      </c>
      <c r="B6412" s="434">
        <v>2063.1</v>
      </c>
      <c r="C6412" s="427">
        <f t="shared" si="200"/>
        <v>2009</v>
      </c>
      <c r="D6412" s="433">
        <f t="shared" si="201"/>
        <v>2063.1</v>
      </c>
    </row>
    <row r="6413" spans="1:4" ht="16.149999999999999" customHeight="1" x14ac:dyDescent="0.25">
      <c r="A6413" s="431">
        <v>39973</v>
      </c>
      <c r="B6413" s="432">
        <v>2091.1</v>
      </c>
      <c r="C6413" s="427">
        <f t="shared" si="200"/>
        <v>2009</v>
      </c>
      <c r="D6413" s="433">
        <f t="shared" si="201"/>
        <v>2091.1</v>
      </c>
    </row>
    <row r="6414" spans="1:4" ht="16.149999999999999" customHeight="1" x14ac:dyDescent="0.25">
      <c r="A6414" s="431">
        <v>39974</v>
      </c>
      <c r="B6414" s="434">
        <v>2060.1799999999998</v>
      </c>
      <c r="C6414" s="427">
        <f t="shared" si="200"/>
        <v>2009</v>
      </c>
      <c r="D6414" s="433">
        <f t="shared" si="201"/>
        <v>2060.1799999999998</v>
      </c>
    </row>
    <row r="6415" spans="1:4" ht="16.149999999999999" customHeight="1" x14ac:dyDescent="0.25">
      <c r="A6415" s="431">
        <v>39975</v>
      </c>
      <c r="B6415" s="432">
        <v>2042.19</v>
      </c>
      <c r="C6415" s="427">
        <f t="shared" si="200"/>
        <v>2009</v>
      </c>
      <c r="D6415" s="433">
        <f t="shared" si="201"/>
        <v>2042.19</v>
      </c>
    </row>
    <row r="6416" spans="1:4" ht="16.149999999999999" customHeight="1" x14ac:dyDescent="0.25">
      <c r="A6416" s="431">
        <v>39976</v>
      </c>
      <c r="B6416" s="434">
        <v>2026.17</v>
      </c>
      <c r="C6416" s="427">
        <f t="shared" si="200"/>
        <v>2009</v>
      </c>
      <c r="D6416" s="433">
        <f t="shared" si="201"/>
        <v>2026.17</v>
      </c>
    </row>
    <row r="6417" spans="1:4" ht="16.149999999999999" customHeight="1" x14ac:dyDescent="0.25">
      <c r="A6417" s="431">
        <v>39977</v>
      </c>
      <c r="B6417" s="432">
        <v>2015.4</v>
      </c>
      <c r="C6417" s="427">
        <f t="shared" si="200"/>
        <v>2009</v>
      </c>
      <c r="D6417" s="433">
        <f t="shared" si="201"/>
        <v>2015.4</v>
      </c>
    </row>
    <row r="6418" spans="1:4" ht="16.149999999999999" customHeight="1" x14ac:dyDescent="0.25">
      <c r="A6418" s="431">
        <v>39978</v>
      </c>
      <c r="B6418" s="434">
        <v>2015.4</v>
      </c>
      <c r="C6418" s="427">
        <f t="shared" si="200"/>
        <v>2009</v>
      </c>
      <c r="D6418" s="433">
        <f t="shared" si="201"/>
        <v>2015.4</v>
      </c>
    </row>
    <row r="6419" spans="1:4" ht="16.149999999999999" customHeight="1" x14ac:dyDescent="0.25">
      <c r="A6419" s="431">
        <v>39979</v>
      </c>
      <c r="B6419" s="432">
        <v>2015.4</v>
      </c>
      <c r="C6419" s="427">
        <f t="shared" si="200"/>
        <v>2009</v>
      </c>
      <c r="D6419" s="433">
        <f t="shared" si="201"/>
        <v>2015.4</v>
      </c>
    </row>
    <row r="6420" spans="1:4" ht="16.149999999999999" customHeight="1" x14ac:dyDescent="0.25">
      <c r="A6420" s="431">
        <v>39980</v>
      </c>
      <c r="B6420" s="434">
        <v>2015.4</v>
      </c>
      <c r="C6420" s="427">
        <f t="shared" si="200"/>
        <v>2009</v>
      </c>
      <c r="D6420" s="433">
        <f t="shared" si="201"/>
        <v>2015.4</v>
      </c>
    </row>
    <row r="6421" spans="1:4" ht="16.149999999999999" customHeight="1" x14ac:dyDescent="0.25">
      <c r="A6421" s="431">
        <v>39981</v>
      </c>
      <c r="B6421" s="432">
        <v>2014.91</v>
      </c>
      <c r="C6421" s="427">
        <f t="shared" si="200"/>
        <v>2009</v>
      </c>
      <c r="D6421" s="433">
        <f t="shared" si="201"/>
        <v>2014.91</v>
      </c>
    </row>
    <row r="6422" spans="1:4" ht="16.149999999999999" customHeight="1" x14ac:dyDescent="0.25">
      <c r="A6422" s="431">
        <v>39982</v>
      </c>
      <c r="B6422" s="434">
        <v>2071.29</v>
      </c>
      <c r="C6422" s="427">
        <f t="shared" si="200"/>
        <v>2009</v>
      </c>
      <c r="D6422" s="433">
        <f t="shared" si="201"/>
        <v>2071.29</v>
      </c>
    </row>
    <row r="6423" spans="1:4" ht="16.149999999999999" customHeight="1" x14ac:dyDescent="0.25">
      <c r="A6423" s="431">
        <v>39983</v>
      </c>
      <c r="B6423" s="432">
        <v>2074.7199999999998</v>
      </c>
      <c r="C6423" s="427">
        <f t="shared" si="200"/>
        <v>2009</v>
      </c>
      <c r="D6423" s="433">
        <f t="shared" si="201"/>
        <v>2074.7199999999998</v>
      </c>
    </row>
    <row r="6424" spans="1:4" ht="16.149999999999999" customHeight="1" x14ac:dyDescent="0.25">
      <c r="A6424" s="431">
        <v>39984</v>
      </c>
      <c r="B6424" s="434">
        <v>2108.1999999999998</v>
      </c>
      <c r="C6424" s="427">
        <f t="shared" si="200"/>
        <v>2009</v>
      </c>
      <c r="D6424" s="433">
        <f t="shared" si="201"/>
        <v>2108.1999999999998</v>
      </c>
    </row>
    <row r="6425" spans="1:4" ht="16.149999999999999" customHeight="1" x14ac:dyDescent="0.25">
      <c r="A6425" s="431">
        <v>39985</v>
      </c>
      <c r="B6425" s="432">
        <v>2108.1999999999998</v>
      </c>
      <c r="C6425" s="427">
        <f t="shared" si="200"/>
        <v>2009</v>
      </c>
      <c r="D6425" s="433">
        <f t="shared" si="201"/>
        <v>2108.1999999999998</v>
      </c>
    </row>
    <row r="6426" spans="1:4" ht="16.149999999999999" customHeight="1" x14ac:dyDescent="0.25">
      <c r="A6426" s="431">
        <v>39986</v>
      </c>
      <c r="B6426" s="434">
        <v>2108.1999999999998</v>
      </c>
      <c r="C6426" s="427">
        <f t="shared" si="200"/>
        <v>2009</v>
      </c>
      <c r="D6426" s="433">
        <f t="shared" si="201"/>
        <v>2108.1999999999998</v>
      </c>
    </row>
    <row r="6427" spans="1:4" ht="16.149999999999999" customHeight="1" x14ac:dyDescent="0.25">
      <c r="A6427" s="431">
        <v>39987</v>
      </c>
      <c r="B6427" s="432">
        <v>2108.1999999999998</v>
      </c>
      <c r="C6427" s="427">
        <f t="shared" si="200"/>
        <v>2009</v>
      </c>
      <c r="D6427" s="433">
        <f t="shared" si="201"/>
        <v>2108.1999999999998</v>
      </c>
    </row>
    <row r="6428" spans="1:4" ht="16.149999999999999" customHeight="1" x14ac:dyDescent="0.25">
      <c r="A6428" s="431">
        <v>39988</v>
      </c>
      <c r="B6428" s="434">
        <v>2165</v>
      </c>
      <c r="C6428" s="427">
        <f t="shared" si="200"/>
        <v>2009</v>
      </c>
      <c r="D6428" s="433">
        <f t="shared" si="201"/>
        <v>2165</v>
      </c>
    </row>
    <row r="6429" spans="1:4" ht="16.149999999999999" customHeight="1" x14ac:dyDescent="0.25">
      <c r="A6429" s="431">
        <v>39989</v>
      </c>
      <c r="B6429" s="432">
        <v>2158.7199999999998</v>
      </c>
      <c r="C6429" s="427">
        <f t="shared" si="200"/>
        <v>2009</v>
      </c>
      <c r="D6429" s="433">
        <f t="shared" si="201"/>
        <v>2158.7199999999998</v>
      </c>
    </row>
    <row r="6430" spans="1:4" ht="16.149999999999999" customHeight="1" x14ac:dyDescent="0.25">
      <c r="A6430" s="431">
        <v>39990</v>
      </c>
      <c r="B6430" s="434">
        <v>2188.5</v>
      </c>
      <c r="C6430" s="427">
        <f t="shared" si="200"/>
        <v>2009</v>
      </c>
      <c r="D6430" s="433">
        <f t="shared" si="201"/>
        <v>2188.5</v>
      </c>
    </row>
    <row r="6431" spans="1:4" ht="16.149999999999999" customHeight="1" x14ac:dyDescent="0.25">
      <c r="A6431" s="431">
        <v>39991</v>
      </c>
      <c r="B6431" s="432">
        <v>2158.67</v>
      </c>
      <c r="C6431" s="427">
        <f t="shared" si="200"/>
        <v>2009</v>
      </c>
      <c r="D6431" s="433">
        <f t="shared" si="201"/>
        <v>2158.67</v>
      </c>
    </row>
    <row r="6432" spans="1:4" ht="16.149999999999999" customHeight="1" x14ac:dyDescent="0.25">
      <c r="A6432" s="431">
        <v>39992</v>
      </c>
      <c r="B6432" s="434">
        <v>2158.67</v>
      </c>
      <c r="C6432" s="427">
        <f t="shared" si="200"/>
        <v>2009</v>
      </c>
      <c r="D6432" s="433">
        <f t="shared" si="201"/>
        <v>2158.67</v>
      </c>
    </row>
    <row r="6433" spans="1:4" ht="16.149999999999999" customHeight="1" x14ac:dyDescent="0.25">
      <c r="A6433" s="431">
        <v>39993</v>
      </c>
      <c r="B6433" s="432">
        <v>2158.67</v>
      </c>
      <c r="C6433" s="427">
        <f t="shared" si="200"/>
        <v>2009</v>
      </c>
      <c r="D6433" s="433">
        <f t="shared" si="201"/>
        <v>2158.67</v>
      </c>
    </row>
    <row r="6434" spans="1:4" ht="16.149999999999999" customHeight="1" x14ac:dyDescent="0.25">
      <c r="A6434" s="431">
        <v>39994</v>
      </c>
      <c r="B6434" s="434">
        <v>2158.67</v>
      </c>
      <c r="C6434" s="427">
        <f t="shared" si="200"/>
        <v>2009</v>
      </c>
      <c r="D6434" s="433">
        <f t="shared" si="201"/>
        <v>2158.67</v>
      </c>
    </row>
    <row r="6435" spans="1:4" ht="16.149999999999999" customHeight="1" x14ac:dyDescent="0.25">
      <c r="A6435" s="431">
        <v>39995</v>
      </c>
      <c r="B6435" s="432">
        <v>2145.21</v>
      </c>
      <c r="C6435" s="427">
        <f t="shared" si="200"/>
        <v>2009</v>
      </c>
      <c r="D6435" s="433">
        <f t="shared" si="201"/>
        <v>2145.21</v>
      </c>
    </row>
    <row r="6436" spans="1:4" ht="16.149999999999999" customHeight="1" x14ac:dyDescent="0.25">
      <c r="A6436" s="431">
        <v>39996</v>
      </c>
      <c r="B6436" s="434">
        <v>2111.71</v>
      </c>
      <c r="C6436" s="427">
        <f t="shared" si="200"/>
        <v>2009</v>
      </c>
      <c r="D6436" s="433">
        <f t="shared" si="201"/>
        <v>2111.71</v>
      </c>
    </row>
    <row r="6437" spans="1:4" ht="16.149999999999999" customHeight="1" x14ac:dyDescent="0.25">
      <c r="A6437" s="431">
        <v>39997</v>
      </c>
      <c r="B6437" s="432">
        <v>2096.23</v>
      </c>
      <c r="C6437" s="427">
        <f t="shared" si="200"/>
        <v>2009</v>
      </c>
      <c r="D6437" s="433">
        <f t="shared" si="201"/>
        <v>2096.23</v>
      </c>
    </row>
    <row r="6438" spans="1:4" ht="16.149999999999999" customHeight="1" x14ac:dyDescent="0.25">
      <c r="A6438" s="431">
        <v>39998</v>
      </c>
      <c r="B6438" s="434">
        <v>2086.36</v>
      </c>
      <c r="C6438" s="427">
        <f t="shared" si="200"/>
        <v>2009</v>
      </c>
      <c r="D6438" s="433">
        <f t="shared" si="201"/>
        <v>2086.36</v>
      </c>
    </row>
    <row r="6439" spans="1:4" ht="16.149999999999999" customHeight="1" x14ac:dyDescent="0.25">
      <c r="A6439" s="431">
        <v>39999</v>
      </c>
      <c r="B6439" s="432">
        <v>2086.36</v>
      </c>
      <c r="C6439" s="427">
        <f t="shared" si="200"/>
        <v>2009</v>
      </c>
      <c r="D6439" s="433">
        <f t="shared" si="201"/>
        <v>2086.36</v>
      </c>
    </row>
    <row r="6440" spans="1:4" ht="16.149999999999999" customHeight="1" x14ac:dyDescent="0.25">
      <c r="A6440" s="431">
        <v>40000</v>
      </c>
      <c r="B6440" s="434">
        <v>2086.36</v>
      </c>
      <c r="C6440" s="427">
        <f t="shared" si="200"/>
        <v>2009</v>
      </c>
      <c r="D6440" s="433">
        <f t="shared" si="201"/>
        <v>2086.36</v>
      </c>
    </row>
    <row r="6441" spans="1:4" ht="16.149999999999999" customHeight="1" x14ac:dyDescent="0.25">
      <c r="A6441" s="431">
        <v>40001</v>
      </c>
      <c r="B6441" s="432">
        <v>2109.08</v>
      </c>
      <c r="C6441" s="427">
        <f t="shared" si="200"/>
        <v>2009</v>
      </c>
      <c r="D6441" s="433">
        <f t="shared" si="201"/>
        <v>2109.08</v>
      </c>
    </row>
    <row r="6442" spans="1:4" ht="16.149999999999999" customHeight="1" x14ac:dyDescent="0.25">
      <c r="A6442" s="431">
        <v>40002</v>
      </c>
      <c r="B6442" s="434">
        <v>2090.35</v>
      </c>
      <c r="C6442" s="427">
        <f t="shared" si="200"/>
        <v>2009</v>
      </c>
      <c r="D6442" s="433">
        <f t="shared" si="201"/>
        <v>2090.35</v>
      </c>
    </row>
    <row r="6443" spans="1:4" ht="16.149999999999999" customHeight="1" x14ac:dyDescent="0.25">
      <c r="A6443" s="431">
        <v>40003</v>
      </c>
      <c r="B6443" s="432">
        <v>2108.1999999999998</v>
      </c>
      <c r="C6443" s="427">
        <f t="shared" si="200"/>
        <v>2009</v>
      </c>
      <c r="D6443" s="433">
        <f t="shared" si="201"/>
        <v>2108.1999999999998</v>
      </c>
    </row>
    <row r="6444" spans="1:4" ht="16.149999999999999" customHeight="1" x14ac:dyDescent="0.25">
      <c r="A6444" s="431">
        <v>40004</v>
      </c>
      <c r="B6444" s="434">
        <v>2105.36</v>
      </c>
      <c r="C6444" s="427">
        <f t="shared" si="200"/>
        <v>2009</v>
      </c>
      <c r="D6444" s="433">
        <f t="shared" si="201"/>
        <v>2105.36</v>
      </c>
    </row>
    <row r="6445" spans="1:4" ht="16.149999999999999" customHeight="1" x14ac:dyDescent="0.25">
      <c r="A6445" s="431">
        <v>40005</v>
      </c>
      <c r="B6445" s="432">
        <v>2116.9899999999998</v>
      </c>
      <c r="C6445" s="427">
        <f t="shared" si="200"/>
        <v>2009</v>
      </c>
      <c r="D6445" s="433">
        <f t="shared" si="201"/>
        <v>2116.9899999999998</v>
      </c>
    </row>
    <row r="6446" spans="1:4" ht="16.149999999999999" customHeight="1" x14ac:dyDescent="0.25">
      <c r="A6446" s="431">
        <v>40006</v>
      </c>
      <c r="B6446" s="434">
        <v>2116.9899999999998</v>
      </c>
      <c r="C6446" s="427">
        <f t="shared" si="200"/>
        <v>2009</v>
      </c>
      <c r="D6446" s="433">
        <f t="shared" si="201"/>
        <v>2116.9899999999998</v>
      </c>
    </row>
    <row r="6447" spans="1:4" ht="16.149999999999999" customHeight="1" x14ac:dyDescent="0.25">
      <c r="A6447" s="431">
        <v>40007</v>
      </c>
      <c r="B6447" s="432">
        <v>2116.9899999999998</v>
      </c>
      <c r="C6447" s="427">
        <f t="shared" si="200"/>
        <v>2009</v>
      </c>
      <c r="D6447" s="433">
        <f t="shared" si="201"/>
        <v>2116.9899999999998</v>
      </c>
    </row>
    <row r="6448" spans="1:4" ht="16.149999999999999" customHeight="1" x14ac:dyDescent="0.25">
      <c r="A6448" s="431">
        <v>40008</v>
      </c>
      <c r="B6448" s="434">
        <v>2085.7399999999998</v>
      </c>
      <c r="C6448" s="427">
        <f t="shared" si="200"/>
        <v>2009</v>
      </c>
      <c r="D6448" s="433">
        <f t="shared" si="201"/>
        <v>2085.7399999999998</v>
      </c>
    </row>
    <row r="6449" spans="1:4" ht="16.149999999999999" customHeight="1" x14ac:dyDescent="0.25">
      <c r="A6449" s="431">
        <v>40009</v>
      </c>
      <c r="B6449" s="432">
        <v>2054.19</v>
      </c>
      <c r="C6449" s="427">
        <f t="shared" si="200"/>
        <v>2009</v>
      </c>
      <c r="D6449" s="433">
        <f t="shared" si="201"/>
        <v>2054.19</v>
      </c>
    </row>
    <row r="6450" spans="1:4" ht="16.149999999999999" customHeight="1" x14ac:dyDescent="0.25">
      <c r="A6450" s="431">
        <v>40010</v>
      </c>
      <c r="B6450" s="434">
        <v>2018.93</v>
      </c>
      <c r="C6450" s="427">
        <f t="shared" si="200"/>
        <v>2009</v>
      </c>
      <c r="D6450" s="433">
        <f t="shared" si="201"/>
        <v>2018.93</v>
      </c>
    </row>
    <row r="6451" spans="1:4" ht="16.149999999999999" customHeight="1" x14ac:dyDescent="0.25">
      <c r="A6451" s="431">
        <v>40011</v>
      </c>
      <c r="B6451" s="432">
        <v>2025.71</v>
      </c>
      <c r="C6451" s="427">
        <f t="shared" si="200"/>
        <v>2009</v>
      </c>
      <c r="D6451" s="433">
        <f t="shared" si="201"/>
        <v>2025.71</v>
      </c>
    </row>
    <row r="6452" spans="1:4" ht="16.149999999999999" customHeight="1" x14ac:dyDescent="0.25">
      <c r="A6452" s="431">
        <v>40012</v>
      </c>
      <c r="B6452" s="434">
        <v>2006.82</v>
      </c>
      <c r="C6452" s="427">
        <f t="shared" si="200"/>
        <v>2009</v>
      </c>
      <c r="D6452" s="433">
        <f t="shared" si="201"/>
        <v>2006.82</v>
      </c>
    </row>
    <row r="6453" spans="1:4" ht="16.149999999999999" customHeight="1" x14ac:dyDescent="0.25">
      <c r="A6453" s="431">
        <v>40013</v>
      </c>
      <c r="B6453" s="432">
        <v>2006.82</v>
      </c>
      <c r="C6453" s="427">
        <f t="shared" si="200"/>
        <v>2009</v>
      </c>
      <c r="D6453" s="433">
        <f t="shared" si="201"/>
        <v>2006.82</v>
      </c>
    </row>
    <row r="6454" spans="1:4" ht="16.149999999999999" customHeight="1" x14ac:dyDescent="0.25">
      <c r="A6454" s="431">
        <v>40014</v>
      </c>
      <c r="B6454" s="434">
        <v>2006.82</v>
      </c>
      <c r="C6454" s="427">
        <f t="shared" si="200"/>
        <v>2009</v>
      </c>
      <c r="D6454" s="433">
        <f t="shared" si="201"/>
        <v>2006.82</v>
      </c>
    </row>
    <row r="6455" spans="1:4" ht="16.149999999999999" customHeight="1" x14ac:dyDescent="0.25">
      <c r="A6455" s="431">
        <v>40015</v>
      </c>
      <c r="B6455" s="432">
        <v>2006.82</v>
      </c>
      <c r="C6455" s="427">
        <f t="shared" si="200"/>
        <v>2009</v>
      </c>
      <c r="D6455" s="433">
        <f t="shared" si="201"/>
        <v>2006.82</v>
      </c>
    </row>
    <row r="6456" spans="1:4" ht="16.149999999999999" customHeight="1" x14ac:dyDescent="0.25">
      <c r="A6456" s="431">
        <v>40016</v>
      </c>
      <c r="B6456" s="434">
        <v>1986.35</v>
      </c>
      <c r="C6456" s="427">
        <f t="shared" si="200"/>
        <v>2009</v>
      </c>
      <c r="D6456" s="433">
        <f t="shared" si="201"/>
        <v>1986.35</v>
      </c>
    </row>
    <row r="6457" spans="1:4" ht="16.149999999999999" customHeight="1" x14ac:dyDescent="0.25">
      <c r="A6457" s="431">
        <v>40017</v>
      </c>
      <c r="B6457" s="432">
        <v>1975.05</v>
      </c>
      <c r="C6457" s="427">
        <f t="shared" si="200"/>
        <v>2009</v>
      </c>
      <c r="D6457" s="433">
        <f t="shared" si="201"/>
        <v>1975.05</v>
      </c>
    </row>
    <row r="6458" spans="1:4" ht="16.149999999999999" customHeight="1" x14ac:dyDescent="0.25">
      <c r="A6458" s="431">
        <v>40018</v>
      </c>
      <c r="B6458" s="434">
        <v>1953.12</v>
      </c>
      <c r="C6458" s="427">
        <f t="shared" si="200"/>
        <v>2009</v>
      </c>
      <c r="D6458" s="433">
        <f t="shared" si="201"/>
        <v>1953.12</v>
      </c>
    </row>
    <row r="6459" spans="1:4" ht="16.149999999999999" customHeight="1" x14ac:dyDescent="0.25">
      <c r="A6459" s="431">
        <v>40019</v>
      </c>
      <c r="B6459" s="432">
        <v>1970.11</v>
      </c>
      <c r="C6459" s="427">
        <f t="shared" si="200"/>
        <v>2009</v>
      </c>
      <c r="D6459" s="433">
        <f t="shared" si="201"/>
        <v>1970.11</v>
      </c>
    </row>
    <row r="6460" spans="1:4" ht="16.149999999999999" customHeight="1" x14ac:dyDescent="0.25">
      <c r="A6460" s="431">
        <v>40020</v>
      </c>
      <c r="B6460" s="434">
        <v>1970.11</v>
      </c>
      <c r="C6460" s="427">
        <f t="shared" si="200"/>
        <v>2009</v>
      </c>
      <c r="D6460" s="433">
        <f t="shared" si="201"/>
        <v>1970.11</v>
      </c>
    </row>
    <row r="6461" spans="1:4" ht="16.149999999999999" customHeight="1" x14ac:dyDescent="0.25">
      <c r="A6461" s="431">
        <v>40021</v>
      </c>
      <c r="B6461" s="432">
        <v>1970.11</v>
      </c>
      <c r="C6461" s="427">
        <f t="shared" si="200"/>
        <v>2009</v>
      </c>
      <c r="D6461" s="433">
        <f t="shared" si="201"/>
        <v>1970.11</v>
      </c>
    </row>
    <row r="6462" spans="1:4" ht="16.149999999999999" customHeight="1" x14ac:dyDescent="0.25">
      <c r="A6462" s="431">
        <v>40022</v>
      </c>
      <c r="B6462" s="434">
        <v>1982.43</v>
      </c>
      <c r="C6462" s="427">
        <f t="shared" si="200"/>
        <v>2009</v>
      </c>
      <c r="D6462" s="433">
        <f t="shared" si="201"/>
        <v>1982.43</v>
      </c>
    </row>
    <row r="6463" spans="1:4" ht="16.149999999999999" customHeight="1" x14ac:dyDescent="0.25">
      <c r="A6463" s="431">
        <v>40023</v>
      </c>
      <c r="B6463" s="432">
        <v>2013.82</v>
      </c>
      <c r="C6463" s="427">
        <f t="shared" si="200"/>
        <v>2009</v>
      </c>
      <c r="D6463" s="433">
        <f t="shared" si="201"/>
        <v>2013.82</v>
      </c>
    </row>
    <row r="6464" spans="1:4" ht="16.149999999999999" customHeight="1" x14ac:dyDescent="0.25">
      <c r="A6464" s="431">
        <v>40024</v>
      </c>
      <c r="B6464" s="434">
        <v>2073.92</v>
      </c>
      <c r="C6464" s="427">
        <f t="shared" si="200"/>
        <v>2009</v>
      </c>
      <c r="D6464" s="433">
        <f t="shared" si="201"/>
        <v>2073.92</v>
      </c>
    </row>
    <row r="6465" spans="1:4" ht="16.149999999999999" customHeight="1" x14ac:dyDescent="0.25">
      <c r="A6465" s="431">
        <v>40025</v>
      </c>
      <c r="B6465" s="432">
        <v>2043.37</v>
      </c>
      <c r="C6465" s="427">
        <f t="shared" si="200"/>
        <v>2009</v>
      </c>
      <c r="D6465" s="433">
        <f t="shared" si="201"/>
        <v>2043.37</v>
      </c>
    </row>
    <row r="6466" spans="1:4" ht="16.149999999999999" customHeight="1" x14ac:dyDescent="0.25">
      <c r="A6466" s="431">
        <v>40026</v>
      </c>
      <c r="B6466" s="434">
        <v>2040.95</v>
      </c>
      <c r="C6466" s="427">
        <f t="shared" si="200"/>
        <v>2009</v>
      </c>
      <c r="D6466" s="433">
        <f t="shared" si="201"/>
        <v>2040.95</v>
      </c>
    </row>
    <row r="6467" spans="1:4" ht="16.149999999999999" customHeight="1" x14ac:dyDescent="0.25">
      <c r="A6467" s="431">
        <v>40027</v>
      </c>
      <c r="B6467" s="432">
        <v>2040.95</v>
      </c>
      <c r="C6467" s="427">
        <f t="shared" si="200"/>
        <v>2009</v>
      </c>
      <c r="D6467" s="433">
        <f t="shared" si="201"/>
        <v>2040.95</v>
      </c>
    </row>
    <row r="6468" spans="1:4" ht="16.149999999999999" customHeight="1" x14ac:dyDescent="0.25">
      <c r="A6468" s="431">
        <v>40028</v>
      </c>
      <c r="B6468" s="434">
        <v>2040.95</v>
      </c>
      <c r="C6468" s="427">
        <f t="shared" si="200"/>
        <v>2009</v>
      </c>
      <c r="D6468" s="433">
        <f t="shared" si="201"/>
        <v>2040.95</v>
      </c>
    </row>
    <row r="6469" spans="1:4" ht="16.149999999999999" customHeight="1" x14ac:dyDescent="0.25">
      <c r="A6469" s="431">
        <v>40029</v>
      </c>
      <c r="B6469" s="432">
        <v>2008.96</v>
      </c>
      <c r="C6469" s="427">
        <f t="shared" si="200"/>
        <v>2009</v>
      </c>
      <c r="D6469" s="433">
        <f t="shared" si="201"/>
        <v>2008.96</v>
      </c>
    </row>
    <row r="6470" spans="1:4" ht="16.149999999999999" customHeight="1" x14ac:dyDescent="0.25">
      <c r="A6470" s="431">
        <v>40030</v>
      </c>
      <c r="B6470" s="434">
        <v>1992.98</v>
      </c>
      <c r="C6470" s="427">
        <f t="shared" si="200"/>
        <v>2009</v>
      </c>
      <c r="D6470" s="433">
        <f t="shared" si="201"/>
        <v>1992.98</v>
      </c>
    </row>
    <row r="6471" spans="1:4" ht="16.149999999999999" customHeight="1" x14ac:dyDescent="0.25">
      <c r="A6471" s="431">
        <v>40031</v>
      </c>
      <c r="B6471" s="432">
        <v>1987.84</v>
      </c>
      <c r="C6471" s="427">
        <f t="shared" si="200"/>
        <v>2009</v>
      </c>
      <c r="D6471" s="433">
        <f t="shared" si="201"/>
        <v>1987.84</v>
      </c>
    </row>
    <row r="6472" spans="1:4" ht="16.149999999999999" customHeight="1" x14ac:dyDescent="0.25">
      <c r="A6472" s="431">
        <v>40032</v>
      </c>
      <c r="B6472" s="434">
        <v>1997.01</v>
      </c>
      <c r="C6472" s="427">
        <f t="shared" si="200"/>
        <v>2009</v>
      </c>
      <c r="D6472" s="433">
        <f t="shared" si="201"/>
        <v>1997.01</v>
      </c>
    </row>
    <row r="6473" spans="1:4" ht="16.149999999999999" customHeight="1" x14ac:dyDescent="0.25">
      <c r="A6473" s="431">
        <v>40033</v>
      </c>
      <c r="B6473" s="432">
        <v>1997.01</v>
      </c>
      <c r="C6473" s="427">
        <f t="shared" si="200"/>
        <v>2009</v>
      </c>
      <c r="D6473" s="433">
        <f t="shared" si="201"/>
        <v>1997.01</v>
      </c>
    </row>
    <row r="6474" spans="1:4" ht="16.149999999999999" customHeight="1" x14ac:dyDescent="0.25">
      <c r="A6474" s="431">
        <v>40034</v>
      </c>
      <c r="B6474" s="434">
        <v>1997.01</v>
      </c>
      <c r="C6474" s="427">
        <f t="shared" ref="C6474:C6537" si="202">YEAR(A6474)</f>
        <v>2009</v>
      </c>
      <c r="D6474" s="433">
        <f t="shared" ref="D6474:D6537" si="203">B6474</f>
        <v>1997.01</v>
      </c>
    </row>
    <row r="6475" spans="1:4" ht="16.149999999999999" customHeight="1" x14ac:dyDescent="0.25">
      <c r="A6475" s="431">
        <v>40035</v>
      </c>
      <c r="B6475" s="432">
        <v>1997.01</v>
      </c>
      <c r="C6475" s="427">
        <f t="shared" si="202"/>
        <v>2009</v>
      </c>
      <c r="D6475" s="433">
        <f t="shared" si="203"/>
        <v>1997.01</v>
      </c>
    </row>
    <row r="6476" spans="1:4" ht="16.149999999999999" customHeight="1" x14ac:dyDescent="0.25">
      <c r="A6476" s="431">
        <v>40036</v>
      </c>
      <c r="B6476" s="434">
        <v>2022.56</v>
      </c>
      <c r="C6476" s="427">
        <f t="shared" si="202"/>
        <v>2009</v>
      </c>
      <c r="D6476" s="433">
        <f t="shared" si="203"/>
        <v>2022.56</v>
      </c>
    </row>
    <row r="6477" spans="1:4" ht="16.149999999999999" customHeight="1" x14ac:dyDescent="0.25">
      <c r="A6477" s="431">
        <v>40037</v>
      </c>
      <c r="B6477" s="432">
        <v>2050.4499999999998</v>
      </c>
      <c r="C6477" s="427">
        <f t="shared" si="202"/>
        <v>2009</v>
      </c>
      <c r="D6477" s="433">
        <f t="shared" si="203"/>
        <v>2050.4499999999998</v>
      </c>
    </row>
    <row r="6478" spans="1:4" ht="16.149999999999999" customHeight="1" x14ac:dyDescent="0.25">
      <c r="A6478" s="431">
        <v>40038</v>
      </c>
      <c r="B6478" s="434">
        <v>2026.45</v>
      </c>
      <c r="C6478" s="427">
        <f t="shared" si="202"/>
        <v>2009</v>
      </c>
      <c r="D6478" s="433">
        <f t="shared" si="203"/>
        <v>2026.45</v>
      </c>
    </row>
    <row r="6479" spans="1:4" ht="16.149999999999999" customHeight="1" x14ac:dyDescent="0.25">
      <c r="A6479" s="431">
        <v>40039</v>
      </c>
      <c r="B6479" s="432">
        <v>1999.98</v>
      </c>
      <c r="C6479" s="427">
        <f t="shared" si="202"/>
        <v>2009</v>
      </c>
      <c r="D6479" s="433">
        <f t="shared" si="203"/>
        <v>1999.98</v>
      </c>
    </row>
    <row r="6480" spans="1:4" ht="16.149999999999999" customHeight="1" x14ac:dyDescent="0.25">
      <c r="A6480" s="431">
        <v>40040</v>
      </c>
      <c r="B6480" s="434">
        <v>2016.09</v>
      </c>
      <c r="C6480" s="427">
        <f t="shared" si="202"/>
        <v>2009</v>
      </c>
      <c r="D6480" s="433">
        <f t="shared" si="203"/>
        <v>2016.09</v>
      </c>
    </row>
    <row r="6481" spans="1:4" ht="16.149999999999999" customHeight="1" x14ac:dyDescent="0.25">
      <c r="A6481" s="431">
        <v>40041</v>
      </c>
      <c r="B6481" s="432">
        <v>2016.09</v>
      </c>
      <c r="C6481" s="427">
        <f t="shared" si="202"/>
        <v>2009</v>
      </c>
      <c r="D6481" s="433">
        <f t="shared" si="203"/>
        <v>2016.09</v>
      </c>
    </row>
    <row r="6482" spans="1:4" ht="16.149999999999999" customHeight="1" x14ac:dyDescent="0.25">
      <c r="A6482" s="431">
        <v>40042</v>
      </c>
      <c r="B6482" s="434">
        <v>2016.09</v>
      </c>
      <c r="C6482" s="427">
        <f t="shared" si="202"/>
        <v>2009</v>
      </c>
      <c r="D6482" s="433">
        <f t="shared" si="203"/>
        <v>2016.09</v>
      </c>
    </row>
    <row r="6483" spans="1:4" ht="16.149999999999999" customHeight="1" x14ac:dyDescent="0.25">
      <c r="A6483" s="431">
        <v>40043</v>
      </c>
      <c r="B6483" s="432">
        <v>2016.09</v>
      </c>
      <c r="C6483" s="427">
        <f t="shared" si="202"/>
        <v>2009</v>
      </c>
      <c r="D6483" s="433">
        <f t="shared" si="203"/>
        <v>2016.09</v>
      </c>
    </row>
    <row r="6484" spans="1:4" ht="16.149999999999999" customHeight="1" x14ac:dyDescent="0.25">
      <c r="A6484" s="431">
        <v>40044</v>
      </c>
      <c r="B6484" s="434">
        <v>2037.1</v>
      </c>
      <c r="C6484" s="427">
        <f t="shared" si="202"/>
        <v>2009</v>
      </c>
      <c r="D6484" s="433">
        <f t="shared" si="203"/>
        <v>2037.1</v>
      </c>
    </row>
    <row r="6485" spans="1:4" ht="16.149999999999999" customHeight="1" x14ac:dyDescent="0.25">
      <c r="A6485" s="431">
        <v>40045</v>
      </c>
      <c r="B6485" s="432">
        <v>2041.91</v>
      </c>
      <c r="C6485" s="427">
        <f t="shared" si="202"/>
        <v>2009</v>
      </c>
      <c r="D6485" s="433">
        <f t="shared" si="203"/>
        <v>2041.91</v>
      </c>
    </row>
    <row r="6486" spans="1:4" ht="16.149999999999999" customHeight="1" x14ac:dyDescent="0.25">
      <c r="A6486" s="431">
        <v>40046</v>
      </c>
      <c r="B6486" s="434">
        <v>2012.67</v>
      </c>
      <c r="C6486" s="427">
        <f t="shared" si="202"/>
        <v>2009</v>
      </c>
      <c r="D6486" s="433">
        <f t="shared" si="203"/>
        <v>2012.67</v>
      </c>
    </row>
    <row r="6487" spans="1:4" ht="16.149999999999999" customHeight="1" x14ac:dyDescent="0.25">
      <c r="A6487" s="431">
        <v>40047</v>
      </c>
      <c r="B6487" s="432">
        <v>1997.31</v>
      </c>
      <c r="C6487" s="427">
        <f t="shared" si="202"/>
        <v>2009</v>
      </c>
      <c r="D6487" s="433">
        <f t="shared" si="203"/>
        <v>1997.31</v>
      </c>
    </row>
    <row r="6488" spans="1:4" ht="16.149999999999999" customHeight="1" x14ac:dyDescent="0.25">
      <c r="A6488" s="431">
        <v>40048</v>
      </c>
      <c r="B6488" s="434">
        <v>1997.31</v>
      </c>
      <c r="C6488" s="427">
        <f t="shared" si="202"/>
        <v>2009</v>
      </c>
      <c r="D6488" s="433">
        <f t="shared" si="203"/>
        <v>1997.31</v>
      </c>
    </row>
    <row r="6489" spans="1:4" ht="16.149999999999999" customHeight="1" x14ac:dyDescent="0.25">
      <c r="A6489" s="431">
        <v>40049</v>
      </c>
      <c r="B6489" s="432">
        <v>1997.31</v>
      </c>
      <c r="C6489" s="427">
        <f t="shared" si="202"/>
        <v>2009</v>
      </c>
      <c r="D6489" s="433">
        <f t="shared" si="203"/>
        <v>1997.31</v>
      </c>
    </row>
    <row r="6490" spans="1:4" ht="16.149999999999999" customHeight="1" x14ac:dyDescent="0.25">
      <c r="A6490" s="431">
        <v>40050</v>
      </c>
      <c r="B6490" s="434">
        <v>1997.44</v>
      </c>
      <c r="C6490" s="427">
        <f t="shared" si="202"/>
        <v>2009</v>
      </c>
      <c r="D6490" s="433">
        <f t="shared" si="203"/>
        <v>1997.44</v>
      </c>
    </row>
    <row r="6491" spans="1:4" ht="16.149999999999999" customHeight="1" x14ac:dyDescent="0.25">
      <c r="A6491" s="431">
        <v>40051</v>
      </c>
      <c r="B6491" s="432">
        <v>2007.2</v>
      </c>
      <c r="C6491" s="427">
        <f t="shared" si="202"/>
        <v>2009</v>
      </c>
      <c r="D6491" s="433">
        <f t="shared" si="203"/>
        <v>2007.2</v>
      </c>
    </row>
    <row r="6492" spans="1:4" ht="16.149999999999999" customHeight="1" x14ac:dyDescent="0.25">
      <c r="A6492" s="431">
        <v>40052</v>
      </c>
      <c r="B6492" s="434">
        <v>2044.79</v>
      </c>
      <c r="C6492" s="427">
        <f t="shared" si="202"/>
        <v>2009</v>
      </c>
      <c r="D6492" s="433">
        <f t="shared" si="203"/>
        <v>2044.79</v>
      </c>
    </row>
    <row r="6493" spans="1:4" ht="16.149999999999999" customHeight="1" x14ac:dyDescent="0.25">
      <c r="A6493" s="431">
        <v>40053</v>
      </c>
      <c r="B6493" s="432">
        <v>2043.65</v>
      </c>
      <c r="C6493" s="427">
        <f t="shared" si="202"/>
        <v>2009</v>
      </c>
      <c r="D6493" s="433">
        <f t="shared" si="203"/>
        <v>2043.65</v>
      </c>
    </row>
    <row r="6494" spans="1:4" ht="16.149999999999999" customHeight="1" x14ac:dyDescent="0.25">
      <c r="A6494" s="431">
        <v>40054</v>
      </c>
      <c r="B6494" s="434">
        <v>2035</v>
      </c>
      <c r="C6494" s="427">
        <f t="shared" si="202"/>
        <v>2009</v>
      </c>
      <c r="D6494" s="433">
        <f t="shared" si="203"/>
        <v>2035</v>
      </c>
    </row>
    <row r="6495" spans="1:4" ht="16.149999999999999" customHeight="1" x14ac:dyDescent="0.25">
      <c r="A6495" s="431">
        <v>40055</v>
      </c>
      <c r="B6495" s="432">
        <v>2035</v>
      </c>
      <c r="C6495" s="427">
        <f t="shared" si="202"/>
        <v>2009</v>
      </c>
      <c r="D6495" s="433">
        <f t="shared" si="203"/>
        <v>2035</v>
      </c>
    </row>
    <row r="6496" spans="1:4" ht="16.149999999999999" customHeight="1" x14ac:dyDescent="0.25">
      <c r="A6496" s="431">
        <v>40056</v>
      </c>
      <c r="B6496" s="434">
        <v>2035</v>
      </c>
      <c r="C6496" s="427">
        <f t="shared" si="202"/>
        <v>2009</v>
      </c>
      <c r="D6496" s="433">
        <f t="shared" si="203"/>
        <v>2035</v>
      </c>
    </row>
    <row r="6497" spans="1:4" ht="16.149999999999999" customHeight="1" x14ac:dyDescent="0.25">
      <c r="A6497" s="431">
        <v>40057</v>
      </c>
      <c r="B6497" s="432">
        <v>2057.81</v>
      </c>
      <c r="C6497" s="427">
        <f t="shared" si="202"/>
        <v>2009</v>
      </c>
      <c r="D6497" s="433">
        <f t="shared" si="203"/>
        <v>2057.81</v>
      </c>
    </row>
    <row r="6498" spans="1:4" ht="16.149999999999999" customHeight="1" x14ac:dyDescent="0.25">
      <c r="A6498" s="431">
        <v>40058</v>
      </c>
      <c r="B6498" s="434">
        <v>2068.96</v>
      </c>
      <c r="C6498" s="427">
        <f t="shared" si="202"/>
        <v>2009</v>
      </c>
      <c r="D6498" s="433">
        <f t="shared" si="203"/>
        <v>2068.96</v>
      </c>
    </row>
    <row r="6499" spans="1:4" ht="16.149999999999999" customHeight="1" x14ac:dyDescent="0.25">
      <c r="A6499" s="431">
        <v>40059</v>
      </c>
      <c r="B6499" s="432">
        <v>2065.73</v>
      </c>
      <c r="C6499" s="427">
        <f t="shared" si="202"/>
        <v>2009</v>
      </c>
      <c r="D6499" s="433">
        <f t="shared" si="203"/>
        <v>2065.73</v>
      </c>
    </row>
    <row r="6500" spans="1:4" ht="16.149999999999999" customHeight="1" x14ac:dyDescent="0.25">
      <c r="A6500" s="431">
        <v>40060</v>
      </c>
      <c r="B6500" s="434">
        <v>2029.75</v>
      </c>
      <c r="C6500" s="427">
        <f t="shared" si="202"/>
        <v>2009</v>
      </c>
      <c r="D6500" s="433">
        <f t="shared" si="203"/>
        <v>2029.75</v>
      </c>
    </row>
    <row r="6501" spans="1:4" ht="16.149999999999999" customHeight="1" x14ac:dyDescent="0.25">
      <c r="A6501" s="431">
        <v>40061</v>
      </c>
      <c r="B6501" s="432">
        <v>2018.72</v>
      </c>
      <c r="C6501" s="427">
        <f t="shared" si="202"/>
        <v>2009</v>
      </c>
      <c r="D6501" s="433">
        <f t="shared" si="203"/>
        <v>2018.72</v>
      </c>
    </row>
    <row r="6502" spans="1:4" ht="16.149999999999999" customHeight="1" x14ac:dyDescent="0.25">
      <c r="A6502" s="431">
        <v>40062</v>
      </c>
      <c r="B6502" s="434">
        <v>2018.72</v>
      </c>
      <c r="C6502" s="427">
        <f t="shared" si="202"/>
        <v>2009</v>
      </c>
      <c r="D6502" s="433">
        <f t="shared" si="203"/>
        <v>2018.72</v>
      </c>
    </row>
    <row r="6503" spans="1:4" ht="16.149999999999999" customHeight="1" x14ac:dyDescent="0.25">
      <c r="A6503" s="431">
        <v>40063</v>
      </c>
      <c r="B6503" s="432">
        <v>2018.72</v>
      </c>
      <c r="C6503" s="427">
        <f t="shared" si="202"/>
        <v>2009</v>
      </c>
      <c r="D6503" s="433">
        <f t="shared" si="203"/>
        <v>2018.72</v>
      </c>
    </row>
    <row r="6504" spans="1:4" ht="16.149999999999999" customHeight="1" x14ac:dyDescent="0.25">
      <c r="A6504" s="431">
        <v>40064</v>
      </c>
      <c r="B6504" s="434">
        <v>2018.72</v>
      </c>
      <c r="C6504" s="427">
        <f t="shared" si="202"/>
        <v>2009</v>
      </c>
      <c r="D6504" s="433">
        <f t="shared" si="203"/>
        <v>2018.72</v>
      </c>
    </row>
    <row r="6505" spans="1:4" ht="16.149999999999999" customHeight="1" x14ac:dyDescent="0.25">
      <c r="A6505" s="431">
        <v>40065</v>
      </c>
      <c r="B6505" s="432">
        <v>1994.44</v>
      </c>
      <c r="C6505" s="427">
        <f t="shared" si="202"/>
        <v>2009</v>
      </c>
      <c r="D6505" s="433">
        <f t="shared" si="203"/>
        <v>1994.44</v>
      </c>
    </row>
    <row r="6506" spans="1:4" ht="16.149999999999999" customHeight="1" x14ac:dyDescent="0.25">
      <c r="A6506" s="431">
        <v>40066</v>
      </c>
      <c r="B6506" s="434">
        <v>1998.17</v>
      </c>
      <c r="C6506" s="427">
        <f t="shared" si="202"/>
        <v>2009</v>
      </c>
      <c r="D6506" s="433">
        <f t="shared" si="203"/>
        <v>1998.17</v>
      </c>
    </row>
    <row r="6507" spans="1:4" ht="16.149999999999999" customHeight="1" x14ac:dyDescent="0.25">
      <c r="A6507" s="431">
        <v>40067</v>
      </c>
      <c r="B6507" s="432">
        <v>2008.95</v>
      </c>
      <c r="C6507" s="427">
        <f t="shared" si="202"/>
        <v>2009</v>
      </c>
      <c r="D6507" s="433">
        <f t="shared" si="203"/>
        <v>2008.95</v>
      </c>
    </row>
    <row r="6508" spans="1:4" ht="16.149999999999999" customHeight="1" x14ac:dyDescent="0.25">
      <c r="A6508" s="431">
        <v>40068</v>
      </c>
      <c r="B6508" s="434">
        <v>1985.38</v>
      </c>
      <c r="C6508" s="427">
        <f t="shared" si="202"/>
        <v>2009</v>
      </c>
      <c r="D6508" s="433">
        <f t="shared" si="203"/>
        <v>1985.38</v>
      </c>
    </row>
    <row r="6509" spans="1:4" ht="16.149999999999999" customHeight="1" x14ac:dyDescent="0.25">
      <c r="A6509" s="431">
        <v>40069</v>
      </c>
      <c r="B6509" s="432">
        <v>1985.38</v>
      </c>
      <c r="C6509" s="427">
        <f t="shared" si="202"/>
        <v>2009</v>
      </c>
      <c r="D6509" s="433">
        <f t="shared" si="203"/>
        <v>1985.38</v>
      </c>
    </row>
    <row r="6510" spans="1:4" ht="16.149999999999999" customHeight="1" x14ac:dyDescent="0.25">
      <c r="A6510" s="431">
        <v>40070</v>
      </c>
      <c r="B6510" s="434">
        <v>1985.38</v>
      </c>
      <c r="C6510" s="427">
        <f t="shared" si="202"/>
        <v>2009</v>
      </c>
      <c r="D6510" s="433">
        <f t="shared" si="203"/>
        <v>1985.38</v>
      </c>
    </row>
    <row r="6511" spans="1:4" ht="16.149999999999999" customHeight="1" x14ac:dyDescent="0.25">
      <c r="A6511" s="431">
        <v>40071</v>
      </c>
      <c r="B6511" s="432">
        <v>1998.99</v>
      </c>
      <c r="C6511" s="427">
        <f t="shared" si="202"/>
        <v>2009</v>
      </c>
      <c r="D6511" s="433">
        <f t="shared" si="203"/>
        <v>1998.99</v>
      </c>
    </row>
    <row r="6512" spans="1:4" ht="16.149999999999999" customHeight="1" x14ac:dyDescent="0.25">
      <c r="A6512" s="431">
        <v>40072</v>
      </c>
      <c r="B6512" s="434">
        <v>1986.86</v>
      </c>
      <c r="C6512" s="427">
        <f t="shared" si="202"/>
        <v>2009</v>
      </c>
      <c r="D6512" s="433">
        <f t="shared" si="203"/>
        <v>1986.86</v>
      </c>
    </row>
    <row r="6513" spans="1:4" ht="16.149999999999999" customHeight="1" x14ac:dyDescent="0.25">
      <c r="A6513" s="431">
        <v>40073</v>
      </c>
      <c r="B6513" s="432">
        <v>1960.76</v>
      </c>
      <c r="C6513" s="427">
        <f t="shared" si="202"/>
        <v>2009</v>
      </c>
      <c r="D6513" s="433">
        <f t="shared" si="203"/>
        <v>1960.76</v>
      </c>
    </row>
    <row r="6514" spans="1:4" ht="16.149999999999999" customHeight="1" x14ac:dyDescent="0.25">
      <c r="A6514" s="431">
        <v>40074</v>
      </c>
      <c r="B6514" s="434">
        <v>1962.6</v>
      </c>
      <c r="C6514" s="427">
        <f t="shared" si="202"/>
        <v>2009</v>
      </c>
      <c r="D6514" s="433">
        <f t="shared" si="203"/>
        <v>1962.6</v>
      </c>
    </row>
    <row r="6515" spans="1:4" ht="16.149999999999999" customHeight="1" x14ac:dyDescent="0.25">
      <c r="A6515" s="431">
        <v>40075</v>
      </c>
      <c r="B6515" s="432">
        <v>1951.38</v>
      </c>
      <c r="C6515" s="427">
        <f t="shared" si="202"/>
        <v>2009</v>
      </c>
      <c r="D6515" s="433">
        <f t="shared" si="203"/>
        <v>1951.38</v>
      </c>
    </row>
    <row r="6516" spans="1:4" ht="16.149999999999999" customHeight="1" x14ac:dyDescent="0.25">
      <c r="A6516" s="431">
        <v>40076</v>
      </c>
      <c r="B6516" s="434">
        <v>1951.38</v>
      </c>
      <c r="C6516" s="427">
        <f t="shared" si="202"/>
        <v>2009</v>
      </c>
      <c r="D6516" s="433">
        <f t="shared" si="203"/>
        <v>1951.38</v>
      </c>
    </row>
    <row r="6517" spans="1:4" ht="16.149999999999999" customHeight="1" x14ac:dyDescent="0.25">
      <c r="A6517" s="431">
        <v>40077</v>
      </c>
      <c r="B6517" s="432">
        <v>1951.38</v>
      </c>
      <c r="C6517" s="427">
        <f t="shared" si="202"/>
        <v>2009</v>
      </c>
      <c r="D6517" s="433">
        <f t="shared" si="203"/>
        <v>1951.38</v>
      </c>
    </row>
    <row r="6518" spans="1:4" ht="16.149999999999999" customHeight="1" x14ac:dyDescent="0.25">
      <c r="A6518" s="431">
        <v>40078</v>
      </c>
      <c r="B6518" s="434">
        <v>1950.77</v>
      </c>
      <c r="C6518" s="427">
        <f t="shared" si="202"/>
        <v>2009</v>
      </c>
      <c r="D6518" s="433">
        <f t="shared" si="203"/>
        <v>1950.77</v>
      </c>
    </row>
    <row r="6519" spans="1:4" ht="16.149999999999999" customHeight="1" x14ac:dyDescent="0.25">
      <c r="A6519" s="431">
        <v>40079</v>
      </c>
      <c r="B6519" s="432">
        <v>1914.47</v>
      </c>
      <c r="C6519" s="427">
        <f t="shared" si="202"/>
        <v>2009</v>
      </c>
      <c r="D6519" s="433">
        <f t="shared" si="203"/>
        <v>1914.47</v>
      </c>
    </row>
    <row r="6520" spans="1:4" ht="16.149999999999999" customHeight="1" x14ac:dyDescent="0.25">
      <c r="A6520" s="431">
        <v>40080</v>
      </c>
      <c r="B6520" s="434">
        <v>1911.66</v>
      </c>
      <c r="C6520" s="427">
        <f t="shared" si="202"/>
        <v>2009</v>
      </c>
      <c r="D6520" s="433">
        <f t="shared" si="203"/>
        <v>1911.66</v>
      </c>
    </row>
    <row r="6521" spans="1:4" ht="16.149999999999999" customHeight="1" x14ac:dyDescent="0.25">
      <c r="A6521" s="431">
        <v>40081</v>
      </c>
      <c r="B6521" s="432">
        <v>1922.5</v>
      </c>
      <c r="C6521" s="427">
        <f t="shared" si="202"/>
        <v>2009</v>
      </c>
      <c r="D6521" s="433">
        <f t="shared" si="203"/>
        <v>1922.5</v>
      </c>
    </row>
    <row r="6522" spans="1:4" ht="16.149999999999999" customHeight="1" x14ac:dyDescent="0.25">
      <c r="A6522" s="431">
        <v>40082</v>
      </c>
      <c r="B6522" s="434">
        <v>1926.59</v>
      </c>
      <c r="C6522" s="427">
        <f t="shared" si="202"/>
        <v>2009</v>
      </c>
      <c r="D6522" s="433">
        <f t="shared" si="203"/>
        <v>1926.59</v>
      </c>
    </row>
    <row r="6523" spans="1:4" ht="16.149999999999999" customHeight="1" x14ac:dyDescent="0.25">
      <c r="A6523" s="431">
        <v>40083</v>
      </c>
      <c r="B6523" s="432">
        <v>1926.59</v>
      </c>
      <c r="C6523" s="427">
        <f t="shared" si="202"/>
        <v>2009</v>
      </c>
      <c r="D6523" s="433">
        <f t="shared" si="203"/>
        <v>1926.59</v>
      </c>
    </row>
    <row r="6524" spans="1:4" ht="16.149999999999999" customHeight="1" x14ac:dyDescent="0.25">
      <c r="A6524" s="431">
        <v>40084</v>
      </c>
      <c r="B6524" s="434">
        <v>1926.59</v>
      </c>
      <c r="C6524" s="427">
        <f t="shared" si="202"/>
        <v>2009</v>
      </c>
      <c r="D6524" s="433">
        <f t="shared" si="203"/>
        <v>1926.59</v>
      </c>
    </row>
    <row r="6525" spans="1:4" ht="16.149999999999999" customHeight="1" x14ac:dyDescent="0.25">
      <c r="A6525" s="431">
        <v>40085</v>
      </c>
      <c r="B6525" s="432">
        <v>1921.64</v>
      </c>
      <c r="C6525" s="427">
        <f t="shared" si="202"/>
        <v>2009</v>
      </c>
      <c r="D6525" s="433">
        <f t="shared" si="203"/>
        <v>1921.64</v>
      </c>
    </row>
    <row r="6526" spans="1:4" ht="16.149999999999999" customHeight="1" x14ac:dyDescent="0.25">
      <c r="A6526" s="431">
        <v>40086</v>
      </c>
      <c r="B6526" s="434">
        <v>1922</v>
      </c>
      <c r="C6526" s="427">
        <f t="shared" si="202"/>
        <v>2009</v>
      </c>
      <c r="D6526" s="433">
        <f t="shared" si="203"/>
        <v>1922</v>
      </c>
    </row>
    <row r="6527" spans="1:4" ht="16.149999999999999" customHeight="1" x14ac:dyDescent="0.25">
      <c r="A6527" s="431">
        <v>40087</v>
      </c>
      <c r="B6527" s="432">
        <v>1925.49</v>
      </c>
      <c r="C6527" s="427">
        <f t="shared" si="202"/>
        <v>2009</v>
      </c>
      <c r="D6527" s="433">
        <f t="shared" si="203"/>
        <v>1925.49</v>
      </c>
    </row>
    <row r="6528" spans="1:4" ht="16.149999999999999" customHeight="1" x14ac:dyDescent="0.25">
      <c r="A6528" s="431">
        <v>40088</v>
      </c>
      <c r="B6528" s="434">
        <v>1918.87</v>
      </c>
      <c r="C6528" s="427">
        <f t="shared" si="202"/>
        <v>2009</v>
      </c>
      <c r="D6528" s="433">
        <f t="shared" si="203"/>
        <v>1918.87</v>
      </c>
    </row>
    <row r="6529" spans="1:4" ht="16.149999999999999" customHeight="1" x14ac:dyDescent="0.25">
      <c r="A6529" s="431">
        <v>40089</v>
      </c>
      <c r="B6529" s="432">
        <v>1919.75</v>
      </c>
      <c r="C6529" s="427">
        <f t="shared" si="202"/>
        <v>2009</v>
      </c>
      <c r="D6529" s="433">
        <f t="shared" si="203"/>
        <v>1919.75</v>
      </c>
    </row>
    <row r="6530" spans="1:4" ht="16.149999999999999" customHeight="1" x14ac:dyDescent="0.25">
      <c r="A6530" s="431">
        <v>40090</v>
      </c>
      <c r="B6530" s="434">
        <v>1919.75</v>
      </c>
      <c r="C6530" s="427">
        <f t="shared" si="202"/>
        <v>2009</v>
      </c>
      <c r="D6530" s="433">
        <f t="shared" si="203"/>
        <v>1919.75</v>
      </c>
    </row>
    <row r="6531" spans="1:4" ht="16.149999999999999" customHeight="1" x14ac:dyDescent="0.25">
      <c r="A6531" s="431">
        <v>40091</v>
      </c>
      <c r="B6531" s="432">
        <v>1919.75</v>
      </c>
      <c r="C6531" s="427">
        <f t="shared" si="202"/>
        <v>2009</v>
      </c>
      <c r="D6531" s="433">
        <f t="shared" si="203"/>
        <v>1919.75</v>
      </c>
    </row>
    <row r="6532" spans="1:4" ht="16.149999999999999" customHeight="1" x14ac:dyDescent="0.25">
      <c r="A6532" s="431">
        <v>40092</v>
      </c>
      <c r="B6532" s="434">
        <v>1925.57</v>
      </c>
      <c r="C6532" s="427">
        <f t="shared" si="202"/>
        <v>2009</v>
      </c>
      <c r="D6532" s="433">
        <f t="shared" si="203"/>
        <v>1925.57</v>
      </c>
    </row>
    <row r="6533" spans="1:4" ht="16.149999999999999" customHeight="1" x14ac:dyDescent="0.25">
      <c r="A6533" s="431">
        <v>40093</v>
      </c>
      <c r="B6533" s="432">
        <v>1906.59</v>
      </c>
      <c r="C6533" s="427">
        <f t="shared" si="202"/>
        <v>2009</v>
      </c>
      <c r="D6533" s="433">
        <f t="shared" si="203"/>
        <v>1906.59</v>
      </c>
    </row>
    <row r="6534" spans="1:4" ht="16.149999999999999" customHeight="1" x14ac:dyDescent="0.25">
      <c r="A6534" s="431">
        <v>40094</v>
      </c>
      <c r="B6534" s="434">
        <v>1897.31</v>
      </c>
      <c r="C6534" s="427">
        <f t="shared" si="202"/>
        <v>2009</v>
      </c>
      <c r="D6534" s="433">
        <f t="shared" si="203"/>
        <v>1897.31</v>
      </c>
    </row>
    <row r="6535" spans="1:4" ht="16.149999999999999" customHeight="1" x14ac:dyDescent="0.25">
      <c r="A6535" s="431">
        <v>40095</v>
      </c>
      <c r="B6535" s="432">
        <v>1870.96</v>
      </c>
      <c r="C6535" s="427">
        <f t="shared" si="202"/>
        <v>2009</v>
      </c>
      <c r="D6535" s="433">
        <f t="shared" si="203"/>
        <v>1870.96</v>
      </c>
    </row>
    <row r="6536" spans="1:4" ht="16.149999999999999" customHeight="1" x14ac:dyDescent="0.25">
      <c r="A6536" s="431">
        <v>40096</v>
      </c>
      <c r="B6536" s="434">
        <v>1857.21</v>
      </c>
      <c r="C6536" s="427">
        <f t="shared" si="202"/>
        <v>2009</v>
      </c>
      <c r="D6536" s="433">
        <f t="shared" si="203"/>
        <v>1857.21</v>
      </c>
    </row>
    <row r="6537" spans="1:4" ht="16.149999999999999" customHeight="1" x14ac:dyDescent="0.25">
      <c r="A6537" s="431">
        <v>40097</v>
      </c>
      <c r="B6537" s="432">
        <v>1857.21</v>
      </c>
      <c r="C6537" s="427">
        <f t="shared" si="202"/>
        <v>2009</v>
      </c>
      <c r="D6537" s="433">
        <f t="shared" si="203"/>
        <v>1857.21</v>
      </c>
    </row>
    <row r="6538" spans="1:4" ht="16.149999999999999" customHeight="1" x14ac:dyDescent="0.25">
      <c r="A6538" s="431">
        <v>40098</v>
      </c>
      <c r="B6538" s="434">
        <v>1857.21</v>
      </c>
      <c r="C6538" s="427">
        <f t="shared" ref="C6538:C6601" si="204">YEAR(A6538)</f>
        <v>2009</v>
      </c>
      <c r="D6538" s="433">
        <f t="shared" ref="D6538:D6601" si="205">B6538</f>
        <v>1857.21</v>
      </c>
    </row>
    <row r="6539" spans="1:4" ht="16.149999999999999" customHeight="1" x14ac:dyDescent="0.25">
      <c r="A6539" s="431">
        <v>40099</v>
      </c>
      <c r="B6539" s="432">
        <v>1857.21</v>
      </c>
      <c r="C6539" s="427">
        <f t="shared" si="204"/>
        <v>2009</v>
      </c>
      <c r="D6539" s="433">
        <f t="shared" si="205"/>
        <v>1857.21</v>
      </c>
    </row>
    <row r="6540" spans="1:4" ht="16.149999999999999" customHeight="1" x14ac:dyDescent="0.25">
      <c r="A6540" s="431">
        <v>40100</v>
      </c>
      <c r="B6540" s="434">
        <v>1825.68</v>
      </c>
      <c r="C6540" s="427">
        <f t="shared" si="204"/>
        <v>2009</v>
      </c>
      <c r="D6540" s="433">
        <f t="shared" si="205"/>
        <v>1825.68</v>
      </c>
    </row>
    <row r="6541" spans="1:4" ht="16.149999999999999" customHeight="1" x14ac:dyDescent="0.25">
      <c r="A6541" s="431">
        <v>40101</v>
      </c>
      <c r="B6541" s="432">
        <v>1830.38</v>
      </c>
      <c r="C6541" s="427">
        <f t="shared" si="204"/>
        <v>2009</v>
      </c>
      <c r="D6541" s="433">
        <f t="shared" si="205"/>
        <v>1830.38</v>
      </c>
    </row>
    <row r="6542" spans="1:4" ht="16.149999999999999" customHeight="1" x14ac:dyDescent="0.25">
      <c r="A6542" s="431">
        <v>40102</v>
      </c>
      <c r="B6542" s="434">
        <v>1838.26</v>
      </c>
      <c r="C6542" s="427">
        <f t="shared" si="204"/>
        <v>2009</v>
      </c>
      <c r="D6542" s="433">
        <f t="shared" si="205"/>
        <v>1838.26</v>
      </c>
    </row>
    <row r="6543" spans="1:4" ht="16.149999999999999" customHeight="1" x14ac:dyDescent="0.25">
      <c r="A6543" s="431">
        <v>40103</v>
      </c>
      <c r="B6543" s="432">
        <v>1843.81</v>
      </c>
      <c r="C6543" s="427">
        <f t="shared" si="204"/>
        <v>2009</v>
      </c>
      <c r="D6543" s="433">
        <f t="shared" si="205"/>
        <v>1843.81</v>
      </c>
    </row>
    <row r="6544" spans="1:4" ht="16.149999999999999" customHeight="1" x14ac:dyDescent="0.25">
      <c r="A6544" s="431">
        <v>40104</v>
      </c>
      <c r="B6544" s="434">
        <v>1843.81</v>
      </c>
      <c r="C6544" s="427">
        <f t="shared" si="204"/>
        <v>2009</v>
      </c>
      <c r="D6544" s="433">
        <f t="shared" si="205"/>
        <v>1843.81</v>
      </c>
    </row>
    <row r="6545" spans="1:4" ht="16.149999999999999" customHeight="1" x14ac:dyDescent="0.25">
      <c r="A6545" s="431">
        <v>40105</v>
      </c>
      <c r="B6545" s="432">
        <v>1843.81</v>
      </c>
      <c r="C6545" s="427">
        <f t="shared" si="204"/>
        <v>2009</v>
      </c>
      <c r="D6545" s="433">
        <f t="shared" si="205"/>
        <v>1843.81</v>
      </c>
    </row>
    <row r="6546" spans="1:4" ht="16.149999999999999" customHeight="1" x14ac:dyDescent="0.25">
      <c r="A6546" s="431">
        <v>40106</v>
      </c>
      <c r="B6546" s="434">
        <v>1858.4</v>
      </c>
      <c r="C6546" s="427">
        <f t="shared" si="204"/>
        <v>2009</v>
      </c>
      <c r="D6546" s="433">
        <f t="shared" si="205"/>
        <v>1858.4</v>
      </c>
    </row>
    <row r="6547" spans="1:4" ht="16.149999999999999" customHeight="1" x14ac:dyDescent="0.25">
      <c r="A6547" s="431">
        <v>40107</v>
      </c>
      <c r="B6547" s="432">
        <v>1913.98</v>
      </c>
      <c r="C6547" s="427">
        <f t="shared" si="204"/>
        <v>2009</v>
      </c>
      <c r="D6547" s="433">
        <f t="shared" si="205"/>
        <v>1913.98</v>
      </c>
    </row>
    <row r="6548" spans="1:4" ht="16.149999999999999" customHeight="1" x14ac:dyDescent="0.25">
      <c r="A6548" s="431">
        <v>40108</v>
      </c>
      <c r="B6548" s="434">
        <v>1910.04</v>
      </c>
      <c r="C6548" s="427">
        <f t="shared" si="204"/>
        <v>2009</v>
      </c>
      <c r="D6548" s="433">
        <f t="shared" si="205"/>
        <v>1910.04</v>
      </c>
    </row>
    <row r="6549" spans="1:4" ht="16.149999999999999" customHeight="1" x14ac:dyDescent="0.25">
      <c r="A6549" s="431">
        <v>40109</v>
      </c>
      <c r="B6549" s="432">
        <v>1914.89</v>
      </c>
      <c r="C6549" s="427">
        <f t="shared" si="204"/>
        <v>2009</v>
      </c>
      <c r="D6549" s="433">
        <f t="shared" si="205"/>
        <v>1914.89</v>
      </c>
    </row>
    <row r="6550" spans="1:4" ht="16.149999999999999" customHeight="1" x14ac:dyDescent="0.25">
      <c r="A6550" s="431">
        <v>40110</v>
      </c>
      <c r="B6550" s="434">
        <v>1924.35</v>
      </c>
      <c r="C6550" s="427">
        <f t="shared" si="204"/>
        <v>2009</v>
      </c>
      <c r="D6550" s="433">
        <f t="shared" si="205"/>
        <v>1924.35</v>
      </c>
    </row>
    <row r="6551" spans="1:4" ht="16.149999999999999" customHeight="1" x14ac:dyDescent="0.25">
      <c r="A6551" s="431">
        <v>40111</v>
      </c>
      <c r="B6551" s="432">
        <v>1924.35</v>
      </c>
      <c r="C6551" s="427">
        <f t="shared" si="204"/>
        <v>2009</v>
      </c>
      <c r="D6551" s="433">
        <f t="shared" si="205"/>
        <v>1924.35</v>
      </c>
    </row>
    <row r="6552" spans="1:4" ht="16.149999999999999" customHeight="1" x14ac:dyDescent="0.25">
      <c r="A6552" s="431">
        <v>40112</v>
      </c>
      <c r="B6552" s="434">
        <v>1924.35</v>
      </c>
      <c r="C6552" s="427">
        <f t="shared" si="204"/>
        <v>2009</v>
      </c>
      <c r="D6552" s="433">
        <f t="shared" si="205"/>
        <v>1924.35</v>
      </c>
    </row>
    <row r="6553" spans="1:4" ht="16.149999999999999" customHeight="1" x14ac:dyDescent="0.25">
      <c r="A6553" s="431">
        <v>40113</v>
      </c>
      <c r="B6553" s="432">
        <v>1932.81</v>
      </c>
      <c r="C6553" s="427">
        <f t="shared" si="204"/>
        <v>2009</v>
      </c>
      <c r="D6553" s="433">
        <f t="shared" si="205"/>
        <v>1932.81</v>
      </c>
    </row>
    <row r="6554" spans="1:4" ht="16.149999999999999" customHeight="1" x14ac:dyDescent="0.25">
      <c r="A6554" s="431">
        <v>40114</v>
      </c>
      <c r="B6554" s="434">
        <v>1977.26</v>
      </c>
      <c r="C6554" s="427">
        <f t="shared" si="204"/>
        <v>2009</v>
      </c>
      <c r="D6554" s="433">
        <f t="shared" si="205"/>
        <v>1977.26</v>
      </c>
    </row>
    <row r="6555" spans="1:4" ht="16.149999999999999" customHeight="1" x14ac:dyDescent="0.25">
      <c r="A6555" s="431">
        <v>40115</v>
      </c>
      <c r="B6555" s="432">
        <v>2006.18</v>
      </c>
      <c r="C6555" s="427">
        <f t="shared" si="204"/>
        <v>2009</v>
      </c>
      <c r="D6555" s="433">
        <f t="shared" si="205"/>
        <v>2006.18</v>
      </c>
    </row>
    <row r="6556" spans="1:4" ht="16.149999999999999" customHeight="1" x14ac:dyDescent="0.25">
      <c r="A6556" s="431">
        <v>40116</v>
      </c>
      <c r="B6556" s="434">
        <v>2004.37</v>
      </c>
      <c r="C6556" s="427">
        <f t="shared" si="204"/>
        <v>2009</v>
      </c>
      <c r="D6556" s="433">
        <f t="shared" si="205"/>
        <v>2004.37</v>
      </c>
    </row>
    <row r="6557" spans="1:4" ht="16.149999999999999" customHeight="1" x14ac:dyDescent="0.25">
      <c r="A6557" s="431">
        <v>40117</v>
      </c>
      <c r="B6557" s="432">
        <v>1993.8</v>
      </c>
      <c r="C6557" s="427">
        <f t="shared" si="204"/>
        <v>2009</v>
      </c>
      <c r="D6557" s="433">
        <f t="shared" si="205"/>
        <v>1993.8</v>
      </c>
    </row>
    <row r="6558" spans="1:4" ht="16.149999999999999" customHeight="1" x14ac:dyDescent="0.25">
      <c r="A6558" s="431">
        <v>40118</v>
      </c>
      <c r="B6558" s="434">
        <v>1993.8</v>
      </c>
      <c r="C6558" s="427">
        <f t="shared" si="204"/>
        <v>2009</v>
      </c>
      <c r="D6558" s="433">
        <f t="shared" si="205"/>
        <v>1993.8</v>
      </c>
    </row>
    <row r="6559" spans="1:4" ht="16.149999999999999" customHeight="1" x14ac:dyDescent="0.25">
      <c r="A6559" s="431">
        <v>40119</v>
      </c>
      <c r="B6559" s="432">
        <v>1993.8</v>
      </c>
      <c r="C6559" s="427">
        <f t="shared" si="204"/>
        <v>2009</v>
      </c>
      <c r="D6559" s="433">
        <f t="shared" si="205"/>
        <v>1993.8</v>
      </c>
    </row>
    <row r="6560" spans="1:4" ht="16.149999999999999" customHeight="1" x14ac:dyDescent="0.25">
      <c r="A6560" s="431">
        <v>40120</v>
      </c>
      <c r="B6560" s="434">
        <v>1993.8</v>
      </c>
      <c r="C6560" s="427">
        <f t="shared" si="204"/>
        <v>2009</v>
      </c>
      <c r="D6560" s="433">
        <f t="shared" si="205"/>
        <v>1993.8</v>
      </c>
    </row>
    <row r="6561" spans="1:4" ht="16.149999999999999" customHeight="1" x14ac:dyDescent="0.25">
      <c r="A6561" s="431">
        <v>40121</v>
      </c>
      <c r="B6561" s="432">
        <v>2008.72</v>
      </c>
      <c r="C6561" s="427">
        <f t="shared" si="204"/>
        <v>2009</v>
      </c>
      <c r="D6561" s="433">
        <f t="shared" si="205"/>
        <v>2008.72</v>
      </c>
    </row>
    <row r="6562" spans="1:4" ht="16.149999999999999" customHeight="1" x14ac:dyDescent="0.25">
      <c r="A6562" s="431">
        <v>40122</v>
      </c>
      <c r="B6562" s="434">
        <v>1963.7</v>
      </c>
      <c r="C6562" s="427">
        <f t="shared" si="204"/>
        <v>2009</v>
      </c>
      <c r="D6562" s="433">
        <f t="shared" si="205"/>
        <v>1963.7</v>
      </c>
    </row>
    <row r="6563" spans="1:4" ht="16.149999999999999" customHeight="1" x14ac:dyDescent="0.25">
      <c r="A6563" s="431">
        <v>40123</v>
      </c>
      <c r="B6563" s="432">
        <v>1958.24</v>
      </c>
      <c r="C6563" s="427">
        <f t="shared" si="204"/>
        <v>2009</v>
      </c>
      <c r="D6563" s="433">
        <f t="shared" si="205"/>
        <v>1958.24</v>
      </c>
    </row>
    <row r="6564" spans="1:4" ht="16.149999999999999" customHeight="1" x14ac:dyDescent="0.25">
      <c r="A6564" s="431">
        <v>40124</v>
      </c>
      <c r="B6564" s="434">
        <v>1981.61</v>
      </c>
      <c r="C6564" s="427">
        <f t="shared" si="204"/>
        <v>2009</v>
      </c>
      <c r="D6564" s="433">
        <f t="shared" si="205"/>
        <v>1981.61</v>
      </c>
    </row>
    <row r="6565" spans="1:4" ht="16.149999999999999" customHeight="1" x14ac:dyDescent="0.25">
      <c r="A6565" s="431">
        <v>40125</v>
      </c>
      <c r="B6565" s="432">
        <v>1981.61</v>
      </c>
      <c r="C6565" s="427">
        <f t="shared" si="204"/>
        <v>2009</v>
      </c>
      <c r="D6565" s="433">
        <f t="shared" si="205"/>
        <v>1981.61</v>
      </c>
    </row>
    <row r="6566" spans="1:4" ht="16.149999999999999" customHeight="1" x14ac:dyDescent="0.25">
      <c r="A6566" s="431">
        <v>40126</v>
      </c>
      <c r="B6566" s="434">
        <v>1981.61</v>
      </c>
      <c r="C6566" s="427">
        <f t="shared" si="204"/>
        <v>2009</v>
      </c>
      <c r="D6566" s="433">
        <f t="shared" si="205"/>
        <v>1981.61</v>
      </c>
    </row>
    <row r="6567" spans="1:4" ht="16.149999999999999" customHeight="1" x14ac:dyDescent="0.25">
      <c r="A6567" s="431">
        <v>40127</v>
      </c>
      <c r="B6567" s="432">
        <v>1968.45</v>
      </c>
      <c r="C6567" s="427">
        <f t="shared" si="204"/>
        <v>2009</v>
      </c>
      <c r="D6567" s="433">
        <f t="shared" si="205"/>
        <v>1968.45</v>
      </c>
    </row>
    <row r="6568" spans="1:4" ht="16.149999999999999" customHeight="1" x14ac:dyDescent="0.25">
      <c r="A6568" s="431">
        <v>40128</v>
      </c>
      <c r="B6568" s="434">
        <v>1969.52</v>
      </c>
      <c r="C6568" s="427">
        <f t="shared" si="204"/>
        <v>2009</v>
      </c>
      <c r="D6568" s="433">
        <f t="shared" si="205"/>
        <v>1969.52</v>
      </c>
    </row>
    <row r="6569" spans="1:4" ht="16.149999999999999" customHeight="1" x14ac:dyDescent="0.25">
      <c r="A6569" s="431">
        <v>40129</v>
      </c>
      <c r="B6569" s="432">
        <v>1969.52</v>
      </c>
      <c r="C6569" s="427">
        <f t="shared" si="204"/>
        <v>2009</v>
      </c>
      <c r="D6569" s="433">
        <f t="shared" si="205"/>
        <v>1969.52</v>
      </c>
    </row>
    <row r="6570" spans="1:4" ht="16.149999999999999" customHeight="1" x14ac:dyDescent="0.25">
      <c r="A6570" s="431">
        <v>40130</v>
      </c>
      <c r="B6570" s="434">
        <v>1976.89</v>
      </c>
      <c r="C6570" s="427">
        <f t="shared" si="204"/>
        <v>2009</v>
      </c>
      <c r="D6570" s="433">
        <f t="shared" si="205"/>
        <v>1976.89</v>
      </c>
    </row>
    <row r="6571" spans="1:4" ht="16.149999999999999" customHeight="1" x14ac:dyDescent="0.25">
      <c r="A6571" s="431">
        <v>40131</v>
      </c>
      <c r="B6571" s="432">
        <v>1971.27</v>
      </c>
      <c r="C6571" s="427">
        <f t="shared" si="204"/>
        <v>2009</v>
      </c>
      <c r="D6571" s="433">
        <f t="shared" si="205"/>
        <v>1971.27</v>
      </c>
    </row>
    <row r="6572" spans="1:4" ht="16.149999999999999" customHeight="1" x14ac:dyDescent="0.25">
      <c r="A6572" s="431">
        <v>40132</v>
      </c>
      <c r="B6572" s="434">
        <v>1971.27</v>
      </c>
      <c r="C6572" s="427">
        <f t="shared" si="204"/>
        <v>2009</v>
      </c>
      <c r="D6572" s="433">
        <f t="shared" si="205"/>
        <v>1971.27</v>
      </c>
    </row>
    <row r="6573" spans="1:4" ht="16.149999999999999" customHeight="1" x14ac:dyDescent="0.25">
      <c r="A6573" s="431">
        <v>40133</v>
      </c>
      <c r="B6573" s="432">
        <v>1971.27</v>
      </c>
      <c r="C6573" s="427">
        <f t="shared" si="204"/>
        <v>2009</v>
      </c>
      <c r="D6573" s="433">
        <f t="shared" si="205"/>
        <v>1971.27</v>
      </c>
    </row>
    <row r="6574" spans="1:4" ht="16.149999999999999" customHeight="1" x14ac:dyDescent="0.25">
      <c r="A6574" s="431">
        <v>40134</v>
      </c>
      <c r="B6574" s="434">
        <v>1971.27</v>
      </c>
      <c r="C6574" s="427">
        <f t="shared" si="204"/>
        <v>2009</v>
      </c>
      <c r="D6574" s="433">
        <f t="shared" si="205"/>
        <v>1971.27</v>
      </c>
    </row>
    <row r="6575" spans="1:4" ht="16.149999999999999" customHeight="1" x14ac:dyDescent="0.25">
      <c r="A6575" s="431">
        <v>40135</v>
      </c>
      <c r="B6575" s="432">
        <v>1966.22</v>
      </c>
      <c r="C6575" s="427">
        <f t="shared" si="204"/>
        <v>2009</v>
      </c>
      <c r="D6575" s="433">
        <f t="shared" si="205"/>
        <v>1966.22</v>
      </c>
    </row>
    <row r="6576" spans="1:4" ht="16.149999999999999" customHeight="1" x14ac:dyDescent="0.25">
      <c r="A6576" s="431">
        <v>40136</v>
      </c>
      <c r="B6576" s="434">
        <v>1953.45</v>
      </c>
      <c r="C6576" s="427">
        <f t="shared" si="204"/>
        <v>2009</v>
      </c>
      <c r="D6576" s="433">
        <f t="shared" si="205"/>
        <v>1953.45</v>
      </c>
    </row>
    <row r="6577" spans="1:4" ht="16.149999999999999" customHeight="1" x14ac:dyDescent="0.25">
      <c r="A6577" s="431">
        <v>40137</v>
      </c>
      <c r="B6577" s="432">
        <v>1962.33</v>
      </c>
      <c r="C6577" s="427">
        <f t="shared" si="204"/>
        <v>2009</v>
      </c>
      <c r="D6577" s="433">
        <f t="shared" si="205"/>
        <v>1962.33</v>
      </c>
    </row>
    <row r="6578" spans="1:4" ht="16.149999999999999" customHeight="1" x14ac:dyDescent="0.25">
      <c r="A6578" s="431">
        <v>40138</v>
      </c>
      <c r="B6578" s="434">
        <v>1974.47</v>
      </c>
      <c r="C6578" s="427">
        <f t="shared" si="204"/>
        <v>2009</v>
      </c>
      <c r="D6578" s="433">
        <f t="shared" si="205"/>
        <v>1974.47</v>
      </c>
    </row>
    <row r="6579" spans="1:4" ht="16.149999999999999" customHeight="1" x14ac:dyDescent="0.25">
      <c r="A6579" s="431">
        <v>40139</v>
      </c>
      <c r="B6579" s="432">
        <v>1974.47</v>
      </c>
      <c r="C6579" s="427">
        <f t="shared" si="204"/>
        <v>2009</v>
      </c>
      <c r="D6579" s="433">
        <f t="shared" si="205"/>
        <v>1974.47</v>
      </c>
    </row>
    <row r="6580" spans="1:4" ht="16.149999999999999" customHeight="1" x14ac:dyDescent="0.25">
      <c r="A6580" s="431">
        <v>40140</v>
      </c>
      <c r="B6580" s="434">
        <v>1974.47</v>
      </c>
      <c r="C6580" s="427">
        <f t="shared" si="204"/>
        <v>2009</v>
      </c>
      <c r="D6580" s="433">
        <f t="shared" si="205"/>
        <v>1974.47</v>
      </c>
    </row>
    <row r="6581" spans="1:4" ht="16.149999999999999" customHeight="1" x14ac:dyDescent="0.25">
      <c r="A6581" s="431">
        <v>40141</v>
      </c>
      <c r="B6581" s="432">
        <v>1964.92</v>
      </c>
      <c r="C6581" s="427">
        <f t="shared" si="204"/>
        <v>2009</v>
      </c>
      <c r="D6581" s="433">
        <f t="shared" si="205"/>
        <v>1964.92</v>
      </c>
    </row>
    <row r="6582" spans="1:4" ht="16.149999999999999" customHeight="1" x14ac:dyDescent="0.25">
      <c r="A6582" s="431">
        <v>40142</v>
      </c>
      <c r="B6582" s="434">
        <v>1969.01</v>
      </c>
      <c r="C6582" s="427">
        <f t="shared" si="204"/>
        <v>2009</v>
      </c>
      <c r="D6582" s="433">
        <f t="shared" si="205"/>
        <v>1969.01</v>
      </c>
    </row>
    <row r="6583" spans="1:4" ht="16.149999999999999" customHeight="1" x14ac:dyDescent="0.25">
      <c r="A6583" s="431">
        <v>40143</v>
      </c>
      <c r="B6583" s="432">
        <v>1974.14</v>
      </c>
      <c r="C6583" s="427">
        <f t="shared" si="204"/>
        <v>2009</v>
      </c>
      <c r="D6583" s="433">
        <f t="shared" si="205"/>
        <v>1974.14</v>
      </c>
    </row>
    <row r="6584" spans="1:4" ht="16.149999999999999" customHeight="1" x14ac:dyDescent="0.25">
      <c r="A6584" s="431">
        <v>40144</v>
      </c>
      <c r="B6584" s="434">
        <v>1974.14</v>
      </c>
      <c r="C6584" s="427">
        <f t="shared" si="204"/>
        <v>2009</v>
      </c>
      <c r="D6584" s="433">
        <f t="shared" si="205"/>
        <v>1974.14</v>
      </c>
    </row>
    <row r="6585" spans="1:4" ht="16.149999999999999" customHeight="1" x14ac:dyDescent="0.25">
      <c r="A6585" s="431">
        <v>40145</v>
      </c>
      <c r="B6585" s="432">
        <v>1997.47</v>
      </c>
      <c r="C6585" s="427">
        <f t="shared" si="204"/>
        <v>2009</v>
      </c>
      <c r="D6585" s="433">
        <f t="shared" si="205"/>
        <v>1997.47</v>
      </c>
    </row>
    <row r="6586" spans="1:4" ht="16.149999999999999" customHeight="1" x14ac:dyDescent="0.25">
      <c r="A6586" s="431">
        <v>40146</v>
      </c>
      <c r="B6586" s="434">
        <v>1997.47</v>
      </c>
      <c r="C6586" s="427">
        <f t="shared" si="204"/>
        <v>2009</v>
      </c>
      <c r="D6586" s="433">
        <f t="shared" si="205"/>
        <v>1997.47</v>
      </c>
    </row>
    <row r="6587" spans="1:4" ht="16.149999999999999" customHeight="1" x14ac:dyDescent="0.25">
      <c r="A6587" s="431">
        <v>40147</v>
      </c>
      <c r="B6587" s="432">
        <v>1997.47</v>
      </c>
      <c r="C6587" s="427">
        <f t="shared" si="204"/>
        <v>2009</v>
      </c>
      <c r="D6587" s="433">
        <f t="shared" si="205"/>
        <v>1997.47</v>
      </c>
    </row>
    <row r="6588" spans="1:4" ht="16.149999999999999" customHeight="1" x14ac:dyDescent="0.25">
      <c r="A6588" s="431">
        <v>40148</v>
      </c>
      <c r="B6588" s="434">
        <v>1998.45</v>
      </c>
      <c r="C6588" s="427">
        <f t="shared" si="204"/>
        <v>2009</v>
      </c>
      <c r="D6588" s="433">
        <f t="shared" si="205"/>
        <v>1998.45</v>
      </c>
    </row>
    <row r="6589" spans="1:4" ht="16.149999999999999" customHeight="1" x14ac:dyDescent="0.25">
      <c r="A6589" s="431">
        <v>40149</v>
      </c>
      <c r="B6589" s="432">
        <v>1990.29</v>
      </c>
      <c r="C6589" s="427">
        <f t="shared" si="204"/>
        <v>2009</v>
      </c>
      <c r="D6589" s="433">
        <f t="shared" si="205"/>
        <v>1990.29</v>
      </c>
    </row>
    <row r="6590" spans="1:4" ht="16.149999999999999" customHeight="1" x14ac:dyDescent="0.25">
      <c r="A6590" s="431">
        <v>40150</v>
      </c>
      <c r="B6590" s="434">
        <v>1990.8</v>
      </c>
      <c r="C6590" s="427">
        <f t="shared" si="204"/>
        <v>2009</v>
      </c>
      <c r="D6590" s="433">
        <f t="shared" si="205"/>
        <v>1990.8</v>
      </c>
    </row>
    <row r="6591" spans="1:4" ht="16.149999999999999" customHeight="1" x14ac:dyDescent="0.25">
      <c r="A6591" s="431">
        <v>40151</v>
      </c>
      <c r="B6591" s="432">
        <v>1989.94</v>
      </c>
      <c r="C6591" s="427">
        <f t="shared" si="204"/>
        <v>2009</v>
      </c>
      <c r="D6591" s="433">
        <f t="shared" si="205"/>
        <v>1989.94</v>
      </c>
    </row>
    <row r="6592" spans="1:4" ht="16.149999999999999" customHeight="1" x14ac:dyDescent="0.25">
      <c r="A6592" s="431">
        <v>40152</v>
      </c>
      <c r="B6592" s="434">
        <v>2003.94</v>
      </c>
      <c r="C6592" s="427">
        <f t="shared" si="204"/>
        <v>2009</v>
      </c>
      <c r="D6592" s="433">
        <f t="shared" si="205"/>
        <v>2003.94</v>
      </c>
    </row>
    <row r="6593" spans="1:4" ht="16.149999999999999" customHeight="1" x14ac:dyDescent="0.25">
      <c r="A6593" s="431">
        <v>40153</v>
      </c>
      <c r="B6593" s="432">
        <v>2003.94</v>
      </c>
      <c r="C6593" s="427">
        <f t="shared" si="204"/>
        <v>2009</v>
      </c>
      <c r="D6593" s="433">
        <f t="shared" si="205"/>
        <v>2003.94</v>
      </c>
    </row>
    <row r="6594" spans="1:4" ht="16.149999999999999" customHeight="1" x14ac:dyDescent="0.25">
      <c r="A6594" s="431">
        <v>40154</v>
      </c>
      <c r="B6594" s="434">
        <v>2003.94</v>
      </c>
      <c r="C6594" s="427">
        <f t="shared" si="204"/>
        <v>2009</v>
      </c>
      <c r="D6594" s="433">
        <f t="shared" si="205"/>
        <v>2003.94</v>
      </c>
    </row>
    <row r="6595" spans="1:4" ht="16.149999999999999" customHeight="1" x14ac:dyDescent="0.25">
      <c r="A6595" s="431">
        <v>40155</v>
      </c>
      <c r="B6595" s="432">
        <v>2009.45</v>
      </c>
      <c r="C6595" s="427">
        <f t="shared" si="204"/>
        <v>2009</v>
      </c>
      <c r="D6595" s="433">
        <f t="shared" si="205"/>
        <v>2009.45</v>
      </c>
    </row>
    <row r="6596" spans="1:4" ht="16.149999999999999" customHeight="1" x14ac:dyDescent="0.25">
      <c r="A6596" s="431">
        <v>40156</v>
      </c>
      <c r="B6596" s="434">
        <v>2009.45</v>
      </c>
      <c r="C6596" s="427">
        <f t="shared" si="204"/>
        <v>2009</v>
      </c>
      <c r="D6596" s="433">
        <f t="shared" si="205"/>
        <v>2009.45</v>
      </c>
    </row>
    <row r="6597" spans="1:4" ht="16.149999999999999" customHeight="1" x14ac:dyDescent="0.25">
      <c r="A6597" s="431">
        <v>40157</v>
      </c>
      <c r="B6597" s="432">
        <v>2016.73</v>
      </c>
      <c r="C6597" s="427">
        <f t="shared" si="204"/>
        <v>2009</v>
      </c>
      <c r="D6597" s="433">
        <f t="shared" si="205"/>
        <v>2016.73</v>
      </c>
    </row>
    <row r="6598" spans="1:4" ht="16.149999999999999" customHeight="1" x14ac:dyDescent="0.25">
      <c r="A6598" s="431">
        <v>40158</v>
      </c>
      <c r="B6598" s="434">
        <v>2016.17</v>
      </c>
      <c r="C6598" s="427">
        <f t="shared" si="204"/>
        <v>2009</v>
      </c>
      <c r="D6598" s="433">
        <f t="shared" si="205"/>
        <v>2016.17</v>
      </c>
    </row>
    <row r="6599" spans="1:4" ht="16.149999999999999" customHeight="1" x14ac:dyDescent="0.25">
      <c r="A6599" s="431">
        <v>40159</v>
      </c>
      <c r="B6599" s="432">
        <v>2000.54</v>
      </c>
      <c r="C6599" s="427">
        <f t="shared" si="204"/>
        <v>2009</v>
      </c>
      <c r="D6599" s="433">
        <f t="shared" si="205"/>
        <v>2000.54</v>
      </c>
    </row>
    <row r="6600" spans="1:4" ht="16.149999999999999" customHeight="1" x14ac:dyDescent="0.25">
      <c r="A6600" s="431">
        <v>40160</v>
      </c>
      <c r="B6600" s="434">
        <v>2000.54</v>
      </c>
      <c r="C6600" s="427">
        <f t="shared" si="204"/>
        <v>2009</v>
      </c>
      <c r="D6600" s="433">
        <f t="shared" si="205"/>
        <v>2000.54</v>
      </c>
    </row>
    <row r="6601" spans="1:4" ht="16.149999999999999" customHeight="1" x14ac:dyDescent="0.25">
      <c r="A6601" s="431">
        <v>40161</v>
      </c>
      <c r="B6601" s="432">
        <v>2000.54</v>
      </c>
      <c r="C6601" s="427">
        <f t="shared" si="204"/>
        <v>2009</v>
      </c>
      <c r="D6601" s="433">
        <f t="shared" si="205"/>
        <v>2000.54</v>
      </c>
    </row>
    <row r="6602" spans="1:4" ht="16.149999999999999" customHeight="1" x14ac:dyDescent="0.25">
      <c r="A6602" s="431">
        <v>40162</v>
      </c>
      <c r="B6602" s="434">
        <v>1992.1</v>
      </c>
      <c r="C6602" s="427">
        <f t="shared" ref="C6602:C6665" si="206">YEAR(A6602)</f>
        <v>2009</v>
      </c>
      <c r="D6602" s="433">
        <f t="shared" ref="D6602:D6665" si="207">B6602</f>
        <v>1992.1</v>
      </c>
    </row>
    <row r="6603" spans="1:4" ht="16.149999999999999" customHeight="1" x14ac:dyDescent="0.25">
      <c r="A6603" s="431">
        <v>40163</v>
      </c>
      <c r="B6603" s="432">
        <v>2001.86</v>
      </c>
      <c r="C6603" s="427">
        <f t="shared" si="206"/>
        <v>2009</v>
      </c>
      <c r="D6603" s="433">
        <f t="shared" si="207"/>
        <v>2001.86</v>
      </c>
    </row>
    <row r="6604" spans="1:4" ht="16.149999999999999" customHeight="1" x14ac:dyDescent="0.25">
      <c r="A6604" s="431">
        <v>40164</v>
      </c>
      <c r="B6604" s="434">
        <v>2005.09</v>
      </c>
      <c r="C6604" s="427">
        <f t="shared" si="206"/>
        <v>2009</v>
      </c>
      <c r="D6604" s="433">
        <f t="shared" si="207"/>
        <v>2005.09</v>
      </c>
    </row>
    <row r="6605" spans="1:4" ht="16.149999999999999" customHeight="1" x14ac:dyDescent="0.25">
      <c r="A6605" s="431">
        <v>40165</v>
      </c>
      <c r="B6605" s="432">
        <v>2015.74</v>
      </c>
      <c r="C6605" s="427">
        <f t="shared" si="206"/>
        <v>2009</v>
      </c>
      <c r="D6605" s="433">
        <f t="shared" si="207"/>
        <v>2015.74</v>
      </c>
    </row>
    <row r="6606" spans="1:4" ht="16.149999999999999" customHeight="1" x14ac:dyDescent="0.25">
      <c r="A6606" s="431">
        <v>40166</v>
      </c>
      <c r="B6606" s="434">
        <v>2025.85</v>
      </c>
      <c r="C6606" s="427">
        <f t="shared" si="206"/>
        <v>2009</v>
      </c>
      <c r="D6606" s="433">
        <f t="shared" si="207"/>
        <v>2025.85</v>
      </c>
    </row>
    <row r="6607" spans="1:4" ht="16.149999999999999" customHeight="1" x14ac:dyDescent="0.25">
      <c r="A6607" s="431">
        <v>40167</v>
      </c>
      <c r="B6607" s="432">
        <v>2025.85</v>
      </c>
      <c r="C6607" s="427">
        <f t="shared" si="206"/>
        <v>2009</v>
      </c>
      <c r="D6607" s="433">
        <f t="shared" si="207"/>
        <v>2025.85</v>
      </c>
    </row>
    <row r="6608" spans="1:4" ht="16.149999999999999" customHeight="1" x14ac:dyDescent="0.25">
      <c r="A6608" s="431">
        <v>40168</v>
      </c>
      <c r="B6608" s="434">
        <v>2025.85</v>
      </c>
      <c r="C6608" s="427">
        <f t="shared" si="206"/>
        <v>2009</v>
      </c>
      <c r="D6608" s="433">
        <f t="shared" si="207"/>
        <v>2025.85</v>
      </c>
    </row>
    <row r="6609" spans="1:4" ht="16.149999999999999" customHeight="1" x14ac:dyDescent="0.25">
      <c r="A6609" s="431">
        <v>40169</v>
      </c>
      <c r="B6609" s="432">
        <v>2030.17</v>
      </c>
      <c r="C6609" s="427">
        <f t="shared" si="206"/>
        <v>2009</v>
      </c>
      <c r="D6609" s="433">
        <f t="shared" si="207"/>
        <v>2030.17</v>
      </c>
    </row>
    <row r="6610" spans="1:4" ht="16.149999999999999" customHeight="1" x14ac:dyDescent="0.25">
      <c r="A6610" s="431">
        <v>40170</v>
      </c>
      <c r="B6610" s="434">
        <v>2054.1</v>
      </c>
      <c r="C6610" s="427">
        <f t="shared" si="206"/>
        <v>2009</v>
      </c>
      <c r="D6610" s="433">
        <f t="shared" si="207"/>
        <v>2054.1</v>
      </c>
    </row>
    <row r="6611" spans="1:4" ht="16.149999999999999" customHeight="1" x14ac:dyDescent="0.25">
      <c r="A6611" s="431">
        <v>40171</v>
      </c>
      <c r="B6611" s="432">
        <v>2045.07</v>
      </c>
      <c r="C6611" s="427">
        <f t="shared" si="206"/>
        <v>2009</v>
      </c>
      <c r="D6611" s="433">
        <f t="shared" si="207"/>
        <v>2045.07</v>
      </c>
    </row>
    <row r="6612" spans="1:4" ht="16.149999999999999" customHeight="1" x14ac:dyDescent="0.25">
      <c r="A6612" s="431">
        <v>40172</v>
      </c>
      <c r="B6612" s="434">
        <v>2043.41</v>
      </c>
      <c r="C6612" s="427">
        <f t="shared" si="206"/>
        <v>2009</v>
      </c>
      <c r="D6612" s="433">
        <f t="shared" si="207"/>
        <v>2043.41</v>
      </c>
    </row>
    <row r="6613" spans="1:4" ht="16.149999999999999" customHeight="1" x14ac:dyDescent="0.25">
      <c r="A6613" s="431">
        <v>40173</v>
      </c>
      <c r="B6613" s="432">
        <v>2043.41</v>
      </c>
      <c r="C6613" s="427">
        <f t="shared" si="206"/>
        <v>2009</v>
      </c>
      <c r="D6613" s="433">
        <f t="shared" si="207"/>
        <v>2043.41</v>
      </c>
    </row>
    <row r="6614" spans="1:4" ht="16.149999999999999" customHeight="1" x14ac:dyDescent="0.25">
      <c r="A6614" s="431">
        <v>40174</v>
      </c>
      <c r="B6614" s="434">
        <v>2043.41</v>
      </c>
      <c r="C6614" s="427">
        <f t="shared" si="206"/>
        <v>2009</v>
      </c>
      <c r="D6614" s="433">
        <f t="shared" si="207"/>
        <v>2043.41</v>
      </c>
    </row>
    <row r="6615" spans="1:4" ht="16.149999999999999" customHeight="1" x14ac:dyDescent="0.25">
      <c r="A6615" s="431">
        <v>40175</v>
      </c>
      <c r="B6615" s="432">
        <v>2043.41</v>
      </c>
      <c r="C6615" s="427">
        <f t="shared" si="206"/>
        <v>2009</v>
      </c>
      <c r="D6615" s="433">
        <f t="shared" si="207"/>
        <v>2043.41</v>
      </c>
    </row>
    <row r="6616" spans="1:4" ht="16.149999999999999" customHeight="1" x14ac:dyDescent="0.25">
      <c r="A6616" s="431">
        <v>40176</v>
      </c>
      <c r="B6616" s="434">
        <v>2037.92</v>
      </c>
      <c r="C6616" s="427">
        <f t="shared" si="206"/>
        <v>2009</v>
      </c>
      <c r="D6616" s="433">
        <f t="shared" si="207"/>
        <v>2037.92</v>
      </c>
    </row>
    <row r="6617" spans="1:4" ht="16.149999999999999" customHeight="1" x14ac:dyDescent="0.25">
      <c r="A6617" s="431">
        <v>40177</v>
      </c>
      <c r="B6617" s="432">
        <v>2046.2</v>
      </c>
      <c r="C6617" s="427">
        <f t="shared" si="206"/>
        <v>2009</v>
      </c>
      <c r="D6617" s="433">
        <f t="shared" si="207"/>
        <v>2046.2</v>
      </c>
    </row>
    <row r="6618" spans="1:4" ht="16.149999999999999" customHeight="1" x14ac:dyDescent="0.25">
      <c r="A6618" s="431">
        <v>40178</v>
      </c>
      <c r="B6618" s="434">
        <v>2044.23</v>
      </c>
      <c r="C6618" s="427">
        <f t="shared" si="206"/>
        <v>2009</v>
      </c>
      <c r="D6618" s="433">
        <f t="shared" si="207"/>
        <v>2044.23</v>
      </c>
    </row>
    <row r="6619" spans="1:4" ht="16.149999999999999" customHeight="1" x14ac:dyDescent="0.25">
      <c r="A6619" s="431">
        <v>40179</v>
      </c>
      <c r="B6619" s="432">
        <v>2044.23</v>
      </c>
      <c r="C6619" s="427">
        <f t="shared" si="206"/>
        <v>2010</v>
      </c>
      <c r="D6619" s="433">
        <f t="shared" si="207"/>
        <v>2044.23</v>
      </c>
    </row>
    <row r="6620" spans="1:4" ht="16.149999999999999" customHeight="1" x14ac:dyDescent="0.25">
      <c r="A6620" s="431">
        <v>40180</v>
      </c>
      <c r="B6620" s="434">
        <v>2044.23</v>
      </c>
      <c r="C6620" s="427">
        <f t="shared" si="206"/>
        <v>2010</v>
      </c>
      <c r="D6620" s="433">
        <f t="shared" si="207"/>
        <v>2044.23</v>
      </c>
    </row>
    <row r="6621" spans="1:4" ht="16.149999999999999" customHeight="1" x14ac:dyDescent="0.25">
      <c r="A6621" s="431">
        <v>40181</v>
      </c>
      <c r="B6621" s="432">
        <v>2044.23</v>
      </c>
      <c r="C6621" s="427">
        <f t="shared" si="206"/>
        <v>2010</v>
      </c>
      <c r="D6621" s="433">
        <f t="shared" si="207"/>
        <v>2044.23</v>
      </c>
    </row>
    <row r="6622" spans="1:4" ht="16.149999999999999" customHeight="1" x14ac:dyDescent="0.25">
      <c r="A6622" s="431">
        <v>40182</v>
      </c>
      <c r="B6622" s="434">
        <v>2044.23</v>
      </c>
      <c r="C6622" s="427">
        <f t="shared" si="206"/>
        <v>2010</v>
      </c>
      <c r="D6622" s="433">
        <f t="shared" si="207"/>
        <v>2044.23</v>
      </c>
    </row>
    <row r="6623" spans="1:4" ht="16.149999999999999" customHeight="1" x14ac:dyDescent="0.25">
      <c r="A6623" s="431">
        <v>40183</v>
      </c>
      <c r="B6623" s="432">
        <v>2021.21</v>
      </c>
      <c r="C6623" s="427">
        <f t="shared" si="206"/>
        <v>2010</v>
      </c>
      <c r="D6623" s="433">
        <f t="shared" si="207"/>
        <v>2021.21</v>
      </c>
    </row>
    <row r="6624" spans="1:4" ht="16.149999999999999" customHeight="1" x14ac:dyDescent="0.25">
      <c r="A6624" s="431">
        <v>40184</v>
      </c>
      <c r="B6624" s="434">
        <v>1992.78</v>
      </c>
      <c r="C6624" s="427">
        <f t="shared" si="206"/>
        <v>2010</v>
      </c>
      <c r="D6624" s="433">
        <f t="shared" si="207"/>
        <v>1992.78</v>
      </c>
    </row>
    <row r="6625" spans="1:4" ht="16.149999999999999" customHeight="1" x14ac:dyDescent="0.25">
      <c r="A6625" s="431">
        <v>40185</v>
      </c>
      <c r="B6625" s="432">
        <v>1971.32</v>
      </c>
      <c r="C6625" s="427">
        <f t="shared" si="206"/>
        <v>2010</v>
      </c>
      <c r="D6625" s="433">
        <f t="shared" si="207"/>
        <v>1971.32</v>
      </c>
    </row>
    <row r="6626" spans="1:4" ht="16.149999999999999" customHeight="1" x14ac:dyDescent="0.25">
      <c r="A6626" s="431">
        <v>40186</v>
      </c>
      <c r="B6626" s="434">
        <v>1969.08</v>
      </c>
      <c r="C6626" s="427">
        <f t="shared" si="206"/>
        <v>2010</v>
      </c>
      <c r="D6626" s="433">
        <f t="shared" si="207"/>
        <v>1969.08</v>
      </c>
    </row>
    <row r="6627" spans="1:4" ht="16.149999999999999" customHeight="1" x14ac:dyDescent="0.25">
      <c r="A6627" s="431">
        <v>40187</v>
      </c>
      <c r="B6627" s="432">
        <v>1968.24</v>
      </c>
      <c r="C6627" s="427">
        <f t="shared" si="206"/>
        <v>2010</v>
      </c>
      <c r="D6627" s="433">
        <f t="shared" si="207"/>
        <v>1968.24</v>
      </c>
    </row>
    <row r="6628" spans="1:4" ht="16.149999999999999" customHeight="1" x14ac:dyDescent="0.25">
      <c r="A6628" s="431">
        <v>40188</v>
      </c>
      <c r="B6628" s="434">
        <v>1968.24</v>
      </c>
      <c r="C6628" s="427">
        <f t="shared" si="206"/>
        <v>2010</v>
      </c>
      <c r="D6628" s="433">
        <f t="shared" si="207"/>
        <v>1968.24</v>
      </c>
    </row>
    <row r="6629" spans="1:4" ht="16.149999999999999" customHeight="1" x14ac:dyDescent="0.25">
      <c r="A6629" s="431">
        <v>40189</v>
      </c>
      <c r="B6629" s="432">
        <v>1968.24</v>
      </c>
      <c r="C6629" s="427">
        <f t="shared" si="206"/>
        <v>2010</v>
      </c>
      <c r="D6629" s="433">
        <f t="shared" si="207"/>
        <v>1968.24</v>
      </c>
    </row>
    <row r="6630" spans="1:4" ht="16.149999999999999" customHeight="1" x14ac:dyDescent="0.25">
      <c r="A6630" s="431">
        <v>40190</v>
      </c>
      <c r="B6630" s="434">
        <v>1968.24</v>
      </c>
      <c r="C6630" s="427">
        <f t="shared" si="206"/>
        <v>2010</v>
      </c>
      <c r="D6630" s="433">
        <f t="shared" si="207"/>
        <v>1968.24</v>
      </c>
    </row>
    <row r="6631" spans="1:4" ht="16.149999999999999" customHeight="1" x14ac:dyDescent="0.25">
      <c r="A6631" s="431">
        <v>40191</v>
      </c>
      <c r="B6631" s="432">
        <v>1959.43</v>
      </c>
      <c r="C6631" s="427">
        <f t="shared" si="206"/>
        <v>2010</v>
      </c>
      <c r="D6631" s="433">
        <f t="shared" si="207"/>
        <v>1959.43</v>
      </c>
    </row>
    <row r="6632" spans="1:4" ht="16.149999999999999" customHeight="1" x14ac:dyDescent="0.25">
      <c r="A6632" s="431">
        <v>40192</v>
      </c>
      <c r="B6632" s="434">
        <v>1965.81</v>
      </c>
      <c r="C6632" s="427">
        <f t="shared" si="206"/>
        <v>2010</v>
      </c>
      <c r="D6632" s="433">
        <f t="shared" si="207"/>
        <v>1965.81</v>
      </c>
    </row>
    <row r="6633" spans="1:4" ht="16.149999999999999" customHeight="1" x14ac:dyDescent="0.25">
      <c r="A6633" s="431">
        <v>40193</v>
      </c>
      <c r="B6633" s="432">
        <v>1974.13</v>
      </c>
      <c r="C6633" s="427">
        <f t="shared" si="206"/>
        <v>2010</v>
      </c>
      <c r="D6633" s="433">
        <f t="shared" si="207"/>
        <v>1974.13</v>
      </c>
    </row>
    <row r="6634" spans="1:4" ht="16.149999999999999" customHeight="1" x14ac:dyDescent="0.25">
      <c r="A6634" s="431">
        <v>40194</v>
      </c>
      <c r="B6634" s="434">
        <v>1967.4</v>
      </c>
      <c r="C6634" s="427">
        <f t="shared" si="206"/>
        <v>2010</v>
      </c>
      <c r="D6634" s="433">
        <f t="shared" si="207"/>
        <v>1967.4</v>
      </c>
    </row>
    <row r="6635" spans="1:4" ht="16.149999999999999" customHeight="1" x14ac:dyDescent="0.25">
      <c r="A6635" s="431">
        <v>40195</v>
      </c>
      <c r="B6635" s="432">
        <v>1967.4</v>
      </c>
      <c r="C6635" s="427">
        <f t="shared" si="206"/>
        <v>2010</v>
      </c>
      <c r="D6635" s="433">
        <f t="shared" si="207"/>
        <v>1967.4</v>
      </c>
    </row>
    <row r="6636" spans="1:4" ht="16.149999999999999" customHeight="1" x14ac:dyDescent="0.25">
      <c r="A6636" s="431">
        <v>40196</v>
      </c>
      <c r="B6636" s="434">
        <v>1967.4</v>
      </c>
      <c r="C6636" s="427">
        <f t="shared" si="206"/>
        <v>2010</v>
      </c>
      <c r="D6636" s="433">
        <f t="shared" si="207"/>
        <v>1967.4</v>
      </c>
    </row>
    <row r="6637" spans="1:4" ht="16.149999999999999" customHeight="1" x14ac:dyDescent="0.25">
      <c r="A6637" s="431">
        <v>40197</v>
      </c>
      <c r="B6637" s="432">
        <v>1967.4</v>
      </c>
      <c r="C6637" s="427">
        <f t="shared" si="206"/>
        <v>2010</v>
      </c>
      <c r="D6637" s="433">
        <f t="shared" si="207"/>
        <v>1967.4</v>
      </c>
    </row>
    <row r="6638" spans="1:4" ht="16.149999999999999" customHeight="1" x14ac:dyDescent="0.25">
      <c r="A6638" s="431">
        <v>40198</v>
      </c>
      <c r="B6638" s="434">
        <v>1957.82</v>
      </c>
      <c r="C6638" s="427">
        <f t="shared" si="206"/>
        <v>2010</v>
      </c>
      <c r="D6638" s="433">
        <f t="shared" si="207"/>
        <v>1957.82</v>
      </c>
    </row>
    <row r="6639" spans="1:4" ht="16.149999999999999" customHeight="1" x14ac:dyDescent="0.25">
      <c r="A6639" s="431">
        <v>40199</v>
      </c>
      <c r="B6639" s="432">
        <v>1964.18</v>
      </c>
      <c r="C6639" s="427">
        <f t="shared" si="206"/>
        <v>2010</v>
      </c>
      <c r="D6639" s="433">
        <f t="shared" si="207"/>
        <v>1964.18</v>
      </c>
    </row>
    <row r="6640" spans="1:4" ht="16.149999999999999" customHeight="1" x14ac:dyDescent="0.25">
      <c r="A6640" s="431">
        <v>40200</v>
      </c>
      <c r="B6640" s="434">
        <v>1967.08</v>
      </c>
      <c r="C6640" s="427">
        <f t="shared" si="206"/>
        <v>2010</v>
      </c>
      <c r="D6640" s="433">
        <f t="shared" si="207"/>
        <v>1967.08</v>
      </c>
    </row>
    <row r="6641" spans="1:4" ht="16.149999999999999" customHeight="1" x14ac:dyDescent="0.25">
      <c r="A6641" s="431">
        <v>40201</v>
      </c>
      <c r="B6641" s="432">
        <v>1981.96</v>
      </c>
      <c r="C6641" s="427">
        <f t="shared" si="206"/>
        <v>2010</v>
      </c>
      <c r="D6641" s="433">
        <f t="shared" si="207"/>
        <v>1981.96</v>
      </c>
    </row>
    <row r="6642" spans="1:4" ht="16.149999999999999" customHeight="1" x14ac:dyDescent="0.25">
      <c r="A6642" s="431">
        <v>40202</v>
      </c>
      <c r="B6642" s="434">
        <v>1981.96</v>
      </c>
      <c r="C6642" s="427">
        <f t="shared" si="206"/>
        <v>2010</v>
      </c>
      <c r="D6642" s="433">
        <f t="shared" si="207"/>
        <v>1981.96</v>
      </c>
    </row>
    <row r="6643" spans="1:4" ht="16.149999999999999" customHeight="1" x14ac:dyDescent="0.25">
      <c r="A6643" s="431">
        <v>40203</v>
      </c>
      <c r="B6643" s="432">
        <v>1981.96</v>
      </c>
      <c r="C6643" s="427">
        <f t="shared" si="206"/>
        <v>2010</v>
      </c>
      <c r="D6643" s="433">
        <f t="shared" si="207"/>
        <v>1981.96</v>
      </c>
    </row>
    <row r="6644" spans="1:4" ht="16.149999999999999" customHeight="1" x14ac:dyDescent="0.25">
      <c r="A6644" s="431">
        <v>40204</v>
      </c>
      <c r="B6644" s="434">
        <v>1961.97</v>
      </c>
      <c r="C6644" s="427">
        <f t="shared" si="206"/>
        <v>2010</v>
      </c>
      <c r="D6644" s="433">
        <f t="shared" si="207"/>
        <v>1961.97</v>
      </c>
    </row>
    <row r="6645" spans="1:4" ht="16.149999999999999" customHeight="1" x14ac:dyDescent="0.25">
      <c r="A6645" s="431">
        <v>40205</v>
      </c>
      <c r="B6645" s="432">
        <v>1972.22</v>
      </c>
      <c r="C6645" s="427">
        <f t="shared" si="206"/>
        <v>2010</v>
      </c>
      <c r="D6645" s="433">
        <f t="shared" si="207"/>
        <v>1972.22</v>
      </c>
    </row>
    <row r="6646" spans="1:4" ht="16.149999999999999" customHeight="1" x14ac:dyDescent="0.25">
      <c r="A6646" s="431">
        <v>40206</v>
      </c>
      <c r="B6646" s="434">
        <v>1988.05</v>
      </c>
      <c r="C6646" s="427">
        <f t="shared" si="206"/>
        <v>2010</v>
      </c>
      <c r="D6646" s="433">
        <f t="shared" si="207"/>
        <v>1988.05</v>
      </c>
    </row>
    <row r="6647" spans="1:4" ht="16.149999999999999" customHeight="1" x14ac:dyDescent="0.25">
      <c r="A6647" s="431">
        <v>40207</v>
      </c>
      <c r="B6647" s="432">
        <v>1991.21</v>
      </c>
      <c r="C6647" s="427">
        <f t="shared" si="206"/>
        <v>2010</v>
      </c>
      <c r="D6647" s="433">
        <f t="shared" si="207"/>
        <v>1991.21</v>
      </c>
    </row>
    <row r="6648" spans="1:4" ht="16.149999999999999" customHeight="1" x14ac:dyDescent="0.25">
      <c r="A6648" s="431">
        <v>40208</v>
      </c>
      <c r="B6648" s="434">
        <v>1982.29</v>
      </c>
      <c r="C6648" s="427">
        <f t="shared" si="206"/>
        <v>2010</v>
      </c>
      <c r="D6648" s="433">
        <f t="shared" si="207"/>
        <v>1982.29</v>
      </c>
    </row>
    <row r="6649" spans="1:4" ht="16.149999999999999" customHeight="1" x14ac:dyDescent="0.25">
      <c r="A6649" s="431">
        <v>40209</v>
      </c>
      <c r="B6649" s="432">
        <v>1982.29</v>
      </c>
      <c r="C6649" s="427">
        <f t="shared" si="206"/>
        <v>2010</v>
      </c>
      <c r="D6649" s="433">
        <f t="shared" si="207"/>
        <v>1982.29</v>
      </c>
    </row>
    <row r="6650" spans="1:4" ht="16.149999999999999" customHeight="1" x14ac:dyDescent="0.25">
      <c r="A6650" s="431">
        <v>40210</v>
      </c>
      <c r="B6650" s="434">
        <v>1982.29</v>
      </c>
      <c r="C6650" s="427">
        <f t="shared" si="206"/>
        <v>2010</v>
      </c>
      <c r="D6650" s="433">
        <f t="shared" si="207"/>
        <v>1982.29</v>
      </c>
    </row>
    <row r="6651" spans="1:4" ht="16.149999999999999" customHeight="1" x14ac:dyDescent="0.25">
      <c r="A6651" s="431">
        <v>40211</v>
      </c>
      <c r="B6651" s="432">
        <v>1972.6</v>
      </c>
      <c r="C6651" s="427">
        <f t="shared" si="206"/>
        <v>2010</v>
      </c>
      <c r="D6651" s="433">
        <f t="shared" si="207"/>
        <v>1972.6</v>
      </c>
    </row>
    <row r="6652" spans="1:4" ht="16.149999999999999" customHeight="1" x14ac:dyDescent="0.25">
      <c r="A6652" s="431">
        <v>40212</v>
      </c>
      <c r="B6652" s="434">
        <v>1959.93</v>
      </c>
      <c r="C6652" s="427">
        <f t="shared" si="206"/>
        <v>2010</v>
      </c>
      <c r="D6652" s="433">
        <f t="shared" si="207"/>
        <v>1959.93</v>
      </c>
    </row>
    <row r="6653" spans="1:4" ht="16.149999999999999" customHeight="1" x14ac:dyDescent="0.25">
      <c r="A6653" s="431">
        <v>40213</v>
      </c>
      <c r="B6653" s="432">
        <v>1966.02</v>
      </c>
      <c r="C6653" s="427">
        <f t="shared" si="206"/>
        <v>2010</v>
      </c>
      <c r="D6653" s="433">
        <f t="shared" si="207"/>
        <v>1966.02</v>
      </c>
    </row>
    <row r="6654" spans="1:4" ht="16.149999999999999" customHeight="1" x14ac:dyDescent="0.25">
      <c r="A6654" s="431">
        <v>40214</v>
      </c>
      <c r="B6654" s="434">
        <v>1984.16</v>
      </c>
      <c r="C6654" s="427">
        <f t="shared" si="206"/>
        <v>2010</v>
      </c>
      <c r="D6654" s="433">
        <f t="shared" si="207"/>
        <v>1984.16</v>
      </c>
    </row>
    <row r="6655" spans="1:4" ht="16.149999999999999" customHeight="1" x14ac:dyDescent="0.25">
      <c r="A6655" s="431">
        <v>40215</v>
      </c>
      <c r="B6655" s="432">
        <v>1997.13</v>
      </c>
      <c r="C6655" s="427">
        <f t="shared" si="206"/>
        <v>2010</v>
      </c>
      <c r="D6655" s="433">
        <f t="shared" si="207"/>
        <v>1997.13</v>
      </c>
    </row>
    <row r="6656" spans="1:4" ht="16.149999999999999" customHeight="1" x14ac:dyDescent="0.25">
      <c r="A6656" s="431">
        <v>40216</v>
      </c>
      <c r="B6656" s="434">
        <v>1997.13</v>
      </c>
      <c r="C6656" s="427">
        <f t="shared" si="206"/>
        <v>2010</v>
      </c>
      <c r="D6656" s="433">
        <f t="shared" si="207"/>
        <v>1997.13</v>
      </c>
    </row>
    <row r="6657" spans="1:4" ht="16.149999999999999" customHeight="1" x14ac:dyDescent="0.25">
      <c r="A6657" s="431">
        <v>40217</v>
      </c>
      <c r="B6657" s="432">
        <v>1997.13</v>
      </c>
      <c r="C6657" s="427">
        <f t="shared" si="206"/>
        <v>2010</v>
      </c>
      <c r="D6657" s="433">
        <f t="shared" si="207"/>
        <v>1997.13</v>
      </c>
    </row>
    <row r="6658" spans="1:4" ht="16.149999999999999" customHeight="1" x14ac:dyDescent="0.25">
      <c r="A6658" s="431">
        <v>40218</v>
      </c>
      <c r="B6658" s="434">
        <v>2003.76</v>
      </c>
      <c r="C6658" s="427">
        <f t="shared" si="206"/>
        <v>2010</v>
      </c>
      <c r="D6658" s="433">
        <f t="shared" si="207"/>
        <v>2003.76</v>
      </c>
    </row>
    <row r="6659" spans="1:4" ht="16.149999999999999" customHeight="1" x14ac:dyDescent="0.25">
      <c r="A6659" s="431">
        <v>40219</v>
      </c>
      <c r="B6659" s="432">
        <v>1981.4</v>
      </c>
      <c r="C6659" s="427">
        <f t="shared" si="206"/>
        <v>2010</v>
      </c>
      <c r="D6659" s="433">
        <f t="shared" si="207"/>
        <v>1981.4</v>
      </c>
    </row>
    <row r="6660" spans="1:4" ht="16.149999999999999" customHeight="1" x14ac:dyDescent="0.25">
      <c r="A6660" s="431">
        <v>40220</v>
      </c>
      <c r="B6660" s="434">
        <v>1965.03</v>
      </c>
      <c r="C6660" s="427">
        <f t="shared" si="206"/>
        <v>2010</v>
      </c>
      <c r="D6660" s="433">
        <f t="shared" si="207"/>
        <v>1965.03</v>
      </c>
    </row>
    <row r="6661" spans="1:4" ht="16.149999999999999" customHeight="1" x14ac:dyDescent="0.25">
      <c r="A6661" s="431">
        <v>40221</v>
      </c>
      <c r="B6661" s="432">
        <v>1943.6</v>
      </c>
      <c r="C6661" s="427">
        <f t="shared" si="206"/>
        <v>2010</v>
      </c>
      <c r="D6661" s="433">
        <f t="shared" si="207"/>
        <v>1943.6</v>
      </c>
    </row>
    <row r="6662" spans="1:4" ht="16.149999999999999" customHeight="1" x14ac:dyDescent="0.25">
      <c r="A6662" s="431">
        <v>40222</v>
      </c>
      <c r="B6662" s="434">
        <v>1936.9</v>
      </c>
      <c r="C6662" s="427">
        <f t="shared" si="206"/>
        <v>2010</v>
      </c>
      <c r="D6662" s="433">
        <f t="shared" si="207"/>
        <v>1936.9</v>
      </c>
    </row>
    <row r="6663" spans="1:4" ht="16.149999999999999" customHeight="1" x14ac:dyDescent="0.25">
      <c r="A6663" s="431">
        <v>40223</v>
      </c>
      <c r="B6663" s="432">
        <v>1936.9</v>
      </c>
      <c r="C6663" s="427">
        <f t="shared" si="206"/>
        <v>2010</v>
      </c>
      <c r="D6663" s="433">
        <f t="shared" si="207"/>
        <v>1936.9</v>
      </c>
    </row>
    <row r="6664" spans="1:4" ht="16.149999999999999" customHeight="1" x14ac:dyDescent="0.25">
      <c r="A6664" s="431">
        <v>40224</v>
      </c>
      <c r="B6664" s="434">
        <v>1936.9</v>
      </c>
      <c r="C6664" s="427">
        <f t="shared" si="206"/>
        <v>2010</v>
      </c>
      <c r="D6664" s="433">
        <f t="shared" si="207"/>
        <v>1936.9</v>
      </c>
    </row>
    <row r="6665" spans="1:4" ht="16.149999999999999" customHeight="1" x14ac:dyDescent="0.25">
      <c r="A6665" s="431">
        <v>40225</v>
      </c>
      <c r="B6665" s="432">
        <v>1936.9</v>
      </c>
      <c r="C6665" s="427">
        <f t="shared" si="206"/>
        <v>2010</v>
      </c>
      <c r="D6665" s="433">
        <f t="shared" si="207"/>
        <v>1936.9</v>
      </c>
    </row>
    <row r="6666" spans="1:4" ht="16.149999999999999" customHeight="1" x14ac:dyDescent="0.25">
      <c r="A6666" s="431">
        <v>40226</v>
      </c>
      <c r="B6666" s="434">
        <v>1925.79</v>
      </c>
      <c r="C6666" s="427">
        <f t="shared" ref="C6666:C6729" si="208">YEAR(A6666)</f>
        <v>2010</v>
      </c>
      <c r="D6666" s="433">
        <f t="shared" ref="D6666:D6729" si="209">B6666</f>
        <v>1925.79</v>
      </c>
    </row>
    <row r="6667" spans="1:4" ht="16.149999999999999" customHeight="1" x14ac:dyDescent="0.25">
      <c r="A6667" s="431">
        <v>40227</v>
      </c>
      <c r="B6667" s="432">
        <v>1928.79</v>
      </c>
      <c r="C6667" s="427">
        <f t="shared" si="208"/>
        <v>2010</v>
      </c>
      <c r="D6667" s="433">
        <f t="shared" si="209"/>
        <v>1928.79</v>
      </c>
    </row>
    <row r="6668" spans="1:4" ht="16.149999999999999" customHeight="1" x14ac:dyDescent="0.25">
      <c r="A6668" s="431">
        <v>40228</v>
      </c>
      <c r="B6668" s="434">
        <v>1930.94</v>
      </c>
      <c r="C6668" s="427">
        <f t="shared" si="208"/>
        <v>2010</v>
      </c>
      <c r="D6668" s="433">
        <f t="shared" si="209"/>
        <v>1930.94</v>
      </c>
    </row>
    <row r="6669" spans="1:4" ht="16.149999999999999" customHeight="1" x14ac:dyDescent="0.25">
      <c r="A6669" s="431">
        <v>40229</v>
      </c>
      <c r="B6669" s="432">
        <v>1928.86</v>
      </c>
      <c r="C6669" s="427">
        <f t="shared" si="208"/>
        <v>2010</v>
      </c>
      <c r="D6669" s="433">
        <f t="shared" si="209"/>
        <v>1928.86</v>
      </c>
    </row>
    <row r="6670" spans="1:4" ht="16.149999999999999" customHeight="1" x14ac:dyDescent="0.25">
      <c r="A6670" s="431">
        <v>40230</v>
      </c>
      <c r="B6670" s="434">
        <v>1928.86</v>
      </c>
      <c r="C6670" s="427">
        <f t="shared" si="208"/>
        <v>2010</v>
      </c>
      <c r="D6670" s="433">
        <f t="shared" si="209"/>
        <v>1928.86</v>
      </c>
    </row>
    <row r="6671" spans="1:4" ht="16.149999999999999" customHeight="1" x14ac:dyDescent="0.25">
      <c r="A6671" s="431">
        <v>40231</v>
      </c>
      <c r="B6671" s="432">
        <v>1928.86</v>
      </c>
      <c r="C6671" s="427">
        <f t="shared" si="208"/>
        <v>2010</v>
      </c>
      <c r="D6671" s="433">
        <f t="shared" si="209"/>
        <v>1928.86</v>
      </c>
    </row>
    <row r="6672" spans="1:4" ht="16.149999999999999" customHeight="1" x14ac:dyDescent="0.25">
      <c r="A6672" s="431">
        <v>40232</v>
      </c>
      <c r="B6672" s="434">
        <v>1914.87</v>
      </c>
      <c r="C6672" s="427">
        <f t="shared" si="208"/>
        <v>2010</v>
      </c>
      <c r="D6672" s="433">
        <f t="shared" si="209"/>
        <v>1914.87</v>
      </c>
    </row>
    <row r="6673" spans="1:4" ht="16.149999999999999" customHeight="1" x14ac:dyDescent="0.25">
      <c r="A6673" s="431">
        <v>40233</v>
      </c>
      <c r="B6673" s="432">
        <v>1924.75</v>
      </c>
      <c r="C6673" s="427">
        <f t="shared" si="208"/>
        <v>2010</v>
      </c>
      <c r="D6673" s="433">
        <f t="shared" si="209"/>
        <v>1924.75</v>
      </c>
    </row>
    <row r="6674" spans="1:4" ht="16.149999999999999" customHeight="1" x14ac:dyDescent="0.25">
      <c r="A6674" s="431">
        <v>40234</v>
      </c>
      <c r="B6674" s="434">
        <v>1932.15</v>
      </c>
      <c r="C6674" s="427">
        <f t="shared" si="208"/>
        <v>2010</v>
      </c>
      <c r="D6674" s="433">
        <f t="shared" si="209"/>
        <v>1932.15</v>
      </c>
    </row>
    <row r="6675" spans="1:4" ht="16.149999999999999" customHeight="1" x14ac:dyDescent="0.25">
      <c r="A6675" s="431">
        <v>40235</v>
      </c>
      <c r="B6675" s="432">
        <v>1941.98</v>
      </c>
      <c r="C6675" s="427">
        <f t="shared" si="208"/>
        <v>2010</v>
      </c>
      <c r="D6675" s="433">
        <f t="shared" si="209"/>
        <v>1941.98</v>
      </c>
    </row>
    <row r="6676" spans="1:4" ht="16.149999999999999" customHeight="1" x14ac:dyDescent="0.25">
      <c r="A6676" s="431">
        <v>40236</v>
      </c>
      <c r="B6676" s="434">
        <v>1932.32</v>
      </c>
      <c r="C6676" s="427">
        <f t="shared" si="208"/>
        <v>2010</v>
      </c>
      <c r="D6676" s="433">
        <f t="shared" si="209"/>
        <v>1932.32</v>
      </c>
    </row>
    <row r="6677" spans="1:4" ht="16.149999999999999" customHeight="1" x14ac:dyDescent="0.25">
      <c r="A6677" s="431">
        <v>40237</v>
      </c>
      <c r="B6677" s="432">
        <v>1932.32</v>
      </c>
      <c r="C6677" s="427">
        <f t="shared" si="208"/>
        <v>2010</v>
      </c>
      <c r="D6677" s="433">
        <f t="shared" si="209"/>
        <v>1932.32</v>
      </c>
    </row>
    <row r="6678" spans="1:4" ht="16.149999999999999" customHeight="1" x14ac:dyDescent="0.25">
      <c r="A6678" s="431">
        <v>40238</v>
      </c>
      <c r="B6678" s="434">
        <v>1932.32</v>
      </c>
      <c r="C6678" s="427">
        <f t="shared" si="208"/>
        <v>2010</v>
      </c>
      <c r="D6678" s="433">
        <f t="shared" si="209"/>
        <v>1932.32</v>
      </c>
    </row>
    <row r="6679" spans="1:4" ht="16.149999999999999" customHeight="1" x14ac:dyDescent="0.25">
      <c r="A6679" s="431">
        <v>40239</v>
      </c>
      <c r="B6679" s="432">
        <v>1913.86</v>
      </c>
      <c r="C6679" s="427">
        <f t="shared" si="208"/>
        <v>2010</v>
      </c>
      <c r="D6679" s="433">
        <f t="shared" si="209"/>
        <v>1913.86</v>
      </c>
    </row>
    <row r="6680" spans="1:4" ht="16.149999999999999" customHeight="1" x14ac:dyDescent="0.25">
      <c r="A6680" s="431">
        <v>40240</v>
      </c>
      <c r="B6680" s="434">
        <v>1895.86</v>
      </c>
      <c r="C6680" s="427">
        <f t="shared" si="208"/>
        <v>2010</v>
      </c>
      <c r="D6680" s="433">
        <f t="shared" si="209"/>
        <v>1895.86</v>
      </c>
    </row>
    <row r="6681" spans="1:4" ht="16.149999999999999" customHeight="1" x14ac:dyDescent="0.25">
      <c r="A6681" s="431">
        <v>40241</v>
      </c>
      <c r="B6681" s="432">
        <v>1916.41</v>
      </c>
      <c r="C6681" s="427">
        <f t="shared" si="208"/>
        <v>2010</v>
      </c>
      <c r="D6681" s="433">
        <f t="shared" si="209"/>
        <v>1916.41</v>
      </c>
    </row>
    <row r="6682" spans="1:4" ht="16.149999999999999" customHeight="1" x14ac:dyDescent="0.25">
      <c r="A6682" s="431">
        <v>40242</v>
      </c>
      <c r="B6682" s="434">
        <v>1928.33</v>
      </c>
      <c r="C6682" s="427">
        <f t="shared" si="208"/>
        <v>2010</v>
      </c>
      <c r="D6682" s="433">
        <f t="shared" si="209"/>
        <v>1928.33</v>
      </c>
    </row>
    <row r="6683" spans="1:4" ht="16.149999999999999" customHeight="1" x14ac:dyDescent="0.25">
      <c r="A6683" s="431">
        <v>40243</v>
      </c>
      <c r="B6683" s="432">
        <v>1902.31</v>
      </c>
      <c r="C6683" s="427">
        <f t="shared" si="208"/>
        <v>2010</v>
      </c>
      <c r="D6683" s="433">
        <f t="shared" si="209"/>
        <v>1902.31</v>
      </c>
    </row>
    <row r="6684" spans="1:4" ht="16.149999999999999" customHeight="1" x14ac:dyDescent="0.25">
      <c r="A6684" s="431">
        <v>40244</v>
      </c>
      <c r="B6684" s="434">
        <v>1902.31</v>
      </c>
      <c r="C6684" s="427">
        <f t="shared" si="208"/>
        <v>2010</v>
      </c>
      <c r="D6684" s="433">
        <f t="shared" si="209"/>
        <v>1902.31</v>
      </c>
    </row>
    <row r="6685" spans="1:4" ht="16.149999999999999" customHeight="1" x14ac:dyDescent="0.25">
      <c r="A6685" s="431">
        <v>40245</v>
      </c>
      <c r="B6685" s="432">
        <v>1902.31</v>
      </c>
      <c r="C6685" s="427">
        <f t="shared" si="208"/>
        <v>2010</v>
      </c>
      <c r="D6685" s="433">
        <f t="shared" si="209"/>
        <v>1902.31</v>
      </c>
    </row>
    <row r="6686" spans="1:4" ht="16.149999999999999" customHeight="1" x14ac:dyDescent="0.25">
      <c r="A6686" s="431">
        <v>40246</v>
      </c>
      <c r="B6686" s="434">
        <v>1894.44</v>
      </c>
      <c r="C6686" s="427">
        <f t="shared" si="208"/>
        <v>2010</v>
      </c>
      <c r="D6686" s="433">
        <f t="shared" si="209"/>
        <v>1894.44</v>
      </c>
    </row>
    <row r="6687" spans="1:4" ht="16.149999999999999" customHeight="1" x14ac:dyDescent="0.25">
      <c r="A6687" s="431">
        <v>40247</v>
      </c>
      <c r="B6687" s="432">
        <v>1894.3</v>
      </c>
      <c r="C6687" s="427">
        <f t="shared" si="208"/>
        <v>2010</v>
      </c>
      <c r="D6687" s="433">
        <f t="shared" si="209"/>
        <v>1894.3</v>
      </c>
    </row>
    <row r="6688" spans="1:4" ht="16.149999999999999" customHeight="1" x14ac:dyDescent="0.25">
      <c r="A6688" s="431">
        <v>40248</v>
      </c>
      <c r="B6688" s="434">
        <v>1888.05</v>
      </c>
      <c r="C6688" s="427">
        <f t="shared" si="208"/>
        <v>2010</v>
      </c>
      <c r="D6688" s="433">
        <f t="shared" si="209"/>
        <v>1888.05</v>
      </c>
    </row>
    <row r="6689" spans="1:4" ht="16.149999999999999" customHeight="1" x14ac:dyDescent="0.25">
      <c r="A6689" s="431">
        <v>40249</v>
      </c>
      <c r="B6689" s="432">
        <v>1894.79</v>
      </c>
      <c r="C6689" s="427">
        <f t="shared" si="208"/>
        <v>2010</v>
      </c>
      <c r="D6689" s="433">
        <f t="shared" si="209"/>
        <v>1894.79</v>
      </c>
    </row>
    <row r="6690" spans="1:4" ht="16.149999999999999" customHeight="1" x14ac:dyDescent="0.25">
      <c r="A6690" s="431">
        <v>40250</v>
      </c>
      <c r="B6690" s="434">
        <v>1892.99</v>
      </c>
      <c r="C6690" s="427">
        <f t="shared" si="208"/>
        <v>2010</v>
      </c>
      <c r="D6690" s="433">
        <f t="shared" si="209"/>
        <v>1892.99</v>
      </c>
    </row>
    <row r="6691" spans="1:4" ht="16.149999999999999" customHeight="1" x14ac:dyDescent="0.25">
      <c r="A6691" s="431">
        <v>40251</v>
      </c>
      <c r="B6691" s="432">
        <v>1892.99</v>
      </c>
      <c r="C6691" s="427">
        <f t="shared" si="208"/>
        <v>2010</v>
      </c>
      <c r="D6691" s="433">
        <f t="shared" si="209"/>
        <v>1892.99</v>
      </c>
    </row>
    <row r="6692" spans="1:4" ht="16.149999999999999" customHeight="1" x14ac:dyDescent="0.25">
      <c r="A6692" s="431">
        <v>40252</v>
      </c>
      <c r="B6692" s="434">
        <v>1892.99</v>
      </c>
      <c r="C6692" s="427">
        <f t="shared" si="208"/>
        <v>2010</v>
      </c>
      <c r="D6692" s="433">
        <f t="shared" si="209"/>
        <v>1892.99</v>
      </c>
    </row>
    <row r="6693" spans="1:4" ht="16.149999999999999" customHeight="1" x14ac:dyDescent="0.25">
      <c r="A6693" s="431">
        <v>40253</v>
      </c>
      <c r="B6693" s="432">
        <v>1899.75</v>
      </c>
      <c r="C6693" s="427">
        <f t="shared" si="208"/>
        <v>2010</v>
      </c>
      <c r="D6693" s="433">
        <f t="shared" si="209"/>
        <v>1899.75</v>
      </c>
    </row>
    <row r="6694" spans="1:4" ht="16.149999999999999" customHeight="1" x14ac:dyDescent="0.25">
      <c r="A6694" s="431">
        <v>40254</v>
      </c>
      <c r="B6694" s="434">
        <v>1896.15</v>
      </c>
      <c r="C6694" s="427">
        <f t="shared" si="208"/>
        <v>2010</v>
      </c>
      <c r="D6694" s="433">
        <f t="shared" si="209"/>
        <v>1896.15</v>
      </c>
    </row>
    <row r="6695" spans="1:4" ht="16.149999999999999" customHeight="1" x14ac:dyDescent="0.25">
      <c r="A6695" s="431">
        <v>40255</v>
      </c>
      <c r="B6695" s="432">
        <v>1893.42</v>
      </c>
      <c r="C6695" s="427">
        <f t="shared" si="208"/>
        <v>2010</v>
      </c>
      <c r="D6695" s="433">
        <f t="shared" si="209"/>
        <v>1893.42</v>
      </c>
    </row>
    <row r="6696" spans="1:4" ht="16.149999999999999" customHeight="1" x14ac:dyDescent="0.25">
      <c r="A6696" s="431">
        <v>40256</v>
      </c>
      <c r="B6696" s="434">
        <v>1900.55</v>
      </c>
      <c r="C6696" s="427">
        <f t="shared" si="208"/>
        <v>2010</v>
      </c>
      <c r="D6696" s="433">
        <f t="shared" si="209"/>
        <v>1900.55</v>
      </c>
    </row>
    <row r="6697" spans="1:4" ht="16.149999999999999" customHeight="1" x14ac:dyDescent="0.25">
      <c r="A6697" s="431">
        <v>40257</v>
      </c>
      <c r="B6697" s="432">
        <v>1907.06</v>
      </c>
      <c r="C6697" s="427">
        <f t="shared" si="208"/>
        <v>2010</v>
      </c>
      <c r="D6697" s="433">
        <f t="shared" si="209"/>
        <v>1907.06</v>
      </c>
    </row>
    <row r="6698" spans="1:4" ht="16.149999999999999" customHeight="1" x14ac:dyDescent="0.25">
      <c r="A6698" s="431">
        <v>40258</v>
      </c>
      <c r="B6698" s="434">
        <v>1907.06</v>
      </c>
      <c r="C6698" s="427">
        <f t="shared" si="208"/>
        <v>2010</v>
      </c>
      <c r="D6698" s="433">
        <f t="shared" si="209"/>
        <v>1907.06</v>
      </c>
    </row>
    <row r="6699" spans="1:4" ht="16.149999999999999" customHeight="1" x14ac:dyDescent="0.25">
      <c r="A6699" s="431">
        <v>40259</v>
      </c>
      <c r="B6699" s="432">
        <v>1907.06</v>
      </c>
      <c r="C6699" s="427">
        <f t="shared" si="208"/>
        <v>2010</v>
      </c>
      <c r="D6699" s="433">
        <f t="shared" si="209"/>
        <v>1907.06</v>
      </c>
    </row>
    <row r="6700" spans="1:4" ht="16.149999999999999" customHeight="1" x14ac:dyDescent="0.25">
      <c r="A6700" s="431">
        <v>40260</v>
      </c>
      <c r="B6700" s="434">
        <v>1907.06</v>
      </c>
      <c r="C6700" s="427">
        <f t="shared" si="208"/>
        <v>2010</v>
      </c>
      <c r="D6700" s="433">
        <f t="shared" si="209"/>
        <v>1907.06</v>
      </c>
    </row>
    <row r="6701" spans="1:4" ht="16.149999999999999" customHeight="1" x14ac:dyDescent="0.25">
      <c r="A6701" s="431">
        <v>40261</v>
      </c>
      <c r="B6701" s="432">
        <v>1907.06</v>
      </c>
      <c r="C6701" s="427">
        <f t="shared" si="208"/>
        <v>2010</v>
      </c>
      <c r="D6701" s="433">
        <f t="shared" si="209"/>
        <v>1907.06</v>
      </c>
    </row>
    <row r="6702" spans="1:4" ht="16.149999999999999" customHeight="1" x14ac:dyDescent="0.25">
      <c r="A6702" s="431">
        <v>40262</v>
      </c>
      <c r="B6702" s="434">
        <v>1923.41</v>
      </c>
      <c r="C6702" s="427">
        <f t="shared" si="208"/>
        <v>2010</v>
      </c>
      <c r="D6702" s="433">
        <f t="shared" si="209"/>
        <v>1923.41</v>
      </c>
    </row>
    <row r="6703" spans="1:4" ht="16.149999999999999" customHeight="1" x14ac:dyDescent="0.25">
      <c r="A6703" s="431">
        <v>40263</v>
      </c>
      <c r="B6703" s="432">
        <v>1922.91</v>
      </c>
      <c r="C6703" s="427">
        <f t="shared" si="208"/>
        <v>2010</v>
      </c>
      <c r="D6703" s="433">
        <f t="shared" si="209"/>
        <v>1922.91</v>
      </c>
    </row>
    <row r="6704" spans="1:4" ht="16.149999999999999" customHeight="1" x14ac:dyDescent="0.25">
      <c r="A6704" s="431">
        <v>40264</v>
      </c>
      <c r="B6704" s="434">
        <v>1933.4</v>
      </c>
      <c r="C6704" s="427">
        <f t="shared" si="208"/>
        <v>2010</v>
      </c>
      <c r="D6704" s="433">
        <f t="shared" si="209"/>
        <v>1933.4</v>
      </c>
    </row>
    <row r="6705" spans="1:4" ht="16.149999999999999" customHeight="1" x14ac:dyDescent="0.25">
      <c r="A6705" s="431">
        <v>40265</v>
      </c>
      <c r="B6705" s="432">
        <v>1933.4</v>
      </c>
      <c r="C6705" s="427">
        <f t="shared" si="208"/>
        <v>2010</v>
      </c>
      <c r="D6705" s="433">
        <f t="shared" si="209"/>
        <v>1933.4</v>
      </c>
    </row>
    <row r="6706" spans="1:4" ht="16.149999999999999" customHeight="1" x14ac:dyDescent="0.25">
      <c r="A6706" s="431">
        <v>40266</v>
      </c>
      <c r="B6706" s="434">
        <v>1933.4</v>
      </c>
      <c r="C6706" s="427">
        <f t="shared" si="208"/>
        <v>2010</v>
      </c>
      <c r="D6706" s="433">
        <f t="shared" si="209"/>
        <v>1933.4</v>
      </c>
    </row>
    <row r="6707" spans="1:4" ht="16.149999999999999" customHeight="1" x14ac:dyDescent="0.25">
      <c r="A6707" s="431">
        <v>40267</v>
      </c>
      <c r="B6707" s="432">
        <v>1934.21</v>
      </c>
      <c r="C6707" s="427">
        <f t="shared" si="208"/>
        <v>2010</v>
      </c>
      <c r="D6707" s="433">
        <f t="shared" si="209"/>
        <v>1934.21</v>
      </c>
    </row>
    <row r="6708" spans="1:4" ht="16.149999999999999" customHeight="1" x14ac:dyDescent="0.25">
      <c r="A6708" s="431">
        <v>40268</v>
      </c>
      <c r="B6708" s="434">
        <v>1928.59</v>
      </c>
      <c r="C6708" s="427">
        <f t="shared" si="208"/>
        <v>2010</v>
      </c>
      <c r="D6708" s="433">
        <f t="shared" si="209"/>
        <v>1928.59</v>
      </c>
    </row>
    <row r="6709" spans="1:4" ht="16.149999999999999" customHeight="1" x14ac:dyDescent="0.25">
      <c r="A6709" s="431">
        <v>40269</v>
      </c>
      <c r="B6709" s="432">
        <v>1921.88</v>
      </c>
      <c r="C6709" s="427">
        <f t="shared" si="208"/>
        <v>2010</v>
      </c>
      <c r="D6709" s="433">
        <f t="shared" si="209"/>
        <v>1921.88</v>
      </c>
    </row>
    <row r="6710" spans="1:4" ht="16.149999999999999" customHeight="1" x14ac:dyDescent="0.25">
      <c r="A6710" s="431">
        <v>40270</v>
      </c>
      <c r="B6710" s="434">
        <v>1921.88</v>
      </c>
      <c r="C6710" s="427">
        <f t="shared" si="208"/>
        <v>2010</v>
      </c>
      <c r="D6710" s="433">
        <f t="shared" si="209"/>
        <v>1921.88</v>
      </c>
    </row>
    <row r="6711" spans="1:4" ht="16.149999999999999" customHeight="1" x14ac:dyDescent="0.25">
      <c r="A6711" s="431">
        <v>40271</v>
      </c>
      <c r="B6711" s="432">
        <v>1921.88</v>
      </c>
      <c r="C6711" s="427">
        <f t="shared" si="208"/>
        <v>2010</v>
      </c>
      <c r="D6711" s="433">
        <f t="shared" si="209"/>
        <v>1921.88</v>
      </c>
    </row>
    <row r="6712" spans="1:4" ht="16.149999999999999" customHeight="1" x14ac:dyDescent="0.25">
      <c r="A6712" s="431">
        <v>40272</v>
      </c>
      <c r="B6712" s="434">
        <v>1921.88</v>
      </c>
      <c r="C6712" s="427">
        <f t="shared" si="208"/>
        <v>2010</v>
      </c>
      <c r="D6712" s="433">
        <f t="shared" si="209"/>
        <v>1921.88</v>
      </c>
    </row>
    <row r="6713" spans="1:4" ht="16.149999999999999" customHeight="1" x14ac:dyDescent="0.25">
      <c r="A6713" s="431">
        <v>40273</v>
      </c>
      <c r="B6713" s="432">
        <v>1921.88</v>
      </c>
      <c r="C6713" s="427">
        <f t="shared" si="208"/>
        <v>2010</v>
      </c>
      <c r="D6713" s="433">
        <f t="shared" si="209"/>
        <v>1921.88</v>
      </c>
    </row>
    <row r="6714" spans="1:4" ht="16.149999999999999" customHeight="1" x14ac:dyDescent="0.25">
      <c r="A6714" s="431">
        <v>40274</v>
      </c>
      <c r="B6714" s="434">
        <v>1911.78</v>
      </c>
      <c r="C6714" s="427">
        <f t="shared" si="208"/>
        <v>2010</v>
      </c>
      <c r="D6714" s="433">
        <f t="shared" si="209"/>
        <v>1911.78</v>
      </c>
    </row>
    <row r="6715" spans="1:4" ht="16.149999999999999" customHeight="1" x14ac:dyDescent="0.25">
      <c r="A6715" s="431">
        <v>40275</v>
      </c>
      <c r="B6715" s="432">
        <v>1911.07</v>
      </c>
      <c r="C6715" s="427">
        <f t="shared" si="208"/>
        <v>2010</v>
      </c>
      <c r="D6715" s="433">
        <f t="shared" si="209"/>
        <v>1911.07</v>
      </c>
    </row>
    <row r="6716" spans="1:4" ht="16.149999999999999" customHeight="1" x14ac:dyDescent="0.25">
      <c r="A6716" s="431">
        <v>40276</v>
      </c>
      <c r="B6716" s="434">
        <v>1920.53</v>
      </c>
      <c r="C6716" s="427">
        <f t="shared" si="208"/>
        <v>2010</v>
      </c>
      <c r="D6716" s="433">
        <f t="shared" si="209"/>
        <v>1920.53</v>
      </c>
    </row>
    <row r="6717" spans="1:4" ht="16.149999999999999" customHeight="1" x14ac:dyDescent="0.25">
      <c r="A6717" s="431">
        <v>40277</v>
      </c>
      <c r="B6717" s="432">
        <v>1931.91</v>
      </c>
      <c r="C6717" s="427">
        <f t="shared" si="208"/>
        <v>2010</v>
      </c>
      <c r="D6717" s="433">
        <f t="shared" si="209"/>
        <v>1931.91</v>
      </c>
    </row>
    <row r="6718" spans="1:4" ht="16.149999999999999" customHeight="1" x14ac:dyDescent="0.25">
      <c r="A6718" s="431">
        <v>40278</v>
      </c>
      <c r="B6718" s="434">
        <v>1921.32</v>
      </c>
      <c r="C6718" s="427">
        <f t="shared" si="208"/>
        <v>2010</v>
      </c>
      <c r="D6718" s="433">
        <f t="shared" si="209"/>
        <v>1921.32</v>
      </c>
    </row>
    <row r="6719" spans="1:4" ht="16.149999999999999" customHeight="1" x14ac:dyDescent="0.25">
      <c r="A6719" s="431">
        <v>40279</v>
      </c>
      <c r="B6719" s="432">
        <v>1921.32</v>
      </c>
      <c r="C6719" s="427">
        <f t="shared" si="208"/>
        <v>2010</v>
      </c>
      <c r="D6719" s="433">
        <f t="shared" si="209"/>
        <v>1921.32</v>
      </c>
    </row>
    <row r="6720" spans="1:4" ht="16.149999999999999" customHeight="1" x14ac:dyDescent="0.25">
      <c r="A6720" s="431">
        <v>40280</v>
      </c>
      <c r="B6720" s="434">
        <v>1921.32</v>
      </c>
      <c r="C6720" s="427">
        <f t="shared" si="208"/>
        <v>2010</v>
      </c>
      <c r="D6720" s="433">
        <f t="shared" si="209"/>
        <v>1921.32</v>
      </c>
    </row>
    <row r="6721" spans="1:4" ht="16.149999999999999" customHeight="1" x14ac:dyDescent="0.25">
      <c r="A6721" s="431">
        <v>40281</v>
      </c>
      <c r="B6721" s="432">
        <v>1926.16</v>
      </c>
      <c r="C6721" s="427">
        <f t="shared" si="208"/>
        <v>2010</v>
      </c>
      <c r="D6721" s="433">
        <f t="shared" si="209"/>
        <v>1926.16</v>
      </c>
    </row>
    <row r="6722" spans="1:4" ht="16.149999999999999" customHeight="1" x14ac:dyDescent="0.25">
      <c r="A6722" s="431">
        <v>40282</v>
      </c>
      <c r="B6722" s="434">
        <v>1936.22</v>
      </c>
      <c r="C6722" s="427">
        <f t="shared" si="208"/>
        <v>2010</v>
      </c>
      <c r="D6722" s="433">
        <f t="shared" si="209"/>
        <v>1936.22</v>
      </c>
    </row>
    <row r="6723" spans="1:4" ht="16.149999999999999" customHeight="1" x14ac:dyDescent="0.25">
      <c r="A6723" s="431">
        <v>40283</v>
      </c>
      <c r="B6723" s="432">
        <v>1938.24</v>
      </c>
      <c r="C6723" s="427">
        <f t="shared" si="208"/>
        <v>2010</v>
      </c>
      <c r="D6723" s="433">
        <f t="shared" si="209"/>
        <v>1938.24</v>
      </c>
    </row>
    <row r="6724" spans="1:4" ht="16.149999999999999" customHeight="1" x14ac:dyDescent="0.25">
      <c r="A6724" s="431">
        <v>40284</v>
      </c>
      <c r="B6724" s="434">
        <v>1943.83</v>
      </c>
      <c r="C6724" s="427">
        <f t="shared" si="208"/>
        <v>2010</v>
      </c>
      <c r="D6724" s="433">
        <f t="shared" si="209"/>
        <v>1943.83</v>
      </c>
    </row>
    <row r="6725" spans="1:4" ht="16.149999999999999" customHeight="1" x14ac:dyDescent="0.25">
      <c r="A6725" s="431">
        <v>40285</v>
      </c>
      <c r="B6725" s="432">
        <v>1942.21</v>
      </c>
      <c r="C6725" s="427">
        <f t="shared" si="208"/>
        <v>2010</v>
      </c>
      <c r="D6725" s="433">
        <f t="shared" si="209"/>
        <v>1942.21</v>
      </c>
    </row>
    <row r="6726" spans="1:4" ht="16.149999999999999" customHeight="1" x14ac:dyDescent="0.25">
      <c r="A6726" s="431">
        <v>40286</v>
      </c>
      <c r="B6726" s="434">
        <v>1942.21</v>
      </c>
      <c r="C6726" s="427">
        <f t="shared" si="208"/>
        <v>2010</v>
      </c>
      <c r="D6726" s="433">
        <f t="shared" si="209"/>
        <v>1942.21</v>
      </c>
    </row>
    <row r="6727" spans="1:4" ht="16.149999999999999" customHeight="1" x14ac:dyDescent="0.25">
      <c r="A6727" s="431">
        <v>40287</v>
      </c>
      <c r="B6727" s="432">
        <v>1942.21</v>
      </c>
      <c r="C6727" s="427">
        <f t="shared" si="208"/>
        <v>2010</v>
      </c>
      <c r="D6727" s="433">
        <f t="shared" si="209"/>
        <v>1942.21</v>
      </c>
    </row>
    <row r="6728" spans="1:4" ht="16.149999999999999" customHeight="1" x14ac:dyDescent="0.25">
      <c r="A6728" s="431">
        <v>40288</v>
      </c>
      <c r="B6728" s="434">
        <v>1951.04</v>
      </c>
      <c r="C6728" s="427">
        <f t="shared" si="208"/>
        <v>2010</v>
      </c>
      <c r="D6728" s="433">
        <f t="shared" si="209"/>
        <v>1951.04</v>
      </c>
    </row>
    <row r="6729" spans="1:4" ht="16.149999999999999" customHeight="1" x14ac:dyDescent="0.25">
      <c r="A6729" s="431">
        <v>40289</v>
      </c>
      <c r="B6729" s="432">
        <v>1947.69</v>
      </c>
      <c r="C6729" s="427">
        <f t="shared" si="208"/>
        <v>2010</v>
      </c>
      <c r="D6729" s="433">
        <f t="shared" si="209"/>
        <v>1947.69</v>
      </c>
    </row>
    <row r="6730" spans="1:4" ht="16.149999999999999" customHeight="1" x14ac:dyDescent="0.25">
      <c r="A6730" s="431">
        <v>40290</v>
      </c>
      <c r="B6730" s="434">
        <v>1948.47</v>
      </c>
      <c r="C6730" s="427">
        <f t="shared" ref="C6730:C6793" si="210">YEAR(A6730)</f>
        <v>2010</v>
      </c>
      <c r="D6730" s="433">
        <f t="shared" ref="D6730:D6793" si="211">B6730</f>
        <v>1948.47</v>
      </c>
    </row>
    <row r="6731" spans="1:4" ht="16.149999999999999" customHeight="1" x14ac:dyDescent="0.25">
      <c r="A6731" s="431">
        <v>40291</v>
      </c>
      <c r="B6731" s="432">
        <v>1955.84</v>
      </c>
      <c r="C6731" s="427">
        <f t="shared" si="210"/>
        <v>2010</v>
      </c>
      <c r="D6731" s="433">
        <f t="shared" si="211"/>
        <v>1955.84</v>
      </c>
    </row>
    <row r="6732" spans="1:4" ht="16.149999999999999" customHeight="1" x14ac:dyDescent="0.25">
      <c r="A6732" s="431">
        <v>40292</v>
      </c>
      <c r="B6732" s="434">
        <v>1950.89</v>
      </c>
      <c r="C6732" s="427">
        <f t="shared" si="210"/>
        <v>2010</v>
      </c>
      <c r="D6732" s="433">
        <f t="shared" si="211"/>
        <v>1950.89</v>
      </c>
    </row>
    <row r="6733" spans="1:4" ht="16.149999999999999" customHeight="1" x14ac:dyDescent="0.25">
      <c r="A6733" s="431">
        <v>40293</v>
      </c>
      <c r="B6733" s="432">
        <v>1950.89</v>
      </c>
      <c r="C6733" s="427">
        <f t="shared" si="210"/>
        <v>2010</v>
      </c>
      <c r="D6733" s="433">
        <f t="shared" si="211"/>
        <v>1950.89</v>
      </c>
    </row>
    <row r="6734" spans="1:4" ht="16.149999999999999" customHeight="1" x14ac:dyDescent="0.25">
      <c r="A6734" s="431">
        <v>40294</v>
      </c>
      <c r="B6734" s="434">
        <v>1950.89</v>
      </c>
      <c r="C6734" s="427">
        <f t="shared" si="210"/>
        <v>2010</v>
      </c>
      <c r="D6734" s="433">
        <f t="shared" si="211"/>
        <v>1950.89</v>
      </c>
    </row>
    <row r="6735" spans="1:4" ht="16.149999999999999" customHeight="1" x14ac:dyDescent="0.25">
      <c r="A6735" s="431">
        <v>40295</v>
      </c>
      <c r="B6735" s="432">
        <v>1943.41</v>
      </c>
      <c r="C6735" s="427">
        <f t="shared" si="210"/>
        <v>2010</v>
      </c>
      <c r="D6735" s="433">
        <f t="shared" si="211"/>
        <v>1943.41</v>
      </c>
    </row>
    <row r="6736" spans="1:4" ht="16.149999999999999" customHeight="1" x14ac:dyDescent="0.25">
      <c r="A6736" s="431">
        <v>40296</v>
      </c>
      <c r="B6736" s="434">
        <v>1961.82</v>
      </c>
      <c r="C6736" s="427">
        <f t="shared" si="210"/>
        <v>2010</v>
      </c>
      <c r="D6736" s="433">
        <f t="shared" si="211"/>
        <v>1961.82</v>
      </c>
    </row>
    <row r="6737" spans="1:4" ht="16.149999999999999" customHeight="1" x14ac:dyDescent="0.25">
      <c r="A6737" s="431">
        <v>40297</v>
      </c>
      <c r="B6737" s="432">
        <v>1973.05</v>
      </c>
      <c r="C6737" s="427">
        <f t="shared" si="210"/>
        <v>2010</v>
      </c>
      <c r="D6737" s="433">
        <f t="shared" si="211"/>
        <v>1973.05</v>
      </c>
    </row>
    <row r="6738" spans="1:4" ht="16.149999999999999" customHeight="1" x14ac:dyDescent="0.25">
      <c r="A6738" s="431">
        <v>40298</v>
      </c>
      <c r="B6738" s="434">
        <v>1969.75</v>
      </c>
      <c r="C6738" s="427">
        <f t="shared" si="210"/>
        <v>2010</v>
      </c>
      <c r="D6738" s="433">
        <f t="shared" si="211"/>
        <v>1969.75</v>
      </c>
    </row>
    <row r="6739" spans="1:4" ht="16.149999999999999" customHeight="1" x14ac:dyDescent="0.25">
      <c r="A6739" s="431">
        <v>40299</v>
      </c>
      <c r="B6739" s="432">
        <v>1950.44</v>
      </c>
      <c r="C6739" s="427">
        <f t="shared" si="210"/>
        <v>2010</v>
      </c>
      <c r="D6739" s="433">
        <f t="shared" si="211"/>
        <v>1950.44</v>
      </c>
    </row>
    <row r="6740" spans="1:4" ht="16.149999999999999" customHeight="1" x14ac:dyDescent="0.25">
      <c r="A6740" s="431">
        <v>40300</v>
      </c>
      <c r="B6740" s="434">
        <v>1950.44</v>
      </c>
      <c r="C6740" s="427">
        <f t="shared" si="210"/>
        <v>2010</v>
      </c>
      <c r="D6740" s="433">
        <f t="shared" si="211"/>
        <v>1950.44</v>
      </c>
    </row>
    <row r="6741" spans="1:4" ht="16.149999999999999" customHeight="1" x14ac:dyDescent="0.25">
      <c r="A6741" s="431">
        <v>40301</v>
      </c>
      <c r="B6741" s="432">
        <v>1950.44</v>
      </c>
      <c r="C6741" s="427">
        <f t="shared" si="210"/>
        <v>2010</v>
      </c>
      <c r="D6741" s="433">
        <f t="shared" si="211"/>
        <v>1950.44</v>
      </c>
    </row>
    <row r="6742" spans="1:4" ht="16.149999999999999" customHeight="1" x14ac:dyDescent="0.25">
      <c r="A6742" s="431">
        <v>40302</v>
      </c>
      <c r="B6742" s="434">
        <v>1973.42</v>
      </c>
      <c r="C6742" s="427">
        <f t="shared" si="210"/>
        <v>2010</v>
      </c>
      <c r="D6742" s="433">
        <f t="shared" si="211"/>
        <v>1973.42</v>
      </c>
    </row>
    <row r="6743" spans="1:4" ht="16.149999999999999" customHeight="1" x14ac:dyDescent="0.25">
      <c r="A6743" s="431">
        <v>40303</v>
      </c>
      <c r="B6743" s="432">
        <v>1988.47</v>
      </c>
      <c r="C6743" s="427">
        <f t="shared" si="210"/>
        <v>2010</v>
      </c>
      <c r="D6743" s="433">
        <f t="shared" si="211"/>
        <v>1988.47</v>
      </c>
    </row>
    <row r="6744" spans="1:4" ht="16.149999999999999" customHeight="1" x14ac:dyDescent="0.25">
      <c r="A6744" s="431">
        <v>40304</v>
      </c>
      <c r="B6744" s="434">
        <v>2003.37</v>
      </c>
      <c r="C6744" s="427">
        <f t="shared" si="210"/>
        <v>2010</v>
      </c>
      <c r="D6744" s="433">
        <f t="shared" si="211"/>
        <v>2003.37</v>
      </c>
    </row>
    <row r="6745" spans="1:4" ht="16.149999999999999" customHeight="1" x14ac:dyDescent="0.25">
      <c r="A6745" s="431">
        <v>40305</v>
      </c>
      <c r="B6745" s="432">
        <v>2010.13</v>
      </c>
      <c r="C6745" s="427">
        <f t="shared" si="210"/>
        <v>2010</v>
      </c>
      <c r="D6745" s="433">
        <f t="shared" si="211"/>
        <v>2010.13</v>
      </c>
    </row>
    <row r="6746" spans="1:4" ht="16.149999999999999" customHeight="1" x14ac:dyDescent="0.25">
      <c r="A6746" s="431">
        <v>40306</v>
      </c>
      <c r="B6746" s="434">
        <v>2029.54</v>
      </c>
      <c r="C6746" s="427">
        <f t="shared" si="210"/>
        <v>2010</v>
      </c>
      <c r="D6746" s="433">
        <f t="shared" si="211"/>
        <v>2029.54</v>
      </c>
    </row>
    <row r="6747" spans="1:4" ht="16.149999999999999" customHeight="1" x14ac:dyDescent="0.25">
      <c r="A6747" s="431">
        <v>40307</v>
      </c>
      <c r="B6747" s="432">
        <v>2029.54</v>
      </c>
      <c r="C6747" s="427">
        <f t="shared" si="210"/>
        <v>2010</v>
      </c>
      <c r="D6747" s="433">
        <f t="shared" si="211"/>
        <v>2029.54</v>
      </c>
    </row>
    <row r="6748" spans="1:4" ht="16.149999999999999" customHeight="1" x14ac:dyDescent="0.25">
      <c r="A6748" s="431">
        <v>40308</v>
      </c>
      <c r="B6748" s="434">
        <v>2029.54</v>
      </c>
      <c r="C6748" s="427">
        <f t="shared" si="210"/>
        <v>2010</v>
      </c>
      <c r="D6748" s="433">
        <f t="shared" si="211"/>
        <v>2029.54</v>
      </c>
    </row>
    <row r="6749" spans="1:4" ht="16.149999999999999" customHeight="1" x14ac:dyDescent="0.25">
      <c r="A6749" s="431">
        <v>40309</v>
      </c>
      <c r="B6749" s="432">
        <v>1988.32</v>
      </c>
      <c r="C6749" s="427">
        <f t="shared" si="210"/>
        <v>2010</v>
      </c>
      <c r="D6749" s="433">
        <f t="shared" si="211"/>
        <v>1988.32</v>
      </c>
    </row>
    <row r="6750" spans="1:4" ht="16.149999999999999" customHeight="1" x14ac:dyDescent="0.25">
      <c r="A6750" s="431">
        <v>40310</v>
      </c>
      <c r="B6750" s="434">
        <v>1980.5</v>
      </c>
      <c r="C6750" s="427">
        <f t="shared" si="210"/>
        <v>2010</v>
      </c>
      <c r="D6750" s="433">
        <f t="shared" si="211"/>
        <v>1980.5</v>
      </c>
    </row>
    <row r="6751" spans="1:4" ht="16.149999999999999" customHeight="1" x14ac:dyDescent="0.25">
      <c r="A6751" s="431">
        <v>40311</v>
      </c>
      <c r="B6751" s="432">
        <v>1966.36</v>
      </c>
      <c r="C6751" s="427">
        <f t="shared" si="210"/>
        <v>2010</v>
      </c>
      <c r="D6751" s="433">
        <f t="shared" si="211"/>
        <v>1966.36</v>
      </c>
    </row>
    <row r="6752" spans="1:4" ht="16.149999999999999" customHeight="1" x14ac:dyDescent="0.25">
      <c r="A6752" s="431">
        <v>40312</v>
      </c>
      <c r="B6752" s="434">
        <v>1959.62</v>
      </c>
      <c r="C6752" s="427">
        <f t="shared" si="210"/>
        <v>2010</v>
      </c>
      <c r="D6752" s="433">
        <f t="shared" si="211"/>
        <v>1959.62</v>
      </c>
    </row>
    <row r="6753" spans="1:4" ht="16.149999999999999" customHeight="1" x14ac:dyDescent="0.25">
      <c r="A6753" s="431">
        <v>40313</v>
      </c>
      <c r="B6753" s="432">
        <v>1968.1</v>
      </c>
      <c r="C6753" s="427">
        <f t="shared" si="210"/>
        <v>2010</v>
      </c>
      <c r="D6753" s="433">
        <f t="shared" si="211"/>
        <v>1968.1</v>
      </c>
    </row>
    <row r="6754" spans="1:4" ht="16.149999999999999" customHeight="1" x14ac:dyDescent="0.25">
      <c r="A6754" s="431">
        <v>40314</v>
      </c>
      <c r="B6754" s="434">
        <v>1968.1</v>
      </c>
      <c r="C6754" s="427">
        <f t="shared" si="210"/>
        <v>2010</v>
      </c>
      <c r="D6754" s="433">
        <f t="shared" si="211"/>
        <v>1968.1</v>
      </c>
    </row>
    <row r="6755" spans="1:4" ht="16.149999999999999" customHeight="1" x14ac:dyDescent="0.25">
      <c r="A6755" s="431">
        <v>40315</v>
      </c>
      <c r="B6755" s="432">
        <v>1968.1</v>
      </c>
      <c r="C6755" s="427">
        <f t="shared" si="210"/>
        <v>2010</v>
      </c>
      <c r="D6755" s="433">
        <f t="shared" si="211"/>
        <v>1968.1</v>
      </c>
    </row>
    <row r="6756" spans="1:4" ht="16.149999999999999" customHeight="1" x14ac:dyDescent="0.25">
      <c r="A6756" s="431">
        <v>40316</v>
      </c>
      <c r="B6756" s="434">
        <v>1968.1</v>
      </c>
      <c r="C6756" s="427">
        <f t="shared" si="210"/>
        <v>2010</v>
      </c>
      <c r="D6756" s="433">
        <f t="shared" si="211"/>
        <v>1968.1</v>
      </c>
    </row>
    <row r="6757" spans="1:4" ht="16.149999999999999" customHeight="1" x14ac:dyDescent="0.25">
      <c r="A6757" s="431">
        <v>40317</v>
      </c>
      <c r="B6757" s="432">
        <v>1976.46</v>
      </c>
      <c r="C6757" s="427">
        <f t="shared" si="210"/>
        <v>2010</v>
      </c>
      <c r="D6757" s="433">
        <f t="shared" si="211"/>
        <v>1976.46</v>
      </c>
    </row>
    <row r="6758" spans="1:4" ht="16.149999999999999" customHeight="1" x14ac:dyDescent="0.25">
      <c r="A6758" s="431">
        <v>40318</v>
      </c>
      <c r="B6758" s="434">
        <v>1997.09</v>
      </c>
      <c r="C6758" s="427">
        <f t="shared" si="210"/>
        <v>2010</v>
      </c>
      <c r="D6758" s="433">
        <f t="shared" si="211"/>
        <v>1997.09</v>
      </c>
    </row>
    <row r="6759" spans="1:4" ht="16.149999999999999" customHeight="1" x14ac:dyDescent="0.25">
      <c r="A6759" s="431">
        <v>40319</v>
      </c>
      <c r="B6759" s="432">
        <v>2017.68</v>
      </c>
      <c r="C6759" s="427">
        <f t="shared" si="210"/>
        <v>2010</v>
      </c>
      <c r="D6759" s="433">
        <f t="shared" si="211"/>
        <v>2017.68</v>
      </c>
    </row>
    <row r="6760" spans="1:4" ht="16.149999999999999" customHeight="1" x14ac:dyDescent="0.25">
      <c r="A6760" s="431">
        <v>40320</v>
      </c>
      <c r="B6760" s="434">
        <v>1998.42</v>
      </c>
      <c r="C6760" s="427">
        <f t="shared" si="210"/>
        <v>2010</v>
      </c>
      <c r="D6760" s="433">
        <f t="shared" si="211"/>
        <v>1998.42</v>
      </c>
    </row>
    <row r="6761" spans="1:4" ht="16.149999999999999" customHeight="1" x14ac:dyDescent="0.25">
      <c r="A6761" s="431">
        <v>40321</v>
      </c>
      <c r="B6761" s="432">
        <v>1998.42</v>
      </c>
      <c r="C6761" s="427">
        <f t="shared" si="210"/>
        <v>2010</v>
      </c>
      <c r="D6761" s="433">
        <f t="shared" si="211"/>
        <v>1998.42</v>
      </c>
    </row>
    <row r="6762" spans="1:4" ht="16.149999999999999" customHeight="1" x14ac:dyDescent="0.25">
      <c r="A6762" s="431">
        <v>40322</v>
      </c>
      <c r="B6762" s="434">
        <v>1998.42</v>
      </c>
      <c r="C6762" s="427">
        <f t="shared" si="210"/>
        <v>2010</v>
      </c>
      <c r="D6762" s="433">
        <f t="shared" si="211"/>
        <v>1998.42</v>
      </c>
    </row>
    <row r="6763" spans="1:4" ht="16.149999999999999" customHeight="1" x14ac:dyDescent="0.25">
      <c r="A6763" s="431">
        <v>40323</v>
      </c>
      <c r="B6763" s="432">
        <v>1975.01</v>
      </c>
      <c r="C6763" s="427">
        <f t="shared" si="210"/>
        <v>2010</v>
      </c>
      <c r="D6763" s="433">
        <f t="shared" si="211"/>
        <v>1975.01</v>
      </c>
    </row>
    <row r="6764" spans="1:4" ht="16.149999999999999" customHeight="1" x14ac:dyDescent="0.25">
      <c r="A6764" s="431">
        <v>40324</v>
      </c>
      <c r="B6764" s="434">
        <v>1989.51</v>
      </c>
      <c r="C6764" s="427">
        <f t="shared" si="210"/>
        <v>2010</v>
      </c>
      <c r="D6764" s="433">
        <f t="shared" si="211"/>
        <v>1989.51</v>
      </c>
    </row>
    <row r="6765" spans="1:4" ht="16.149999999999999" customHeight="1" x14ac:dyDescent="0.25">
      <c r="A6765" s="431">
        <v>40325</v>
      </c>
      <c r="B6765" s="432">
        <v>1976.4</v>
      </c>
      <c r="C6765" s="427">
        <f t="shared" si="210"/>
        <v>2010</v>
      </c>
      <c r="D6765" s="433">
        <f t="shared" si="211"/>
        <v>1976.4</v>
      </c>
    </row>
    <row r="6766" spans="1:4" ht="16.149999999999999" customHeight="1" x14ac:dyDescent="0.25">
      <c r="A6766" s="431">
        <v>40326</v>
      </c>
      <c r="B6766" s="434">
        <v>1966.8</v>
      </c>
      <c r="C6766" s="427">
        <f t="shared" si="210"/>
        <v>2010</v>
      </c>
      <c r="D6766" s="433">
        <f t="shared" si="211"/>
        <v>1966.8</v>
      </c>
    </row>
    <row r="6767" spans="1:4" ht="16.149999999999999" customHeight="1" x14ac:dyDescent="0.25">
      <c r="A6767" s="431">
        <v>40327</v>
      </c>
      <c r="B6767" s="432">
        <v>1971.55</v>
      </c>
      <c r="C6767" s="427">
        <f t="shared" si="210"/>
        <v>2010</v>
      </c>
      <c r="D6767" s="433">
        <f t="shared" si="211"/>
        <v>1971.55</v>
      </c>
    </row>
    <row r="6768" spans="1:4" ht="16.149999999999999" customHeight="1" x14ac:dyDescent="0.25">
      <c r="A6768" s="431">
        <v>40328</v>
      </c>
      <c r="B6768" s="434">
        <v>1971.55</v>
      </c>
      <c r="C6768" s="427">
        <f t="shared" si="210"/>
        <v>2010</v>
      </c>
      <c r="D6768" s="433">
        <f t="shared" si="211"/>
        <v>1971.55</v>
      </c>
    </row>
    <row r="6769" spans="1:4" ht="16.149999999999999" customHeight="1" x14ac:dyDescent="0.25">
      <c r="A6769" s="431">
        <v>40329</v>
      </c>
      <c r="B6769" s="432">
        <v>1971.55</v>
      </c>
      <c r="C6769" s="427">
        <f t="shared" si="210"/>
        <v>2010</v>
      </c>
      <c r="D6769" s="433">
        <f t="shared" si="211"/>
        <v>1971.55</v>
      </c>
    </row>
    <row r="6770" spans="1:4" ht="16.149999999999999" customHeight="1" x14ac:dyDescent="0.25">
      <c r="A6770" s="431">
        <v>40330</v>
      </c>
      <c r="B6770" s="434">
        <v>1971.55</v>
      </c>
      <c r="C6770" s="427">
        <f t="shared" si="210"/>
        <v>2010</v>
      </c>
      <c r="D6770" s="433">
        <f t="shared" si="211"/>
        <v>1971.55</v>
      </c>
    </row>
    <row r="6771" spans="1:4" ht="16.149999999999999" customHeight="1" x14ac:dyDescent="0.25">
      <c r="A6771" s="431">
        <v>40331</v>
      </c>
      <c r="B6771" s="432">
        <v>1971.45</v>
      </c>
      <c r="C6771" s="427">
        <f t="shared" si="210"/>
        <v>2010</v>
      </c>
      <c r="D6771" s="433">
        <f t="shared" si="211"/>
        <v>1971.45</v>
      </c>
    </row>
    <row r="6772" spans="1:4" ht="16.149999999999999" customHeight="1" x14ac:dyDescent="0.25">
      <c r="A6772" s="431">
        <v>40332</v>
      </c>
      <c r="B6772" s="434">
        <v>1963.36</v>
      </c>
      <c r="C6772" s="427">
        <f t="shared" si="210"/>
        <v>2010</v>
      </c>
      <c r="D6772" s="433">
        <f t="shared" si="211"/>
        <v>1963.36</v>
      </c>
    </row>
    <row r="6773" spans="1:4" ht="16.149999999999999" customHeight="1" x14ac:dyDescent="0.25">
      <c r="A6773" s="431">
        <v>40333</v>
      </c>
      <c r="B6773" s="432">
        <v>1961.47</v>
      </c>
      <c r="C6773" s="427">
        <f t="shared" si="210"/>
        <v>2010</v>
      </c>
      <c r="D6773" s="433">
        <f t="shared" si="211"/>
        <v>1961.47</v>
      </c>
    </row>
    <row r="6774" spans="1:4" ht="16.149999999999999" customHeight="1" x14ac:dyDescent="0.25">
      <c r="A6774" s="431">
        <v>40334</v>
      </c>
      <c r="B6774" s="434">
        <v>1965.83</v>
      </c>
      <c r="C6774" s="427">
        <f t="shared" si="210"/>
        <v>2010</v>
      </c>
      <c r="D6774" s="433">
        <f t="shared" si="211"/>
        <v>1965.83</v>
      </c>
    </row>
    <row r="6775" spans="1:4" ht="16.149999999999999" customHeight="1" x14ac:dyDescent="0.25">
      <c r="A6775" s="431">
        <v>40335</v>
      </c>
      <c r="B6775" s="432">
        <v>1965.83</v>
      </c>
      <c r="C6775" s="427">
        <f t="shared" si="210"/>
        <v>2010</v>
      </c>
      <c r="D6775" s="433">
        <f t="shared" si="211"/>
        <v>1965.83</v>
      </c>
    </row>
    <row r="6776" spans="1:4" ht="16.149999999999999" customHeight="1" x14ac:dyDescent="0.25">
      <c r="A6776" s="431">
        <v>40336</v>
      </c>
      <c r="B6776" s="434">
        <v>1965.83</v>
      </c>
      <c r="C6776" s="427">
        <f t="shared" si="210"/>
        <v>2010</v>
      </c>
      <c r="D6776" s="433">
        <f t="shared" si="211"/>
        <v>1965.83</v>
      </c>
    </row>
    <row r="6777" spans="1:4" ht="16.149999999999999" customHeight="1" x14ac:dyDescent="0.25">
      <c r="A6777" s="431">
        <v>40337</v>
      </c>
      <c r="B6777" s="432">
        <v>1965.83</v>
      </c>
      <c r="C6777" s="427">
        <f t="shared" si="210"/>
        <v>2010</v>
      </c>
      <c r="D6777" s="433">
        <f t="shared" si="211"/>
        <v>1965.83</v>
      </c>
    </row>
    <row r="6778" spans="1:4" ht="16.149999999999999" customHeight="1" x14ac:dyDescent="0.25">
      <c r="A6778" s="431">
        <v>40338</v>
      </c>
      <c r="B6778" s="434">
        <v>1960.5</v>
      </c>
      <c r="C6778" s="427">
        <f t="shared" si="210"/>
        <v>2010</v>
      </c>
      <c r="D6778" s="433">
        <f t="shared" si="211"/>
        <v>1960.5</v>
      </c>
    </row>
    <row r="6779" spans="1:4" ht="16.149999999999999" customHeight="1" x14ac:dyDescent="0.25">
      <c r="A6779" s="431">
        <v>40339</v>
      </c>
      <c r="B6779" s="432">
        <v>1943.41</v>
      </c>
      <c r="C6779" s="427">
        <f t="shared" si="210"/>
        <v>2010</v>
      </c>
      <c r="D6779" s="433">
        <f t="shared" si="211"/>
        <v>1943.41</v>
      </c>
    </row>
    <row r="6780" spans="1:4" ht="16.149999999999999" customHeight="1" x14ac:dyDescent="0.25">
      <c r="A6780" s="431">
        <v>40340</v>
      </c>
      <c r="B6780" s="434">
        <v>1928.83</v>
      </c>
      <c r="C6780" s="427">
        <f t="shared" si="210"/>
        <v>2010</v>
      </c>
      <c r="D6780" s="433">
        <f t="shared" si="211"/>
        <v>1928.83</v>
      </c>
    </row>
    <row r="6781" spans="1:4" ht="16.149999999999999" customHeight="1" x14ac:dyDescent="0.25">
      <c r="A6781" s="431">
        <v>40341</v>
      </c>
      <c r="B6781" s="432">
        <v>1925.35</v>
      </c>
      <c r="C6781" s="427">
        <f t="shared" si="210"/>
        <v>2010</v>
      </c>
      <c r="D6781" s="433">
        <f t="shared" si="211"/>
        <v>1925.35</v>
      </c>
    </row>
    <row r="6782" spans="1:4" ht="16.149999999999999" customHeight="1" x14ac:dyDescent="0.25">
      <c r="A6782" s="431">
        <v>40342</v>
      </c>
      <c r="B6782" s="434">
        <v>1925.35</v>
      </c>
      <c r="C6782" s="427">
        <f t="shared" si="210"/>
        <v>2010</v>
      </c>
      <c r="D6782" s="433">
        <f t="shared" si="211"/>
        <v>1925.35</v>
      </c>
    </row>
    <row r="6783" spans="1:4" ht="16.149999999999999" customHeight="1" x14ac:dyDescent="0.25">
      <c r="A6783" s="431">
        <v>40343</v>
      </c>
      <c r="B6783" s="432">
        <v>1925.35</v>
      </c>
      <c r="C6783" s="427">
        <f t="shared" si="210"/>
        <v>2010</v>
      </c>
      <c r="D6783" s="433">
        <f t="shared" si="211"/>
        <v>1925.35</v>
      </c>
    </row>
    <row r="6784" spans="1:4" ht="16.149999999999999" customHeight="1" x14ac:dyDescent="0.25">
      <c r="A6784" s="431">
        <v>40344</v>
      </c>
      <c r="B6784" s="434">
        <v>1925.35</v>
      </c>
      <c r="C6784" s="427">
        <f t="shared" si="210"/>
        <v>2010</v>
      </c>
      <c r="D6784" s="433">
        <f t="shared" si="211"/>
        <v>1925.35</v>
      </c>
    </row>
    <row r="6785" spans="1:4" ht="16.149999999999999" customHeight="1" x14ac:dyDescent="0.25">
      <c r="A6785" s="431">
        <v>40345</v>
      </c>
      <c r="B6785" s="432">
        <v>1917.82</v>
      </c>
      <c r="C6785" s="427">
        <f t="shared" si="210"/>
        <v>2010</v>
      </c>
      <c r="D6785" s="433">
        <f t="shared" si="211"/>
        <v>1917.82</v>
      </c>
    </row>
    <row r="6786" spans="1:4" ht="16.149999999999999" customHeight="1" x14ac:dyDescent="0.25">
      <c r="A6786" s="431">
        <v>40346</v>
      </c>
      <c r="B6786" s="434">
        <v>1912.29</v>
      </c>
      <c r="C6786" s="427">
        <f t="shared" si="210"/>
        <v>2010</v>
      </c>
      <c r="D6786" s="433">
        <f t="shared" si="211"/>
        <v>1912.29</v>
      </c>
    </row>
    <row r="6787" spans="1:4" ht="16.149999999999999" customHeight="1" x14ac:dyDescent="0.25">
      <c r="A6787" s="431">
        <v>40347</v>
      </c>
      <c r="B6787" s="432">
        <v>1902.78</v>
      </c>
      <c r="C6787" s="427">
        <f t="shared" si="210"/>
        <v>2010</v>
      </c>
      <c r="D6787" s="433">
        <f t="shared" si="211"/>
        <v>1902.78</v>
      </c>
    </row>
    <row r="6788" spans="1:4" ht="16.149999999999999" customHeight="1" x14ac:dyDescent="0.25">
      <c r="A6788" s="431">
        <v>40348</v>
      </c>
      <c r="B6788" s="434">
        <v>1906.61</v>
      </c>
      <c r="C6788" s="427">
        <f t="shared" si="210"/>
        <v>2010</v>
      </c>
      <c r="D6788" s="433">
        <f t="shared" si="211"/>
        <v>1906.61</v>
      </c>
    </row>
    <row r="6789" spans="1:4" ht="16.149999999999999" customHeight="1" x14ac:dyDescent="0.25">
      <c r="A6789" s="431">
        <v>40349</v>
      </c>
      <c r="B6789" s="432">
        <v>1906.61</v>
      </c>
      <c r="C6789" s="427">
        <f t="shared" si="210"/>
        <v>2010</v>
      </c>
      <c r="D6789" s="433">
        <f t="shared" si="211"/>
        <v>1906.61</v>
      </c>
    </row>
    <row r="6790" spans="1:4" ht="16.149999999999999" customHeight="1" x14ac:dyDescent="0.25">
      <c r="A6790" s="431">
        <v>40350</v>
      </c>
      <c r="B6790" s="434">
        <v>1906.61</v>
      </c>
      <c r="C6790" s="427">
        <f t="shared" si="210"/>
        <v>2010</v>
      </c>
      <c r="D6790" s="433">
        <f t="shared" si="211"/>
        <v>1906.61</v>
      </c>
    </row>
    <row r="6791" spans="1:4" ht="16.149999999999999" customHeight="1" x14ac:dyDescent="0.25">
      <c r="A6791" s="431">
        <v>40351</v>
      </c>
      <c r="B6791" s="432">
        <v>1889.51</v>
      </c>
      <c r="C6791" s="427">
        <f t="shared" si="210"/>
        <v>2010</v>
      </c>
      <c r="D6791" s="433">
        <f t="shared" si="211"/>
        <v>1889.51</v>
      </c>
    </row>
    <row r="6792" spans="1:4" ht="16.149999999999999" customHeight="1" x14ac:dyDescent="0.25">
      <c r="A6792" s="431">
        <v>40352</v>
      </c>
      <c r="B6792" s="434">
        <v>1886.05</v>
      </c>
      <c r="C6792" s="427">
        <f t="shared" si="210"/>
        <v>2010</v>
      </c>
      <c r="D6792" s="433">
        <f t="shared" si="211"/>
        <v>1886.05</v>
      </c>
    </row>
    <row r="6793" spans="1:4" ht="16.149999999999999" customHeight="1" x14ac:dyDescent="0.25">
      <c r="A6793" s="431">
        <v>40353</v>
      </c>
      <c r="B6793" s="432">
        <v>1895.75</v>
      </c>
      <c r="C6793" s="427">
        <f t="shared" si="210"/>
        <v>2010</v>
      </c>
      <c r="D6793" s="433">
        <f t="shared" si="211"/>
        <v>1895.75</v>
      </c>
    </row>
    <row r="6794" spans="1:4" ht="16.149999999999999" customHeight="1" x14ac:dyDescent="0.25">
      <c r="A6794" s="431">
        <v>40354</v>
      </c>
      <c r="B6794" s="434">
        <v>1896.87</v>
      </c>
      <c r="C6794" s="427">
        <f t="shared" ref="C6794:C6857" si="212">YEAR(A6794)</f>
        <v>2010</v>
      </c>
      <c r="D6794" s="433">
        <f t="shared" ref="D6794:D6857" si="213">B6794</f>
        <v>1896.87</v>
      </c>
    </row>
    <row r="6795" spans="1:4" ht="16.149999999999999" customHeight="1" x14ac:dyDescent="0.25">
      <c r="A6795" s="431">
        <v>40355</v>
      </c>
      <c r="B6795" s="432">
        <v>1900.36</v>
      </c>
      <c r="C6795" s="427">
        <f t="shared" si="212"/>
        <v>2010</v>
      </c>
      <c r="D6795" s="433">
        <f t="shared" si="213"/>
        <v>1900.36</v>
      </c>
    </row>
    <row r="6796" spans="1:4" ht="16.149999999999999" customHeight="1" x14ac:dyDescent="0.25">
      <c r="A6796" s="431">
        <v>40356</v>
      </c>
      <c r="B6796" s="434">
        <v>1900.36</v>
      </c>
      <c r="C6796" s="427">
        <f t="shared" si="212"/>
        <v>2010</v>
      </c>
      <c r="D6796" s="433">
        <f t="shared" si="213"/>
        <v>1900.36</v>
      </c>
    </row>
    <row r="6797" spans="1:4" ht="16.149999999999999" customHeight="1" x14ac:dyDescent="0.25">
      <c r="A6797" s="431">
        <v>40357</v>
      </c>
      <c r="B6797" s="432">
        <v>1900.36</v>
      </c>
      <c r="C6797" s="427">
        <f t="shared" si="212"/>
        <v>2010</v>
      </c>
      <c r="D6797" s="433">
        <f t="shared" si="213"/>
        <v>1900.36</v>
      </c>
    </row>
    <row r="6798" spans="1:4" ht="16.149999999999999" customHeight="1" x14ac:dyDescent="0.25">
      <c r="A6798" s="431">
        <v>40358</v>
      </c>
      <c r="B6798" s="434">
        <v>1901.65</v>
      </c>
      <c r="C6798" s="427">
        <f t="shared" si="212"/>
        <v>2010</v>
      </c>
      <c r="D6798" s="433">
        <f t="shared" si="213"/>
        <v>1901.65</v>
      </c>
    </row>
    <row r="6799" spans="1:4" ht="16.149999999999999" customHeight="1" x14ac:dyDescent="0.25">
      <c r="A6799" s="431">
        <v>40359</v>
      </c>
      <c r="B6799" s="432">
        <v>1916.46</v>
      </c>
      <c r="C6799" s="427">
        <f t="shared" si="212"/>
        <v>2010</v>
      </c>
      <c r="D6799" s="433">
        <f t="shared" si="213"/>
        <v>1916.46</v>
      </c>
    </row>
    <row r="6800" spans="1:4" ht="16.149999999999999" customHeight="1" x14ac:dyDescent="0.25">
      <c r="A6800" s="431">
        <v>40360</v>
      </c>
      <c r="B6800" s="434">
        <v>1913.15</v>
      </c>
      <c r="C6800" s="427">
        <f t="shared" si="212"/>
        <v>2010</v>
      </c>
      <c r="D6800" s="433">
        <f t="shared" si="213"/>
        <v>1913.15</v>
      </c>
    </row>
    <row r="6801" spans="1:4" ht="16.149999999999999" customHeight="1" x14ac:dyDescent="0.25">
      <c r="A6801" s="431">
        <v>40361</v>
      </c>
      <c r="B6801" s="432">
        <v>1897.33</v>
      </c>
      <c r="C6801" s="427">
        <f t="shared" si="212"/>
        <v>2010</v>
      </c>
      <c r="D6801" s="433">
        <f t="shared" si="213"/>
        <v>1897.33</v>
      </c>
    </row>
    <row r="6802" spans="1:4" ht="16.149999999999999" customHeight="1" x14ac:dyDescent="0.25">
      <c r="A6802" s="431">
        <v>40362</v>
      </c>
      <c r="B6802" s="434">
        <v>1884.31</v>
      </c>
      <c r="C6802" s="427">
        <f t="shared" si="212"/>
        <v>2010</v>
      </c>
      <c r="D6802" s="433">
        <f t="shared" si="213"/>
        <v>1884.31</v>
      </c>
    </row>
    <row r="6803" spans="1:4" ht="16.149999999999999" customHeight="1" x14ac:dyDescent="0.25">
      <c r="A6803" s="431">
        <v>40363</v>
      </c>
      <c r="B6803" s="432">
        <v>1884.31</v>
      </c>
      <c r="C6803" s="427">
        <f t="shared" si="212"/>
        <v>2010</v>
      </c>
      <c r="D6803" s="433">
        <f t="shared" si="213"/>
        <v>1884.31</v>
      </c>
    </row>
    <row r="6804" spans="1:4" ht="16.149999999999999" customHeight="1" x14ac:dyDescent="0.25">
      <c r="A6804" s="431">
        <v>40364</v>
      </c>
      <c r="B6804" s="434">
        <v>1884.31</v>
      </c>
      <c r="C6804" s="427">
        <f t="shared" si="212"/>
        <v>2010</v>
      </c>
      <c r="D6804" s="433">
        <f t="shared" si="213"/>
        <v>1884.31</v>
      </c>
    </row>
    <row r="6805" spans="1:4" ht="16.149999999999999" customHeight="1" x14ac:dyDescent="0.25">
      <c r="A6805" s="431">
        <v>40365</v>
      </c>
      <c r="B6805" s="432">
        <v>1884.31</v>
      </c>
      <c r="C6805" s="427">
        <f t="shared" si="212"/>
        <v>2010</v>
      </c>
      <c r="D6805" s="433">
        <f t="shared" si="213"/>
        <v>1884.31</v>
      </c>
    </row>
    <row r="6806" spans="1:4" ht="16.149999999999999" customHeight="1" x14ac:dyDescent="0.25">
      <c r="A6806" s="431">
        <v>40366</v>
      </c>
      <c r="B6806" s="434">
        <v>1882.47</v>
      </c>
      <c r="C6806" s="427">
        <f t="shared" si="212"/>
        <v>2010</v>
      </c>
      <c r="D6806" s="433">
        <f t="shared" si="213"/>
        <v>1882.47</v>
      </c>
    </row>
    <row r="6807" spans="1:4" ht="16.149999999999999" customHeight="1" x14ac:dyDescent="0.25">
      <c r="A6807" s="431">
        <v>40367</v>
      </c>
      <c r="B6807" s="432">
        <v>1901.38</v>
      </c>
      <c r="C6807" s="427">
        <f t="shared" si="212"/>
        <v>2010</v>
      </c>
      <c r="D6807" s="433">
        <f t="shared" si="213"/>
        <v>1901.38</v>
      </c>
    </row>
    <row r="6808" spans="1:4" ht="16.149999999999999" customHeight="1" x14ac:dyDescent="0.25">
      <c r="A6808" s="431">
        <v>40368</v>
      </c>
      <c r="B6808" s="434">
        <v>1889.61</v>
      </c>
      <c r="C6808" s="427">
        <f t="shared" si="212"/>
        <v>2010</v>
      </c>
      <c r="D6808" s="433">
        <f t="shared" si="213"/>
        <v>1889.61</v>
      </c>
    </row>
    <row r="6809" spans="1:4" ht="16.149999999999999" customHeight="1" x14ac:dyDescent="0.25">
      <c r="A6809" s="431">
        <v>40369</v>
      </c>
      <c r="B6809" s="432">
        <v>1877.66</v>
      </c>
      <c r="C6809" s="427">
        <f t="shared" si="212"/>
        <v>2010</v>
      </c>
      <c r="D6809" s="433">
        <f t="shared" si="213"/>
        <v>1877.66</v>
      </c>
    </row>
    <row r="6810" spans="1:4" ht="16.149999999999999" customHeight="1" x14ac:dyDescent="0.25">
      <c r="A6810" s="431">
        <v>40370</v>
      </c>
      <c r="B6810" s="434">
        <v>1877.66</v>
      </c>
      <c r="C6810" s="427">
        <f t="shared" si="212"/>
        <v>2010</v>
      </c>
      <c r="D6810" s="433">
        <f t="shared" si="213"/>
        <v>1877.66</v>
      </c>
    </row>
    <row r="6811" spans="1:4" ht="16.149999999999999" customHeight="1" x14ac:dyDescent="0.25">
      <c r="A6811" s="431">
        <v>40371</v>
      </c>
      <c r="B6811" s="432">
        <v>1877.66</v>
      </c>
      <c r="C6811" s="427">
        <f t="shared" si="212"/>
        <v>2010</v>
      </c>
      <c r="D6811" s="433">
        <f t="shared" si="213"/>
        <v>1877.66</v>
      </c>
    </row>
    <row r="6812" spans="1:4" ht="16.149999999999999" customHeight="1" x14ac:dyDescent="0.25">
      <c r="A6812" s="431">
        <v>40372</v>
      </c>
      <c r="B6812" s="434">
        <v>1877.2</v>
      </c>
      <c r="C6812" s="427">
        <f t="shared" si="212"/>
        <v>2010</v>
      </c>
      <c r="D6812" s="433">
        <f t="shared" si="213"/>
        <v>1877.2</v>
      </c>
    </row>
    <row r="6813" spans="1:4" ht="16.149999999999999" customHeight="1" x14ac:dyDescent="0.25">
      <c r="A6813" s="431">
        <v>40373</v>
      </c>
      <c r="B6813" s="432">
        <v>1871.19</v>
      </c>
      <c r="C6813" s="427">
        <f t="shared" si="212"/>
        <v>2010</v>
      </c>
      <c r="D6813" s="433">
        <f t="shared" si="213"/>
        <v>1871.19</v>
      </c>
    </row>
    <row r="6814" spans="1:4" ht="16.149999999999999" customHeight="1" x14ac:dyDescent="0.25">
      <c r="A6814" s="431">
        <v>40374</v>
      </c>
      <c r="B6814" s="434">
        <v>1873.87</v>
      </c>
      <c r="C6814" s="427">
        <f t="shared" si="212"/>
        <v>2010</v>
      </c>
      <c r="D6814" s="433">
        <f t="shared" si="213"/>
        <v>1873.87</v>
      </c>
    </row>
    <row r="6815" spans="1:4" ht="16.149999999999999" customHeight="1" x14ac:dyDescent="0.25">
      <c r="A6815" s="431">
        <v>40375</v>
      </c>
      <c r="B6815" s="432">
        <v>1871.96</v>
      </c>
      <c r="C6815" s="427">
        <f t="shared" si="212"/>
        <v>2010</v>
      </c>
      <c r="D6815" s="433">
        <f t="shared" si="213"/>
        <v>1871.96</v>
      </c>
    </row>
    <row r="6816" spans="1:4" ht="16.149999999999999" customHeight="1" x14ac:dyDescent="0.25">
      <c r="A6816" s="431">
        <v>40376</v>
      </c>
      <c r="B6816" s="434">
        <v>1878.77</v>
      </c>
      <c r="C6816" s="427">
        <f t="shared" si="212"/>
        <v>2010</v>
      </c>
      <c r="D6816" s="433">
        <f t="shared" si="213"/>
        <v>1878.77</v>
      </c>
    </row>
    <row r="6817" spans="1:4" ht="16.149999999999999" customHeight="1" x14ac:dyDescent="0.25">
      <c r="A6817" s="431">
        <v>40377</v>
      </c>
      <c r="B6817" s="432">
        <v>1878.77</v>
      </c>
      <c r="C6817" s="427">
        <f t="shared" si="212"/>
        <v>2010</v>
      </c>
      <c r="D6817" s="433">
        <f t="shared" si="213"/>
        <v>1878.77</v>
      </c>
    </row>
    <row r="6818" spans="1:4" ht="16.149999999999999" customHeight="1" x14ac:dyDescent="0.25">
      <c r="A6818" s="431">
        <v>40378</v>
      </c>
      <c r="B6818" s="434">
        <v>1878.77</v>
      </c>
      <c r="C6818" s="427">
        <f t="shared" si="212"/>
        <v>2010</v>
      </c>
      <c r="D6818" s="433">
        <f t="shared" si="213"/>
        <v>1878.77</v>
      </c>
    </row>
    <row r="6819" spans="1:4" ht="16.149999999999999" customHeight="1" x14ac:dyDescent="0.25">
      <c r="A6819" s="431">
        <v>40379</v>
      </c>
      <c r="B6819" s="432">
        <v>1872.92</v>
      </c>
      <c r="C6819" s="427">
        <f t="shared" si="212"/>
        <v>2010</v>
      </c>
      <c r="D6819" s="433">
        <f t="shared" si="213"/>
        <v>1872.92</v>
      </c>
    </row>
    <row r="6820" spans="1:4" ht="16.149999999999999" customHeight="1" x14ac:dyDescent="0.25">
      <c r="A6820" s="431">
        <v>40380</v>
      </c>
      <c r="B6820" s="434">
        <v>1872.92</v>
      </c>
      <c r="C6820" s="427">
        <f t="shared" si="212"/>
        <v>2010</v>
      </c>
      <c r="D6820" s="433">
        <f t="shared" si="213"/>
        <v>1872.92</v>
      </c>
    </row>
    <row r="6821" spans="1:4" ht="16.149999999999999" customHeight="1" x14ac:dyDescent="0.25">
      <c r="A6821" s="431">
        <v>40381</v>
      </c>
      <c r="B6821" s="432">
        <v>1867.07</v>
      </c>
      <c r="C6821" s="427">
        <f t="shared" si="212"/>
        <v>2010</v>
      </c>
      <c r="D6821" s="433">
        <f t="shared" si="213"/>
        <v>1867.07</v>
      </c>
    </row>
    <row r="6822" spans="1:4" ht="16.149999999999999" customHeight="1" x14ac:dyDescent="0.25">
      <c r="A6822" s="431">
        <v>40382</v>
      </c>
      <c r="B6822" s="434">
        <v>1864.04</v>
      </c>
      <c r="C6822" s="427">
        <f t="shared" si="212"/>
        <v>2010</v>
      </c>
      <c r="D6822" s="433">
        <f t="shared" si="213"/>
        <v>1864.04</v>
      </c>
    </row>
    <row r="6823" spans="1:4" ht="16.149999999999999" customHeight="1" x14ac:dyDescent="0.25">
      <c r="A6823" s="431">
        <v>40383</v>
      </c>
      <c r="B6823" s="432">
        <v>1867.47</v>
      </c>
      <c r="C6823" s="427">
        <f t="shared" si="212"/>
        <v>2010</v>
      </c>
      <c r="D6823" s="433">
        <f t="shared" si="213"/>
        <v>1867.47</v>
      </c>
    </row>
    <row r="6824" spans="1:4" ht="16.149999999999999" customHeight="1" x14ac:dyDescent="0.25">
      <c r="A6824" s="431">
        <v>40384</v>
      </c>
      <c r="B6824" s="434">
        <v>1867.47</v>
      </c>
      <c r="C6824" s="427">
        <f t="shared" si="212"/>
        <v>2010</v>
      </c>
      <c r="D6824" s="433">
        <f t="shared" si="213"/>
        <v>1867.47</v>
      </c>
    </row>
    <row r="6825" spans="1:4" ht="16.149999999999999" customHeight="1" x14ac:dyDescent="0.25">
      <c r="A6825" s="431">
        <v>40385</v>
      </c>
      <c r="B6825" s="432">
        <v>1867.47</v>
      </c>
      <c r="C6825" s="427">
        <f t="shared" si="212"/>
        <v>2010</v>
      </c>
      <c r="D6825" s="433">
        <f t="shared" si="213"/>
        <v>1867.47</v>
      </c>
    </row>
    <row r="6826" spans="1:4" ht="16.149999999999999" customHeight="1" x14ac:dyDescent="0.25">
      <c r="A6826" s="431">
        <v>40386</v>
      </c>
      <c r="B6826" s="434">
        <v>1859.5</v>
      </c>
      <c r="C6826" s="427">
        <f t="shared" si="212"/>
        <v>2010</v>
      </c>
      <c r="D6826" s="433">
        <f t="shared" si="213"/>
        <v>1859.5</v>
      </c>
    </row>
    <row r="6827" spans="1:4" ht="16.149999999999999" customHeight="1" x14ac:dyDescent="0.25">
      <c r="A6827" s="431">
        <v>40387</v>
      </c>
      <c r="B6827" s="432">
        <v>1852.83</v>
      </c>
      <c r="C6827" s="427">
        <f t="shared" si="212"/>
        <v>2010</v>
      </c>
      <c r="D6827" s="433">
        <f t="shared" si="213"/>
        <v>1852.83</v>
      </c>
    </row>
    <row r="6828" spans="1:4" ht="16.149999999999999" customHeight="1" x14ac:dyDescent="0.25">
      <c r="A6828" s="431">
        <v>40388</v>
      </c>
      <c r="B6828" s="434">
        <v>1846.23</v>
      </c>
      <c r="C6828" s="427">
        <f t="shared" si="212"/>
        <v>2010</v>
      </c>
      <c r="D6828" s="433">
        <f t="shared" si="213"/>
        <v>1846.23</v>
      </c>
    </row>
    <row r="6829" spans="1:4" ht="16.149999999999999" customHeight="1" x14ac:dyDescent="0.25">
      <c r="A6829" s="431">
        <v>40389</v>
      </c>
      <c r="B6829" s="432">
        <v>1841.35</v>
      </c>
      <c r="C6829" s="427">
        <f t="shared" si="212"/>
        <v>2010</v>
      </c>
      <c r="D6829" s="433">
        <f t="shared" si="213"/>
        <v>1841.35</v>
      </c>
    </row>
    <row r="6830" spans="1:4" ht="16.149999999999999" customHeight="1" x14ac:dyDescent="0.25">
      <c r="A6830" s="431">
        <v>40390</v>
      </c>
      <c r="B6830" s="434">
        <v>1842.79</v>
      </c>
      <c r="C6830" s="427">
        <f t="shared" si="212"/>
        <v>2010</v>
      </c>
      <c r="D6830" s="433">
        <f t="shared" si="213"/>
        <v>1842.79</v>
      </c>
    </row>
    <row r="6831" spans="1:4" ht="16.149999999999999" customHeight="1" x14ac:dyDescent="0.25">
      <c r="A6831" s="431">
        <v>40391</v>
      </c>
      <c r="B6831" s="432">
        <v>1842.79</v>
      </c>
      <c r="C6831" s="427">
        <f t="shared" si="212"/>
        <v>2010</v>
      </c>
      <c r="D6831" s="433">
        <f t="shared" si="213"/>
        <v>1842.79</v>
      </c>
    </row>
    <row r="6832" spans="1:4" ht="16.149999999999999" customHeight="1" x14ac:dyDescent="0.25">
      <c r="A6832" s="431">
        <v>40392</v>
      </c>
      <c r="B6832" s="434">
        <v>1842.79</v>
      </c>
      <c r="C6832" s="427">
        <f t="shared" si="212"/>
        <v>2010</v>
      </c>
      <c r="D6832" s="433">
        <f t="shared" si="213"/>
        <v>1842.79</v>
      </c>
    </row>
    <row r="6833" spans="1:4" ht="16.149999999999999" customHeight="1" x14ac:dyDescent="0.25">
      <c r="A6833" s="431">
        <v>40393</v>
      </c>
      <c r="B6833" s="432">
        <v>1832.45</v>
      </c>
      <c r="C6833" s="427">
        <f t="shared" si="212"/>
        <v>2010</v>
      </c>
      <c r="D6833" s="433">
        <f t="shared" si="213"/>
        <v>1832.45</v>
      </c>
    </row>
    <row r="6834" spans="1:4" ht="16.149999999999999" customHeight="1" x14ac:dyDescent="0.25">
      <c r="A6834" s="431">
        <v>40394</v>
      </c>
      <c r="B6834" s="434">
        <v>1834.58</v>
      </c>
      <c r="C6834" s="427">
        <f t="shared" si="212"/>
        <v>2010</v>
      </c>
      <c r="D6834" s="433">
        <f t="shared" si="213"/>
        <v>1834.58</v>
      </c>
    </row>
    <row r="6835" spans="1:4" ht="16.149999999999999" customHeight="1" x14ac:dyDescent="0.25">
      <c r="A6835" s="431">
        <v>40395</v>
      </c>
      <c r="B6835" s="432">
        <v>1824.52</v>
      </c>
      <c r="C6835" s="427">
        <f t="shared" si="212"/>
        <v>2010</v>
      </c>
      <c r="D6835" s="433">
        <f t="shared" si="213"/>
        <v>1824.52</v>
      </c>
    </row>
    <row r="6836" spans="1:4" ht="16.149999999999999" customHeight="1" x14ac:dyDescent="0.25">
      <c r="A6836" s="431">
        <v>40396</v>
      </c>
      <c r="B6836" s="434">
        <v>1818.5</v>
      </c>
      <c r="C6836" s="427">
        <f t="shared" si="212"/>
        <v>2010</v>
      </c>
      <c r="D6836" s="433">
        <f t="shared" si="213"/>
        <v>1818.5</v>
      </c>
    </row>
    <row r="6837" spans="1:4" ht="16.149999999999999" customHeight="1" x14ac:dyDescent="0.25">
      <c r="A6837" s="431">
        <v>40397</v>
      </c>
      <c r="B6837" s="432">
        <v>1815.46</v>
      </c>
      <c r="C6837" s="427">
        <f t="shared" si="212"/>
        <v>2010</v>
      </c>
      <c r="D6837" s="433">
        <f t="shared" si="213"/>
        <v>1815.46</v>
      </c>
    </row>
    <row r="6838" spans="1:4" ht="16.149999999999999" customHeight="1" x14ac:dyDescent="0.25">
      <c r="A6838" s="431">
        <v>40398</v>
      </c>
      <c r="B6838" s="434">
        <v>1815.46</v>
      </c>
      <c r="C6838" s="427">
        <f t="shared" si="212"/>
        <v>2010</v>
      </c>
      <c r="D6838" s="433">
        <f t="shared" si="213"/>
        <v>1815.46</v>
      </c>
    </row>
    <row r="6839" spans="1:4" ht="16.149999999999999" customHeight="1" x14ac:dyDescent="0.25">
      <c r="A6839" s="431">
        <v>40399</v>
      </c>
      <c r="B6839" s="432">
        <v>1815.46</v>
      </c>
      <c r="C6839" s="427">
        <f t="shared" si="212"/>
        <v>2010</v>
      </c>
      <c r="D6839" s="433">
        <f t="shared" si="213"/>
        <v>1815.46</v>
      </c>
    </row>
    <row r="6840" spans="1:4" ht="16.149999999999999" customHeight="1" x14ac:dyDescent="0.25">
      <c r="A6840" s="431">
        <v>40400</v>
      </c>
      <c r="B6840" s="434">
        <v>1808.93</v>
      </c>
      <c r="C6840" s="427">
        <f t="shared" si="212"/>
        <v>2010</v>
      </c>
      <c r="D6840" s="433">
        <f t="shared" si="213"/>
        <v>1808.93</v>
      </c>
    </row>
    <row r="6841" spans="1:4" ht="16.149999999999999" customHeight="1" x14ac:dyDescent="0.25">
      <c r="A6841" s="431">
        <v>40401</v>
      </c>
      <c r="B6841" s="432">
        <v>1810.12</v>
      </c>
      <c r="C6841" s="427">
        <f t="shared" si="212"/>
        <v>2010</v>
      </c>
      <c r="D6841" s="433">
        <f t="shared" si="213"/>
        <v>1810.12</v>
      </c>
    </row>
    <row r="6842" spans="1:4" ht="16.149999999999999" customHeight="1" x14ac:dyDescent="0.25">
      <c r="A6842" s="431">
        <v>40402</v>
      </c>
      <c r="B6842" s="434">
        <v>1807.55</v>
      </c>
      <c r="C6842" s="427">
        <f t="shared" si="212"/>
        <v>2010</v>
      </c>
      <c r="D6842" s="433">
        <f t="shared" si="213"/>
        <v>1807.55</v>
      </c>
    </row>
    <row r="6843" spans="1:4" ht="16.149999999999999" customHeight="1" x14ac:dyDescent="0.25">
      <c r="A6843" s="431">
        <v>40403</v>
      </c>
      <c r="B6843" s="432">
        <v>1812.2</v>
      </c>
      <c r="C6843" s="427">
        <f t="shared" si="212"/>
        <v>2010</v>
      </c>
      <c r="D6843" s="433">
        <f t="shared" si="213"/>
        <v>1812.2</v>
      </c>
    </row>
    <row r="6844" spans="1:4" ht="16.149999999999999" customHeight="1" x14ac:dyDescent="0.25">
      <c r="A6844" s="431">
        <v>40404</v>
      </c>
      <c r="B6844" s="434">
        <v>1835.32</v>
      </c>
      <c r="C6844" s="427">
        <f t="shared" si="212"/>
        <v>2010</v>
      </c>
      <c r="D6844" s="433">
        <f t="shared" si="213"/>
        <v>1835.32</v>
      </c>
    </row>
    <row r="6845" spans="1:4" ht="16.149999999999999" customHeight="1" x14ac:dyDescent="0.25">
      <c r="A6845" s="431">
        <v>40405</v>
      </c>
      <c r="B6845" s="432">
        <v>1835.32</v>
      </c>
      <c r="C6845" s="427">
        <f t="shared" si="212"/>
        <v>2010</v>
      </c>
      <c r="D6845" s="433">
        <f t="shared" si="213"/>
        <v>1835.32</v>
      </c>
    </row>
    <row r="6846" spans="1:4" ht="16.149999999999999" customHeight="1" x14ac:dyDescent="0.25">
      <c r="A6846" s="431">
        <v>40406</v>
      </c>
      <c r="B6846" s="434">
        <v>1835.32</v>
      </c>
      <c r="C6846" s="427">
        <f t="shared" si="212"/>
        <v>2010</v>
      </c>
      <c r="D6846" s="433">
        <f t="shared" si="213"/>
        <v>1835.32</v>
      </c>
    </row>
    <row r="6847" spans="1:4" ht="16.149999999999999" customHeight="1" x14ac:dyDescent="0.25">
      <c r="A6847" s="431">
        <v>40407</v>
      </c>
      <c r="B6847" s="432">
        <v>1835.32</v>
      </c>
      <c r="C6847" s="427">
        <f t="shared" si="212"/>
        <v>2010</v>
      </c>
      <c r="D6847" s="433">
        <f t="shared" si="213"/>
        <v>1835.32</v>
      </c>
    </row>
    <row r="6848" spans="1:4" ht="16.149999999999999" customHeight="1" x14ac:dyDescent="0.25">
      <c r="A6848" s="431">
        <v>40408</v>
      </c>
      <c r="B6848" s="434">
        <v>1810.75</v>
      </c>
      <c r="C6848" s="427">
        <f t="shared" si="212"/>
        <v>2010</v>
      </c>
      <c r="D6848" s="433">
        <f t="shared" si="213"/>
        <v>1810.75</v>
      </c>
    </row>
    <row r="6849" spans="1:4" ht="16.149999999999999" customHeight="1" x14ac:dyDescent="0.25">
      <c r="A6849" s="431">
        <v>40409</v>
      </c>
      <c r="B6849" s="432">
        <v>1808.14</v>
      </c>
      <c r="C6849" s="427">
        <f t="shared" si="212"/>
        <v>2010</v>
      </c>
      <c r="D6849" s="433">
        <f t="shared" si="213"/>
        <v>1808.14</v>
      </c>
    </row>
    <row r="6850" spans="1:4" ht="16.149999999999999" customHeight="1" x14ac:dyDescent="0.25">
      <c r="A6850" s="431">
        <v>40410</v>
      </c>
      <c r="B6850" s="434">
        <v>1819.13</v>
      </c>
      <c r="C6850" s="427">
        <f t="shared" si="212"/>
        <v>2010</v>
      </c>
      <c r="D6850" s="433">
        <f t="shared" si="213"/>
        <v>1819.13</v>
      </c>
    </row>
    <row r="6851" spans="1:4" ht="16.149999999999999" customHeight="1" x14ac:dyDescent="0.25">
      <c r="A6851" s="431">
        <v>40411</v>
      </c>
      <c r="B6851" s="432">
        <v>1820.93</v>
      </c>
      <c r="C6851" s="427">
        <f t="shared" si="212"/>
        <v>2010</v>
      </c>
      <c r="D6851" s="433">
        <f t="shared" si="213"/>
        <v>1820.93</v>
      </c>
    </row>
    <row r="6852" spans="1:4" ht="16.149999999999999" customHeight="1" x14ac:dyDescent="0.25">
      <c r="A6852" s="431">
        <v>40412</v>
      </c>
      <c r="B6852" s="434">
        <v>1820.93</v>
      </c>
      <c r="C6852" s="427">
        <f t="shared" si="212"/>
        <v>2010</v>
      </c>
      <c r="D6852" s="433">
        <f t="shared" si="213"/>
        <v>1820.93</v>
      </c>
    </row>
    <row r="6853" spans="1:4" ht="16.149999999999999" customHeight="1" x14ac:dyDescent="0.25">
      <c r="A6853" s="431">
        <v>40413</v>
      </c>
      <c r="B6853" s="432">
        <v>1820.93</v>
      </c>
      <c r="C6853" s="427">
        <f t="shared" si="212"/>
        <v>2010</v>
      </c>
      <c r="D6853" s="433">
        <f t="shared" si="213"/>
        <v>1820.93</v>
      </c>
    </row>
    <row r="6854" spans="1:4" ht="16.149999999999999" customHeight="1" x14ac:dyDescent="0.25">
      <c r="A6854" s="431">
        <v>40414</v>
      </c>
      <c r="B6854" s="434">
        <v>1806.93</v>
      </c>
      <c r="C6854" s="427">
        <f t="shared" si="212"/>
        <v>2010</v>
      </c>
      <c r="D6854" s="433">
        <f t="shared" si="213"/>
        <v>1806.93</v>
      </c>
    </row>
    <row r="6855" spans="1:4" ht="16.149999999999999" customHeight="1" x14ac:dyDescent="0.25">
      <c r="A6855" s="431">
        <v>40415</v>
      </c>
      <c r="B6855" s="432">
        <v>1818.86</v>
      </c>
      <c r="C6855" s="427">
        <f t="shared" si="212"/>
        <v>2010</v>
      </c>
      <c r="D6855" s="433">
        <f t="shared" si="213"/>
        <v>1818.86</v>
      </c>
    </row>
    <row r="6856" spans="1:4" ht="16.149999999999999" customHeight="1" x14ac:dyDescent="0.25">
      <c r="A6856" s="431">
        <v>40416</v>
      </c>
      <c r="B6856" s="434">
        <v>1820.29</v>
      </c>
      <c r="C6856" s="427">
        <f t="shared" si="212"/>
        <v>2010</v>
      </c>
      <c r="D6856" s="433">
        <f t="shared" si="213"/>
        <v>1820.29</v>
      </c>
    </row>
    <row r="6857" spans="1:4" ht="16.149999999999999" customHeight="1" x14ac:dyDescent="0.25">
      <c r="A6857" s="431">
        <v>40417</v>
      </c>
      <c r="B6857" s="432">
        <v>1811.46</v>
      </c>
      <c r="C6857" s="427">
        <f t="shared" si="212"/>
        <v>2010</v>
      </c>
      <c r="D6857" s="433">
        <f t="shared" si="213"/>
        <v>1811.46</v>
      </c>
    </row>
    <row r="6858" spans="1:4" ht="16.149999999999999" customHeight="1" x14ac:dyDescent="0.25">
      <c r="A6858" s="431">
        <v>40418</v>
      </c>
      <c r="B6858" s="434">
        <v>1817.68</v>
      </c>
      <c r="C6858" s="427">
        <f t="shared" ref="C6858:C6921" si="214">YEAR(A6858)</f>
        <v>2010</v>
      </c>
      <c r="D6858" s="433">
        <f t="shared" ref="D6858:D6921" si="215">B6858</f>
        <v>1817.68</v>
      </c>
    </row>
    <row r="6859" spans="1:4" ht="16.149999999999999" customHeight="1" x14ac:dyDescent="0.25">
      <c r="A6859" s="431">
        <v>40419</v>
      </c>
      <c r="B6859" s="432">
        <v>1817.68</v>
      </c>
      <c r="C6859" s="427">
        <f t="shared" si="214"/>
        <v>2010</v>
      </c>
      <c r="D6859" s="433">
        <f t="shared" si="215"/>
        <v>1817.68</v>
      </c>
    </row>
    <row r="6860" spans="1:4" ht="16.149999999999999" customHeight="1" x14ac:dyDescent="0.25">
      <c r="A6860" s="431">
        <v>40420</v>
      </c>
      <c r="B6860" s="434">
        <v>1817.68</v>
      </c>
      <c r="C6860" s="427">
        <f t="shared" si="214"/>
        <v>2010</v>
      </c>
      <c r="D6860" s="433">
        <f t="shared" si="215"/>
        <v>1817.68</v>
      </c>
    </row>
    <row r="6861" spans="1:4" ht="16.149999999999999" customHeight="1" x14ac:dyDescent="0.25">
      <c r="A6861" s="431">
        <v>40421</v>
      </c>
      <c r="B6861" s="432">
        <v>1823.74</v>
      </c>
      <c r="C6861" s="427">
        <f t="shared" si="214"/>
        <v>2010</v>
      </c>
      <c r="D6861" s="433">
        <f t="shared" si="215"/>
        <v>1823.74</v>
      </c>
    </row>
    <row r="6862" spans="1:4" ht="16.149999999999999" customHeight="1" x14ac:dyDescent="0.25">
      <c r="A6862" s="431">
        <v>40422</v>
      </c>
      <c r="B6862" s="434">
        <v>1826.31</v>
      </c>
      <c r="C6862" s="427">
        <f t="shared" si="214"/>
        <v>2010</v>
      </c>
      <c r="D6862" s="433">
        <f t="shared" si="215"/>
        <v>1826.31</v>
      </c>
    </row>
    <row r="6863" spans="1:4" ht="16.149999999999999" customHeight="1" x14ac:dyDescent="0.25">
      <c r="A6863" s="431">
        <v>40423</v>
      </c>
      <c r="B6863" s="432">
        <v>1815.09</v>
      </c>
      <c r="C6863" s="427">
        <f t="shared" si="214"/>
        <v>2010</v>
      </c>
      <c r="D6863" s="433">
        <f t="shared" si="215"/>
        <v>1815.09</v>
      </c>
    </row>
    <row r="6864" spans="1:4" ht="16.149999999999999" customHeight="1" x14ac:dyDescent="0.25">
      <c r="A6864" s="431">
        <v>40424</v>
      </c>
      <c r="B6864" s="434">
        <v>1810.65</v>
      </c>
      <c r="C6864" s="427">
        <f t="shared" si="214"/>
        <v>2010</v>
      </c>
      <c r="D6864" s="433">
        <f t="shared" si="215"/>
        <v>1810.65</v>
      </c>
    </row>
    <row r="6865" spans="1:4" ht="16.149999999999999" customHeight="1" x14ac:dyDescent="0.25">
      <c r="A6865" s="431">
        <v>40425</v>
      </c>
      <c r="B6865" s="432">
        <v>1807.73</v>
      </c>
      <c r="C6865" s="427">
        <f t="shared" si="214"/>
        <v>2010</v>
      </c>
      <c r="D6865" s="433">
        <f t="shared" si="215"/>
        <v>1807.73</v>
      </c>
    </row>
    <row r="6866" spans="1:4" ht="16.149999999999999" customHeight="1" x14ac:dyDescent="0.25">
      <c r="A6866" s="431">
        <v>40426</v>
      </c>
      <c r="B6866" s="434">
        <v>1807.73</v>
      </c>
      <c r="C6866" s="427">
        <f t="shared" si="214"/>
        <v>2010</v>
      </c>
      <c r="D6866" s="433">
        <f t="shared" si="215"/>
        <v>1807.73</v>
      </c>
    </row>
    <row r="6867" spans="1:4" ht="16.149999999999999" customHeight="1" x14ac:dyDescent="0.25">
      <c r="A6867" s="431">
        <v>40427</v>
      </c>
      <c r="B6867" s="432">
        <v>1807.73</v>
      </c>
      <c r="C6867" s="427">
        <f t="shared" si="214"/>
        <v>2010</v>
      </c>
      <c r="D6867" s="433">
        <f t="shared" si="215"/>
        <v>1807.73</v>
      </c>
    </row>
    <row r="6868" spans="1:4" ht="16.149999999999999" customHeight="1" x14ac:dyDescent="0.25">
      <c r="A6868" s="431">
        <v>40428</v>
      </c>
      <c r="B6868" s="434">
        <v>1807.73</v>
      </c>
      <c r="C6868" s="427">
        <f t="shared" si="214"/>
        <v>2010</v>
      </c>
      <c r="D6868" s="433">
        <f t="shared" si="215"/>
        <v>1807.73</v>
      </c>
    </row>
    <row r="6869" spans="1:4" ht="16.149999999999999" customHeight="1" x14ac:dyDescent="0.25">
      <c r="A6869" s="431">
        <v>40429</v>
      </c>
      <c r="B6869" s="432">
        <v>1808.65</v>
      </c>
      <c r="C6869" s="427">
        <f t="shared" si="214"/>
        <v>2010</v>
      </c>
      <c r="D6869" s="433">
        <f t="shared" si="215"/>
        <v>1808.65</v>
      </c>
    </row>
    <row r="6870" spans="1:4" ht="16.149999999999999" customHeight="1" x14ac:dyDescent="0.25">
      <c r="A6870" s="431">
        <v>40430</v>
      </c>
      <c r="B6870" s="434">
        <v>1803</v>
      </c>
      <c r="C6870" s="427">
        <f t="shared" si="214"/>
        <v>2010</v>
      </c>
      <c r="D6870" s="433">
        <f t="shared" si="215"/>
        <v>1803</v>
      </c>
    </row>
    <row r="6871" spans="1:4" ht="16.149999999999999" customHeight="1" x14ac:dyDescent="0.25">
      <c r="A6871" s="431">
        <v>40431</v>
      </c>
      <c r="B6871" s="432">
        <v>1802.54</v>
      </c>
      <c r="C6871" s="427">
        <f t="shared" si="214"/>
        <v>2010</v>
      </c>
      <c r="D6871" s="433">
        <f t="shared" si="215"/>
        <v>1802.54</v>
      </c>
    </row>
    <row r="6872" spans="1:4" ht="16.149999999999999" customHeight="1" x14ac:dyDescent="0.25">
      <c r="A6872" s="431">
        <v>40432</v>
      </c>
      <c r="B6872" s="434">
        <v>1801.04</v>
      </c>
      <c r="C6872" s="427">
        <f t="shared" si="214"/>
        <v>2010</v>
      </c>
      <c r="D6872" s="433">
        <f t="shared" si="215"/>
        <v>1801.04</v>
      </c>
    </row>
    <row r="6873" spans="1:4" ht="16.149999999999999" customHeight="1" x14ac:dyDescent="0.25">
      <c r="A6873" s="431">
        <v>40433</v>
      </c>
      <c r="B6873" s="432">
        <v>1801.04</v>
      </c>
      <c r="C6873" s="427">
        <f t="shared" si="214"/>
        <v>2010</v>
      </c>
      <c r="D6873" s="433">
        <f t="shared" si="215"/>
        <v>1801.04</v>
      </c>
    </row>
    <row r="6874" spans="1:4" ht="16.149999999999999" customHeight="1" x14ac:dyDescent="0.25">
      <c r="A6874" s="431">
        <v>40434</v>
      </c>
      <c r="B6874" s="434">
        <v>1801.04</v>
      </c>
      <c r="C6874" s="427">
        <f t="shared" si="214"/>
        <v>2010</v>
      </c>
      <c r="D6874" s="433">
        <f t="shared" si="215"/>
        <v>1801.04</v>
      </c>
    </row>
    <row r="6875" spans="1:4" ht="16.149999999999999" customHeight="1" x14ac:dyDescent="0.25">
      <c r="A6875" s="431">
        <v>40435</v>
      </c>
      <c r="B6875" s="432">
        <v>1793.28</v>
      </c>
      <c r="C6875" s="427">
        <f t="shared" si="214"/>
        <v>2010</v>
      </c>
      <c r="D6875" s="433">
        <f t="shared" si="215"/>
        <v>1793.28</v>
      </c>
    </row>
    <row r="6876" spans="1:4" ht="16.149999999999999" customHeight="1" x14ac:dyDescent="0.25">
      <c r="A6876" s="431">
        <v>40436</v>
      </c>
      <c r="B6876" s="434">
        <v>1788.05</v>
      </c>
      <c r="C6876" s="427">
        <f t="shared" si="214"/>
        <v>2010</v>
      </c>
      <c r="D6876" s="433">
        <f t="shared" si="215"/>
        <v>1788.05</v>
      </c>
    </row>
    <row r="6877" spans="1:4" ht="16.149999999999999" customHeight="1" x14ac:dyDescent="0.25">
      <c r="A6877" s="431">
        <v>40437</v>
      </c>
      <c r="B6877" s="432">
        <v>1806.78</v>
      </c>
      <c r="C6877" s="427">
        <f t="shared" si="214"/>
        <v>2010</v>
      </c>
      <c r="D6877" s="433">
        <f t="shared" si="215"/>
        <v>1806.78</v>
      </c>
    </row>
    <row r="6878" spans="1:4" ht="16.149999999999999" customHeight="1" x14ac:dyDescent="0.25">
      <c r="A6878" s="431">
        <v>40438</v>
      </c>
      <c r="B6878" s="434">
        <v>1811.55</v>
      </c>
      <c r="C6878" s="427">
        <f t="shared" si="214"/>
        <v>2010</v>
      </c>
      <c r="D6878" s="433">
        <f t="shared" si="215"/>
        <v>1811.55</v>
      </c>
    </row>
    <row r="6879" spans="1:4" ht="16.149999999999999" customHeight="1" x14ac:dyDescent="0.25">
      <c r="A6879" s="431">
        <v>40439</v>
      </c>
      <c r="B6879" s="432">
        <v>1806.76</v>
      </c>
      <c r="C6879" s="427">
        <f t="shared" si="214"/>
        <v>2010</v>
      </c>
      <c r="D6879" s="433">
        <f t="shared" si="215"/>
        <v>1806.76</v>
      </c>
    </row>
    <row r="6880" spans="1:4" ht="16.149999999999999" customHeight="1" x14ac:dyDescent="0.25">
      <c r="A6880" s="431">
        <v>40440</v>
      </c>
      <c r="B6880" s="434">
        <v>1806.76</v>
      </c>
      <c r="C6880" s="427">
        <f t="shared" si="214"/>
        <v>2010</v>
      </c>
      <c r="D6880" s="433">
        <f t="shared" si="215"/>
        <v>1806.76</v>
      </c>
    </row>
    <row r="6881" spans="1:4" ht="16.149999999999999" customHeight="1" x14ac:dyDescent="0.25">
      <c r="A6881" s="431">
        <v>40441</v>
      </c>
      <c r="B6881" s="432">
        <v>1806.76</v>
      </c>
      <c r="C6881" s="427">
        <f t="shared" si="214"/>
        <v>2010</v>
      </c>
      <c r="D6881" s="433">
        <f t="shared" si="215"/>
        <v>1806.76</v>
      </c>
    </row>
    <row r="6882" spans="1:4" ht="16.149999999999999" customHeight="1" x14ac:dyDescent="0.25">
      <c r="A6882" s="431">
        <v>40442</v>
      </c>
      <c r="B6882" s="434">
        <v>1798.73</v>
      </c>
      <c r="C6882" s="427">
        <f t="shared" si="214"/>
        <v>2010</v>
      </c>
      <c r="D6882" s="433">
        <f t="shared" si="215"/>
        <v>1798.73</v>
      </c>
    </row>
    <row r="6883" spans="1:4" ht="16.149999999999999" customHeight="1" x14ac:dyDescent="0.25">
      <c r="A6883" s="431">
        <v>40443</v>
      </c>
      <c r="B6883" s="432">
        <v>1805.31</v>
      </c>
      <c r="C6883" s="427">
        <f t="shared" si="214"/>
        <v>2010</v>
      </c>
      <c r="D6883" s="433">
        <f t="shared" si="215"/>
        <v>1805.31</v>
      </c>
    </row>
    <row r="6884" spans="1:4" ht="16.149999999999999" customHeight="1" x14ac:dyDescent="0.25">
      <c r="A6884" s="431">
        <v>40444</v>
      </c>
      <c r="B6884" s="434">
        <v>1803.71</v>
      </c>
      <c r="C6884" s="427">
        <f t="shared" si="214"/>
        <v>2010</v>
      </c>
      <c r="D6884" s="433">
        <f t="shared" si="215"/>
        <v>1803.71</v>
      </c>
    </row>
    <row r="6885" spans="1:4" ht="16.149999999999999" customHeight="1" x14ac:dyDescent="0.25">
      <c r="A6885" s="431">
        <v>40445</v>
      </c>
      <c r="B6885" s="432">
        <v>1810.72</v>
      </c>
      <c r="C6885" s="427">
        <f t="shared" si="214"/>
        <v>2010</v>
      </c>
      <c r="D6885" s="433">
        <f t="shared" si="215"/>
        <v>1810.72</v>
      </c>
    </row>
    <row r="6886" spans="1:4" ht="16.149999999999999" customHeight="1" x14ac:dyDescent="0.25">
      <c r="A6886" s="431">
        <v>40446</v>
      </c>
      <c r="B6886" s="434">
        <v>1809.46</v>
      </c>
      <c r="C6886" s="427">
        <f t="shared" si="214"/>
        <v>2010</v>
      </c>
      <c r="D6886" s="433">
        <f t="shared" si="215"/>
        <v>1809.46</v>
      </c>
    </row>
    <row r="6887" spans="1:4" ht="16.149999999999999" customHeight="1" x14ac:dyDescent="0.25">
      <c r="A6887" s="431">
        <v>40447</v>
      </c>
      <c r="B6887" s="432">
        <v>1809.46</v>
      </c>
      <c r="C6887" s="427">
        <f t="shared" si="214"/>
        <v>2010</v>
      </c>
      <c r="D6887" s="433">
        <f t="shared" si="215"/>
        <v>1809.46</v>
      </c>
    </row>
    <row r="6888" spans="1:4" ht="16.149999999999999" customHeight="1" x14ac:dyDescent="0.25">
      <c r="A6888" s="431">
        <v>40448</v>
      </c>
      <c r="B6888" s="434">
        <v>1809.46</v>
      </c>
      <c r="C6888" s="427">
        <f t="shared" si="214"/>
        <v>2010</v>
      </c>
      <c r="D6888" s="433">
        <f t="shared" si="215"/>
        <v>1809.46</v>
      </c>
    </row>
    <row r="6889" spans="1:4" ht="16.149999999999999" customHeight="1" x14ac:dyDescent="0.25">
      <c r="A6889" s="431">
        <v>40449</v>
      </c>
      <c r="B6889" s="432">
        <v>1802.15</v>
      </c>
      <c r="C6889" s="427">
        <f t="shared" si="214"/>
        <v>2010</v>
      </c>
      <c r="D6889" s="433">
        <f t="shared" si="215"/>
        <v>1802.15</v>
      </c>
    </row>
    <row r="6890" spans="1:4" ht="16.149999999999999" customHeight="1" x14ac:dyDescent="0.25">
      <c r="A6890" s="431">
        <v>40450</v>
      </c>
      <c r="B6890" s="434">
        <v>1804.06</v>
      </c>
      <c r="C6890" s="427">
        <f t="shared" si="214"/>
        <v>2010</v>
      </c>
      <c r="D6890" s="433">
        <f t="shared" si="215"/>
        <v>1804.06</v>
      </c>
    </row>
    <row r="6891" spans="1:4" ht="16.149999999999999" customHeight="1" x14ac:dyDescent="0.25">
      <c r="A6891" s="431">
        <v>40451</v>
      </c>
      <c r="B6891" s="432">
        <v>1799.89</v>
      </c>
      <c r="C6891" s="427">
        <f t="shared" si="214"/>
        <v>2010</v>
      </c>
      <c r="D6891" s="433">
        <f t="shared" si="215"/>
        <v>1799.89</v>
      </c>
    </row>
    <row r="6892" spans="1:4" ht="16.149999999999999" customHeight="1" x14ac:dyDescent="0.25">
      <c r="A6892" s="431">
        <v>40452</v>
      </c>
      <c r="B6892" s="434">
        <v>1801.01</v>
      </c>
      <c r="C6892" s="427">
        <f t="shared" si="214"/>
        <v>2010</v>
      </c>
      <c r="D6892" s="433">
        <f t="shared" si="215"/>
        <v>1801.01</v>
      </c>
    </row>
    <row r="6893" spans="1:4" ht="16.149999999999999" customHeight="1" x14ac:dyDescent="0.25">
      <c r="A6893" s="431">
        <v>40453</v>
      </c>
      <c r="B6893" s="432">
        <v>1795.93</v>
      </c>
      <c r="C6893" s="427">
        <f t="shared" si="214"/>
        <v>2010</v>
      </c>
      <c r="D6893" s="433">
        <f t="shared" si="215"/>
        <v>1795.93</v>
      </c>
    </row>
    <row r="6894" spans="1:4" ht="16.149999999999999" customHeight="1" x14ac:dyDescent="0.25">
      <c r="A6894" s="431">
        <v>40454</v>
      </c>
      <c r="B6894" s="434">
        <v>1795.93</v>
      </c>
      <c r="C6894" s="427">
        <f t="shared" si="214"/>
        <v>2010</v>
      </c>
      <c r="D6894" s="433">
        <f t="shared" si="215"/>
        <v>1795.93</v>
      </c>
    </row>
    <row r="6895" spans="1:4" ht="16.149999999999999" customHeight="1" x14ac:dyDescent="0.25">
      <c r="A6895" s="431">
        <v>40455</v>
      </c>
      <c r="B6895" s="432">
        <v>1795.93</v>
      </c>
      <c r="C6895" s="427">
        <f t="shared" si="214"/>
        <v>2010</v>
      </c>
      <c r="D6895" s="433">
        <f t="shared" si="215"/>
        <v>1795.93</v>
      </c>
    </row>
    <row r="6896" spans="1:4" ht="16.149999999999999" customHeight="1" x14ac:dyDescent="0.25">
      <c r="A6896" s="431">
        <v>40456</v>
      </c>
      <c r="B6896" s="434">
        <v>1802.09</v>
      </c>
      <c r="C6896" s="427">
        <f t="shared" si="214"/>
        <v>2010</v>
      </c>
      <c r="D6896" s="433">
        <f t="shared" si="215"/>
        <v>1802.09</v>
      </c>
    </row>
    <row r="6897" spans="1:4" ht="16.149999999999999" customHeight="1" x14ac:dyDescent="0.25">
      <c r="A6897" s="431">
        <v>40457</v>
      </c>
      <c r="B6897" s="432">
        <v>1802.43</v>
      </c>
      <c r="C6897" s="427">
        <f t="shared" si="214"/>
        <v>2010</v>
      </c>
      <c r="D6897" s="433">
        <f t="shared" si="215"/>
        <v>1802.43</v>
      </c>
    </row>
    <row r="6898" spans="1:4" ht="16.149999999999999" customHeight="1" x14ac:dyDescent="0.25">
      <c r="A6898" s="431">
        <v>40458</v>
      </c>
      <c r="B6898" s="434">
        <v>1796.29</v>
      </c>
      <c r="C6898" s="427">
        <f t="shared" si="214"/>
        <v>2010</v>
      </c>
      <c r="D6898" s="433">
        <f t="shared" si="215"/>
        <v>1796.29</v>
      </c>
    </row>
    <row r="6899" spans="1:4" ht="16.149999999999999" customHeight="1" x14ac:dyDescent="0.25">
      <c r="A6899" s="431">
        <v>40459</v>
      </c>
      <c r="B6899" s="432">
        <v>1786.2</v>
      </c>
      <c r="C6899" s="427">
        <f t="shared" si="214"/>
        <v>2010</v>
      </c>
      <c r="D6899" s="433">
        <f t="shared" si="215"/>
        <v>1786.2</v>
      </c>
    </row>
    <row r="6900" spans="1:4" ht="16.149999999999999" customHeight="1" x14ac:dyDescent="0.25">
      <c r="A6900" s="431">
        <v>40460</v>
      </c>
      <c r="B6900" s="434">
        <v>1786.37</v>
      </c>
      <c r="C6900" s="427">
        <f t="shared" si="214"/>
        <v>2010</v>
      </c>
      <c r="D6900" s="433">
        <f t="shared" si="215"/>
        <v>1786.37</v>
      </c>
    </row>
    <row r="6901" spans="1:4" ht="16.149999999999999" customHeight="1" x14ac:dyDescent="0.25">
      <c r="A6901" s="431">
        <v>40461</v>
      </c>
      <c r="B6901" s="432">
        <v>1786.37</v>
      </c>
      <c r="C6901" s="427">
        <f t="shared" si="214"/>
        <v>2010</v>
      </c>
      <c r="D6901" s="433">
        <f t="shared" si="215"/>
        <v>1786.37</v>
      </c>
    </row>
    <row r="6902" spans="1:4" ht="16.149999999999999" customHeight="1" x14ac:dyDescent="0.25">
      <c r="A6902" s="431">
        <v>40462</v>
      </c>
      <c r="B6902" s="434">
        <v>1786.37</v>
      </c>
      <c r="C6902" s="427">
        <f t="shared" si="214"/>
        <v>2010</v>
      </c>
      <c r="D6902" s="433">
        <f t="shared" si="215"/>
        <v>1786.37</v>
      </c>
    </row>
    <row r="6903" spans="1:4" ht="16.149999999999999" customHeight="1" x14ac:dyDescent="0.25">
      <c r="A6903" s="431">
        <v>40463</v>
      </c>
      <c r="B6903" s="432">
        <v>1786.37</v>
      </c>
      <c r="C6903" s="427">
        <f t="shared" si="214"/>
        <v>2010</v>
      </c>
      <c r="D6903" s="433">
        <f t="shared" si="215"/>
        <v>1786.37</v>
      </c>
    </row>
    <row r="6904" spans="1:4" ht="16.149999999999999" customHeight="1" x14ac:dyDescent="0.25">
      <c r="A6904" s="431">
        <v>40464</v>
      </c>
      <c r="B6904" s="434">
        <v>1786.77</v>
      </c>
      <c r="C6904" s="427">
        <f t="shared" si="214"/>
        <v>2010</v>
      </c>
      <c r="D6904" s="433">
        <f t="shared" si="215"/>
        <v>1786.77</v>
      </c>
    </row>
    <row r="6905" spans="1:4" ht="16.149999999999999" customHeight="1" x14ac:dyDescent="0.25">
      <c r="A6905" s="431">
        <v>40465</v>
      </c>
      <c r="B6905" s="432">
        <v>1791.56</v>
      </c>
      <c r="C6905" s="427">
        <f t="shared" si="214"/>
        <v>2010</v>
      </c>
      <c r="D6905" s="433">
        <f t="shared" si="215"/>
        <v>1791.56</v>
      </c>
    </row>
    <row r="6906" spans="1:4" ht="16.149999999999999" customHeight="1" x14ac:dyDescent="0.25">
      <c r="A6906" s="431">
        <v>40466</v>
      </c>
      <c r="B6906" s="434">
        <v>1801.2</v>
      </c>
      <c r="C6906" s="427">
        <f t="shared" si="214"/>
        <v>2010</v>
      </c>
      <c r="D6906" s="433">
        <f t="shared" si="215"/>
        <v>1801.2</v>
      </c>
    </row>
    <row r="6907" spans="1:4" ht="16.149999999999999" customHeight="1" x14ac:dyDescent="0.25">
      <c r="A6907" s="431">
        <v>40467</v>
      </c>
      <c r="B6907" s="432">
        <v>1807.88</v>
      </c>
      <c r="C6907" s="427">
        <f t="shared" si="214"/>
        <v>2010</v>
      </c>
      <c r="D6907" s="433">
        <f t="shared" si="215"/>
        <v>1807.88</v>
      </c>
    </row>
    <row r="6908" spans="1:4" ht="16.149999999999999" customHeight="1" x14ac:dyDescent="0.25">
      <c r="A6908" s="431">
        <v>40468</v>
      </c>
      <c r="B6908" s="434">
        <v>1807.88</v>
      </c>
      <c r="C6908" s="427">
        <f t="shared" si="214"/>
        <v>2010</v>
      </c>
      <c r="D6908" s="433">
        <f t="shared" si="215"/>
        <v>1807.88</v>
      </c>
    </row>
    <row r="6909" spans="1:4" ht="16.149999999999999" customHeight="1" x14ac:dyDescent="0.25">
      <c r="A6909" s="431">
        <v>40469</v>
      </c>
      <c r="B6909" s="432">
        <v>1807.88</v>
      </c>
      <c r="C6909" s="427">
        <f t="shared" si="214"/>
        <v>2010</v>
      </c>
      <c r="D6909" s="433">
        <f t="shared" si="215"/>
        <v>1807.88</v>
      </c>
    </row>
    <row r="6910" spans="1:4" ht="16.149999999999999" customHeight="1" x14ac:dyDescent="0.25">
      <c r="A6910" s="431">
        <v>40470</v>
      </c>
      <c r="B6910" s="434">
        <v>1807.88</v>
      </c>
      <c r="C6910" s="427">
        <f t="shared" si="214"/>
        <v>2010</v>
      </c>
      <c r="D6910" s="433">
        <f t="shared" si="215"/>
        <v>1807.88</v>
      </c>
    </row>
    <row r="6911" spans="1:4" ht="16.149999999999999" customHeight="1" x14ac:dyDescent="0.25">
      <c r="A6911" s="431">
        <v>40471</v>
      </c>
      <c r="B6911" s="432">
        <v>1817.45</v>
      </c>
      <c r="C6911" s="427">
        <f t="shared" si="214"/>
        <v>2010</v>
      </c>
      <c r="D6911" s="433">
        <f t="shared" si="215"/>
        <v>1817.45</v>
      </c>
    </row>
    <row r="6912" spans="1:4" ht="16.149999999999999" customHeight="1" x14ac:dyDescent="0.25">
      <c r="A6912" s="431">
        <v>40472</v>
      </c>
      <c r="B6912" s="434">
        <v>1812.6</v>
      </c>
      <c r="C6912" s="427">
        <f t="shared" si="214"/>
        <v>2010</v>
      </c>
      <c r="D6912" s="433">
        <f t="shared" si="215"/>
        <v>1812.6</v>
      </c>
    </row>
    <row r="6913" spans="1:4" ht="16.149999999999999" customHeight="1" x14ac:dyDescent="0.25">
      <c r="A6913" s="431">
        <v>40473</v>
      </c>
      <c r="B6913" s="432">
        <v>1816.28</v>
      </c>
      <c r="C6913" s="427">
        <f t="shared" si="214"/>
        <v>2010</v>
      </c>
      <c r="D6913" s="433">
        <f t="shared" si="215"/>
        <v>1816.28</v>
      </c>
    </row>
    <row r="6914" spans="1:4" ht="16.149999999999999" customHeight="1" x14ac:dyDescent="0.25">
      <c r="A6914" s="431">
        <v>40474</v>
      </c>
      <c r="B6914" s="434">
        <v>1823.05</v>
      </c>
      <c r="C6914" s="427">
        <f t="shared" si="214"/>
        <v>2010</v>
      </c>
      <c r="D6914" s="433">
        <f t="shared" si="215"/>
        <v>1823.05</v>
      </c>
    </row>
    <row r="6915" spans="1:4" ht="16.149999999999999" customHeight="1" x14ac:dyDescent="0.25">
      <c r="A6915" s="431">
        <v>40475</v>
      </c>
      <c r="B6915" s="432">
        <v>1823.05</v>
      </c>
      <c r="C6915" s="427">
        <f t="shared" si="214"/>
        <v>2010</v>
      </c>
      <c r="D6915" s="433">
        <f t="shared" si="215"/>
        <v>1823.05</v>
      </c>
    </row>
    <row r="6916" spans="1:4" ht="16.149999999999999" customHeight="1" x14ac:dyDescent="0.25">
      <c r="A6916" s="431">
        <v>40476</v>
      </c>
      <c r="B6916" s="434">
        <v>1823.05</v>
      </c>
      <c r="C6916" s="427">
        <f t="shared" si="214"/>
        <v>2010</v>
      </c>
      <c r="D6916" s="433">
        <f t="shared" si="215"/>
        <v>1823.05</v>
      </c>
    </row>
    <row r="6917" spans="1:4" ht="16.149999999999999" customHeight="1" x14ac:dyDescent="0.25">
      <c r="A6917" s="431">
        <v>40477</v>
      </c>
      <c r="B6917" s="432">
        <v>1830.96</v>
      </c>
      <c r="C6917" s="427">
        <f t="shared" si="214"/>
        <v>2010</v>
      </c>
      <c r="D6917" s="433">
        <f t="shared" si="215"/>
        <v>1830.96</v>
      </c>
    </row>
    <row r="6918" spans="1:4" ht="16.149999999999999" customHeight="1" x14ac:dyDescent="0.25">
      <c r="A6918" s="431">
        <v>40478</v>
      </c>
      <c r="B6918" s="434">
        <v>1838.45</v>
      </c>
      <c r="C6918" s="427">
        <f t="shared" si="214"/>
        <v>2010</v>
      </c>
      <c r="D6918" s="433">
        <f t="shared" si="215"/>
        <v>1838.45</v>
      </c>
    </row>
    <row r="6919" spans="1:4" ht="16.149999999999999" customHeight="1" x14ac:dyDescent="0.25">
      <c r="A6919" s="431">
        <v>40479</v>
      </c>
      <c r="B6919" s="432">
        <v>1846.41</v>
      </c>
      <c r="C6919" s="427">
        <f t="shared" si="214"/>
        <v>2010</v>
      </c>
      <c r="D6919" s="433">
        <f t="shared" si="215"/>
        <v>1846.41</v>
      </c>
    </row>
    <row r="6920" spans="1:4" ht="16.149999999999999" customHeight="1" x14ac:dyDescent="0.25">
      <c r="A6920" s="431">
        <v>40480</v>
      </c>
      <c r="B6920" s="434">
        <v>1839.9</v>
      </c>
      <c r="C6920" s="427">
        <f t="shared" si="214"/>
        <v>2010</v>
      </c>
      <c r="D6920" s="433">
        <f t="shared" si="215"/>
        <v>1839.9</v>
      </c>
    </row>
    <row r="6921" spans="1:4" ht="16.149999999999999" customHeight="1" x14ac:dyDescent="0.25">
      <c r="A6921" s="431">
        <v>40481</v>
      </c>
      <c r="B6921" s="432">
        <v>1831.64</v>
      </c>
      <c r="C6921" s="427">
        <f t="shared" si="214"/>
        <v>2010</v>
      </c>
      <c r="D6921" s="433">
        <f t="shared" si="215"/>
        <v>1831.64</v>
      </c>
    </row>
    <row r="6922" spans="1:4" ht="16.149999999999999" customHeight="1" x14ac:dyDescent="0.25">
      <c r="A6922" s="431">
        <v>40482</v>
      </c>
      <c r="B6922" s="434">
        <v>1831.64</v>
      </c>
      <c r="C6922" s="427">
        <f t="shared" ref="C6922:C6985" si="216">YEAR(A6922)</f>
        <v>2010</v>
      </c>
      <c r="D6922" s="433">
        <f t="shared" ref="D6922:D6985" si="217">B6922</f>
        <v>1831.64</v>
      </c>
    </row>
    <row r="6923" spans="1:4" ht="16.149999999999999" customHeight="1" x14ac:dyDescent="0.25">
      <c r="A6923" s="431">
        <v>40483</v>
      </c>
      <c r="B6923" s="432">
        <v>1831.64</v>
      </c>
      <c r="C6923" s="427">
        <f t="shared" si="216"/>
        <v>2010</v>
      </c>
      <c r="D6923" s="433">
        <f t="shared" si="217"/>
        <v>1831.64</v>
      </c>
    </row>
    <row r="6924" spans="1:4" ht="16.149999999999999" customHeight="1" x14ac:dyDescent="0.25">
      <c r="A6924" s="431">
        <v>40484</v>
      </c>
      <c r="B6924" s="434">
        <v>1831.64</v>
      </c>
      <c r="C6924" s="427">
        <f t="shared" si="216"/>
        <v>2010</v>
      </c>
      <c r="D6924" s="433">
        <f t="shared" si="217"/>
        <v>1831.64</v>
      </c>
    </row>
    <row r="6925" spans="1:4" ht="16.149999999999999" customHeight="1" x14ac:dyDescent="0.25">
      <c r="A6925" s="431">
        <v>40485</v>
      </c>
      <c r="B6925" s="432">
        <v>1845.51</v>
      </c>
      <c r="C6925" s="427">
        <f t="shared" si="216"/>
        <v>2010</v>
      </c>
      <c r="D6925" s="433">
        <f t="shared" si="217"/>
        <v>1845.51</v>
      </c>
    </row>
    <row r="6926" spans="1:4" ht="16.149999999999999" customHeight="1" x14ac:dyDescent="0.25">
      <c r="A6926" s="431">
        <v>40486</v>
      </c>
      <c r="B6926" s="434">
        <v>1840.51</v>
      </c>
      <c r="C6926" s="427">
        <f t="shared" si="216"/>
        <v>2010</v>
      </c>
      <c r="D6926" s="433">
        <f t="shared" si="217"/>
        <v>1840.51</v>
      </c>
    </row>
    <row r="6927" spans="1:4" ht="16.149999999999999" customHeight="1" x14ac:dyDescent="0.25">
      <c r="A6927" s="431">
        <v>40487</v>
      </c>
      <c r="B6927" s="432">
        <v>1821.05</v>
      </c>
      <c r="C6927" s="427">
        <f t="shared" si="216"/>
        <v>2010</v>
      </c>
      <c r="D6927" s="433">
        <f t="shared" si="217"/>
        <v>1821.05</v>
      </c>
    </row>
    <row r="6928" spans="1:4" ht="16.149999999999999" customHeight="1" x14ac:dyDescent="0.25">
      <c r="A6928" s="431">
        <v>40488</v>
      </c>
      <c r="B6928" s="434">
        <v>1817.7</v>
      </c>
      <c r="C6928" s="427">
        <f t="shared" si="216"/>
        <v>2010</v>
      </c>
      <c r="D6928" s="433">
        <f t="shared" si="217"/>
        <v>1817.7</v>
      </c>
    </row>
    <row r="6929" spans="1:4" ht="16.149999999999999" customHeight="1" x14ac:dyDescent="0.25">
      <c r="A6929" s="431">
        <v>40489</v>
      </c>
      <c r="B6929" s="432">
        <v>1817.7</v>
      </c>
      <c r="C6929" s="427">
        <f t="shared" si="216"/>
        <v>2010</v>
      </c>
      <c r="D6929" s="433">
        <f t="shared" si="217"/>
        <v>1817.7</v>
      </c>
    </row>
    <row r="6930" spans="1:4" ht="16.149999999999999" customHeight="1" x14ac:dyDescent="0.25">
      <c r="A6930" s="431">
        <v>40490</v>
      </c>
      <c r="B6930" s="434">
        <v>1817.7</v>
      </c>
      <c r="C6930" s="427">
        <f t="shared" si="216"/>
        <v>2010</v>
      </c>
      <c r="D6930" s="433">
        <f t="shared" si="217"/>
        <v>1817.7</v>
      </c>
    </row>
    <row r="6931" spans="1:4" ht="16.149999999999999" customHeight="1" x14ac:dyDescent="0.25">
      <c r="A6931" s="431">
        <v>40491</v>
      </c>
      <c r="B6931" s="432">
        <v>1828.28</v>
      </c>
      <c r="C6931" s="427">
        <f t="shared" si="216"/>
        <v>2010</v>
      </c>
      <c r="D6931" s="433">
        <f t="shared" si="217"/>
        <v>1828.28</v>
      </c>
    </row>
    <row r="6932" spans="1:4" ht="16.149999999999999" customHeight="1" x14ac:dyDescent="0.25">
      <c r="A6932" s="431">
        <v>40492</v>
      </c>
      <c r="B6932" s="434">
        <v>1836.27</v>
      </c>
      <c r="C6932" s="427">
        <f t="shared" si="216"/>
        <v>2010</v>
      </c>
      <c r="D6932" s="433">
        <f t="shared" si="217"/>
        <v>1836.27</v>
      </c>
    </row>
    <row r="6933" spans="1:4" ht="16.149999999999999" customHeight="1" x14ac:dyDescent="0.25">
      <c r="A6933" s="431">
        <v>40493</v>
      </c>
      <c r="B6933" s="432">
        <v>1858.01</v>
      </c>
      <c r="C6933" s="427">
        <f t="shared" si="216"/>
        <v>2010</v>
      </c>
      <c r="D6933" s="433">
        <f t="shared" si="217"/>
        <v>1858.01</v>
      </c>
    </row>
    <row r="6934" spans="1:4" ht="16.149999999999999" customHeight="1" x14ac:dyDescent="0.25">
      <c r="A6934" s="431">
        <v>40494</v>
      </c>
      <c r="B6934" s="434">
        <v>1858.01</v>
      </c>
      <c r="C6934" s="427">
        <f t="shared" si="216"/>
        <v>2010</v>
      </c>
      <c r="D6934" s="433">
        <f t="shared" si="217"/>
        <v>1858.01</v>
      </c>
    </row>
    <row r="6935" spans="1:4" ht="16.149999999999999" customHeight="1" x14ac:dyDescent="0.25">
      <c r="A6935" s="431">
        <v>40495</v>
      </c>
      <c r="B6935" s="432">
        <v>1861.74</v>
      </c>
      <c r="C6935" s="427">
        <f t="shared" si="216"/>
        <v>2010</v>
      </c>
      <c r="D6935" s="433">
        <f t="shared" si="217"/>
        <v>1861.74</v>
      </c>
    </row>
    <row r="6936" spans="1:4" ht="16.149999999999999" customHeight="1" x14ac:dyDescent="0.25">
      <c r="A6936" s="431">
        <v>40496</v>
      </c>
      <c r="B6936" s="434">
        <v>1861.74</v>
      </c>
      <c r="C6936" s="427">
        <f t="shared" si="216"/>
        <v>2010</v>
      </c>
      <c r="D6936" s="433">
        <f t="shared" si="217"/>
        <v>1861.74</v>
      </c>
    </row>
    <row r="6937" spans="1:4" ht="16.149999999999999" customHeight="1" x14ac:dyDescent="0.25">
      <c r="A6937" s="431">
        <v>40497</v>
      </c>
      <c r="B6937" s="432">
        <v>1861.74</v>
      </c>
      <c r="C6937" s="427">
        <f t="shared" si="216"/>
        <v>2010</v>
      </c>
      <c r="D6937" s="433">
        <f t="shared" si="217"/>
        <v>1861.74</v>
      </c>
    </row>
    <row r="6938" spans="1:4" ht="16.149999999999999" customHeight="1" x14ac:dyDescent="0.25">
      <c r="A6938" s="431">
        <v>40498</v>
      </c>
      <c r="B6938" s="434">
        <v>1861.74</v>
      </c>
      <c r="C6938" s="427">
        <f t="shared" si="216"/>
        <v>2010</v>
      </c>
      <c r="D6938" s="433">
        <f t="shared" si="217"/>
        <v>1861.74</v>
      </c>
    </row>
    <row r="6939" spans="1:4" ht="16.149999999999999" customHeight="1" x14ac:dyDescent="0.25">
      <c r="A6939" s="431">
        <v>40499</v>
      </c>
      <c r="B6939" s="432">
        <v>1880.98</v>
      </c>
      <c r="C6939" s="427">
        <f t="shared" si="216"/>
        <v>2010</v>
      </c>
      <c r="D6939" s="433">
        <f t="shared" si="217"/>
        <v>1880.98</v>
      </c>
    </row>
    <row r="6940" spans="1:4" ht="16.149999999999999" customHeight="1" x14ac:dyDescent="0.25">
      <c r="A6940" s="431">
        <v>40500</v>
      </c>
      <c r="B6940" s="434">
        <v>1875.78</v>
      </c>
      <c r="C6940" s="427">
        <f t="shared" si="216"/>
        <v>2010</v>
      </c>
      <c r="D6940" s="433">
        <f t="shared" si="217"/>
        <v>1875.78</v>
      </c>
    </row>
    <row r="6941" spans="1:4" ht="16.149999999999999" customHeight="1" x14ac:dyDescent="0.25">
      <c r="A6941" s="431">
        <v>40501</v>
      </c>
      <c r="B6941" s="432">
        <v>1865.82</v>
      </c>
      <c r="C6941" s="427">
        <f t="shared" si="216"/>
        <v>2010</v>
      </c>
      <c r="D6941" s="433">
        <f t="shared" si="217"/>
        <v>1865.82</v>
      </c>
    </row>
    <row r="6942" spans="1:4" ht="16.149999999999999" customHeight="1" x14ac:dyDescent="0.25">
      <c r="A6942" s="431">
        <v>40502</v>
      </c>
      <c r="B6942" s="434">
        <v>1875.39</v>
      </c>
      <c r="C6942" s="427">
        <f t="shared" si="216"/>
        <v>2010</v>
      </c>
      <c r="D6942" s="433">
        <f t="shared" si="217"/>
        <v>1875.39</v>
      </c>
    </row>
    <row r="6943" spans="1:4" ht="16.149999999999999" customHeight="1" x14ac:dyDescent="0.25">
      <c r="A6943" s="431">
        <v>40503</v>
      </c>
      <c r="B6943" s="432">
        <v>1875.39</v>
      </c>
      <c r="C6943" s="427">
        <f t="shared" si="216"/>
        <v>2010</v>
      </c>
      <c r="D6943" s="433">
        <f t="shared" si="217"/>
        <v>1875.39</v>
      </c>
    </row>
    <row r="6944" spans="1:4" ht="16.149999999999999" customHeight="1" x14ac:dyDescent="0.25">
      <c r="A6944" s="431">
        <v>40504</v>
      </c>
      <c r="B6944" s="434">
        <v>1875.39</v>
      </c>
      <c r="C6944" s="427">
        <f t="shared" si="216"/>
        <v>2010</v>
      </c>
      <c r="D6944" s="433">
        <f t="shared" si="217"/>
        <v>1875.39</v>
      </c>
    </row>
    <row r="6945" spans="1:4" ht="16.149999999999999" customHeight="1" x14ac:dyDescent="0.25">
      <c r="A6945" s="431">
        <v>40505</v>
      </c>
      <c r="B6945" s="432">
        <v>1882</v>
      </c>
      <c r="C6945" s="427">
        <f t="shared" si="216"/>
        <v>2010</v>
      </c>
      <c r="D6945" s="433">
        <f t="shared" si="217"/>
        <v>1882</v>
      </c>
    </row>
    <row r="6946" spans="1:4" ht="16.149999999999999" customHeight="1" x14ac:dyDescent="0.25">
      <c r="A6946" s="431">
        <v>40506</v>
      </c>
      <c r="B6946" s="434">
        <v>1892.84</v>
      </c>
      <c r="C6946" s="427">
        <f t="shared" si="216"/>
        <v>2010</v>
      </c>
      <c r="D6946" s="433">
        <f t="shared" si="217"/>
        <v>1892.84</v>
      </c>
    </row>
    <row r="6947" spans="1:4" ht="16.149999999999999" customHeight="1" x14ac:dyDescent="0.25">
      <c r="A6947" s="431">
        <v>40507</v>
      </c>
      <c r="B6947" s="432">
        <v>1889.11</v>
      </c>
      <c r="C6947" s="427">
        <f t="shared" si="216"/>
        <v>2010</v>
      </c>
      <c r="D6947" s="433">
        <f t="shared" si="217"/>
        <v>1889.11</v>
      </c>
    </row>
    <row r="6948" spans="1:4" ht="16.149999999999999" customHeight="1" x14ac:dyDescent="0.25">
      <c r="A6948" s="431">
        <v>40508</v>
      </c>
      <c r="B6948" s="434">
        <v>1889.11</v>
      </c>
      <c r="C6948" s="427">
        <f t="shared" si="216"/>
        <v>2010</v>
      </c>
      <c r="D6948" s="433">
        <f t="shared" si="217"/>
        <v>1889.11</v>
      </c>
    </row>
    <row r="6949" spans="1:4" ht="16.149999999999999" customHeight="1" x14ac:dyDescent="0.25">
      <c r="A6949" s="431">
        <v>40509</v>
      </c>
      <c r="B6949" s="432">
        <v>1906.69</v>
      </c>
      <c r="C6949" s="427">
        <f t="shared" si="216"/>
        <v>2010</v>
      </c>
      <c r="D6949" s="433">
        <f t="shared" si="217"/>
        <v>1906.69</v>
      </c>
    </row>
    <row r="6950" spans="1:4" ht="16.149999999999999" customHeight="1" x14ac:dyDescent="0.25">
      <c r="A6950" s="431">
        <v>40510</v>
      </c>
      <c r="B6950" s="434">
        <v>1906.69</v>
      </c>
      <c r="C6950" s="427">
        <f t="shared" si="216"/>
        <v>2010</v>
      </c>
      <c r="D6950" s="433">
        <f t="shared" si="217"/>
        <v>1906.69</v>
      </c>
    </row>
    <row r="6951" spans="1:4" ht="16.149999999999999" customHeight="1" x14ac:dyDescent="0.25">
      <c r="A6951" s="431">
        <v>40511</v>
      </c>
      <c r="B6951" s="432">
        <v>1906.69</v>
      </c>
      <c r="C6951" s="427">
        <f t="shared" si="216"/>
        <v>2010</v>
      </c>
      <c r="D6951" s="433">
        <f t="shared" si="217"/>
        <v>1906.69</v>
      </c>
    </row>
    <row r="6952" spans="1:4" ht="16.149999999999999" customHeight="1" x14ac:dyDescent="0.25">
      <c r="A6952" s="431">
        <v>40512</v>
      </c>
      <c r="B6952" s="434">
        <v>1916.96</v>
      </c>
      <c r="C6952" s="427">
        <f t="shared" si="216"/>
        <v>2010</v>
      </c>
      <c r="D6952" s="433">
        <f t="shared" si="217"/>
        <v>1916.96</v>
      </c>
    </row>
    <row r="6953" spans="1:4" ht="16.149999999999999" customHeight="1" x14ac:dyDescent="0.25">
      <c r="A6953" s="431">
        <v>40513</v>
      </c>
      <c r="B6953" s="432">
        <v>1932.63</v>
      </c>
      <c r="C6953" s="427">
        <f t="shared" si="216"/>
        <v>2010</v>
      </c>
      <c r="D6953" s="433">
        <f t="shared" si="217"/>
        <v>1932.63</v>
      </c>
    </row>
    <row r="6954" spans="1:4" ht="16.149999999999999" customHeight="1" x14ac:dyDescent="0.25">
      <c r="A6954" s="431">
        <v>40514</v>
      </c>
      <c r="B6954" s="434">
        <v>1933.58</v>
      </c>
      <c r="C6954" s="427">
        <f t="shared" si="216"/>
        <v>2010</v>
      </c>
      <c r="D6954" s="433">
        <f t="shared" si="217"/>
        <v>1933.58</v>
      </c>
    </row>
    <row r="6955" spans="1:4" ht="16.149999999999999" customHeight="1" x14ac:dyDescent="0.25">
      <c r="A6955" s="431">
        <v>40515</v>
      </c>
      <c r="B6955" s="432">
        <v>1920</v>
      </c>
      <c r="C6955" s="427">
        <f t="shared" si="216"/>
        <v>2010</v>
      </c>
      <c r="D6955" s="433">
        <f t="shared" si="217"/>
        <v>1920</v>
      </c>
    </row>
    <row r="6956" spans="1:4" ht="16.149999999999999" customHeight="1" x14ac:dyDescent="0.25">
      <c r="A6956" s="431">
        <v>40516</v>
      </c>
      <c r="B6956" s="434">
        <v>1896.73</v>
      </c>
      <c r="C6956" s="427">
        <f t="shared" si="216"/>
        <v>2010</v>
      </c>
      <c r="D6956" s="433">
        <f t="shared" si="217"/>
        <v>1896.73</v>
      </c>
    </row>
    <row r="6957" spans="1:4" ht="16.149999999999999" customHeight="1" x14ac:dyDescent="0.25">
      <c r="A6957" s="431">
        <v>40517</v>
      </c>
      <c r="B6957" s="432">
        <v>1896.73</v>
      </c>
      <c r="C6957" s="427">
        <f t="shared" si="216"/>
        <v>2010</v>
      </c>
      <c r="D6957" s="433">
        <f t="shared" si="217"/>
        <v>1896.73</v>
      </c>
    </row>
    <row r="6958" spans="1:4" ht="16.149999999999999" customHeight="1" x14ac:dyDescent="0.25">
      <c r="A6958" s="431">
        <v>40518</v>
      </c>
      <c r="B6958" s="434">
        <v>1896.73</v>
      </c>
      <c r="C6958" s="427">
        <f t="shared" si="216"/>
        <v>2010</v>
      </c>
      <c r="D6958" s="433">
        <f t="shared" si="217"/>
        <v>1896.73</v>
      </c>
    </row>
    <row r="6959" spans="1:4" ht="16.149999999999999" customHeight="1" x14ac:dyDescent="0.25">
      <c r="A6959" s="431">
        <v>40519</v>
      </c>
      <c r="B6959" s="432">
        <v>1889.75</v>
      </c>
      <c r="C6959" s="427">
        <f t="shared" si="216"/>
        <v>2010</v>
      </c>
      <c r="D6959" s="433">
        <f t="shared" si="217"/>
        <v>1889.75</v>
      </c>
    </row>
    <row r="6960" spans="1:4" ht="16.149999999999999" customHeight="1" x14ac:dyDescent="0.25">
      <c r="A6960" s="431">
        <v>40520</v>
      </c>
      <c r="B6960" s="434">
        <v>1880.82</v>
      </c>
      <c r="C6960" s="427">
        <f t="shared" si="216"/>
        <v>2010</v>
      </c>
      <c r="D6960" s="433">
        <f t="shared" si="217"/>
        <v>1880.82</v>
      </c>
    </row>
    <row r="6961" spans="1:4" ht="16.149999999999999" customHeight="1" x14ac:dyDescent="0.25">
      <c r="A6961" s="431">
        <v>40521</v>
      </c>
      <c r="B6961" s="432">
        <v>1880.82</v>
      </c>
      <c r="C6961" s="427">
        <f t="shared" si="216"/>
        <v>2010</v>
      </c>
      <c r="D6961" s="433">
        <f t="shared" si="217"/>
        <v>1880.82</v>
      </c>
    </row>
    <row r="6962" spans="1:4" ht="16.149999999999999" customHeight="1" x14ac:dyDescent="0.25">
      <c r="A6962" s="431">
        <v>40522</v>
      </c>
      <c r="B6962" s="434">
        <v>1902.72</v>
      </c>
      <c r="C6962" s="427">
        <f t="shared" si="216"/>
        <v>2010</v>
      </c>
      <c r="D6962" s="433">
        <f t="shared" si="217"/>
        <v>1902.72</v>
      </c>
    </row>
    <row r="6963" spans="1:4" ht="16.149999999999999" customHeight="1" x14ac:dyDescent="0.25">
      <c r="A6963" s="431">
        <v>40523</v>
      </c>
      <c r="B6963" s="432">
        <v>1911.87</v>
      </c>
      <c r="C6963" s="427">
        <f t="shared" si="216"/>
        <v>2010</v>
      </c>
      <c r="D6963" s="433">
        <f t="shared" si="217"/>
        <v>1911.87</v>
      </c>
    </row>
    <row r="6964" spans="1:4" ht="16.149999999999999" customHeight="1" x14ac:dyDescent="0.25">
      <c r="A6964" s="431">
        <v>40524</v>
      </c>
      <c r="B6964" s="434">
        <v>1911.87</v>
      </c>
      <c r="C6964" s="427">
        <f t="shared" si="216"/>
        <v>2010</v>
      </c>
      <c r="D6964" s="433">
        <f t="shared" si="217"/>
        <v>1911.87</v>
      </c>
    </row>
    <row r="6965" spans="1:4" ht="16.149999999999999" customHeight="1" x14ac:dyDescent="0.25">
      <c r="A6965" s="431">
        <v>40525</v>
      </c>
      <c r="B6965" s="432">
        <v>1911.87</v>
      </c>
      <c r="C6965" s="427">
        <f t="shared" si="216"/>
        <v>2010</v>
      </c>
      <c r="D6965" s="433">
        <f t="shared" si="217"/>
        <v>1911.87</v>
      </c>
    </row>
    <row r="6966" spans="1:4" ht="16.149999999999999" customHeight="1" x14ac:dyDescent="0.25">
      <c r="A6966" s="431">
        <v>40526</v>
      </c>
      <c r="B6966" s="434">
        <v>1894.12</v>
      </c>
      <c r="C6966" s="427">
        <f t="shared" si="216"/>
        <v>2010</v>
      </c>
      <c r="D6966" s="433">
        <f t="shared" si="217"/>
        <v>1894.12</v>
      </c>
    </row>
    <row r="6967" spans="1:4" ht="16.149999999999999" customHeight="1" x14ac:dyDescent="0.25">
      <c r="A6967" s="431">
        <v>40527</v>
      </c>
      <c r="B6967" s="432">
        <v>1899.89</v>
      </c>
      <c r="C6967" s="427">
        <f t="shared" si="216"/>
        <v>2010</v>
      </c>
      <c r="D6967" s="433">
        <f t="shared" si="217"/>
        <v>1899.89</v>
      </c>
    </row>
    <row r="6968" spans="1:4" ht="16.149999999999999" customHeight="1" x14ac:dyDescent="0.25">
      <c r="A6968" s="431">
        <v>40528</v>
      </c>
      <c r="B6968" s="434">
        <v>1905.84</v>
      </c>
      <c r="C6968" s="427">
        <f t="shared" si="216"/>
        <v>2010</v>
      </c>
      <c r="D6968" s="433">
        <f t="shared" si="217"/>
        <v>1905.84</v>
      </c>
    </row>
    <row r="6969" spans="1:4" ht="16.149999999999999" customHeight="1" x14ac:dyDescent="0.25">
      <c r="A6969" s="431">
        <v>40529</v>
      </c>
      <c r="B6969" s="432">
        <v>1916.09</v>
      </c>
      <c r="C6969" s="427">
        <f t="shared" si="216"/>
        <v>2010</v>
      </c>
      <c r="D6969" s="433">
        <f t="shared" si="217"/>
        <v>1916.09</v>
      </c>
    </row>
    <row r="6970" spans="1:4" ht="16.149999999999999" customHeight="1" x14ac:dyDescent="0.25">
      <c r="A6970" s="431">
        <v>40530</v>
      </c>
      <c r="B6970" s="434">
        <v>1923.13</v>
      </c>
      <c r="C6970" s="427">
        <f t="shared" si="216"/>
        <v>2010</v>
      </c>
      <c r="D6970" s="433">
        <f t="shared" si="217"/>
        <v>1923.13</v>
      </c>
    </row>
    <row r="6971" spans="1:4" ht="16.149999999999999" customHeight="1" x14ac:dyDescent="0.25">
      <c r="A6971" s="431">
        <v>40531</v>
      </c>
      <c r="B6971" s="432">
        <v>1923.13</v>
      </c>
      <c r="C6971" s="427">
        <f t="shared" si="216"/>
        <v>2010</v>
      </c>
      <c r="D6971" s="433">
        <f t="shared" si="217"/>
        <v>1923.13</v>
      </c>
    </row>
    <row r="6972" spans="1:4" ht="16.149999999999999" customHeight="1" x14ac:dyDescent="0.25">
      <c r="A6972" s="431">
        <v>40532</v>
      </c>
      <c r="B6972" s="434">
        <v>1923.13</v>
      </c>
      <c r="C6972" s="427">
        <f t="shared" si="216"/>
        <v>2010</v>
      </c>
      <c r="D6972" s="433">
        <f t="shared" si="217"/>
        <v>1923.13</v>
      </c>
    </row>
    <row r="6973" spans="1:4" ht="16.149999999999999" customHeight="1" x14ac:dyDescent="0.25">
      <c r="A6973" s="431">
        <v>40533</v>
      </c>
      <c r="B6973" s="432">
        <v>1928.71</v>
      </c>
      <c r="C6973" s="427">
        <f t="shared" si="216"/>
        <v>2010</v>
      </c>
      <c r="D6973" s="433">
        <f t="shared" si="217"/>
        <v>1928.71</v>
      </c>
    </row>
    <row r="6974" spans="1:4" ht="16.149999999999999" customHeight="1" x14ac:dyDescent="0.25">
      <c r="A6974" s="431">
        <v>40534</v>
      </c>
      <c r="B6974" s="434">
        <v>1934.96</v>
      </c>
      <c r="C6974" s="427">
        <f t="shared" si="216"/>
        <v>2010</v>
      </c>
      <c r="D6974" s="433">
        <f t="shared" si="217"/>
        <v>1934.96</v>
      </c>
    </row>
    <row r="6975" spans="1:4" ht="16.149999999999999" customHeight="1" x14ac:dyDescent="0.25">
      <c r="A6975" s="431">
        <v>40535</v>
      </c>
      <c r="B6975" s="432">
        <v>1934.44</v>
      </c>
      <c r="C6975" s="427">
        <f t="shared" si="216"/>
        <v>2010</v>
      </c>
      <c r="D6975" s="433">
        <f t="shared" si="217"/>
        <v>1934.44</v>
      </c>
    </row>
    <row r="6976" spans="1:4" ht="16.149999999999999" customHeight="1" x14ac:dyDescent="0.25">
      <c r="A6976" s="431">
        <v>40536</v>
      </c>
      <c r="B6976" s="434">
        <v>1928.33</v>
      </c>
      <c r="C6976" s="427">
        <f t="shared" si="216"/>
        <v>2010</v>
      </c>
      <c r="D6976" s="433">
        <f t="shared" si="217"/>
        <v>1928.33</v>
      </c>
    </row>
    <row r="6977" spans="1:4" ht="16.149999999999999" customHeight="1" x14ac:dyDescent="0.25">
      <c r="A6977" s="431">
        <v>40537</v>
      </c>
      <c r="B6977" s="432">
        <v>1939.54</v>
      </c>
      <c r="C6977" s="427">
        <f t="shared" si="216"/>
        <v>2010</v>
      </c>
      <c r="D6977" s="433">
        <f t="shared" si="217"/>
        <v>1939.54</v>
      </c>
    </row>
    <row r="6978" spans="1:4" ht="16.149999999999999" customHeight="1" x14ac:dyDescent="0.25">
      <c r="A6978" s="431">
        <v>40538</v>
      </c>
      <c r="B6978" s="434">
        <v>1939.54</v>
      </c>
      <c r="C6978" s="427">
        <f t="shared" si="216"/>
        <v>2010</v>
      </c>
      <c r="D6978" s="433">
        <f t="shared" si="217"/>
        <v>1939.54</v>
      </c>
    </row>
    <row r="6979" spans="1:4" ht="16.149999999999999" customHeight="1" x14ac:dyDescent="0.25">
      <c r="A6979" s="431">
        <v>40539</v>
      </c>
      <c r="B6979" s="432">
        <v>1939.54</v>
      </c>
      <c r="C6979" s="427">
        <f t="shared" si="216"/>
        <v>2010</v>
      </c>
      <c r="D6979" s="433">
        <f t="shared" si="217"/>
        <v>1939.54</v>
      </c>
    </row>
    <row r="6980" spans="1:4" ht="16.149999999999999" customHeight="1" x14ac:dyDescent="0.25">
      <c r="A6980" s="431">
        <v>40540</v>
      </c>
      <c r="B6980" s="434">
        <v>1964.57</v>
      </c>
      <c r="C6980" s="427">
        <f t="shared" si="216"/>
        <v>2010</v>
      </c>
      <c r="D6980" s="433">
        <f t="shared" si="217"/>
        <v>1964.57</v>
      </c>
    </row>
    <row r="6981" spans="1:4" ht="16.149999999999999" customHeight="1" x14ac:dyDescent="0.25">
      <c r="A6981" s="431">
        <v>40541</v>
      </c>
      <c r="B6981" s="432">
        <v>2027.33</v>
      </c>
      <c r="C6981" s="427">
        <f t="shared" si="216"/>
        <v>2010</v>
      </c>
      <c r="D6981" s="433">
        <f t="shared" si="217"/>
        <v>2027.33</v>
      </c>
    </row>
    <row r="6982" spans="1:4" ht="16.149999999999999" customHeight="1" x14ac:dyDescent="0.25">
      <c r="A6982" s="431">
        <v>40542</v>
      </c>
      <c r="B6982" s="434">
        <v>1989.88</v>
      </c>
      <c r="C6982" s="427">
        <f t="shared" si="216"/>
        <v>2010</v>
      </c>
      <c r="D6982" s="433">
        <f t="shared" si="217"/>
        <v>1989.88</v>
      </c>
    </row>
    <row r="6983" spans="1:4" ht="16.149999999999999" customHeight="1" x14ac:dyDescent="0.25">
      <c r="A6983" s="431">
        <v>40543</v>
      </c>
      <c r="B6983" s="432">
        <v>1913.98</v>
      </c>
      <c r="C6983" s="427">
        <f t="shared" si="216"/>
        <v>2010</v>
      </c>
      <c r="D6983" s="433">
        <f t="shared" si="217"/>
        <v>1913.98</v>
      </c>
    </row>
    <row r="6984" spans="1:4" ht="16.149999999999999" customHeight="1" x14ac:dyDescent="0.25">
      <c r="A6984" s="431">
        <v>40544</v>
      </c>
      <c r="B6984" s="434">
        <v>1913.98</v>
      </c>
      <c r="C6984" s="427">
        <f t="shared" si="216"/>
        <v>2011</v>
      </c>
      <c r="D6984" s="433">
        <f t="shared" si="217"/>
        <v>1913.98</v>
      </c>
    </row>
    <row r="6985" spans="1:4" ht="16.149999999999999" customHeight="1" x14ac:dyDescent="0.25">
      <c r="A6985" s="431">
        <v>40545</v>
      </c>
      <c r="B6985" s="432">
        <v>1913.98</v>
      </c>
      <c r="C6985" s="427">
        <f t="shared" si="216"/>
        <v>2011</v>
      </c>
      <c r="D6985" s="433">
        <f t="shared" si="217"/>
        <v>1913.98</v>
      </c>
    </row>
    <row r="6986" spans="1:4" ht="16.149999999999999" customHeight="1" x14ac:dyDescent="0.25">
      <c r="A6986" s="431">
        <v>40546</v>
      </c>
      <c r="B6986" s="434">
        <v>1913.98</v>
      </c>
      <c r="C6986" s="427">
        <f t="shared" ref="C6986:C7049" si="218">YEAR(A6986)</f>
        <v>2011</v>
      </c>
      <c r="D6986" s="433">
        <f t="shared" ref="D6986:D7049" si="219">B6986</f>
        <v>1913.98</v>
      </c>
    </row>
    <row r="6987" spans="1:4" ht="16.149999999999999" customHeight="1" x14ac:dyDescent="0.25">
      <c r="A6987" s="431">
        <v>40547</v>
      </c>
      <c r="B6987" s="432">
        <v>1902.71</v>
      </c>
      <c r="C6987" s="427">
        <f t="shared" si="218"/>
        <v>2011</v>
      </c>
      <c r="D6987" s="433">
        <f t="shared" si="219"/>
        <v>1902.71</v>
      </c>
    </row>
    <row r="6988" spans="1:4" ht="16.149999999999999" customHeight="1" x14ac:dyDescent="0.25">
      <c r="A6988" s="431">
        <v>40548</v>
      </c>
      <c r="B6988" s="434">
        <v>1899.86</v>
      </c>
      <c r="C6988" s="427">
        <f t="shared" si="218"/>
        <v>2011</v>
      </c>
      <c r="D6988" s="433">
        <f t="shared" si="219"/>
        <v>1899.86</v>
      </c>
    </row>
    <row r="6989" spans="1:4" ht="16.149999999999999" customHeight="1" x14ac:dyDescent="0.25">
      <c r="A6989" s="431">
        <v>40549</v>
      </c>
      <c r="B6989" s="432">
        <v>1894.82</v>
      </c>
      <c r="C6989" s="427">
        <f t="shared" si="218"/>
        <v>2011</v>
      </c>
      <c r="D6989" s="433">
        <f t="shared" si="219"/>
        <v>1894.82</v>
      </c>
    </row>
    <row r="6990" spans="1:4" ht="16.149999999999999" customHeight="1" x14ac:dyDescent="0.25">
      <c r="A6990" s="431">
        <v>40550</v>
      </c>
      <c r="B6990" s="434">
        <v>1869.94</v>
      </c>
      <c r="C6990" s="427">
        <f t="shared" si="218"/>
        <v>2011</v>
      </c>
      <c r="D6990" s="433">
        <f t="shared" si="219"/>
        <v>1869.94</v>
      </c>
    </row>
    <row r="6991" spans="1:4" ht="16.149999999999999" customHeight="1" x14ac:dyDescent="0.25">
      <c r="A6991" s="431">
        <v>40551</v>
      </c>
      <c r="B6991" s="432">
        <v>1859.97</v>
      </c>
      <c r="C6991" s="427">
        <f t="shared" si="218"/>
        <v>2011</v>
      </c>
      <c r="D6991" s="433">
        <f t="shared" si="219"/>
        <v>1859.97</v>
      </c>
    </row>
    <row r="6992" spans="1:4" ht="16.149999999999999" customHeight="1" x14ac:dyDescent="0.25">
      <c r="A6992" s="431">
        <v>40552</v>
      </c>
      <c r="B6992" s="434">
        <v>1859.97</v>
      </c>
      <c r="C6992" s="427">
        <f t="shared" si="218"/>
        <v>2011</v>
      </c>
      <c r="D6992" s="433">
        <f t="shared" si="219"/>
        <v>1859.97</v>
      </c>
    </row>
    <row r="6993" spans="1:4" ht="16.149999999999999" customHeight="1" x14ac:dyDescent="0.25">
      <c r="A6993" s="431">
        <v>40553</v>
      </c>
      <c r="B6993" s="432">
        <v>1859.97</v>
      </c>
      <c r="C6993" s="427">
        <f t="shared" si="218"/>
        <v>2011</v>
      </c>
      <c r="D6993" s="433">
        <f t="shared" si="219"/>
        <v>1859.97</v>
      </c>
    </row>
    <row r="6994" spans="1:4" ht="16.149999999999999" customHeight="1" x14ac:dyDescent="0.25">
      <c r="A6994" s="431">
        <v>40554</v>
      </c>
      <c r="B6994" s="434">
        <v>1859.97</v>
      </c>
      <c r="C6994" s="427">
        <f t="shared" si="218"/>
        <v>2011</v>
      </c>
      <c r="D6994" s="433">
        <f t="shared" si="219"/>
        <v>1859.97</v>
      </c>
    </row>
    <row r="6995" spans="1:4" ht="16.149999999999999" customHeight="1" x14ac:dyDescent="0.25">
      <c r="A6995" s="431">
        <v>40555</v>
      </c>
      <c r="B6995" s="432">
        <v>1856.79</v>
      </c>
      <c r="C6995" s="427">
        <f t="shared" si="218"/>
        <v>2011</v>
      </c>
      <c r="D6995" s="433">
        <f t="shared" si="219"/>
        <v>1856.79</v>
      </c>
    </row>
    <row r="6996" spans="1:4" ht="16.149999999999999" customHeight="1" x14ac:dyDescent="0.25">
      <c r="A6996" s="431">
        <v>40556</v>
      </c>
      <c r="B6996" s="434">
        <v>1855.46</v>
      </c>
      <c r="C6996" s="427">
        <f t="shared" si="218"/>
        <v>2011</v>
      </c>
      <c r="D6996" s="433">
        <f t="shared" si="219"/>
        <v>1855.46</v>
      </c>
    </row>
    <row r="6997" spans="1:4" ht="16.149999999999999" customHeight="1" x14ac:dyDescent="0.25">
      <c r="A6997" s="431">
        <v>40557</v>
      </c>
      <c r="B6997" s="432">
        <v>1864.36</v>
      </c>
      <c r="C6997" s="427">
        <f t="shared" si="218"/>
        <v>2011</v>
      </c>
      <c r="D6997" s="433">
        <f t="shared" si="219"/>
        <v>1864.36</v>
      </c>
    </row>
    <row r="6998" spans="1:4" ht="16.149999999999999" customHeight="1" x14ac:dyDescent="0.25">
      <c r="A6998" s="431">
        <v>40558</v>
      </c>
      <c r="B6998" s="434">
        <v>1872.46</v>
      </c>
      <c r="C6998" s="427">
        <f t="shared" si="218"/>
        <v>2011</v>
      </c>
      <c r="D6998" s="433">
        <f t="shared" si="219"/>
        <v>1872.46</v>
      </c>
    </row>
    <row r="6999" spans="1:4" ht="16.149999999999999" customHeight="1" x14ac:dyDescent="0.25">
      <c r="A6999" s="431">
        <v>40559</v>
      </c>
      <c r="B6999" s="432">
        <v>1872.46</v>
      </c>
      <c r="C6999" s="427">
        <f t="shared" si="218"/>
        <v>2011</v>
      </c>
      <c r="D6999" s="433">
        <f t="shared" si="219"/>
        <v>1872.46</v>
      </c>
    </row>
    <row r="7000" spans="1:4" ht="16.149999999999999" customHeight="1" x14ac:dyDescent="0.25">
      <c r="A7000" s="431">
        <v>40560</v>
      </c>
      <c r="B7000" s="434">
        <v>1872.46</v>
      </c>
      <c r="C7000" s="427">
        <f t="shared" si="218"/>
        <v>2011</v>
      </c>
      <c r="D7000" s="433">
        <f t="shared" si="219"/>
        <v>1872.46</v>
      </c>
    </row>
    <row r="7001" spans="1:4" ht="16.149999999999999" customHeight="1" x14ac:dyDescent="0.25">
      <c r="A7001" s="431">
        <v>40561</v>
      </c>
      <c r="B7001" s="432">
        <v>1872.46</v>
      </c>
      <c r="C7001" s="427">
        <f t="shared" si="218"/>
        <v>2011</v>
      </c>
      <c r="D7001" s="433">
        <f t="shared" si="219"/>
        <v>1872.46</v>
      </c>
    </row>
    <row r="7002" spans="1:4" ht="16.149999999999999" customHeight="1" x14ac:dyDescent="0.25">
      <c r="A7002" s="431">
        <v>40562</v>
      </c>
      <c r="B7002" s="434">
        <v>1864.64</v>
      </c>
      <c r="C7002" s="427">
        <f t="shared" si="218"/>
        <v>2011</v>
      </c>
      <c r="D7002" s="433">
        <f t="shared" si="219"/>
        <v>1864.64</v>
      </c>
    </row>
    <row r="7003" spans="1:4" ht="16.149999999999999" customHeight="1" x14ac:dyDescent="0.25">
      <c r="A7003" s="431">
        <v>40563</v>
      </c>
      <c r="B7003" s="432">
        <v>1841.9</v>
      </c>
      <c r="C7003" s="427">
        <f t="shared" si="218"/>
        <v>2011</v>
      </c>
      <c r="D7003" s="433">
        <f t="shared" si="219"/>
        <v>1841.9</v>
      </c>
    </row>
    <row r="7004" spans="1:4" ht="16.149999999999999" customHeight="1" x14ac:dyDescent="0.25">
      <c r="A7004" s="431">
        <v>40564</v>
      </c>
      <c r="B7004" s="434">
        <v>1849.59</v>
      </c>
      <c r="C7004" s="427">
        <f t="shared" si="218"/>
        <v>2011</v>
      </c>
      <c r="D7004" s="433">
        <f t="shared" si="219"/>
        <v>1849.59</v>
      </c>
    </row>
    <row r="7005" spans="1:4" ht="16.149999999999999" customHeight="1" x14ac:dyDescent="0.25">
      <c r="A7005" s="431">
        <v>40565</v>
      </c>
      <c r="B7005" s="432">
        <v>1838.94</v>
      </c>
      <c r="C7005" s="427">
        <f t="shared" si="218"/>
        <v>2011</v>
      </c>
      <c r="D7005" s="433">
        <f t="shared" si="219"/>
        <v>1838.94</v>
      </c>
    </row>
    <row r="7006" spans="1:4" ht="16.149999999999999" customHeight="1" x14ac:dyDescent="0.25">
      <c r="A7006" s="431">
        <v>40566</v>
      </c>
      <c r="B7006" s="434">
        <v>1838.94</v>
      </c>
      <c r="C7006" s="427">
        <f t="shared" si="218"/>
        <v>2011</v>
      </c>
      <c r="D7006" s="433">
        <f t="shared" si="219"/>
        <v>1838.94</v>
      </c>
    </row>
    <row r="7007" spans="1:4" ht="16.149999999999999" customHeight="1" x14ac:dyDescent="0.25">
      <c r="A7007" s="431">
        <v>40567</v>
      </c>
      <c r="B7007" s="432">
        <v>1838.94</v>
      </c>
      <c r="C7007" s="427">
        <f t="shared" si="218"/>
        <v>2011</v>
      </c>
      <c r="D7007" s="433">
        <f t="shared" si="219"/>
        <v>1838.94</v>
      </c>
    </row>
    <row r="7008" spans="1:4" ht="16.149999999999999" customHeight="1" x14ac:dyDescent="0.25">
      <c r="A7008" s="431">
        <v>40568</v>
      </c>
      <c r="B7008" s="434">
        <v>1842.43</v>
      </c>
      <c r="C7008" s="427">
        <f t="shared" si="218"/>
        <v>2011</v>
      </c>
      <c r="D7008" s="433">
        <f t="shared" si="219"/>
        <v>1842.43</v>
      </c>
    </row>
    <row r="7009" spans="1:4" ht="16.149999999999999" customHeight="1" x14ac:dyDescent="0.25">
      <c r="A7009" s="431">
        <v>40569</v>
      </c>
      <c r="B7009" s="432">
        <v>1853.71</v>
      </c>
      <c r="C7009" s="427">
        <f t="shared" si="218"/>
        <v>2011</v>
      </c>
      <c r="D7009" s="433">
        <f t="shared" si="219"/>
        <v>1853.71</v>
      </c>
    </row>
    <row r="7010" spans="1:4" ht="16.149999999999999" customHeight="1" x14ac:dyDescent="0.25">
      <c r="A7010" s="431">
        <v>40570</v>
      </c>
      <c r="B7010" s="434">
        <v>1862.05</v>
      </c>
      <c r="C7010" s="427">
        <f t="shared" si="218"/>
        <v>2011</v>
      </c>
      <c r="D7010" s="433">
        <f t="shared" si="219"/>
        <v>1862.05</v>
      </c>
    </row>
    <row r="7011" spans="1:4" ht="16.149999999999999" customHeight="1" x14ac:dyDescent="0.25">
      <c r="A7011" s="431">
        <v>40571</v>
      </c>
      <c r="B7011" s="432">
        <v>1858.7</v>
      </c>
      <c r="C7011" s="427">
        <f t="shared" si="218"/>
        <v>2011</v>
      </c>
      <c r="D7011" s="433">
        <f t="shared" si="219"/>
        <v>1858.7</v>
      </c>
    </row>
    <row r="7012" spans="1:4" ht="16.149999999999999" customHeight="1" x14ac:dyDescent="0.25">
      <c r="A7012" s="431">
        <v>40572</v>
      </c>
      <c r="B7012" s="434">
        <v>1857.98</v>
      </c>
      <c r="C7012" s="427">
        <f t="shared" si="218"/>
        <v>2011</v>
      </c>
      <c r="D7012" s="433">
        <f t="shared" si="219"/>
        <v>1857.98</v>
      </c>
    </row>
    <row r="7013" spans="1:4" ht="16.149999999999999" customHeight="1" x14ac:dyDescent="0.25">
      <c r="A7013" s="431">
        <v>40573</v>
      </c>
      <c r="B7013" s="432">
        <v>1857.98</v>
      </c>
      <c r="C7013" s="427">
        <f t="shared" si="218"/>
        <v>2011</v>
      </c>
      <c r="D7013" s="433">
        <f t="shared" si="219"/>
        <v>1857.98</v>
      </c>
    </row>
    <row r="7014" spans="1:4" ht="16.149999999999999" customHeight="1" x14ac:dyDescent="0.25">
      <c r="A7014" s="431">
        <v>40574</v>
      </c>
      <c r="B7014" s="434">
        <v>1857.98</v>
      </c>
      <c r="C7014" s="427">
        <f t="shared" si="218"/>
        <v>2011</v>
      </c>
      <c r="D7014" s="433">
        <f t="shared" si="219"/>
        <v>1857.98</v>
      </c>
    </row>
    <row r="7015" spans="1:4" ht="16.149999999999999" customHeight="1" x14ac:dyDescent="0.25">
      <c r="A7015" s="431">
        <v>40575</v>
      </c>
      <c r="B7015" s="432">
        <v>1867.82</v>
      </c>
      <c r="C7015" s="427">
        <f t="shared" si="218"/>
        <v>2011</v>
      </c>
      <c r="D7015" s="433">
        <f t="shared" si="219"/>
        <v>1867.82</v>
      </c>
    </row>
    <row r="7016" spans="1:4" ht="16.149999999999999" customHeight="1" x14ac:dyDescent="0.25">
      <c r="A7016" s="431">
        <v>40576</v>
      </c>
      <c r="B7016" s="434">
        <v>1853.33</v>
      </c>
      <c r="C7016" s="427">
        <f t="shared" si="218"/>
        <v>2011</v>
      </c>
      <c r="D7016" s="433">
        <f t="shared" si="219"/>
        <v>1853.33</v>
      </c>
    </row>
    <row r="7017" spans="1:4" ht="16.149999999999999" customHeight="1" x14ac:dyDescent="0.25">
      <c r="A7017" s="431">
        <v>40577</v>
      </c>
      <c r="B7017" s="432">
        <v>1852.67</v>
      </c>
      <c r="C7017" s="427">
        <f t="shared" si="218"/>
        <v>2011</v>
      </c>
      <c r="D7017" s="433">
        <f t="shared" si="219"/>
        <v>1852.67</v>
      </c>
    </row>
    <row r="7018" spans="1:4" ht="16.149999999999999" customHeight="1" x14ac:dyDescent="0.25">
      <c r="A7018" s="431">
        <v>40578</v>
      </c>
      <c r="B7018" s="434">
        <v>1863.03</v>
      </c>
      <c r="C7018" s="427">
        <f t="shared" si="218"/>
        <v>2011</v>
      </c>
      <c r="D7018" s="433">
        <f t="shared" si="219"/>
        <v>1863.03</v>
      </c>
    </row>
    <row r="7019" spans="1:4" ht="16.149999999999999" customHeight="1" x14ac:dyDescent="0.25">
      <c r="A7019" s="431">
        <v>40579</v>
      </c>
      <c r="B7019" s="432">
        <v>1872.01</v>
      </c>
      <c r="C7019" s="427">
        <f t="shared" si="218"/>
        <v>2011</v>
      </c>
      <c r="D7019" s="433">
        <f t="shared" si="219"/>
        <v>1872.01</v>
      </c>
    </row>
    <row r="7020" spans="1:4" ht="16.149999999999999" customHeight="1" x14ac:dyDescent="0.25">
      <c r="A7020" s="431">
        <v>40580</v>
      </c>
      <c r="B7020" s="434">
        <v>1872.01</v>
      </c>
      <c r="C7020" s="427">
        <f t="shared" si="218"/>
        <v>2011</v>
      </c>
      <c r="D7020" s="433">
        <f t="shared" si="219"/>
        <v>1872.01</v>
      </c>
    </row>
    <row r="7021" spans="1:4" ht="16.149999999999999" customHeight="1" x14ac:dyDescent="0.25">
      <c r="A7021" s="431">
        <v>40581</v>
      </c>
      <c r="B7021" s="432">
        <v>1872.01</v>
      </c>
      <c r="C7021" s="427">
        <f t="shared" si="218"/>
        <v>2011</v>
      </c>
      <c r="D7021" s="433">
        <f t="shared" si="219"/>
        <v>1872.01</v>
      </c>
    </row>
    <row r="7022" spans="1:4" ht="16.149999999999999" customHeight="1" x14ac:dyDescent="0.25">
      <c r="A7022" s="431">
        <v>40582</v>
      </c>
      <c r="B7022" s="434">
        <v>1871.81</v>
      </c>
      <c r="C7022" s="427">
        <f t="shared" si="218"/>
        <v>2011</v>
      </c>
      <c r="D7022" s="433">
        <f t="shared" si="219"/>
        <v>1871.81</v>
      </c>
    </row>
    <row r="7023" spans="1:4" ht="16.149999999999999" customHeight="1" x14ac:dyDescent="0.25">
      <c r="A7023" s="431">
        <v>40583</v>
      </c>
      <c r="B7023" s="432">
        <v>1875.32</v>
      </c>
      <c r="C7023" s="427">
        <f t="shared" si="218"/>
        <v>2011</v>
      </c>
      <c r="D7023" s="433">
        <f t="shared" si="219"/>
        <v>1875.32</v>
      </c>
    </row>
    <row r="7024" spans="1:4" ht="16.149999999999999" customHeight="1" x14ac:dyDescent="0.25">
      <c r="A7024" s="431">
        <v>40584</v>
      </c>
      <c r="B7024" s="434">
        <v>1891.54</v>
      </c>
      <c r="C7024" s="427">
        <f t="shared" si="218"/>
        <v>2011</v>
      </c>
      <c r="D7024" s="433">
        <f t="shared" si="219"/>
        <v>1891.54</v>
      </c>
    </row>
    <row r="7025" spans="1:4" ht="16.149999999999999" customHeight="1" x14ac:dyDescent="0.25">
      <c r="A7025" s="431">
        <v>40585</v>
      </c>
      <c r="B7025" s="432">
        <v>1889.1</v>
      </c>
      <c r="C7025" s="427">
        <f t="shared" si="218"/>
        <v>2011</v>
      </c>
      <c r="D7025" s="433">
        <f t="shared" si="219"/>
        <v>1889.1</v>
      </c>
    </row>
    <row r="7026" spans="1:4" ht="16.149999999999999" customHeight="1" x14ac:dyDescent="0.25">
      <c r="A7026" s="431">
        <v>40586</v>
      </c>
      <c r="B7026" s="434">
        <v>1880.37</v>
      </c>
      <c r="C7026" s="427">
        <f t="shared" si="218"/>
        <v>2011</v>
      </c>
      <c r="D7026" s="433">
        <f t="shared" si="219"/>
        <v>1880.37</v>
      </c>
    </row>
    <row r="7027" spans="1:4" ht="16.149999999999999" customHeight="1" x14ac:dyDescent="0.25">
      <c r="A7027" s="431">
        <v>40587</v>
      </c>
      <c r="B7027" s="432">
        <v>1880.37</v>
      </c>
      <c r="C7027" s="427">
        <f t="shared" si="218"/>
        <v>2011</v>
      </c>
      <c r="D7027" s="433">
        <f t="shared" si="219"/>
        <v>1880.37</v>
      </c>
    </row>
    <row r="7028" spans="1:4" ht="16.149999999999999" customHeight="1" x14ac:dyDescent="0.25">
      <c r="A7028" s="431">
        <v>40588</v>
      </c>
      <c r="B7028" s="434">
        <v>1880.37</v>
      </c>
      <c r="C7028" s="427">
        <f t="shared" si="218"/>
        <v>2011</v>
      </c>
      <c r="D7028" s="433">
        <f t="shared" si="219"/>
        <v>1880.37</v>
      </c>
    </row>
    <row r="7029" spans="1:4" ht="16.149999999999999" customHeight="1" x14ac:dyDescent="0.25">
      <c r="A7029" s="431">
        <v>40589</v>
      </c>
      <c r="B7029" s="432">
        <v>1891.84</v>
      </c>
      <c r="C7029" s="427">
        <f t="shared" si="218"/>
        <v>2011</v>
      </c>
      <c r="D7029" s="433">
        <f t="shared" si="219"/>
        <v>1891.84</v>
      </c>
    </row>
    <row r="7030" spans="1:4" ht="16.149999999999999" customHeight="1" x14ac:dyDescent="0.25">
      <c r="A7030" s="431">
        <v>40590</v>
      </c>
      <c r="B7030" s="434">
        <v>1902.01</v>
      </c>
      <c r="C7030" s="427">
        <f t="shared" si="218"/>
        <v>2011</v>
      </c>
      <c r="D7030" s="433">
        <f t="shared" si="219"/>
        <v>1902.01</v>
      </c>
    </row>
    <row r="7031" spans="1:4" ht="16.149999999999999" customHeight="1" x14ac:dyDescent="0.25">
      <c r="A7031" s="431">
        <v>40591</v>
      </c>
      <c r="B7031" s="432">
        <v>1907.69</v>
      </c>
      <c r="C7031" s="427">
        <f t="shared" si="218"/>
        <v>2011</v>
      </c>
      <c r="D7031" s="433">
        <f t="shared" si="219"/>
        <v>1907.69</v>
      </c>
    </row>
    <row r="7032" spans="1:4" ht="16.149999999999999" customHeight="1" x14ac:dyDescent="0.25">
      <c r="A7032" s="431">
        <v>40592</v>
      </c>
      <c r="B7032" s="434">
        <v>1893.46</v>
      </c>
      <c r="C7032" s="427">
        <f t="shared" si="218"/>
        <v>2011</v>
      </c>
      <c r="D7032" s="433">
        <f t="shared" si="219"/>
        <v>1893.46</v>
      </c>
    </row>
    <row r="7033" spans="1:4" ht="16.149999999999999" customHeight="1" x14ac:dyDescent="0.25">
      <c r="A7033" s="431">
        <v>40593</v>
      </c>
      <c r="B7033" s="432">
        <v>1879.15</v>
      </c>
      <c r="C7033" s="427">
        <f t="shared" si="218"/>
        <v>2011</v>
      </c>
      <c r="D7033" s="433">
        <f t="shared" si="219"/>
        <v>1879.15</v>
      </c>
    </row>
    <row r="7034" spans="1:4" ht="16.149999999999999" customHeight="1" x14ac:dyDescent="0.25">
      <c r="A7034" s="431">
        <v>40594</v>
      </c>
      <c r="B7034" s="434">
        <v>1879.15</v>
      </c>
      <c r="C7034" s="427">
        <f t="shared" si="218"/>
        <v>2011</v>
      </c>
      <c r="D7034" s="433">
        <f t="shared" si="219"/>
        <v>1879.15</v>
      </c>
    </row>
    <row r="7035" spans="1:4" ht="16.149999999999999" customHeight="1" x14ac:dyDescent="0.25">
      <c r="A7035" s="431">
        <v>40595</v>
      </c>
      <c r="B7035" s="432">
        <v>1879.15</v>
      </c>
      <c r="C7035" s="427">
        <f t="shared" si="218"/>
        <v>2011</v>
      </c>
      <c r="D7035" s="433">
        <f t="shared" si="219"/>
        <v>1879.15</v>
      </c>
    </row>
    <row r="7036" spans="1:4" ht="16.149999999999999" customHeight="1" x14ac:dyDescent="0.25">
      <c r="A7036" s="431">
        <v>40596</v>
      </c>
      <c r="B7036" s="434">
        <v>1879.15</v>
      </c>
      <c r="C7036" s="427">
        <f t="shared" si="218"/>
        <v>2011</v>
      </c>
      <c r="D7036" s="433">
        <f t="shared" si="219"/>
        <v>1879.15</v>
      </c>
    </row>
    <row r="7037" spans="1:4" ht="16.149999999999999" customHeight="1" x14ac:dyDescent="0.25">
      <c r="A7037" s="431">
        <v>40597</v>
      </c>
      <c r="B7037" s="432">
        <v>1889.69</v>
      </c>
      <c r="C7037" s="427">
        <f t="shared" si="218"/>
        <v>2011</v>
      </c>
      <c r="D7037" s="433">
        <f t="shared" si="219"/>
        <v>1889.69</v>
      </c>
    </row>
    <row r="7038" spans="1:4" ht="16.149999999999999" customHeight="1" x14ac:dyDescent="0.25">
      <c r="A7038" s="431">
        <v>40598</v>
      </c>
      <c r="B7038" s="434">
        <v>1898.28</v>
      </c>
      <c r="C7038" s="427">
        <f t="shared" si="218"/>
        <v>2011</v>
      </c>
      <c r="D7038" s="433">
        <f t="shared" si="219"/>
        <v>1898.28</v>
      </c>
    </row>
    <row r="7039" spans="1:4" ht="16.149999999999999" customHeight="1" x14ac:dyDescent="0.25">
      <c r="A7039" s="431">
        <v>40599</v>
      </c>
      <c r="B7039" s="432">
        <v>1898.39</v>
      </c>
      <c r="C7039" s="427">
        <f t="shared" si="218"/>
        <v>2011</v>
      </c>
      <c r="D7039" s="433">
        <f t="shared" si="219"/>
        <v>1898.39</v>
      </c>
    </row>
    <row r="7040" spans="1:4" ht="16.149999999999999" customHeight="1" x14ac:dyDescent="0.25">
      <c r="A7040" s="431">
        <v>40600</v>
      </c>
      <c r="B7040" s="434">
        <v>1895.56</v>
      </c>
      <c r="C7040" s="427">
        <f t="shared" si="218"/>
        <v>2011</v>
      </c>
      <c r="D7040" s="433">
        <f t="shared" si="219"/>
        <v>1895.56</v>
      </c>
    </row>
    <row r="7041" spans="1:4" ht="16.149999999999999" customHeight="1" x14ac:dyDescent="0.25">
      <c r="A7041" s="431">
        <v>40601</v>
      </c>
      <c r="B7041" s="432">
        <v>1895.56</v>
      </c>
      <c r="C7041" s="427">
        <f t="shared" si="218"/>
        <v>2011</v>
      </c>
      <c r="D7041" s="433">
        <f t="shared" si="219"/>
        <v>1895.56</v>
      </c>
    </row>
    <row r="7042" spans="1:4" ht="16.149999999999999" customHeight="1" x14ac:dyDescent="0.25">
      <c r="A7042" s="431">
        <v>40602</v>
      </c>
      <c r="B7042" s="434">
        <v>1895.56</v>
      </c>
      <c r="C7042" s="427">
        <f t="shared" si="218"/>
        <v>2011</v>
      </c>
      <c r="D7042" s="433">
        <f t="shared" si="219"/>
        <v>1895.56</v>
      </c>
    </row>
    <row r="7043" spans="1:4" ht="16.149999999999999" customHeight="1" x14ac:dyDescent="0.25">
      <c r="A7043" s="431">
        <v>40603</v>
      </c>
      <c r="B7043" s="432">
        <v>1907.37</v>
      </c>
      <c r="C7043" s="427">
        <f t="shared" si="218"/>
        <v>2011</v>
      </c>
      <c r="D7043" s="433">
        <f t="shared" si="219"/>
        <v>1907.37</v>
      </c>
    </row>
    <row r="7044" spans="1:4" ht="16.149999999999999" customHeight="1" x14ac:dyDescent="0.25">
      <c r="A7044" s="431">
        <v>40604</v>
      </c>
      <c r="B7044" s="434">
        <v>1913.21</v>
      </c>
      <c r="C7044" s="427">
        <f t="shared" si="218"/>
        <v>2011</v>
      </c>
      <c r="D7044" s="433">
        <f t="shared" si="219"/>
        <v>1913.21</v>
      </c>
    </row>
    <row r="7045" spans="1:4" ht="16.149999999999999" customHeight="1" x14ac:dyDescent="0.25">
      <c r="A7045" s="431">
        <v>40605</v>
      </c>
      <c r="B7045" s="432">
        <v>1916.05</v>
      </c>
      <c r="C7045" s="427">
        <f t="shared" si="218"/>
        <v>2011</v>
      </c>
      <c r="D7045" s="433">
        <f t="shared" si="219"/>
        <v>1916.05</v>
      </c>
    </row>
    <row r="7046" spans="1:4" ht="16.149999999999999" customHeight="1" x14ac:dyDescent="0.25">
      <c r="A7046" s="431">
        <v>40606</v>
      </c>
      <c r="B7046" s="434">
        <v>1904.73</v>
      </c>
      <c r="C7046" s="427">
        <f t="shared" si="218"/>
        <v>2011</v>
      </c>
      <c r="D7046" s="433">
        <f t="shared" si="219"/>
        <v>1904.73</v>
      </c>
    </row>
    <row r="7047" spans="1:4" ht="16.149999999999999" customHeight="1" x14ac:dyDescent="0.25">
      <c r="A7047" s="431">
        <v>40607</v>
      </c>
      <c r="B7047" s="432">
        <v>1890.23</v>
      </c>
      <c r="C7047" s="427">
        <f t="shared" si="218"/>
        <v>2011</v>
      </c>
      <c r="D7047" s="433">
        <f t="shared" si="219"/>
        <v>1890.23</v>
      </c>
    </row>
    <row r="7048" spans="1:4" ht="16.149999999999999" customHeight="1" x14ac:dyDescent="0.25">
      <c r="A7048" s="431">
        <v>40608</v>
      </c>
      <c r="B7048" s="434">
        <v>1890.23</v>
      </c>
      <c r="C7048" s="427">
        <f t="shared" si="218"/>
        <v>2011</v>
      </c>
      <c r="D7048" s="433">
        <f t="shared" si="219"/>
        <v>1890.23</v>
      </c>
    </row>
    <row r="7049" spans="1:4" ht="16.149999999999999" customHeight="1" x14ac:dyDescent="0.25">
      <c r="A7049" s="431">
        <v>40609</v>
      </c>
      <c r="B7049" s="432">
        <v>1890.23</v>
      </c>
      <c r="C7049" s="427">
        <f t="shared" si="218"/>
        <v>2011</v>
      </c>
      <c r="D7049" s="433">
        <f t="shared" si="219"/>
        <v>1890.23</v>
      </c>
    </row>
    <row r="7050" spans="1:4" ht="16.149999999999999" customHeight="1" x14ac:dyDescent="0.25">
      <c r="A7050" s="431">
        <v>40610</v>
      </c>
      <c r="B7050" s="434">
        <v>1893.17</v>
      </c>
      <c r="C7050" s="427">
        <f t="shared" ref="C7050:C7113" si="220">YEAR(A7050)</f>
        <v>2011</v>
      </c>
      <c r="D7050" s="433">
        <f t="shared" ref="D7050:D7113" si="221">B7050</f>
        <v>1893.17</v>
      </c>
    </row>
    <row r="7051" spans="1:4" ht="16.149999999999999" customHeight="1" x14ac:dyDescent="0.25">
      <c r="A7051" s="431">
        <v>40611</v>
      </c>
      <c r="B7051" s="432">
        <v>1889.85</v>
      </c>
      <c r="C7051" s="427">
        <f t="shared" si="220"/>
        <v>2011</v>
      </c>
      <c r="D7051" s="433">
        <f t="shared" si="221"/>
        <v>1889.85</v>
      </c>
    </row>
    <row r="7052" spans="1:4" ht="16.149999999999999" customHeight="1" x14ac:dyDescent="0.25">
      <c r="A7052" s="431">
        <v>40612</v>
      </c>
      <c r="B7052" s="434">
        <v>1879.49</v>
      </c>
      <c r="C7052" s="427">
        <f t="shared" si="220"/>
        <v>2011</v>
      </c>
      <c r="D7052" s="433">
        <f t="shared" si="221"/>
        <v>1879.49</v>
      </c>
    </row>
    <row r="7053" spans="1:4" ht="16.149999999999999" customHeight="1" x14ac:dyDescent="0.25">
      <c r="A7053" s="431">
        <v>40613</v>
      </c>
      <c r="B7053" s="432">
        <v>1871.97</v>
      </c>
      <c r="C7053" s="427">
        <f t="shared" si="220"/>
        <v>2011</v>
      </c>
      <c r="D7053" s="433">
        <f t="shared" si="221"/>
        <v>1871.97</v>
      </c>
    </row>
    <row r="7054" spans="1:4" ht="16.149999999999999" customHeight="1" x14ac:dyDescent="0.25">
      <c r="A7054" s="431">
        <v>40614</v>
      </c>
      <c r="B7054" s="434">
        <v>1866.2</v>
      </c>
      <c r="C7054" s="427">
        <f t="shared" si="220"/>
        <v>2011</v>
      </c>
      <c r="D7054" s="433">
        <f t="shared" si="221"/>
        <v>1866.2</v>
      </c>
    </row>
    <row r="7055" spans="1:4" ht="16.149999999999999" customHeight="1" x14ac:dyDescent="0.25">
      <c r="A7055" s="431">
        <v>40615</v>
      </c>
      <c r="B7055" s="432">
        <v>1866.2</v>
      </c>
      <c r="C7055" s="427">
        <f t="shared" si="220"/>
        <v>2011</v>
      </c>
      <c r="D7055" s="433">
        <f t="shared" si="221"/>
        <v>1866.2</v>
      </c>
    </row>
    <row r="7056" spans="1:4" ht="16.149999999999999" customHeight="1" x14ac:dyDescent="0.25">
      <c r="A7056" s="431">
        <v>40616</v>
      </c>
      <c r="B7056" s="434">
        <v>1866.2</v>
      </c>
      <c r="C7056" s="427">
        <f t="shared" si="220"/>
        <v>2011</v>
      </c>
      <c r="D7056" s="433">
        <f t="shared" si="221"/>
        <v>1866.2</v>
      </c>
    </row>
    <row r="7057" spans="1:4" ht="16.149999999999999" customHeight="1" x14ac:dyDescent="0.25">
      <c r="A7057" s="431">
        <v>40617</v>
      </c>
      <c r="B7057" s="432">
        <v>1876.29</v>
      </c>
      <c r="C7057" s="427">
        <f t="shared" si="220"/>
        <v>2011</v>
      </c>
      <c r="D7057" s="433">
        <f t="shared" si="221"/>
        <v>1876.29</v>
      </c>
    </row>
    <row r="7058" spans="1:4" ht="16.149999999999999" customHeight="1" x14ac:dyDescent="0.25">
      <c r="A7058" s="431">
        <v>40618</v>
      </c>
      <c r="B7058" s="434">
        <v>1887.67</v>
      </c>
      <c r="C7058" s="427">
        <f t="shared" si="220"/>
        <v>2011</v>
      </c>
      <c r="D7058" s="433">
        <f t="shared" si="221"/>
        <v>1887.67</v>
      </c>
    </row>
    <row r="7059" spans="1:4" ht="16.149999999999999" customHeight="1" x14ac:dyDescent="0.25">
      <c r="A7059" s="431">
        <v>40619</v>
      </c>
      <c r="B7059" s="432">
        <v>1892.62</v>
      </c>
      <c r="C7059" s="427">
        <f t="shared" si="220"/>
        <v>2011</v>
      </c>
      <c r="D7059" s="433">
        <f t="shared" si="221"/>
        <v>1892.62</v>
      </c>
    </row>
    <row r="7060" spans="1:4" ht="16.149999999999999" customHeight="1" x14ac:dyDescent="0.25">
      <c r="A7060" s="431">
        <v>40620</v>
      </c>
      <c r="B7060" s="434">
        <v>1876.78</v>
      </c>
      <c r="C7060" s="427">
        <f t="shared" si="220"/>
        <v>2011</v>
      </c>
      <c r="D7060" s="433">
        <f t="shared" si="221"/>
        <v>1876.78</v>
      </c>
    </row>
    <row r="7061" spans="1:4" ht="16.149999999999999" customHeight="1" x14ac:dyDescent="0.25">
      <c r="A7061" s="431">
        <v>40621</v>
      </c>
      <c r="B7061" s="432">
        <v>1874.79</v>
      </c>
      <c r="C7061" s="427">
        <f t="shared" si="220"/>
        <v>2011</v>
      </c>
      <c r="D7061" s="433">
        <f t="shared" si="221"/>
        <v>1874.79</v>
      </c>
    </row>
    <row r="7062" spans="1:4" ht="16.149999999999999" customHeight="1" x14ac:dyDescent="0.25">
      <c r="A7062" s="431">
        <v>40622</v>
      </c>
      <c r="B7062" s="434">
        <v>1874.79</v>
      </c>
      <c r="C7062" s="427">
        <f t="shared" si="220"/>
        <v>2011</v>
      </c>
      <c r="D7062" s="433">
        <f t="shared" si="221"/>
        <v>1874.79</v>
      </c>
    </row>
    <row r="7063" spans="1:4" ht="16.149999999999999" customHeight="1" x14ac:dyDescent="0.25">
      <c r="A7063" s="431">
        <v>40623</v>
      </c>
      <c r="B7063" s="432">
        <v>1874.79</v>
      </c>
      <c r="C7063" s="427">
        <f t="shared" si="220"/>
        <v>2011</v>
      </c>
      <c r="D7063" s="433">
        <f t="shared" si="221"/>
        <v>1874.79</v>
      </c>
    </row>
    <row r="7064" spans="1:4" ht="16.149999999999999" customHeight="1" x14ac:dyDescent="0.25">
      <c r="A7064" s="431">
        <v>40624</v>
      </c>
      <c r="B7064" s="434">
        <v>1874.79</v>
      </c>
      <c r="C7064" s="427">
        <f t="shared" si="220"/>
        <v>2011</v>
      </c>
      <c r="D7064" s="433">
        <f t="shared" si="221"/>
        <v>1874.79</v>
      </c>
    </row>
    <row r="7065" spans="1:4" ht="16.149999999999999" customHeight="1" x14ac:dyDescent="0.25">
      <c r="A7065" s="431">
        <v>40625</v>
      </c>
      <c r="B7065" s="432">
        <v>1866.34</v>
      </c>
      <c r="C7065" s="427">
        <f t="shared" si="220"/>
        <v>2011</v>
      </c>
      <c r="D7065" s="433">
        <f t="shared" si="221"/>
        <v>1866.34</v>
      </c>
    </row>
    <row r="7066" spans="1:4" ht="16.149999999999999" customHeight="1" x14ac:dyDescent="0.25">
      <c r="A7066" s="431">
        <v>40626</v>
      </c>
      <c r="B7066" s="434">
        <v>1867.74</v>
      </c>
      <c r="C7066" s="427">
        <f t="shared" si="220"/>
        <v>2011</v>
      </c>
      <c r="D7066" s="433">
        <f t="shared" si="221"/>
        <v>1867.74</v>
      </c>
    </row>
    <row r="7067" spans="1:4" ht="16.149999999999999" customHeight="1" x14ac:dyDescent="0.25">
      <c r="A7067" s="431">
        <v>40627</v>
      </c>
      <c r="B7067" s="432">
        <v>1865.11</v>
      </c>
      <c r="C7067" s="427">
        <f t="shared" si="220"/>
        <v>2011</v>
      </c>
      <c r="D7067" s="433">
        <f t="shared" si="221"/>
        <v>1865.11</v>
      </c>
    </row>
    <row r="7068" spans="1:4" ht="16.149999999999999" customHeight="1" x14ac:dyDescent="0.25">
      <c r="A7068" s="431">
        <v>40628</v>
      </c>
      <c r="B7068" s="434">
        <v>1871.37</v>
      </c>
      <c r="C7068" s="427">
        <f t="shared" si="220"/>
        <v>2011</v>
      </c>
      <c r="D7068" s="433">
        <f t="shared" si="221"/>
        <v>1871.37</v>
      </c>
    </row>
    <row r="7069" spans="1:4" ht="16.149999999999999" customHeight="1" x14ac:dyDescent="0.25">
      <c r="A7069" s="431">
        <v>40629</v>
      </c>
      <c r="B7069" s="432">
        <v>1871.37</v>
      </c>
      <c r="C7069" s="427">
        <f t="shared" si="220"/>
        <v>2011</v>
      </c>
      <c r="D7069" s="433">
        <f t="shared" si="221"/>
        <v>1871.37</v>
      </c>
    </row>
    <row r="7070" spans="1:4" ht="16.149999999999999" customHeight="1" x14ac:dyDescent="0.25">
      <c r="A7070" s="431">
        <v>40630</v>
      </c>
      <c r="B7070" s="434">
        <v>1871.37</v>
      </c>
      <c r="C7070" s="427">
        <f t="shared" si="220"/>
        <v>2011</v>
      </c>
      <c r="D7070" s="433">
        <f t="shared" si="221"/>
        <v>1871.37</v>
      </c>
    </row>
    <row r="7071" spans="1:4" ht="16.149999999999999" customHeight="1" x14ac:dyDescent="0.25">
      <c r="A7071" s="431">
        <v>40631</v>
      </c>
      <c r="B7071" s="432">
        <v>1877.84</v>
      </c>
      <c r="C7071" s="427">
        <f t="shared" si="220"/>
        <v>2011</v>
      </c>
      <c r="D7071" s="433">
        <f t="shared" si="221"/>
        <v>1877.84</v>
      </c>
    </row>
    <row r="7072" spans="1:4" ht="16.149999999999999" customHeight="1" x14ac:dyDescent="0.25">
      <c r="A7072" s="431">
        <v>40632</v>
      </c>
      <c r="B7072" s="434">
        <v>1888</v>
      </c>
      <c r="C7072" s="427">
        <f t="shared" si="220"/>
        <v>2011</v>
      </c>
      <c r="D7072" s="433">
        <f t="shared" si="221"/>
        <v>1888</v>
      </c>
    </row>
    <row r="7073" spans="1:4" ht="16.149999999999999" customHeight="1" x14ac:dyDescent="0.25">
      <c r="A7073" s="431">
        <v>40633</v>
      </c>
      <c r="B7073" s="432">
        <v>1879.47</v>
      </c>
      <c r="C7073" s="427">
        <f t="shared" si="220"/>
        <v>2011</v>
      </c>
      <c r="D7073" s="433">
        <f t="shared" si="221"/>
        <v>1879.47</v>
      </c>
    </row>
    <row r="7074" spans="1:4" ht="16.149999999999999" customHeight="1" x14ac:dyDescent="0.25">
      <c r="A7074" s="431">
        <v>40634</v>
      </c>
      <c r="B7074" s="434">
        <v>1870.6</v>
      </c>
      <c r="C7074" s="427">
        <f t="shared" si="220"/>
        <v>2011</v>
      </c>
      <c r="D7074" s="433">
        <f t="shared" si="221"/>
        <v>1870.6</v>
      </c>
    </row>
    <row r="7075" spans="1:4" ht="16.149999999999999" customHeight="1" x14ac:dyDescent="0.25">
      <c r="A7075" s="431">
        <v>40635</v>
      </c>
      <c r="B7075" s="432">
        <v>1858.95</v>
      </c>
      <c r="C7075" s="427">
        <f t="shared" si="220"/>
        <v>2011</v>
      </c>
      <c r="D7075" s="433">
        <f t="shared" si="221"/>
        <v>1858.95</v>
      </c>
    </row>
    <row r="7076" spans="1:4" ht="16.149999999999999" customHeight="1" x14ac:dyDescent="0.25">
      <c r="A7076" s="431">
        <v>40636</v>
      </c>
      <c r="B7076" s="434">
        <v>1858.95</v>
      </c>
      <c r="C7076" s="427">
        <f t="shared" si="220"/>
        <v>2011</v>
      </c>
      <c r="D7076" s="433">
        <f t="shared" si="221"/>
        <v>1858.95</v>
      </c>
    </row>
    <row r="7077" spans="1:4" ht="16.149999999999999" customHeight="1" x14ac:dyDescent="0.25">
      <c r="A7077" s="431">
        <v>40637</v>
      </c>
      <c r="B7077" s="432">
        <v>1858.95</v>
      </c>
      <c r="C7077" s="427">
        <f t="shared" si="220"/>
        <v>2011</v>
      </c>
      <c r="D7077" s="433">
        <f t="shared" si="221"/>
        <v>1858.95</v>
      </c>
    </row>
    <row r="7078" spans="1:4" ht="16.149999999999999" customHeight="1" x14ac:dyDescent="0.25">
      <c r="A7078" s="431">
        <v>40638</v>
      </c>
      <c r="B7078" s="434">
        <v>1846.78</v>
      </c>
      <c r="C7078" s="427">
        <f t="shared" si="220"/>
        <v>2011</v>
      </c>
      <c r="D7078" s="433">
        <f t="shared" si="221"/>
        <v>1846.78</v>
      </c>
    </row>
    <row r="7079" spans="1:4" ht="16.149999999999999" customHeight="1" x14ac:dyDescent="0.25">
      <c r="A7079" s="431">
        <v>40639</v>
      </c>
      <c r="B7079" s="432">
        <v>1838.29</v>
      </c>
      <c r="C7079" s="427">
        <f t="shared" si="220"/>
        <v>2011</v>
      </c>
      <c r="D7079" s="433">
        <f t="shared" si="221"/>
        <v>1838.29</v>
      </c>
    </row>
    <row r="7080" spans="1:4" ht="16.149999999999999" customHeight="1" x14ac:dyDescent="0.25">
      <c r="A7080" s="431">
        <v>40640</v>
      </c>
      <c r="B7080" s="434">
        <v>1826.97</v>
      </c>
      <c r="C7080" s="427">
        <f t="shared" si="220"/>
        <v>2011</v>
      </c>
      <c r="D7080" s="433">
        <f t="shared" si="221"/>
        <v>1826.97</v>
      </c>
    </row>
    <row r="7081" spans="1:4" ht="16.149999999999999" customHeight="1" x14ac:dyDescent="0.25">
      <c r="A7081" s="431">
        <v>40641</v>
      </c>
      <c r="B7081" s="432">
        <v>1825.09</v>
      </c>
      <c r="C7081" s="427">
        <f t="shared" si="220"/>
        <v>2011</v>
      </c>
      <c r="D7081" s="433">
        <f t="shared" si="221"/>
        <v>1825.09</v>
      </c>
    </row>
    <row r="7082" spans="1:4" ht="16.149999999999999" customHeight="1" x14ac:dyDescent="0.25">
      <c r="A7082" s="431">
        <v>40642</v>
      </c>
      <c r="B7082" s="434">
        <v>1817.35</v>
      </c>
      <c r="C7082" s="427">
        <f t="shared" si="220"/>
        <v>2011</v>
      </c>
      <c r="D7082" s="433">
        <f t="shared" si="221"/>
        <v>1817.35</v>
      </c>
    </row>
    <row r="7083" spans="1:4" ht="16.149999999999999" customHeight="1" x14ac:dyDescent="0.25">
      <c r="A7083" s="431">
        <v>40643</v>
      </c>
      <c r="B7083" s="432">
        <v>1817.35</v>
      </c>
      <c r="C7083" s="427">
        <f t="shared" si="220"/>
        <v>2011</v>
      </c>
      <c r="D7083" s="433">
        <f t="shared" si="221"/>
        <v>1817.35</v>
      </c>
    </row>
    <row r="7084" spans="1:4" ht="16.149999999999999" customHeight="1" x14ac:dyDescent="0.25">
      <c r="A7084" s="431">
        <v>40644</v>
      </c>
      <c r="B7084" s="434">
        <v>1817.35</v>
      </c>
      <c r="C7084" s="427">
        <f t="shared" si="220"/>
        <v>2011</v>
      </c>
      <c r="D7084" s="433">
        <f t="shared" si="221"/>
        <v>1817.35</v>
      </c>
    </row>
    <row r="7085" spans="1:4" ht="16.149999999999999" customHeight="1" x14ac:dyDescent="0.25">
      <c r="A7085" s="431">
        <v>40645</v>
      </c>
      <c r="B7085" s="432">
        <v>1815.79</v>
      </c>
      <c r="C7085" s="427">
        <f t="shared" si="220"/>
        <v>2011</v>
      </c>
      <c r="D7085" s="433">
        <f t="shared" si="221"/>
        <v>1815.79</v>
      </c>
    </row>
    <row r="7086" spans="1:4" ht="16.149999999999999" customHeight="1" x14ac:dyDescent="0.25">
      <c r="A7086" s="431">
        <v>40646</v>
      </c>
      <c r="B7086" s="434">
        <v>1818.14</v>
      </c>
      <c r="C7086" s="427">
        <f t="shared" si="220"/>
        <v>2011</v>
      </c>
      <c r="D7086" s="433">
        <f t="shared" si="221"/>
        <v>1818.14</v>
      </c>
    </row>
    <row r="7087" spans="1:4" ht="16.149999999999999" customHeight="1" x14ac:dyDescent="0.25">
      <c r="A7087" s="431">
        <v>40647</v>
      </c>
      <c r="B7087" s="432">
        <v>1818.91</v>
      </c>
      <c r="C7087" s="427">
        <f t="shared" si="220"/>
        <v>2011</v>
      </c>
      <c r="D7087" s="433">
        <f t="shared" si="221"/>
        <v>1818.91</v>
      </c>
    </row>
    <row r="7088" spans="1:4" ht="16.149999999999999" customHeight="1" x14ac:dyDescent="0.25">
      <c r="A7088" s="431">
        <v>40648</v>
      </c>
      <c r="B7088" s="434">
        <v>1811.1</v>
      </c>
      <c r="C7088" s="427">
        <f t="shared" si="220"/>
        <v>2011</v>
      </c>
      <c r="D7088" s="433">
        <f t="shared" si="221"/>
        <v>1811.1</v>
      </c>
    </row>
    <row r="7089" spans="1:4" ht="16.149999999999999" customHeight="1" x14ac:dyDescent="0.25">
      <c r="A7089" s="431">
        <v>40649</v>
      </c>
      <c r="B7089" s="432">
        <v>1800.63</v>
      </c>
      <c r="C7089" s="427">
        <f t="shared" si="220"/>
        <v>2011</v>
      </c>
      <c r="D7089" s="433">
        <f t="shared" si="221"/>
        <v>1800.63</v>
      </c>
    </row>
    <row r="7090" spans="1:4" ht="16.149999999999999" customHeight="1" x14ac:dyDescent="0.25">
      <c r="A7090" s="431">
        <v>40650</v>
      </c>
      <c r="B7090" s="434">
        <v>1800.63</v>
      </c>
      <c r="C7090" s="427">
        <f t="shared" si="220"/>
        <v>2011</v>
      </c>
      <c r="D7090" s="433">
        <f t="shared" si="221"/>
        <v>1800.63</v>
      </c>
    </row>
    <row r="7091" spans="1:4" ht="16.149999999999999" customHeight="1" x14ac:dyDescent="0.25">
      <c r="A7091" s="431">
        <v>40651</v>
      </c>
      <c r="B7091" s="432">
        <v>1800.63</v>
      </c>
      <c r="C7091" s="427">
        <f t="shared" si="220"/>
        <v>2011</v>
      </c>
      <c r="D7091" s="433">
        <f t="shared" si="221"/>
        <v>1800.63</v>
      </c>
    </row>
    <row r="7092" spans="1:4" ht="16.149999999999999" customHeight="1" x14ac:dyDescent="0.25">
      <c r="A7092" s="431">
        <v>40652</v>
      </c>
      <c r="B7092" s="434">
        <v>1799.79</v>
      </c>
      <c r="C7092" s="427">
        <f t="shared" si="220"/>
        <v>2011</v>
      </c>
      <c r="D7092" s="433">
        <f t="shared" si="221"/>
        <v>1799.79</v>
      </c>
    </row>
    <row r="7093" spans="1:4" ht="16.149999999999999" customHeight="1" x14ac:dyDescent="0.25">
      <c r="A7093" s="431">
        <v>40653</v>
      </c>
      <c r="B7093" s="432">
        <v>1790.54</v>
      </c>
      <c r="C7093" s="427">
        <f t="shared" si="220"/>
        <v>2011</v>
      </c>
      <c r="D7093" s="433">
        <f t="shared" si="221"/>
        <v>1790.54</v>
      </c>
    </row>
    <row r="7094" spans="1:4" ht="16.149999999999999" customHeight="1" x14ac:dyDescent="0.25">
      <c r="A7094" s="431">
        <v>40654</v>
      </c>
      <c r="B7094" s="434">
        <v>1782.59</v>
      </c>
      <c r="C7094" s="427">
        <f t="shared" si="220"/>
        <v>2011</v>
      </c>
      <c r="D7094" s="433">
        <f t="shared" si="221"/>
        <v>1782.59</v>
      </c>
    </row>
    <row r="7095" spans="1:4" ht="16.149999999999999" customHeight="1" x14ac:dyDescent="0.25">
      <c r="A7095" s="431">
        <v>40655</v>
      </c>
      <c r="B7095" s="432">
        <v>1782.59</v>
      </c>
      <c r="C7095" s="427">
        <f t="shared" si="220"/>
        <v>2011</v>
      </c>
      <c r="D7095" s="433">
        <f t="shared" si="221"/>
        <v>1782.59</v>
      </c>
    </row>
    <row r="7096" spans="1:4" ht="16.149999999999999" customHeight="1" x14ac:dyDescent="0.25">
      <c r="A7096" s="431">
        <v>40656</v>
      </c>
      <c r="B7096" s="434">
        <v>1782.59</v>
      </c>
      <c r="C7096" s="427">
        <f t="shared" si="220"/>
        <v>2011</v>
      </c>
      <c r="D7096" s="433">
        <f t="shared" si="221"/>
        <v>1782.59</v>
      </c>
    </row>
    <row r="7097" spans="1:4" ht="16.149999999999999" customHeight="1" x14ac:dyDescent="0.25">
      <c r="A7097" s="431">
        <v>40657</v>
      </c>
      <c r="B7097" s="432">
        <v>1782.59</v>
      </c>
      <c r="C7097" s="427">
        <f t="shared" si="220"/>
        <v>2011</v>
      </c>
      <c r="D7097" s="433">
        <f t="shared" si="221"/>
        <v>1782.59</v>
      </c>
    </row>
    <row r="7098" spans="1:4" ht="16.149999999999999" customHeight="1" x14ac:dyDescent="0.25">
      <c r="A7098" s="431">
        <v>40658</v>
      </c>
      <c r="B7098" s="434">
        <v>1782.59</v>
      </c>
      <c r="C7098" s="427">
        <f t="shared" si="220"/>
        <v>2011</v>
      </c>
      <c r="D7098" s="433">
        <f t="shared" si="221"/>
        <v>1782.59</v>
      </c>
    </row>
    <row r="7099" spans="1:4" ht="16.149999999999999" customHeight="1" x14ac:dyDescent="0.25">
      <c r="A7099" s="431">
        <v>40659</v>
      </c>
      <c r="B7099" s="432">
        <v>1781.56</v>
      </c>
      <c r="C7099" s="427">
        <f t="shared" si="220"/>
        <v>2011</v>
      </c>
      <c r="D7099" s="433">
        <f t="shared" si="221"/>
        <v>1781.56</v>
      </c>
    </row>
    <row r="7100" spans="1:4" ht="16.149999999999999" customHeight="1" x14ac:dyDescent="0.25">
      <c r="A7100" s="431">
        <v>40660</v>
      </c>
      <c r="B7100" s="434">
        <v>1787.88</v>
      </c>
      <c r="C7100" s="427">
        <f t="shared" si="220"/>
        <v>2011</v>
      </c>
      <c r="D7100" s="433">
        <f t="shared" si="221"/>
        <v>1787.88</v>
      </c>
    </row>
    <row r="7101" spans="1:4" ht="16.149999999999999" customHeight="1" x14ac:dyDescent="0.25">
      <c r="A7101" s="431">
        <v>40661</v>
      </c>
      <c r="B7101" s="432">
        <v>1784.11</v>
      </c>
      <c r="C7101" s="427">
        <f t="shared" si="220"/>
        <v>2011</v>
      </c>
      <c r="D7101" s="433">
        <f t="shared" si="221"/>
        <v>1784.11</v>
      </c>
    </row>
    <row r="7102" spans="1:4" ht="16.149999999999999" customHeight="1" x14ac:dyDescent="0.25">
      <c r="A7102" s="431">
        <v>40662</v>
      </c>
      <c r="B7102" s="434">
        <v>1767.54</v>
      </c>
      <c r="C7102" s="427">
        <f t="shared" si="220"/>
        <v>2011</v>
      </c>
      <c r="D7102" s="433">
        <f t="shared" si="221"/>
        <v>1767.54</v>
      </c>
    </row>
    <row r="7103" spans="1:4" ht="16.149999999999999" customHeight="1" x14ac:dyDescent="0.25">
      <c r="A7103" s="431">
        <v>40663</v>
      </c>
      <c r="B7103" s="432">
        <v>1768.19</v>
      </c>
      <c r="C7103" s="427">
        <f t="shared" si="220"/>
        <v>2011</v>
      </c>
      <c r="D7103" s="433">
        <f t="shared" si="221"/>
        <v>1768.19</v>
      </c>
    </row>
    <row r="7104" spans="1:4" ht="16.149999999999999" customHeight="1" x14ac:dyDescent="0.25">
      <c r="A7104" s="431">
        <v>40664</v>
      </c>
      <c r="B7104" s="434">
        <v>1768.19</v>
      </c>
      <c r="C7104" s="427">
        <f t="shared" si="220"/>
        <v>2011</v>
      </c>
      <c r="D7104" s="433">
        <f t="shared" si="221"/>
        <v>1768.19</v>
      </c>
    </row>
    <row r="7105" spans="1:4" ht="16.149999999999999" customHeight="1" x14ac:dyDescent="0.25">
      <c r="A7105" s="431">
        <v>40665</v>
      </c>
      <c r="B7105" s="432">
        <v>1768.19</v>
      </c>
      <c r="C7105" s="427">
        <f t="shared" si="220"/>
        <v>2011</v>
      </c>
      <c r="D7105" s="433">
        <f t="shared" si="221"/>
        <v>1768.19</v>
      </c>
    </row>
    <row r="7106" spans="1:4" ht="16.149999999999999" customHeight="1" x14ac:dyDescent="0.25">
      <c r="A7106" s="431">
        <v>40666</v>
      </c>
      <c r="B7106" s="434">
        <v>1768.37</v>
      </c>
      <c r="C7106" s="427">
        <f t="shared" si="220"/>
        <v>2011</v>
      </c>
      <c r="D7106" s="433">
        <f t="shared" si="221"/>
        <v>1768.37</v>
      </c>
    </row>
    <row r="7107" spans="1:4" ht="16.149999999999999" customHeight="1" x14ac:dyDescent="0.25">
      <c r="A7107" s="431">
        <v>40667</v>
      </c>
      <c r="B7107" s="432">
        <v>1767.05</v>
      </c>
      <c r="C7107" s="427">
        <f t="shared" si="220"/>
        <v>2011</v>
      </c>
      <c r="D7107" s="433">
        <f t="shared" si="221"/>
        <v>1767.05</v>
      </c>
    </row>
    <row r="7108" spans="1:4" ht="16.149999999999999" customHeight="1" x14ac:dyDescent="0.25">
      <c r="A7108" s="431">
        <v>40668</v>
      </c>
      <c r="B7108" s="434">
        <v>1763.45</v>
      </c>
      <c r="C7108" s="427">
        <f t="shared" si="220"/>
        <v>2011</v>
      </c>
      <c r="D7108" s="433">
        <f t="shared" si="221"/>
        <v>1763.45</v>
      </c>
    </row>
    <row r="7109" spans="1:4" ht="16.149999999999999" customHeight="1" x14ac:dyDescent="0.25">
      <c r="A7109" s="431">
        <v>40669</v>
      </c>
      <c r="B7109" s="432">
        <v>1769.46</v>
      </c>
      <c r="C7109" s="427">
        <f t="shared" si="220"/>
        <v>2011</v>
      </c>
      <c r="D7109" s="433">
        <f t="shared" si="221"/>
        <v>1769.46</v>
      </c>
    </row>
    <row r="7110" spans="1:4" ht="16.149999999999999" customHeight="1" x14ac:dyDescent="0.25">
      <c r="A7110" s="431">
        <v>40670</v>
      </c>
      <c r="B7110" s="434">
        <v>1763.12</v>
      </c>
      <c r="C7110" s="427">
        <f t="shared" si="220"/>
        <v>2011</v>
      </c>
      <c r="D7110" s="433">
        <f t="shared" si="221"/>
        <v>1763.12</v>
      </c>
    </row>
    <row r="7111" spans="1:4" ht="16.149999999999999" customHeight="1" x14ac:dyDescent="0.25">
      <c r="A7111" s="431">
        <v>40671</v>
      </c>
      <c r="B7111" s="432">
        <v>1763.12</v>
      </c>
      <c r="C7111" s="427">
        <f t="shared" si="220"/>
        <v>2011</v>
      </c>
      <c r="D7111" s="433">
        <f t="shared" si="221"/>
        <v>1763.12</v>
      </c>
    </row>
    <row r="7112" spans="1:4" ht="16.149999999999999" customHeight="1" x14ac:dyDescent="0.25">
      <c r="A7112" s="431">
        <v>40672</v>
      </c>
      <c r="B7112" s="434">
        <v>1763.12</v>
      </c>
      <c r="C7112" s="427">
        <f t="shared" si="220"/>
        <v>2011</v>
      </c>
      <c r="D7112" s="433">
        <f t="shared" si="221"/>
        <v>1763.12</v>
      </c>
    </row>
    <row r="7113" spans="1:4" ht="16.149999999999999" customHeight="1" x14ac:dyDescent="0.25">
      <c r="A7113" s="431">
        <v>40673</v>
      </c>
      <c r="B7113" s="432">
        <v>1779.7</v>
      </c>
      <c r="C7113" s="427">
        <f t="shared" si="220"/>
        <v>2011</v>
      </c>
      <c r="D7113" s="433">
        <f t="shared" si="221"/>
        <v>1779.7</v>
      </c>
    </row>
    <row r="7114" spans="1:4" ht="16.149999999999999" customHeight="1" x14ac:dyDescent="0.25">
      <c r="A7114" s="431">
        <v>40674</v>
      </c>
      <c r="B7114" s="434">
        <v>1791.72</v>
      </c>
      <c r="C7114" s="427">
        <f t="shared" ref="C7114:C7177" si="222">YEAR(A7114)</f>
        <v>2011</v>
      </c>
      <c r="D7114" s="433">
        <f t="shared" ref="D7114:D7177" si="223">B7114</f>
        <v>1791.72</v>
      </c>
    </row>
    <row r="7115" spans="1:4" ht="16.149999999999999" customHeight="1" x14ac:dyDescent="0.25">
      <c r="A7115" s="431">
        <v>40675</v>
      </c>
      <c r="B7115" s="432">
        <v>1798.66</v>
      </c>
      <c r="C7115" s="427">
        <f t="shared" si="222"/>
        <v>2011</v>
      </c>
      <c r="D7115" s="433">
        <f t="shared" si="223"/>
        <v>1798.66</v>
      </c>
    </row>
    <row r="7116" spans="1:4" ht="16.149999999999999" customHeight="1" x14ac:dyDescent="0.25">
      <c r="A7116" s="431">
        <v>40676</v>
      </c>
      <c r="B7116" s="434">
        <v>1807.86</v>
      </c>
      <c r="C7116" s="427">
        <f t="shared" si="222"/>
        <v>2011</v>
      </c>
      <c r="D7116" s="433">
        <f t="shared" si="223"/>
        <v>1807.86</v>
      </c>
    </row>
    <row r="7117" spans="1:4" ht="16.149999999999999" customHeight="1" x14ac:dyDescent="0.25">
      <c r="A7117" s="431">
        <v>40677</v>
      </c>
      <c r="B7117" s="432">
        <v>1805.37</v>
      </c>
      <c r="C7117" s="427">
        <f t="shared" si="222"/>
        <v>2011</v>
      </c>
      <c r="D7117" s="433">
        <f t="shared" si="223"/>
        <v>1805.37</v>
      </c>
    </row>
    <row r="7118" spans="1:4" ht="16.149999999999999" customHeight="1" x14ac:dyDescent="0.25">
      <c r="A7118" s="431">
        <v>40678</v>
      </c>
      <c r="B7118" s="434">
        <v>1805.37</v>
      </c>
      <c r="C7118" s="427">
        <f t="shared" si="222"/>
        <v>2011</v>
      </c>
      <c r="D7118" s="433">
        <f t="shared" si="223"/>
        <v>1805.37</v>
      </c>
    </row>
    <row r="7119" spans="1:4" ht="16.149999999999999" customHeight="1" x14ac:dyDescent="0.25">
      <c r="A7119" s="431">
        <v>40679</v>
      </c>
      <c r="B7119" s="432">
        <v>1805.37</v>
      </c>
      <c r="C7119" s="427">
        <f t="shared" si="222"/>
        <v>2011</v>
      </c>
      <c r="D7119" s="433">
        <f t="shared" si="223"/>
        <v>1805.37</v>
      </c>
    </row>
    <row r="7120" spans="1:4" ht="16.149999999999999" customHeight="1" x14ac:dyDescent="0.25">
      <c r="A7120" s="431">
        <v>40680</v>
      </c>
      <c r="B7120" s="434">
        <v>1814.98</v>
      </c>
      <c r="C7120" s="427">
        <f t="shared" si="222"/>
        <v>2011</v>
      </c>
      <c r="D7120" s="433">
        <f t="shared" si="223"/>
        <v>1814.98</v>
      </c>
    </row>
    <row r="7121" spans="1:4" ht="16.149999999999999" customHeight="1" x14ac:dyDescent="0.25">
      <c r="A7121" s="431">
        <v>40681</v>
      </c>
      <c r="B7121" s="432">
        <v>1826.03</v>
      </c>
      <c r="C7121" s="427">
        <f t="shared" si="222"/>
        <v>2011</v>
      </c>
      <c r="D7121" s="433">
        <f t="shared" si="223"/>
        <v>1826.03</v>
      </c>
    </row>
    <row r="7122" spans="1:4" ht="16.149999999999999" customHeight="1" x14ac:dyDescent="0.25">
      <c r="A7122" s="431">
        <v>40682</v>
      </c>
      <c r="B7122" s="434">
        <v>1824.62</v>
      </c>
      <c r="C7122" s="427">
        <f t="shared" si="222"/>
        <v>2011</v>
      </c>
      <c r="D7122" s="433">
        <f t="shared" si="223"/>
        <v>1824.62</v>
      </c>
    </row>
    <row r="7123" spans="1:4" ht="16.149999999999999" customHeight="1" x14ac:dyDescent="0.25">
      <c r="A7123" s="431">
        <v>40683</v>
      </c>
      <c r="B7123" s="432">
        <v>1814.99</v>
      </c>
      <c r="C7123" s="427">
        <f t="shared" si="222"/>
        <v>2011</v>
      </c>
      <c r="D7123" s="433">
        <f t="shared" si="223"/>
        <v>1814.99</v>
      </c>
    </row>
    <row r="7124" spans="1:4" ht="16.149999999999999" customHeight="1" x14ac:dyDescent="0.25">
      <c r="A7124" s="431">
        <v>40684</v>
      </c>
      <c r="B7124" s="434">
        <v>1819.86</v>
      </c>
      <c r="C7124" s="427">
        <f t="shared" si="222"/>
        <v>2011</v>
      </c>
      <c r="D7124" s="433">
        <f t="shared" si="223"/>
        <v>1819.86</v>
      </c>
    </row>
    <row r="7125" spans="1:4" ht="16.149999999999999" customHeight="1" x14ac:dyDescent="0.25">
      <c r="A7125" s="431">
        <v>40685</v>
      </c>
      <c r="B7125" s="432">
        <v>1819.86</v>
      </c>
      <c r="C7125" s="427">
        <f t="shared" si="222"/>
        <v>2011</v>
      </c>
      <c r="D7125" s="433">
        <f t="shared" si="223"/>
        <v>1819.86</v>
      </c>
    </row>
    <row r="7126" spans="1:4" ht="16.149999999999999" customHeight="1" x14ac:dyDescent="0.25">
      <c r="A7126" s="431">
        <v>40686</v>
      </c>
      <c r="B7126" s="434">
        <v>1819.86</v>
      </c>
      <c r="C7126" s="427">
        <f t="shared" si="222"/>
        <v>2011</v>
      </c>
      <c r="D7126" s="433">
        <f t="shared" si="223"/>
        <v>1819.86</v>
      </c>
    </row>
    <row r="7127" spans="1:4" ht="16.149999999999999" customHeight="1" x14ac:dyDescent="0.25">
      <c r="A7127" s="431">
        <v>40687</v>
      </c>
      <c r="B7127" s="432">
        <v>1828.12</v>
      </c>
      <c r="C7127" s="427">
        <f t="shared" si="222"/>
        <v>2011</v>
      </c>
      <c r="D7127" s="433">
        <f t="shared" si="223"/>
        <v>1828.12</v>
      </c>
    </row>
    <row r="7128" spans="1:4" ht="16.149999999999999" customHeight="1" x14ac:dyDescent="0.25">
      <c r="A7128" s="431">
        <v>40688</v>
      </c>
      <c r="B7128" s="434">
        <v>1828.64</v>
      </c>
      <c r="C7128" s="427">
        <f t="shared" si="222"/>
        <v>2011</v>
      </c>
      <c r="D7128" s="433">
        <f t="shared" si="223"/>
        <v>1828.64</v>
      </c>
    </row>
    <row r="7129" spans="1:4" ht="16.149999999999999" customHeight="1" x14ac:dyDescent="0.25">
      <c r="A7129" s="431">
        <v>40689</v>
      </c>
      <c r="B7129" s="432">
        <v>1831.58</v>
      </c>
      <c r="C7129" s="427">
        <f t="shared" si="222"/>
        <v>2011</v>
      </c>
      <c r="D7129" s="433">
        <f t="shared" si="223"/>
        <v>1831.58</v>
      </c>
    </row>
    <row r="7130" spans="1:4" ht="16.149999999999999" customHeight="1" x14ac:dyDescent="0.25">
      <c r="A7130" s="431">
        <v>40690</v>
      </c>
      <c r="B7130" s="434">
        <v>1829.75</v>
      </c>
      <c r="C7130" s="427">
        <f t="shared" si="222"/>
        <v>2011</v>
      </c>
      <c r="D7130" s="433">
        <f t="shared" si="223"/>
        <v>1829.75</v>
      </c>
    </row>
    <row r="7131" spans="1:4" ht="16.149999999999999" customHeight="1" x14ac:dyDescent="0.25">
      <c r="A7131" s="431">
        <v>40691</v>
      </c>
      <c r="B7131" s="432">
        <v>1817.34</v>
      </c>
      <c r="C7131" s="427">
        <f t="shared" si="222"/>
        <v>2011</v>
      </c>
      <c r="D7131" s="433">
        <f t="shared" si="223"/>
        <v>1817.34</v>
      </c>
    </row>
    <row r="7132" spans="1:4" ht="16.149999999999999" customHeight="1" x14ac:dyDescent="0.25">
      <c r="A7132" s="431">
        <v>40692</v>
      </c>
      <c r="B7132" s="434">
        <v>1817.34</v>
      </c>
      <c r="C7132" s="427">
        <f t="shared" si="222"/>
        <v>2011</v>
      </c>
      <c r="D7132" s="433">
        <f t="shared" si="223"/>
        <v>1817.34</v>
      </c>
    </row>
    <row r="7133" spans="1:4" ht="16.149999999999999" customHeight="1" x14ac:dyDescent="0.25">
      <c r="A7133" s="431">
        <v>40693</v>
      </c>
      <c r="B7133" s="432">
        <v>1817.34</v>
      </c>
      <c r="C7133" s="427">
        <f t="shared" si="222"/>
        <v>2011</v>
      </c>
      <c r="D7133" s="433">
        <f t="shared" si="223"/>
        <v>1817.34</v>
      </c>
    </row>
    <row r="7134" spans="1:4" ht="16.149999999999999" customHeight="1" x14ac:dyDescent="0.25">
      <c r="A7134" s="431">
        <v>40694</v>
      </c>
      <c r="B7134" s="434">
        <v>1817.34</v>
      </c>
      <c r="C7134" s="427">
        <f t="shared" si="222"/>
        <v>2011</v>
      </c>
      <c r="D7134" s="433">
        <f t="shared" si="223"/>
        <v>1817.34</v>
      </c>
    </row>
    <row r="7135" spans="1:4" ht="16.149999999999999" customHeight="1" x14ac:dyDescent="0.25">
      <c r="A7135" s="431">
        <v>40695</v>
      </c>
      <c r="B7135" s="432">
        <v>1797.83</v>
      </c>
      <c r="C7135" s="427">
        <f t="shared" si="222"/>
        <v>2011</v>
      </c>
      <c r="D7135" s="433">
        <f t="shared" si="223"/>
        <v>1797.83</v>
      </c>
    </row>
    <row r="7136" spans="1:4" ht="16.149999999999999" customHeight="1" x14ac:dyDescent="0.25">
      <c r="A7136" s="431">
        <v>40696</v>
      </c>
      <c r="B7136" s="434">
        <v>1789.41</v>
      </c>
      <c r="C7136" s="427">
        <f t="shared" si="222"/>
        <v>2011</v>
      </c>
      <c r="D7136" s="433">
        <f t="shared" si="223"/>
        <v>1789.41</v>
      </c>
    </row>
    <row r="7137" spans="1:4" ht="16.149999999999999" customHeight="1" x14ac:dyDescent="0.25">
      <c r="A7137" s="431">
        <v>40697</v>
      </c>
      <c r="B7137" s="432">
        <v>1784.12</v>
      </c>
      <c r="C7137" s="427">
        <f t="shared" si="222"/>
        <v>2011</v>
      </c>
      <c r="D7137" s="433">
        <f t="shared" si="223"/>
        <v>1784.12</v>
      </c>
    </row>
    <row r="7138" spans="1:4" ht="16.149999999999999" customHeight="1" x14ac:dyDescent="0.25">
      <c r="A7138" s="431">
        <v>40698</v>
      </c>
      <c r="B7138" s="434">
        <v>1785.05</v>
      </c>
      <c r="C7138" s="427">
        <f t="shared" si="222"/>
        <v>2011</v>
      </c>
      <c r="D7138" s="433">
        <f t="shared" si="223"/>
        <v>1785.05</v>
      </c>
    </row>
    <row r="7139" spans="1:4" ht="16.149999999999999" customHeight="1" x14ac:dyDescent="0.25">
      <c r="A7139" s="431">
        <v>40699</v>
      </c>
      <c r="B7139" s="432">
        <v>1785.05</v>
      </c>
      <c r="C7139" s="427">
        <f t="shared" si="222"/>
        <v>2011</v>
      </c>
      <c r="D7139" s="433">
        <f t="shared" si="223"/>
        <v>1785.05</v>
      </c>
    </row>
    <row r="7140" spans="1:4" ht="16.149999999999999" customHeight="1" x14ac:dyDescent="0.25">
      <c r="A7140" s="431">
        <v>40700</v>
      </c>
      <c r="B7140" s="434">
        <v>1785.05</v>
      </c>
      <c r="C7140" s="427">
        <f t="shared" si="222"/>
        <v>2011</v>
      </c>
      <c r="D7140" s="433">
        <f t="shared" si="223"/>
        <v>1785.05</v>
      </c>
    </row>
    <row r="7141" spans="1:4" ht="16.149999999999999" customHeight="1" x14ac:dyDescent="0.25">
      <c r="A7141" s="431">
        <v>40701</v>
      </c>
      <c r="B7141" s="432">
        <v>1785.05</v>
      </c>
      <c r="C7141" s="427">
        <f t="shared" si="222"/>
        <v>2011</v>
      </c>
      <c r="D7141" s="433">
        <f t="shared" si="223"/>
        <v>1785.05</v>
      </c>
    </row>
    <row r="7142" spans="1:4" ht="16.149999999999999" customHeight="1" x14ac:dyDescent="0.25">
      <c r="A7142" s="431">
        <v>40702</v>
      </c>
      <c r="B7142" s="434">
        <v>1770.13</v>
      </c>
      <c r="C7142" s="427">
        <f t="shared" si="222"/>
        <v>2011</v>
      </c>
      <c r="D7142" s="433">
        <f t="shared" si="223"/>
        <v>1770.13</v>
      </c>
    </row>
    <row r="7143" spans="1:4" ht="16.149999999999999" customHeight="1" x14ac:dyDescent="0.25">
      <c r="A7143" s="431">
        <v>40703</v>
      </c>
      <c r="B7143" s="432">
        <v>1769.83</v>
      </c>
      <c r="C7143" s="427">
        <f t="shared" si="222"/>
        <v>2011</v>
      </c>
      <c r="D7143" s="433">
        <f t="shared" si="223"/>
        <v>1769.83</v>
      </c>
    </row>
    <row r="7144" spans="1:4" ht="16.149999999999999" customHeight="1" x14ac:dyDescent="0.25">
      <c r="A7144" s="431">
        <v>40704</v>
      </c>
      <c r="B7144" s="434">
        <v>1772.59</v>
      </c>
      <c r="C7144" s="427">
        <f t="shared" si="222"/>
        <v>2011</v>
      </c>
      <c r="D7144" s="433">
        <f t="shared" si="223"/>
        <v>1772.59</v>
      </c>
    </row>
    <row r="7145" spans="1:4" ht="16.149999999999999" customHeight="1" x14ac:dyDescent="0.25">
      <c r="A7145" s="431">
        <v>40705</v>
      </c>
      <c r="B7145" s="432">
        <v>1774.94</v>
      </c>
      <c r="C7145" s="427">
        <f t="shared" si="222"/>
        <v>2011</v>
      </c>
      <c r="D7145" s="433">
        <f t="shared" si="223"/>
        <v>1774.94</v>
      </c>
    </row>
    <row r="7146" spans="1:4" ht="16.149999999999999" customHeight="1" x14ac:dyDescent="0.25">
      <c r="A7146" s="431">
        <v>40706</v>
      </c>
      <c r="B7146" s="434">
        <v>1774.94</v>
      </c>
      <c r="C7146" s="427">
        <f t="shared" si="222"/>
        <v>2011</v>
      </c>
      <c r="D7146" s="433">
        <f t="shared" si="223"/>
        <v>1774.94</v>
      </c>
    </row>
    <row r="7147" spans="1:4" ht="16.149999999999999" customHeight="1" x14ac:dyDescent="0.25">
      <c r="A7147" s="431">
        <v>40707</v>
      </c>
      <c r="B7147" s="432">
        <v>1774.94</v>
      </c>
      <c r="C7147" s="427">
        <f t="shared" si="222"/>
        <v>2011</v>
      </c>
      <c r="D7147" s="433">
        <f t="shared" si="223"/>
        <v>1774.94</v>
      </c>
    </row>
    <row r="7148" spans="1:4" ht="16.149999999999999" customHeight="1" x14ac:dyDescent="0.25">
      <c r="A7148" s="431">
        <v>40708</v>
      </c>
      <c r="B7148" s="434">
        <v>1777.64</v>
      </c>
      <c r="C7148" s="427">
        <f t="shared" si="222"/>
        <v>2011</v>
      </c>
      <c r="D7148" s="433">
        <f t="shared" si="223"/>
        <v>1777.64</v>
      </c>
    </row>
    <row r="7149" spans="1:4" ht="16.149999999999999" customHeight="1" x14ac:dyDescent="0.25">
      <c r="A7149" s="431">
        <v>40709</v>
      </c>
      <c r="B7149" s="432">
        <v>1774.24</v>
      </c>
      <c r="C7149" s="427">
        <f t="shared" si="222"/>
        <v>2011</v>
      </c>
      <c r="D7149" s="433">
        <f t="shared" si="223"/>
        <v>1774.24</v>
      </c>
    </row>
    <row r="7150" spans="1:4" ht="16.149999999999999" customHeight="1" x14ac:dyDescent="0.25">
      <c r="A7150" s="431">
        <v>40710</v>
      </c>
      <c r="B7150" s="434">
        <v>1781.4</v>
      </c>
      <c r="C7150" s="427">
        <f t="shared" si="222"/>
        <v>2011</v>
      </c>
      <c r="D7150" s="433">
        <f t="shared" si="223"/>
        <v>1781.4</v>
      </c>
    </row>
    <row r="7151" spans="1:4" ht="16.149999999999999" customHeight="1" x14ac:dyDescent="0.25">
      <c r="A7151" s="431">
        <v>40711</v>
      </c>
      <c r="B7151" s="432">
        <v>1793.92</v>
      </c>
      <c r="C7151" s="427">
        <f t="shared" si="222"/>
        <v>2011</v>
      </c>
      <c r="D7151" s="433">
        <f t="shared" si="223"/>
        <v>1793.92</v>
      </c>
    </row>
    <row r="7152" spans="1:4" ht="16.149999999999999" customHeight="1" x14ac:dyDescent="0.25">
      <c r="A7152" s="431">
        <v>40712</v>
      </c>
      <c r="B7152" s="434">
        <v>1787.8</v>
      </c>
      <c r="C7152" s="427">
        <f t="shared" si="222"/>
        <v>2011</v>
      </c>
      <c r="D7152" s="433">
        <f t="shared" si="223"/>
        <v>1787.8</v>
      </c>
    </row>
    <row r="7153" spans="1:4" ht="16.149999999999999" customHeight="1" x14ac:dyDescent="0.25">
      <c r="A7153" s="431">
        <v>40713</v>
      </c>
      <c r="B7153" s="432">
        <v>1787.8</v>
      </c>
      <c r="C7153" s="427">
        <f t="shared" si="222"/>
        <v>2011</v>
      </c>
      <c r="D7153" s="433">
        <f t="shared" si="223"/>
        <v>1787.8</v>
      </c>
    </row>
    <row r="7154" spans="1:4" ht="16.149999999999999" customHeight="1" x14ac:dyDescent="0.25">
      <c r="A7154" s="431">
        <v>40714</v>
      </c>
      <c r="B7154" s="434">
        <v>1787.8</v>
      </c>
      <c r="C7154" s="427">
        <f t="shared" si="222"/>
        <v>2011</v>
      </c>
      <c r="D7154" s="433">
        <f t="shared" si="223"/>
        <v>1787.8</v>
      </c>
    </row>
    <row r="7155" spans="1:4" ht="16.149999999999999" customHeight="1" x14ac:dyDescent="0.25">
      <c r="A7155" s="431">
        <v>40715</v>
      </c>
      <c r="B7155" s="432">
        <v>1789.47</v>
      </c>
      <c r="C7155" s="427">
        <f t="shared" si="222"/>
        <v>2011</v>
      </c>
      <c r="D7155" s="433">
        <f t="shared" si="223"/>
        <v>1789.47</v>
      </c>
    </row>
    <row r="7156" spans="1:4" ht="16.149999999999999" customHeight="1" x14ac:dyDescent="0.25">
      <c r="A7156" s="431">
        <v>40716</v>
      </c>
      <c r="B7156" s="434">
        <v>1780.48</v>
      </c>
      <c r="C7156" s="427">
        <f t="shared" si="222"/>
        <v>2011</v>
      </c>
      <c r="D7156" s="433">
        <f t="shared" si="223"/>
        <v>1780.48</v>
      </c>
    </row>
    <row r="7157" spans="1:4" ht="16.149999999999999" customHeight="1" x14ac:dyDescent="0.25">
      <c r="A7157" s="431">
        <v>40717</v>
      </c>
      <c r="B7157" s="432">
        <v>1779.1</v>
      </c>
      <c r="C7157" s="427">
        <f t="shared" si="222"/>
        <v>2011</v>
      </c>
      <c r="D7157" s="433">
        <f t="shared" si="223"/>
        <v>1779.1</v>
      </c>
    </row>
    <row r="7158" spans="1:4" ht="16.149999999999999" customHeight="1" x14ac:dyDescent="0.25">
      <c r="A7158" s="431">
        <v>40718</v>
      </c>
      <c r="B7158" s="434">
        <v>1788.11</v>
      </c>
      <c r="C7158" s="427">
        <f t="shared" si="222"/>
        <v>2011</v>
      </c>
      <c r="D7158" s="433">
        <f t="shared" si="223"/>
        <v>1788.11</v>
      </c>
    </row>
    <row r="7159" spans="1:4" ht="16.149999999999999" customHeight="1" x14ac:dyDescent="0.25">
      <c r="A7159" s="431">
        <v>40719</v>
      </c>
      <c r="B7159" s="432">
        <v>1787.8</v>
      </c>
      <c r="C7159" s="427">
        <f t="shared" si="222"/>
        <v>2011</v>
      </c>
      <c r="D7159" s="433">
        <f t="shared" si="223"/>
        <v>1787.8</v>
      </c>
    </row>
    <row r="7160" spans="1:4" ht="16.149999999999999" customHeight="1" x14ac:dyDescent="0.25">
      <c r="A7160" s="431">
        <v>40720</v>
      </c>
      <c r="B7160" s="434">
        <v>1787.8</v>
      </c>
      <c r="C7160" s="427">
        <f t="shared" si="222"/>
        <v>2011</v>
      </c>
      <c r="D7160" s="433">
        <f t="shared" si="223"/>
        <v>1787.8</v>
      </c>
    </row>
    <row r="7161" spans="1:4" ht="16.149999999999999" customHeight="1" x14ac:dyDescent="0.25">
      <c r="A7161" s="431">
        <v>40721</v>
      </c>
      <c r="B7161" s="432">
        <v>1787.8</v>
      </c>
      <c r="C7161" s="427">
        <f t="shared" si="222"/>
        <v>2011</v>
      </c>
      <c r="D7161" s="433">
        <f t="shared" si="223"/>
        <v>1787.8</v>
      </c>
    </row>
    <row r="7162" spans="1:4" ht="16.149999999999999" customHeight="1" x14ac:dyDescent="0.25">
      <c r="A7162" s="431">
        <v>40722</v>
      </c>
      <c r="B7162" s="434">
        <v>1787.8</v>
      </c>
      <c r="C7162" s="427">
        <f t="shared" si="222"/>
        <v>2011</v>
      </c>
      <c r="D7162" s="433">
        <f t="shared" si="223"/>
        <v>1787.8</v>
      </c>
    </row>
    <row r="7163" spans="1:4" ht="16.149999999999999" customHeight="1" x14ac:dyDescent="0.25">
      <c r="A7163" s="431">
        <v>40723</v>
      </c>
      <c r="B7163" s="432">
        <v>1786.73</v>
      </c>
      <c r="C7163" s="427">
        <f t="shared" si="222"/>
        <v>2011</v>
      </c>
      <c r="D7163" s="433">
        <f t="shared" si="223"/>
        <v>1786.73</v>
      </c>
    </row>
    <row r="7164" spans="1:4" ht="16.149999999999999" customHeight="1" x14ac:dyDescent="0.25">
      <c r="A7164" s="431">
        <v>40724</v>
      </c>
      <c r="B7164" s="434">
        <v>1780.16</v>
      </c>
      <c r="C7164" s="427">
        <f t="shared" si="222"/>
        <v>2011</v>
      </c>
      <c r="D7164" s="433">
        <f t="shared" si="223"/>
        <v>1780.16</v>
      </c>
    </row>
    <row r="7165" spans="1:4" ht="16.149999999999999" customHeight="1" x14ac:dyDescent="0.25">
      <c r="A7165" s="431">
        <v>40725</v>
      </c>
      <c r="B7165" s="432">
        <v>1772.32</v>
      </c>
      <c r="C7165" s="427">
        <f t="shared" si="222"/>
        <v>2011</v>
      </c>
      <c r="D7165" s="433">
        <f t="shared" si="223"/>
        <v>1772.32</v>
      </c>
    </row>
    <row r="7166" spans="1:4" ht="16.149999999999999" customHeight="1" x14ac:dyDescent="0.25">
      <c r="A7166" s="431">
        <v>40726</v>
      </c>
      <c r="B7166" s="434">
        <v>1762.59</v>
      </c>
      <c r="C7166" s="427">
        <f t="shared" si="222"/>
        <v>2011</v>
      </c>
      <c r="D7166" s="433">
        <f t="shared" si="223"/>
        <v>1762.59</v>
      </c>
    </row>
    <row r="7167" spans="1:4" ht="16.149999999999999" customHeight="1" x14ac:dyDescent="0.25">
      <c r="A7167" s="431">
        <v>40727</v>
      </c>
      <c r="B7167" s="432">
        <v>1762.59</v>
      </c>
      <c r="C7167" s="427">
        <f t="shared" si="222"/>
        <v>2011</v>
      </c>
      <c r="D7167" s="433">
        <f t="shared" si="223"/>
        <v>1762.59</v>
      </c>
    </row>
    <row r="7168" spans="1:4" ht="16.149999999999999" customHeight="1" x14ac:dyDescent="0.25">
      <c r="A7168" s="431">
        <v>40728</v>
      </c>
      <c r="B7168" s="434">
        <v>1762.59</v>
      </c>
      <c r="C7168" s="427">
        <f t="shared" si="222"/>
        <v>2011</v>
      </c>
      <c r="D7168" s="433">
        <f t="shared" si="223"/>
        <v>1762.59</v>
      </c>
    </row>
    <row r="7169" spans="1:4" ht="16.149999999999999" customHeight="1" x14ac:dyDescent="0.25">
      <c r="A7169" s="431">
        <v>40729</v>
      </c>
      <c r="B7169" s="432">
        <v>1762.59</v>
      </c>
      <c r="C7169" s="427">
        <f t="shared" si="222"/>
        <v>2011</v>
      </c>
      <c r="D7169" s="433">
        <f t="shared" si="223"/>
        <v>1762.59</v>
      </c>
    </row>
    <row r="7170" spans="1:4" ht="16.149999999999999" customHeight="1" x14ac:dyDescent="0.25">
      <c r="A7170" s="431">
        <v>40730</v>
      </c>
      <c r="B7170" s="434">
        <v>1766.57</v>
      </c>
      <c r="C7170" s="427">
        <f t="shared" si="222"/>
        <v>2011</v>
      </c>
      <c r="D7170" s="433">
        <f t="shared" si="223"/>
        <v>1766.57</v>
      </c>
    </row>
    <row r="7171" spans="1:4" ht="16.149999999999999" customHeight="1" x14ac:dyDescent="0.25">
      <c r="A7171" s="431">
        <v>40731</v>
      </c>
      <c r="B7171" s="432">
        <v>1767.47</v>
      </c>
      <c r="C7171" s="427">
        <f t="shared" si="222"/>
        <v>2011</v>
      </c>
      <c r="D7171" s="433">
        <f t="shared" si="223"/>
        <v>1767.47</v>
      </c>
    </row>
    <row r="7172" spans="1:4" ht="16.149999999999999" customHeight="1" x14ac:dyDescent="0.25">
      <c r="A7172" s="431">
        <v>40732</v>
      </c>
      <c r="B7172" s="434">
        <v>1759.38</v>
      </c>
      <c r="C7172" s="427">
        <f t="shared" si="222"/>
        <v>2011</v>
      </c>
      <c r="D7172" s="433">
        <f t="shared" si="223"/>
        <v>1759.38</v>
      </c>
    </row>
    <row r="7173" spans="1:4" ht="16.149999999999999" customHeight="1" x14ac:dyDescent="0.25">
      <c r="A7173" s="431">
        <v>40733</v>
      </c>
      <c r="B7173" s="432">
        <v>1759.41</v>
      </c>
      <c r="C7173" s="427">
        <f t="shared" si="222"/>
        <v>2011</v>
      </c>
      <c r="D7173" s="433">
        <f t="shared" si="223"/>
        <v>1759.41</v>
      </c>
    </row>
    <row r="7174" spans="1:4" ht="16.149999999999999" customHeight="1" x14ac:dyDescent="0.25">
      <c r="A7174" s="431">
        <v>40734</v>
      </c>
      <c r="B7174" s="434">
        <v>1759.41</v>
      </c>
      <c r="C7174" s="427">
        <f t="shared" si="222"/>
        <v>2011</v>
      </c>
      <c r="D7174" s="433">
        <f t="shared" si="223"/>
        <v>1759.41</v>
      </c>
    </row>
    <row r="7175" spans="1:4" ht="16.149999999999999" customHeight="1" x14ac:dyDescent="0.25">
      <c r="A7175" s="431">
        <v>40735</v>
      </c>
      <c r="B7175" s="432">
        <v>1759.41</v>
      </c>
      <c r="C7175" s="427">
        <f t="shared" si="222"/>
        <v>2011</v>
      </c>
      <c r="D7175" s="433">
        <f t="shared" si="223"/>
        <v>1759.41</v>
      </c>
    </row>
    <row r="7176" spans="1:4" ht="16.149999999999999" customHeight="1" x14ac:dyDescent="0.25">
      <c r="A7176" s="431">
        <v>40736</v>
      </c>
      <c r="B7176" s="434">
        <v>1768.42</v>
      </c>
      <c r="C7176" s="427">
        <f t="shared" si="222"/>
        <v>2011</v>
      </c>
      <c r="D7176" s="433">
        <f t="shared" si="223"/>
        <v>1768.42</v>
      </c>
    </row>
    <row r="7177" spans="1:4" ht="16.149999999999999" customHeight="1" x14ac:dyDescent="0.25">
      <c r="A7177" s="431">
        <v>40737</v>
      </c>
      <c r="B7177" s="432">
        <v>1765.32</v>
      </c>
      <c r="C7177" s="427">
        <f t="shared" si="222"/>
        <v>2011</v>
      </c>
      <c r="D7177" s="433">
        <f t="shared" si="223"/>
        <v>1765.32</v>
      </c>
    </row>
    <row r="7178" spans="1:4" ht="16.149999999999999" customHeight="1" x14ac:dyDescent="0.25">
      <c r="A7178" s="431">
        <v>40738</v>
      </c>
      <c r="B7178" s="434">
        <v>1758.25</v>
      </c>
      <c r="C7178" s="427">
        <f t="shared" ref="C7178:C7241" si="224">YEAR(A7178)</f>
        <v>2011</v>
      </c>
      <c r="D7178" s="433">
        <f t="shared" ref="D7178:D7241" si="225">B7178</f>
        <v>1758.25</v>
      </c>
    </row>
    <row r="7179" spans="1:4" ht="16.149999999999999" customHeight="1" x14ac:dyDescent="0.25">
      <c r="A7179" s="431">
        <v>40739</v>
      </c>
      <c r="B7179" s="432">
        <v>1748.41</v>
      </c>
      <c r="C7179" s="427">
        <f t="shared" si="224"/>
        <v>2011</v>
      </c>
      <c r="D7179" s="433">
        <f t="shared" si="225"/>
        <v>1748.41</v>
      </c>
    </row>
    <row r="7180" spans="1:4" ht="16.149999999999999" customHeight="1" x14ac:dyDescent="0.25">
      <c r="A7180" s="431">
        <v>40740</v>
      </c>
      <c r="B7180" s="434">
        <v>1750.9</v>
      </c>
      <c r="C7180" s="427">
        <f t="shared" si="224"/>
        <v>2011</v>
      </c>
      <c r="D7180" s="433">
        <f t="shared" si="225"/>
        <v>1750.9</v>
      </c>
    </row>
    <row r="7181" spans="1:4" ht="16.149999999999999" customHeight="1" x14ac:dyDescent="0.25">
      <c r="A7181" s="431">
        <v>40741</v>
      </c>
      <c r="B7181" s="432">
        <v>1750.9</v>
      </c>
      <c r="C7181" s="427">
        <f t="shared" si="224"/>
        <v>2011</v>
      </c>
      <c r="D7181" s="433">
        <f t="shared" si="225"/>
        <v>1750.9</v>
      </c>
    </row>
    <row r="7182" spans="1:4" ht="16.149999999999999" customHeight="1" x14ac:dyDescent="0.25">
      <c r="A7182" s="431">
        <v>40742</v>
      </c>
      <c r="B7182" s="434">
        <v>1750.9</v>
      </c>
      <c r="C7182" s="427">
        <f t="shared" si="224"/>
        <v>2011</v>
      </c>
      <c r="D7182" s="433">
        <f t="shared" si="225"/>
        <v>1750.9</v>
      </c>
    </row>
    <row r="7183" spans="1:4" ht="16.149999999999999" customHeight="1" x14ac:dyDescent="0.25">
      <c r="A7183" s="431">
        <v>40743</v>
      </c>
      <c r="B7183" s="432">
        <v>1758.99</v>
      </c>
      <c r="C7183" s="427">
        <f t="shared" si="224"/>
        <v>2011</v>
      </c>
      <c r="D7183" s="433">
        <f t="shared" si="225"/>
        <v>1758.99</v>
      </c>
    </row>
    <row r="7184" spans="1:4" ht="16.149999999999999" customHeight="1" x14ac:dyDescent="0.25">
      <c r="A7184" s="431">
        <v>40744</v>
      </c>
      <c r="B7184" s="434">
        <v>1757.49</v>
      </c>
      <c r="C7184" s="427">
        <f t="shared" si="224"/>
        <v>2011</v>
      </c>
      <c r="D7184" s="433">
        <f t="shared" si="225"/>
        <v>1757.49</v>
      </c>
    </row>
    <row r="7185" spans="1:4" ht="16.149999999999999" customHeight="1" x14ac:dyDescent="0.25">
      <c r="A7185" s="431">
        <v>40745</v>
      </c>
      <c r="B7185" s="432">
        <v>1757.49</v>
      </c>
      <c r="C7185" s="427">
        <f t="shared" si="224"/>
        <v>2011</v>
      </c>
      <c r="D7185" s="433">
        <f t="shared" si="225"/>
        <v>1757.49</v>
      </c>
    </row>
    <row r="7186" spans="1:4" ht="16.149999999999999" customHeight="1" x14ac:dyDescent="0.25">
      <c r="A7186" s="431">
        <v>40746</v>
      </c>
      <c r="B7186" s="434">
        <v>1756.38</v>
      </c>
      <c r="C7186" s="427">
        <f t="shared" si="224"/>
        <v>2011</v>
      </c>
      <c r="D7186" s="433">
        <f t="shared" si="225"/>
        <v>1756.38</v>
      </c>
    </row>
    <row r="7187" spans="1:4" ht="16.149999999999999" customHeight="1" x14ac:dyDescent="0.25">
      <c r="A7187" s="431">
        <v>40747</v>
      </c>
      <c r="B7187" s="432">
        <v>1757.35</v>
      </c>
      <c r="C7187" s="427">
        <f t="shared" si="224"/>
        <v>2011</v>
      </c>
      <c r="D7187" s="433">
        <f t="shared" si="225"/>
        <v>1757.35</v>
      </c>
    </row>
    <row r="7188" spans="1:4" ht="16.149999999999999" customHeight="1" x14ac:dyDescent="0.25">
      <c r="A7188" s="431">
        <v>40748</v>
      </c>
      <c r="B7188" s="434">
        <v>1757.35</v>
      </c>
      <c r="C7188" s="427">
        <f t="shared" si="224"/>
        <v>2011</v>
      </c>
      <c r="D7188" s="433">
        <f t="shared" si="225"/>
        <v>1757.35</v>
      </c>
    </row>
    <row r="7189" spans="1:4" ht="16.149999999999999" customHeight="1" x14ac:dyDescent="0.25">
      <c r="A7189" s="431">
        <v>40749</v>
      </c>
      <c r="B7189" s="432">
        <v>1757.35</v>
      </c>
      <c r="C7189" s="427">
        <f t="shared" si="224"/>
        <v>2011</v>
      </c>
      <c r="D7189" s="433">
        <f t="shared" si="225"/>
        <v>1757.35</v>
      </c>
    </row>
    <row r="7190" spans="1:4" ht="16.149999999999999" customHeight="1" x14ac:dyDescent="0.25">
      <c r="A7190" s="431">
        <v>40750</v>
      </c>
      <c r="B7190" s="434">
        <v>1768.02</v>
      </c>
      <c r="C7190" s="427">
        <f t="shared" si="224"/>
        <v>2011</v>
      </c>
      <c r="D7190" s="433">
        <f t="shared" si="225"/>
        <v>1768.02</v>
      </c>
    </row>
    <row r="7191" spans="1:4" ht="16.149999999999999" customHeight="1" x14ac:dyDescent="0.25">
      <c r="A7191" s="431">
        <v>40751</v>
      </c>
      <c r="B7191" s="432">
        <v>1759.88</v>
      </c>
      <c r="C7191" s="427">
        <f t="shared" si="224"/>
        <v>2011</v>
      </c>
      <c r="D7191" s="433">
        <f t="shared" si="225"/>
        <v>1759.88</v>
      </c>
    </row>
    <row r="7192" spans="1:4" ht="16.149999999999999" customHeight="1" x14ac:dyDescent="0.25">
      <c r="A7192" s="431">
        <v>40752</v>
      </c>
      <c r="B7192" s="434">
        <v>1764.89</v>
      </c>
      <c r="C7192" s="427">
        <f t="shared" si="224"/>
        <v>2011</v>
      </c>
      <c r="D7192" s="433">
        <f t="shared" si="225"/>
        <v>1764.89</v>
      </c>
    </row>
    <row r="7193" spans="1:4" ht="16.149999999999999" customHeight="1" x14ac:dyDescent="0.25">
      <c r="A7193" s="431">
        <v>40753</v>
      </c>
      <c r="B7193" s="432">
        <v>1771.15</v>
      </c>
      <c r="C7193" s="427">
        <f t="shared" si="224"/>
        <v>2011</v>
      </c>
      <c r="D7193" s="433">
        <f t="shared" si="225"/>
        <v>1771.15</v>
      </c>
    </row>
    <row r="7194" spans="1:4" ht="16.149999999999999" customHeight="1" x14ac:dyDescent="0.25">
      <c r="A7194" s="431">
        <v>40754</v>
      </c>
      <c r="B7194" s="434">
        <v>1777.82</v>
      </c>
      <c r="C7194" s="427">
        <f t="shared" si="224"/>
        <v>2011</v>
      </c>
      <c r="D7194" s="433">
        <f t="shared" si="225"/>
        <v>1777.82</v>
      </c>
    </row>
    <row r="7195" spans="1:4" ht="16.149999999999999" customHeight="1" x14ac:dyDescent="0.25">
      <c r="A7195" s="431">
        <v>40755</v>
      </c>
      <c r="B7195" s="432">
        <v>1777.82</v>
      </c>
      <c r="C7195" s="427">
        <f t="shared" si="224"/>
        <v>2011</v>
      </c>
      <c r="D7195" s="433">
        <f t="shared" si="225"/>
        <v>1777.82</v>
      </c>
    </row>
    <row r="7196" spans="1:4" ht="16.149999999999999" customHeight="1" x14ac:dyDescent="0.25">
      <c r="A7196" s="431">
        <v>40756</v>
      </c>
      <c r="B7196" s="434">
        <v>1777.82</v>
      </c>
      <c r="C7196" s="427">
        <f t="shared" si="224"/>
        <v>2011</v>
      </c>
      <c r="D7196" s="433">
        <f t="shared" si="225"/>
        <v>1777.82</v>
      </c>
    </row>
    <row r="7197" spans="1:4" ht="16.149999999999999" customHeight="1" x14ac:dyDescent="0.25">
      <c r="A7197" s="431">
        <v>40757</v>
      </c>
      <c r="B7197" s="432">
        <v>1771.81</v>
      </c>
      <c r="C7197" s="427">
        <f t="shared" si="224"/>
        <v>2011</v>
      </c>
      <c r="D7197" s="433">
        <f t="shared" si="225"/>
        <v>1771.81</v>
      </c>
    </row>
    <row r="7198" spans="1:4" ht="16.149999999999999" customHeight="1" x14ac:dyDescent="0.25">
      <c r="A7198" s="431">
        <v>40758</v>
      </c>
      <c r="B7198" s="434">
        <v>1765.53</v>
      </c>
      <c r="C7198" s="427">
        <f t="shared" si="224"/>
        <v>2011</v>
      </c>
      <c r="D7198" s="433">
        <f t="shared" si="225"/>
        <v>1765.53</v>
      </c>
    </row>
    <row r="7199" spans="1:4" ht="16.149999999999999" customHeight="1" x14ac:dyDescent="0.25">
      <c r="A7199" s="431">
        <v>40759</v>
      </c>
      <c r="B7199" s="432">
        <v>1772.52</v>
      </c>
      <c r="C7199" s="427">
        <f t="shared" si="224"/>
        <v>2011</v>
      </c>
      <c r="D7199" s="433">
        <f t="shared" si="225"/>
        <v>1772.52</v>
      </c>
    </row>
    <row r="7200" spans="1:4" ht="16.149999999999999" customHeight="1" x14ac:dyDescent="0.25">
      <c r="A7200" s="431">
        <v>40760</v>
      </c>
      <c r="B7200" s="434">
        <v>1781.33</v>
      </c>
      <c r="C7200" s="427">
        <f t="shared" si="224"/>
        <v>2011</v>
      </c>
      <c r="D7200" s="433">
        <f t="shared" si="225"/>
        <v>1781.33</v>
      </c>
    </row>
    <row r="7201" spans="1:4" ht="16.149999999999999" customHeight="1" x14ac:dyDescent="0.25">
      <c r="A7201" s="431">
        <v>40761</v>
      </c>
      <c r="B7201" s="432">
        <v>1792.68</v>
      </c>
      <c r="C7201" s="427">
        <f t="shared" si="224"/>
        <v>2011</v>
      </c>
      <c r="D7201" s="433">
        <f t="shared" si="225"/>
        <v>1792.68</v>
      </c>
    </row>
    <row r="7202" spans="1:4" ht="16.149999999999999" customHeight="1" x14ac:dyDescent="0.25">
      <c r="A7202" s="431">
        <v>40762</v>
      </c>
      <c r="B7202" s="434">
        <v>1792.68</v>
      </c>
      <c r="C7202" s="427">
        <f t="shared" si="224"/>
        <v>2011</v>
      </c>
      <c r="D7202" s="433">
        <f t="shared" si="225"/>
        <v>1792.68</v>
      </c>
    </row>
    <row r="7203" spans="1:4" ht="16.149999999999999" customHeight="1" x14ac:dyDescent="0.25">
      <c r="A7203" s="431">
        <v>40763</v>
      </c>
      <c r="B7203" s="432">
        <v>1792.68</v>
      </c>
      <c r="C7203" s="427">
        <f t="shared" si="224"/>
        <v>2011</v>
      </c>
      <c r="D7203" s="433">
        <f t="shared" si="225"/>
        <v>1792.68</v>
      </c>
    </row>
    <row r="7204" spans="1:4" ht="16.149999999999999" customHeight="1" x14ac:dyDescent="0.25">
      <c r="A7204" s="431">
        <v>40764</v>
      </c>
      <c r="B7204" s="434">
        <v>1811.18</v>
      </c>
      <c r="C7204" s="427">
        <f t="shared" si="224"/>
        <v>2011</v>
      </c>
      <c r="D7204" s="433">
        <f t="shared" si="225"/>
        <v>1811.18</v>
      </c>
    </row>
    <row r="7205" spans="1:4" ht="16.149999999999999" customHeight="1" x14ac:dyDescent="0.25">
      <c r="A7205" s="431">
        <v>40765</v>
      </c>
      <c r="B7205" s="432">
        <v>1811.68</v>
      </c>
      <c r="C7205" s="427">
        <f t="shared" si="224"/>
        <v>2011</v>
      </c>
      <c r="D7205" s="433">
        <f t="shared" si="225"/>
        <v>1811.68</v>
      </c>
    </row>
    <row r="7206" spans="1:4" ht="16.149999999999999" customHeight="1" x14ac:dyDescent="0.25">
      <c r="A7206" s="431">
        <v>40766</v>
      </c>
      <c r="B7206" s="434">
        <v>1800.97</v>
      </c>
      <c r="C7206" s="427">
        <f t="shared" si="224"/>
        <v>2011</v>
      </c>
      <c r="D7206" s="433">
        <f t="shared" si="225"/>
        <v>1800.97</v>
      </c>
    </row>
    <row r="7207" spans="1:4" ht="16.149999999999999" customHeight="1" x14ac:dyDescent="0.25">
      <c r="A7207" s="431">
        <v>40767</v>
      </c>
      <c r="B7207" s="432">
        <v>1793.47</v>
      </c>
      <c r="C7207" s="427">
        <f t="shared" si="224"/>
        <v>2011</v>
      </c>
      <c r="D7207" s="433">
        <f t="shared" si="225"/>
        <v>1793.47</v>
      </c>
    </row>
    <row r="7208" spans="1:4" ht="16.149999999999999" customHeight="1" x14ac:dyDescent="0.25">
      <c r="A7208" s="431">
        <v>40768</v>
      </c>
      <c r="B7208" s="434">
        <v>1783.35</v>
      </c>
      <c r="C7208" s="427">
        <f t="shared" si="224"/>
        <v>2011</v>
      </c>
      <c r="D7208" s="433">
        <f t="shared" si="225"/>
        <v>1783.35</v>
      </c>
    </row>
    <row r="7209" spans="1:4" ht="16.149999999999999" customHeight="1" x14ac:dyDescent="0.25">
      <c r="A7209" s="431">
        <v>40769</v>
      </c>
      <c r="B7209" s="432">
        <v>1783.35</v>
      </c>
      <c r="C7209" s="427">
        <f t="shared" si="224"/>
        <v>2011</v>
      </c>
      <c r="D7209" s="433">
        <f t="shared" si="225"/>
        <v>1783.35</v>
      </c>
    </row>
    <row r="7210" spans="1:4" ht="16.149999999999999" customHeight="1" x14ac:dyDescent="0.25">
      <c r="A7210" s="431">
        <v>40770</v>
      </c>
      <c r="B7210" s="434">
        <v>1783.35</v>
      </c>
      <c r="C7210" s="427">
        <f t="shared" si="224"/>
        <v>2011</v>
      </c>
      <c r="D7210" s="433">
        <f t="shared" si="225"/>
        <v>1783.35</v>
      </c>
    </row>
    <row r="7211" spans="1:4" ht="16.149999999999999" customHeight="1" x14ac:dyDescent="0.25">
      <c r="A7211" s="431">
        <v>40771</v>
      </c>
      <c r="B7211" s="432">
        <v>1783.35</v>
      </c>
      <c r="C7211" s="427">
        <f t="shared" si="224"/>
        <v>2011</v>
      </c>
      <c r="D7211" s="433">
        <f t="shared" si="225"/>
        <v>1783.35</v>
      </c>
    </row>
    <row r="7212" spans="1:4" ht="16.149999999999999" customHeight="1" x14ac:dyDescent="0.25">
      <c r="A7212" s="431">
        <v>40772</v>
      </c>
      <c r="B7212" s="434">
        <v>1776.66</v>
      </c>
      <c r="C7212" s="427">
        <f t="shared" si="224"/>
        <v>2011</v>
      </c>
      <c r="D7212" s="433">
        <f t="shared" si="225"/>
        <v>1776.66</v>
      </c>
    </row>
    <row r="7213" spans="1:4" ht="16.149999999999999" customHeight="1" x14ac:dyDescent="0.25">
      <c r="A7213" s="431">
        <v>40773</v>
      </c>
      <c r="B7213" s="432">
        <v>1767.29</v>
      </c>
      <c r="C7213" s="427">
        <f t="shared" si="224"/>
        <v>2011</v>
      </c>
      <c r="D7213" s="433">
        <f t="shared" si="225"/>
        <v>1767.29</v>
      </c>
    </row>
    <row r="7214" spans="1:4" ht="16.149999999999999" customHeight="1" x14ac:dyDescent="0.25">
      <c r="A7214" s="431">
        <v>40774</v>
      </c>
      <c r="B7214" s="434">
        <v>1775.84</v>
      </c>
      <c r="C7214" s="427">
        <f t="shared" si="224"/>
        <v>2011</v>
      </c>
      <c r="D7214" s="433">
        <f t="shared" si="225"/>
        <v>1775.84</v>
      </c>
    </row>
    <row r="7215" spans="1:4" ht="16.149999999999999" customHeight="1" x14ac:dyDescent="0.25">
      <c r="A7215" s="431">
        <v>40775</v>
      </c>
      <c r="B7215" s="432">
        <v>1779.05</v>
      </c>
      <c r="C7215" s="427">
        <f t="shared" si="224"/>
        <v>2011</v>
      </c>
      <c r="D7215" s="433">
        <f t="shared" si="225"/>
        <v>1779.05</v>
      </c>
    </row>
    <row r="7216" spans="1:4" ht="16.149999999999999" customHeight="1" x14ac:dyDescent="0.25">
      <c r="A7216" s="431">
        <v>40776</v>
      </c>
      <c r="B7216" s="434">
        <v>1779.05</v>
      </c>
      <c r="C7216" s="427">
        <f t="shared" si="224"/>
        <v>2011</v>
      </c>
      <c r="D7216" s="433">
        <f t="shared" si="225"/>
        <v>1779.05</v>
      </c>
    </row>
    <row r="7217" spans="1:4" ht="16.149999999999999" customHeight="1" x14ac:dyDescent="0.25">
      <c r="A7217" s="431">
        <v>40777</v>
      </c>
      <c r="B7217" s="432">
        <v>1779.05</v>
      </c>
      <c r="C7217" s="427">
        <f t="shared" si="224"/>
        <v>2011</v>
      </c>
      <c r="D7217" s="433">
        <f t="shared" si="225"/>
        <v>1779.05</v>
      </c>
    </row>
    <row r="7218" spans="1:4" ht="16.149999999999999" customHeight="1" x14ac:dyDescent="0.25">
      <c r="A7218" s="431">
        <v>40778</v>
      </c>
      <c r="B7218" s="434">
        <v>1779.86</v>
      </c>
      <c r="C7218" s="427">
        <f t="shared" si="224"/>
        <v>2011</v>
      </c>
      <c r="D7218" s="433">
        <f t="shared" si="225"/>
        <v>1779.86</v>
      </c>
    </row>
    <row r="7219" spans="1:4" ht="16.149999999999999" customHeight="1" x14ac:dyDescent="0.25">
      <c r="A7219" s="431">
        <v>40779</v>
      </c>
      <c r="B7219" s="432">
        <v>1781.91</v>
      </c>
      <c r="C7219" s="427">
        <f t="shared" si="224"/>
        <v>2011</v>
      </c>
      <c r="D7219" s="433">
        <f t="shared" si="225"/>
        <v>1781.91</v>
      </c>
    </row>
    <row r="7220" spans="1:4" ht="16.149999999999999" customHeight="1" x14ac:dyDescent="0.25">
      <c r="A7220" s="431">
        <v>40780</v>
      </c>
      <c r="B7220" s="434">
        <v>1791.61</v>
      </c>
      <c r="C7220" s="427">
        <f t="shared" si="224"/>
        <v>2011</v>
      </c>
      <c r="D7220" s="433">
        <f t="shared" si="225"/>
        <v>1791.61</v>
      </c>
    </row>
    <row r="7221" spans="1:4" ht="16.149999999999999" customHeight="1" x14ac:dyDescent="0.25">
      <c r="A7221" s="431">
        <v>40781</v>
      </c>
      <c r="B7221" s="432">
        <v>1791.05</v>
      </c>
      <c r="C7221" s="427">
        <f t="shared" si="224"/>
        <v>2011</v>
      </c>
      <c r="D7221" s="433">
        <f t="shared" si="225"/>
        <v>1791.05</v>
      </c>
    </row>
    <row r="7222" spans="1:4" ht="16.149999999999999" customHeight="1" x14ac:dyDescent="0.25">
      <c r="A7222" s="431">
        <v>40782</v>
      </c>
      <c r="B7222" s="434">
        <v>1794.02</v>
      </c>
      <c r="C7222" s="427">
        <f t="shared" si="224"/>
        <v>2011</v>
      </c>
      <c r="D7222" s="433">
        <f t="shared" si="225"/>
        <v>1794.02</v>
      </c>
    </row>
    <row r="7223" spans="1:4" ht="16.149999999999999" customHeight="1" x14ac:dyDescent="0.25">
      <c r="A7223" s="431">
        <v>40783</v>
      </c>
      <c r="B7223" s="432">
        <v>1794.02</v>
      </c>
      <c r="C7223" s="427">
        <f t="shared" si="224"/>
        <v>2011</v>
      </c>
      <c r="D7223" s="433">
        <f t="shared" si="225"/>
        <v>1794.02</v>
      </c>
    </row>
    <row r="7224" spans="1:4" ht="16.149999999999999" customHeight="1" x14ac:dyDescent="0.25">
      <c r="A7224" s="431">
        <v>40784</v>
      </c>
      <c r="B7224" s="434">
        <v>1794.02</v>
      </c>
      <c r="C7224" s="427">
        <f t="shared" si="224"/>
        <v>2011</v>
      </c>
      <c r="D7224" s="433">
        <f t="shared" si="225"/>
        <v>1794.02</v>
      </c>
    </row>
    <row r="7225" spans="1:4" ht="16.149999999999999" customHeight="1" x14ac:dyDescent="0.25">
      <c r="A7225" s="431">
        <v>40785</v>
      </c>
      <c r="B7225" s="432">
        <v>1787.52</v>
      </c>
      <c r="C7225" s="427">
        <f t="shared" si="224"/>
        <v>2011</v>
      </c>
      <c r="D7225" s="433">
        <f t="shared" si="225"/>
        <v>1787.52</v>
      </c>
    </row>
    <row r="7226" spans="1:4" ht="16.149999999999999" customHeight="1" x14ac:dyDescent="0.25">
      <c r="A7226" s="431">
        <v>40786</v>
      </c>
      <c r="B7226" s="434">
        <v>1783.66</v>
      </c>
      <c r="C7226" s="427">
        <f t="shared" si="224"/>
        <v>2011</v>
      </c>
      <c r="D7226" s="433">
        <f t="shared" si="225"/>
        <v>1783.66</v>
      </c>
    </row>
    <row r="7227" spans="1:4" ht="16.149999999999999" customHeight="1" x14ac:dyDescent="0.25">
      <c r="A7227" s="431">
        <v>40787</v>
      </c>
      <c r="B7227" s="432">
        <v>1780.26</v>
      </c>
      <c r="C7227" s="427">
        <f t="shared" si="224"/>
        <v>2011</v>
      </c>
      <c r="D7227" s="433">
        <f t="shared" si="225"/>
        <v>1780.26</v>
      </c>
    </row>
    <row r="7228" spans="1:4" ht="16.149999999999999" customHeight="1" x14ac:dyDescent="0.25">
      <c r="A7228" s="431">
        <v>40788</v>
      </c>
      <c r="B7228" s="434">
        <v>1778.51</v>
      </c>
      <c r="C7228" s="427">
        <f t="shared" si="224"/>
        <v>2011</v>
      </c>
      <c r="D7228" s="433">
        <f t="shared" si="225"/>
        <v>1778.51</v>
      </c>
    </row>
    <row r="7229" spans="1:4" ht="16.149999999999999" customHeight="1" x14ac:dyDescent="0.25">
      <c r="A7229" s="431">
        <v>40789</v>
      </c>
      <c r="B7229" s="432">
        <v>1782.8</v>
      </c>
      <c r="C7229" s="427">
        <f t="shared" si="224"/>
        <v>2011</v>
      </c>
      <c r="D7229" s="433">
        <f t="shared" si="225"/>
        <v>1782.8</v>
      </c>
    </row>
    <row r="7230" spans="1:4" ht="16.149999999999999" customHeight="1" x14ac:dyDescent="0.25">
      <c r="A7230" s="431">
        <v>40790</v>
      </c>
      <c r="B7230" s="434">
        <v>1782.8</v>
      </c>
      <c r="C7230" s="427">
        <f t="shared" si="224"/>
        <v>2011</v>
      </c>
      <c r="D7230" s="433">
        <f t="shared" si="225"/>
        <v>1782.8</v>
      </c>
    </row>
    <row r="7231" spans="1:4" ht="16.149999999999999" customHeight="1" x14ac:dyDescent="0.25">
      <c r="A7231" s="431">
        <v>40791</v>
      </c>
      <c r="B7231" s="432">
        <v>1782.8</v>
      </c>
      <c r="C7231" s="427">
        <f t="shared" si="224"/>
        <v>2011</v>
      </c>
      <c r="D7231" s="433">
        <f t="shared" si="225"/>
        <v>1782.8</v>
      </c>
    </row>
    <row r="7232" spans="1:4" ht="16.149999999999999" customHeight="1" x14ac:dyDescent="0.25">
      <c r="A7232" s="431">
        <v>40792</v>
      </c>
      <c r="B7232" s="434">
        <v>1782.8</v>
      </c>
      <c r="C7232" s="427">
        <f t="shared" si="224"/>
        <v>2011</v>
      </c>
      <c r="D7232" s="433">
        <f t="shared" si="225"/>
        <v>1782.8</v>
      </c>
    </row>
    <row r="7233" spans="1:4" ht="16.149999999999999" customHeight="1" x14ac:dyDescent="0.25">
      <c r="A7233" s="431">
        <v>40793</v>
      </c>
      <c r="B7233" s="432">
        <v>1791.89</v>
      </c>
      <c r="C7233" s="427">
        <f t="shared" si="224"/>
        <v>2011</v>
      </c>
      <c r="D7233" s="433">
        <f t="shared" si="225"/>
        <v>1791.89</v>
      </c>
    </row>
    <row r="7234" spans="1:4" ht="16.149999999999999" customHeight="1" x14ac:dyDescent="0.25">
      <c r="A7234" s="431">
        <v>40794</v>
      </c>
      <c r="B7234" s="434">
        <v>1789.3</v>
      </c>
      <c r="C7234" s="427">
        <f t="shared" si="224"/>
        <v>2011</v>
      </c>
      <c r="D7234" s="433">
        <f t="shared" si="225"/>
        <v>1789.3</v>
      </c>
    </row>
    <row r="7235" spans="1:4" ht="16.149999999999999" customHeight="1" x14ac:dyDescent="0.25">
      <c r="A7235" s="431">
        <v>40795</v>
      </c>
      <c r="B7235" s="432">
        <v>1789.9</v>
      </c>
      <c r="C7235" s="427">
        <f t="shared" si="224"/>
        <v>2011</v>
      </c>
      <c r="D7235" s="433">
        <f t="shared" si="225"/>
        <v>1789.9</v>
      </c>
    </row>
    <row r="7236" spans="1:4" ht="16.149999999999999" customHeight="1" x14ac:dyDescent="0.25">
      <c r="A7236" s="431">
        <v>40796</v>
      </c>
      <c r="B7236" s="434">
        <v>1796.58</v>
      </c>
      <c r="C7236" s="427">
        <f t="shared" si="224"/>
        <v>2011</v>
      </c>
      <c r="D7236" s="433">
        <f t="shared" si="225"/>
        <v>1796.58</v>
      </c>
    </row>
    <row r="7237" spans="1:4" ht="16.149999999999999" customHeight="1" x14ac:dyDescent="0.25">
      <c r="A7237" s="431">
        <v>40797</v>
      </c>
      <c r="B7237" s="432">
        <v>1796.58</v>
      </c>
      <c r="C7237" s="427">
        <f t="shared" si="224"/>
        <v>2011</v>
      </c>
      <c r="D7237" s="433">
        <f t="shared" si="225"/>
        <v>1796.58</v>
      </c>
    </row>
    <row r="7238" spans="1:4" ht="16.149999999999999" customHeight="1" x14ac:dyDescent="0.25">
      <c r="A7238" s="431">
        <v>40798</v>
      </c>
      <c r="B7238" s="434">
        <v>1796.58</v>
      </c>
      <c r="C7238" s="427">
        <f t="shared" si="224"/>
        <v>2011</v>
      </c>
      <c r="D7238" s="433">
        <f t="shared" si="225"/>
        <v>1796.58</v>
      </c>
    </row>
    <row r="7239" spans="1:4" ht="16.149999999999999" customHeight="1" x14ac:dyDescent="0.25">
      <c r="A7239" s="431">
        <v>40799</v>
      </c>
      <c r="B7239" s="432">
        <v>1811.34</v>
      </c>
      <c r="C7239" s="427">
        <f t="shared" si="224"/>
        <v>2011</v>
      </c>
      <c r="D7239" s="433">
        <f t="shared" si="225"/>
        <v>1811.34</v>
      </c>
    </row>
    <row r="7240" spans="1:4" ht="16.149999999999999" customHeight="1" x14ac:dyDescent="0.25">
      <c r="A7240" s="431">
        <v>40800</v>
      </c>
      <c r="B7240" s="434">
        <v>1813.42</v>
      </c>
      <c r="C7240" s="427">
        <f t="shared" si="224"/>
        <v>2011</v>
      </c>
      <c r="D7240" s="433">
        <f t="shared" si="225"/>
        <v>1813.42</v>
      </c>
    </row>
    <row r="7241" spans="1:4" ht="16.149999999999999" customHeight="1" x14ac:dyDescent="0.25">
      <c r="A7241" s="431">
        <v>40801</v>
      </c>
      <c r="B7241" s="432">
        <v>1824.15</v>
      </c>
      <c r="C7241" s="427">
        <f t="shared" si="224"/>
        <v>2011</v>
      </c>
      <c r="D7241" s="433">
        <f t="shared" si="225"/>
        <v>1824.15</v>
      </c>
    </row>
    <row r="7242" spans="1:4" ht="16.149999999999999" customHeight="1" x14ac:dyDescent="0.25">
      <c r="A7242" s="431">
        <v>40802</v>
      </c>
      <c r="B7242" s="434">
        <v>1822.04</v>
      </c>
      <c r="C7242" s="427">
        <f t="shared" ref="C7242:C7305" si="226">YEAR(A7242)</f>
        <v>2011</v>
      </c>
      <c r="D7242" s="433">
        <f t="shared" ref="D7242:D7305" si="227">B7242</f>
        <v>1822.04</v>
      </c>
    </row>
    <row r="7243" spans="1:4" ht="16.149999999999999" customHeight="1" x14ac:dyDescent="0.25">
      <c r="A7243" s="431">
        <v>40803</v>
      </c>
      <c r="B7243" s="432">
        <v>1820.29</v>
      </c>
      <c r="C7243" s="427">
        <f t="shared" si="226"/>
        <v>2011</v>
      </c>
      <c r="D7243" s="433">
        <f t="shared" si="227"/>
        <v>1820.29</v>
      </c>
    </row>
    <row r="7244" spans="1:4" ht="16.149999999999999" customHeight="1" x14ac:dyDescent="0.25">
      <c r="A7244" s="431">
        <v>40804</v>
      </c>
      <c r="B7244" s="434">
        <v>1820.29</v>
      </c>
      <c r="C7244" s="427">
        <f t="shared" si="226"/>
        <v>2011</v>
      </c>
      <c r="D7244" s="433">
        <f t="shared" si="227"/>
        <v>1820.29</v>
      </c>
    </row>
    <row r="7245" spans="1:4" ht="16.149999999999999" customHeight="1" x14ac:dyDescent="0.25">
      <c r="A7245" s="431">
        <v>40805</v>
      </c>
      <c r="B7245" s="432">
        <v>1820.29</v>
      </c>
      <c r="C7245" s="427">
        <f t="shared" si="226"/>
        <v>2011</v>
      </c>
      <c r="D7245" s="433">
        <f t="shared" si="227"/>
        <v>1820.29</v>
      </c>
    </row>
    <row r="7246" spans="1:4" ht="16.149999999999999" customHeight="1" x14ac:dyDescent="0.25">
      <c r="A7246" s="431">
        <v>40806</v>
      </c>
      <c r="B7246" s="434">
        <v>1843.26</v>
      </c>
      <c r="C7246" s="427">
        <f t="shared" si="226"/>
        <v>2011</v>
      </c>
      <c r="D7246" s="433">
        <f t="shared" si="227"/>
        <v>1843.26</v>
      </c>
    </row>
    <row r="7247" spans="1:4" ht="16.149999999999999" customHeight="1" x14ac:dyDescent="0.25">
      <c r="A7247" s="431">
        <v>40807</v>
      </c>
      <c r="B7247" s="432">
        <v>1854.96</v>
      </c>
      <c r="C7247" s="427">
        <f t="shared" si="226"/>
        <v>2011</v>
      </c>
      <c r="D7247" s="433">
        <f t="shared" si="227"/>
        <v>1854.96</v>
      </c>
    </row>
    <row r="7248" spans="1:4" ht="16.149999999999999" customHeight="1" x14ac:dyDescent="0.25">
      <c r="A7248" s="431">
        <v>40808</v>
      </c>
      <c r="B7248" s="434">
        <v>1882.23</v>
      </c>
      <c r="C7248" s="427">
        <f t="shared" si="226"/>
        <v>2011</v>
      </c>
      <c r="D7248" s="433">
        <f t="shared" si="227"/>
        <v>1882.23</v>
      </c>
    </row>
    <row r="7249" spans="1:4" ht="16.149999999999999" customHeight="1" x14ac:dyDescent="0.25">
      <c r="A7249" s="431">
        <v>40809</v>
      </c>
      <c r="B7249" s="432">
        <v>1915.63</v>
      </c>
      <c r="C7249" s="427">
        <f t="shared" si="226"/>
        <v>2011</v>
      </c>
      <c r="D7249" s="433">
        <f t="shared" si="227"/>
        <v>1915.63</v>
      </c>
    </row>
    <row r="7250" spans="1:4" ht="16.149999999999999" customHeight="1" x14ac:dyDescent="0.25">
      <c r="A7250" s="431">
        <v>40810</v>
      </c>
      <c r="B7250" s="434">
        <v>1902.45</v>
      </c>
      <c r="C7250" s="427">
        <f t="shared" si="226"/>
        <v>2011</v>
      </c>
      <c r="D7250" s="433">
        <f t="shared" si="227"/>
        <v>1902.45</v>
      </c>
    </row>
    <row r="7251" spans="1:4" ht="16.149999999999999" customHeight="1" x14ac:dyDescent="0.25">
      <c r="A7251" s="431">
        <v>40811</v>
      </c>
      <c r="B7251" s="432">
        <v>1902.45</v>
      </c>
      <c r="C7251" s="427">
        <f t="shared" si="226"/>
        <v>2011</v>
      </c>
      <c r="D7251" s="433">
        <f t="shared" si="227"/>
        <v>1902.45</v>
      </c>
    </row>
    <row r="7252" spans="1:4" ht="16.149999999999999" customHeight="1" x14ac:dyDescent="0.25">
      <c r="A7252" s="431">
        <v>40812</v>
      </c>
      <c r="B7252" s="434">
        <v>1902.45</v>
      </c>
      <c r="C7252" s="427">
        <f t="shared" si="226"/>
        <v>2011</v>
      </c>
      <c r="D7252" s="433">
        <f t="shared" si="227"/>
        <v>1902.45</v>
      </c>
    </row>
    <row r="7253" spans="1:4" ht="16.149999999999999" customHeight="1" x14ac:dyDescent="0.25">
      <c r="A7253" s="431">
        <v>40813</v>
      </c>
      <c r="B7253" s="432">
        <v>1903.31</v>
      </c>
      <c r="C7253" s="427">
        <f t="shared" si="226"/>
        <v>2011</v>
      </c>
      <c r="D7253" s="433">
        <f t="shared" si="227"/>
        <v>1903.31</v>
      </c>
    </row>
    <row r="7254" spans="1:4" ht="16.149999999999999" customHeight="1" x14ac:dyDescent="0.25">
      <c r="A7254" s="431">
        <v>40814</v>
      </c>
      <c r="B7254" s="434">
        <v>1887.38</v>
      </c>
      <c r="C7254" s="427">
        <f t="shared" si="226"/>
        <v>2011</v>
      </c>
      <c r="D7254" s="433">
        <f t="shared" si="227"/>
        <v>1887.38</v>
      </c>
    </row>
    <row r="7255" spans="1:4" ht="16.149999999999999" customHeight="1" x14ac:dyDescent="0.25">
      <c r="A7255" s="431">
        <v>40815</v>
      </c>
      <c r="B7255" s="432">
        <v>1907.75</v>
      </c>
      <c r="C7255" s="427">
        <f t="shared" si="226"/>
        <v>2011</v>
      </c>
      <c r="D7255" s="433">
        <f t="shared" si="227"/>
        <v>1907.75</v>
      </c>
    </row>
    <row r="7256" spans="1:4" ht="16.149999999999999" customHeight="1" x14ac:dyDescent="0.25">
      <c r="A7256" s="431">
        <v>40816</v>
      </c>
      <c r="B7256" s="434">
        <v>1915.1</v>
      </c>
      <c r="C7256" s="427">
        <f t="shared" si="226"/>
        <v>2011</v>
      </c>
      <c r="D7256" s="433">
        <f t="shared" si="227"/>
        <v>1915.1</v>
      </c>
    </row>
    <row r="7257" spans="1:4" ht="16.149999999999999" customHeight="1" x14ac:dyDescent="0.25">
      <c r="A7257" s="431">
        <v>40817</v>
      </c>
      <c r="B7257" s="432">
        <v>1929.01</v>
      </c>
      <c r="C7257" s="427">
        <f t="shared" si="226"/>
        <v>2011</v>
      </c>
      <c r="D7257" s="433">
        <f t="shared" si="227"/>
        <v>1929.01</v>
      </c>
    </row>
    <row r="7258" spans="1:4" ht="16.149999999999999" customHeight="1" x14ac:dyDescent="0.25">
      <c r="A7258" s="431">
        <v>40818</v>
      </c>
      <c r="B7258" s="434">
        <v>1929.01</v>
      </c>
      <c r="C7258" s="427">
        <f t="shared" si="226"/>
        <v>2011</v>
      </c>
      <c r="D7258" s="433">
        <f t="shared" si="227"/>
        <v>1929.01</v>
      </c>
    </row>
    <row r="7259" spans="1:4" ht="16.149999999999999" customHeight="1" x14ac:dyDescent="0.25">
      <c r="A7259" s="431">
        <v>40819</v>
      </c>
      <c r="B7259" s="432">
        <v>1929.01</v>
      </c>
      <c r="C7259" s="427">
        <f t="shared" si="226"/>
        <v>2011</v>
      </c>
      <c r="D7259" s="433">
        <f t="shared" si="227"/>
        <v>1929.01</v>
      </c>
    </row>
    <row r="7260" spans="1:4" ht="16.149999999999999" customHeight="1" x14ac:dyDescent="0.25">
      <c r="A7260" s="431">
        <v>40820</v>
      </c>
      <c r="B7260" s="434">
        <v>1943.8</v>
      </c>
      <c r="C7260" s="427">
        <f t="shared" si="226"/>
        <v>2011</v>
      </c>
      <c r="D7260" s="433">
        <f t="shared" si="227"/>
        <v>1943.8</v>
      </c>
    </row>
    <row r="7261" spans="1:4" ht="16.149999999999999" customHeight="1" x14ac:dyDescent="0.25">
      <c r="A7261" s="431">
        <v>40821</v>
      </c>
      <c r="B7261" s="432">
        <v>1972.76</v>
      </c>
      <c r="C7261" s="427">
        <f t="shared" si="226"/>
        <v>2011</v>
      </c>
      <c r="D7261" s="433">
        <f t="shared" si="227"/>
        <v>1972.76</v>
      </c>
    </row>
    <row r="7262" spans="1:4" ht="16.149999999999999" customHeight="1" x14ac:dyDescent="0.25">
      <c r="A7262" s="431">
        <v>40822</v>
      </c>
      <c r="B7262" s="434">
        <v>1967.56</v>
      </c>
      <c r="C7262" s="427">
        <f t="shared" si="226"/>
        <v>2011</v>
      </c>
      <c r="D7262" s="433">
        <f t="shared" si="227"/>
        <v>1967.56</v>
      </c>
    </row>
    <row r="7263" spans="1:4" ht="16.149999999999999" customHeight="1" x14ac:dyDescent="0.25">
      <c r="A7263" s="431">
        <v>40823</v>
      </c>
      <c r="B7263" s="432">
        <v>1952.09</v>
      </c>
      <c r="C7263" s="427">
        <f t="shared" si="226"/>
        <v>2011</v>
      </c>
      <c r="D7263" s="433">
        <f t="shared" si="227"/>
        <v>1952.09</v>
      </c>
    </row>
    <row r="7264" spans="1:4" ht="16.149999999999999" customHeight="1" x14ac:dyDescent="0.25">
      <c r="A7264" s="431">
        <v>40824</v>
      </c>
      <c r="B7264" s="434">
        <v>1931.64</v>
      </c>
      <c r="C7264" s="427">
        <f t="shared" si="226"/>
        <v>2011</v>
      </c>
      <c r="D7264" s="433">
        <f t="shared" si="227"/>
        <v>1931.64</v>
      </c>
    </row>
    <row r="7265" spans="1:4" ht="16.149999999999999" customHeight="1" x14ac:dyDescent="0.25">
      <c r="A7265" s="431">
        <v>40825</v>
      </c>
      <c r="B7265" s="432">
        <v>1931.64</v>
      </c>
      <c r="C7265" s="427">
        <f t="shared" si="226"/>
        <v>2011</v>
      </c>
      <c r="D7265" s="433">
        <f t="shared" si="227"/>
        <v>1931.64</v>
      </c>
    </row>
    <row r="7266" spans="1:4" ht="16.149999999999999" customHeight="1" x14ac:dyDescent="0.25">
      <c r="A7266" s="431">
        <v>40826</v>
      </c>
      <c r="B7266" s="434">
        <v>1931.64</v>
      </c>
      <c r="C7266" s="427">
        <f t="shared" si="226"/>
        <v>2011</v>
      </c>
      <c r="D7266" s="433">
        <f t="shared" si="227"/>
        <v>1931.64</v>
      </c>
    </row>
    <row r="7267" spans="1:4" ht="16.149999999999999" customHeight="1" x14ac:dyDescent="0.25">
      <c r="A7267" s="431">
        <v>40827</v>
      </c>
      <c r="B7267" s="432">
        <v>1931.64</v>
      </c>
      <c r="C7267" s="427">
        <f t="shared" si="226"/>
        <v>2011</v>
      </c>
      <c r="D7267" s="433">
        <f t="shared" si="227"/>
        <v>1931.64</v>
      </c>
    </row>
    <row r="7268" spans="1:4" ht="16.149999999999999" customHeight="1" x14ac:dyDescent="0.25">
      <c r="A7268" s="431">
        <v>40828</v>
      </c>
      <c r="B7268" s="434">
        <v>1913.6</v>
      </c>
      <c r="C7268" s="427">
        <f t="shared" si="226"/>
        <v>2011</v>
      </c>
      <c r="D7268" s="433">
        <f t="shared" si="227"/>
        <v>1913.6</v>
      </c>
    </row>
    <row r="7269" spans="1:4" ht="16.149999999999999" customHeight="1" x14ac:dyDescent="0.25">
      <c r="A7269" s="431">
        <v>40829</v>
      </c>
      <c r="B7269" s="432">
        <v>1896.72</v>
      </c>
      <c r="C7269" s="427">
        <f t="shared" si="226"/>
        <v>2011</v>
      </c>
      <c r="D7269" s="433">
        <f t="shared" si="227"/>
        <v>1896.72</v>
      </c>
    </row>
    <row r="7270" spans="1:4" ht="16.149999999999999" customHeight="1" x14ac:dyDescent="0.25">
      <c r="A7270" s="431">
        <v>40830</v>
      </c>
      <c r="B7270" s="434">
        <v>1909.12</v>
      </c>
      <c r="C7270" s="427">
        <f t="shared" si="226"/>
        <v>2011</v>
      </c>
      <c r="D7270" s="433">
        <f t="shared" si="227"/>
        <v>1909.12</v>
      </c>
    </row>
    <row r="7271" spans="1:4" ht="16.149999999999999" customHeight="1" x14ac:dyDescent="0.25">
      <c r="A7271" s="431">
        <v>40831</v>
      </c>
      <c r="B7271" s="432">
        <v>1895.33</v>
      </c>
      <c r="C7271" s="427">
        <f t="shared" si="226"/>
        <v>2011</v>
      </c>
      <c r="D7271" s="433">
        <f t="shared" si="227"/>
        <v>1895.33</v>
      </c>
    </row>
    <row r="7272" spans="1:4" ht="16.149999999999999" customHeight="1" x14ac:dyDescent="0.25">
      <c r="A7272" s="431">
        <v>40832</v>
      </c>
      <c r="B7272" s="434">
        <v>1895.33</v>
      </c>
      <c r="C7272" s="427">
        <f t="shared" si="226"/>
        <v>2011</v>
      </c>
      <c r="D7272" s="433">
        <f t="shared" si="227"/>
        <v>1895.33</v>
      </c>
    </row>
    <row r="7273" spans="1:4" ht="16.149999999999999" customHeight="1" x14ac:dyDescent="0.25">
      <c r="A7273" s="431">
        <v>40833</v>
      </c>
      <c r="B7273" s="432">
        <v>1895.33</v>
      </c>
      <c r="C7273" s="427">
        <f t="shared" si="226"/>
        <v>2011</v>
      </c>
      <c r="D7273" s="433">
        <f t="shared" si="227"/>
        <v>1895.33</v>
      </c>
    </row>
    <row r="7274" spans="1:4" ht="16.149999999999999" customHeight="1" x14ac:dyDescent="0.25">
      <c r="A7274" s="431">
        <v>40834</v>
      </c>
      <c r="B7274" s="434">
        <v>1895.33</v>
      </c>
      <c r="C7274" s="427">
        <f t="shared" si="226"/>
        <v>2011</v>
      </c>
      <c r="D7274" s="433">
        <f t="shared" si="227"/>
        <v>1895.33</v>
      </c>
    </row>
    <row r="7275" spans="1:4" ht="16.149999999999999" customHeight="1" x14ac:dyDescent="0.25">
      <c r="A7275" s="431">
        <v>40835</v>
      </c>
      <c r="B7275" s="432">
        <v>1902.47</v>
      </c>
      <c r="C7275" s="427">
        <f t="shared" si="226"/>
        <v>2011</v>
      </c>
      <c r="D7275" s="433">
        <f t="shared" si="227"/>
        <v>1902.47</v>
      </c>
    </row>
    <row r="7276" spans="1:4" ht="16.149999999999999" customHeight="1" x14ac:dyDescent="0.25">
      <c r="A7276" s="431">
        <v>40836</v>
      </c>
      <c r="B7276" s="434">
        <v>1900.1</v>
      </c>
      <c r="C7276" s="427">
        <f t="shared" si="226"/>
        <v>2011</v>
      </c>
      <c r="D7276" s="433">
        <f t="shared" si="227"/>
        <v>1900.1</v>
      </c>
    </row>
    <row r="7277" spans="1:4" ht="16.149999999999999" customHeight="1" x14ac:dyDescent="0.25">
      <c r="A7277" s="431">
        <v>40837</v>
      </c>
      <c r="B7277" s="432">
        <v>1905.95</v>
      </c>
      <c r="C7277" s="427">
        <f t="shared" si="226"/>
        <v>2011</v>
      </c>
      <c r="D7277" s="433">
        <f t="shared" si="227"/>
        <v>1905.95</v>
      </c>
    </row>
    <row r="7278" spans="1:4" ht="16.149999999999999" customHeight="1" x14ac:dyDescent="0.25">
      <c r="A7278" s="431">
        <v>40838</v>
      </c>
      <c r="B7278" s="434">
        <v>1897.45</v>
      </c>
      <c r="C7278" s="427">
        <f t="shared" si="226"/>
        <v>2011</v>
      </c>
      <c r="D7278" s="433">
        <f t="shared" si="227"/>
        <v>1897.45</v>
      </c>
    </row>
    <row r="7279" spans="1:4" ht="16.149999999999999" customHeight="1" x14ac:dyDescent="0.25">
      <c r="A7279" s="431">
        <v>40839</v>
      </c>
      <c r="B7279" s="432">
        <v>1897.45</v>
      </c>
      <c r="C7279" s="427">
        <f t="shared" si="226"/>
        <v>2011</v>
      </c>
      <c r="D7279" s="433">
        <f t="shared" si="227"/>
        <v>1897.45</v>
      </c>
    </row>
    <row r="7280" spans="1:4" ht="16.149999999999999" customHeight="1" x14ac:dyDescent="0.25">
      <c r="A7280" s="431">
        <v>40840</v>
      </c>
      <c r="B7280" s="434">
        <v>1897.45</v>
      </c>
      <c r="C7280" s="427">
        <f t="shared" si="226"/>
        <v>2011</v>
      </c>
      <c r="D7280" s="433">
        <f t="shared" si="227"/>
        <v>1897.45</v>
      </c>
    </row>
    <row r="7281" spans="1:4" ht="16.149999999999999" customHeight="1" x14ac:dyDescent="0.25">
      <c r="A7281" s="431">
        <v>40841</v>
      </c>
      <c r="B7281" s="432">
        <v>1878.78</v>
      </c>
      <c r="C7281" s="427">
        <f t="shared" si="226"/>
        <v>2011</v>
      </c>
      <c r="D7281" s="433">
        <f t="shared" si="227"/>
        <v>1878.78</v>
      </c>
    </row>
    <row r="7282" spans="1:4" ht="16.149999999999999" customHeight="1" x14ac:dyDescent="0.25">
      <c r="A7282" s="431">
        <v>40842</v>
      </c>
      <c r="B7282" s="434">
        <v>1875.55</v>
      </c>
      <c r="C7282" s="427">
        <f t="shared" si="226"/>
        <v>2011</v>
      </c>
      <c r="D7282" s="433">
        <f t="shared" si="227"/>
        <v>1875.55</v>
      </c>
    </row>
    <row r="7283" spans="1:4" ht="16.149999999999999" customHeight="1" x14ac:dyDescent="0.25">
      <c r="A7283" s="431">
        <v>40843</v>
      </c>
      <c r="B7283" s="432">
        <v>1878.1</v>
      </c>
      <c r="C7283" s="427">
        <f t="shared" si="226"/>
        <v>2011</v>
      </c>
      <c r="D7283" s="433">
        <f t="shared" si="227"/>
        <v>1878.1</v>
      </c>
    </row>
    <row r="7284" spans="1:4" ht="16.149999999999999" customHeight="1" x14ac:dyDescent="0.25">
      <c r="A7284" s="431">
        <v>40844</v>
      </c>
      <c r="B7284" s="434">
        <v>1862.84</v>
      </c>
      <c r="C7284" s="427">
        <f t="shared" si="226"/>
        <v>2011</v>
      </c>
      <c r="D7284" s="433">
        <f t="shared" si="227"/>
        <v>1862.84</v>
      </c>
    </row>
    <row r="7285" spans="1:4" ht="16.149999999999999" customHeight="1" x14ac:dyDescent="0.25">
      <c r="A7285" s="431">
        <v>40845</v>
      </c>
      <c r="B7285" s="432">
        <v>1863.06</v>
      </c>
      <c r="C7285" s="427">
        <f t="shared" si="226"/>
        <v>2011</v>
      </c>
      <c r="D7285" s="433">
        <f t="shared" si="227"/>
        <v>1863.06</v>
      </c>
    </row>
    <row r="7286" spans="1:4" ht="16.149999999999999" customHeight="1" x14ac:dyDescent="0.25">
      <c r="A7286" s="431">
        <v>40846</v>
      </c>
      <c r="B7286" s="434">
        <v>1863.06</v>
      </c>
      <c r="C7286" s="427">
        <f t="shared" si="226"/>
        <v>2011</v>
      </c>
      <c r="D7286" s="433">
        <f t="shared" si="227"/>
        <v>1863.06</v>
      </c>
    </row>
    <row r="7287" spans="1:4" ht="16.149999999999999" customHeight="1" x14ac:dyDescent="0.25">
      <c r="A7287" s="431">
        <v>40847</v>
      </c>
      <c r="B7287" s="432">
        <v>1863.06</v>
      </c>
      <c r="C7287" s="427">
        <f t="shared" si="226"/>
        <v>2011</v>
      </c>
      <c r="D7287" s="433">
        <f t="shared" si="227"/>
        <v>1863.06</v>
      </c>
    </row>
    <row r="7288" spans="1:4" ht="16.149999999999999" customHeight="1" x14ac:dyDescent="0.25">
      <c r="A7288" s="431">
        <v>40848</v>
      </c>
      <c r="B7288" s="434">
        <v>1871.49</v>
      </c>
      <c r="C7288" s="427">
        <f t="shared" si="226"/>
        <v>2011</v>
      </c>
      <c r="D7288" s="433">
        <f t="shared" si="227"/>
        <v>1871.49</v>
      </c>
    </row>
    <row r="7289" spans="1:4" ht="16.149999999999999" customHeight="1" x14ac:dyDescent="0.25">
      <c r="A7289" s="431">
        <v>40849</v>
      </c>
      <c r="B7289" s="432">
        <v>1891.38</v>
      </c>
      <c r="C7289" s="427">
        <f t="shared" si="226"/>
        <v>2011</v>
      </c>
      <c r="D7289" s="433">
        <f t="shared" si="227"/>
        <v>1891.38</v>
      </c>
    </row>
    <row r="7290" spans="1:4" ht="16.149999999999999" customHeight="1" x14ac:dyDescent="0.25">
      <c r="A7290" s="431">
        <v>40850</v>
      </c>
      <c r="B7290" s="434">
        <v>1889.66</v>
      </c>
      <c r="C7290" s="427">
        <f t="shared" si="226"/>
        <v>2011</v>
      </c>
      <c r="D7290" s="433">
        <f t="shared" si="227"/>
        <v>1889.66</v>
      </c>
    </row>
    <row r="7291" spans="1:4" ht="16.149999999999999" customHeight="1" x14ac:dyDescent="0.25">
      <c r="A7291" s="431">
        <v>40851</v>
      </c>
      <c r="B7291" s="432">
        <v>1905.38</v>
      </c>
      <c r="C7291" s="427">
        <f t="shared" si="226"/>
        <v>2011</v>
      </c>
      <c r="D7291" s="433">
        <f t="shared" si="227"/>
        <v>1905.38</v>
      </c>
    </row>
    <row r="7292" spans="1:4" ht="16.149999999999999" customHeight="1" x14ac:dyDescent="0.25">
      <c r="A7292" s="431">
        <v>40852</v>
      </c>
      <c r="B7292" s="434">
        <v>1915.72</v>
      </c>
      <c r="C7292" s="427">
        <f t="shared" si="226"/>
        <v>2011</v>
      </c>
      <c r="D7292" s="433">
        <f t="shared" si="227"/>
        <v>1915.72</v>
      </c>
    </row>
    <row r="7293" spans="1:4" ht="16.149999999999999" customHeight="1" x14ac:dyDescent="0.25">
      <c r="A7293" s="431">
        <v>40853</v>
      </c>
      <c r="B7293" s="432">
        <v>1915.72</v>
      </c>
      <c r="C7293" s="427">
        <f t="shared" si="226"/>
        <v>2011</v>
      </c>
      <c r="D7293" s="433">
        <f t="shared" si="227"/>
        <v>1915.72</v>
      </c>
    </row>
    <row r="7294" spans="1:4" ht="16.149999999999999" customHeight="1" x14ac:dyDescent="0.25">
      <c r="A7294" s="431">
        <v>40854</v>
      </c>
      <c r="B7294" s="434">
        <v>1915.72</v>
      </c>
      <c r="C7294" s="427">
        <f t="shared" si="226"/>
        <v>2011</v>
      </c>
      <c r="D7294" s="433">
        <f t="shared" si="227"/>
        <v>1915.72</v>
      </c>
    </row>
    <row r="7295" spans="1:4" ht="16.149999999999999" customHeight="1" x14ac:dyDescent="0.25">
      <c r="A7295" s="431">
        <v>40855</v>
      </c>
      <c r="B7295" s="432">
        <v>1915.72</v>
      </c>
      <c r="C7295" s="427">
        <f t="shared" si="226"/>
        <v>2011</v>
      </c>
      <c r="D7295" s="433">
        <f t="shared" si="227"/>
        <v>1915.72</v>
      </c>
    </row>
    <row r="7296" spans="1:4" ht="16.149999999999999" customHeight="1" x14ac:dyDescent="0.25">
      <c r="A7296" s="431">
        <v>40856</v>
      </c>
      <c r="B7296" s="434">
        <v>1908.71</v>
      </c>
      <c r="C7296" s="427">
        <f t="shared" si="226"/>
        <v>2011</v>
      </c>
      <c r="D7296" s="433">
        <f t="shared" si="227"/>
        <v>1908.71</v>
      </c>
    </row>
    <row r="7297" spans="1:4" ht="16.149999999999999" customHeight="1" x14ac:dyDescent="0.25">
      <c r="A7297" s="431">
        <v>40857</v>
      </c>
      <c r="B7297" s="432">
        <v>1917.69</v>
      </c>
      <c r="C7297" s="427">
        <f t="shared" si="226"/>
        <v>2011</v>
      </c>
      <c r="D7297" s="433">
        <f t="shared" si="227"/>
        <v>1917.69</v>
      </c>
    </row>
    <row r="7298" spans="1:4" ht="16.149999999999999" customHeight="1" x14ac:dyDescent="0.25">
      <c r="A7298" s="431">
        <v>40858</v>
      </c>
      <c r="B7298" s="434">
        <v>1913.65</v>
      </c>
      <c r="C7298" s="427">
        <f t="shared" si="226"/>
        <v>2011</v>
      </c>
      <c r="D7298" s="433">
        <f t="shared" si="227"/>
        <v>1913.65</v>
      </c>
    </row>
    <row r="7299" spans="1:4" ht="16.149999999999999" customHeight="1" x14ac:dyDescent="0.25">
      <c r="A7299" s="431">
        <v>40859</v>
      </c>
      <c r="B7299" s="432">
        <v>1913.65</v>
      </c>
      <c r="C7299" s="427">
        <f t="shared" si="226"/>
        <v>2011</v>
      </c>
      <c r="D7299" s="433">
        <f t="shared" si="227"/>
        <v>1913.65</v>
      </c>
    </row>
    <row r="7300" spans="1:4" ht="16.149999999999999" customHeight="1" x14ac:dyDescent="0.25">
      <c r="A7300" s="431">
        <v>40860</v>
      </c>
      <c r="B7300" s="434">
        <v>1913.65</v>
      </c>
      <c r="C7300" s="427">
        <f t="shared" si="226"/>
        <v>2011</v>
      </c>
      <c r="D7300" s="433">
        <f t="shared" si="227"/>
        <v>1913.65</v>
      </c>
    </row>
    <row r="7301" spans="1:4" ht="16.149999999999999" customHeight="1" x14ac:dyDescent="0.25">
      <c r="A7301" s="431">
        <v>40861</v>
      </c>
      <c r="B7301" s="432">
        <v>1913.65</v>
      </c>
      <c r="C7301" s="427">
        <f t="shared" si="226"/>
        <v>2011</v>
      </c>
      <c r="D7301" s="433">
        <f t="shared" si="227"/>
        <v>1913.65</v>
      </c>
    </row>
    <row r="7302" spans="1:4" ht="16.149999999999999" customHeight="1" x14ac:dyDescent="0.25">
      <c r="A7302" s="431">
        <v>40862</v>
      </c>
      <c r="B7302" s="434">
        <v>1913.65</v>
      </c>
      <c r="C7302" s="427">
        <f t="shared" si="226"/>
        <v>2011</v>
      </c>
      <c r="D7302" s="433">
        <f t="shared" si="227"/>
        <v>1913.65</v>
      </c>
    </row>
    <row r="7303" spans="1:4" ht="16.149999999999999" customHeight="1" x14ac:dyDescent="0.25">
      <c r="A7303" s="431">
        <v>40863</v>
      </c>
      <c r="B7303" s="432">
        <v>1915.41</v>
      </c>
      <c r="C7303" s="427">
        <f t="shared" si="226"/>
        <v>2011</v>
      </c>
      <c r="D7303" s="433">
        <f t="shared" si="227"/>
        <v>1915.41</v>
      </c>
    </row>
    <row r="7304" spans="1:4" ht="16.149999999999999" customHeight="1" x14ac:dyDescent="0.25">
      <c r="A7304" s="431">
        <v>40864</v>
      </c>
      <c r="B7304" s="434">
        <v>1912.2</v>
      </c>
      <c r="C7304" s="427">
        <f t="shared" si="226"/>
        <v>2011</v>
      </c>
      <c r="D7304" s="433">
        <f t="shared" si="227"/>
        <v>1912.2</v>
      </c>
    </row>
    <row r="7305" spans="1:4" ht="16.149999999999999" customHeight="1" x14ac:dyDescent="0.25">
      <c r="A7305" s="431">
        <v>40865</v>
      </c>
      <c r="B7305" s="432">
        <v>1910.83</v>
      </c>
      <c r="C7305" s="427">
        <f t="shared" si="226"/>
        <v>2011</v>
      </c>
      <c r="D7305" s="433">
        <f t="shared" si="227"/>
        <v>1910.83</v>
      </c>
    </row>
    <row r="7306" spans="1:4" ht="16.149999999999999" customHeight="1" x14ac:dyDescent="0.25">
      <c r="A7306" s="431">
        <v>40866</v>
      </c>
      <c r="B7306" s="434">
        <v>1917.45</v>
      </c>
      <c r="C7306" s="427">
        <f t="shared" ref="C7306:C7369" si="228">YEAR(A7306)</f>
        <v>2011</v>
      </c>
      <c r="D7306" s="433">
        <f t="shared" ref="D7306:D7369" si="229">B7306</f>
        <v>1917.45</v>
      </c>
    </row>
    <row r="7307" spans="1:4" ht="16.149999999999999" customHeight="1" x14ac:dyDescent="0.25">
      <c r="A7307" s="431">
        <v>40867</v>
      </c>
      <c r="B7307" s="432">
        <v>1917.45</v>
      </c>
      <c r="C7307" s="427">
        <f t="shared" si="228"/>
        <v>2011</v>
      </c>
      <c r="D7307" s="433">
        <f t="shared" si="229"/>
        <v>1917.45</v>
      </c>
    </row>
    <row r="7308" spans="1:4" ht="16.149999999999999" customHeight="1" x14ac:dyDescent="0.25">
      <c r="A7308" s="431">
        <v>40868</v>
      </c>
      <c r="B7308" s="434">
        <v>1917.45</v>
      </c>
      <c r="C7308" s="427">
        <f t="shared" si="228"/>
        <v>2011</v>
      </c>
      <c r="D7308" s="433">
        <f t="shared" si="229"/>
        <v>1917.45</v>
      </c>
    </row>
    <row r="7309" spans="1:4" ht="16.149999999999999" customHeight="1" x14ac:dyDescent="0.25">
      <c r="A7309" s="431">
        <v>40869</v>
      </c>
      <c r="B7309" s="432">
        <v>1928.47</v>
      </c>
      <c r="C7309" s="427">
        <f t="shared" si="228"/>
        <v>2011</v>
      </c>
      <c r="D7309" s="433">
        <f t="shared" si="229"/>
        <v>1928.47</v>
      </c>
    </row>
    <row r="7310" spans="1:4" ht="16.149999999999999" customHeight="1" x14ac:dyDescent="0.25">
      <c r="A7310" s="431">
        <v>40870</v>
      </c>
      <c r="B7310" s="434">
        <v>1925.39</v>
      </c>
      <c r="C7310" s="427">
        <f t="shared" si="228"/>
        <v>2011</v>
      </c>
      <c r="D7310" s="433">
        <f t="shared" si="229"/>
        <v>1925.39</v>
      </c>
    </row>
    <row r="7311" spans="1:4" ht="16.149999999999999" customHeight="1" x14ac:dyDescent="0.25">
      <c r="A7311" s="431">
        <v>40871</v>
      </c>
      <c r="B7311" s="432">
        <v>1932.63</v>
      </c>
      <c r="C7311" s="427">
        <f t="shared" si="228"/>
        <v>2011</v>
      </c>
      <c r="D7311" s="433">
        <f t="shared" si="229"/>
        <v>1932.63</v>
      </c>
    </row>
    <row r="7312" spans="1:4" ht="16.149999999999999" customHeight="1" x14ac:dyDescent="0.25">
      <c r="A7312" s="431">
        <v>40872</v>
      </c>
      <c r="B7312" s="434">
        <v>1932.63</v>
      </c>
      <c r="C7312" s="427">
        <f t="shared" si="228"/>
        <v>2011</v>
      </c>
      <c r="D7312" s="433">
        <f t="shared" si="229"/>
        <v>1932.63</v>
      </c>
    </row>
    <row r="7313" spans="1:4" ht="16.149999999999999" customHeight="1" x14ac:dyDescent="0.25">
      <c r="A7313" s="431">
        <v>40873</v>
      </c>
      <c r="B7313" s="432">
        <v>1948.48</v>
      </c>
      <c r="C7313" s="427">
        <f t="shared" si="228"/>
        <v>2011</v>
      </c>
      <c r="D7313" s="433">
        <f t="shared" si="229"/>
        <v>1948.48</v>
      </c>
    </row>
    <row r="7314" spans="1:4" ht="16.149999999999999" customHeight="1" x14ac:dyDescent="0.25">
      <c r="A7314" s="431">
        <v>40874</v>
      </c>
      <c r="B7314" s="434">
        <v>1948.48</v>
      </c>
      <c r="C7314" s="427">
        <f t="shared" si="228"/>
        <v>2011</v>
      </c>
      <c r="D7314" s="433">
        <f t="shared" si="229"/>
        <v>1948.48</v>
      </c>
    </row>
    <row r="7315" spans="1:4" ht="16.149999999999999" customHeight="1" x14ac:dyDescent="0.25">
      <c r="A7315" s="431">
        <v>40875</v>
      </c>
      <c r="B7315" s="432">
        <v>1948.48</v>
      </c>
      <c r="C7315" s="427">
        <f t="shared" si="228"/>
        <v>2011</v>
      </c>
      <c r="D7315" s="433">
        <f t="shared" si="229"/>
        <v>1948.48</v>
      </c>
    </row>
    <row r="7316" spans="1:4" ht="16.149999999999999" customHeight="1" x14ac:dyDescent="0.25">
      <c r="A7316" s="431">
        <v>40876</v>
      </c>
      <c r="B7316" s="434">
        <v>1946.28</v>
      </c>
      <c r="C7316" s="427">
        <f t="shared" si="228"/>
        <v>2011</v>
      </c>
      <c r="D7316" s="433">
        <f t="shared" si="229"/>
        <v>1946.28</v>
      </c>
    </row>
    <row r="7317" spans="1:4" ht="16.149999999999999" customHeight="1" x14ac:dyDescent="0.25">
      <c r="A7317" s="431">
        <v>40877</v>
      </c>
      <c r="B7317" s="432">
        <v>1967.18</v>
      </c>
      <c r="C7317" s="427">
        <f t="shared" si="228"/>
        <v>2011</v>
      </c>
      <c r="D7317" s="433">
        <f t="shared" si="229"/>
        <v>1967.18</v>
      </c>
    </row>
    <row r="7318" spans="1:4" ht="16.149999999999999" customHeight="1" x14ac:dyDescent="0.25">
      <c r="A7318" s="431">
        <v>40878</v>
      </c>
      <c r="B7318" s="434">
        <v>1948.51</v>
      </c>
      <c r="C7318" s="427">
        <f t="shared" si="228"/>
        <v>2011</v>
      </c>
      <c r="D7318" s="433">
        <f t="shared" si="229"/>
        <v>1948.51</v>
      </c>
    </row>
    <row r="7319" spans="1:4" ht="16.149999999999999" customHeight="1" x14ac:dyDescent="0.25">
      <c r="A7319" s="431">
        <v>40879</v>
      </c>
      <c r="B7319" s="432">
        <v>1949.56</v>
      </c>
      <c r="C7319" s="427">
        <f t="shared" si="228"/>
        <v>2011</v>
      </c>
      <c r="D7319" s="433">
        <f t="shared" si="229"/>
        <v>1949.56</v>
      </c>
    </row>
    <row r="7320" spans="1:4" ht="16.149999999999999" customHeight="1" x14ac:dyDescent="0.25">
      <c r="A7320" s="431">
        <v>40880</v>
      </c>
      <c r="B7320" s="434">
        <v>1938.83</v>
      </c>
      <c r="C7320" s="427">
        <f t="shared" si="228"/>
        <v>2011</v>
      </c>
      <c r="D7320" s="433">
        <f t="shared" si="229"/>
        <v>1938.83</v>
      </c>
    </row>
    <row r="7321" spans="1:4" ht="16.149999999999999" customHeight="1" x14ac:dyDescent="0.25">
      <c r="A7321" s="431">
        <v>40881</v>
      </c>
      <c r="B7321" s="432">
        <v>1938.83</v>
      </c>
      <c r="C7321" s="427">
        <f t="shared" si="228"/>
        <v>2011</v>
      </c>
      <c r="D7321" s="433">
        <f t="shared" si="229"/>
        <v>1938.83</v>
      </c>
    </row>
    <row r="7322" spans="1:4" ht="16.149999999999999" customHeight="1" x14ac:dyDescent="0.25">
      <c r="A7322" s="431">
        <v>40882</v>
      </c>
      <c r="B7322" s="434">
        <v>1938.83</v>
      </c>
      <c r="C7322" s="427">
        <f t="shared" si="228"/>
        <v>2011</v>
      </c>
      <c r="D7322" s="433">
        <f t="shared" si="229"/>
        <v>1938.83</v>
      </c>
    </row>
    <row r="7323" spans="1:4" ht="16.149999999999999" customHeight="1" x14ac:dyDescent="0.25">
      <c r="A7323" s="431">
        <v>40883</v>
      </c>
      <c r="B7323" s="432">
        <v>1936.29</v>
      </c>
      <c r="C7323" s="427">
        <f t="shared" si="228"/>
        <v>2011</v>
      </c>
      <c r="D7323" s="433">
        <f t="shared" si="229"/>
        <v>1936.29</v>
      </c>
    </row>
    <row r="7324" spans="1:4" ht="16.149999999999999" customHeight="1" x14ac:dyDescent="0.25">
      <c r="A7324" s="431">
        <v>40884</v>
      </c>
      <c r="B7324" s="434">
        <v>1936.11</v>
      </c>
      <c r="C7324" s="427">
        <f t="shared" si="228"/>
        <v>2011</v>
      </c>
      <c r="D7324" s="433">
        <f t="shared" si="229"/>
        <v>1936.11</v>
      </c>
    </row>
    <row r="7325" spans="1:4" ht="16.149999999999999" customHeight="1" x14ac:dyDescent="0.25">
      <c r="A7325" s="431">
        <v>40885</v>
      </c>
      <c r="B7325" s="432">
        <v>1930.57</v>
      </c>
      <c r="C7325" s="427">
        <f t="shared" si="228"/>
        <v>2011</v>
      </c>
      <c r="D7325" s="433">
        <f t="shared" si="229"/>
        <v>1930.57</v>
      </c>
    </row>
    <row r="7326" spans="1:4" ht="16.149999999999999" customHeight="1" x14ac:dyDescent="0.25">
      <c r="A7326" s="431">
        <v>40886</v>
      </c>
      <c r="B7326" s="434">
        <v>1930.57</v>
      </c>
      <c r="C7326" s="427">
        <f t="shared" si="228"/>
        <v>2011</v>
      </c>
      <c r="D7326" s="433">
        <f t="shared" si="229"/>
        <v>1930.57</v>
      </c>
    </row>
    <row r="7327" spans="1:4" ht="16.149999999999999" customHeight="1" x14ac:dyDescent="0.25">
      <c r="A7327" s="431">
        <v>40887</v>
      </c>
      <c r="B7327" s="432">
        <v>1927.1</v>
      </c>
      <c r="C7327" s="427">
        <f t="shared" si="228"/>
        <v>2011</v>
      </c>
      <c r="D7327" s="433">
        <f t="shared" si="229"/>
        <v>1927.1</v>
      </c>
    </row>
    <row r="7328" spans="1:4" ht="16.149999999999999" customHeight="1" x14ac:dyDescent="0.25">
      <c r="A7328" s="431">
        <v>40888</v>
      </c>
      <c r="B7328" s="434">
        <v>1927.1</v>
      </c>
      <c r="C7328" s="427">
        <f t="shared" si="228"/>
        <v>2011</v>
      </c>
      <c r="D7328" s="433">
        <f t="shared" si="229"/>
        <v>1927.1</v>
      </c>
    </row>
    <row r="7329" spans="1:4" ht="16.149999999999999" customHeight="1" x14ac:dyDescent="0.25">
      <c r="A7329" s="431">
        <v>40889</v>
      </c>
      <c r="B7329" s="432">
        <v>1927.1</v>
      </c>
      <c r="C7329" s="427">
        <f t="shared" si="228"/>
        <v>2011</v>
      </c>
      <c r="D7329" s="433">
        <f t="shared" si="229"/>
        <v>1927.1</v>
      </c>
    </row>
    <row r="7330" spans="1:4" ht="16.149999999999999" customHeight="1" x14ac:dyDescent="0.25">
      <c r="A7330" s="431">
        <v>40890</v>
      </c>
      <c r="B7330" s="434">
        <v>1932.3</v>
      </c>
      <c r="C7330" s="427">
        <f t="shared" si="228"/>
        <v>2011</v>
      </c>
      <c r="D7330" s="433">
        <f t="shared" si="229"/>
        <v>1932.3</v>
      </c>
    </row>
    <row r="7331" spans="1:4" ht="16.149999999999999" customHeight="1" x14ac:dyDescent="0.25">
      <c r="A7331" s="431">
        <v>40891</v>
      </c>
      <c r="B7331" s="432">
        <v>1929.01</v>
      </c>
      <c r="C7331" s="427">
        <f t="shared" si="228"/>
        <v>2011</v>
      </c>
      <c r="D7331" s="433">
        <f t="shared" si="229"/>
        <v>1929.01</v>
      </c>
    </row>
    <row r="7332" spans="1:4" ht="16.149999999999999" customHeight="1" x14ac:dyDescent="0.25">
      <c r="A7332" s="431">
        <v>40892</v>
      </c>
      <c r="B7332" s="434">
        <v>1937.6</v>
      </c>
      <c r="C7332" s="427">
        <f t="shared" si="228"/>
        <v>2011</v>
      </c>
      <c r="D7332" s="433">
        <f t="shared" si="229"/>
        <v>1937.6</v>
      </c>
    </row>
    <row r="7333" spans="1:4" ht="16.149999999999999" customHeight="1" x14ac:dyDescent="0.25">
      <c r="A7333" s="431">
        <v>40893</v>
      </c>
      <c r="B7333" s="432">
        <v>1935.96</v>
      </c>
      <c r="C7333" s="427">
        <f t="shared" si="228"/>
        <v>2011</v>
      </c>
      <c r="D7333" s="433">
        <f t="shared" si="229"/>
        <v>1935.96</v>
      </c>
    </row>
    <row r="7334" spans="1:4" ht="16.149999999999999" customHeight="1" x14ac:dyDescent="0.25">
      <c r="A7334" s="431">
        <v>40894</v>
      </c>
      <c r="B7334" s="434">
        <v>1935.64</v>
      </c>
      <c r="C7334" s="427">
        <f t="shared" si="228"/>
        <v>2011</v>
      </c>
      <c r="D7334" s="433">
        <f t="shared" si="229"/>
        <v>1935.64</v>
      </c>
    </row>
    <row r="7335" spans="1:4" ht="16.149999999999999" customHeight="1" x14ac:dyDescent="0.25">
      <c r="A7335" s="431">
        <v>40895</v>
      </c>
      <c r="B7335" s="432">
        <v>1935.64</v>
      </c>
      <c r="C7335" s="427">
        <f t="shared" si="228"/>
        <v>2011</v>
      </c>
      <c r="D7335" s="433">
        <f t="shared" si="229"/>
        <v>1935.64</v>
      </c>
    </row>
    <row r="7336" spans="1:4" ht="16.149999999999999" customHeight="1" x14ac:dyDescent="0.25">
      <c r="A7336" s="431">
        <v>40896</v>
      </c>
      <c r="B7336" s="434">
        <v>1935.64</v>
      </c>
      <c r="C7336" s="427">
        <f t="shared" si="228"/>
        <v>2011</v>
      </c>
      <c r="D7336" s="433">
        <f t="shared" si="229"/>
        <v>1935.64</v>
      </c>
    </row>
    <row r="7337" spans="1:4" ht="16.149999999999999" customHeight="1" x14ac:dyDescent="0.25">
      <c r="A7337" s="431">
        <v>40897</v>
      </c>
      <c r="B7337" s="432">
        <v>1939.39</v>
      </c>
      <c r="C7337" s="427">
        <f t="shared" si="228"/>
        <v>2011</v>
      </c>
      <c r="D7337" s="433">
        <f t="shared" si="229"/>
        <v>1939.39</v>
      </c>
    </row>
    <row r="7338" spans="1:4" ht="16.149999999999999" customHeight="1" x14ac:dyDescent="0.25">
      <c r="A7338" s="431">
        <v>40898</v>
      </c>
      <c r="B7338" s="434">
        <v>1932.08</v>
      </c>
      <c r="C7338" s="427">
        <f t="shared" si="228"/>
        <v>2011</v>
      </c>
      <c r="D7338" s="433">
        <f t="shared" si="229"/>
        <v>1932.08</v>
      </c>
    </row>
    <row r="7339" spans="1:4" ht="16.149999999999999" customHeight="1" x14ac:dyDescent="0.25">
      <c r="A7339" s="431">
        <v>40899</v>
      </c>
      <c r="B7339" s="432">
        <v>1935.72</v>
      </c>
      <c r="C7339" s="427">
        <f t="shared" si="228"/>
        <v>2011</v>
      </c>
      <c r="D7339" s="433">
        <f t="shared" si="229"/>
        <v>1935.72</v>
      </c>
    </row>
    <row r="7340" spans="1:4" ht="16.149999999999999" customHeight="1" x14ac:dyDescent="0.25">
      <c r="A7340" s="431">
        <v>40900</v>
      </c>
      <c r="B7340" s="434">
        <v>1927.71</v>
      </c>
      <c r="C7340" s="427">
        <f t="shared" si="228"/>
        <v>2011</v>
      </c>
      <c r="D7340" s="433">
        <f t="shared" si="229"/>
        <v>1927.71</v>
      </c>
    </row>
    <row r="7341" spans="1:4" ht="16.149999999999999" customHeight="1" x14ac:dyDescent="0.25">
      <c r="A7341" s="431">
        <v>40901</v>
      </c>
      <c r="B7341" s="432">
        <v>1920.93</v>
      </c>
      <c r="C7341" s="427">
        <f t="shared" si="228"/>
        <v>2011</v>
      </c>
      <c r="D7341" s="433">
        <f t="shared" si="229"/>
        <v>1920.93</v>
      </c>
    </row>
    <row r="7342" spans="1:4" ht="16.149999999999999" customHeight="1" x14ac:dyDescent="0.25">
      <c r="A7342" s="431">
        <v>40902</v>
      </c>
      <c r="B7342" s="434">
        <v>1920.93</v>
      </c>
      <c r="C7342" s="427">
        <f t="shared" si="228"/>
        <v>2011</v>
      </c>
      <c r="D7342" s="433">
        <f t="shared" si="229"/>
        <v>1920.93</v>
      </c>
    </row>
    <row r="7343" spans="1:4" ht="16.149999999999999" customHeight="1" x14ac:dyDescent="0.25">
      <c r="A7343" s="431">
        <v>40903</v>
      </c>
      <c r="B7343" s="432">
        <v>1920.93</v>
      </c>
      <c r="C7343" s="427">
        <f t="shared" si="228"/>
        <v>2011</v>
      </c>
      <c r="D7343" s="433">
        <f t="shared" si="229"/>
        <v>1920.93</v>
      </c>
    </row>
    <row r="7344" spans="1:4" ht="16.149999999999999" customHeight="1" x14ac:dyDescent="0.25">
      <c r="A7344" s="431">
        <v>40904</v>
      </c>
      <c r="B7344" s="434">
        <v>1920.93</v>
      </c>
      <c r="C7344" s="427">
        <f t="shared" si="228"/>
        <v>2011</v>
      </c>
      <c r="D7344" s="433">
        <f t="shared" si="229"/>
        <v>1920.93</v>
      </c>
    </row>
    <row r="7345" spans="1:4" ht="16.149999999999999" customHeight="1" x14ac:dyDescent="0.25">
      <c r="A7345" s="431">
        <v>40905</v>
      </c>
      <c r="B7345" s="432">
        <v>1920.16</v>
      </c>
      <c r="C7345" s="427">
        <f t="shared" si="228"/>
        <v>2011</v>
      </c>
      <c r="D7345" s="433">
        <f t="shared" si="229"/>
        <v>1920.16</v>
      </c>
    </row>
    <row r="7346" spans="1:4" ht="16.149999999999999" customHeight="1" x14ac:dyDescent="0.25">
      <c r="A7346" s="431">
        <v>40906</v>
      </c>
      <c r="B7346" s="434">
        <v>1938.52</v>
      </c>
      <c r="C7346" s="427">
        <f t="shared" si="228"/>
        <v>2011</v>
      </c>
      <c r="D7346" s="433">
        <f t="shared" si="229"/>
        <v>1938.52</v>
      </c>
    </row>
    <row r="7347" spans="1:4" ht="16.149999999999999" customHeight="1" x14ac:dyDescent="0.25">
      <c r="A7347" s="431">
        <v>40907</v>
      </c>
      <c r="B7347" s="432">
        <v>1942.7</v>
      </c>
      <c r="C7347" s="427">
        <f t="shared" si="228"/>
        <v>2011</v>
      </c>
      <c r="D7347" s="433">
        <f t="shared" si="229"/>
        <v>1942.7</v>
      </c>
    </row>
    <row r="7348" spans="1:4" ht="16.149999999999999" customHeight="1" x14ac:dyDescent="0.25">
      <c r="A7348" s="431">
        <v>40908</v>
      </c>
      <c r="B7348" s="434">
        <v>1942.7</v>
      </c>
      <c r="C7348" s="427">
        <f t="shared" si="228"/>
        <v>2011</v>
      </c>
      <c r="D7348" s="433">
        <f t="shared" si="229"/>
        <v>1942.7</v>
      </c>
    </row>
    <row r="7349" spans="1:4" ht="16.149999999999999" customHeight="1" x14ac:dyDescent="0.25">
      <c r="A7349" s="431">
        <v>40909</v>
      </c>
      <c r="B7349" s="432">
        <v>1942.7</v>
      </c>
      <c r="C7349" s="427">
        <f t="shared" si="228"/>
        <v>2012</v>
      </c>
      <c r="D7349" s="433">
        <f t="shared" si="229"/>
        <v>1942.7</v>
      </c>
    </row>
    <row r="7350" spans="1:4" ht="16.149999999999999" customHeight="1" x14ac:dyDescent="0.25">
      <c r="A7350" s="431">
        <v>40910</v>
      </c>
      <c r="B7350" s="434">
        <v>1942.7</v>
      </c>
      <c r="C7350" s="427">
        <f t="shared" si="228"/>
        <v>2012</v>
      </c>
      <c r="D7350" s="433">
        <f t="shared" si="229"/>
        <v>1942.7</v>
      </c>
    </row>
    <row r="7351" spans="1:4" ht="16.149999999999999" customHeight="1" x14ac:dyDescent="0.25">
      <c r="A7351" s="431">
        <v>40911</v>
      </c>
      <c r="B7351" s="432">
        <v>1942.7</v>
      </c>
      <c r="C7351" s="427">
        <f t="shared" si="228"/>
        <v>2012</v>
      </c>
      <c r="D7351" s="433">
        <f t="shared" si="229"/>
        <v>1942.7</v>
      </c>
    </row>
    <row r="7352" spans="1:4" ht="16.149999999999999" customHeight="1" x14ac:dyDescent="0.25">
      <c r="A7352" s="431">
        <v>40912</v>
      </c>
      <c r="B7352" s="434">
        <v>1915.02</v>
      </c>
      <c r="C7352" s="427">
        <f t="shared" si="228"/>
        <v>2012</v>
      </c>
      <c r="D7352" s="433">
        <f t="shared" si="229"/>
        <v>1915.02</v>
      </c>
    </row>
    <row r="7353" spans="1:4" ht="16.149999999999999" customHeight="1" x14ac:dyDescent="0.25">
      <c r="A7353" s="431">
        <v>40913</v>
      </c>
      <c r="B7353" s="432">
        <v>1898.24</v>
      </c>
      <c r="C7353" s="427">
        <f t="shared" si="228"/>
        <v>2012</v>
      </c>
      <c r="D7353" s="433">
        <f t="shared" si="229"/>
        <v>1898.24</v>
      </c>
    </row>
    <row r="7354" spans="1:4" ht="16.149999999999999" customHeight="1" x14ac:dyDescent="0.25">
      <c r="A7354" s="431">
        <v>40914</v>
      </c>
      <c r="B7354" s="434">
        <v>1884.44</v>
      </c>
      <c r="C7354" s="427">
        <f t="shared" si="228"/>
        <v>2012</v>
      </c>
      <c r="D7354" s="433">
        <f t="shared" si="229"/>
        <v>1884.44</v>
      </c>
    </row>
    <row r="7355" spans="1:4" ht="16.149999999999999" customHeight="1" x14ac:dyDescent="0.25">
      <c r="A7355" s="431">
        <v>40915</v>
      </c>
      <c r="B7355" s="432">
        <v>1884.47</v>
      </c>
      <c r="C7355" s="427">
        <f t="shared" si="228"/>
        <v>2012</v>
      </c>
      <c r="D7355" s="433">
        <f t="shared" si="229"/>
        <v>1884.47</v>
      </c>
    </row>
    <row r="7356" spans="1:4" ht="16.149999999999999" customHeight="1" x14ac:dyDescent="0.25">
      <c r="A7356" s="431">
        <v>40916</v>
      </c>
      <c r="B7356" s="434">
        <v>1884.47</v>
      </c>
      <c r="C7356" s="427">
        <f t="shared" si="228"/>
        <v>2012</v>
      </c>
      <c r="D7356" s="433">
        <f t="shared" si="229"/>
        <v>1884.47</v>
      </c>
    </row>
    <row r="7357" spans="1:4" ht="16.149999999999999" customHeight="1" x14ac:dyDescent="0.25">
      <c r="A7357" s="431">
        <v>40917</v>
      </c>
      <c r="B7357" s="432">
        <v>1884.47</v>
      </c>
      <c r="C7357" s="427">
        <f t="shared" si="228"/>
        <v>2012</v>
      </c>
      <c r="D7357" s="433">
        <f t="shared" si="229"/>
        <v>1884.47</v>
      </c>
    </row>
    <row r="7358" spans="1:4" ht="16.149999999999999" customHeight="1" x14ac:dyDescent="0.25">
      <c r="A7358" s="431">
        <v>40918</v>
      </c>
      <c r="B7358" s="434">
        <v>1884.47</v>
      </c>
      <c r="C7358" s="427">
        <f t="shared" si="228"/>
        <v>2012</v>
      </c>
      <c r="D7358" s="433">
        <f t="shared" si="229"/>
        <v>1884.47</v>
      </c>
    </row>
    <row r="7359" spans="1:4" ht="16.149999999999999" customHeight="1" x14ac:dyDescent="0.25">
      <c r="A7359" s="431">
        <v>40919</v>
      </c>
      <c r="B7359" s="432">
        <v>1865.07</v>
      </c>
      <c r="C7359" s="427">
        <f t="shared" si="228"/>
        <v>2012</v>
      </c>
      <c r="D7359" s="433">
        <f t="shared" si="229"/>
        <v>1865.07</v>
      </c>
    </row>
    <row r="7360" spans="1:4" ht="16.149999999999999" customHeight="1" x14ac:dyDescent="0.25">
      <c r="A7360" s="431">
        <v>40920</v>
      </c>
      <c r="B7360" s="434">
        <v>1854.17</v>
      </c>
      <c r="C7360" s="427">
        <f t="shared" si="228"/>
        <v>2012</v>
      </c>
      <c r="D7360" s="433">
        <f t="shared" si="229"/>
        <v>1854.17</v>
      </c>
    </row>
    <row r="7361" spans="1:4" ht="16.149999999999999" customHeight="1" x14ac:dyDescent="0.25">
      <c r="A7361" s="431">
        <v>40921</v>
      </c>
      <c r="B7361" s="432">
        <v>1842.47</v>
      </c>
      <c r="C7361" s="427">
        <f t="shared" si="228"/>
        <v>2012</v>
      </c>
      <c r="D7361" s="433">
        <f t="shared" si="229"/>
        <v>1842.47</v>
      </c>
    </row>
    <row r="7362" spans="1:4" ht="16.149999999999999" customHeight="1" x14ac:dyDescent="0.25">
      <c r="A7362" s="431">
        <v>40922</v>
      </c>
      <c r="B7362" s="434">
        <v>1841.31</v>
      </c>
      <c r="C7362" s="427">
        <f t="shared" si="228"/>
        <v>2012</v>
      </c>
      <c r="D7362" s="433">
        <f t="shared" si="229"/>
        <v>1841.31</v>
      </c>
    </row>
    <row r="7363" spans="1:4" ht="16.149999999999999" customHeight="1" x14ac:dyDescent="0.25">
      <c r="A7363" s="431">
        <v>40923</v>
      </c>
      <c r="B7363" s="432">
        <v>1841.31</v>
      </c>
      <c r="C7363" s="427">
        <f t="shared" si="228"/>
        <v>2012</v>
      </c>
      <c r="D7363" s="433">
        <f t="shared" si="229"/>
        <v>1841.31</v>
      </c>
    </row>
    <row r="7364" spans="1:4" ht="16.149999999999999" customHeight="1" x14ac:dyDescent="0.25">
      <c r="A7364" s="431">
        <v>40924</v>
      </c>
      <c r="B7364" s="434">
        <v>1841.31</v>
      </c>
      <c r="C7364" s="427">
        <f t="shared" si="228"/>
        <v>2012</v>
      </c>
      <c r="D7364" s="433">
        <f t="shared" si="229"/>
        <v>1841.31</v>
      </c>
    </row>
    <row r="7365" spans="1:4" ht="16.149999999999999" customHeight="1" x14ac:dyDescent="0.25">
      <c r="A7365" s="431">
        <v>40925</v>
      </c>
      <c r="B7365" s="432">
        <v>1841.31</v>
      </c>
      <c r="C7365" s="427">
        <f t="shared" si="228"/>
        <v>2012</v>
      </c>
      <c r="D7365" s="433">
        <f t="shared" si="229"/>
        <v>1841.31</v>
      </c>
    </row>
    <row r="7366" spans="1:4" ht="16.149999999999999" customHeight="1" x14ac:dyDescent="0.25">
      <c r="A7366" s="431">
        <v>40926</v>
      </c>
      <c r="B7366" s="434">
        <v>1836.34</v>
      </c>
      <c r="C7366" s="427">
        <f t="shared" si="228"/>
        <v>2012</v>
      </c>
      <c r="D7366" s="433">
        <f t="shared" si="229"/>
        <v>1836.34</v>
      </c>
    </row>
    <row r="7367" spans="1:4" ht="16.149999999999999" customHeight="1" x14ac:dyDescent="0.25">
      <c r="A7367" s="431">
        <v>40927</v>
      </c>
      <c r="B7367" s="432">
        <v>1827.24</v>
      </c>
      <c r="C7367" s="427">
        <f t="shared" si="228"/>
        <v>2012</v>
      </c>
      <c r="D7367" s="433">
        <f t="shared" si="229"/>
        <v>1827.24</v>
      </c>
    </row>
    <row r="7368" spans="1:4" ht="16.149999999999999" customHeight="1" x14ac:dyDescent="0.25">
      <c r="A7368" s="431">
        <v>40928</v>
      </c>
      <c r="B7368" s="434">
        <v>1821.86</v>
      </c>
      <c r="C7368" s="427">
        <f t="shared" si="228"/>
        <v>2012</v>
      </c>
      <c r="D7368" s="433">
        <f t="shared" si="229"/>
        <v>1821.86</v>
      </c>
    </row>
    <row r="7369" spans="1:4" ht="16.149999999999999" customHeight="1" x14ac:dyDescent="0.25">
      <c r="A7369" s="431">
        <v>40929</v>
      </c>
      <c r="B7369" s="432">
        <v>1828.75</v>
      </c>
      <c r="C7369" s="427">
        <f t="shared" si="228"/>
        <v>2012</v>
      </c>
      <c r="D7369" s="433">
        <f t="shared" si="229"/>
        <v>1828.75</v>
      </c>
    </row>
    <row r="7370" spans="1:4" ht="16.149999999999999" customHeight="1" x14ac:dyDescent="0.25">
      <c r="A7370" s="431">
        <v>40930</v>
      </c>
      <c r="B7370" s="434">
        <v>1828.75</v>
      </c>
      <c r="C7370" s="427">
        <f t="shared" ref="C7370:C7433" si="230">YEAR(A7370)</f>
        <v>2012</v>
      </c>
      <c r="D7370" s="433">
        <f t="shared" ref="D7370:D7433" si="231">B7370</f>
        <v>1828.75</v>
      </c>
    </row>
    <row r="7371" spans="1:4" ht="16.149999999999999" customHeight="1" x14ac:dyDescent="0.25">
      <c r="A7371" s="431">
        <v>40931</v>
      </c>
      <c r="B7371" s="432">
        <v>1828.75</v>
      </c>
      <c r="C7371" s="427">
        <f t="shared" si="230"/>
        <v>2012</v>
      </c>
      <c r="D7371" s="433">
        <f t="shared" si="231"/>
        <v>1828.75</v>
      </c>
    </row>
    <row r="7372" spans="1:4" ht="16.149999999999999" customHeight="1" x14ac:dyDescent="0.25">
      <c r="A7372" s="431">
        <v>40932</v>
      </c>
      <c r="B7372" s="434">
        <v>1811.55</v>
      </c>
      <c r="C7372" s="427">
        <f t="shared" si="230"/>
        <v>2012</v>
      </c>
      <c r="D7372" s="433">
        <f t="shared" si="231"/>
        <v>1811.55</v>
      </c>
    </row>
    <row r="7373" spans="1:4" ht="16.149999999999999" customHeight="1" x14ac:dyDescent="0.25">
      <c r="A7373" s="431">
        <v>40933</v>
      </c>
      <c r="B7373" s="432">
        <v>1814.58</v>
      </c>
      <c r="C7373" s="427">
        <f t="shared" si="230"/>
        <v>2012</v>
      </c>
      <c r="D7373" s="433">
        <f t="shared" si="231"/>
        <v>1814.58</v>
      </c>
    </row>
    <row r="7374" spans="1:4" ht="16.149999999999999" customHeight="1" x14ac:dyDescent="0.25">
      <c r="A7374" s="431">
        <v>40934</v>
      </c>
      <c r="B7374" s="434">
        <v>1814.69</v>
      </c>
      <c r="C7374" s="427">
        <f t="shared" si="230"/>
        <v>2012</v>
      </c>
      <c r="D7374" s="433">
        <f t="shared" si="231"/>
        <v>1814.69</v>
      </c>
    </row>
    <row r="7375" spans="1:4" ht="16.149999999999999" customHeight="1" x14ac:dyDescent="0.25">
      <c r="A7375" s="431">
        <v>40935</v>
      </c>
      <c r="B7375" s="432">
        <v>1801.88</v>
      </c>
      <c r="C7375" s="427">
        <f t="shared" si="230"/>
        <v>2012</v>
      </c>
      <c r="D7375" s="433">
        <f t="shared" si="231"/>
        <v>1801.88</v>
      </c>
    </row>
    <row r="7376" spans="1:4" ht="16.149999999999999" customHeight="1" x14ac:dyDescent="0.25">
      <c r="A7376" s="431">
        <v>40936</v>
      </c>
      <c r="B7376" s="434">
        <v>1810.55</v>
      </c>
      <c r="C7376" s="427">
        <f t="shared" si="230"/>
        <v>2012</v>
      </c>
      <c r="D7376" s="433">
        <f t="shared" si="231"/>
        <v>1810.55</v>
      </c>
    </row>
    <row r="7377" spans="1:4" ht="16.149999999999999" customHeight="1" x14ac:dyDescent="0.25">
      <c r="A7377" s="431">
        <v>40937</v>
      </c>
      <c r="B7377" s="432">
        <v>1810.55</v>
      </c>
      <c r="C7377" s="427">
        <f t="shared" si="230"/>
        <v>2012</v>
      </c>
      <c r="D7377" s="433">
        <f t="shared" si="231"/>
        <v>1810.55</v>
      </c>
    </row>
    <row r="7378" spans="1:4" ht="16.149999999999999" customHeight="1" x14ac:dyDescent="0.25">
      <c r="A7378" s="431">
        <v>40938</v>
      </c>
      <c r="B7378" s="434">
        <v>1810.55</v>
      </c>
      <c r="C7378" s="427">
        <f t="shared" si="230"/>
        <v>2012</v>
      </c>
      <c r="D7378" s="433">
        <f t="shared" si="231"/>
        <v>1810.55</v>
      </c>
    </row>
    <row r="7379" spans="1:4" ht="16.149999999999999" customHeight="1" x14ac:dyDescent="0.25">
      <c r="A7379" s="431">
        <v>40939</v>
      </c>
      <c r="B7379" s="432">
        <v>1815.08</v>
      </c>
      <c r="C7379" s="427">
        <f t="shared" si="230"/>
        <v>2012</v>
      </c>
      <c r="D7379" s="433">
        <f t="shared" si="231"/>
        <v>1815.08</v>
      </c>
    </row>
    <row r="7380" spans="1:4" ht="16.149999999999999" customHeight="1" x14ac:dyDescent="0.25">
      <c r="A7380" s="431">
        <v>40940</v>
      </c>
      <c r="B7380" s="434">
        <v>1805.98</v>
      </c>
      <c r="C7380" s="427">
        <f t="shared" si="230"/>
        <v>2012</v>
      </c>
      <c r="D7380" s="433">
        <f t="shared" si="231"/>
        <v>1805.98</v>
      </c>
    </row>
    <row r="7381" spans="1:4" ht="16.149999999999999" customHeight="1" x14ac:dyDescent="0.25">
      <c r="A7381" s="431">
        <v>40941</v>
      </c>
      <c r="B7381" s="432">
        <v>1797.68</v>
      </c>
      <c r="C7381" s="427">
        <f t="shared" si="230"/>
        <v>2012</v>
      </c>
      <c r="D7381" s="433">
        <f t="shared" si="231"/>
        <v>1797.68</v>
      </c>
    </row>
    <row r="7382" spans="1:4" ht="16.149999999999999" customHeight="1" x14ac:dyDescent="0.25">
      <c r="A7382" s="431">
        <v>40942</v>
      </c>
      <c r="B7382" s="434">
        <v>1795.55</v>
      </c>
      <c r="C7382" s="427">
        <f t="shared" si="230"/>
        <v>2012</v>
      </c>
      <c r="D7382" s="433">
        <f t="shared" si="231"/>
        <v>1795.55</v>
      </c>
    </row>
    <row r="7383" spans="1:4" ht="16.149999999999999" customHeight="1" x14ac:dyDescent="0.25">
      <c r="A7383" s="431">
        <v>40943</v>
      </c>
      <c r="B7383" s="432">
        <v>1784.77</v>
      </c>
      <c r="C7383" s="427">
        <f t="shared" si="230"/>
        <v>2012</v>
      </c>
      <c r="D7383" s="433">
        <f t="shared" si="231"/>
        <v>1784.77</v>
      </c>
    </row>
    <row r="7384" spans="1:4" ht="16.149999999999999" customHeight="1" x14ac:dyDescent="0.25">
      <c r="A7384" s="431">
        <v>40944</v>
      </c>
      <c r="B7384" s="434">
        <v>1784.77</v>
      </c>
      <c r="C7384" s="427">
        <f t="shared" si="230"/>
        <v>2012</v>
      </c>
      <c r="D7384" s="433">
        <f t="shared" si="231"/>
        <v>1784.77</v>
      </c>
    </row>
    <row r="7385" spans="1:4" ht="16.149999999999999" customHeight="1" x14ac:dyDescent="0.25">
      <c r="A7385" s="431">
        <v>40945</v>
      </c>
      <c r="B7385" s="432">
        <v>1784.77</v>
      </c>
      <c r="C7385" s="427">
        <f t="shared" si="230"/>
        <v>2012</v>
      </c>
      <c r="D7385" s="433">
        <f t="shared" si="231"/>
        <v>1784.77</v>
      </c>
    </row>
    <row r="7386" spans="1:4" ht="16.149999999999999" customHeight="1" x14ac:dyDescent="0.25">
      <c r="A7386" s="431">
        <v>40946</v>
      </c>
      <c r="B7386" s="434">
        <v>1787.96</v>
      </c>
      <c r="C7386" s="427">
        <f t="shared" si="230"/>
        <v>2012</v>
      </c>
      <c r="D7386" s="433">
        <f t="shared" si="231"/>
        <v>1787.96</v>
      </c>
    </row>
    <row r="7387" spans="1:4" ht="16.149999999999999" customHeight="1" x14ac:dyDescent="0.25">
      <c r="A7387" s="431">
        <v>40947</v>
      </c>
      <c r="B7387" s="432">
        <v>1783.34</v>
      </c>
      <c r="C7387" s="427">
        <f t="shared" si="230"/>
        <v>2012</v>
      </c>
      <c r="D7387" s="433">
        <f t="shared" si="231"/>
        <v>1783.34</v>
      </c>
    </row>
    <row r="7388" spans="1:4" ht="16.149999999999999" customHeight="1" x14ac:dyDescent="0.25">
      <c r="A7388" s="431">
        <v>40948</v>
      </c>
      <c r="B7388" s="434">
        <v>1778.9</v>
      </c>
      <c r="C7388" s="427">
        <f t="shared" si="230"/>
        <v>2012</v>
      </c>
      <c r="D7388" s="433">
        <f t="shared" si="231"/>
        <v>1778.9</v>
      </c>
    </row>
    <row r="7389" spans="1:4" ht="16.149999999999999" customHeight="1" x14ac:dyDescent="0.25">
      <c r="A7389" s="431">
        <v>40949</v>
      </c>
      <c r="B7389" s="432">
        <v>1774.96</v>
      </c>
      <c r="C7389" s="427">
        <f t="shared" si="230"/>
        <v>2012</v>
      </c>
      <c r="D7389" s="433">
        <f t="shared" si="231"/>
        <v>1774.96</v>
      </c>
    </row>
    <row r="7390" spans="1:4" ht="16.149999999999999" customHeight="1" x14ac:dyDescent="0.25">
      <c r="A7390" s="431">
        <v>40950</v>
      </c>
      <c r="B7390" s="434">
        <v>1785.59</v>
      </c>
      <c r="C7390" s="427">
        <f t="shared" si="230"/>
        <v>2012</v>
      </c>
      <c r="D7390" s="433">
        <f t="shared" si="231"/>
        <v>1785.59</v>
      </c>
    </row>
    <row r="7391" spans="1:4" ht="16.149999999999999" customHeight="1" x14ac:dyDescent="0.25">
      <c r="A7391" s="431">
        <v>40951</v>
      </c>
      <c r="B7391" s="432">
        <v>1785.59</v>
      </c>
      <c r="C7391" s="427">
        <f t="shared" si="230"/>
        <v>2012</v>
      </c>
      <c r="D7391" s="433">
        <f t="shared" si="231"/>
        <v>1785.59</v>
      </c>
    </row>
    <row r="7392" spans="1:4" ht="16.149999999999999" customHeight="1" x14ac:dyDescent="0.25">
      <c r="A7392" s="431">
        <v>40952</v>
      </c>
      <c r="B7392" s="434">
        <v>1785.59</v>
      </c>
      <c r="C7392" s="427">
        <f t="shared" si="230"/>
        <v>2012</v>
      </c>
      <c r="D7392" s="433">
        <f t="shared" si="231"/>
        <v>1785.59</v>
      </c>
    </row>
    <row r="7393" spans="1:4" ht="16.149999999999999" customHeight="1" x14ac:dyDescent="0.25">
      <c r="A7393" s="431">
        <v>40953</v>
      </c>
      <c r="B7393" s="432">
        <v>1778.12</v>
      </c>
      <c r="C7393" s="427">
        <f t="shared" si="230"/>
        <v>2012</v>
      </c>
      <c r="D7393" s="433">
        <f t="shared" si="231"/>
        <v>1778.12</v>
      </c>
    </row>
    <row r="7394" spans="1:4" ht="16.149999999999999" customHeight="1" x14ac:dyDescent="0.25">
      <c r="A7394" s="431">
        <v>40954</v>
      </c>
      <c r="B7394" s="434">
        <v>1785.24</v>
      </c>
      <c r="C7394" s="427">
        <f t="shared" si="230"/>
        <v>2012</v>
      </c>
      <c r="D7394" s="433">
        <f t="shared" si="231"/>
        <v>1785.24</v>
      </c>
    </row>
    <row r="7395" spans="1:4" ht="16.149999999999999" customHeight="1" x14ac:dyDescent="0.25">
      <c r="A7395" s="431">
        <v>40955</v>
      </c>
      <c r="B7395" s="432">
        <v>1791.29</v>
      </c>
      <c r="C7395" s="427">
        <f t="shared" si="230"/>
        <v>2012</v>
      </c>
      <c r="D7395" s="433">
        <f t="shared" si="231"/>
        <v>1791.29</v>
      </c>
    </row>
    <row r="7396" spans="1:4" ht="16.149999999999999" customHeight="1" x14ac:dyDescent="0.25">
      <c r="A7396" s="431">
        <v>40956</v>
      </c>
      <c r="B7396" s="434">
        <v>1792.92</v>
      </c>
      <c r="C7396" s="427">
        <f t="shared" si="230"/>
        <v>2012</v>
      </c>
      <c r="D7396" s="433">
        <f t="shared" si="231"/>
        <v>1792.92</v>
      </c>
    </row>
    <row r="7397" spans="1:4" ht="16.149999999999999" customHeight="1" x14ac:dyDescent="0.25">
      <c r="A7397" s="431">
        <v>40957</v>
      </c>
      <c r="B7397" s="432">
        <v>1779.81</v>
      </c>
      <c r="C7397" s="427">
        <f t="shared" si="230"/>
        <v>2012</v>
      </c>
      <c r="D7397" s="433">
        <f t="shared" si="231"/>
        <v>1779.81</v>
      </c>
    </row>
    <row r="7398" spans="1:4" ht="16.149999999999999" customHeight="1" x14ac:dyDescent="0.25">
      <c r="A7398" s="431">
        <v>40958</v>
      </c>
      <c r="B7398" s="434">
        <v>1779.81</v>
      </c>
      <c r="C7398" s="427">
        <f t="shared" si="230"/>
        <v>2012</v>
      </c>
      <c r="D7398" s="433">
        <f t="shared" si="231"/>
        <v>1779.81</v>
      </c>
    </row>
    <row r="7399" spans="1:4" ht="16.149999999999999" customHeight="1" x14ac:dyDescent="0.25">
      <c r="A7399" s="431">
        <v>40959</v>
      </c>
      <c r="B7399" s="432">
        <v>1779.81</v>
      </c>
      <c r="C7399" s="427">
        <f t="shared" si="230"/>
        <v>2012</v>
      </c>
      <c r="D7399" s="433">
        <f t="shared" si="231"/>
        <v>1779.81</v>
      </c>
    </row>
    <row r="7400" spans="1:4" ht="16.149999999999999" customHeight="1" x14ac:dyDescent="0.25">
      <c r="A7400" s="431">
        <v>40960</v>
      </c>
      <c r="B7400" s="434">
        <v>1779.81</v>
      </c>
      <c r="C7400" s="427">
        <f t="shared" si="230"/>
        <v>2012</v>
      </c>
      <c r="D7400" s="433">
        <f t="shared" si="231"/>
        <v>1779.81</v>
      </c>
    </row>
    <row r="7401" spans="1:4" ht="16.149999999999999" customHeight="1" x14ac:dyDescent="0.25">
      <c r="A7401" s="431">
        <v>40961</v>
      </c>
      <c r="B7401" s="432">
        <v>1777.59</v>
      </c>
      <c r="C7401" s="427">
        <f t="shared" si="230"/>
        <v>2012</v>
      </c>
      <c r="D7401" s="433">
        <f t="shared" si="231"/>
        <v>1777.59</v>
      </c>
    </row>
    <row r="7402" spans="1:4" ht="16.149999999999999" customHeight="1" x14ac:dyDescent="0.25">
      <c r="A7402" s="431">
        <v>40962</v>
      </c>
      <c r="B7402" s="434">
        <v>1781.57</v>
      </c>
      <c r="C7402" s="427">
        <f t="shared" si="230"/>
        <v>2012</v>
      </c>
      <c r="D7402" s="433">
        <f t="shared" si="231"/>
        <v>1781.57</v>
      </c>
    </row>
    <row r="7403" spans="1:4" ht="16.149999999999999" customHeight="1" x14ac:dyDescent="0.25">
      <c r="A7403" s="431">
        <v>40963</v>
      </c>
      <c r="B7403" s="432">
        <v>1776.11</v>
      </c>
      <c r="C7403" s="427">
        <f t="shared" si="230"/>
        <v>2012</v>
      </c>
      <c r="D7403" s="433">
        <f t="shared" si="231"/>
        <v>1776.11</v>
      </c>
    </row>
    <row r="7404" spans="1:4" ht="16.149999999999999" customHeight="1" x14ac:dyDescent="0.25">
      <c r="A7404" s="431">
        <v>40964</v>
      </c>
      <c r="B7404" s="434">
        <v>1772.42</v>
      </c>
      <c r="C7404" s="427">
        <f t="shared" si="230"/>
        <v>2012</v>
      </c>
      <c r="D7404" s="433">
        <f t="shared" si="231"/>
        <v>1772.42</v>
      </c>
    </row>
    <row r="7405" spans="1:4" ht="16.149999999999999" customHeight="1" x14ac:dyDescent="0.25">
      <c r="A7405" s="431">
        <v>40965</v>
      </c>
      <c r="B7405" s="432">
        <v>1772.42</v>
      </c>
      <c r="C7405" s="427">
        <f t="shared" si="230"/>
        <v>2012</v>
      </c>
      <c r="D7405" s="433">
        <f t="shared" si="231"/>
        <v>1772.42</v>
      </c>
    </row>
    <row r="7406" spans="1:4" ht="16.149999999999999" customHeight="1" x14ac:dyDescent="0.25">
      <c r="A7406" s="431">
        <v>40966</v>
      </c>
      <c r="B7406" s="434">
        <v>1772.42</v>
      </c>
      <c r="C7406" s="427">
        <f t="shared" si="230"/>
        <v>2012</v>
      </c>
      <c r="D7406" s="433">
        <f t="shared" si="231"/>
        <v>1772.42</v>
      </c>
    </row>
    <row r="7407" spans="1:4" ht="16.149999999999999" customHeight="1" x14ac:dyDescent="0.25">
      <c r="A7407" s="431">
        <v>40967</v>
      </c>
      <c r="B7407" s="432">
        <v>1777.27</v>
      </c>
      <c r="C7407" s="427">
        <f t="shared" si="230"/>
        <v>2012</v>
      </c>
      <c r="D7407" s="433">
        <f t="shared" si="231"/>
        <v>1777.27</v>
      </c>
    </row>
    <row r="7408" spans="1:4" ht="16.149999999999999" customHeight="1" x14ac:dyDescent="0.25">
      <c r="A7408" s="431">
        <v>40968</v>
      </c>
      <c r="B7408" s="434">
        <v>1767.83</v>
      </c>
      <c r="C7408" s="427">
        <f t="shared" si="230"/>
        <v>2012</v>
      </c>
      <c r="D7408" s="433">
        <f t="shared" si="231"/>
        <v>1767.83</v>
      </c>
    </row>
    <row r="7409" spans="1:4" ht="16.149999999999999" customHeight="1" x14ac:dyDescent="0.25">
      <c r="A7409" s="431">
        <v>40969</v>
      </c>
      <c r="B7409" s="432">
        <v>1766.85</v>
      </c>
      <c r="C7409" s="427">
        <f t="shared" si="230"/>
        <v>2012</v>
      </c>
      <c r="D7409" s="433">
        <f t="shared" si="231"/>
        <v>1766.85</v>
      </c>
    </row>
    <row r="7410" spans="1:4" ht="16.149999999999999" customHeight="1" x14ac:dyDescent="0.25">
      <c r="A7410" s="431">
        <v>40970</v>
      </c>
      <c r="B7410" s="434">
        <v>1770.7</v>
      </c>
      <c r="C7410" s="427">
        <f t="shared" si="230"/>
        <v>2012</v>
      </c>
      <c r="D7410" s="433">
        <f t="shared" si="231"/>
        <v>1770.7</v>
      </c>
    </row>
    <row r="7411" spans="1:4" ht="16.149999999999999" customHeight="1" x14ac:dyDescent="0.25">
      <c r="A7411" s="431">
        <v>40971</v>
      </c>
      <c r="B7411" s="432">
        <v>1775.69</v>
      </c>
      <c r="C7411" s="427">
        <f t="shared" si="230"/>
        <v>2012</v>
      </c>
      <c r="D7411" s="433">
        <f t="shared" si="231"/>
        <v>1775.69</v>
      </c>
    </row>
    <row r="7412" spans="1:4" ht="16.149999999999999" customHeight="1" x14ac:dyDescent="0.25">
      <c r="A7412" s="431">
        <v>40972</v>
      </c>
      <c r="B7412" s="434">
        <v>1775.69</v>
      </c>
      <c r="C7412" s="427">
        <f t="shared" si="230"/>
        <v>2012</v>
      </c>
      <c r="D7412" s="433">
        <f t="shared" si="231"/>
        <v>1775.69</v>
      </c>
    </row>
    <row r="7413" spans="1:4" ht="16.149999999999999" customHeight="1" x14ac:dyDescent="0.25">
      <c r="A7413" s="431">
        <v>40973</v>
      </c>
      <c r="B7413" s="432">
        <v>1775.69</v>
      </c>
      <c r="C7413" s="427">
        <f t="shared" si="230"/>
        <v>2012</v>
      </c>
      <c r="D7413" s="433">
        <f t="shared" si="231"/>
        <v>1775.69</v>
      </c>
    </row>
    <row r="7414" spans="1:4" ht="16.149999999999999" customHeight="1" x14ac:dyDescent="0.25">
      <c r="A7414" s="431">
        <v>40974</v>
      </c>
      <c r="B7414" s="434">
        <v>1774.03</v>
      </c>
      <c r="C7414" s="427">
        <f t="shared" si="230"/>
        <v>2012</v>
      </c>
      <c r="D7414" s="433">
        <f t="shared" si="231"/>
        <v>1774.03</v>
      </c>
    </row>
    <row r="7415" spans="1:4" ht="16.149999999999999" customHeight="1" x14ac:dyDescent="0.25">
      <c r="A7415" s="431">
        <v>40975</v>
      </c>
      <c r="B7415" s="432">
        <v>1779.32</v>
      </c>
      <c r="C7415" s="427">
        <f t="shared" si="230"/>
        <v>2012</v>
      </c>
      <c r="D7415" s="433">
        <f t="shared" si="231"/>
        <v>1779.32</v>
      </c>
    </row>
    <row r="7416" spans="1:4" ht="16.149999999999999" customHeight="1" x14ac:dyDescent="0.25">
      <c r="A7416" s="431">
        <v>40976</v>
      </c>
      <c r="B7416" s="434">
        <v>1773.88</v>
      </c>
      <c r="C7416" s="427">
        <f t="shared" si="230"/>
        <v>2012</v>
      </c>
      <c r="D7416" s="433">
        <f t="shared" si="231"/>
        <v>1773.88</v>
      </c>
    </row>
    <row r="7417" spans="1:4" ht="16.149999999999999" customHeight="1" x14ac:dyDescent="0.25">
      <c r="A7417" s="431">
        <v>40977</v>
      </c>
      <c r="B7417" s="432">
        <v>1765.06</v>
      </c>
      <c r="C7417" s="427">
        <f t="shared" si="230"/>
        <v>2012</v>
      </c>
      <c r="D7417" s="433">
        <f t="shared" si="231"/>
        <v>1765.06</v>
      </c>
    </row>
    <row r="7418" spans="1:4" ht="16.149999999999999" customHeight="1" x14ac:dyDescent="0.25">
      <c r="A7418" s="431">
        <v>40978</v>
      </c>
      <c r="B7418" s="434">
        <v>1762.08</v>
      </c>
      <c r="C7418" s="427">
        <f t="shared" si="230"/>
        <v>2012</v>
      </c>
      <c r="D7418" s="433">
        <f t="shared" si="231"/>
        <v>1762.08</v>
      </c>
    </row>
    <row r="7419" spans="1:4" ht="16.149999999999999" customHeight="1" x14ac:dyDescent="0.25">
      <c r="A7419" s="431">
        <v>40979</v>
      </c>
      <c r="B7419" s="432">
        <v>1762.08</v>
      </c>
      <c r="C7419" s="427">
        <f t="shared" si="230"/>
        <v>2012</v>
      </c>
      <c r="D7419" s="433">
        <f t="shared" si="231"/>
        <v>1762.08</v>
      </c>
    </row>
    <row r="7420" spans="1:4" ht="16.149999999999999" customHeight="1" x14ac:dyDescent="0.25">
      <c r="A7420" s="431">
        <v>40980</v>
      </c>
      <c r="B7420" s="434">
        <v>1762.08</v>
      </c>
      <c r="C7420" s="427">
        <f t="shared" si="230"/>
        <v>2012</v>
      </c>
      <c r="D7420" s="433">
        <f t="shared" si="231"/>
        <v>1762.08</v>
      </c>
    </row>
    <row r="7421" spans="1:4" ht="16.149999999999999" customHeight="1" x14ac:dyDescent="0.25">
      <c r="A7421" s="431">
        <v>40981</v>
      </c>
      <c r="B7421" s="432">
        <v>1766.1</v>
      </c>
      <c r="C7421" s="427">
        <f t="shared" si="230"/>
        <v>2012</v>
      </c>
      <c r="D7421" s="433">
        <f t="shared" si="231"/>
        <v>1766.1</v>
      </c>
    </row>
    <row r="7422" spans="1:4" ht="16.149999999999999" customHeight="1" x14ac:dyDescent="0.25">
      <c r="A7422" s="431">
        <v>40982</v>
      </c>
      <c r="B7422" s="434">
        <v>1760.77</v>
      </c>
      <c r="C7422" s="427">
        <f t="shared" si="230"/>
        <v>2012</v>
      </c>
      <c r="D7422" s="433">
        <f t="shared" si="231"/>
        <v>1760.77</v>
      </c>
    </row>
    <row r="7423" spans="1:4" ht="16.149999999999999" customHeight="1" x14ac:dyDescent="0.25">
      <c r="A7423" s="431">
        <v>40983</v>
      </c>
      <c r="B7423" s="432">
        <v>1761.04</v>
      </c>
      <c r="C7423" s="427">
        <f t="shared" si="230"/>
        <v>2012</v>
      </c>
      <c r="D7423" s="433">
        <f t="shared" si="231"/>
        <v>1761.04</v>
      </c>
    </row>
    <row r="7424" spans="1:4" ht="16.149999999999999" customHeight="1" x14ac:dyDescent="0.25">
      <c r="A7424" s="431">
        <v>40984</v>
      </c>
      <c r="B7424" s="434">
        <v>1761.02</v>
      </c>
      <c r="C7424" s="427">
        <f t="shared" si="230"/>
        <v>2012</v>
      </c>
      <c r="D7424" s="433">
        <f t="shared" si="231"/>
        <v>1761.02</v>
      </c>
    </row>
    <row r="7425" spans="1:4" ht="16.149999999999999" customHeight="1" x14ac:dyDescent="0.25">
      <c r="A7425" s="431">
        <v>40985</v>
      </c>
      <c r="B7425" s="432">
        <v>1758.38</v>
      </c>
      <c r="C7425" s="427">
        <f t="shared" si="230"/>
        <v>2012</v>
      </c>
      <c r="D7425" s="433">
        <f t="shared" si="231"/>
        <v>1758.38</v>
      </c>
    </row>
    <row r="7426" spans="1:4" ht="16.149999999999999" customHeight="1" x14ac:dyDescent="0.25">
      <c r="A7426" s="431">
        <v>40986</v>
      </c>
      <c r="B7426" s="434">
        <v>1758.38</v>
      </c>
      <c r="C7426" s="427">
        <f t="shared" si="230"/>
        <v>2012</v>
      </c>
      <c r="D7426" s="433">
        <f t="shared" si="231"/>
        <v>1758.38</v>
      </c>
    </row>
    <row r="7427" spans="1:4" ht="16.149999999999999" customHeight="1" x14ac:dyDescent="0.25">
      <c r="A7427" s="431">
        <v>40987</v>
      </c>
      <c r="B7427" s="432">
        <v>1758.38</v>
      </c>
      <c r="C7427" s="427">
        <f t="shared" si="230"/>
        <v>2012</v>
      </c>
      <c r="D7427" s="433">
        <f t="shared" si="231"/>
        <v>1758.38</v>
      </c>
    </row>
    <row r="7428" spans="1:4" ht="16.149999999999999" customHeight="1" x14ac:dyDescent="0.25">
      <c r="A7428" s="431">
        <v>40988</v>
      </c>
      <c r="B7428" s="434">
        <v>1758.38</v>
      </c>
      <c r="C7428" s="427">
        <f t="shared" si="230"/>
        <v>2012</v>
      </c>
      <c r="D7428" s="433">
        <f t="shared" si="231"/>
        <v>1758.38</v>
      </c>
    </row>
    <row r="7429" spans="1:4" ht="16.149999999999999" customHeight="1" x14ac:dyDescent="0.25">
      <c r="A7429" s="431">
        <v>40989</v>
      </c>
      <c r="B7429" s="432">
        <v>1759.78</v>
      </c>
      <c r="C7429" s="427">
        <f t="shared" si="230"/>
        <v>2012</v>
      </c>
      <c r="D7429" s="433">
        <f t="shared" si="231"/>
        <v>1759.78</v>
      </c>
    </row>
    <row r="7430" spans="1:4" ht="16.149999999999999" customHeight="1" x14ac:dyDescent="0.25">
      <c r="A7430" s="431">
        <v>40990</v>
      </c>
      <c r="B7430" s="434">
        <v>1758.03</v>
      </c>
      <c r="C7430" s="427">
        <f t="shared" si="230"/>
        <v>2012</v>
      </c>
      <c r="D7430" s="433">
        <f t="shared" si="231"/>
        <v>1758.03</v>
      </c>
    </row>
    <row r="7431" spans="1:4" ht="16.149999999999999" customHeight="1" x14ac:dyDescent="0.25">
      <c r="A7431" s="431">
        <v>40991</v>
      </c>
      <c r="B7431" s="432">
        <v>1761.87</v>
      </c>
      <c r="C7431" s="427">
        <f t="shared" si="230"/>
        <v>2012</v>
      </c>
      <c r="D7431" s="433">
        <f t="shared" si="231"/>
        <v>1761.87</v>
      </c>
    </row>
    <row r="7432" spans="1:4" ht="16.149999999999999" customHeight="1" x14ac:dyDescent="0.25">
      <c r="A7432" s="431">
        <v>40992</v>
      </c>
      <c r="B7432" s="434">
        <v>1760.17</v>
      </c>
      <c r="C7432" s="427">
        <f t="shared" si="230"/>
        <v>2012</v>
      </c>
      <c r="D7432" s="433">
        <f t="shared" si="231"/>
        <v>1760.17</v>
      </c>
    </row>
    <row r="7433" spans="1:4" ht="16.149999999999999" customHeight="1" x14ac:dyDescent="0.25">
      <c r="A7433" s="431">
        <v>40993</v>
      </c>
      <c r="B7433" s="432">
        <v>1760.17</v>
      </c>
      <c r="C7433" s="427">
        <f t="shared" si="230"/>
        <v>2012</v>
      </c>
      <c r="D7433" s="433">
        <f t="shared" si="231"/>
        <v>1760.17</v>
      </c>
    </row>
    <row r="7434" spans="1:4" ht="16.149999999999999" customHeight="1" x14ac:dyDescent="0.25">
      <c r="A7434" s="431">
        <v>40994</v>
      </c>
      <c r="B7434" s="434">
        <v>1760.17</v>
      </c>
      <c r="C7434" s="427">
        <f t="shared" ref="C7434:C7497" si="232">YEAR(A7434)</f>
        <v>2012</v>
      </c>
      <c r="D7434" s="433">
        <f t="shared" ref="D7434:D7497" si="233">B7434</f>
        <v>1760.17</v>
      </c>
    </row>
    <row r="7435" spans="1:4" ht="16.149999999999999" customHeight="1" x14ac:dyDescent="0.25">
      <c r="A7435" s="431">
        <v>40995</v>
      </c>
      <c r="B7435" s="432">
        <v>1759.58</v>
      </c>
      <c r="C7435" s="427">
        <f t="shared" si="232"/>
        <v>2012</v>
      </c>
      <c r="D7435" s="433">
        <f t="shared" si="233"/>
        <v>1759.58</v>
      </c>
    </row>
    <row r="7436" spans="1:4" ht="16.149999999999999" customHeight="1" x14ac:dyDescent="0.25">
      <c r="A7436" s="431">
        <v>40996</v>
      </c>
      <c r="B7436" s="434">
        <v>1762.93</v>
      </c>
      <c r="C7436" s="427">
        <f t="shared" si="232"/>
        <v>2012</v>
      </c>
      <c r="D7436" s="433">
        <f t="shared" si="233"/>
        <v>1762.93</v>
      </c>
    </row>
    <row r="7437" spans="1:4" ht="16.149999999999999" customHeight="1" x14ac:dyDescent="0.25">
      <c r="A7437" s="431">
        <v>40997</v>
      </c>
      <c r="B7437" s="432">
        <v>1771.25</v>
      </c>
      <c r="C7437" s="427">
        <f t="shared" si="232"/>
        <v>2012</v>
      </c>
      <c r="D7437" s="433">
        <f t="shared" si="233"/>
        <v>1771.25</v>
      </c>
    </row>
    <row r="7438" spans="1:4" ht="16.149999999999999" customHeight="1" x14ac:dyDescent="0.25">
      <c r="A7438" s="431">
        <v>40998</v>
      </c>
      <c r="B7438" s="434">
        <v>1784.66</v>
      </c>
      <c r="C7438" s="427">
        <f t="shared" si="232"/>
        <v>2012</v>
      </c>
      <c r="D7438" s="433">
        <f t="shared" si="233"/>
        <v>1784.66</v>
      </c>
    </row>
    <row r="7439" spans="1:4" ht="16.149999999999999" customHeight="1" x14ac:dyDescent="0.25">
      <c r="A7439" s="431">
        <v>40999</v>
      </c>
      <c r="B7439" s="432">
        <v>1792.07</v>
      </c>
      <c r="C7439" s="427">
        <f t="shared" si="232"/>
        <v>2012</v>
      </c>
      <c r="D7439" s="433">
        <f t="shared" si="233"/>
        <v>1792.07</v>
      </c>
    </row>
    <row r="7440" spans="1:4" ht="16.149999999999999" customHeight="1" x14ac:dyDescent="0.25">
      <c r="A7440" s="431">
        <v>41000</v>
      </c>
      <c r="B7440" s="434">
        <v>1792.07</v>
      </c>
      <c r="C7440" s="427">
        <f t="shared" si="232"/>
        <v>2012</v>
      </c>
      <c r="D7440" s="433">
        <f t="shared" si="233"/>
        <v>1792.07</v>
      </c>
    </row>
    <row r="7441" spans="1:4" ht="16.149999999999999" customHeight="1" x14ac:dyDescent="0.25">
      <c r="A7441" s="431">
        <v>41001</v>
      </c>
      <c r="B7441" s="432">
        <v>1792.07</v>
      </c>
      <c r="C7441" s="427">
        <f t="shared" si="232"/>
        <v>2012</v>
      </c>
      <c r="D7441" s="433">
        <f t="shared" si="233"/>
        <v>1792.07</v>
      </c>
    </row>
    <row r="7442" spans="1:4" ht="16.149999999999999" customHeight="1" x14ac:dyDescent="0.25">
      <c r="A7442" s="431">
        <v>41002</v>
      </c>
      <c r="B7442" s="434">
        <v>1779.13</v>
      </c>
      <c r="C7442" s="427">
        <f t="shared" si="232"/>
        <v>2012</v>
      </c>
      <c r="D7442" s="433">
        <f t="shared" si="233"/>
        <v>1779.13</v>
      </c>
    </row>
    <row r="7443" spans="1:4" ht="16.149999999999999" customHeight="1" x14ac:dyDescent="0.25">
      <c r="A7443" s="431">
        <v>41003</v>
      </c>
      <c r="B7443" s="432">
        <v>1767.84</v>
      </c>
      <c r="C7443" s="427">
        <f t="shared" si="232"/>
        <v>2012</v>
      </c>
      <c r="D7443" s="433">
        <f t="shared" si="233"/>
        <v>1767.84</v>
      </c>
    </row>
    <row r="7444" spans="1:4" ht="16.149999999999999" customHeight="1" x14ac:dyDescent="0.25">
      <c r="A7444" s="431">
        <v>41004</v>
      </c>
      <c r="B7444" s="434">
        <v>1772.58</v>
      </c>
      <c r="C7444" s="427">
        <f t="shared" si="232"/>
        <v>2012</v>
      </c>
      <c r="D7444" s="433">
        <f t="shared" si="233"/>
        <v>1772.58</v>
      </c>
    </row>
    <row r="7445" spans="1:4" ht="16.149999999999999" customHeight="1" x14ac:dyDescent="0.25">
      <c r="A7445" s="431">
        <v>41005</v>
      </c>
      <c r="B7445" s="432">
        <v>1772.58</v>
      </c>
      <c r="C7445" s="427">
        <f t="shared" si="232"/>
        <v>2012</v>
      </c>
      <c r="D7445" s="433">
        <f t="shared" si="233"/>
        <v>1772.58</v>
      </c>
    </row>
    <row r="7446" spans="1:4" ht="16.149999999999999" customHeight="1" x14ac:dyDescent="0.25">
      <c r="A7446" s="431">
        <v>41006</v>
      </c>
      <c r="B7446" s="434">
        <v>1772.58</v>
      </c>
      <c r="C7446" s="427">
        <f t="shared" si="232"/>
        <v>2012</v>
      </c>
      <c r="D7446" s="433">
        <f t="shared" si="233"/>
        <v>1772.58</v>
      </c>
    </row>
    <row r="7447" spans="1:4" ht="16.149999999999999" customHeight="1" x14ac:dyDescent="0.25">
      <c r="A7447" s="431">
        <v>41007</v>
      </c>
      <c r="B7447" s="432">
        <v>1772.58</v>
      </c>
      <c r="C7447" s="427">
        <f t="shared" si="232"/>
        <v>2012</v>
      </c>
      <c r="D7447" s="433">
        <f t="shared" si="233"/>
        <v>1772.58</v>
      </c>
    </row>
    <row r="7448" spans="1:4" ht="16.149999999999999" customHeight="1" x14ac:dyDescent="0.25">
      <c r="A7448" s="431">
        <v>41008</v>
      </c>
      <c r="B7448" s="434">
        <v>1772.58</v>
      </c>
      <c r="C7448" s="427">
        <f t="shared" si="232"/>
        <v>2012</v>
      </c>
      <c r="D7448" s="433">
        <f t="shared" si="233"/>
        <v>1772.58</v>
      </c>
    </row>
    <row r="7449" spans="1:4" ht="16.149999999999999" customHeight="1" x14ac:dyDescent="0.25">
      <c r="A7449" s="431">
        <v>41009</v>
      </c>
      <c r="B7449" s="432">
        <v>1779.53</v>
      </c>
      <c r="C7449" s="427">
        <f t="shared" si="232"/>
        <v>2012</v>
      </c>
      <c r="D7449" s="433">
        <f t="shared" si="233"/>
        <v>1779.53</v>
      </c>
    </row>
    <row r="7450" spans="1:4" ht="16.149999999999999" customHeight="1" x14ac:dyDescent="0.25">
      <c r="A7450" s="431">
        <v>41010</v>
      </c>
      <c r="B7450" s="434">
        <v>1793.3</v>
      </c>
      <c r="C7450" s="427">
        <f t="shared" si="232"/>
        <v>2012</v>
      </c>
      <c r="D7450" s="433">
        <f t="shared" si="233"/>
        <v>1793.3</v>
      </c>
    </row>
    <row r="7451" spans="1:4" ht="16.149999999999999" customHeight="1" x14ac:dyDescent="0.25">
      <c r="A7451" s="431">
        <v>41011</v>
      </c>
      <c r="B7451" s="432">
        <v>1787.66</v>
      </c>
      <c r="C7451" s="427">
        <f t="shared" si="232"/>
        <v>2012</v>
      </c>
      <c r="D7451" s="433">
        <f t="shared" si="233"/>
        <v>1787.66</v>
      </c>
    </row>
    <row r="7452" spans="1:4" ht="16.149999999999999" customHeight="1" x14ac:dyDescent="0.25">
      <c r="A7452" s="431">
        <v>41012</v>
      </c>
      <c r="B7452" s="434">
        <v>1778.78</v>
      </c>
      <c r="C7452" s="427">
        <f t="shared" si="232"/>
        <v>2012</v>
      </c>
      <c r="D7452" s="433">
        <f t="shared" si="233"/>
        <v>1778.78</v>
      </c>
    </row>
    <row r="7453" spans="1:4" ht="16.149999999999999" customHeight="1" x14ac:dyDescent="0.25">
      <c r="A7453" s="431">
        <v>41013</v>
      </c>
      <c r="B7453" s="432">
        <v>1777.12</v>
      </c>
      <c r="C7453" s="427">
        <f t="shared" si="232"/>
        <v>2012</v>
      </c>
      <c r="D7453" s="433">
        <f t="shared" si="233"/>
        <v>1777.12</v>
      </c>
    </row>
    <row r="7454" spans="1:4" ht="16.149999999999999" customHeight="1" x14ac:dyDescent="0.25">
      <c r="A7454" s="431">
        <v>41014</v>
      </c>
      <c r="B7454" s="434">
        <v>1777.12</v>
      </c>
      <c r="C7454" s="427">
        <f t="shared" si="232"/>
        <v>2012</v>
      </c>
      <c r="D7454" s="433">
        <f t="shared" si="233"/>
        <v>1777.12</v>
      </c>
    </row>
    <row r="7455" spans="1:4" ht="16.149999999999999" customHeight="1" x14ac:dyDescent="0.25">
      <c r="A7455" s="431">
        <v>41015</v>
      </c>
      <c r="B7455" s="432">
        <v>1777.12</v>
      </c>
      <c r="C7455" s="427">
        <f t="shared" si="232"/>
        <v>2012</v>
      </c>
      <c r="D7455" s="433">
        <f t="shared" si="233"/>
        <v>1777.12</v>
      </c>
    </row>
    <row r="7456" spans="1:4" ht="16.149999999999999" customHeight="1" x14ac:dyDescent="0.25">
      <c r="A7456" s="431">
        <v>41016</v>
      </c>
      <c r="B7456" s="434">
        <v>1775.67</v>
      </c>
      <c r="C7456" s="427">
        <f t="shared" si="232"/>
        <v>2012</v>
      </c>
      <c r="D7456" s="433">
        <f t="shared" si="233"/>
        <v>1775.67</v>
      </c>
    </row>
    <row r="7457" spans="1:4" ht="16.149999999999999" customHeight="1" x14ac:dyDescent="0.25">
      <c r="A7457" s="431">
        <v>41017</v>
      </c>
      <c r="B7457" s="432">
        <v>1769.07</v>
      </c>
      <c r="C7457" s="427">
        <f t="shared" si="232"/>
        <v>2012</v>
      </c>
      <c r="D7457" s="433">
        <f t="shared" si="233"/>
        <v>1769.07</v>
      </c>
    </row>
    <row r="7458" spans="1:4" ht="16.149999999999999" customHeight="1" x14ac:dyDescent="0.25">
      <c r="A7458" s="431">
        <v>41018</v>
      </c>
      <c r="B7458" s="434">
        <v>1774.21</v>
      </c>
      <c r="C7458" s="427">
        <f t="shared" si="232"/>
        <v>2012</v>
      </c>
      <c r="D7458" s="433">
        <f t="shared" si="233"/>
        <v>1774.21</v>
      </c>
    </row>
    <row r="7459" spans="1:4" ht="16.149999999999999" customHeight="1" x14ac:dyDescent="0.25">
      <c r="A7459" s="431">
        <v>41019</v>
      </c>
      <c r="B7459" s="432">
        <v>1776.06</v>
      </c>
      <c r="C7459" s="427">
        <f t="shared" si="232"/>
        <v>2012</v>
      </c>
      <c r="D7459" s="433">
        <f t="shared" si="233"/>
        <v>1776.06</v>
      </c>
    </row>
    <row r="7460" spans="1:4" ht="16.149999999999999" customHeight="1" x14ac:dyDescent="0.25">
      <c r="A7460" s="431">
        <v>41020</v>
      </c>
      <c r="B7460" s="434">
        <v>1771.13</v>
      </c>
      <c r="C7460" s="427">
        <f t="shared" si="232"/>
        <v>2012</v>
      </c>
      <c r="D7460" s="433">
        <f t="shared" si="233"/>
        <v>1771.13</v>
      </c>
    </row>
    <row r="7461" spans="1:4" ht="16.149999999999999" customHeight="1" x14ac:dyDescent="0.25">
      <c r="A7461" s="431">
        <v>41021</v>
      </c>
      <c r="B7461" s="432">
        <v>1771.13</v>
      </c>
      <c r="C7461" s="427">
        <f t="shared" si="232"/>
        <v>2012</v>
      </c>
      <c r="D7461" s="433">
        <f t="shared" si="233"/>
        <v>1771.13</v>
      </c>
    </row>
    <row r="7462" spans="1:4" ht="16.149999999999999" customHeight="1" x14ac:dyDescent="0.25">
      <c r="A7462" s="431">
        <v>41022</v>
      </c>
      <c r="B7462" s="434">
        <v>1771.13</v>
      </c>
      <c r="C7462" s="427">
        <f t="shared" si="232"/>
        <v>2012</v>
      </c>
      <c r="D7462" s="433">
        <f t="shared" si="233"/>
        <v>1771.13</v>
      </c>
    </row>
    <row r="7463" spans="1:4" ht="16.149999999999999" customHeight="1" x14ac:dyDescent="0.25">
      <c r="A7463" s="431">
        <v>41023</v>
      </c>
      <c r="B7463" s="432">
        <v>1774.44</v>
      </c>
      <c r="C7463" s="427">
        <f t="shared" si="232"/>
        <v>2012</v>
      </c>
      <c r="D7463" s="433">
        <f t="shared" si="233"/>
        <v>1774.44</v>
      </c>
    </row>
    <row r="7464" spans="1:4" ht="16.149999999999999" customHeight="1" x14ac:dyDescent="0.25">
      <c r="A7464" s="431">
        <v>41024</v>
      </c>
      <c r="B7464" s="434">
        <v>1767.91</v>
      </c>
      <c r="C7464" s="427">
        <f t="shared" si="232"/>
        <v>2012</v>
      </c>
      <c r="D7464" s="433">
        <f t="shared" si="233"/>
        <v>1767.91</v>
      </c>
    </row>
    <row r="7465" spans="1:4" ht="16.149999999999999" customHeight="1" x14ac:dyDescent="0.25">
      <c r="A7465" s="431">
        <v>41025</v>
      </c>
      <c r="B7465" s="432">
        <v>1763.85</v>
      </c>
      <c r="C7465" s="427">
        <f t="shared" si="232"/>
        <v>2012</v>
      </c>
      <c r="D7465" s="433">
        <f t="shared" si="233"/>
        <v>1763.85</v>
      </c>
    </row>
    <row r="7466" spans="1:4" ht="16.149999999999999" customHeight="1" x14ac:dyDescent="0.25">
      <c r="A7466" s="431">
        <v>41026</v>
      </c>
      <c r="B7466" s="434">
        <v>1764.63</v>
      </c>
      <c r="C7466" s="427">
        <f t="shared" si="232"/>
        <v>2012</v>
      </c>
      <c r="D7466" s="433">
        <f t="shared" si="233"/>
        <v>1764.63</v>
      </c>
    </row>
    <row r="7467" spans="1:4" ht="16.149999999999999" customHeight="1" x14ac:dyDescent="0.25">
      <c r="A7467" s="431">
        <v>41027</v>
      </c>
      <c r="B7467" s="432">
        <v>1761.2</v>
      </c>
      <c r="C7467" s="427">
        <f t="shared" si="232"/>
        <v>2012</v>
      </c>
      <c r="D7467" s="433">
        <f t="shared" si="233"/>
        <v>1761.2</v>
      </c>
    </row>
    <row r="7468" spans="1:4" ht="16.149999999999999" customHeight="1" x14ac:dyDescent="0.25">
      <c r="A7468" s="431">
        <v>41028</v>
      </c>
      <c r="B7468" s="434">
        <v>1761.2</v>
      </c>
      <c r="C7468" s="427">
        <f t="shared" si="232"/>
        <v>2012</v>
      </c>
      <c r="D7468" s="433">
        <f t="shared" si="233"/>
        <v>1761.2</v>
      </c>
    </row>
    <row r="7469" spans="1:4" ht="16.149999999999999" customHeight="1" x14ac:dyDescent="0.25">
      <c r="A7469" s="431">
        <v>41029</v>
      </c>
      <c r="B7469" s="432">
        <v>1761.2</v>
      </c>
      <c r="C7469" s="427">
        <f t="shared" si="232"/>
        <v>2012</v>
      </c>
      <c r="D7469" s="433">
        <f t="shared" si="233"/>
        <v>1761.2</v>
      </c>
    </row>
    <row r="7470" spans="1:4" ht="16.149999999999999" customHeight="1" x14ac:dyDescent="0.25">
      <c r="A7470" s="431">
        <v>41030</v>
      </c>
      <c r="B7470" s="434">
        <v>1764</v>
      </c>
      <c r="C7470" s="427">
        <f t="shared" si="232"/>
        <v>2012</v>
      </c>
      <c r="D7470" s="433">
        <f t="shared" si="233"/>
        <v>1764</v>
      </c>
    </row>
    <row r="7471" spans="1:4" ht="16.149999999999999" customHeight="1" x14ac:dyDescent="0.25">
      <c r="A7471" s="431">
        <v>41031</v>
      </c>
      <c r="B7471" s="432">
        <v>1764</v>
      </c>
      <c r="C7471" s="427">
        <f t="shared" si="232"/>
        <v>2012</v>
      </c>
      <c r="D7471" s="433">
        <f t="shared" si="233"/>
        <v>1764</v>
      </c>
    </row>
    <row r="7472" spans="1:4" ht="16.149999999999999" customHeight="1" x14ac:dyDescent="0.25">
      <c r="A7472" s="431">
        <v>41032</v>
      </c>
      <c r="B7472" s="434">
        <v>1760.12</v>
      </c>
      <c r="C7472" s="427">
        <f t="shared" si="232"/>
        <v>2012</v>
      </c>
      <c r="D7472" s="433">
        <f t="shared" si="233"/>
        <v>1760.12</v>
      </c>
    </row>
    <row r="7473" spans="1:4" ht="16.149999999999999" customHeight="1" x14ac:dyDescent="0.25">
      <c r="A7473" s="431">
        <v>41033</v>
      </c>
      <c r="B7473" s="432">
        <v>1754.89</v>
      </c>
      <c r="C7473" s="427">
        <f t="shared" si="232"/>
        <v>2012</v>
      </c>
      <c r="D7473" s="433">
        <f t="shared" si="233"/>
        <v>1754.89</v>
      </c>
    </row>
    <row r="7474" spans="1:4" ht="16.149999999999999" customHeight="1" x14ac:dyDescent="0.25">
      <c r="A7474" s="431">
        <v>41034</v>
      </c>
      <c r="B7474" s="434">
        <v>1757.24</v>
      </c>
      <c r="C7474" s="427">
        <f t="shared" si="232"/>
        <v>2012</v>
      </c>
      <c r="D7474" s="433">
        <f t="shared" si="233"/>
        <v>1757.24</v>
      </c>
    </row>
    <row r="7475" spans="1:4" ht="16.149999999999999" customHeight="1" x14ac:dyDescent="0.25">
      <c r="A7475" s="431">
        <v>41035</v>
      </c>
      <c r="B7475" s="432">
        <v>1757.24</v>
      </c>
      <c r="C7475" s="427">
        <f t="shared" si="232"/>
        <v>2012</v>
      </c>
      <c r="D7475" s="433">
        <f t="shared" si="233"/>
        <v>1757.24</v>
      </c>
    </row>
    <row r="7476" spans="1:4" ht="16.149999999999999" customHeight="1" x14ac:dyDescent="0.25">
      <c r="A7476" s="431">
        <v>41036</v>
      </c>
      <c r="B7476" s="434">
        <v>1757.24</v>
      </c>
      <c r="C7476" s="427">
        <f t="shared" si="232"/>
        <v>2012</v>
      </c>
      <c r="D7476" s="433">
        <f t="shared" si="233"/>
        <v>1757.24</v>
      </c>
    </row>
    <row r="7477" spans="1:4" ht="16.149999999999999" customHeight="1" x14ac:dyDescent="0.25">
      <c r="A7477" s="431">
        <v>41037</v>
      </c>
      <c r="B7477" s="432">
        <v>1759.12</v>
      </c>
      <c r="C7477" s="427">
        <f t="shared" si="232"/>
        <v>2012</v>
      </c>
      <c r="D7477" s="433">
        <f t="shared" si="233"/>
        <v>1759.12</v>
      </c>
    </row>
    <row r="7478" spans="1:4" ht="16.149999999999999" customHeight="1" x14ac:dyDescent="0.25">
      <c r="A7478" s="431">
        <v>41038</v>
      </c>
      <c r="B7478" s="434">
        <v>1760.6</v>
      </c>
      <c r="C7478" s="427">
        <f t="shared" si="232"/>
        <v>2012</v>
      </c>
      <c r="D7478" s="433">
        <f t="shared" si="233"/>
        <v>1760.6</v>
      </c>
    </row>
    <row r="7479" spans="1:4" ht="16.149999999999999" customHeight="1" x14ac:dyDescent="0.25">
      <c r="A7479" s="431">
        <v>41039</v>
      </c>
      <c r="B7479" s="432">
        <v>1775.96</v>
      </c>
      <c r="C7479" s="427">
        <f t="shared" si="232"/>
        <v>2012</v>
      </c>
      <c r="D7479" s="433">
        <f t="shared" si="233"/>
        <v>1775.96</v>
      </c>
    </row>
    <row r="7480" spans="1:4" ht="16.149999999999999" customHeight="1" x14ac:dyDescent="0.25">
      <c r="A7480" s="431">
        <v>41040</v>
      </c>
      <c r="B7480" s="434">
        <v>1765</v>
      </c>
      <c r="C7480" s="427">
        <f t="shared" si="232"/>
        <v>2012</v>
      </c>
      <c r="D7480" s="433">
        <f t="shared" si="233"/>
        <v>1765</v>
      </c>
    </row>
    <row r="7481" spans="1:4" ht="16.149999999999999" customHeight="1" x14ac:dyDescent="0.25">
      <c r="A7481" s="431">
        <v>41041</v>
      </c>
      <c r="B7481" s="432">
        <v>1764.69</v>
      </c>
      <c r="C7481" s="427">
        <f t="shared" si="232"/>
        <v>2012</v>
      </c>
      <c r="D7481" s="433">
        <f t="shared" si="233"/>
        <v>1764.69</v>
      </c>
    </row>
    <row r="7482" spans="1:4" ht="16.149999999999999" customHeight="1" x14ac:dyDescent="0.25">
      <c r="A7482" s="431">
        <v>41042</v>
      </c>
      <c r="B7482" s="434">
        <v>1764.69</v>
      </c>
      <c r="C7482" s="427">
        <f t="shared" si="232"/>
        <v>2012</v>
      </c>
      <c r="D7482" s="433">
        <f t="shared" si="233"/>
        <v>1764.69</v>
      </c>
    </row>
    <row r="7483" spans="1:4" ht="16.149999999999999" customHeight="1" x14ac:dyDescent="0.25">
      <c r="A7483" s="431">
        <v>41043</v>
      </c>
      <c r="B7483" s="432">
        <v>1764.69</v>
      </c>
      <c r="C7483" s="427">
        <f t="shared" si="232"/>
        <v>2012</v>
      </c>
      <c r="D7483" s="433">
        <f t="shared" si="233"/>
        <v>1764.69</v>
      </c>
    </row>
    <row r="7484" spans="1:4" ht="16.149999999999999" customHeight="1" x14ac:dyDescent="0.25">
      <c r="A7484" s="431">
        <v>41044</v>
      </c>
      <c r="B7484" s="434">
        <v>1771.6</v>
      </c>
      <c r="C7484" s="427">
        <f t="shared" si="232"/>
        <v>2012</v>
      </c>
      <c r="D7484" s="433">
        <f t="shared" si="233"/>
        <v>1771.6</v>
      </c>
    </row>
    <row r="7485" spans="1:4" ht="16.149999999999999" customHeight="1" x14ac:dyDescent="0.25">
      <c r="A7485" s="431">
        <v>41045</v>
      </c>
      <c r="B7485" s="432">
        <v>1778.37</v>
      </c>
      <c r="C7485" s="427">
        <f t="shared" si="232"/>
        <v>2012</v>
      </c>
      <c r="D7485" s="433">
        <f t="shared" si="233"/>
        <v>1778.37</v>
      </c>
    </row>
    <row r="7486" spans="1:4" ht="16.149999999999999" customHeight="1" x14ac:dyDescent="0.25">
      <c r="A7486" s="431">
        <v>41046</v>
      </c>
      <c r="B7486" s="434">
        <v>1793.61</v>
      </c>
      <c r="C7486" s="427">
        <f t="shared" si="232"/>
        <v>2012</v>
      </c>
      <c r="D7486" s="433">
        <f t="shared" si="233"/>
        <v>1793.61</v>
      </c>
    </row>
    <row r="7487" spans="1:4" ht="16.149999999999999" customHeight="1" x14ac:dyDescent="0.25">
      <c r="A7487" s="431">
        <v>41047</v>
      </c>
      <c r="B7487" s="432">
        <v>1804.92</v>
      </c>
      <c r="C7487" s="427">
        <f t="shared" si="232"/>
        <v>2012</v>
      </c>
      <c r="D7487" s="433">
        <f t="shared" si="233"/>
        <v>1804.92</v>
      </c>
    </row>
    <row r="7488" spans="1:4" ht="16.149999999999999" customHeight="1" x14ac:dyDescent="0.25">
      <c r="A7488" s="431">
        <v>41048</v>
      </c>
      <c r="B7488" s="434">
        <v>1814.46</v>
      </c>
      <c r="C7488" s="427">
        <f t="shared" si="232"/>
        <v>2012</v>
      </c>
      <c r="D7488" s="433">
        <f t="shared" si="233"/>
        <v>1814.46</v>
      </c>
    </row>
    <row r="7489" spans="1:4" ht="16.149999999999999" customHeight="1" x14ac:dyDescent="0.25">
      <c r="A7489" s="431">
        <v>41049</v>
      </c>
      <c r="B7489" s="432">
        <v>1814.46</v>
      </c>
      <c r="C7489" s="427">
        <f t="shared" si="232"/>
        <v>2012</v>
      </c>
      <c r="D7489" s="433">
        <f t="shared" si="233"/>
        <v>1814.46</v>
      </c>
    </row>
    <row r="7490" spans="1:4" ht="16.149999999999999" customHeight="1" x14ac:dyDescent="0.25">
      <c r="A7490" s="431">
        <v>41050</v>
      </c>
      <c r="B7490" s="434">
        <v>1814.46</v>
      </c>
      <c r="C7490" s="427">
        <f t="shared" si="232"/>
        <v>2012</v>
      </c>
      <c r="D7490" s="433">
        <f t="shared" si="233"/>
        <v>1814.46</v>
      </c>
    </row>
    <row r="7491" spans="1:4" ht="16.149999999999999" customHeight="1" x14ac:dyDescent="0.25">
      <c r="A7491" s="431">
        <v>41051</v>
      </c>
      <c r="B7491" s="432">
        <v>1814.46</v>
      </c>
      <c r="C7491" s="427">
        <f t="shared" si="232"/>
        <v>2012</v>
      </c>
      <c r="D7491" s="433">
        <f t="shared" si="233"/>
        <v>1814.46</v>
      </c>
    </row>
    <row r="7492" spans="1:4" ht="16.149999999999999" customHeight="1" x14ac:dyDescent="0.25">
      <c r="A7492" s="431">
        <v>41052</v>
      </c>
      <c r="B7492" s="434">
        <v>1824.73</v>
      </c>
      <c r="C7492" s="427">
        <f t="shared" si="232"/>
        <v>2012</v>
      </c>
      <c r="D7492" s="433">
        <f t="shared" si="233"/>
        <v>1824.73</v>
      </c>
    </row>
    <row r="7493" spans="1:4" ht="16.149999999999999" customHeight="1" x14ac:dyDescent="0.25">
      <c r="A7493" s="431">
        <v>41053</v>
      </c>
      <c r="B7493" s="432">
        <v>1845.17</v>
      </c>
      <c r="C7493" s="427">
        <f t="shared" si="232"/>
        <v>2012</v>
      </c>
      <c r="D7493" s="433">
        <f t="shared" si="233"/>
        <v>1845.17</v>
      </c>
    </row>
    <row r="7494" spans="1:4" ht="16.149999999999999" customHeight="1" x14ac:dyDescent="0.25">
      <c r="A7494" s="431">
        <v>41054</v>
      </c>
      <c r="B7494" s="434">
        <v>1836.45</v>
      </c>
      <c r="C7494" s="427">
        <f t="shared" si="232"/>
        <v>2012</v>
      </c>
      <c r="D7494" s="433">
        <f t="shared" si="233"/>
        <v>1836.45</v>
      </c>
    </row>
    <row r="7495" spans="1:4" ht="16.149999999999999" customHeight="1" x14ac:dyDescent="0.25">
      <c r="A7495" s="431">
        <v>41055</v>
      </c>
      <c r="B7495" s="432">
        <v>1840.69</v>
      </c>
      <c r="C7495" s="427">
        <f t="shared" si="232"/>
        <v>2012</v>
      </c>
      <c r="D7495" s="433">
        <f t="shared" si="233"/>
        <v>1840.69</v>
      </c>
    </row>
    <row r="7496" spans="1:4" ht="16.149999999999999" customHeight="1" x14ac:dyDescent="0.25">
      <c r="A7496" s="431">
        <v>41056</v>
      </c>
      <c r="B7496" s="434">
        <v>1840.69</v>
      </c>
      <c r="C7496" s="427">
        <f t="shared" si="232"/>
        <v>2012</v>
      </c>
      <c r="D7496" s="433">
        <f t="shared" si="233"/>
        <v>1840.69</v>
      </c>
    </row>
    <row r="7497" spans="1:4" ht="16.149999999999999" customHeight="1" x14ac:dyDescent="0.25">
      <c r="A7497" s="431">
        <v>41057</v>
      </c>
      <c r="B7497" s="432">
        <v>1840.69</v>
      </c>
      <c r="C7497" s="427">
        <f t="shared" si="232"/>
        <v>2012</v>
      </c>
      <c r="D7497" s="433">
        <f t="shared" si="233"/>
        <v>1840.69</v>
      </c>
    </row>
    <row r="7498" spans="1:4" ht="16.149999999999999" customHeight="1" x14ac:dyDescent="0.25">
      <c r="A7498" s="431">
        <v>41058</v>
      </c>
      <c r="B7498" s="434">
        <v>1840.69</v>
      </c>
      <c r="C7498" s="427">
        <f t="shared" ref="C7498:C7561" si="234">YEAR(A7498)</f>
        <v>2012</v>
      </c>
      <c r="D7498" s="433">
        <f t="shared" ref="D7498:D7561" si="235">B7498</f>
        <v>1840.69</v>
      </c>
    </row>
    <row r="7499" spans="1:4" ht="16.149999999999999" customHeight="1" x14ac:dyDescent="0.25">
      <c r="A7499" s="431">
        <v>41059</v>
      </c>
      <c r="B7499" s="432">
        <v>1818.82</v>
      </c>
      <c r="C7499" s="427">
        <f t="shared" si="234"/>
        <v>2012</v>
      </c>
      <c r="D7499" s="433">
        <f t="shared" si="235"/>
        <v>1818.82</v>
      </c>
    </row>
    <row r="7500" spans="1:4" ht="16.149999999999999" customHeight="1" x14ac:dyDescent="0.25">
      <c r="A7500" s="431">
        <v>41060</v>
      </c>
      <c r="B7500" s="434">
        <v>1827.83</v>
      </c>
      <c r="C7500" s="427">
        <f t="shared" si="234"/>
        <v>2012</v>
      </c>
      <c r="D7500" s="433">
        <f t="shared" si="235"/>
        <v>1827.83</v>
      </c>
    </row>
    <row r="7501" spans="1:4" ht="16.149999999999999" customHeight="1" x14ac:dyDescent="0.25">
      <c r="A7501" s="431">
        <v>41061</v>
      </c>
      <c r="B7501" s="432">
        <v>1833.8</v>
      </c>
      <c r="C7501" s="427">
        <f t="shared" si="234"/>
        <v>2012</v>
      </c>
      <c r="D7501" s="433">
        <f t="shared" si="235"/>
        <v>1833.8</v>
      </c>
    </row>
    <row r="7502" spans="1:4" ht="16.149999999999999" customHeight="1" x14ac:dyDescent="0.25">
      <c r="A7502" s="431">
        <v>41062</v>
      </c>
      <c r="B7502" s="434">
        <v>1834.71</v>
      </c>
      <c r="C7502" s="427">
        <f t="shared" si="234"/>
        <v>2012</v>
      </c>
      <c r="D7502" s="433">
        <f t="shared" si="235"/>
        <v>1834.71</v>
      </c>
    </row>
    <row r="7503" spans="1:4" ht="16.149999999999999" customHeight="1" x14ac:dyDescent="0.25">
      <c r="A7503" s="431">
        <v>41063</v>
      </c>
      <c r="B7503" s="432">
        <v>1834.71</v>
      </c>
      <c r="C7503" s="427">
        <f t="shared" si="234"/>
        <v>2012</v>
      </c>
      <c r="D7503" s="433">
        <f t="shared" si="235"/>
        <v>1834.71</v>
      </c>
    </row>
    <row r="7504" spans="1:4" ht="16.149999999999999" customHeight="1" x14ac:dyDescent="0.25">
      <c r="A7504" s="431">
        <v>41064</v>
      </c>
      <c r="B7504" s="434">
        <v>1834.71</v>
      </c>
      <c r="C7504" s="427">
        <f t="shared" si="234"/>
        <v>2012</v>
      </c>
      <c r="D7504" s="433">
        <f t="shared" si="235"/>
        <v>1834.71</v>
      </c>
    </row>
    <row r="7505" spans="1:4" ht="16.149999999999999" customHeight="1" x14ac:dyDescent="0.25">
      <c r="A7505" s="431">
        <v>41065</v>
      </c>
      <c r="B7505" s="432">
        <v>1815.54</v>
      </c>
      <c r="C7505" s="427">
        <f t="shared" si="234"/>
        <v>2012</v>
      </c>
      <c r="D7505" s="433">
        <f t="shared" si="235"/>
        <v>1815.54</v>
      </c>
    </row>
    <row r="7506" spans="1:4" ht="16.149999999999999" customHeight="1" x14ac:dyDescent="0.25">
      <c r="A7506" s="431">
        <v>41066</v>
      </c>
      <c r="B7506" s="434">
        <v>1798.85</v>
      </c>
      <c r="C7506" s="427">
        <f t="shared" si="234"/>
        <v>2012</v>
      </c>
      <c r="D7506" s="433">
        <f t="shared" si="235"/>
        <v>1798.85</v>
      </c>
    </row>
    <row r="7507" spans="1:4" ht="16.149999999999999" customHeight="1" x14ac:dyDescent="0.25">
      <c r="A7507" s="431">
        <v>41067</v>
      </c>
      <c r="B7507" s="432">
        <v>1782.89</v>
      </c>
      <c r="C7507" s="427">
        <f t="shared" si="234"/>
        <v>2012</v>
      </c>
      <c r="D7507" s="433">
        <f t="shared" si="235"/>
        <v>1782.89</v>
      </c>
    </row>
    <row r="7508" spans="1:4" ht="16.149999999999999" customHeight="1" x14ac:dyDescent="0.25">
      <c r="A7508" s="431">
        <v>41068</v>
      </c>
      <c r="B7508" s="434">
        <v>1766.91</v>
      </c>
      <c r="C7508" s="427">
        <f t="shared" si="234"/>
        <v>2012</v>
      </c>
      <c r="D7508" s="433">
        <f t="shared" si="235"/>
        <v>1766.91</v>
      </c>
    </row>
    <row r="7509" spans="1:4" ht="16.149999999999999" customHeight="1" x14ac:dyDescent="0.25">
      <c r="A7509" s="431">
        <v>41069</v>
      </c>
      <c r="B7509" s="432">
        <v>1776.26</v>
      </c>
      <c r="C7509" s="427">
        <f t="shared" si="234"/>
        <v>2012</v>
      </c>
      <c r="D7509" s="433">
        <f t="shared" si="235"/>
        <v>1776.26</v>
      </c>
    </row>
    <row r="7510" spans="1:4" ht="16.149999999999999" customHeight="1" x14ac:dyDescent="0.25">
      <c r="A7510" s="431">
        <v>41070</v>
      </c>
      <c r="B7510" s="434">
        <v>1776.26</v>
      </c>
      <c r="C7510" s="427">
        <f t="shared" si="234"/>
        <v>2012</v>
      </c>
      <c r="D7510" s="433">
        <f t="shared" si="235"/>
        <v>1776.26</v>
      </c>
    </row>
    <row r="7511" spans="1:4" ht="16.149999999999999" customHeight="1" x14ac:dyDescent="0.25">
      <c r="A7511" s="431">
        <v>41071</v>
      </c>
      <c r="B7511" s="432">
        <v>1776.26</v>
      </c>
      <c r="C7511" s="427">
        <f t="shared" si="234"/>
        <v>2012</v>
      </c>
      <c r="D7511" s="433">
        <f t="shared" si="235"/>
        <v>1776.26</v>
      </c>
    </row>
    <row r="7512" spans="1:4" ht="16.149999999999999" customHeight="1" x14ac:dyDescent="0.25">
      <c r="A7512" s="431">
        <v>41072</v>
      </c>
      <c r="B7512" s="434">
        <v>1776.26</v>
      </c>
      <c r="C7512" s="427">
        <f t="shared" si="234"/>
        <v>2012</v>
      </c>
      <c r="D7512" s="433">
        <f t="shared" si="235"/>
        <v>1776.26</v>
      </c>
    </row>
    <row r="7513" spans="1:4" ht="16.149999999999999" customHeight="1" x14ac:dyDescent="0.25">
      <c r="A7513" s="431">
        <v>41073</v>
      </c>
      <c r="B7513" s="432">
        <v>1776.47</v>
      </c>
      <c r="C7513" s="427">
        <f t="shared" si="234"/>
        <v>2012</v>
      </c>
      <c r="D7513" s="433">
        <f t="shared" si="235"/>
        <v>1776.47</v>
      </c>
    </row>
    <row r="7514" spans="1:4" ht="16.149999999999999" customHeight="1" x14ac:dyDescent="0.25">
      <c r="A7514" s="431">
        <v>41074</v>
      </c>
      <c r="B7514" s="434">
        <v>1783.45</v>
      </c>
      <c r="C7514" s="427">
        <f t="shared" si="234"/>
        <v>2012</v>
      </c>
      <c r="D7514" s="433">
        <f t="shared" si="235"/>
        <v>1783.45</v>
      </c>
    </row>
    <row r="7515" spans="1:4" ht="16.149999999999999" customHeight="1" x14ac:dyDescent="0.25">
      <c r="A7515" s="431">
        <v>41075</v>
      </c>
      <c r="B7515" s="432">
        <v>1787.63</v>
      </c>
      <c r="C7515" s="427">
        <f t="shared" si="234"/>
        <v>2012</v>
      </c>
      <c r="D7515" s="433">
        <f t="shared" si="235"/>
        <v>1787.63</v>
      </c>
    </row>
    <row r="7516" spans="1:4" ht="16.149999999999999" customHeight="1" x14ac:dyDescent="0.25">
      <c r="A7516" s="431">
        <v>41076</v>
      </c>
      <c r="B7516" s="434">
        <v>1786.21</v>
      </c>
      <c r="C7516" s="427">
        <f t="shared" si="234"/>
        <v>2012</v>
      </c>
      <c r="D7516" s="433">
        <f t="shared" si="235"/>
        <v>1786.21</v>
      </c>
    </row>
    <row r="7517" spans="1:4" ht="16.149999999999999" customHeight="1" x14ac:dyDescent="0.25">
      <c r="A7517" s="431">
        <v>41077</v>
      </c>
      <c r="B7517" s="432">
        <v>1786.21</v>
      </c>
      <c r="C7517" s="427">
        <f t="shared" si="234"/>
        <v>2012</v>
      </c>
      <c r="D7517" s="433">
        <f t="shared" si="235"/>
        <v>1786.21</v>
      </c>
    </row>
    <row r="7518" spans="1:4" ht="16.149999999999999" customHeight="1" x14ac:dyDescent="0.25">
      <c r="A7518" s="431">
        <v>41078</v>
      </c>
      <c r="B7518" s="434">
        <v>1786.21</v>
      </c>
      <c r="C7518" s="427">
        <f t="shared" si="234"/>
        <v>2012</v>
      </c>
      <c r="D7518" s="433">
        <f t="shared" si="235"/>
        <v>1786.21</v>
      </c>
    </row>
    <row r="7519" spans="1:4" ht="16.149999999999999" customHeight="1" x14ac:dyDescent="0.25">
      <c r="A7519" s="431">
        <v>41079</v>
      </c>
      <c r="B7519" s="432">
        <v>1786.21</v>
      </c>
      <c r="C7519" s="427">
        <f t="shared" si="234"/>
        <v>2012</v>
      </c>
      <c r="D7519" s="433">
        <f t="shared" si="235"/>
        <v>1786.21</v>
      </c>
    </row>
    <row r="7520" spans="1:4" ht="16.149999999999999" customHeight="1" x14ac:dyDescent="0.25">
      <c r="A7520" s="431">
        <v>41080</v>
      </c>
      <c r="B7520" s="434">
        <v>1773.18</v>
      </c>
      <c r="C7520" s="427">
        <f t="shared" si="234"/>
        <v>2012</v>
      </c>
      <c r="D7520" s="433">
        <f t="shared" si="235"/>
        <v>1773.18</v>
      </c>
    </row>
    <row r="7521" spans="1:4" ht="16.149999999999999" customHeight="1" x14ac:dyDescent="0.25">
      <c r="A7521" s="431">
        <v>41081</v>
      </c>
      <c r="B7521" s="432">
        <v>1770.38</v>
      </c>
      <c r="C7521" s="427">
        <f t="shared" si="234"/>
        <v>2012</v>
      </c>
      <c r="D7521" s="433">
        <f t="shared" si="235"/>
        <v>1770.38</v>
      </c>
    </row>
    <row r="7522" spans="1:4" ht="16.149999999999999" customHeight="1" x14ac:dyDescent="0.25">
      <c r="A7522" s="431">
        <v>41082</v>
      </c>
      <c r="B7522" s="434">
        <v>1775.99</v>
      </c>
      <c r="C7522" s="427">
        <f t="shared" si="234"/>
        <v>2012</v>
      </c>
      <c r="D7522" s="433">
        <f t="shared" si="235"/>
        <v>1775.99</v>
      </c>
    </row>
    <row r="7523" spans="1:4" ht="16.149999999999999" customHeight="1" x14ac:dyDescent="0.25">
      <c r="A7523" s="431">
        <v>41083</v>
      </c>
      <c r="B7523" s="432">
        <v>1787.47</v>
      </c>
      <c r="C7523" s="427">
        <f t="shared" si="234"/>
        <v>2012</v>
      </c>
      <c r="D7523" s="433">
        <f t="shared" si="235"/>
        <v>1787.47</v>
      </c>
    </row>
    <row r="7524" spans="1:4" ht="16.149999999999999" customHeight="1" x14ac:dyDescent="0.25">
      <c r="A7524" s="431">
        <v>41084</v>
      </c>
      <c r="B7524" s="434">
        <v>1787.47</v>
      </c>
      <c r="C7524" s="427">
        <f t="shared" si="234"/>
        <v>2012</v>
      </c>
      <c r="D7524" s="433">
        <f t="shared" si="235"/>
        <v>1787.47</v>
      </c>
    </row>
    <row r="7525" spans="1:4" ht="16.149999999999999" customHeight="1" x14ac:dyDescent="0.25">
      <c r="A7525" s="431">
        <v>41085</v>
      </c>
      <c r="B7525" s="432">
        <v>1787.47</v>
      </c>
      <c r="C7525" s="427">
        <f t="shared" si="234"/>
        <v>2012</v>
      </c>
      <c r="D7525" s="433">
        <f t="shared" si="235"/>
        <v>1787.47</v>
      </c>
    </row>
    <row r="7526" spans="1:4" ht="16.149999999999999" customHeight="1" x14ac:dyDescent="0.25">
      <c r="A7526" s="431">
        <v>41086</v>
      </c>
      <c r="B7526" s="434">
        <v>1803.37</v>
      </c>
      <c r="C7526" s="427">
        <f t="shared" si="234"/>
        <v>2012</v>
      </c>
      <c r="D7526" s="433">
        <f t="shared" si="235"/>
        <v>1803.37</v>
      </c>
    </row>
    <row r="7527" spans="1:4" ht="16.149999999999999" customHeight="1" x14ac:dyDescent="0.25">
      <c r="A7527" s="431">
        <v>41087</v>
      </c>
      <c r="B7527" s="432">
        <v>1805.14</v>
      </c>
      <c r="C7527" s="427">
        <f t="shared" si="234"/>
        <v>2012</v>
      </c>
      <c r="D7527" s="433">
        <f t="shared" si="235"/>
        <v>1805.14</v>
      </c>
    </row>
    <row r="7528" spans="1:4" ht="16.149999999999999" customHeight="1" x14ac:dyDescent="0.25">
      <c r="A7528" s="431">
        <v>41088</v>
      </c>
      <c r="B7528" s="434">
        <v>1796.18</v>
      </c>
      <c r="C7528" s="427">
        <f t="shared" si="234"/>
        <v>2012</v>
      </c>
      <c r="D7528" s="433">
        <f t="shared" si="235"/>
        <v>1796.18</v>
      </c>
    </row>
    <row r="7529" spans="1:4" ht="16.149999999999999" customHeight="1" x14ac:dyDescent="0.25">
      <c r="A7529" s="431">
        <v>41089</v>
      </c>
      <c r="B7529" s="432">
        <v>1805.6</v>
      </c>
      <c r="C7529" s="427">
        <f t="shared" si="234"/>
        <v>2012</v>
      </c>
      <c r="D7529" s="433">
        <f t="shared" si="235"/>
        <v>1805.6</v>
      </c>
    </row>
    <row r="7530" spans="1:4" ht="16.149999999999999" customHeight="1" x14ac:dyDescent="0.25">
      <c r="A7530" s="431">
        <v>41090</v>
      </c>
      <c r="B7530" s="434">
        <v>1784.6</v>
      </c>
      <c r="C7530" s="427">
        <f t="shared" si="234"/>
        <v>2012</v>
      </c>
      <c r="D7530" s="433">
        <f t="shared" si="235"/>
        <v>1784.6</v>
      </c>
    </row>
    <row r="7531" spans="1:4" ht="16.149999999999999" customHeight="1" x14ac:dyDescent="0.25">
      <c r="A7531" s="431">
        <v>41091</v>
      </c>
      <c r="B7531" s="432">
        <v>1784.6</v>
      </c>
      <c r="C7531" s="427">
        <f t="shared" si="234"/>
        <v>2012</v>
      </c>
      <c r="D7531" s="433">
        <f t="shared" si="235"/>
        <v>1784.6</v>
      </c>
    </row>
    <row r="7532" spans="1:4" ht="16.149999999999999" customHeight="1" x14ac:dyDescent="0.25">
      <c r="A7532" s="431">
        <v>41092</v>
      </c>
      <c r="B7532" s="434">
        <v>1784.6</v>
      </c>
      <c r="C7532" s="427">
        <f t="shared" si="234"/>
        <v>2012</v>
      </c>
      <c r="D7532" s="433">
        <f t="shared" si="235"/>
        <v>1784.6</v>
      </c>
    </row>
    <row r="7533" spans="1:4" ht="16.149999999999999" customHeight="1" x14ac:dyDescent="0.25">
      <c r="A7533" s="431">
        <v>41093</v>
      </c>
      <c r="B7533" s="432">
        <v>1784.6</v>
      </c>
      <c r="C7533" s="427">
        <f t="shared" si="234"/>
        <v>2012</v>
      </c>
      <c r="D7533" s="433">
        <f t="shared" si="235"/>
        <v>1784.6</v>
      </c>
    </row>
    <row r="7534" spans="1:4" ht="16.149999999999999" customHeight="1" x14ac:dyDescent="0.25">
      <c r="A7534" s="431">
        <v>41094</v>
      </c>
      <c r="B7534" s="434">
        <v>1771.53</v>
      </c>
      <c r="C7534" s="427">
        <f t="shared" si="234"/>
        <v>2012</v>
      </c>
      <c r="D7534" s="433">
        <f t="shared" si="235"/>
        <v>1771.53</v>
      </c>
    </row>
    <row r="7535" spans="1:4" ht="16.149999999999999" customHeight="1" x14ac:dyDescent="0.25">
      <c r="A7535" s="431">
        <v>41095</v>
      </c>
      <c r="B7535" s="432">
        <v>1771.53</v>
      </c>
      <c r="C7535" s="427">
        <f t="shared" si="234"/>
        <v>2012</v>
      </c>
      <c r="D7535" s="433">
        <f t="shared" si="235"/>
        <v>1771.53</v>
      </c>
    </row>
    <row r="7536" spans="1:4" ht="16.149999999999999" customHeight="1" x14ac:dyDescent="0.25">
      <c r="A7536" s="431">
        <v>41096</v>
      </c>
      <c r="B7536" s="434">
        <v>1774.37</v>
      </c>
      <c r="C7536" s="427">
        <f t="shared" si="234"/>
        <v>2012</v>
      </c>
      <c r="D7536" s="433">
        <f t="shared" si="235"/>
        <v>1774.37</v>
      </c>
    </row>
    <row r="7537" spans="1:4" ht="16.149999999999999" customHeight="1" x14ac:dyDescent="0.25">
      <c r="A7537" s="431">
        <v>41097</v>
      </c>
      <c r="B7537" s="432">
        <v>1785.25</v>
      </c>
      <c r="C7537" s="427">
        <f t="shared" si="234"/>
        <v>2012</v>
      </c>
      <c r="D7537" s="433">
        <f t="shared" si="235"/>
        <v>1785.25</v>
      </c>
    </row>
    <row r="7538" spans="1:4" ht="16.149999999999999" customHeight="1" x14ac:dyDescent="0.25">
      <c r="A7538" s="431">
        <v>41098</v>
      </c>
      <c r="B7538" s="434">
        <v>1785.25</v>
      </c>
      <c r="C7538" s="427">
        <f t="shared" si="234"/>
        <v>2012</v>
      </c>
      <c r="D7538" s="433">
        <f t="shared" si="235"/>
        <v>1785.25</v>
      </c>
    </row>
    <row r="7539" spans="1:4" ht="16.149999999999999" customHeight="1" x14ac:dyDescent="0.25">
      <c r="A7539" s="431">
        <v>41099</v>
      </c>
      <c r="B7539" s="432">
        <v>1785.25</v>
      </c>
      <c r="C7539" s="427">
        <f t="shared" si="234"/>
        <v>2012</v>
      </c>
      <c r="D7539" s="433">
        <f t="shared" si="235"/>
        <v>1785.25</v>
      </c>
    </row>
    <row r="7540" spans="1:4" ht="16.149999999999999" customHeight="1" x14ac:dyDescent="0.25">
      <c r="A7540" s="431">
        <v>41100</v>
      </c>
      <c r="B7540" s="434">
        <v>1790.25</v>
      </c>
      <c r="C7540" s="427">
        <f t="shared" si="234"/>
        <v>2012</v>
      </c>
      <c r="D7540" s="433">
        <f t="shared" si="235"/>
        <v>1790.25</v>
      </c>
    </row>
    <row r="7541" spans="1:4" ht="16.149999999999999" customHeight="1" x14ac:dyDescent="0.25">
      <c r="A7541" s="431">
        <v>41101</v>
      </c>
      <c r="B7541" s="432">
        <v>1785.06</v>
      </c>
      <c r="C7541" s="427">
        <f t="shared" si="234"/>
        <v>2012</v>
      </c>
      <c r="D7541" s="433">
        <f t="shared" si="235"/>
        <v>1785.06</v>
      </c>
    </row>
    <row r="7542" spans="1:4" ht="16.149999999999999" customHeight="1" x14ac:dyDescent="0.25">
      <c r="A7542" s="431">
        <v>41102</v>
      </c>
      <c r="B7542" s="434">
        <v>1787.72</v>
      </c>
      <c r="C7542" s="427">
        <f t="shared" si="234"/>
        <v>2012</v>
      </c>
      <c r="D7542" s="433">
        <f t="shared" si="235"/>
        <v>1787.72</v>
      </c>
    </row>
    <row r="7543" spans="1:4" ht="16.149999999999999" customHeight="1" x14ac:dyDescent="0.25">
      <c r="A7543" s="431">
        <v>41103</v>
      </c>
      <c r="B7543" s="432">
        <v>1790.12</v>
      </c>
      <c r="C7543" s="427">
        <f t="shared" si="234"/>
        <v>2012</v>
      </c>
      <c r="D7543" s="433">
        <f t="shared" si="235"/>
        <v>1790.12</v>
      </c>
    </row>
    <row r="7544" spans="1:4" ht="16.149999999999999" customHeight="1" x14ac:dyDescent="0.25">
      <c r="A7544" s="431">
        <v>41104</v>
      </c>
      <c r="B7544" s="434">
        <v>1780.21</v>
      </c>
      <c r="C7544" s="427">
        <f t="shared" si="234"/>
        <v>2012</v>
      </c>
      <c r="D7544" s="433">
        <f t="shared" si="235"/>
        <v>1780.21</v>
      </c>
    </row>
    <row r="7545" spans="1:4" ht="16.149999999999999" customHeight="1" x14ac:dyDescent="0.25">
      <c r="A7545" s="431">
        <v>41105</v>
      </c>
      <c r="B7545" s="432">
        <v>1780.21</v>
      </c>
      <c r="C7545" s="427">
        <f t="shared" si="234"/>
        <v>2012</v>
      </c>
      <c r="D7545" s="433">
        <f t="shared" si="235"/>
        <v>1780.21</v>
      </c>
    </row>
    <row r="7546" spans="1:4" ht="16.149999999999999" customHeight="1" x14ac:dyDescent="0.25">
      <c r="A7546" s="431">
        <v>41106</v>
      </c>
      <c r="B7546" s="434">
        <v>1780.21</v>
      </c>
      <c r="C7546" s="427">
        <f t="shared" si="234"/>
        <v>2012</v>
      </c>
      <c r="D7546" s="433">
        <f t="shared" si="235"/>
        <v>1780.21</v>
      </c>
    </row>
    <row r="7547" spans="1:4" ht="16.149999999999999" customHeight="1" x14ac:dyDescent="0.25">
      <c r="A7547" s="431">
        <v>41107</v>
      </c>
      <c r="B7547" s="432">
        <v>1778.42</v>
      </c>
      <c r="C7547" s="427">
        <f t="shared" si="234"/>
        <v>2012</v>
      </c>
      <c r="D7547" s="433">
        <f t="shared" si="235"/>
        <v>1778.42</v>
      </c>
    </row>
    <row r="7548" spans="1:4" ht="16.149999999999999" customHeight="1" x14ac:dyDescent="0.25">
      <c r="A7548" s="431">
        <v>41108</v>
      </c>
      <c r="B7548" s="434">
        <v>1778.97</v>
      </c>
      <c r="C7548" s="427">
        <f t="shared" si="234"/>
        <v>2012</v>
      </c>
      <c r="D7548" s="433">
        <f t="shared" si="235"/>
        <v>1778.97</v>
      </c>
    </row>
    <row r="7549" spans="1:4" ht="16.149999999999999" customHeight="1" x14ac:dyDescent="0.25">
      <c r="A7549" s="431">
        <v>41109</v>
      </c>
      <c r="B7549" s="432">
        <v>1778.28</v>
      </c>
      <c r="C7549" s="427">
        <f t="shared" si="234"/>
        <v>2012</v>
      </c>
      <c r="D7549" s="433">
        <f t="shared" si="235"/>
        <v>1778.28</v>
      </c>
    </row>
    <row r="7550" spans="1:4" ht="16.149999999999999" customHeight="1" x14ac:dyDescent="0.25">
      <c r="A7550" s="431">
        <v>41110</v>
      </c>
      <c r="B7550" s="434">
        <v>1775.8</v>
      </c>
      <c r="C7550" s="427">
        <f t="shared" si="234"/>
        <v>2012</v>
      </c>
      <c r="D7550" s="433">
        <f t="shared" si="235"/>
        <v>1775.8</v>
      </c>
    </row>
    <row r="7551" spans="1:4" ht="16.149999999999999" customHeight="1" x14ac:dyDescent="0.25">
      <c r="A7551" s="431">
        <v>41111</v>
      </c>
      <c r="B7551" s="432">
        <v>1775.8</v>
      </c>
      <c r="C7551" s="427">
        <f t="shared" si="234"/>
        <v>2012</v>
      </c>
      <c r="D7551" s="433">
        <f t="shared" si="235"/>
        <v>1775.8</v>
      </c>
    </row>
    <row r="7552" spans="1:4" ht="16.149999999999999" customHeight="1" x14ac:dyDescent="0.25">
      <c r="A7552" s="431">
        <v>41112</v>
      </c>
      <c r="B7552" s="434">
        <v>1775.8</v>
      </c>
      <c r="C7552" s="427">
        <f t="shared" si="234"/>
        <v>2012</v>
      </c>
      <c r="D7552" s="433">
        <f t="shared" si="235"/>
        <v>1775.8</v>
      </c>
    </row>
    <row r="7553" spans="1:4" ht="16.149999999999999" customHeight="1" x14ac:dyDescent="0.25">
      <c r="A7553" s="431">
        <v>41113</v>
      </c>
      <c r="B7553" s="432">
        <v>1775.8</v>
      </c>
      <c r="C7553" s="427">
        <f t="shared" si="234"/>
        <v>2012</v>
      </c>
      <c r="D7553" s="433">
        <f t="shared" si="235"/>
        <v>1775.8</v>
      </c>
    </row>
    <row r="7554" spans="1:4" ht="16.149999999999999" customHeight="1" x14ac:dyDescent="0.25">
      <c r="A7554" s="431">
        <v>41114</v>
      </c>
      <c r="B7554" s="434">
        <v>1790.39</v>
      </c>
      <c r="C7554" s="427">
        <f t="shared" si="234"/>
        <v>2012</v>
      </c>
      <c r="D7554" s="433">
        <f t="shared" si="235"/>
        <v>1790.39</v>
      </c>
    </row>
    <row r="7555" spans="1:4" ht="16.149999999999999" customHeight="1" x14ac:dyDescent="0.25">
      <c r="A7555" s="431">
        <v>41115</v>
      </c>
      <c r="B7555" s="432">
        <v>1797.33</v>
      </c>
      <c r="C7555" s="427">
        <f t="shared" si="234"/>
        <v>2012</v>
      </c>
      <c r="D7555" s="433">
        <f t="shared" si="235"/>
        <v>1797.33</v>
      </c>
    </row>
    <row r="7556" spans="1:4" ht="16.149999999999999" customHeight="1" x14ac:dyDescent="0.25">
      <c r="A7556" s="431">
        <v>41116</v>
      </c>
      <c r="B7556" s="434">
        <v>1799.48</v>
      </c>
      <c r="C7556" s="427">
        <f t="shared" si="234"/>
        <v>2012</v>
      </c>
      <c r="D7556" s="433">
        <f t="shared" si="235"/>
        <v>1799.48</v>
      </c>
    </row>
    <row r="7557" spans="1:4" ht="16.149999999999999" customHeight="1" x14ac:dyDescent="0.25">
      <c r="A7557" s="431">
        <v>41117</v>
      </c>
      <c r="B7557" s="432">
        <v>1789.22</v>
      </c>
      <c r="C7557" s="427">
        <f t="shared" si="234"/>
        <v>2012</v>
      </c>
      <c r="D7557" s="433">
        <f t="shared" si="235"/>
        <v>1789.22</v>
      </c>
    </row>
    <row r="7558" spans="1:4" ht="16.149999999999999" customHeight="1" x14ac:dyDescent="0.25">
      <c r="A7558" s="431">
        <v>41118</v>
      </c>
      <c r="B7558" s="434">
        <v>1791.12</v>
      </c>
      <c r="C7558" s="427">
        <f t="shared" si="234"/>
        <v>2012</v>
      </c>
      <c r="D7558" s="433">
        <f t="shared" si="235"/>
        <v>1791.12</v>
      </c>
    </row>
    <row r="7559" spans="1:4" ht="16.149999999999999" customHeight="1" x14ac:dyDescent="0.25">
      <c r="A7559" s="431">
        <v>41119</v>
      </c>
      <c r="B7559" s="432">
        <v>1791.12</v>
      </c>
      <c r="C7559" s="427">
        <f t="shared" si="234"/>
        <v>2012</v>
      </c>
      <c r="D7559" s="433">
        <f t="shared" si="235"/>
        <v>1791.12</v>
      </c>
    </row>
    <row r="7560" spans="1:4" ht="16.149999999999999" customHeight="1" x14ac:dyDescent="0.25">
      <c r="A7560" s="431">
        <v>41120</v>
      </c>
      <c r="B7560" s="434">
        <v>1791.12</v>
      </c>
      <c r="C7560" s="427">
        <f t="shared" si="234"/>
        <v>2012</v>
      </c>
      <c r="D7560" s="433">
        <f t="shared" si="235"/>
        <v>1791.12</v>
      </c>
    </row>
    <row r="7561" spans="1:4" ht="16.149999999999999" customHeight="1" x14ac:dyDescent="0.25">
      <c r="A7561" s="431">
        <v>41121</v>
      </c>
      <c r="B7561" s="432">
        <v>1789.02</v>
      </c>
      <c r="C7561" s="427">
        <f t="shared" si="234"/>
        <v>2012</v>
      </c>
      <c r="D7561" s="433">
        <f t="shared" si="235"/>
        <v>1789.02</v>
      </c>
    </row>
    <row r="7562" spans="1:4" ht="16.149999999999999" customHeight="1" x14ac:dyDescent="0.25">
      <c r="A7562" s="431">
        <v>41122</v>
      </c>
      <c r="B7562" s="434">
        <v>1790.74</v>
      </c>
      <c r="C7562" s="427">
        <f t="shared" ref="C7562:C7625" si="236">YEAR(A7562)</f>
        <v>2012</v>
      </c>
      <c r="D7562" s="433">
        <f t="shared" ref="D7562:D7625" si="237">B7562</f>
        <v>1790.74</v>
      </c>
    </row>
    <row r="7563" spans="1:4" ht="16.149999999999999" customHeight="1" x14ac:dyDescent="0.25">
      <c r="A7563" s="431">
        <v>41123</v>
      </c>
      <c r="B7563" s="432">
        <v>1787.51</v>
      </c>
      <c r="C7563" s="427">
        <f t="shared" si="236"/>
        <v>2012</v>
      </c>
      <c r="D7563" s="433">
        <f t="shared" si="237"/>
        <v>1787.51</v>
      </c>
    </row>
    <row r="7564" spans="1:4" ht="16.149999999999999" customHeight="1" x14ac:dyDescent="0.25">
      <c r="A7564" s="431">
        <v>41124</v>
      </c>
      <c r="B7564" s="434">
        <v>1790.97</v>
      </c>
      <c r="C7564" s="427">
        <f t="shared" si="236"/>
        <v>2012</v>
      </c>
      <c r="D7564" s="433">
        <f t="shared" si="237"/>
        <v>1790.97</v>
      </c>
    </row>
    <row r="7565" spans="1:4" ht="16.149999999999999" customHeight="1" x14ac:dyDescent="0.25">
      <c r="A7565" s="431">
        <v>41125</v>
      </c>
      <c r="B7565" s="432">
        <v>1786.06</v>
      </c>
      <c r="C7565" s="427">
        <f t="shared" si="236"/>
        <v>2012</v>
      </c>
      <c r="D7565" s="433">
        <f t="shared" si="237"/>
        <v>1786.06</v>
      </c>
    </row>
    <row r="7566" spans="1:4" ht="16.149999999999999" customHeight="1" x14ac:dyDescent="0.25">
      <c r="A7566" s="431">
        <v>41126</v>
      </c>
      <c r="B7566" s="434">
        <v>1786.06</v>
      </c>
      <c r="C7566" s="427">
        <f t="shared" si="236"/>
        <v>2012</v>
      </c>
      <c r="D7566" s="433">
        <f t="shared" si="237"/>
        <v>1786.06</v>
      </c>
    </row>
    <row r="7567" spans="1:4" ht="16.149999999999999" customHeight="1" x14ac:dyDescent="0.25">
      <c r="A7567" s="431">
        <v>41127</v>
      </c>
      <c r="B7567" s="432">
        <v>1786.06</v>
      </c>
      <c r="C7567" s="427">
        <f t="shared" si="236"/>
        <v>2012</v>
      </c>
      <c r="D7567" s="433">
        <f t="shared" si="237"/>
        <v>1786.06</v>
      </c>
    </row>
    <row r="7568" spans="1:4" ht="16.149999999999999" customHeight="1" x14ac:dyDescent="0.25">
      <c r="A7568" s="431">
        <v>41128</v>
      </c>
      <c r="B7568" s="434">
        <v>1785.29</v>
      </c>
      <c r="C7568" s="427">
        <f t="shared" si="236"/>
        <v>2012</v>
      </c>
      <c r="D7568" s="433">
        <f t="shared" si="237"/>
        <v>1785.29</v>
      </c>
    </row>
    <row r="7569" spans="1:4" ht="16.149999999999999" customHeight="1" x14ac:dyDescent="0.25">
      <c r="A7569" s="431">
        <v>41129</v>
      </c>
      <c r="B7569" s="432">
        <v>1785.29</v>
      </c>
      <c r="C7569" s="427">
        <f t="shared" si="236"/>
        <v>2012</v>
      </c>
      <c r="D7569" s="433">
        <f t="shared" si="237"/>
        <v>1785.29</v>
      </c>
    </row>
    <row r="7570" spans="1:4" ht="16.149999999999999" customHeight="1" x14ac:dyDescent="0.25">
      <c r="A7570" s="431">
        <v>41130</v>
      </c>
      <c r="B7570" s="434">
        <v>1788.03</v>
      </c>
      <c r="C7570" s="427">
        <f t="shared" si="236"/>
        <v>2012</v>
      </c>
      <c r="D7570" s="433">
        <f t="shared" si="237"/>
        <v>1788.03</v>
      </c>
    </row>
    <row r="7571" spans="1:4" ht="16.149999999999999" customHeight="1" x14ac:dyDescent="0.25">
      <c r="A7571" s="431">
        <v>41131</v>
      </c>
      <c r="B7571" s="432">
        <v>1788.08</v>
      </c>
      <c r="C7571" s="427">
        <f t="shared" si="236"/>
        <v>2012</v>
      </c>
      <c r="D7571" s="433">
        <f t="shared" si="237"/>
        <v>1788.08</v>
      </c>
    </row>
    <row r="7572" spans="1:4" ht="16.149999999999999" customHeight="1" x14ac:dyDescent="0.25">
      <c r="A7572" s="431">
        <v>41132</v>
      </c>
      <c r="B7572" s="434">
        <v>1791.61</v>
      </c>
      <c r="C7572" s="427">
        <f t="shared" si="236"/>
        <v>2012</v>
      </c>
      <c r="D7572" s="433">
        <f t="shared" si="237"/>
        <v>1791.61</v>
      </c>
    </row>
    <row r="7573" spans="1:4" ht="16.149999999999999" customHeight="1" x14ac:dyDescent="0.25">
      <c r="A7573" s="431">
        <v>41133</v>
      </c>
      <c r="B7573" s="432">
        <v>1791.61</v>
      </c>
      <c r="C7573" s="427">
        <f t="shared" si="236"/>
        <v>2012</v>
      </c>
      <c r="D7573" s="433">
        <f t="shared" si="237"/>
        <v>1791.61</v>
      </c>
    </row>
    <row r="7574" spans="1:4" ht="16.149999999999999" customHeight="1" x14ac:dyDescent="0.25">
      <c r="A7574" s="431">
        <v>41134</v>
      </c>
      <c r="B7574" s="434">
        <v>1791.61</v>
      </c>
      <c r="C7574" s="427">
        <f t="shared" si="236"/>
        <v>2012</v>
      </c>
      <c r="D7574" s="433">
        <f t="shared" si="237"/>
        <v>1791.61</v>
      </c>
    </row>
    <row r="7575" spans="1:4" ht="16.149999999999999" customHeight="1" x14ac:dyDescent="0.25">
      <c r="A7575" s="431">
        <v>41135</v>
      </c>
      <c r="B7575" s="432">
        <v>1792.86</v>
      </c>
      <c r="C7575" s="427">
        <f t="shared" si="236"/>
        <v>2012</v>
      </c>
      <c r="D7575" s="433">
        <f t="shared" si="237"/>
        <v>1792.86</v>
      </c>
    </row>
    <row r="7576" spans="1:4" ht="16.149999999999999" customHeight="1" x14ac:dyDescent="0.25">
      <c r="A7576" s="431">
        <v>41136</v>
      </c>
      <c r="B7576" s="434">
        <v>1800.81</v>
      </c>
      <c r="C7576" s="427">
        <f t="shared" si="236"/>
        <v>2012</v>
      </c>
      <c r="D7576" s="433">
        <f t="shared" si="237"/>
        <v>1800.81</v>
      </c>
    </row>
    <row r="7577" spans="1:4" ht="16.149999999999999" customHeight="1" x14ac:dyDescent="0.25">
      <c r="A7577" s="431">
        <v>41137</v>
      </c>
      <c r="B7577" s="432">
        <v>1817.18</v>
      </c>
      <c r="C7577" s="427">
        <f t="shared" si="236"/>
        <v>2012</v>
      </c>
      <c r="D7577" s="433">
        <f t="shared" si="237"/>
        <v>1817.18</v>
      </c>
    </row>
    <row r="7578" spans="1:4" ht="16.149999999999999" customHeight="1" x14ac:dyDescent="0.25">
      <c r="A7578" s="431">
        <v>41138</v>
      </c>
      <c r="B7578" s="434">
        <v>1825.52</v>
      </c>
      <c r="C7578" s="427">
        <f t="shared" si="236"/>
        <v>2012</v>
      </c>
      <c r="D7578" s="433">
        <f t="shared" si="237"/>
        <v>1825.52</v>
      </c>
    </row>
    <row r="7579" spans="1:4" ht="16.149999999999999" customHeight="1" x14ac:dyDescent="0.25">
      <c r="A7579" s="431">
        <v>41139</v>
      </c>
      <c r="B7579" s="432">
        <v>1822.59</v>
      </c>
      <c r="C7579" s="427">
        <f t="shared" si="236"/>
        <v>2012</v>
      </c>
      <c r="D7579" s="433">
        <f t="shared" si="237"/>
        <v>1822.59</v>
      </c>
    </row>
    <row r="7580" spans="1:4" ht="16.149999999999999" customHeight="1" x14ac:dyDescent="0.25">
      <c r="A7580" s="431">
        <v>41140</v>
      </c>
      <c r="B7580" s="434">
        <v>1822.59</v>
      </c>
      <c r="C7580" s="427">
        <f t="shared" si="236"/>
        <v>2012</v>
      </c>
      <c r="D7580" s="433">
        <f t="shared" si="237"/>
        <v>1822.59</v>
      </c>
    </row>
    <row r="7581" spans="1:4" ht="16.149999999999999" customHeight="1" x14ac:dyDescent="0.25">
      <c r="A7581" s="431">
        <v>41141</v>
      </c>
      <c r="B7581" s="432">
        <v>1822.59</v>
      </c>
      <c r="C7581" s="427">
        <f t="shared" si="236"/>
        <v>2012</v>
      </c>
      <c r="D7581" s="433">
        <f t="shared" si="237"/>
        <v>1822.59</v>
      </c>
    </row>
    <row r="7582" spans="1:4" ht="16.149999999999999" customHeight="1" x14ac:dyDescent="0.25">
      <c r="A7582" s="431">
        <v>41142</v>
      </c>
      <c r="B7582" s="434">
        <v>1822.59</v>
      </c>
      <c r="C7582" s="427">
        <f t="shared" si="236"/>
        <v>2012</v>
      </c>
      <c r="D7582" s="433">
        <f t="shared" si="237"/>
        <v>1822.59</v>
      </c>
    </row>
    <row r="7583" spans="1:4" ht="16.149999999999999" customHeight="1" x14ac:dyDescent="0.25">
      <c r="A7583" s="431">
        <v>41143</v>
      </c>
      <c r="B7583" s="432">
        <v>1815.8</v>
      </c>
      <c r="C7583" s="427">
        <f t="shared" si="236"/>
        <v>2012</v>
      </c>
      <c r="D7583" s="433">
        <f t="shared" si="237"/>
        <v>1815.8</v>
      </c>
    </row>
    <row r="7584" spans="1:4" ht="16.149999999999999" customHeight="1" x14ac:dyDescent="0.25">
      <c r="A7584" s="431">
        <v>41144</v>
      </c>
      <c r="B7584" s="434">
        <v>1812.88</v>
      </c>
      <c r="C7584" s="427">
        <f t="shared" si="236"/>
        <v>2012</v>
      </c>
      <c r="D7584" s="433">
        <f t="shared" si="237"/>
        <v>1812.88</v>
      </c>
    </row>
    <row r="7585" spans="1:4" ht="16.149999999999999" customHeight="1" x14ac:dyDescent="0.25">
      <c r="A7585" s="431">
        <v>41145</v>
      </c>
      <c r="B7585" s="432">
        <v>1808.33</v>
      </c>
      <c r="C7585" s="427">
        <f t="shared" si="236"/>
        <v>2012</v>
      </c>
      <c r="D7585" s="433">
        <f t="shared" si="237"/>
        <v>1808.33</v>
      </c>
    </row>
    <row r="7586" spans="1:4" ht="16.149999999999999" customHeight="1" x14ac:dyDescent="0.25">
      <c r="A7586" s="431">
        <v>41146</v>
      </c>
      <c r="B7586" s="434">
        <v>1814.83</v>
      </c>
      <c r="C7586" s="427">
        <f t="shared" si="236"/>
        <v>2012</v>
      </c>
      <c r="D7586" s="433">
        <f t="shared" si="237"/>
        <v>1814.83</v>
      </c>
    </row>
    <row r="7587" spans="1:4" ht="16.149999999999999" customHeight="1" x14ac:dyDescent="0.25">
      <c r="A7587" s="431">
        <v>41147</v>
      </c>
      <c r="B7587" s="432">
        <v>1814.83</v>
      </c>
      <c r="C7587" s="427">
        <f t="shared" si="236"/>
        <v>2012</v>
      </c>
      <c r="D7587" s="433">
        <f t="shared" si="237"/>
        <v>1814.83</v>
      </c>
    </row>
    <row r="7588" spans="1:4" ht="16.149999999999999" customHeight="1" x14ac:dyDescent="0.25">
      <c r="A7588" s="431">
        <v>41148</v>
      </c>
      <c r="B7588" s="434">
        <v>1814.83</v>
      </c>
      <c r="C7588" s="427">
        <f t="shared" si="236"/>
        <v>2012</v>
      </c>
      <c r="D7588" s="433">
        <f t="shared" si="237"/>
        <v>1814.83</v>
      </c>
    </row>
    <row r="7589" spans="1:4" ht="16.149999999999999" customHeight="1" x14ac:dyDescent="0.25">
      <c r="A7589" s="431">
        <v>41149</v>
      </c>
      <c r="B7589" s="432">
        <v>1821.44</v>
      </c>
      <c r="C7589" s="427">
        <f t="shared" si="236"/>
        <v>2012</v>
      </c>
      <c r="D7589" s="433">
        <f t="shared" si="237"/>
        <v>1821.44</v>
      </c>
    </row>
    <row r="7590" spans="1:4" ht="16.149999999999999" customHeight="1" x14ac:dyDescent="0.25">
      <c r="A7590" s="431">
        <v>41150</v>
      </c>
      <c r="B7590" s="434">
        <v>1828.99</v>
      </c>
      <c r="C7590" s="427">
        <f t="shared" si="236"/>
        <v>2012</v>
      </c>
      <c r="D7590" s="433">
        <f t="shared" si="237"/>
        <v>1828.99</v>
      </c>
    </row>
    <row r="7591" spans="1:4" ht="16.149999999999999" customHeight="1" x14ac:dyDescent="0.25">
      <c r="A7591" s="431">
        <v>41151</v>
      </c>
      <c r="B7591" s="432">
        <v>1833.14</v>
      </c>
      <c r="C7591" s="427">
        <f t="shared" si="236"/>
        <v>2012</v>
      </c>
      <c r="D7591" s="433">
        <f t="shared" si="237"/>
        <v>1833.14</v>
      </c>
    </row>
    <row r="7592" spans="1:4" ht="16.149999999999999" customHeight="1" x14ac:dyDescent="0.25">
      <c r="A7592" s="431">
        <v>41152</v>
      </c>
      <c r="B7592" s="434">
        <v>1830.5</v>
      </c>
      <c r="C7592" s="427">
        <f t="shared" si="236"/>
        <v>2012</v>
      </c>
      <c r="D7592" s="433">
        <f t="shared" si="237"/>
        <v>1830.5</v>
      </c>
    </row>
    <row r="7593" spans="1:4" ht="16.149999999999999" customHeight="1" x14ac:dyDescent="0.25">
      <c r="A7593" s="431">
        <v>41153</v>
      </c>
      <c r="B7593" s="432">
        <v>1825.21</v>
      </c>
      <c r="C7593" s="427">
        <f t="shared" si="236"/>
        <v>2012</v>
      </c>
      <c r="D7593" s="433">
        <f t="shared" si="237"/>
        <v>1825.21</v>
      </c>
    </row>
    <row r="7594" spans="1:4" ht="16.149999999999999" customHeight="1" x14ac:dyDescent="0.25">
      <c r="A7594" s="431">
        <v>41154</v>
      </c>
      <c r="B7594" s="434">
        <v>1825.21</v>
      </c>
      <c r="C7594" s="427">
        <f t="shared" si="236"/>
        <v>2012</v>
      </c>
      <c r="D7594" s="433">
        <f t="shared" si="237"/>
        <v>1825.21</v>
      </c>
    </row>
    <row r="7595" spans="1:4" ht="16.149999999999999" customHeight="1" x14ac:dyDescent="0.25">
      <c r="A7595" s="431">
        <v>41155</v>
      </c>
      <c r="B7595" s="432">
        <v>1825.21</v>
      </c>
      <c r="C7595" s="427">
        <f t="shared" si="236"/>
        <v>2012</v>
      </c>
      <c r="D7595" s="433">
        <f t="shared" si="237"/>
        <v>1825.21</v>
      </c>
    </row>
    <row r="7596" spans="1:4" ht="16.149999999999999" customHeight="1" x14ac:dyDescent="0.25">
      <c r="A7596" s="431">
        <v>41156</v>
      </c>
      <c r="B7596" s="434">
        <v>1825.21</v>
      </c>
      <c r="C7596" s="427">
        <f t="shared" si="236"/>
        <v>2012</v>
      </c>
      <c r="D7596" s="433">
        <f t="shared" si="237"/>
        <v>1825.21</v>
      </c>
    </row>
    <row r="7597" spans="1:4" ht="16.149999999999999" customHeight="1" x14ac:dyDescent="0.25">
      <c r="A7597" s="431">
        <v>41157</v>
      </c>
      <c r="B7597" s="432">
        <v>1824.81</v>
      </c>
      <c r="C7597" s="427">
        <f t="shared" si="236"/>
        <v>2012</v>
      </c>
      <c r="D7597" s="433">
        <f t="shared" si="237"/>
        <v>1824.81</v>
      </c>
    </row>
    <row r="7598" spans="1:4" ht="16.149999999999999" customHeight="1" x14ac:dyDescent="0.25">
      <c r="A7598" s="431">
        <v>41158</v>
      </c>
      <c r="B7598" s="434">
        <v>1814.06</v>
      </c>
      <c r="C7598" s="427">
        <f t="shared" si="236"/>
        <v>2012</v>
      </c>
      <c r="D7598" s="433">
        <f t="shared" si="237"/>
        <v>1814.06</v>
      </c>
    </row>
    <row r="7599" spans="1:4" ht="16.149999999999999" customHeight="1" x14ac:dyDescent="0.25">
      <c r="A7599" s="431">
        <v>41159</v>
      </c>
      <c r="B7599" s="432">
        <v>1804.09</v>
      </c>
      <c r="C7599" s="427">
        <f t="shared" si="236"/>
        <v>2012</v>
      </c>
      <c r="D7599" s="433">
        <f t="shared" si="237"/>
        <v>1804.09</v>
      </c>
    </row>
    <row r="7600" spans="1:4" ht="16.149999999999999" customHeight="1" x14ac:dyDescent="0.25">
      <c r="A7600" s="431">
        <v>41160</v>
      </c>
      <c r="B7600" s="434">
        <v>1797.35</v>
      </c>
      <c r="C7600" s="427">
        <f t="shared" si="236"/>
        <v>2012</v>
      </c>
      <c r="D7600" s="433">
        <f t="shared" si="237"/>
        <v>1797.35</v>
      </c>
    </row>
    <row r="7601" spans="1:4" ht="16.149999999999999" customHeight="1" x14ac:dyDescent="0.25">
      <c r="A7601" s="431">
        <v>41161</v>
      </c>
      <c r="B7601" s="432">
        <v>1797.35</v>
      </c>
      <c r="C7601" s="427">
        <f t="shared" si="236"/>
        <v>2012</v>
      </c>
      <c r="D7601" s="433">
        <f t="shared" si="237"/>
        <v>1797.35</v>
      </c>
    </row>
    <row r="7602" spans="1:4" ht="16.149999999999999" customHeight="1" x14ac:dyDescent="0.25">
      <c r="A7602" s="431">
        <v>41162</v>
      </c>
      <c r="B7602" s="434">
        <v>1797.35</v>
      </c>
      <c r="C7602" s="427">
        <f t="shared" si="236"/>
        <v>2012</v>
      </c>
      <c r="D7602" s="433">
        <f t="shared" si="237"/>
        <v>1797.35</v>
      </c>
    </row>
    <row r="7603" spans="1:4" ht="16.149999999999999" customHeight="1" x14ac:dyDescent="0.25">
      <c r="A7603" s="431">
        <v>41163</v>
      </c>
      <c r="B7603" s="432">
        <v>1802.23</v>
      </c>
      <c r="C7603" s="427">
        <f t="shared" si="236"/>
        <v>2012</v>
      </c>
      <c r="D7603" s="433">
        <f t="shared" si="237"/>
        <v>1802.23</v>
      </c>
    </row>
    <row r="7604" spans="1:4" ht="16.149999999999999" customHeight="1" x14ac:dyDescent="0.25">
      <c r="A7604" s="431">
        <v>41164</v>
      </c>
      <c r="B7604" s="434">
        <v>1795.4</v>
      </c>
      <c r="C7604" s="427">
        <f t="shared" si="236"/>
        <v>2012</v>
      </c>
      <c r="D7604" s="433">
        <f t="shared" si="237"/>
        <v>1795.4</v>
      </c>
    </row>
    <row r="7605" spans="1:4" ht="16.149999999999999" customHeight="1" x14ac:dyDescent="0.25">
      <c r="A7605" s="431">
        <v>41165</v>
      </c>
      <c r="B7605" s="432">
        <v>1802.22</v>
      </c>
      <c r="C7605" s="427">
        <f t="shared" si="236"/>
        <v>2012</v>
      </c>
      <c r="D7605" s="433">
        <f t="shared" si="237"/>
        <v>1802.22</v>
      </c>
    </row>
    <row r="7606" spans="1:4" ht="16.149999999999999" customHeight="1" x14ac:dyDescent="0.25">
      <c r="A7606" s="431">
        <v>41166</v>
      </c>
      <c r="B7606" s="434">
        <v>1799.57</v>
      </c>
      <c r="C7606" s="427">
        <f t="shared" si="236"/>
        <v>2012</v>
      </c>
      <c r="D7606" s="433">
        <f t="shared" si="237"/>
        <v>1799.57</v>
      </c>
    </row>
    <row r="7607" spans="1:4" ht="16.149999999999999" customHeight="1" x14ac:dyDescent="0.25">
      <c r="A7607" s="431">
        <v>41167</v>
      </c>
      <c r="B7607" s="432">
        <v>1789.54</v>
      </c>
      <c r="C7607" s="427">
        <f t="shared" si="236"/>
        <v>2012</v>
      </c>
      <c r="D7607" s="433">
        <f t="shared" si="237"/>
        <v>1789.54</v>
      </c>
    </row>
    <row r="7608" spans="1:4" ht="16.149999999999999" customHeight="1" x14ac:dyDescent="0.25">
      <c r="A7608" s="431">
        <v>41168</v>
      </c>
      <c r="B7608" s="434">
        <v>1789.54</v>
      </c>
      <c r="C7608" s="427">
        <f t="shared" si="236"/>
        <v>2012</v>
      </c>
      <c r="D7608" s="433">
        <f t="shared" si="237"/>
        <v>1789.54</v>
      </c>
    </row>
    <row r="7609" spans="1:4" ht="16.149999999999999" customHeight="1" x14ac:dyDescent="0.25">
      <c r="A7609" s="431">
        <v>41169</v>
      </c>
      <c r="B7609" s="432">
        <v>1789.54</v>
      </c>
      <c r="C7609" s="427">
        <f t="shared" si="236"/>
        <v>2012</v>
      </c>
      <c r="D7609" s="433">
        <f t="shared" si="237"/>
        <v>1789.54</v>
      </c>
    </row>
    <row r="7610" spans="1:4" ht="16.149999999999999" customHeight="1" x14ac:dyDescent="0.25">
      <c r="A7610" s="431">
        <v>41170</v>
      </c>
      <c r="B7610" s="434">
        <v>1799.77</v>
      </c>
      <c r="C7610" s="427">
        <f t="shared" si="236"/>
        <v>2012</v>
      </c>
      <c r="D7610" s="433">
        <f t="shared" si="237"/>
        <v>1799.77</v>
      </c>
    </row>
    <row r="7611" spans="1:4" ht="16.149999999999999" customHeight="1" x14ac:dyDescent="0.25">
      <c r="A7611" s="431">
        <v>41171</v>
      </c>
      <c r="B7611" s="432">
        <v>1800.19</v>
      </c>
      <c r="C7611" s="427">
        <f t="shared" si="236"/>
        <v>2012</v>
      </c>
      <c r="D7611" s="433">
        <f t="shared" si="237"/>
        <v>1800.19</v>
      </c>
    </row>
    <row r="7612" spans="1:4" ht="16.149999999999999" customHeight="1" x14ac:dyDescent="0.25">
      <c r="A7612" s="431">
        <v>41172</v>
      </c>
      <c r="B7612" s="434">
        <v>1795.66</v>
      </c>
      <c r="C7612" s="427">
        <f t="shared" si="236"/>
        <v>2012</v>
      </c>
      <c r="D7612" s="433">
        <f t="shared" si="237"/>
        <v>1795.66</v>
      </c>
    </row>
    <row r="7613" spans="1:4" ht="16.149999999999999" customHeight="1" x14ac:dyDescent="0.25">
      <c r="A7613" s="431">
        <v>41173</v>
      </c>
      <c r="B7613" s="432">
        <v>1798.98</v>
      </c>
      <c r="C7613" s="427">
        <f t="shared" si="236"/>
        <v>2012</v>
      </c>
      <c r="D7613" s="433">
        <f t="shared" si="237"/>
        <v>1798.98</v>
      </c>
    </row>
    <row r="7614" spans="1:4" ht="16.149999999999999" customHeight="1" x14ac:dyDescent="0.25">
      <c r="A7614" s="431">
        <v>41174</v>
      </c>
      <c r="B7614" s="434">
        <v>1796.75</v>
      </c>
      <c r="C7614" s="427">
        <f t="shared" si="236"/>
        <v>2012</v>
      </c>
      <c r="D7614" s="433">
        <f t="shared" si="237"/>
        <v>1796.75</v>
      </c>
    </row>
    <row r="7615" spans="1:4" ht="16.149999999999999" customHeight="1" x14ac:dyDescent="0.25">
      <c r="A7615" s="431">
        <v>41175</v>
      </c>
      <c r="B7615" s="432">
        <v>1796.75</v>
      </c>
      <c r="C7615" s="427">
        <f t="shared" si="236"/>
        <v>2012</v>
      </c>
      <c r="D7615" s="433">
        <f t="shared" si="237"/>
        <v>1796.75</v>
      </c>
    </row>
    <row r="7616" spans="1:4" ht="16.149999999999999" customHeight="1" x14ac:dyDescent="0.25">
      <c r="A7616" s="431">
        <v>41176</v>
      </c>
      <c r="B7616" s="434">
        <v>1796.75</v>
      </c>
      <c r="C7616" s="427">
        <f t="shared" si="236"/>
        <v>2012</v>
      </c>
      <c r="D7616" s="433">
        <f t="shared" si="237"/>
        <v>1796.75</v>
      </c>
    </row>
    <row r="7617" spans="1:4" ht="16.149999999999999" customHeight="1" x14ac:dyDescent="0.25">
      <c r="A7617" s="431">
        <v>41177</v>
      </c>
      <c r="B7617" s="432">
        <v>1799.29</v>
      </c>
      <c r="C7617" s="427">
        <f t="shared" si="236"/>
        <v>2012</v>
      </c>
      <c r="D7617" s="433">
        <f t="shared" si="237"/>
        <v>1799.29</v>
      </c>
    </row>
    <row r="7618" spans="1:4" ht="16.149999999999999" customHeight="1" x14ac:dyDescent="0.25">
      <c r="A7618" s="431">
        <v>41178</v>
      </c>
      <c r="B7618" s="434">
        <v>1795.69</v>
      </c>
      <c r="C7618" s="427">
        <f t="shared" si="236"/>
        <v>2012</v>
      </c>
      <c r="D7618" s="433">
        <f t="shared" si="237"/>
        <v>1795.69</v>
      </c>
    </row>
    <row r="7619" spans="1:4" ht="16.149999999999999" customHeight="1" x14ac:dyDescent="0.25">
      <c r="A7619" s="431">
        <v>41179</v>
      </c>
      <c r="B7619" s="432">
        <v>1799.55</v>
      </c>
      <c r="C7619" s="427">
        <f t="shared" si="236"/>
        <v>2012</v>
      </c>
      <c r="D7619" s="433">
        <f t="shared" si="237"/>
        <v>1799.55</v>
      </c>
    </row>
    <row r="7620" spans="1:4" ht="16.149999999999999" customHeight="1" x14ac:dyDescent="0.25">
      <c r="A7620" s="431">
        <v>41180</v>
      </c>
      <c r="B7620" s="434">
        <v>1798.08</v>
      </c>
      <c r="C7620" s="427">
        <f t="shared" si="236"/>
        <v>2012</v>
      </c>
      <c r="D7620" s="433">
        <f t="shared" si="237"/>
        <v>1798.08</v>
      </c>
    </row>
    <row r="7621" spans="1:4" ht="16.149999999999999" customHeight="1" x14ac:dyDescent="0.25">
      <c r="A7621" s="431">
        <v>41181</v>
      </c>
      <c r="B7621" s="432">
        <v>1800.52</v>
      </c>
      <c r="C7621" s="427">
        <f t="shared" si="236"/>
        <v>2012</v>
      </c>
      <c r="D7621" s="433">
        <f t="shared" si="237"/>
        <v>1800.52</v>
      </c>
    </row>
    <row r="7622" spans="1:4" ht="16.149999999999999" customHeight="1" x14ac:dyDescent="0.25">
      <c r="A7622" s="431">
        <v>41182</v>
      </c>
      <c r="B7622" s="434">
        <v>1800.52</v>
      </c>
      <c r="C7622" s="427">
        <f t="shared" si="236"/>
        <v>2012</v>
      </c>
      <c r="D7622" s="433">
        <f t="shared" si="237"/>
        <v>1800.52</v>
      </c>
    </row>
    <row r="7623" spans="1:4" ht="16.149999999999999" customHeight="1" x14ac:dyDescent="0.25">
      <c r="A7623" s="431">
        <v>41183</v>
      </c>
      <c r="B7623" s="432">
        <v>1800.52</v>
      </c>
      <c r="C7623" s="427">
        <f t="shared" si="236"/>
        <v>2012</v>
      </c>
      <c r="D7623" s="433">
        <f t="shared" si="237"/>
        <v>1800.52</v>
      </c>
    </row>
    <row r="7624" spans="1:4" ht="16.149999999999999" customHeight="1" x14ac:dyDescent="0.25">
      <c r="A7624" s="431">
        <v>41184</v>
      </c>
      <c r="B7624" s="434">
        <v>1797.97</v>
      </c>
      <c r="C7624" s="427">
        <f t="shared" si="236"/>
        <v>2012</v>
      </c>
      <c r="D7624" s="433">
        <f t="shared" si="237"/>
        <v>1797.97</v>
      </c>
    </row>
    <row r="7625" spans="1:4" ht="16.149999999999999" customHeight="1" x14ac:dyDescent="0.25">
      <c r="A7625" s="431">
        <v>41185</v>
      </c>
      <c r="B7625" s="432">
        <v>1798.86</v>
      </c>
      <c r="C7625" s="427">
        <f t="shared" si="236"/>
        <v>2012</v>
      </c>
      <c r="D7625" s="433">
        <f t="shared" si="237"/>
        <v>1798.86</v>
      </c>
    </row>
    <row r="7626" spans="1:4" ht="16.149999999999999" customHeight="1" x14ac:dyDescent="0.25">
      <c r="A7626" s="431">
        <v>41186</v>
      </c>
      <c r="B7626" s="434">
        <v>1800.43</v>
      </c>
      <c r="C7626" s="427">
        <f t="shared" ref="C7626:C7689" si="238">YEAR(A7626)</f>
        <v>2012</v>
      </c>
      <c r="D7626" s="433">
        <f t="shared" ref="D7626:D7689" si="239">B7626</f>
        <v>1800.43</v>
      </c>
    </row>
    <row r="7627" spans="1:4" ht="16.149999999999999" customHeight="1" x14ac:dyDescent="0.25">
      <c r="A7627" s="431">
        <v>41187</v>
      </c>
      <c r="B7627" s="432">
        <v>1797.68</v>
      </c>
      <c r="C7627" s="427">
        <f t="shared" si="238"/>
        <v>2012</v>
      </c>
      <c r="D7627" s="433">
        <f t="shared" si="239"/>
        <v>1797.68</v>
      </c>
    </row>
    <row r="7628" spans="1:4" ht="16.149999999999999" customHeight="1" x14ac:dyDescent="0.25">
      <c r="A7628" s="431">
        <v>41188</v>
      </c>
      <c r="B7628" s="434">
        <v>1795.4</v>
      </c>
      <c r="C7628" s="427">
        <f t="shared" si="238"/>
        <v>2012</v>
      </c>
      <c r="D7628" s="433">
        <f t="shared" si="239"/>
        <v>1795.4</v>
      </c>
    </row>
    <row r="7629" spans="1:4" ht="16.149999999999999" customHeight="1" x14ac:dyDescent="0.25">
      <c r="A7629" s="431">
        <v>41189</v>
      </c>
      <c r="B7629" s="432">
        <v>1795.4</v>
      </c>
      <c r="C7629" s="427">
        <f t="shared" si="238"/>
        <v>2012</v>
      </c>
      <c r="D7629" s="433">
        <f t="shared" si="239"/>
        <v>1795.4</v>
      </c>
    </row>
    <row r="7630" spans="1:4" ht="16.149999999999999" customHeight="1" x14ac:dyDescent="0.25">
      <c r="A7630" s="431">
        <v>41190</v>
      </c>
      <c r="B7630" s="434">
        <v>1795.4</v>
      </c>
      <c r="C7630" s="427">
        <f t="shared" si="238"/>
        <v>2012</v>
      </c>
      <c r="D7630" s="433">
        <f t="shared" si="239"/>
        <v>1795.4</v>
      </c>
    </row>
    <row r="7631" spans="1:4" ht="16.149999999999999" customHeight="1" x14ac:dyDescent="0.25">
      <c r="A7631" s="431">
        <v>41191</v>
      </c>
      <c r="B7631" s="432">
        <v>1795.4</v>
      </c>
      <c r="C7631" s="427">
        <f t="shared" si="238"/>
        <v>2012</v>
      </c>
      <c r="D7631" s="433">
        <f t="shared" si="239"/>
        <v>1795.4</v>
      </c>
    </row>
    <row r="7632" spans="1:4" ht="16.149999999999999" customHeight="1" x14ac:dyDescent="0.25">
      <c r="A7632" s="431">
        <v>41192</v>
      </c>
      <c r="B7632" s="434">
        <v>1798.32</v>
      </c>
      <c r="C7632" s="427">
        <f t="shared" si="238"/>
        <v>2012</v>
      </c>
      <c r="D7632" s="433">
        <f t="shared" si="239"/>
        <v>1798.32</v>
      </c>
    </row>
    <row r="7633" spans="1:4" ht="16.149999999999999" customHeight="1" x14ac:dyDescent="0.25">
      <c r="A7633" s="431">
        <v>41193</v>
      </c>
      <c r="B7633" s="432">
        <v>1799.78</v>
      </c>
      <c r="C7633" s="427">
        <f t="shared" si="238"/>
        <v>2012</v>
      </c>
      <c r="D7633" s="433">
        <f t="shared" si="239"/>
        <v>1799.78</v>
      </c>
    </row>
    <row r="7634" spans="1:4" ht="16.149999999999999" customHeight="1" x14ac:dyDescent="0.25">
      <c r="A7634" s="431">
        <v>41194</v>
      </c>
      <c r="B7634" s="434">
        <v>1797.68</v>
      </c>
      <c r="C7634" s="427">
        <f t="shared" si="238"/>
        <v>2012</v>
      </c>
      <c r="D7634" s="433">
        <f t="shared" si="239"/>
        <v>1797.68</v>
      </c>
    </row>
    <row r="7635" spans="1:4" ht="16.149999999999999" customHeight="1" x14ac:dyDescent="0.25">
      <c r="A7635" s="431">
        <v>41195</v>
      </c>
      <c r="B7635" s="432">
        <v>1797.68</v>
      </c>
      <c r="C7635" s="427">
        <f t="shared" si="238"/>
        <v>2012</v>
      </c>
      <c r="D7635" s="433">
        <f t="shared" si="239"/>
        <v>1797.68</v>
      </c>
    </row>
    <row r="7636" spans="1:4" ht="16.149999999999999" customHeight="1" x14ac:dyDescent="0.25">
      <c r="A7636" s="431">
        <v>41196</v>
      </c>
      <c r="B7636" s="434">
        <v>1797.68</v>
      </c>
      <c r="C7636" s="427">
        <f t="shared" si="238"/>
        <v>2012</v>
      </c>
      <c r="D7636" s="433">
        <f t="shared" si="239"/>
        <v>1797.68</v>
      </c>
    </row>
    <row r="7637" spans="1:4" ht="16.149999999999999" customHeight="1" x14ac:dyDescent="0.25">
      <c r="A7637" s="431">
        <v>41197</v>
      </c>
      <c r="B7637" s="432">
        <v>1797.68</v>
      </c>
      <c r="C7637" s="427">
        <f t="shared" si="238"/>
        <v>2012</v>
      </c>
      <c r="D7637" s="433">
        <f t="shared" si="239"/>
        <v>1797.68</v>
      </c>
    </row>
    <row r="7638" spans="1:4" ht="16.149999999999999" customHeight="1" x14ac:dyDescent="0.25">
      <c r="A7638" s="431">
        <v>41198</v>
      </c>
      <c r="B7638" s="434">
        <v>1797.68</v>
      </c>
      <c r="C7638" s="427">
        <f t="shared" si="238"/>
        <v>2012</v>
      </c>
      <c r="D7638" s="433">
        <f t="shared" si="239"/>
        <v>1797.68</v>
      </c>
    </row>
    <row r="7639" spans="1:4" ht="16.149999999999999" customHeight="1" x14ac:dyDescent="0.25">
      <c r="A7639" s="431">
        <v>41199</v>
      </c>
      <c r="B7639" s="432">
        <v>1797.81</v>
      </c>
      <c r="C7639" s="427">
        <f t="shared" si="238"/>
        <v>2012</v>
      </c>
      <c r="D7639" s="433">
        <f t="shared" si="239"/>
        <v>1797.81</v>
      </c>
    </row>
    <row r="7640" spans="1:4" ht="16.149999999999999" customHeight="1" x14ac:dyDescent="0.25">
      <c r="A7640" s="431">
        <v>41200</v>
      </c>
      <c r="B7640" s="434">
        <v>1798.53</v>
      </c>
      <c r="C7640" s="427">
        <f t="shared" si="238"/>
        <v>2012</v>
      </c>
      <c r="D7640" s="433">
        <f t="shared" si="239"/>
        <v>1798.53</v>
      </c>
    </row>
    <row r="7641" spans="1:4" ht="16.149999999999999" customHeight="1" x14ac:dyDescent="0.25">
      <c r="A7641" s="431">
        <v>41201</v>
      </c>
      <c r="B7641" s="432">
        <v>1797.66</v>
      </c>
      <c r="C7641" s="427">
        <f t="shared" si="238"/>
        <v>2012</v>
      </c>
      <c r="D7641" s="433">
        <f t="shared" si="239"/>
        <v>1797.66</v>
      </c>
    </row>
    <row r="7642" spans="1:4" ht="16.149999999999999" customHeight="1" x14ac:dyDescent="0.25">
      <c r="A7642" s="431">
        <v>41202</v>
      </c>
      <c r="B7642" s="434">
        <v>1798.42</v>
      </c>
      <c r="C7642" s="427">
        <f t="shared" si="238"/>
        <v>2012</v>
      </c>
      <c r="D7642" s="433">
        <f t="shared" si="239"/>
        <v>1798.42</v>
      </c>
    </row>
    <row r="7643" spans="1:4" ht="16.149999999999999" customHeight="1" x14ac:dyDescent="0.25">
      <c r="A7643" s="431">
        <v>41203</v>
      </c>
      <c r="B7643" s="432">
        <v>1798.42</v>
      </c>
      <c r="C7643" s="427">
        <f t="shared" si="238"/>
        <v>2012</v>
      </c>
      <c r="D7643" s="433">
        <f t="shared" si="239"/>
        <v>1798.42</v>
      </c>
    </row>
    <row r="7644" spans="1:4" ht="16.149999999999999" customHeight="1" x14ac:dyDescent="0.25">
      <c r="A7644" s="431">
        <v>41204</v>
      </c>
      <c r="B7644" s="434">
        <v>1798.42</v>
      </c>
      <c r="C7644" s="427">
        <f t="shared" si="238"/>
        <v>2012</v>
      </c>
      <c r="D7644" s="433">
        <f t="shared" si="239"/>
        <v>1798.42</v>
      </c>
    </row>
    <row r="7645" spans="1:4" ht="16.149999999999999" customHeight="1" x14ac:dyDescent="0.25">
      <c r="A7645" s="431">
        <v>41205</v>
      </c>
      <c r="B7645" s="432">
        <v>1802.91</v>
      </c>
      <c r="C7645" s="427">
        <f t="shared" si="238"/>
        <v>2012</v>
      </c>
      <c r="D7645" s="433">
        <f t="shared" si="239"/>
        <v>1802.91</v>
      </c>
    </row>
    <row r="7646" spans="1:4" ht="16.149999999999999" customHeight="1" x14ac:dyDescent="0.25">
      <c r="A7646" s="431">
        <v>41206</v>
      </c>
      <c r="B7646" s="434">
        <v>1816.6</v>
      </c>
      <c r="C7646" s="427">
        <f t="shared" si="238"/>
        <v>2012</v>
      </c>
      <c r="D7646" s="433">
        <f t="shared" si="239"/>
        <v>1816.6</v>
      </c>
    </row>
    <row r="7647" spans="1:4" ht="16.149999999999999" customHeight="1" x14ac:dyDescent="0.25">
      <c r="A7647" s="431">
        <v>41207</v>
      </c>
      <c r="B7647" s="432">
        <v>1817.25</v>
      </c>
      <c r="C7647" s="427">
        <f t="shared" si="238"/>
        <v>2012</v>
      </c>
      <c r="D7647" s="433">
        <f t="shared" si="239"/>
        <v>1817.25</v>
      </c>
    </row>
    <row r="7648" spans="1:4" ht="16.149999999999999" customHeight="1" x14ac:dyDescent="0.25">
      <c r="A7648" s="431">
        <v>41208</v>
      </c>
      <c r="B7648" s="434">
        <v>1816.97</v>
      </c>
      <c r="C7648" s="427">
        <f t="shared" si="238"/>
        <v>2012</v>
      </c>
      <c r="D7648" s="433">
        <f t="shared" si="239"/>
        <v>1816.97</v>
      </c>
    </row>
    <row r="7649" spans="1:4" ht="16.149999999999999" customHeight="1" x14ac:dyDescent="0.25">
      <c r="A7649" s="431">
        <v>41209</v>
      </c>
      <c r="B7649" s="432">
        <v>1823.18</v>
      </c>
      <c r="C7649" s="427">
        <f t="shared" si="238"/>
        <v>2012</v>
      </c>
      <c r="D7649" s="433">
        <f t="shared" si="239"/>
        <v>1823.18</v>
      </c>
    </row>
    <row r="7650" spans="1:4" ht="16.149999999999999" customHeight="1" x14ac:dyDescent="0.25">
      <c r="A7650" s="431">
        <v>41210</v>
      </c>
      <c r="B7650" s="434">
        <v>1823.18</v>
      </c>
      <c r="C7650" s="427">
        <f t="shared" si="238"/>
        <v>2012</v>
      </c>
      <c r="D7650" s="433">
        <f t="shared" si="239"/>
        <v>1823.18</v>
      </c>
    </row>
    <row r="7651" spans="1:4" ht="16.149999999999999" customHeight="1" x14ac:dyDescent="0.25">
      <c r="A7651" s="431">
        <v>41211</v>
      </c>
      <c r="B7651" s="432">
        <v>1823.18</v>
      </c>
      <c r="C7651" s="427">
        <f t="shared" si="238"/>
        <v>2012</v>
      </c>
      <c r="D7651" s="433">
        <f t="shared" si="239"/>
        <v>1823.18</v>
      </c>
    </row>
    <row r="7652" spans="1:4" ht="16.149999999999999" customHeight="1" x14ac:dyDescent="0.25">
      <c r="A7652" s="431">
        <v>41212</v>
      </c>
      <c r="B7652" s="434">
        <v>1830.45</v>
      </c>
      <c r="C7652" s="427">
        <f t="shared" si="238"/>
        <v>2012</v>
      </c>
      <c r="D7652" s="433">
        <f t="shared" si="239"/>
        <v>1830.45</v>
      </c>
    </row>
    <row r="7653" spans="1:4" ht="16.149999999999999" customHeight="1" x14ac:dyDescent="0.25">
      <c r="A7653" s="431">
        <v>41213</v>
      </c>
      <c r="B7653" s="432">
        <v>1829.89</v>
      </c>
      <c r="C7653" s="427">
        <f t="shared" si="238"/>
        <v>2012</v>
      </c>
      <c r="D7653" s="433">
        <f t="shared" si="239"/>
        <v>1829.89</v>
      </c>
    </row>
    <row r="7654" spans="1:4" ht="16.149999999999999" customHeight="1" x14ac:dyDescent="0.25">
      <c r="A7654" s="431">
        <v>41214</v>
      </c>
      <c r="B7654" s="434">
        <v>1831.25</v>
      </c>
      <c r="C7654" s="427">
        <f t="shared" si="238"/>
        <v>2012</v>
      </c>
      <c r="D7654" s="433">
        <f t="shared" si="239"/>
        <v>1831.25</v>
      </c>
    </row>
    <row r="7655" spans="1:4" ht="16.149999999999999" customHeight="1" x14ac:dyDescent="0.25">
      <c r="A7655" s="431">
        <v>41215</v>
      </c>
      <c r="B7655" s="432">
        <v>1825.5</v>
      </c>
      <c r="C7655" s="427">
        <f t="shared" si="238"/>
        <v>2012</v>
      </c>
      <c r="D7655" s="433">
        <f t="shared" si="239"/>
        <v>1825.5</v>
      </c>
    </row>
    <row r="7656" spans="1:4" ht="16.149999999999999" customHeight="1" x14ac:dyDescent="0.25">
      <c r="A7656" s="431">
        <v>41216</v>
      </c>
      <c r="B7656" s="434">
        <v>1828.8</v>
      </c>
      <c r="C7656" s="427">
        <f t="shared" si="238"/>
        <v>2012</v>
      </c>
      <c r="D7656" s="433">
        <f t="shared" si="239"/>
        <v>1828.8</v>
      </c>
    </row>
    <row r="7657" spans="1:4" ht="16.149999999999999" customHeight="1" x14ac:dyDescent="0.25">
      <c r="A7657" s="431">
        <v>41217</v>
      </c>
      <c r="B7657" s="432">
        <v>1828.8</v>
      </c>
      <c r="C7657" s="427">
        <f t="shared" si="238"/>
        <v>2012</v>
      </c>
      <c r="D7657" s="433">
        <f t="shared" si="239"/>
        <v>1828.8</v>
      </c>
    </row>
    <row r="7658" spans="1:4" ht="16.149999999999999" customHeight="1" x14ac:dyDescent="0.25">
      <c r="A7658" s="431">
        <v>41218</v>
      </c>
      <c r="B7658" s="434">
        <v>1828.8</v>
      </c>
      <c r="C7658" s="427">
        <f t="shared" si="238"/>
        <v>2012</v>
      </c>
      <c r="D7658" s="433">
        <f t="shared" si="239"/>
        <v>1828.8</v>
      </c>
    </row>
    <row r="7659" spans="1:4" ht="16.149999999999999" customHeight="1" x14ac:dyDescent="0.25">
      <c r="A7659" s="431">
        <v>41219</v>
      </c>
      <c r="B7659" s="432">
        <v>1828.8</v>
      </c>
      <c r="C7659" s="427">
        <f t="shared" si="238"/>
        <v>2012</v>
      </c>
      <c r="D7659" s="433">
        <f t="shared" si="239"/>
        <v>1828.8</v>
      </c>
    </row>
    <row r="7660" spans="1:4" ht="16.149999999999999" customHeight="1" x14ac:dyDescent="0.25">
      <c r="A7660" s="431">
        <v>41220</v>
      </c>
      <c r="B7660" s="434">
        <v>1814.99</v>
      </c>
      <c r="C7660" s="427">
        <f t="shared" si="238"/>
        <v>2012</v>
      </c>
      <c r="D7660" s="433">
        <f t="shared" si="239"/>
        <v>1814.99</v>
      </c>
    </row>
    <row r="7661" spans="1:4" ht="16.149999999999999" customHeight="1" x14ac:dyDescent="0.25">
      <c r="A7661" s="431">
        <v>41221</v>
      </c>
      <c r="B7661" s="432">
        <v>1814.83</v>
      </c>
      <c r="C7661" s="427">
        <f t="shared" si="238"/>
        <v>2012</v>
      </c>
      <c r="D7661" s="433">
        <f t="shared" si="239"/>
        <v>1814.83</v>
      </c>
    </row>
    <row r="7662" spans="1:4" ht="16.149999999999999" customHeight="1" x14ac:dyDescent="0.25">
      <c r="A7662" s="431">
        <v>41222</v>
      </c>
      <c r="B7662" s="434">
        <v>1814.21</v>
      </c>
      <c r="C7662" s="427">
        <f t="shared" si="238"/>
        <v>2012</v>
      </c>
      <c r="D7662" s="433">
        <f t="shared" si="239"/>
        <v>1814.21</v>
      </c>
    </row>
    <row r="7663" spans="1:4" ht="16.149999999999999" customHeight="1" x14ac:dyDescent="0.25">
      <c r="A7663" s="431">
        <v>41223</v>
      </c>
      <c r="B7663" s="432">
        <v>1816.99</v>
      </c>
      <c r="C7663" s="427">
        <f t="shared" si="238"/>
        <v>2012</v>
      </c>
      <c r="D7663" s="433">
        <f t="shared" si="239"/>
        <v>1816.99</v>
      </c>
    </row>
    <row r="7664" spans="1:4" ht="16.149999999999999" customHeight="1" x14ac:dyDescent="0.25">
      <c r="A7664" s="431">
        <v>41224</v>
      </c>
      <c r="B7664" s="434">
        <v>1816.99</v>
      </c>
      <c r="C7664" s="427">
        <f t="shared" si="238"/>
        <v>2012</v>
      </c>
      <c r="D7664" s="433">
        <f t="shared" si="239"/>
        <v>1816.99</v>
      </c>
    </row>
    <row r="7665" spans="1:4" ht="16.149999999999999" customHeight="1" x14ac:dyDescent="0.25">
      <c r="A7665" s="431">
        <v>41225</v>
      </c>
      <c r="B7665" s="432">
        <v>1816.99</v>
      </c>
      <c r="C7665" s="427">
        <f t="shared" si="238"/>
        <v>2012</v>
      </c>
      <c r="D7665" s="433">
        <f t="shared" si="239"/>
        <v>1816.99</v>
      </c>
    </row>
    <row r="7666" spans="1:4" ht="16.149999999999999" customHeight="1" x14ac:dyDescent="0.25">
      <c r="A7666" s="431">
        <v>41226</v>
      </c>
      <c r="B7666" s="434">
        <v>1816.99</v>
      </c>
      <c r="C7666" s="427">
        <f t="shared" si="238"/>
        <v>2012</v>
      </c>
      <c r="D7666" s="433">
        <f t="shared" si="239"/>
        <v>1816.99</v>
      </c>
    </row>
    <row r="7667" spans="1:4" ht="16.149999999999999" customHeight="1" x14ac:dyDescent="0.25">
      <c r="A7667" s="431">
        <v>41227</v>
      </c>
      <c r="B7667" s="432">
        <v>1819.3</v>
      </c>
      <c r="C7667" s="427">
        <f t="shared" si="238"/>
        <v>2012</v>
      </c>
      <c r="D7667" s="433">
        <f t="shared" si="239"/>
        <v>1819.3</v>
      </c>
    </row>
    <row r="7668" spans="1:4" ht="16.149999999999999" customHeight="1" x14ac:dyDescent="0.25">
      <c r="A7668" s="431">
        <v>41228</v>
      </c>
      <c r="B7668" s="434">
        <v>1818.2</v>
      </c>
      <c r="C7668" s="427">
        <f t="shared" si="238"/>
        <v>2012</v>
      </c>
      <c r="D7668" s="433">
        <f t="shared" si="239"/>
        <v>1818.2</v>
      </c>
    </row>
    <row r="7669" spans="1:4" ht="16.149999999999999" customHeight="1" x14ac:dyDescent="0.25">
      <c r="A7669" s="431">
        <v>41229</v>
      </c>
      <c r="B7669" s="432">
        <v>1822.61</v>
      </c>
      <c r="C7669" s="427">
        <f t="shared" si="238"/>
        <v>2012</v>
      </c>
      <c r="D7669" s="433">
        <f t="shared" si="239"/>
        <v>1822.61</v>
      </c>
    </row>
    <row r="7670" spans="1:4" ht="16.149999999999999" customHeight="1" x14ac:dyDescent="0.25">
      <c r="A7670" s="431">
        <v>41230</v>
      </c>
      <c r="B7670" s="434">
        <v>1823.46</v>
      </c>
      <c r="C7670" s="427">
        <f t="shared" si="238"/>
        <v>2012</v>
      </c>
      <c r="D7670" s="433">
        <f t="shared" si="239"/>
        <v>1823.46</v>
      </c>
    </row>
    <row r="7671" spans="1:4" ht="16.149999999999999" customHeight="1" x14ac:dyDescent="0.25">
      <c r="A7671" s="431">
        <v>41231</v>
      </c>
      <c r="B7671" s="432">
        <v>1823.46</v>
      </c>
      <c r="C7671" s="427">
        <f t="shared" si="238"/>
        <v>2012</v>
      </c>
      <c r="D7671" s="433">
        <f t="shared" si="239"/>
        <v>1823.46</v>
      </c>
    </row>
    <row r="7672" spans="1:4" ht="16.149999999999999" customHeight="1" x14ac:dyDescent="0.25">
      <c r="A7672" s="431">
        <v>41232</v>
      </c>
      <c r="B7672" s="434">
        <v>1823.46</v>
      </c>
      <c r="C7672" s="427">
        <f t="shared" si="238"/>
        <v>2012</v>
      </c>
      <c r="D7672" s="433">
        <f t="shared" si="239"/>
        <v>1823.46</v>
      </c>
    </row>
    <row r="7673" spans="1:4" ht="16.149999999999999" customHeight="1" x14ac:dyDescent="0.25">
      <c r="A7673" s="431">
        <v>41233</v>
      </c>
      <c r="B7673" s="432">
        <v>1817.67</v>
      </c>
      <c r="C7673" s="427">
        <f t="shared" si="238"/>
        <v>2012</v>
      </c>
      <c r="D7673" s="433">
        <f t="shared" si="239"/>
        <v>1817.67</v>
      </c>
    </row>
    <row r="7674" spans="1:4" ht="16.149999999999999" customHeight="1" x14ac:dyDescent="0.25">
      <c r="A7674" s="431">
        <v>41234</v>
      </c>
      <c r="B7674" s="434">
        <v>1815.58</v>
      </c>
      <c r="C7674" s="427">
        <f t="shared" si="238"/>
        <v>2012</v>
      </c>
      <c r="D7674" s="433">
        <f t="shared" si="239"/>
        <v>1815.58</v>
      </c>
    </row>
    <row r="7675" spans="1:4" ht="16.149999999999999" customHeight="1" x14ac:dyDescent="0.25">
      <c r="A7675" s="431">
        <v>41235</v>
      </c>
      <c r="B7675" s="432">
        <v>1815.76</v>
      </c>
      <c r="C7675" s="427">
        <f t="shared" si="238"/>
        <v>2012</v>
      </c>
      <c r="D7675" s="433">
        <f t="shared" si="239"/>
        <v>1815.76</v>
      </c>
    </row>
    <row r="7676" spans="1:4" ht="16.149999999999999" customHeight="1" x14ac:dyDescent="0.25">
      <c r="A7676" s="431">
        <v>41236</v>
      </c>
      <c r="B7676" s="434">
        <v>1815.76</v>
      </c>
      <c r="C7676" s="427">
        <f t="shared" si="238"/>
        <v>2012</v>
      </c>
      <c r="D7676" s="433">
        <f t="shared" si="239"/>
        <v>1815.76</v>
      </c>
    </row>
    <row r="7677" spans="1:4" ht="16.149999999999999" customHeight="1" x14ac:dyDescent="0.25">
      <c r="A7677" s="431">
        <v>41237</v>
      </c>
      <c r="B7677" s="432">
        <v>1820.18</v>
      </c>
      <c r="C7677" s="427">
        <f t="shared" si="238"/>
        <v>2012</v>
      </c>
      <c r="D7677" s="433">
        <f t="shared" si="239"/>
        <v>1820.18</v>
      </c>
    </row>
    <row r="7678" spans="1:4" ht="16.149999999999999" customHeight="1" x14ac:dyDescent="0.25">
      <c r="A7678" s="431">
        <v>41238</v>
      </c>
      <c r="B7678" s="434">
        <v>1820.18</v>
      </c>
      <c r="C7678" s="427">
        <f t="shared" si="238"/>
        <v>2012</v>
      </c>
      <c r="D7678" s="433">
        <f t="shared" si="239"/>
        <v>1820.18</v>
      </c>
    </row>
    <row r="7679" spans="1:4" ht="16.149999999999999" customHeight="1" x14ac:dyDescent="0.25">
      <c r="A7679" s="431">
        <v>41239</v>
      </c>
      <c r="B7679" s="432">
        <v>1820.18</v>
      </c>
      <c r="C7679" s="427">
        <f t="shared" si="238"/>
        <v>2012</v>
      </c>
      <c r="D7679" s="433">
        <f t="shared" si="239"/>
        <v>1820.18</v>
      </c>
    </row>
    <row r="7680" spans="1:4" ht="16.149999999999999" customHeight="1" x14ac:dyDescent="0.25">
      <c r="A7680" s="431">
        <v>41240</v>
      </c>
      <c r="B7680" s="434">
        <v>1824.12</v>
      </c>
      <c r="C7680" s="427">
        <f t="shared" si="238"/>
        <v>2012</v>
      </c>
      <c r="D7680" s="433">
        <f t="shared" si="239"/>
        <v>1824.12</v>
      </c>
    </row>
    <row r="7681" spans="1:4" ht="16.149999999999999" customHeight="1" x14ac:dyDescent="0.25">
      <c r="A7681" s="431">
        <v>41241</v>
      </c>
      <c r="B7681" s="432">
        <v>1823.54</v>
      </c>
      <c r="C7681" s="427">
        <f t="shared" si="238"/>
        <v>2012</v>
      </c>
      <c r="D7681" s="433">
        <f t="shared" si="239"/>
        <v>1823.54</v>
      </c>
    </row>
    <row r="7682" spans="1:4" ht="16.149999999999999" customHeight="1" x14ac:dyDescent="0.25">
      <c r="A7682" s="431">
        <v>41242</v>
      </c>
      <c r="B7682" s="434">
        <v>1825.08</v>
      </c>
      <c r="C7682" s="427">
        <f t="shared" si="238"/>
        <v>2012</v>
      </c>
      <c r="D7682" s="433">
        <f t="shared" si="239"/>
        <v>1825.08</v>
      </c>
    </row>
    <row r="7683" spans="1:4" ht="16.149999999999999" customHeight="1" x14ac:dyDescent="0.25">
      <c r="A7683" s="431">
        <v>41243</v>
      </c>
      <c r="B7683" s="432">
        <v>1817.93</v>
      </c>
      <c r="C7683" s="427">
        <f t="shared" si="238"/>
        <v>2012</v>
      </c>
      <c r="D7683" s="433">
        <f t="shared" si="239"/>
        <v>1817.93</v>
      </c>
    </row>
    <row r="7684" spans="1:4" ht="16.149999999999999" customHeight="1" x14ac:dyDescent="0.25">
      <c r="A7684" s="431">
        <v>41244</v>
      </c>
      <c r="B7684" s="434">
        <v>1813.72</v>
      </c>
      <c r="C7684" s="427">
        <f t="shared" si="238"/>
        <v>2012</v>
      </c>
      <c r="D7684" s="433">
        <f t="shared" si="239"/>
        <v>1813.72</v>
      </c>
    </row>
    <row r="7685" spans="1:4" ht="16.149999999999999" customHeight="1" x14ac:dyDescent="0.25">
      <c r="A7685" s="431">
        <v>41245</v>
      </c>
      <c r="B7685" s="432">
        <v>1813.72</v>
      </c>
      <c r="C7685" s="427">
        <f t="shared" si="238"/>
        <v>2012</v>
      </c>
      <c r="D7685" s="433">
        <f t="shared" si="239"/>
        <v>1813.72</v>
      </c>
    </row>
    <row r="7686" spans="1:4" ht="16.149999999999999" customHeight="1" x14ac:dyDescent="0.25">
      <c r="A7686" s="431">
        <v>41246</v>
      </c>
      <c r="B7686" s="434">
        <v>1813.72</v>
      </c>
      <c r="C7686" s="427">
        <f t="shared" si="238"/>
        <v>2012</v>
      </c>
      <c r="D7686" s="433">
        <f t="shared" si="239"/>
        <v>1813.72</v>
      </c>
    </row>
    <row r="7687" spans="1:4" ht="16.149999999999999" customHeight="1" x14ac:dyDescent="0.25">
      <c r="A7687" s="431">
        <v>41247</v>
      </c>
      <c r="B7687" s="432">
        <v>1813.73</v>
      </c>
      <c r="C7687" s="427">
        <f t="shared" si="238"/>
        <v>2012</v>
      </c>
      <c r="D7687" s="433">
        <f t="shared" si="239"/>
        <v>1813.73</v>
      </c>
    </row>
    <row r="7688" spans="1:4" ht="16.149999999999999" customHeight="1" x14ac:dyDescent="0.25">
      <c r="A7688" s="431">
        <v>41248</v>
      </c>
      <c r="B7688" s="434">
        <v>1813.57</v>
      </c>
      <c r="C7688" s="427">
        <f t="shared" si="238"/>
        <v>2012</v>
      </c>
      <c r="D7688" s="433">
        <f t="shared" si="239"/>
        <v>1813.57</v>
      </c>
    </row>
    <row r="7689" spans="1:4" ht="16.149999999999999" customHeight="1" x14ac:dyDescent="0.25">
      <c r="A7689" s="431">
        <v>41249</v>
      </c>
      <c r="B7689" s="432">
        <v>1811.05</v>
      </c>
      <c r="C7689" s="427">
        <f t="shared" si="238"/>
        <v>2012</v>
      </c>
      <c r="D7689" s="433">
        <f t="shared" si="239"/>
        <v>1811.05</v>
      </c>
    </row>
    <row r="7690" spans="1:4" ht="16.149999999999999" customHeight="1" x14ac:dyDescent="0.25">
      <c r="A7690" s="431">
        <v>41250</v>
      </c>
      <c r="B7690" s="434">
        <v>1803.69</v>
      </c>
      <c r="C7690" s="427">
        <f t="shared" ref="C7690:C7753" si="240">YEAR(A7690)</f>
        <v>2012</v>
      </c>
      <c r="D7690" s="433">
        <f t="shared" ref="D7690:D7753" si="241">B7690</f>
        <v>1803.69</v>
      </c>
    </row>
    <row r="7691" spans="1:4" ht="16.149999999999999" customHeight="1" x14ac:dyDescent="0.25">
      <c r="A7691" s="431">
        <v>41251</v>
      </c>
      <c r="B7691" s="432">
        <v>1797.45</v>
      </c>
      <c r="C7691" s="427">
        <f t="shared" si="240"/>
        <v>2012</v>
      </c>
      <c r="D7691" s="433">
        <f t="shared" si="241"/>
        <v>1797.45</v>
      </c>
    </row>
    <row r="7692" spans="1:4" ht="16.149999999999999" customHeight="1" x14ac:dyDescent="0.25">
      <c r="A7692" s="431">
        <v>41252</v>
      </c>
      <c r="B7692" s="434">
        <v>1797.45</v>
      </c>
      <c r="C7692" s="427">
        <f t="shared" si="240"/>
        <v>2012</v>
      </c>
      <c r="D7692" s="433">
        <f t="shared" si="241"/>
        <v>1797.45</v>
      </c>
    </row>
    <row r="7693" spans="1:4" ht="16.149999999999999" customHeight="1" x14ac:dyDescent="0.25">
      <c r="A7693" s="431">
        <v>41253</v>
      </c>
      <c r="B7693" s="432">
        <v>1797.45</v>
      </c>
      <c r="C7693" s="427">
        <f t="shared" si="240"/>
        <v>2012</v>
      </c>
      <c r="D7693" s="433">
        <f t="shared" si="241"/>
        <v>1797.45</v>
      </c>
    </row>
    <row r="7694" spans="1:4" ht="16.149999999999999" customHeight="1" x14ac:dyDescent="0.25">
      <c r="A7694" s="431">
        <v>41254</v>
      </c>
      <c r="B7694" s="434">
        <v>1799.4</v>
      </c>
      <c r="C7694" s="427">
        <f t="shared" si="240"/>
        <v>2012</v>
      </c>
      <c r="D7694" s="433">
        <f t="shared" si="241"/>
        <v>1799.4</v>
      </c>
    </row>
    <row r="7695" spans="1:4" ht="16.149999999999999" customHeight="1" x14ac:dyDescent="0.25">
      <c r="A7695" s="431">
        <v>41255</v>
      </c>
      <c r="B7695" s="432">
        <v>1801.5</v>
      </c>
      <c r="C7695" s="427">
        <f t="shared" si="240"/>
        <v>2012</v>
      </c>
      <c r="D7695" s="433">
        <f t="shared" si="241"/>
        <v>1801.5</v>
      </c>
    </row>
    <row r="7696" spans="1:4" ht="16.149999999999999" customHeight="1" x14ac:dyDescent="0.25">
      <c r="A7696" s="431">
        <v>41256</v>
      </c>
      <c r="B7696" s="434">
        <v>1796.31</v>
      </c>
      <c r="C7696" s="427">
        <f t="shared" si="240"/>
        <v>2012</v>
      </c>
      <c r="D7696" s="433">
        <f t="shared" si="241"/>
        <v>1796.31</v>
      </c>
    </row>
    <row r="7697" spans="1:4" ht="16.149999999999999" customHeight="1" x14ac:dyDescent="0.25">
      <c r="A7697" s="431">
        <v>41257</v>
      </c>
      <c r="B7697" s="432">
        <v>1795.05</v>
      </c>
      <c r="C7697" s="427">
        <f t="shared" si="240"/>
        <v>2012</v>
      </c>
      <c r="D7697" s="433">
        <f t="shared" si="241"/>
        <v>1795.05</v>
      </c>
    </row>
    <row r="7698" spans="1:4" ht="16.149999999999999" customHeight="1" x14ac:dyDescent="0.25">
      <c r="A7698" s="431">
        <v>41258</v>
      </c>
      <c r="B7698" s="434">
        <v>1798.37</v>
      </c>
      <c r="C7698" s="427">
        <f t="shared" si="240"/>
        <v>2012</v>
      </c>
      <c r="D7698" s="433">
        <f t="shared" si="241"/>
        <v>1798.37</v>
      </c>
    </row>
    <row r="7699" spans="1:4" ht="16.149999999999999" customHeight="1" x14ac:dyDescent="0.25">
      <c r="A7699" s="431">
        <v>41259</v>
      </c>
      <c r="B7699" s="432">
        <v>1798.37</v>
      </c>
      <c r="C7699" s="427">
        <f t="shared" si="240"/>
        <v>2012</v>
      </c>
      <c r="D7699" s="433">
        <f t="shared" si="241"/>
        <v>1798.37</v>
      </c>
    </row>
    <row r="7700" spans="1:4" ht="16.149999999999999" customHeight="1" x14ac:dyDescent="0.25">
      <c r="A7700" s="431">
        <v>41260</v>
      </c>
      <c r="B7700" s="434">
        <v>1798.37</v>
      </c>
      <c r="C7700" s="427">
        <f t="shared" si="240"/>
        <v>2012</v>
      </c>
      <c r="D7700" s="433">
        <f t="shared" si="241"/>
        <v>1798.37</v>
      </c>
    </row>
    <row r="7701" spans="1:4" ht="16.149999999999999" customHeight="1" x14ac:dyDescent="0.25">
      <c r="A7701" s="431">
        <v>41261</v>
      </c>
      <c r="B7701" s="432">
        <v>1796.98</v>
      </c>
      <c r="C7701" s="427">
        <f t="shared" si="240"/>
        <v>2012</v>
      </c>
      <c r="D7701" s="433">
        <f t="shared" si="241"/>
        <v>1796.98</v>
      </c>
    </row>
    <row r="7702" spans="1:4" ht="16.149999999999999" customHeight="1" x14ac:dyDescent="0.25">
      <c r="A7702" s="431">
        <v>41262</v>
      </c>
      <c r="B7702" s="434">
        <v>1794.14</v>
      </c>
      <c r="C7702" s="427">
        <f t="shared" si="240"/>
        <v>2012</v>
      </c>
      <c r="D7702" s="433">
        <f t="shared" si="241"/>
        <v>1794.14</v>
      </c>
    </row>
    <row r="7703" spans="1:4" ht="16.149999999999999" customHeight="1" x14ac:dyDescent="0.25">
      <c r="A7703" s="431">
        <v>41263</v>
      </c>
      <c r="B7703" s="432">
        <v>1790.46</v>
      </c>
      <c r="C7703" s="427">
        <f t="shared" si="240"/>
        <v>2012</v>
      </c>
      <c r="D7703" s="433">
        <f t="shared" si="241"/>
        <v>1790.46</v>
      </c>
    </row>
    <row r="7704" spans="1:4" ht="16.149999999999999" customHeight="1" x14ac:dyDescent="0.25">
      <c r="A7704" s="431">
        <v>41264</v>
      </c>
      <c r="B7704" s="434">
        <v>1788.87</v>
      </c>
      <c r="C7704" s="427">
        <f t="shared" si="240"/>
        <v>2012</v>
      </c>
      <c r="D7704" s="433">
        <f t="shared" si="241"/>
        <v>1788.87</v>
      </c>
    </row>
    <row r="7705" spans="1:4" ht="16.149999999999999" customHeight="1" x14ac:dyDescent="0.25">
      <c r="A7705" s="431">
        <v>41265</v>
      </c>
      <c r="B7705" s="432">
        <v>1779.79</v>
      </c>
      <c r="C7705" s="427">
        <f t="shared" si="240"/>
        <v>2012</v>
      </c>
      <c r="D7705" s="433">
        <f t="shared" si="241"/>
        <v>1779.79</v>
      </c>
    </row>
    <row r="7706" spans="1:4" ht="16.149999999999999" customHeight="1" x14ac:dyDescent="0.25">
      <c r="A7706" s="431">
        <v>41266</v>
      </c>
      <c r="B7706" s="434">
        <v>1779.79</v>
      </c>
      <c r="C7706" s="427">
        <f t="shared" si="240"/>
        <v>2012</v>
      </c>
      <c r="D7706" s="433">
        <f t="shared" si="241"/>
        <v>1779.79</v>
      </c>
    </row>
    <row r="7707" spans="1:4" ht="16.149999999999999" customHeight="1" x14ac:dyDescent="0.25">
      <c r="A7707" s="431">
        <v>41267</v>
      </c>
      <c r="B7707" s="432">
        <v>1779.79</v>
      </c>
      <c r="C7707" s="427">
        <f t="shared" si="240"/>
        <v>2012</v>
      </c>
      <c r="D7707" s="433">
        <f t="shared" si="241"/>
        <v>1779.79</v>
      </c>
    </row>
    <row r="7708" spans="1:4" ht="16.149999999999999" customHeight="1" x14ac:dyDescent="0.25">
      <c r="A7708" s="431">
        <v>41268</v>
      </c>
      <c r="B7708" s="434">
        <v>1773.44</v>
      </c>
      <c r="C7708" s="427">
        <f t="shared" si="240"/>
        <v>2012</v>
      </c>
      <c r="D7708" s="433">
        <f t="shared" si="241"/>
        <v>1773.44</v>
      </c>
    </row>
    <row r="7709" spans="1:4" ht="16.149999999999999" customHeight="1" x14ac:dyDescent="0.25">
      <c r="A7709" s="431">
        <v>41269</v>
      </c>
      <c r="B7709" s="432">
        <v>1773.44</v>
      </c>
      <c r="C7709" s="427">
        <f t="shared" si="240"/>
        <v>2012</v>
      </c>
      <c r="D7709" s="433">
        <f t="shared" si="241"/>
        <v>1773.44</v>
      </c>
    </row>
    <row r="7710" spans="1:4" ht="16.149999999999999" customHeight="1" x14ac:dyDescent="0.25">
      <c r="A7710" s="431">
        <v>41270</v>
      </c>
      <c r="B7710" s="434">
        <v>1771.49</v>
      </c>
      <c r="C7710" s="427">
        <f t="shared" si="240"/>
        <v>2012</v>
      </c>
      <c r="D7710" s="433">
        <f t="shared" si="241"/>
        <v>1771.49</v>
      </c>
    </row>
    <row r="7711" spans="1:4" ht="16.149999999999999" customHeight="1" x14ac:dyDescent="0.25">
      <c r="A7711" s="431">
        <v>41271</v>
      </c>
      <c r="B7711" s="432">
        <v>1771.54</v>
      </c>
      <c r="C7711" s="427">
        <f t="shared" si="240"/>
        <v>2012</v>
      </c>
      <c r="D7711" s="433">
        <f t="shared" si="241"/>
        <v>1771.54</v>
      </c>
    </row>
    <row r="7712" spans="1:4" ht="16.149999999999999" customHeight="1" x14ac:dyDescent="0.25">
      <c r="A7712" s="431">
        <v>41272</v>
      </c>
      <c r="B7712" s="434">
        <v>1768.23</v>
      </c>
      <c r="C7712" s="427">
        <f t="shared" si="240"/>
        <v>2012</v>
      </c>
      <c r="D7712" s="433">
        <f t="shared" si="241"/>
        <v>1768.23</v>
      </c>
    </row>
    <row r="7713" spans="1:4" ht="16.149999999999999" customHeight="1" x14ac:dyDescent="0.25">
      <c r="A7713" s="431">
        <v>41273</v>
      </c>
      <c r="B7713" s="432">
        <v>1768.23</v>
      </c>
      <c r="C7713" s="427">
        <f t="shared" si="240"/>
        <v>2012</v>
      </c>
      <c r="D7713" s="433">
        <f t="shared" si="241"/>
        <v>1768.23</v>
      </c>
    </row>
    <row r="7714" spans="1:4" ht="16.149999999999999" customHeight="1" x14ac:dyDescent="0.25">
      <c r="A7714" s="431">
        <v>41274</v>
      </c>
      <c r="B7714" s="434">
        <v>1768.23</v>
      </c>
      <c r="C7714" s="427">
        <f t="shared" si="240"/>
        <v>2012</v>
      </c>
      <c r="D7714" s="433">
        <f t="shared" si="241"/>
        <v>1768.23</v>
      </c>
    </row>
    <row r="7715" spans="1:4" ht="16.149999999999999" customHeight="1" x14ac:dyDescent="0.25">
      <c r="A7715" s="431">
        <v>41275</v>
      </c>
      <c r="B7715" s="432">
        <v>1768.23</v>
      </c>
      <c r="C7715" s="427">
        <f t="shared" si="240"/>
        <v>2013</v>
      </c>
      <c r="D7715" s="433">
        <f t="shared" si="241"/>
        <v>1768.23</v>
      </c>
    </row>
    <row r="7716" spans="1:4" ht="16.149999999999999" customHeight="1" x14ac:dyDescent="0.25">
      <c r="A7716" s="431">
        <v>41276</v>
      </c>
      <c r="B7716" s="434">
        <v>1768.23</v>
      </c>
      <c r="C7716" s="427">
        <f t="shared" si="240"/>
        <v>2013</v>
      </c>
      <c r="D7716" s="433">
        <f t="shared" si="241"/>
        <v>1768.23</v>
      </c>
    </row>
    <row r="7717" spans="1:4" ht="16.149999999999999" customHeight="1" x14ac:dyDescent="0.25">
      <c r="A7717" s="431">
        <v>41277</v>
      </c>
      <c r="B7717" s="432">
        <v>1759.97</v>
      </c>
      <c r="C7717" s="427">
        <f t="shared" si="240"/>
        <v>2013</v>
      </c>
      <c r="D7717" s="433">
        <f t="shared" si="241"/>
        <v>1759.97</v>
      </c>
    </row>
    <row r="7718" spans="1:4" ht="16.149999999999999" customHeight="1" x14ac:dyDescent="0.25">
      <c r="A7718" s="431">
        <v>41278</v>
      </c>
      <c r="B7718" s="434">
        <v>1760.83</v>
      </c>
      <c r="C7718" s="427">
        <f t="shared" si="240"/>
        <v>2013</v>
      </c>
      <c r="D7718" s="433">
        <f t="shared" si="241"/>
        <v>1760.83</v>
      </c>
    </row>
    <row r="7719" spans="1:4" ht="16.149999999999999" customHeight="1" x14ac:dyDescent="0.25">
      <c r="A7719" s="431">
        <v>41279</v>
      </c>
      <c r="B7719" s="432">
        <v>1767.54</v>
      </c>
      <c r="C7719" s="427">
        <f t="shared" si="240"/>
        <v>2013</v>
      </c>
      <c r="D7719" s="433">
        <f t="shared" si="241"/>
        <v>1767.54</v>
      </c>
    </row>
    <row r="7720" spans="1:4" ht="16.149999999999999" customHeight="1" x14ac:dyDescent="0.25">
      <c r="A7720" s="431">
        <v>41280</v>
      </c>
      <c r="B7720" s="434">
        <v>1767.54</v>
      </c>
      <c r="C7720" s="427">
        <f t="shared" si="240"/>
        <v>2013</v>
      </c>
      <c r="D7720" s="433">
        <f t="shared" si="241"/>
        <v>1767.54</v>
      </c>
    </row>
    <row r="7721" spans="1:4" ht="16.149999999999999" customHeight="1" x14ac:dyDescent="0.25">
      <c r="A7721" s="431">
        <v>41281</v>
      </c>
      <c r="B7721" s="432">
        <v>1767.54</v>
      </c>
      <c r="C7721" s="427">
        <f t="shared" si="240"/>
        <v>2013</v>
      </c>
      <c r="D7721" s="433">
        <f t="shared" si="241"/>
        <v>1767.54</v>
      </c>
    </row>
    <row r="7722" spans="1:4" ht="16.149999999999999" customHeight="1" x14ac:dyDescent="0.25">
      <c r="A7722" s="431">
        <v>41282</v>
      </c>
      <c r="B7722" s="434">
        <v>1767.54</v>
      </c>
      <c r="C7722" s="427">
        <f t="shared" si="240"/>
        <v>2013</v>
      </c>
      <c r="D7722" s="433">
        <f t="shared" si="241"/>
        <v>1767.54</v>
      </c>
    </row>
    <row r="7723" spans="1:4" ht="16.149999999999999" customHeight="1" x14ac:dyDescent="0.25">
      <c r="A7723" s="431">
        <v>41283</v>
      </c>
      <c r="B7723" s="432">
        <v>1771.31</v>
      </c>
      <c r="C7723" s="427">
        <f t="shared" si="240"/>
        <v>2013</v>
      </c>
      <c r="D7723" s="433">
        <f t="shared" si="241"/>
        <v>1771.31</v>
      </c>
    </row>
    <row r="7724" spans="1:4" ht="16.149999999999999" customHeight="1" x14ac:dyDescent="0.25">
      <c r="A7724" s="431">
        <v>41284</v>
      </c>
      <c r="B7724" s="434">
        <v>1767.96</v>
      </c>
      <c r="C7724" s="427">
        <f t="shared" si="240"/>
        <v>2013</v>
      </c>
      <c r="D7724" s="433">
        <f t="shared" si="241"/>
        <v>1767.96</v>
      </c>
    </row>
    <row r="7725" spans="1:4" ht="16.149999999999999" customHeight="1" x14ac:dyDescent="0.25">
      <c r="A7725" s="431">
        <v>41285</v>
      </c>
      <c r="B7725" s="432">
        <v>1761.5</v>
      </c>
      <c r="C7725" s="427">
        <f t="shared" si="240"/>
        <v>2013</v>
      </c>
      <c r="D7725" s="433">
        <f t="shared" si="241"/>
        <v>1761.5</v>
      </c>
    </row>
    <row r="7726" spans="1:4" ht="16.149999999999999" customHeight="1" x14ac:dyDescent="0.25">
      <c r="A7726" s="431">
        <v>41286</v>
      </c>
      <c r="B7726" s="434">
        <v>1762.38</v>
      </c>
      <c r="C7726" s="427">
        <f t="shared" si="240"/>
        <v>2013</v>
      </c>
      <c r="D7726" s="433">
        <f t="shared" si="241"/>
        <v>1762.38</v>
      </c>
    </row>
    <row r="7727" spans="1:4" ht="16.149999999999999" customHeight="1" x14ac:dyDescent="0.25">
      <c r="A7727" s="431">
        <v>41287</v>
      </c>
      <c r="B7727" s="432">
        <v>1762.38</v>
      </c>
      <c r="C7727" s="427">
        <f t="shared" si="240"/>
        <v>2013</v>
      </c>
      <c r="D7727" s="433">
        <f t="shared" si="241"/>
        <v>1762.38</v>
      </c>
    </row>
    <row r="7728" spans="1:4" ht="16.149999999999999" customHeight="1" x14ac:dyDescent="0.25">
      <c r="A7728" s="431">
        <v>41288</v>
      </c>
      <c r="B7728" s="434">
        <v>1762.38</v>
      </c>
      <c r="C7728" s="427">
        <f t="shared" si="240"/>
        <v>2013</v>
      </c>
      <c r="D7728" s="433">
        <f t="shared" si="241"/>
        <v>1762.38</v>
      </c>
    </row>
    <row r="7729" spans="1:4" ht="16.149999999999999" customHeight="1" x14ac:dyDescent="0.25">
      <c r="A7729" s="431">
        <v>41289</v>
      </c>
      <c r="B7729" s="432">
        <v>1758.45</v>
      </c>
      <c r="C7729" s="427">
        <f t="shared" si="240"/>
        <v>2013</v>
      </c>
      <c r="D7729" s="433">
        <f t="shared" si="241"/>
        <v>1758.45</v>
      </c>
    </row>
    <row r="7730" spans="1:4" ht="16.149999999999999" customHeight="1" x14ac:dyDescent="0.25">
      <c r="A7730" s="431">
        <v>41290</v>
      </c>
      <c r="B7730" s="434">
        <v>1769.88</v>
      </c>
      <c r="C7730" s="427">
        <f t="shared" si="240"/>
        <v>2013</v>
      </c>
      <c r="D7730" s="433">
        <f t="shared" si="241"/>
        <v>1769.88</v>
      </c>
    </row>
    <row r="7731" spans="1:4" ht="16.149999999999999" customHeight="1" x14ac:dyDescent="0.25">
      <c r="A7731" s="431">
        <v>41291</v>
      </c>
      <c r="B7731" s="432">
        <v>1775.15</v>
      </c>
      <c r="C7731" s="427">
        <f t="shared" si="240"/>
        <v>2013</v>
      </c>
      <c r="D7731" s="433">
        <f t="shared" si="241"/>
        <v>1775.15</v>
      </c>
    </row>
    <row r="7732" spans="1:4" ht="16.149999999999999" customHeight="1" x14ac:dyDescent="0.25">
      <c r="A7732" s="431">
        <v>41292</v>
      </c>
      <c r="B7732" s="434">
        <v>1767.78</v>
      </c>
      <c r="C7732" s="427">
        <f t="shared" si="240"/>
        <v>2013</v>
      </c>
      <c r="D7732" s="433">
        <f t="shared" si="241"/>
        <v>1767.78</v>
      </c>
    </row>
    <row r="7733" spans="1:4" ht="16.149999999999999" customHeight="1" x14ac:dyDescent="0.25">
      <c r="A7733" s="431">
        <v>41293</v>
      </c>
      <c r="B7733" s="432">
        <v>1767.74</v>
      </c>
      <c r="C7733" s="427">
        <f t="shared" si="240"/>
        <v>2013</v>
      </c>
      <c r="D7733" s="433">
        <f t="shared" si="241"/>
        <v>1767.74</v>
      </c>
    </row>
    <row r="7734" spans="1:4" ht="16.149999999999999" customHeight="1" x14ac:dyDescent="0.25">
      <c r="A7734" s="431">
        <v>41294</v>
      </c>
      <c r="B7734" s="434">
        <v>1767.74</v>
      </c>
      <c r="C7734" s="427">
        <f t="shared" si="240"/>
        <v>2013</v>
      </c>
      <c r="D7734" s="433">
        <f t="shared" si="241"/>
        <v>1767.74</v>
      </c>
    </row>
    <row r="7735" spans="1:4" ht="16.149999999999999" customHeight="1" x14ac:dyDescent="0.25">
      <c r="A7735" s="431">
        <v>41295</v>
      </c>
      <c r="B7735" s="432">
        <v>1767.74</v>
      </c>
      <c r="C7735" s="427">
        <f t="shared" si="240"/>
        <v>2013</v>
      </c>
      <c r="D7735" s="433">
        <f t="shared" si="241"/>
        <v>1767.74</v>
      </c>
    </row>
    <row r="7736" spans="1:4" ht="16.149999999999999" customHeight="1" x14ac:dyDescent="0.25">
      <c r="A7736" s="431">
        <v>41296</v>
      </c>
      <c r="B7736" s="434">
        <v>1767.74</v>
      </c>
      <c r="C7736" s="427">
        <f t="shared" si="240"/>
        <v>2013</v>
      </c>
      <c r="D7736" s="433">
        <f t="shared" si="241"/>
        <v>1767.74</v>
      </c>
    </row>
    <row r="7737" spans="1:4" ht="16.149999999999999" customHeight="1" x14ac:dyDescent="0.25">
      <c r="A7737" s="431">
        <v>41297</v>
      </c>
      <c r="B7737" s="432">
        <v>1776.96</v>
      </c>
      <c r="C7737" s="427">
        <f t="shared" si="240"/>
        <v>2013</v>
      </c>
      <c r="D7737" s="433">
        <f t="shared" si="241"/>
        <v>1776.96</v>
      </c>
    </row>
    <row r="7738" spans="1:4" ht="16.149999999999999" customHeight="1" x14ac:dyDescent="0.25">
      <c r="A7738" s="431">
        <v>41298</v>
      </c>
      <c r="B7738" s="434">
        <v>1778.69</v>
      </c>
      <c r="C7738" s="427">
        <f t="shared" si="240"/>
        <v>2013</v>
      </c>
      <c r="D7738" s="433">
        <f t="shared" si="241"/>
        <v>1778.69</v>
      </c>
    </row>
    <row r="7739" spans="1:4" ht="16.149999999999999" customHeight="1" x14ac:dyDescent="0.25">
      <c r="A7739" s="431">
        <v>41299</v>
      </c>
      <c r="B7739" s="432">
        <v>1779.73</v>
      </c>
      <c r="C7739" s="427">
        <f t="shared" si="240"/>
        <v>2013</v>
      </c>
      <c r="D7739" s="433">
        <f t="shared" si="241"/>
        <v>1779.73</v>
      </c>
    </row>
    <row r="7740" spans="1:4" ht="16.149999999999999" customHeight="1" x14ac:dyDescent="0.25">
      <c r="A7740" s="431">
        <v>41300</v>
      </c>
      <c r="B7740" s="434">
        <v>1779.25</v>
      </c>
      <c r="C7740" s="427">
        <f t="shared" si="240"/>
        <v>2013</v>
      </c>
      <c r="D7740" s="433">
        <f t="shared" si="241"/>
        <v>1779.25</v>
      </c>
    </row>
    <row r="7741" spans="1:4" ht="16.149999999999999" customHeight="1" x14ac:dyDescent="0.25">
      <c r="A7741" s="431">
        <v>41301</v>
      </c>
      <c r="B7741" s="432">
        <v>1779.25</v>
      </c>
      <c r="C7741" s="427">
        <f t="shared" si="240"/>
        <v>2013</v>
      </c>
      <c r="D7741" s="433">
        <f t="shared" si="241"/>
        <v>1779.25</v>
      </c>
    </row>
    <row r="7742" spans="1:4" ht="16.149999999999999" customHeight="1" x14ac:dyDescent="0.25">
      <c r="A7742" s="431">
        <v>41302</v>
      </c>
      <c r="B7742" s="434">
        <v>1779.25</v>
      </c>
      <c r="C7742" s="427">
        <f t="shared" si="240"/>
        <v>2013</v>
      </c>
      <c r="D7742" s="433">
        <f t="shared" si="241"/>
        <v>1779.25</v>
      </c>
    </row>
    <row r="7743" spans="1:4" ht="16.149999999999999" customHeight="1" x14ac:dyDescent="0.25">
      <c r="A7743" s="431">
        <v>41303</v>
      </c>
      <c r="B7743" s="432">
        <v>1779.84</v>
      </c>
      <c r="C7743" s="427">
        <f t="shared" si="240"/>
        <v>2013</v>
      </c>
      <c r="D7743" s="433">
        <f t="shared" si="241"/>
        <v>1779.84</v>
      </c>
    </row>
    <row r="7744" spans="1:4" ht="16.149999999999999" customHeight="1" x14ac:dyDescent="0.25">
      <c r="A7744" s="431">
        <v>41304</v>
      </c>
      <c r="B7744" s="434">
        <v>1776.09</v>
      </c>
      <c r="C7744" s="427">
        <f t="shared" si="240"/>
        <v>2013</v>
      </c>
      <c r="D7744" s="433">
        <f t="shared" si="241"/>
        <v>1776.09</v>
      </c>
    </row>
    <row r="7745" spans="1:4" ht="16.149999999999999" customHeight="1" x14ac:dyDescent="0.25">
      <c r="A7745" s="431">
        <v>41305</v>
      </c>
      <c r="B7745" s="432">
        <v>1773.24</v>
      </c>
      <c r="C7745" s="427">
        <f t="shared" si="240"/>
        <v>2013</v>
      </c>
      <c r="D7745" s="433">
        <f t="shared" si="241"/>
        <v>1773.24</v>
      </c>
    </row>
    <row r="7746" spans="1:4" ht="16.149999999999999" customHeight="1" x14ac:dyDescent="0.25">
      <c r="A7746" s="431">
        <v>41306</v>
      </c>
      <c r="B7746" s="434">
        <v>1775.65</v>
      </c>
      <c r="C7746" s="427">
        <f t="shared" si="240"/>
        <v>2013</v>
      </c>
      <c r="D7746" s="433">
        <f t="shared" si="241"/>
        <v>1775.65</v>
      </c>
    </row>
    <row r="7747" spans="1:4" ht="16.149999999999999" customHeight="1" x14ac:dyDescent="0.25">
      <c r="A7747" s="431">
        <v>41307</v>
      </c>
      <c r="B7747" s="432">
        <v>1776.2</v>
      </c>
      <c r="C7747" s="427">
        <f t="shared" si="240"/>
        <v>2013</v>
      </c>
      <c r="D7747" s="433">
        <f t="shared" si="241"/>
        <v>1776.2</v>
      </c>
    </row>
    <row r="7748" spans="1:4" ht="16.149999999999999" customHeight="1" x14ac:dyDescent="0.25">
      <c r="A7748" s="431">
        <v>41308</v>
      </c>
      <c r="B7748" s="434">
        <v>1776.2</v>
      </c>
      <c r="C7748" s="427">
        <f t="shared" si="240"/>
        <v>2013</v>
      </c>
      <c r="D7748" s="433">
        <f t="shared" si="241"/>
        <v>1776.2</v>
      </c>
    </row>
    <row r="7749" spans="1:4" ht="16.149999999999999" customHeight="1" x14ac:dyDescent="0.25">
      <c r="A7749" s="431">
        <v>41309</v>
      </c>
      <c r="B7749" s="432">
        <v>1776.2</v>
      </c>
      <c r="C7749" s="427">
        <f t="shared" si="240"/>
        <v>2013</v>
      </c>
      <c r="D7749" s="433">
        <f t="shared" si="241"/>
        <v>1776.2</v>
      </c>
    </row>
    <row r="7750" spans="1:4" ht="16.149999999999999" customHeight="1" x14ac:dyDescent="0.25">
      <c r="A7750" s="431">
        <v>41310</v>
      </c>
      <c r="B7750" s="434">
        <v>1785.92</v>
      </c>
      <c r="C7750" s="427">
        <f t="shared" si="240"/>
        <v>2013</v>
      </c>
      <c r="D7750" s="433">
        <f t="shared" si="241"/>
        <v>1785.92</v>
      </c>
    </row>
    <row r="7751" spans="1:4" ht="16.149999999999999" customHeight="1" x14ac:dyDescent="0.25">
      <c r="A7751" s="431">
        <v>41311</v>
      </c>
      <c r="B7751" s="432">
        <v>1789.09</v>
      </c>
      <c r="C7751" s="427">
        <f t="shared" si="240"/>
        <v>2013</v>
      </c>
      <c r="D7751" s="433">
        <f t="shared" si="241"/>
        <v>1789.09</v>
      </c>
    </row>
    <row r="7752" spans="1:4" ht="16.149999999999999" customHeight="1" x14ac:dyDescent="0.25">
      <c r="A7752" s="431">
        <v>41312</v>
      </c>
      <c r="B7752" s="434">
        <v>1791.24</v>
      </c>
      <c r="C7752" s="427">
        <f t="shared" si="240"/>
        <v>2013</v>
      </c>
      <c r="D7752" s="433">
        <f t="shared" si="241"/>
        <v>1791.24</v>
      </c>
    </row>
    <row r="7753" spans="1:4" ht="16.149999999999999" customHeight="1" x14ac:dyDescent="0.25">
      <c r="A7753" s="431">
        <v>41313</v>
      </c>
      <c r="B7753" s="432">
        <v>1795.21</v>
      </c>
      <c r="C7753" s="427">
        <f t="shared" si="240"/>
        <v>2013</v>
      </c>
      <c r="D7753" s="433">
        <f t="shared" si="241"/>
        <v>1795.21</v>
      </c>
    </row>
    <row r="7754" spans="1:4" ht="16.149999999999999" customHeight="1" x14ac:dyDescent="0.25">
      <c r="A7754" s="431">
        <v>41314</v>
      </c>
      <c r="B7754" s="434">
        <v>1790.61</v>
      </c>
      <c r="C7754" s="427">
        <f t="shared" ref="C7754:C7817" si="242">YEAR(A7754)</f>
        <v>2013</v>
      </c>
      <c r="D7754" s="433">
        <f t="shared" ref="D7754:D7817" si="243">B7754</f>
        <v>1790.61</v>
      </c>
    </row>
    <row r="7755" spans="1:4" ht="16.149999999999999" customHeight="1" x14ac:dyDescent="0.25">
      <c r="A7755" s="431">
        <v>41315</v>
      </c>
      <c r="B7755" s="432">
        <v>1790.61</v>
      </c>
      <c r="C7755" s="427">
        <f t="shared" si="242"/>
        <v>2013</v>
      </c>
      <c r="D7755" s="433">
        <f t="shared" si="243"/>
        <v>1790.61</v>
      </c>
    </row>
    <row r="7756" spans="1:4" ht="16.149999999999999" customHeight="1" x14ac:dyDescent="0.25">
      <c r="A7756" s="431">
        <v>41316</v>
      </c>
      <c r="B7756" s="434">
        <v>1790.61</v>
      </c>
      <c r="C7756" s="427">
        <f t="shared" si="242"/>
        <v>2013</v>
      </c>
      <c r="D7756" s="433">
        <f t="shared" si="243"/>
        <v>1790.61</v>
      </c>
    </row>
    <row r="7757" spans="1:4" ht="16.149999999999999" customHeight="1" x14ac:dyDescent="0.25">
      <c r="A7757" s="431">
        <v>41317</v>
      </c>
      <c r="B7757" s="432">
        <v>1784.71</v>
      </c>
      <c r="C7757" s="427">
        <f t="shared" si="242"/>
        <v>2013</v>
      </c>
      <c r="D7757" s="433">
        <f t="shared" si="243"/>
        <v>1784.71</v>
      </c>
    </row>
    <row r="7758" spans="1:4" ht="16.149999999999999" customHeight="1" x14ac:dyDescent="0.25">
      <c r="A7758" s="431">
        <v>41318</v>
      </c>
      <c r="B7758" s="434">
        <v>1783.2</v>
      </c>
      <c r="C7758" s="427">
        <f t="shared" si="242"/>
        <v>2013</v>
      </c>
      <c r="D7758" s="433">
        <f t="shared" si="243"/>
        <v>1783.2</v>
      </c>
    </row>
    <row r="7759" spans="1:4" ht="16.149999999999999" customHeight="1" x14ac:dyDescent="0.25">
      <c r="A7759" s="431">
        <v>41319</v>
      </c>
      <c r="B7759" s="432">
        <v>1777.72</v>
      </c>
      <c r="C7759" s="427">
        <f t="shared" si="242"/>
        <v>2013</v>
      </c>
      <c r="D7759" s="433">
        <f t="shared" si="243"/>
        <v>1777.72</v>
      </c>
    </row>
    <row r="7760" spans="1:4" ht="16.149999999999999" customHeight="1" x14ac:dyDescent="0.25">
      <c r="A7760" s="431">
        <v>41320</v>
      </c>
      <c r="B7760" s="434">
        <v>1783.19</v>
      </c>
      <c r="C7760" s="427">
        <f t="shared" si="242"/>
        <v>2013</v>
      </c>
      <c r="D7760" s="433">
        <f t="shared" si="243"/>
        <v>1783.19</v>
      </c>
    </row>
    <row r="7761" spans="1:4" ht="16.149999999999999" customHeight="1" x14ac:dyDescent="0.25">
      <c r="A7761" s="431">
        <v>41321</v>
      </c>
      <c r="B7761" s="432">
        <v>1785.41</v>
      </c>
      <c r="C7761" s="427">
        <f t="shared" si="242"/>
        <v>2013</v>
      </c>
      <c r="D7761" s="433">
        <f t="shared" si="243"/>
        <v>1785.41</v>
      </c>
    </row>
    <row r="7762" spans="1:4" ht="16.149999999999999" customHeight="1" x14ac:dyDescent="0.25">
      <c r="A7762" s="431">
        <v>41322</v>
      </c>
      <c r="B7762" s="434">
        <v>1785.41</v>
      </c>
      <c r="C7762" s="427">
        <f t="shared" si="242"/>
        <v>2013</v>
      </c>
      <c r="D7762" s="433">
        <f t="shared" si="243"/>
        <v>1785.41</v>
      </c>
    </row>
    <row r="7763" spans="1:4" ht="16.149999999999999" customHeight="1" x14ac:dyDescent="0.25">
      <c r="A7763" s="431">
        <v>41323</v>
      </c>
      <c r="B7763" s="432">
        <v>1785.41</v>
      </c>
      <c r="C7763" s="427">
        <f t="shared" si="242"/>
        <v>2013</v>
      </c>
      <c r="D7763" s="433">
        <f t="shared" si="243"/>
        <v>1785.41</v>
      </c>
    </row>
    <row r="7764" spans="1:4" ht="16.149999999999999" customHeight="1" x14ac:dyDescent="0.25">
      <c r="A7764" s="431">
        <v>41324</v>
      </c>
      <c r="B7764" s="434">
        <v>1785.41</v>
      </c>
      <c r="C7764" s="427">
        <f t="shared" si="242"/>
        <v>2013</v>
      </c>
      <c r="D7764" s="433">
        <f t="shared" si="243"/>
        <v>1785.41</v>
      </c>
    </row>
    <row r="7765" spans="1:4" ht="16.149999999999999" customHeight="1" x14ac:dyDescent="0.25">
      <c r="A7765" s="431">
        <v>41325</v>
      </c>
      <c r="B7765" s="432">
        <v>1794.63</v>
      </c>
      <c r="C7765" s="427">
        <f t="shared" si="242"/>
        <v>2013</v>
      </c>
      <c r="D7765" s="433">
        <f t="shared" si="243"/>
        <v>1794.63</v>
      </c>
    </row>
    <row r="7766" spans="1:4" ht="16.149999999999999" customHeight="1" x14ac:dyDescent="0.25">
      <c r="A7766" s="431">
        <v>41326</v>
      </c>
      <c r="B7766" s="434">
        <v>1791.33</v>
      </c>
      <c r="C7766" s="427">
        <f t="shared" si="242"/>
        <v>2013</v>
      </c>
      <c r="D7766" s="433">
        <f t="shared" si="243"/>
        <v>1791.33</v>
      </c>
    </row>
    <row r="7767" spans="1:4" ht="16.149999999999999" customHeight="1" x14ac:dyDescent="0.25">
      <c r="A7767" s="431">
        <v>41327</v>
      </c>
      <c r="B7767" s="432">
        <v>1798.21</v>
      </c>
      <c r="C7767" s="427">
        <f t="shared" si="242"/>
        <v>2013</v>
      </c>
      <c r="D7767" s="433">
        <f t="shared" si="243"/>
        <v>1798.21</v>
      </c>
    </row>
    <row r="7768" spans="1:4" ht="16.149999999999999" customHeight="1" x14ac:dyDescent="0.25">
      <c r="A7768" s="431">
        <v>41328</v>
      </c>
      <c r="B7768" s="434">
        <v>1800.7</v>
      </c>
      <c r="C7768" s="427">
        <f t="shared" si="242"/>
        <v>2013</v>
      </c>
      <c r="D7768" s="433">
        <f t="shared" si="243"/>
        <v>1800.7</v>
      </c>
    </row>
    <row r="7769" spans="1:4" ht="16.149999999999999" customHeight="1" x14ac:dyDescent="0.25">
      <c r="A7769" s="431">
        <v>41329</v>
      </c>
      <c r="B7769" s="432">
        <v>1800.7</v>
      </c>
      <c r="C7769" s="427">
        <f t="shared" si="242"/>
        <v>2013</v>
      </c>
      <c r="D7769" s="433">
        <f t="shared" si="243"/>
        <v>1800.7</v>
      </c>
    </row>
    <row r="7770" spans="1:4" ht="16.149999999999999" customHeight="1" x14ac:dyDescent="0.25">
      <c r="A7770" s="431">
        <v>41330</v>
      </c>
      <c r="B7770" s="434">
        <v>1800.7</v>
      </c>
      <c r="C7770" s="427">
        <f t="shared" si="242"/>
        <v>2013</v>
      </c>
      <c r="D7770" s="433">
        <f t="shared" si="243"/>
        <v>1800.7</v>
      </c>
    </row>
    <row r="7771" spans="1:4" ht="16.149999999999999" customHeight="1" x14ac:dyDescent="0.25">
      <c r="A7771" s="431">
        <v>41331</v>
      </c>
      <c r="B7771" s="432">
        <v>1806.11</v>
      </c>
      <c r="C7771" s="427">
        <f t="shared" si="242"/>
        <v>2013</v>
      </c>
      <c r="D7771" s="433">
        <f t="shared" si="243"/>
        <v>1806.11</v>
      </c>
    </row>
    <row r="7772" spans="1:4" ht="16.149999999999999" customHeight="1" x14ac:dyDescent="0.25">
      <c r="A7772" s="431">
        <v>41332</v>
      </c>
      <c r="B7772" s="434">
        <v>1818.54</v>
      </c>
      <c r="C7772" s="427">
        <f t="shared" si="242"/>
        <v>2013</v>
      </c>
      <c r="D7772" s="433">
        <f t="shared" si="243"/>
        <v>1818.54</v>
      </c>
    </row>
    <row r="7773" spans="1:4" ht="16.149999999999999" customHeight="1" x14ac:dyDescent="0.25">
      <c r="A7773" s="431">
        <v>41333</v>
      </c>
      <c r="B7773" s="432">
        <v>1816.42</v>
      </c>
      <c r="C7773" s="427">
        <f t="shared" si="242"/>
        <v>2013</v>
      </c>
      <c r="D7773" s="433">
        <f t="shared" si="243"/>
        <v>1816.42</v>
      </c>
    </row>
    <row r="7774" spans="1:4" ht="16.149999999999999" customHeight="1" x14ac:dyDescent="0.25">
      <c r="A7774" s="431">
        <v>41334</v>
      </c>
      <c r="B7774" s="434">
        <v>1814.28</v>
      </c>
      <c r="C7774" s="427">
        <f t="shared" si="242"/>
        <v>2013</v>
      </c>
      <c r="D7774" s="433">
        <f t="shared" si="243"/>
        <v>1814.28</v>
      </c>
    </row>
    <row r="7775" spans="1:4" ht="16.149999999999999" customHeight="1" x14ac:dyDescent="0.25">
      <c r="A7775" s="431">
        <v>41335</v>
      </c>
      <c r="B7775" s="432">
        <v>1816.48</v>
      </c>
      <c r="C7775" s="427">
        <f t="shared" si="242"/>
        <v>2013</v>
      </c>
      <c r="D7775" s="433">
        <f t="shared" si="243"/>
        <v>1816.48</v>
      </c>
    </row>
    <row r="7776" spans="1:4" ht="16.149999999999999" customHeight="1" x14ac:dyDescent="0.25">
      <c r="A7776" s="431">
        <v>41336</v>
      </c>
      <c r="B7776" s="434">
        <v>1816.48</v>
      </c>
      <c r="C7776" s="427">
        <f t="shared" si="242"/>
        <v>2013</v>
      </c>
      <c r="D7776" s="433">
        <f t="shared" si="243"/>
        <v>1816.48</v>
      </c>
    </row>
    <row r="7777" spans="1:4" ht="16.149999999999999" customHeight="1" x14ac:dyDescent="0.25">
      <c r="A7777" s="431">
        <v>41337</v>
      </c>
      <c r="B7777" s="432">
        <v>1816.48</v>
      </c>
      <c r="C7777" s="427">
        <f t="shared" si="242"/>
        <v>2013</v>
      </c>
      <c r="D7777" s="433">
        <f t="shared" si="243"/>
        <v>1816.48</v>
      </c>
    </row>
    <row r="7778" spans="1:4" ht="16.149999999999999" customHeight="1" x14ac:dyDescent="0.25">
      <c r="A7778" s="431">
        <v>41338</v>
      </c>
      <c r="B7778" s="434">
        <v>1813.53</v>
      </c>
      <c r="C7778" s="427">
        <f t="shared" si="242"/>
        <v>2013</v>
      </c>
      <c r="D7778" s="433">
        <f t="shared" si="243"/>
        <v>1813.53</v>
      </c>
    </row>
    <row r="7779" spans="1:4" ht="16.149999999999999" customHeight="1" x14ac:dyDescent="0.25">
      <c r="A7779" s="431">
        <v>41339</v>
      </c>
      <c r="B7779" s="432">
        <v>1809.65</v>
      </c>
      <c r="C7779" s="427">
        <f t="shared" si="242"/>
        <v>2013</v>
      </c>
      <c r="D7779" s="433">
        <f t="shared" si="243"/>
        <v>1809.65</v>
      </c>
    </row>
    <row r="7780" spans="1:4" ht="16.149999999999999" customHeight="1" x14ac:dyDescent="0.25">
      <c r="A7780" s="431">
        <v>41340</v>
      </c>
      <c r="B7780" s="434">
        <v>1808</v>
      </c>
      <c r="C7780" s="427">
        <f t="shared" si="242"/>
        <v>2013</v>
      </c>
      <c r="D7780" s="433">
        <f t="shared" si="243"/>
        <v>1808</v>
      </c>
    </row>
    <row r="7781" spans="1:4" ht="16.149999999999999" customHeight="1" x14ac:dyDescent="0.25">
      <c r="A7781" s="431">
        <v>41341</v>
      </c>
      <c r="B7781" s="432">
        <v>1803.65</v>
      </c>
      <c r="C7781" s="427">
        <f t="shared" si="242"/>
        <v>2013</v>
      </c>
      <c r="D7781" s="433">
        <f t="shared" si="243"/>
        <v>1803.65</v>
      </c>
    </row>
    <row r="7782" spans="1:4" ht="16.149999999999999" customHeight="1" x14ac:dyDescent="0.25">
      <c r="A7782" s="431">
        <v>41342</v>
      </c>
      <c r="B7782" s="434">
        <v>1800.45</v>
      </c>
      <c r="C7782" s="427">
        <f t="shared" si="242"/>
        <v>2013</v>
      </c>
      <c r="D7782" s="433">
        <f t="shared" si="243"/>
        <v>1800.45</v>
      </c>
    </row>
    <row r="7783" spans="1:4" ht="16.149999999999999" customHeight="1" x14ac:dyDescent="0.25">
      <c r="A7783" s="431">
        <v>41343</v>
      </c>
      <c r="B7783" s="432">
        <v>1800.45</v>
      </c>
      <c r="C7783" s="427">
        <f t="shared" si="242"/>
        <v>2013</v>
      </c>
      <c r="D7783" s="433">
        <f t="shared" si="243"/>
        <v>1800.45</v>
      </c>
    </row>
    <row r="7784" spans="1:4" ht="16.149999999999999" customHeight="1" x14ac:dyDescent="0.25">
      <c r="A7784" s="431">
        <v>41344</v>
      </c>
      <c r="B7784" s="434">
        <v>1800.45</v>
      </c>
      <c r="C7784" s="427">
        <f t="shared" si="242"/>
        <v>2013</v>
      </c>
      <c r="D7784" s="433">
        <f t="shared" si="243"/>
        <v>1800.45</v>
      </c>
    </row>
    <row r="7785" spans="1:4" ht="16.149999999999999" customHeight="1" x14ac:dyDescent="0.25">
      <c r="A7785" s="431">
        <v>41345</v>
      </c>
      <c r="B7785" s="432">
        <v>1801.2</v>
      </c>
      <c r="C7785" s="427">
        <f t="shared" si="242"/>
        <v>2013</v>
      </c>
      <c r="D7785" s="433">
        <f t="shared" si="243"/>
        <v>1801.2</v>
      </c>
    </row>
    <row r="7786" spans="1:4" ht="16.149999999999999" customHeight="1" x14ac:dyDescent="0.25">
      <c r="A7786" s="431">
        <v>41346</v>
      </c>
      <c r="B7786" s="434">
        <v>1801.64</v>
      </c>
      <c r="C7786" s="427">
        <f t="shared" si="242"/>
        <v>2013</v>
      </c>
      <c r="D7786" s="433">
        <f t="shared" si="243"/>
        <v>1801.64</v>
      </c>
    </row>
    <row r="7787" spans="1:4" ht="16.149999999999999" customHeight="1" x14ac:dyDescent="0.25">
      <c r="A7787" s="431">
        <v>41347</v>
      </c>
      <c r="B7787" s="432">
        <v>1798.56</v>
      </c>
      <c r="C7787" s="427">
        <f t="shared" si="242"/>
        <v>2013</v>
      </c>
      <c r="D7787" s="433">
        <f t="shared" si="243"/>
        <v>1798.56</v>
      </c>
    </row>
    <row r="7788" spans="1:4" ht="16.149999999999999" customHeight="1" x14ac:dyDescent="0.25">
      <c r="A7788" s="431">
        <v>41348</v>
      </c>
      <c r="B7788" s="434">
        <v>1797.28</v>
      </c>
      <c r="C7788" s="427">
        <f t="shared" si="242"/>
        <v>2013</v>
      </c>
      <c r="D7788" s="433">
        <f t="shared" si="243"/>
        <v>1797.28</v>
      </c>
    </row>
    <row r="7789" spans="1:4" ht="16.149999999999999" customHeight="1" x14ac:dyDescent="0.25">
      <c r="A7789" s="431">
        <v>41349</v>
      </c>
      <c r="B7789" s="432">
        <v>1804.06</v>
      </c>
      <c r="C7789" s="427">
        <f t="shared" si="242"/>
        <v>2013</v>
      </c>
      <c r="D7789" s="433">
        <f t="shared" si="243"/>
        <v>1804.06</v>
      </c>
    </row>
    <row r="7790" spans="1:4" ht="16.149999999999999" customHeight="1" x14ac:dyDescent="0.25">
      <c r="A7790" s="431">
        <v>41350</v>
      </c>
      <c r="B7790" s="434">
        <v>1804.06</v>
      </c>
      <c r="C7790" s="427">
        <f t="shared" si="242"/>
        <v>2013</v>
      </c>
      <c r="D7790" s="433">
        <f t="shared" si="243"/>
        <v>1804.06</v>
      </c>
    </row>
    <row r="7791" spans="1:4" ht="16.149999999999999" customHeight="1" x14ac:dyDescent="0.25">
      <c r="A7791" s="431">
        <v>41351</v>
      </c>
      <c r="B7791" s="432">
        <v>1804.06</v>
      </c>
      <c r="C7791" s="427">
        <f t="shared" si="242"/>
        <v>2013</v>
      </c>
      <c r="D7791" s="433">
        <f t="shared" si="243"/>
        <v>1804.06</v>
      </c>
    </row>
    <row r="7792" spans="1:4" ht="16.149999999999999" customHeight="1" x14ac:dyDescent="0.25">
      <c r="A7792" s="431">
        <v>41352</v>
      </c>
      <c r="B7792" s="434">
        <v>1809.58</v>
      </c>
      <c r="C7792" s="427">
        <f t="shared" si="242"/>
        <v>2013</v>
      </c>
      <c r="D7792" s="433">
        <f t="shared" si="243"/>
        <v>1809.58</v>
      </c>
    </row>
    <row r="7793" spans="1:4" ht="16.149999999999999" customHeight="1" x14ac:dyDescent="0.25">
      <c r="A7793" s="431">
        <v>41353</v>
      </c>
      <c r="B7793" s="432">
        <v>1809.83</v>
      </c>
      <c r="C7793" s="427">
        <f t="shared" si="242"/>
        <v>2013</v>
      </c>
      <c r="D7793" s="433">
        <f t="shared" si="243"/>
        <v>1809.83</v>
      </c>
    </row>
    <row r="7794" spans="1:4" ht="16.149999999999999" customHeight="1" x14ac:dyDescent="0.25">
      <c r="A7794" s="431">
        <v>41354</v>
      </c>
      <c r="B7794" s="434">
        <v>1812.35</v>
      </c>
      <c r="C7794" s="427">
        <f t="shared" si="242"/>
        <v>2013</v>
      </c>
      <c r="D7794" s="433">
        <f t="shared" si="243"/>
        <v>1812.35</v>
      </c>
    </row>
    <row r="7795" spans="1:4" ht="16.149999999999999" customHeight="1" x14ac:dyDescent="0.25">
      <c r="A7795" s="431">
        <v>41355</v>
      </c>
      <c r="B7795" s="432">
        <v>1822.78</v>
      </c>
      <c r="C7795" s="427">
        <f t="shared" si="242"/>
        <v>2013</v>
      </c>
      <c r="D7795" s="433">
        <f t="shared" si="243"/>
        <v>1822.78</v>
      </c>
    </row>
    <row r="7796" spans="1:4" ht="16.149999999999999" customHeight="1" x14ac:dyDescent="0.25">
      <c r="A7796" s="431">
        <v>41356</v>
      </c>
      <c r="B7796" s="434">
        <v>1825.79</v>
      </c>
      <c r="C7796" s="427">
        <f t="shared" si="242"/>
        <v>2013</v>
      </c>
      <c r="D7796" s="433">
        <f t="shared" si="243"/>
        <v>1825.79</v>
      </c>
    </row>
    <row r="7797" spans="1:4" ht="16.149999999999999" customHeight="1" x14ac:dyDescent="0.25">
      <c r="A7797" s="431">
        <v>41357</v>
      </c>
      <c r="B7797" s="432">
        <v>1825.79</v>
      </c>
      <c r="C7797" s="427">
        <f t="shared" si="242"/>
        <v>2013</v>
      </c>
      <c r="D7797" s="433">
        <f t="shared" si="243"/>
        <v>1825.79</v>
      </c>
    </row>
    <row r="7798" spans="1:4" ht="16.149999999999999" customHeight="1" x14ac:dyDescent="0.25">
      <c r="A7798" s="431">
        <v>41358</v>
      </c>
      <c r="B7798" s="434">
        <v>1825.79</v>
      </c>
      <c r="C7798" s="427">
        <f t="shared" si="242"/>
        <v>2013</v>
      </c>
      <c r="D7798" s="433">
        <f t="shared" si="243"/>
        <v>1825.79</v>
      </c>
    </row>
    <row r="7799" spans="1:4" ht="16.149999999999999" customHeight="1" x14ac:dyDescent="0.25">
      <c r="A7799" s="431">
        <v>41359</v>
      </c>
      <c r="B7799" s="432">
        <v>1825.79</v>
      </c>
      <c r="C7799" s="427">
        <f t="shared" si="242"/>
        <v>2013</v>
      </c>
      <c r="D7799" s="433">
        <f t="shared" si="243"/>
        <v>1825.79</v>
      </c>
    </row>
    <row r="7800" spans="1:4" ht="16.149999999999999" customHeight="1" x14ac:dyDescent="0.25">
      <c r="A7800" s="431">
        <v>41360</v>
      </c>
      <c r="B7800" s="434">
        <v>1828.95</v>
      </c>
      <c r="C7800" s="427">
        <f t="shared" si="242"/>
        <v>2013</v>
      </c>
      <c r="D7800" s="433">
        <f t="shared" si="243"/>
        <v>1828.95</v>
      </c>
    </row>
    <row r="7801" spans="1:4" ht="16.149999999999999" customHeight="1" x14ac:dyDescent="0.25">
      <c r="A7801" s="431">
        <v>41361</v>
      </c>
      <c r="B7801" s="432">
        <v>1832.2</v>
      </c>
      <c r="C7801" s="427">
        <f t="shared" si="242"/>
        <v>2013</v>
      </c>
      <c r="D7801" s="433">
        <f t="shared" si="243"/>
        <v>1832.2</v>
      </c>
    </row>
    <row r="7802" spans="1:4" ht="16.149999999999999" customHeight="1" x14ac:dyDescent="0.25">
      <c r="A7802" s="431">
        <v>41362</v>
      </c>
      <c r="B7802" s="434">
        <v>1832.2</v>
      </c>
      <c r="C7802" s="427">
        <f t="shared" si="242"/>
        <v>2013</v>
      </c>
      <c r="D7802" s="433">
        <f t="shared" si="243"/>
        <v>1832.2</v>
      </c>
    </row>
    <row r="7803" spans="1:4" ht="16.149999999999999" customHeight="1" x14ac:dyDescent="0.25">
      <c r="A7803" s="431">
        <v>41363</v>
      </c>
      <c r="B7803" s="432">
        <v>1832.2</v>
      </c>
      <c r="C7803" s="427">
        <f t="shared" si="242"/>
        <v>2013</v>
      </c>
      <c r="D7803" s="433">
        <f t="shared" si="243"/>
        <v>1832.2</v>
      </c>
    </row>
    <row r="7804" spans="1:4" ht="16.149999999999999" customHeight="1" x14ac:dyDescent="0.25">
      <c r="A7804" s="431">
        <v>41364</v>
      </c>
      <c r="B7804" s="434">
        <v>1832.2</v>
      </c>
      <c r="C7804" s="427">
        <f t="shared" si="242"/>
        <v>2013</v>
      </c>
      <c r="D7804" s="433">
        <f t="shared" si="243"/>
        <v>1832.2</v>
      </c>
    </row>
    <row r="7805" spans="1:4" ht="16.149999999999999" customHeight="1" x14ac:dyDescent="0.25">
      <c r="A7805" s="431">
        <v>41365</v>
      </c>
      <c r="B7805" s="432">
        <v>1832.2</v>
      </c>
      <c r="C7805" s="427">
        <f t="shared" si="242"/>
        <v>2013</v>
      </c>
      <c r="D7805" s="433">
        <f t="shared" si="243"/>
        <v>1832.2</v>
      </c>
    </row>
    <row r="7806" spans="1:4" ht="16.149999999999999" customHeight="1" x14ac:dyDescent="0.25">
      <c r="A7806" s="431">
        <v>41366</v>
      </c>
      <c r="B7806" s="434">
        <v>1823.12</v>
      </c>
      <c r="C7806" s="427">
        <f t="shared" si="242"/>
        <v>2013</v>
      </c>
      <c r="D7806" s="433">
        <f t="shared" si="243"/>
        <v>1823.12</v>
      </c>
    </row>
    <row r="7807" spans="1:4" ht="16.149999999999999" customHeight="1" x14ac:dyDescent="0.25">
      <c r="A7807" s="431">
        <v>41367</v>
      </c>
      <c r="B7807" s="432">
        <v>1817.14</v>
      </c>
      <c r="C7807" s="427">
        <f t="shared" si="242"/>
        <v>2013</v>
      </c>
      <c r="D7807" s="433">
        <f t="shared" si="243"/>
        <v>1817.14</v>
      </c>
    </row>
    <row r="7808" spans="1:4" ht="16.149999999999999" customHeight="1" x14ac:dyDescent="0.25">
      <c r="A7808" s="431">
        <v>41368</v>
      </c>
      <c r="B7808" s="434">
        <v>1819.93</v>
      </c>
      <c r="C7808" s="427">
        <f t="shared" si="242"/>
        <v>2013</v>
      </c>
      <c r="D7808" s="433">
        <f t="shared" si="243"/>
        <v>1819.93</v>
      </c>
    </row>
    <row r="7809" spans="1:4" ht="16.149999999999999" customHeight="1" x14ac:dyDescent="0.25">
      <c r="A7809" s="431">
        <v>41369</v>
      </c>
      <c r="B7809" s="432">
        <v>1829.01</v>
      </c>
      <c r="C7809" s="427">
        <f t="shared" si="242"/>
        <v>2013</v>
      </c>
      <c r="D7809" s="433">
        <f t="shared" si="243"/>
        <v>1829.01</v>
      </c>
    </row>
    <row r="7810" spans="1:4" ht="16.149999999999999" customHeight="1" x14ac:dyDescent="0.25">
      <c r="A7810" s="431">
        <v>41370</v>
      </c>
      <c r="B7810" s="434">
        <v>1826.88</v>
      </c>
      <c r="C7810" s="427">
        <f t="shared" si="242"/>
        <v>2013</v>
      </c>
      <c r="D7810" s="433">
        <f t="shared" si="243"/>
        <v>1826.88</v>
      </c>
    </row>
    <row r="7811" spans="1:4" ht="16.149999999999999" customHeight="1" x14ac:dyDescent="0.25">
      <c r="A7811" s="431">
        <v>41371</v>
      </c>
      <c r="B7811" s="432">
        <v>1826.88</v>
      </c>
      <c r="C7811" s="427">
        <f t="shared" si="242"/>
        <v>2013</v>
      </c>
      <c r="D7811" s="433">
        <f t="shared" si="243"/>
        <v>1826.88</v>
      </c>
    </row>
    <row r="7812" spans="1:4" ht="16.149999999999999" customHeight="1" x14ac:dyDescent="0.25">
      <c r="A7812" s="431">
        <v>41372</v>
      </c>
      <c r="B7812" s="434">
        <v>1826.88</v>
      </c>
      <c r="C7812" s="427">
        <f t="shared" si="242"/>
        <v>2013</v>
      </c>
      <c r="D7812" s="433">
        <f t="shared" si="243"/>
        <v>1826.88</v>
      </c>
    </row>
    <row r="7813" spans="1:4" ht="16.149999999999999" customHeight="1" x14ac:dyDescent="0.25">
      <c r="A7813" s="431">
        <v>41373</v>
      </c>
      <c r="B7813" s="432">
        <v>1817.66</v>
      </c>
      <c r="C7813" s="427">
        <f t="shared" si="242"/>
        <v>2013</v>
      </c>
      <c r="D7813" s="433">
        <f t="shared" si="243"/>
        <v>1817.66</v>
      </c>
    </row>
    <row r="7814" spans="1:4" ht="16.149999999999999" customHeight="1" x14ac:dyDescent="0.25">
      <c r="A7814" s="431">
        <v>41374</v>
      </c>
      <c r="B7814" s="434">
        <v>1813.11</v>
      </c>
      <c r="C7814" s="427">
        <f t="shared" si="242"/>
        <v>2013</v>
      </c>
      <c r="D7814" s="433">
        <f t="shared" si="243"/>
        <v>1813.11</v>
      </c>
    </row>
    <row r="7815" spans="1:4" ht="16.149999999999999" customHeight="1" x14ac:dyDescent="0.25">
      <c r="A7815" s="431">
        <v>41375</v>
      </c>
      <c r="B7815" s="432">
        <v>1821.2</v>
      </c>
      <c r="C7815" s="427">
        <f t="shared" si="242"/>
        <v>2013</v>
      </c>
      <c r="D7815" s="433">
        <f t="shared" si="243"/>
        <v>1821.2</v>
      </c>
    </row>
    <row r="7816" spans="1:4" ht="16.149999999999999" customHeight="1" x14ac:dyDescent="0.25">
      <c r="A7816" s="431">
        <v>41376</v>
      </c>
      <c r="B7816" s="434">
        <v>1823.84</v>
      </c>
      <c r="C7816" s="427">
        <f t="shared" si="242"/>
        <v>2013</v>
      </c>
      <c r="D7816" s="433">
        <f t="shared" si="243"/>
        <v>1823.84</v>
      </c>
    </row>
    <row r="7817" spans="1:4" ht="16.149999999999999" customHeight="1" x14ac:dyDescent="0.25">
      <c r="A7817" s="431">
        <v>41377</v>
      </c>
      <c r="B7817" s="432">
        <v>1827.79</v>
      </c>
      <c r="C7817" s="427">
        <f t="shared" si="242"/>
        <v>2013</v>
      </c>
      <c r="D7817" s="433">
        <f t="shared" si="243"/>
        <v>1827.79</v>
      </c>
    </row>
    <row r="7818" spans="1:4" ht="16.149999999999999" customHeight="1" x14ac:dyDescent="0.25">
      <c r="A7818" s="431">
        <v>41378</v>
      </c>
      <c r="B7818" s="434">
        <v>1827.79</v>
      </c>
      <c r="C7818" s="427">
        <f t="shared" ref="C7818:C7881" si="244">YEAR(A7818)</f>
        <v>2013</v>
      </c>
      <c r="D7818" s="433">
        <f t="shared" ref="D7818:D7881" si="245">B7818</f>
        <v>1827.79</v>
      </c>
    </row>
    <row r="7819" spans="1:4" ht="16.149999999999999" customHeight="1" x14ac:dyDescent="0.25">
      <c r="A7819" s="431">
        <v>41379</v>
      </c>
      <c r="B7819" s="432">
        <v>1827.79</v>
      </c>
      <c r="C7819" s="427">
        <f t="shared" si="244"/>
        <v>2013</v>
      </c>
      <c r="D7819" s="433">
        <f t="shared" si="245"/>
        <v>1827.79</v>
      </c>
    </row>
    <row r="7820" spans="1:4" ht="16.149999999999999" customHeight="1" x14ac:dyDescent="0.25">
      <c r="A7820" s="431">
        <v>41380</v>
      </c>
      <c r="B7820" s="434">
        <v>1834.86</v>
      </c>
      <c r="C7820" s="427">
        <f t="shared" si="244"/>
        <v>2013</v>
      </c>
      <c r="D7820" s="433">
        <f t="shared" si="245"/>
        <v>1834.86</v>
      </c>
    </row>
    <row r="7821" spans="1:4" ht="16.149999999999999" customHeight="1" x14ac:dyDescent="0.25">
      <c r="A7821" s="431">
        <v>41381</v>
      </c>
      <c r="B7821" s="432">
        <v>1833.98</v>
      </c>
      <c r="C7821" s="427">
        <f t="shared" si="244"/>
        <v>2013</v>
      </c>
      <c r="D7821" s="433">
        <f t="shared" si="245"/>
        <v>1833.98</v>
      </c>
    </row>
    <row r="7822" spans="1:4" ht="16.149999999999999" customHeight="1" x14ac:dyDescent="0.25">
      <c r="A7822" s="431">
        <v>41382</v>
      </c>
      <c r="B7822" s="434">
        <v>1846.46</v>
      </c>
      <c r="C7822" s="427">
        <f t="shared" si="244"/>
        <v>2013</v>
      </c>
      <c r="D7822" s="433">
        <f t="shared" si="245"/>
        <v>1846.46</v>
      </c>
    </row>
    <row r="7823" spans="1:4" ht="16.149999999999999" customHeight="1" x14ac:dyDescent="0.25">
      <c r="A7823" s="431">
        <v>41383</v>
      </c>
      <c r="B7823" s="432">
        <v>1847.02</v>
      </c>
      <c r="C7823" s="427">
        <f t="shared" si="244"/>
        <v>2013</v>
      </c>
      <c r="D7823" s="433">
        <f t="shared" si="245"/>
        <v>1847.02</v>
      </c>
    </row>
    <row r="7824" spans="1:4" ht="16.149999999999999" customHeight="1" x14ac:dyDescent="0.25">
      <c r="A7824" s="431">
        <v>41384</v>
      </c>
      <c r="B7824" s="434">
        <v>1835.57</v>
      </c>
      <c r="C7824" s="427">
        <f t="shared" si="244"/>
        <v>2013</v>
      </c>
      <c r="D7824" s="433">
        <f t="shared" si="245"/>
        <v>1835.57</v>
      </c>
    </row>
    <row r="7825" spans="1:4" ht="16.149999999999999" customHeight="1" x14ac:dyDescent="0.25">
      <c r="A7825" s="431">
        <v>41385</v>
      </c>
      <c r="B7825" s="432">
        <v>1835.57</v>
      </c>
      <c r="C7825" s="427">
        <f t="shared" si="244"/>
        <v>2013</v>
      </c>
      <c r="D7825" s="433">
        <f t="shared" si="245"/>
        <v>1835.57</v>
      </c>
    </row>
    <row r="7826" spans="1:4" ht="16.149999999999999" customHeight="1" x14ac:dyDescent="0.25">
      <c r="A7826" s="431">
        <v>41386</v>
      </c>
      <c r="B7826" s="434">
        <v>1835.57</v>
      </c>
      <c r="C7826" s="427">
        <f t="shared" si="244"/>
        <v>2013</v>
      </c>
      <c r="D7826" s="433">
        <f t="shared" si="245"/>
        <v>1835.57</v>
      </c>
    </row>
    <row r="7827" spans="1:4" ht="16.149999999999999" customHeight="1" x14ac:dyDescent="0.25">
      <c r="A7827" s="431">
        <v>41387</v>
      </c>
      <c r="B7827" s="432">
        <v>1841.14</v>
      </c>
      <c r="C7827" s="427">
        <f t="shared" si="244"/>
        <v>2013</v>
      </c>
      <c r="D7827" s="433">
        <f t="shared" si="245"/>
        <v>1841.14</v>
      </c>
    </row>
    <row r="7828" spans="1:4" ht="16.149999999999999" customHeight="1" x14ac:dyDescent="0.25">
      <c r="A7828" s="431">
        <v>41388</v>
      </c>
      <c r="B7828" s="434">
        <v>1838.03</v>
      </c>
      <c r="C7828" s="427">
        <f t="shared" si="244"/>
        <v>2013</v>
      </c>
      <c r="D7828" s="433">
        <f t="shared" si="245"/>
        <v>1838.03</v>
      </c>
    </row>
    <row r="7829" spans="1:4" ht="16.149999999999999" customHeight="1" x14ac:dyDescent="0.25">
      <c r="A7829" s="431">
        <v>41389</v>
      </c>
      <c r="B7829" s="432">
        <v>1836.79</v>
      </c>
      <c r="C7829" s="427">
        <f t="shared" si="244"/>
        <v>2013</v>
      </c>
      <c r="D7829" s="433">
        <f t="shared" si="245"/>
        <v>1836.79</v>
      </c>
    </row>
    <row r="7830" spans="1:4" ht="16.149999999999999" customHeight="1" x14ac:dyDescent="0.25">
      <c r="A7830" s="431">
        <v>41390</v>
      </c>
      <c r="B7830" s="434">
        <v>1830.84</v>
      </c>
      <c r="C7830" s="427">
        <f t="shared" si="244"/>
        <v>2013</v>
      </c>
      <c r="D7830" s="433">
        <f t="shared" si="245"/>
        <v>1830.84</v>
      </c>
    </row>
    <row r="7831" spans="1:4" ht="16.149999999999999" customHeight="1" x14ac:dyDescent="0.25">
      <c r="A7831" s="431">
        <v>41391</v>
      </c>
      <c r="B7831" s="432">
        <v>1833.7</v>
      </c>
      <c r="C7831" s="427">
        <f t="shared" si="244"/>
        <v>2013</v>
      </c>
      <c r="D7831" s="433">
        <f t="shared" si="245"/>
        <v>1833.7</v>
      </c>
    </row>
    <row r="7832" spans="1:4" ht="16.149999999999999" customHeight="1" x14ac:dyDescent="0.25">
      <c r="A7832" s="431">
        <v>41392</v>
      </c>
      <c r="B7832" s="434">
        <v>1833.7</v>
      </c>
      <c r="C7832" s="427">
        <f t="shared" si="244"/>
        <v>2013</v>
      </c>
      <c r="D7832" s="433">
        <f t="shared" si="245"/>
        <v>1833.7</v>
      </c>
    </row>
    <row r="7833" spans="1:4" ht="16.149999999999999" customHeight="1" x14ac:dyDescent="0.25">
      <c r="A7833" s="431">
        <v>41393</v>
      </c>
      <c r="B7833" s="432">
        <v>1833.7</v>
      </c>
      <c r="C7833" s="427">
        <f t="shared" si="244"/>
        <v>2013</v>
      </c>
      <c r="D7833" s="433">
        <f t="shared" si="245"/>
        <v>1833.7</v>
      </c>
    </row>
    <row r="7834" spans="1:4" ht="16.149999999999999" customHeight="1" x14ac:dyDescent="0.25">
      <c r="A7834" s="431">
        <v>41394</v>
      </c>
      <c r="B7834" s="434">
        <v>1828.79</v>
      </c>
      <c r="C7834" s="427">
        <f t="shared" si="244"/>
        <v>2013</v>
      </c>
      <c r="D7834" s="433">
        <f t="shared" si="245"/>
        <v>1828.79</v>
      </c>
    </row>
    <row r="7835" spans="1:4" ht="16.149999999999999" customHeight="1" x14ac:dyDescent="0.25">
      <c r="A7835" s="431">
        <v>41395</v>
      </c>
      <c r="B7835" s="432">
        <v>1825.83</v>
      </c>
      <c r="C7835" s="427">
        <f t="shared" si="244"/>
        <v>2013</v>
      </c>
      <c r="D7835" s="433">
        <f t="shared" si="245"/>
        <v>1825.83</v>
      </c>
    </row>
    <row r="7836" spans="1:4" ht="16.149999999999999" customHeight="1" x14ac:dyDescent="0.25">
      <c r="A7836" s="431">
        <v>41396</v>
      </c>
      <c r="B7836" s="434">
        <v>1825.83</v>
      </c>
      <c r="C7836" s="427">
        <f t="shared" si="244"/>
        <v>2013</v>
      </c>
      <c r="D7836" s="433">
        <f t="shared" si="245"/>
        <v>1825.83</v>
      </c>
    </row>
    <row r="7837" spans="1:4" ht="16.149999999999999" customHeight="1" x14ac:dyDescent="0.25">
      <c r="A7837" s="431">
        <v>41397</v>
      </c>
      <c r="B7837" s="432">
        <v>1836.34</v>
      </c>
      <c r="C7837" s="427">
        <f t="shared" si="244"/>
        <v>2013</v>
      </c>
      <c r="D7837" s="433">
        <f t="shared" si="245"/>
        <v>1836.34</v>
      </c>
    </row>
    <row r="7838" spans="1:4" ht="16.149999999999999" customHeight="1" x14ac:dyDescent="0.25">
      <c r="A7838" s="431">
        <v>41398</v>
      </c>
      <c r="B7838" s="434">
        <v>1835.88</v>
      </c>
      <c r="C7838" s="427">
        <f t="shared" si="244"/>
        <v>2013</v>
      </c>
      <c r="D7838" s="433">
        <f t="shared" si="245"/>
        <v>1835.88</v>
      </c>
    </row>
    <row r="7839" spans="1:4" ht="16.149999999999999" customHeight="1" x14ac:dyDescent="0.25">
      <c r="A7839" s="431">
        <v>41399</v>
      </c>
      <c r="B7839" s="432">
        <v>1835.88</v>
      </c>
      <c r="C7839" s="427">
        <f t="shared" si="244"/>
        <v>2013</v>
      </c>
      <c r="D7839" s="433">
        <f t="shared" si="245"/>
        <v>1835.88</v>
      </c>
    </row>
    <row r="7840" spans="1:4" ht="16.149999999999999" customHeight="1" x14ac:dyDescent="0.25">
      <c r="A7840" s="431">
        <v>41400</v>
      </c>
      <c r="B7840" s="434">
        <v>1835.88</v>
      </c>
      <c r="C7840" s="427">
        <f t="shared" si="244"/>
        <v>2013</v>
      </c>
      <c r="D7840" s="433">
        <f t="shared" si="245"/>
        <v>1835.88</v>
      </c>
    </row>
    <row r="7841" spans="1:4" ht="16.149999999999999" customHeight="1" x14ac:dyDescent="0.25">
      <c r="A7841" s="431">
        <v>41401</v>
      </c>
      <c r="B7841" s="432">
        <v>1831.42</v>
      </c>
      <c r="C7841" s="427">
        <f t="shared" si="244"/>
        <v>2013</v>
      </c>
      <c r="D7841" s="433">
        <f t="shared" si="245"/>
        <v>1831.42</v>
      </c>
    </row>
    <row r="7842" spans="1:4" ht="16.149999999999999" customHeight="1" x14ac:dyDescent="0.25">
      <c r="A7842" s="431">
        <v>41402</v>
      </c>
      <c r="B7842" s="434">
        <v>1827.13</v>
      </c>
      <c r="C7842" s="427">
        <f t="shared" si="244"/>
        <v>2013</v>
      </c>
      <c r="D7842" s="433">
        <f t="shared" si="245"/>
        <v>1827.13</v>
      </c>
    </row>
    <row r="7843" spans="1:4" ht="16.149999999999999" customHeight="1" x14ac:dyDescent="0.25">
      <c r="A7843" s="431">
        <v>41403</v>
      </c>
      <c r="B7843" s="432">
        <v>1830.7</v>
      </c>
      <c r="C7843" s="427">
        <f t="shared" si="244"/>
        <v>2013</v>
      </c>
      <c r="D7843" s="433">
        <f t="shared" si="245"/>
        <v>1830.7</v>
      </c>
    </row>
    <row r="7844" spans="1:4" ht="16.149999999999999" customHeight="1" x14ac:dyDescent="0.25">
      <c r="A7844" s="431">
        <v>41404</v>
      </c>
      <c r="B7844" s="434">
        <v>1833.07</v>
      </c>
      <c r="C7844" s="427">
        <f t="shared" si="244"/>
        <v>2013</v>
      </c>
      <c r="D7844" s="433">
        <f t="shared" si="245"/>
        <v>1833.07</v>
      </c>
    </row>
    <row r="7845" spans="1:4" ht="16.149999999999999" customHeight="1" x14ac:dyDescent="0.25">
      <c r="A7845" s="431">
        <v>41405</v>
      </c>
      <c r="B7845" s="432">
        <v>1834.83</v>
      </c>
      <c r="C7845" s="427">
        <f t="shared" si="244"/>
        <v>2013</v>
      </c>
      <c r="D7845" s="433">
        <f t="shared" si="245"/>
        <v>1834.83</v>
      </c>
    </row>
    <row r="7846" spans="1:4" ht="16.149999999999999" customHeight="1" x14ac:dyDescent="0.25">
      <c r="A7846" s="431">
        <v>41406</v>
      </c>
      <c r="B7846" s="434">
        <v>1834.83</v>
      </c>
      <c r="C7846" s="427">
        <f t="shared" si="244"/>
        <v>2013</v>
      </c>
      <c r="D7846" s="433">
        <f t="shared" si="245"/>
        <v>1834.83</v>
      </c>
    </row>
    <row r="7847" spans="1:4" ht="16.149999999999999" customHeight="1" x14ac:dyDescent="0.25">
      <c r="A7847" s="431">
        <v>41407</v>
      </c>
      <c r="B7847" s="432">
        <v>1834.83</v>
      </c>
      <c r="C7847" s="427">
        <f t="shared" si="244"/>
        <v>2013</v>
      </c>
      <c r="D7847" s="433">
        <f t="shared" si="245"/>
        <v>1834.83</v>
      </c>
    </row>
    <row r="7848" spans="1:4" ht="16.149999999999999" customHeight="1" x14ac:dyDescent="0.25">
      <c r="A7848" s="431">
        <v>41408</v>
      </c>
      <c r="B7848" s="434">
        <v>1834.83</v>
      </c>
      <c r="C7848" s="427">
        <f t="shared" si="244"/>
        <v>2013</v>
      </c>
      <c r="D7848" s="433">
        <f t="shared" si="245"/>
        <v>1834.83</v>
      </c>
    </row>
    <row r="7849" spans="1:4" ht="16.149999999999999" customHeight="1" x14ac:dyDescent="0.25">
      <c r="A7849" s="431">
        <v>41409</v>
      </c>
      <c r="B7849" s="432">
        <v>1838.63</v>
      </c>
      <c r="C7849" s="427">
        <f t="shared" si="244"/>
        <v>2013</v>
      </c>
      <c r="D7849" s="433">
        <f t="shared" si="245"/>
        <v>1838.63</v>
      </c>
    </row>
    <row r="7850" spans="1:4" ht="16.149999999999999" customHeight="1" x14ac:dyDescent="0.25">
      <c r="A7850" s="431">
        <v>41410</v>
      </c>
      <c r="B7850" s="434">
        <v>1843.75</v>
      </c>
      <c r="C7850" s="427">
        <f t="shared" si="244"/>
        <v>2013</v>
      </c>
      <c r="D7850" s="433">
        <f t="shared" si="245"/>
        <v>1843.75</v>
      </c>
    </row>
    <row r="7851" spans="1:4" ht="16.149999999999999" customHeight="1" x14ac:dyDescent="0.25">
      <c r="A7851" s="431">
        <v>41411</v>
      </c>
      <c r="B7851" s="432">
        <v>1838.82</v>
      </c>
      <c r="C7851" s="427">
        <f t="shared" si="244"/>
        <v>2013</v>
      </c>
      <c r="D7851" s="433">
        <f t="shared" si="245"/>
        <v>1838.82</v>
      </c>
    </row>
    <row r="7852" spans="1:4" ht="16.149999999999999" customHeight="1" x14ac:dyDescent="0.25">
      <c r="A7852" s="431">
        <v>41412</v>
      </c>
      <c r="B7852" s="434">
        <v>1841.35</v>
      </c>
      <c r="C7852" s="427">
        <f t="shared" si="244"/>
        <v>2013</v>
      </c>
      <c r="D7852" s="433">
        <f t="shared" si="245"/>
        <v>1841.35</v>
      </c>
    </row>
    <row r="7853" spans="1:4" ht="16.149999999999999" customHeight="1" x14ac:dyDescent="0.25">
      <c r="A7853" s="431">
        <v>41413</v>
      </c>
      <c r="B7853" s="432">
        <v>1841.35</v>
      </c>
      <c r="C7853" s="427">
        <f t="shared" si="244"/>
        <v>2013</v>
      </c>
      <c r="D7853" s="433">
        <f t="shared" si="245"/>
        <v>1841.35</v>
      </c>
    </row>
    <row r="7854" spans="1:4" ht="16.149999999999999" customHeight="1" x14ac:dyDescent="0.25">
      <c r="A7854" s="431">
        <v>41414</v>
      </c>
      <c r="B7854" s="434">
        <v>1841.35</v>
      </c>
      <c r="C7854" s="427">
        <f t="shared" si="244"/>
        <v>2013</v>
      </c>
      <c r="D7854" s="433">
        <f t="shared" si="245"/>
        <v>1841.35</v>
      </c>
    </row>
    <row r="7855" spans="1:4" ht="16.149999999999999" customHeight="1" x14ac:dyDescent="0.25">
      <c r="A7855" s="431">
        <v>41415</v>
      </c>
      <c r="B7855" s="432">
        <v>1842.59</v>
      </c>
      <c r="C7855" s="427">
        <f t="shared" si="244"/>
        <v>2013</v>
      </c>
      <c r="D7855" s="433">
        <f t="shared" si="245"/>
        <v>1842.59</v>
      </c>
    </row>
    <row r="7856" spans="1:4" ht="16.149999999999999" customHeight="1" x14ac:dyDescent="0.25">
      <c r="A7856" s="431">
        <v>41416</v>
      </c>
      <c r="B7856" s="434">
        <v>1846.76</v>
      </c>
      <c r="C7856" s="427">
        <f t="shared" si="244"/>
        <v>2013</v>
      </c>
      <c r="D7856" s="433">
        <f t="shared" si="245"/>
        <v>1846.76</v>
      </c>
    </row>
    <row r="7857" spans="1:4" ht="16.149999999999999" customHeight="1" x14ac:dyDescent="0.25">
      <c r="A7857" s="431">
        <v>41417</v>
      </c>
      <c r="B7857" s="432">
        <v>1850.55</v>
      </c>
      <c r="C7857" s="427">
        <f t="shared" si="244"/>
        <v>2013</v>
      </c>
      <c r="D7857" s="433">
        <f t="shared" si="245"/>
        <v>1850.55</v>
      </c>
    </row>
    <row r="7858" spans="1:4" ht="16.149999999999999" customHeight="1" x14ac:dyDescent="0.25">
      <c r="A7858" s="431">
        <v>41418</v>
      </c>
      <c r="B7858" s="434">
        <v>1864.02</v>
      </c>
      <c r="C7858" s="427">
        <f t="shared" si="244"/>
        <v>2013</v>
      </c>
      <c r="D7858" s="433">
        <f t="shared" si="245"/>
        <v>1864.02</v>
      </c>
    </row>
    <row r="7859" spans="1:4" ht="16.149999999999999" customHeight="1" x14ac:dyDescent="0.25">
      <c r="A7859" s="431">
        <v>41419</v>
      </c>
      <c r="B7859" s="432">
        <v>1874.1</v>
      </c>
      <c r="C7859" s="427">
        <f t="shared" si="244"/>
        <v>2013</v>
      </c>
      <c r="D7859" s="433">
        <f t="shared" si="245"/>
        <v>1874.1</v>
      </c>
    </row>
    <row r="7860" spans="1:4" ht="16.149999999999999" customHeight="1" x14ac:dyDescent="0.25">
      <c r="A7860" s="431">
        <v>41420</v>
      </c>
      <c r="B7860" s="434">
        <v>1874.1</v>
      </c>
      <c r="C7860" s="427">
        <f t="shared" si="244"/>
        <v>2013</v>
      </c>
      <c r="D7860" s="433">
        <f t="shared" si="245"/>
        <v>1874.1</v>
      </c>
    </row>
    <row r="7861" spans="1:4" ht="16.149999999999999" customHeight="1" x14ac:dyDescent="0.25">
      <c r="A7861" s="431">
        <v>41421</v>
      </c>
      <c r="B7861" s="432">
        <v>1874.1</v>
      </c>
      <c r="C7861" s="427">
        <f t="shared" si="244"/>
        <v>2013</v>
      </c>
      <c r="D7861" s="433">
        <f t="shared" si="245"/>
        <v>1874.1</v>
      </c>
    </row>
    <row r="7862" spans="1:4" ht="16.149999999999999" customHeight="1" x14ac:dyDescent="0.25">
      <c r="A7862" s="431">
        <v>41422</v>
      </c>
      <c r="B7862" s="434">
        <v>1874.1</v>
      </c>
      <c r="C7862" s="427">
        <f t="shared" si="244"/>
        <v>2013</v>
      </c>
      <c r="D7862" s="433">
        <f t="shared" si="245"/>
        <v>1874.1</v>
      </c>
    </row>
    <row r="7863" spans="1:4" ht="16.149999999999999" customHeight="1" x14ac:dyDescent="0.25">
      <c r="A7863" s="431">
        <v>41423</v>
      </c>
      <c r="B7863" s="432">
        <v>1897.1</v>
      </c>
      <c r="C7863" s="427">
        <f t="shared" si="244"/>
        <v>2013</v>
      </c>
      <c r="D7863" s="433">
        <f t="shared" si="245"/>
        <v>1897.1</v>
      </c>
    </row>
    <row r="7864" spans="1:4" ht="16.149999999999999" customHeight="1" x14ac:dyDescent="0.25">
      <c r="A7864" s="431">
        <v>41424</v>
      </c>
      <c r="B7864" s="434">
        <v>1894.13</v>
      </c>
      <c r="C7864" s="427">
        <f t="shared" si="244"/>
        <v>2013</v>
      </c>
      <c r="D7864" s="433">
        <f t="shared" si="245"/>
        <v>1894.13</v>
      </c>
    </row>
    <row r="7865" spans="1:4" ht="16.149999999999999" customHeight="1" x14ac:dyDescent="0.25">
      <c r="A7865" s="431">
        <v>41425</v>
      </c>
      <c r="B7865" s="432">
        <v>1891.48</v>
      </c>
      <c r="C7865" s="427">
        <f t="shared" si="244"/>
        <v>2013</v>
      </c>
      <c r="D7865" s="433">
        <f t="shared" si="245"/>
        <v>1891.48</v>
      </c>
    </row>
    <row r="7866" spans="1:4" ht="16.149999999999999" customHeight="1" x14ac:dyDescent="0.25">
      <c r="A7866" s="431">
        <v>41426</v>
      </c>
      <c r="B7866" s="434">
        <v>1907.76</v>
      </c>
      <c r="C7866" s="427">
        <f t="shared" si="244"/>
        <v>2013</v>
      </c>
      <c r="D7866" s="433">
        <f t="shared" si="245"/>
        <v>1907.76</v>
      </c>
    </row>
    <row r="7867" spans="1:4" ht="16.149999999999999" customHeight="1" x14ac:dyDescent="0.25">
      <c r="A7867" s="431">
        <v>41427</v>
      </c>
      <c r="B7867" s="432">
        <v>1907.76</v>
      </c>
      <c r="C7867" s="427">
        <f t="shared" si="244"/>
        <v>2013</v>
      </c>
      <c r="D7867" s="433">
        <f t="shared" si="245"/>
        <v>1907.76</v>
      </c>
    </row>
    <row r="7868" spans="1:4" ht="16.149999999999999" customHeight="1" x14ac:dyDescent="0.25">
      <c r="A7868" s="431">
        <v>41428</v>
      </c>
      <c r="B7868" s="434">
        <v>1907.76</v>
      </c>
      <c r="C7868" s="427">
        <f t="shared" si="244"/>
        <v>2013</v>
      </c>
      <c r="D7868" s="433">
        <f t="shared" si="245"/>
        <v>1907.76</v>
      </c>
    </row>
    <row r="7869" spans="1:4" ht="16.149999999999999" customHeight="1" x14ac:dyDescent="0.25">
      <c r="A7869" s="431">
        <v>41429</v>
      </c>
      <c r="B7869" s="432">
        <v>1907.76</v>
      </c>
      <c r="C7869" s="427">
        <f t="shared" si="244"/>
        <v>2013</v>
      </c>
      <c r="D7869" s="433">
        <f t="shared" si="245"/>
        <v>1907.76</v>
      </c>
    </row>
    <row r="7870" spans="1:4" ht="16.149999999999999" customHeight="1" x14ac:dyDescent="0.25">
      <c r="A7870" s="431">
        <v>41430</v>
      </c>
      <c r="B7870" s="434">
        <v>1894.4</v>
      </c>
      <c r="C7870" s="427">
        <f t="shared" si="244"/>
        <v>2013</v>
      </c>
      <c r="D7870" s="433">
        <f t="shared" si="245"/>
        <v>1894.4</v>
      </c>
    </row>
    <row r="7871" spans="1:4" ht="16.149999999999999" customHeight="1" x14ac:dyDescent="0.25">
      <c r="A7871" s="431">
        <v>41431</v>
      </c>
      <c r="B7871" s="432">
        <v>1899.08</v>
      </c>
      <c r="C7871" s="427">
        <f t="shared" si="244"/>
        <v>2013</v>
      </c>
      <c r="D7871" s="433">
        <f t="shared" si="245"/>
        <v>1899.08</v>
      </c>
    </row>
    <row r="7872" spans="1:4" ht="16.149999999999999" customHeight="1" x14ac:dyDescent="0.25">
      <c r="A7872" s="431">
        <v>41432</v>
      </c>
      <c r="B7872" s="434">
        <v>1907.88</v>
      </c>
      <c r="C7872" s="427">
        <f t="shared" si="244"/>
        <v>2013</v>
      </c>
      <c r="D7872" s="433">
        <f t="shared" si="245"/>
        <v>1907.88</v>
      </c>
    </row>
    <row r="7873" spans="1:4" ht="16.149999999999999" customHeight="1" x14ac:dyDescent="0.25">
      <c r="A7873" s="431">
        <v>41433</v>
      </c>
      <c r="B7873" s="432">
        <v>1898.8</v>
      </c>
      <c r="C7873" s="427">
        <f t="shared" si="244"/>
        <v>2013</v>
      </c>
      <c r="D7873" s="433">
        <f t="shared" si="245"/>
        <v>1898.8</v>
      </c>
    </row>
    <row r="7874" spans="1:4" ht="16.149999999999999" customHeight="1" x14ac:dyDescent="0.25">
      <c r="A7874" s="431">
        <v>41434</v>
      </c>
      <c r="B7874" s="434">
        <v>1898.8</v>
      </c>
      <c r="C7874" s="427">
        <f t="shared" si="244"/>
        <v>2013</v>
      </c>
      <c r="D7874" s="433">
        <f t="shared" si="245"/>
        <v>1898.8</v>
      </c>
    </row>
    <row r="7875" spans="1:4" ht="16.149999999999999" customHeight="1" x14ac:dyDescent="0.25">
      <c r="A7875" s="431">
        <v>41435</v>
      </c>
      <c r="B7875" s="432">
        <v>1898.8</v>
      </c>
      <c r="C7875" s="427">
        <f t="shared" si="244"/>
        <v>2013</v>
      </c>
      <c r="D7875" s="433">
        <f t="shared" si="245"/>
        <v>1898.8</v>
      </c>
    </row>
    <row r="7876" spans="1:4" ht="16.149999999999999" customHeight="1" x14ac:dyDescent="0.25">
      <c r="A7876" s="431">
        <v>41436</v>
      </c>
      <c r="B7876" s="434">
        <v>1898.8</v>
      </c>
      <c r="C7876" s="427">
        <f t="shared" si="244"/>
        <v>2013</v>
      </c>
      <c r="D7876" s="433">
        <f t="shared" si="245"/>
        <v>1898.8</v>
      </c>
    </row>
    <row r="7877" spans="1:4" ht="16.149999999999999" customHeight="1" x14ac:dyDescent="0.25">
      <c r="A7877" s="431">
        <v>41437</v>
      </c>
      <c r="B7877" s="432">
        <v>1907.12</v>
      </c>
      <c r="C7877" s="427">
        <f t="shared" si="244"/>
        <v>2013</v>
      </c>
      <c r="D7877" s="433">
        <f t="shared" si="245"/>
        <v>1907.12</v>
      </c>
    </row>
    <row r="7878" spans="1:4" ht="16.149999999999999" customHeight="1" x14ac:dyDescent="0.25">
      <c r="A7878" s="431">
        <v>41438</v>
      </c>
      <c r="B7878" s="434">
        <v>1897.53</v>
      </c>
      <c r="C7878" s="427">
        <f t="shared" si="244"/>
        <v>2013</v>
      </c>
      <c r="D7878" s="433">
        <f t="shared" si="245"/>
        <v>1897.53</v>
      </c>
    </row>
    <row r="7879" spans="1:4" ht="16.149999999999999" customHeight="1" x14ac:dyDescent="0.25">
      <c r="A7879" s="431">
        <v>41439</v>
      </c>
      <c r="B7879" s="432">
        <v>1895.01</v>
      </c>
      <c r="C7879" s="427">
        <f t="shared" si="244"/>
        <v>2013</v>
      </c>
      <c r="D7879" s="433">
        <f t="shared" si="245"/>
        <v>1895.01</v>
      </c>
    </row>
    <row r="7880" spans="1:4" ht="16.149999999999999" customHeight="1" x14ac:dyDescent="0.25">
      <c r="A7880" s="431">
        <v>41440</v>
      </c>
      <c r="B7880" s="434">
        <v>1882.38</v>
      </c>
      <c r="C7880" s="427">
        <f t="shared" si="244"/>
        <v>2013</v>
      </c>
      <c r="D7880" s="433">
        <f t="shared" si="245"/>
        <v>1882.38</v>
      </c>
    </row>
    <row r="7881" spans="1:4" ht="16.149999999999999" customHeight="1" x14ac:dyDescent="0.25">
      <c r="A7881" s="431">
        <v>41441</v>
      </c>
      <c r="B7881" s="432">
        <v>1882.38</v>
      </c>
      <c r="C7881" s="427">
        <f t="shared" si="244"/>
        <v>2013</v>
      </c>
      <c r="D7881" s="433">
        <f t="shared" si="245"/>
        <v>1882.38</v>
      </c>
    </row>
    <row r="7882" spans="1:4" ht="16.149999999999999" customHeight="1" x14ac:dyDescent="0.25">
      <c r="A7882" s="431">
        <v>41442</v>
      </c>
      <c r="B7882" s="434">
        <v>1882.38</v>
      </c>
      <c r="C7882" s="427">
        <f t="shared" ref="C7882:C7945" si="246">YEAR(A7882)</f>
        <v>2013</v>
      </c>
      <c r="D7882" s="433">
        <f t="shared" ref="D7882:D7945" si="247">B7882</f>
        <v>1882.38</v>
      </c>
    </row>
    <row r="7883" spans="1:4" ht="16.149999999999999" customHeight="1" x14ac:dyDescent="0.25">
      <c r="A7883" s="431">
        <v>41443</v>
      </c>
      <c r="B7883" s="432">
        <v>1883.57</v>
      </c>
      <c r="C7883" s="427">
        <f t="shared" si="246"/>
        <v>2013</v>
      </c>
      <c r="D7883" s="433">
        <f t="shared" si="247"/>
        <v>1883.57</v>
      </c>
    </row>
    <row r="7884" spans="1:4" ht="16.149999999999999" customHeight="1" x14ac:dyDescent="0.25">
      <c r="A7884" s="431">
        <v>41444</v>
      </c>
      <c r="B7884" s="434">
        <v>1902.47</v>
      </c>
      <c r="C7884" s="427">
        <f t="shared" si="246"/>
        <v>2013</v>
      </c>
      <c r="D7884" s="433">
        <f t="shared" si="247"/>
        <v>1902.47</v>
      </c>
    </row>
    <row r="7885" spans="1:4" ht="16.149999999999999" customHeight="1" x14ac:dyDescent="0.25">
      <c r="A7885" s="431">
        <v>41445</v>
      </c>
      <c r="B7885" s="432">
        <v>1900.87</v>
      </c>
      <c r="C7885" s="427">
        <f t="shared" si="246"/>
        <v>2013</v>
      </c>
      <c r="D7885" s="433">
        <f t="shared" si="247"/>
        <v>1900.87</v>
      </c>
    </row>
    <row r="7886" spans="1:4" ht="16.149999999999999" customHeight="1" x14ac:dyDescent="0.25">
      <c r="A7886" s="431">
        <v>41446</v>
      </c>
      <c r="B7886" s="434">
        <v>1937.26</v>
      </c>
      <c r="C7886" s="427">
        <f t="shared" si="246"/>
        <v>2013</v>
      </c>
      <c r="D7886" s="433">
        <f t="shared" si="247"/>
        <v>1937.26</v>
      </c>
    </row>
    <row r="7887" spans="1:4" ht="16.149999999999999" customHeight="1" x14ac:dyDescent="0.25">
      <c r="A7887" s="431">
        <v>41447</v>
      </c>
      <c r="B7887" s="432">
        <v>1941.06</v>
      </c>
      <c r="C7887" s="427">
        <f t="shared" si="246"/>
        <v>2013</v>
      </c>
      <c r="D7887" s="433">
        <f t="shared" si="247"/>
        <v>1941.06</v>
      </c>
    </row>
    <row r="7888" spans="1:4" ht="16.149999999999999" customHeight="1" x14ac:dyDescent="0.25">
      <c r="A7888" s="431">
        <v>41448</v>
      </c>
      <c r="B7888" s="434">
        <v>1941.06</v>
      </c>
      <c r="C7888" s="427">
        <f t="shared" si="246"/>
        <v>2013</v>
      </c>
      <c r="D7888" s="433">
        <f t="shared" si="247"/>
        <v>1941.06</v>
      </c>
    </row>
    <row r="7889" spans="1:4" ht="16.149999999999999" customHeight="1" x14ac:dyDescent="0.25">
      <c r="A7889" s="431">
        <v>41449</v>
      </c>
      <c r="B7889" s="432">
        <v>1941.06</v>
      </c>
      <c r="C7889" s="427">
        <f t="shared" si="246"/>
        <v>2013</v>
      </c>
      <c r="D7889" s="433">
        <f t="shared" si="247"/>
        <v>1941.06</v>
      </c>
    </row>
    <row r="7890" spans="1:4" ht="16.149999999999999" customHeight="1" x14ac:dyDescent="0.25">
      <c r="A7890" s="431">
        <v>41450</v>
      </c>
      <c r="B7890" s="434">
        <v>1942.97</v>
      </c>
      <c r="C7890" s="427">
        <f t="shared" si="246"/>
        <v>2013</v>
      </c>
      <c r="D7890" s="433">
        <f t="shared" si="247"/>
        <v>1942.97</v>
      </c>
    </row>
    <row r="7891" spans="1:4" ht="16.149999999999999" customHeight="1" x14ac:dyDescent="0.25">
      <c r="A7891" s="431">
        <v>41451</v>
      </c>
      <c r="B7891" s="432">
        <v>1928.27</v>
      </c>
      <c r="C7891" s="427">
        <f t="shared" si="246"/>
        <v>2013</v>
      </c>
      <c r="D7891" s="433">
        <f t="shared" si="247"/>
        <v>1928.27</v>
      </c>
    </row>
    <row r="7892" spans="1:4" ht="16.149999999999999" customHeight="1" x14ac:dyDescent="0.25">
      <c r="A7892" s="431">
        <v>41452</v>
      </c>
      <c r="B7892" s="434">
        <v>1921.86</v>
      </c>
      <c r="C7892" s="427">
        <f t="shared" si="246"/>
        <v>2013</v>
      </c>
      <c r="D7892" s="433">
        <f t="shared" si="247"/>
        <v>1921.86</v>
      </c>
    </row>
    <row r="7893" spans="1:4" ht="16.149999999999999" customHeight="1" x14ac:dyDescent="0.25">
      <c r="A7893" s="431">
        <v>41453</v>
      </c>
      <c r="B7893" s="432">
        <v>1922.63</v>
      </c>
      <c r="C7893" s="427">
        <f t="shared" si="246"/>
        <v>2013</v>
      </c>
      <c r="D7893" s="433">
        <f t="shared" si="247"/>
        <v>1922.63</v>
      </c>
    </row>
    <row r="7894" spans="1:4" ht="16.149999999999999" customHeight="1" x14ac:dyDescent="0.25">
      <c r="A7894" s="431">
        <v>41454</v>
      </c>
      <c r="B7894" s="434">
        <v>1929</v>
      </c>
      <c r="C7894" s="427">
        <f t="shared" si="246"/>
        <v>2013</v>
      </c>
      <c r="D7894" s="433">
        <f t="shared" si="247"/>
        <v>1929</v>
      </c>
    </row>
    <row r="7895" spans="1:4" ht="16.149999999999999" customHeight="1" x14ac:dyDescent="0.25">
      <c r="A7895" s="431">
        <v>41455</v>
      </c>
      <c r="B7895" s="432">
        <v>1929</v>
      </c>
      <c r="C7895" s="427">
        <f t="shared" si="246"/>
        <v>2013</v>
      </c>
      <c r="D7895" s="433">
        <f t="shared" si="247"/>
        <v>1929</v>
      </c>
    </row>
    <row r="7896" spans="1:4" ht="16.149999999999999" customHeight="1" x14ac:dyDescent="0.25">
      <c r="A7896" s="431">
        <v>41456</v>
      </c>
      <c r="B7896" s="434">
        <v>1929</v>
      </c>
      <c r="C7896" s="427">
        <f t="shared" si="246"/>
        <v>2013</v>
      </c>
      <c r="D7896" s="433">
        <f t="shared" si="247"/>
        <v>1929</v>
      </c>
    </row>
    <row r="7897" spans="1:4" ht="16.149999999999999" customHeight="1" x14ac:dyDescent="0.25">
      <c r="A7897" s="431">
        <v>41457</v>
      </c>
      <c r="B7897" s="432">
        <v>1929</v>
      </c>
      <c r="C7897" s="427">
        <f t="shared" si="246"/>
        <v>2013</v>
      </c>
      <c r="D7897" s="433">
        <f t="shared" si="247"/>
        <v>1929</v>
      </c>
    </row>
    <row r="7898" spans="1:4" ht="16.149999999999999" customHeight="1" x14ac:dyDescent="0.25">
      <c r="A7898" s="431">
        <v>41458</v>
      </c>
      <c r="B7898" s="434">
        <v>1919.42</v>
      </c>
      <c r="C7898" s="427">
        <f t="shared" si="246"/>
        <v>2013</v>
      </c>
      <c r="D7898" s="433">
        <f t="shared" si="247"/>
        <v>1919.42</v>
      </c>
    </row>
    <row r="7899" spans="1:4" ht="16.149999999999999" customHeight="1" x14ac:dyDescent="0.25">
      <c r="A7899" s="431">
        <v>41459</v>
      </c>
      <c r="B7899" s="432">
        <v>1915.45</v>
      </c>
      <c r="C7899" s="427">
        <f t="shared" si="246"/>
        <v>2013</v>
      </c>
      <c r="D7899" s="433">
        <f t="shared" si="247"/>
        <v>1915.45</v>
      </c>
    </row>
    <row r="7900" spans="1:4" ht="16.149999999999999" customHeight="1" x14ac:dyDescent="0.25">
      <c r="A7900" s="431">
        <v>41460</v>
      </c>
      <c r="B7900" s="434">
        <v>1915.45</v>
      </c>
      <c r="C7900" s="427">
        <f t="shared" si="246"/>
        <v>2013</v>
      </c>
      <c r="D7900" s="433">
        <f t="shared" si="247"/>
        <v>1915.45</v>
      </c>
    </row>
    <row r="7901" spans="1:4" ht="16.149999999999999" customHeight="1" x14ac:dyDescent="0.25">
      <c r="A7901" s="431">
        <v>41461</v>
      </c>
      <c r="B7901" s="432">
        <v>1927.4</v>
      </c>
      <c r="C7901" s="427">
        <f t="shared" si="246"/>
        <v>2013</v>
      </c>
      <c r="D7901" s="433">
        <f t="shared" si="247"/>
        <v>1927.4</v>
      </c>
    </row>
    <row r="7902" spans="1:4" ht="16.149999999999999" customHeight="1" x14ac:dyDescent="0.25">
      <c r="A7902" s="431">
        <v>41462</v>
      </c>
      <c r="B7902" s="434">
        <v>1927.4</v>
      </c>
      <c r="C7902" s="427">
        <f t="shared" si="246"/>
        <v>2013</v>
      </c>
      <c r="D7902" s="433">
        <f t="shared" si="247"/>
        <v>1927.4</v>
      </c>
    </row>
    <row r="7903" spans="1:4" ht="16.149999999999999" customHeight="1" x14ac:dyDescent="0.25">
      <c r="A7903" s="431">
        <v>41463</v>
      </c>
      <c r="B7903" s="432">
        <v>1927.4</v>
      </c>
      <c r="C7903" s="427">
        <f t="shared" si="246"/>
        <v>2013</v>
      </c>
      <c r="D7903" s="433">
        <f t="shared" si="247"/>
        <v>1927.4</v>
      </c>
    </row>
    <row r="7904" spans="1:4" ht="16.149999999999999" customHeight="1" x14ac:dyDescent="0.25">
      <c r="A7904" s="431">
        <v>41464</v>
      </c>
      <c r="B7904" s="434">
        <v>1926.84</v>
      </c>
      <c r="C7904" s="427">
        <f t="shared" si="246"/>
        <v>2013</v>
      </c>
      <c r="D7904" s="433">
        <f t="shared" si="247"/>
        <v>1926.84</v>
      </c>
    </row>
    <row r="7905" spans="1:4" ht="16.149999999999999" customHeight="1" x14ac:dyDescent="0.25">
      <c r="A7905" s="431">
        <v>41465</v>
      </c>
      <c r="B7905" s="432">
        <v>1920.12</v>
      </c>
      <c r="C7905" s="427">
        <f t="shared" si="246"/>
        <v>2013</v>
      </c>
      <c r="D7905" s="433">
        <f t="shared" si="247"/>
        <v>1920.12</v>
      </c>
    </row>
    <row r="7906" spans="1:4" ht="16.149999999999999" customHeight="1" x14ac:dyDescent="0.25">
      <c r="A7906" s="431">
        <v>41466</v>
      </c>
      <c r="B7906" s="434">
        <v>1920.24</v>
      </c>
      <c r="C7906" s="427">
        <f t="shared" si="246"/>
        <v>2013</v>
      </c>
      <c r="D7906" s="433">
        <f t="shared" si="247"/>
        <v>1920.24</v>
      </c>
    </row>
    <row r="7907" spans="1:4" ht="16.149999999999999" customHeight="1" x14ac:dyDescent="0.25">
      <c r="A7907" s="431">
        <v>41467</v>
      </c>
      <c r="B7907" s="432">
        <v>1910.79</v>
      </c>
      <c r="C7907" s="427">
        <f t="shared" si="246"/>
        <v>2013</v>
      </c>
      <c r="D7907" s="433">
        <f t="shared" si="247"/>
        <v>1910.79</v>
      </c>
    </row>
    <row r="7908" spans="1:4" ht="16.149999999999999" customHeight="1" x14ac:dyDescent="0.25">
      <c r="A7908" s="431">
        <v>41468</v>
      </c>
      <c r="B7908" s="434">
        <v>1905.25</v>
      </c>
      <c r="C7908" s="427">
        <f t="shared" si="246"/>
        <v>2013</v>
      </c>
      <c r="D7908" s="433">
        <f t="shared" si="247"/>
        <v>1905.25</v>
      </c>
    </row>
    <row r="7909" spans="1:4" ht="16.149999999999999" customHeight="1" x14ac:dyDescent="0.25">
      <c r="A7909" s="431">
        <v>41469</v>
      </c>
      <c r="B7909" s="432">
        <v>1905.25</v>
      </c>
      <c r="C7909" s="427">
        <f t="shared" si="246"/>
        <v>2013</v>
      </c>
      <c r="D7909" s="433">
        <f t="shared" si="247"/>
        <v>1905.25</v>
      </c>
    </row>
    <row r="7910" spans="1:4" ht="16.149999999999999" customHeight="1" x14ac:dyDescent="0.25">
      <c r="A7910" s="431">
        <v>41470</v>
      </c>
      <c r="B7910" s="434">
        <v>1905.25</v>
      </c>
      <c r="C7910" s="427">
        <f t="shared" si="246"/>
        <v>2013</v>
      </c>
      <c r="D7910" s="433">
        <f t="shared" si="247"/>
        <v>1905.25</v>
      </c>
    </row>
    <row r="7911" spans="1:4" ht="16.149999999999999" customHeight="1" x14ac:dyDescent="0.25">
      <c r="A7911" s="431">
        <v>41471</v>
      </c>
      <c r="B7911" s="432">
        <v>1893.16</v>
      </c>
      <c r="C7911" s="427">
        <f t="shared" si="246"/>
        <v>2013</v>
      </c>
      <c r="D7911" s="433">
        <f t="shared" si="247"/>
        <v>1893.16</v>
      </c>
    </row>
    <row r="7912" spans="1:4" ht="16.149999999999999" customHeight="1" x14ac:dyDescent="0.25">
      <c r="A7912" s="431">
        <v>41472</v>
      </c>
      <c r="B7912" s="434">
        <v>1878.42</v>
      </c>
      <c r="C7912" s="427">
        <f t="shared" si="246"/>
        <v>2013</v>
      </c>
      <c r="D7912" s="433">
        <f t="shared" si="247"/>
        <v>1878.42</v>
      </c>
    </row>
    <row r="7913" spans="1:4" ht="16.149999999999999" customHeight="1" x14ac:dyDescent="0.25">
      <c r="A7913" s="431">
        <v>41473</v>
      </c>
      <c r="B7913" s="432">
        <v>1873.25</v>
      </c>
      <c r="C7913" s="427">
        <f t="shared" si="246"/>
        <v>2013</v>
      </c>
      <c r="D7913" s="433">
        <f t="shared" si="247"/>
        <v>1873.25</v>
      </c>
    </row>
    <row r="7914" spans="1:4" ht="16.149999999999999" customHeight="1" x14ac:dyDescent="0.25">
      <c r="A7914" s="431">
        <v>41474</v>
      </c>
      <c r="B7914" s="434">
        <v>1883.29</v>
      </c>
      <c r="C7914" s="427">
        <f t="shared" si="246"/>
        <v>2013</v>
      </c>
      <c r="D7914" s="433">
        <f t="shared" si="247"/>
        <v>1883.29</v>
      </c>
    </row>
    <row r="7915" spans="1:4" ht="16.149999999999999" customHeight="1" x14ac:dyDescent="0.25">
      <c r="A7915" s="431">
        <v>41475</v>
      </c>
      <c r="B7915" s="432">
        <v>1884.01</v>
      </c>
      <c r="C7915" s="427">
        <f t="shared" si="246"/>
        <v>2013</v>
      </c>
      <c r="D7915" s="433">
        <f t="shared" si="247"/>
        <v>1884.01</v>
      </c>
    </row>
    <row r="7916" spans="1:4" ht="16.149999999999999" customHeight="1" x14ac:dyDescent="0.25">
      <c r="A7916" s="431">
        <v>41476</v>
      </c>
      <c r="B7916" s="434">
        <v>1884.01</v>
      </c>
      <c r="C7916" s="427">
        <f t="shared" si="246"/>
        <v>2013</v>
      </c>
      <c r="D7916" s="433">
        <f t="shared" si="247"/>
        <v>1884.01</v>
      </c>
    </row>
    <row r="7917" spans="1:4" ht="16.149999999999999" customHeight="1" x14ac:dyDescent="0.25">
      <c r="A7917" s="431">
        <v>41477</v>
      </c>
      <c r="B7917" s="432">
        <v>1884.01</v>
      </c>
      <c r="C7917" s="427">
        <f t="shared" si="246"/>
        <v>2013</v>
      </c>
      <c r="D7917" s="433">
        <f t="shared" si="247"/>
        <v>1884.01</v>
      </c>
    </row>
    <row r="7918" spans="1:4" ht="16.149999999999999" customHeight="1" x14ac:dyDescent="0.25">
      <c r="A7918" s="431">
        <v>41478</v>
      </c>
      <c r="B7918" s="434">
        <v>1880.87</v>
      </c>
      <c r="C7918" s="427">
        <f t="shared" si="246"/>
        <v>2013</v>
      </c>
      <c r="D7918" s="433">
        <f t="shared" si="247"/>
        <v>1880.87</v>
      </c>
    </row>
    <row r="7919" spans="1:4" ht="16.149999999999999" customHeight="1" x14ac:dyDescent="0.25">
      <c r="A7919" s="431">
        <v>41479</v>
      </c>
      <c r="B7919" s="432">
        <v>1886.06</v>
      </c>
      <c r="C7919" s="427">
        <f t="shared" si="246"/>
        <v>2013</v>
      </c>
      <c r="D7919" s="433">
        <f t="shared" si="247"/>
        <v>1886.06</v>
      </c>
    </row>
    <row r="7920" spans="1:4" ht="16.149999999999999" customHeight="1" x14ac:dyDescent="0.25">
      <c r="A7920" s="431">
        <v>41480</v>
      </c>
      <c r="B7920" s="434">
        <v>1891.02</v>
      </c>
      <c r="C7920" s="427">
        <f t="shared" si="246"/>
        <v>2013</v>
      </c>
      <c r="D7920" s="433">
        <f t="shared" si="247"/>
        <v>1891.02</v>
      </c>
    </row>
    <row r="7921" spans="1:4" ht="16.149999999999999" customHeight="1" x14ac:dyDescent="0.25">
      <c r="A7921" s="431">
        <v>41481</v>
      </c>
      <c r="B7921" s="432">
        <v>1887.4</v>
      </c>
      <c r="C7921" s="427">
        <f t="shared" si="246"/>
        <v>2013</v>
      </c>
      <c r="D7921" s="433">
        <f t="shared" si="247"/>
        <v>1887.4</v>
      </c>
    </row>
    <row r="7922" spans="1:4" ht="16.149999999999999" customHeight="1" x14ac:dyDescent="0.25">
      <c r="A7922" s="431">
        <v>41482</v>
      </c>
      <c r="B7922" s="434">
        <v>1886.26</v>
      </c>
      <c r="C7922" s="427">
        <f t="shared" si="246"/>
        <v>2013</v>
      </c>
      <c r="D7922" s="433">
        <f t="shared" si="247"/>
        <v>1886.26</v>
      </c>
    </row>
    <row r="7923" spans="1:4" ht="16.149999999999999" customHeight="1" x14ac:dyDescent="0.25">
      <c r="A7923" s="431">
        <v>41483</v>
      </c>
      <c r="B7923" s="432">
        <v>1886.26</v>
      </c>
      <c r="C7923" s="427">
        <f t="shared" si="246"/>
        <v>2013</v>
      </c>
      <c r="D7923" s="433">
        <f t="shared" si="247"/>
        <v>1886.26</v>
      </c>
    </row>
    <row r="7924" spans="1:4" ht="16.149999999999999" customHeight="1" x14ac:dyDescent="0.25">
      <c r="A7924" s="431">
        <v>41484</v>
      </c>
      <c r="B7924" s="434">
        <v>1886.26</v>
      </c>
      <c r="C7924" s="427">
        <f t="shared" si="246"/>
        <v>2013</v>
      </c>
      <c r="D7924" s="433">
        <f t="shared" si="247"/>
        <v>1886.26</v>
      </c>
    </row>
    <row r="7925" spans="1:4" ht="16.149999999999999" customHeight="1" x14ac:dyDescent="0.25">
      <c r="A7925" s="431">
        <v>41485</v>
      </c>
      <c r="B7925" s="432">
        <v>1888.95</v>
      </c>
      <c r="C7925" s="427">
        <f t="shared" si="246"/>
        <v>2013</v>
      </c>
      <c r="D7925" s="433">
        <f t="shared" si="247"/>
        <v>1888.95</v>
      </c>
    </row>
    <row r="7926" spans="1:4" ht="16.149999999999999" customHeight="1" x14ac:dyDescent="0.25">
      <c r="A7926" s="431">
        <v>41486</v>
      </c>
      <c r="B7926" s="434">
        <v>1890.33</v>
      </c>
      <c r="C7926" s="427">
        <f t="shared" si="246"/>
        <v>2013</v>
      </c>
      <c r="D7926" s="433">
        <f t="shared" si="247"/>
        <v>1890.33</v>
      </c>
    </row>
    <row r="7927" spans="1:4" ht="16.149999999999999" customHeight="1" x14ac:dyDescent="0.25">
      <c r="A7927" s="431">
        <v>41487</v>
      </c>
      <c r="B7927" s="432">
        <v>1896.15</v>
      </c>
      <c r="C7927" s="427">
        <f t="shared" si="246"/>
        <v>2013</v>
      </c>
      <c r="D7927" s="433">
        <f t="shared" si="247"/>
        <v>1896.15</v>
      </c>
    </row>
    <row r="7928" spans="1:4" ht="16.149999999999999" customHeight="1" x14ac:dyDescent="0.25">
      <c r="A7928" s="431">
        <v>41488</v>
      </c>
      <c r="B7928" s="434">
        <v>1896.65</v>
      </c>
      <c r="C7928" s="427">
        <f t="shared" si="246"/>
        <v>2013</v>
      </c>
      <c r="D7928" s="433">
        <f t="shared" si="247"/>
        <v>1896.65</v>
      </c>
    </row>
    <row r="7929" spans="1:4" ht="16.149999999999999" customHeight="1" x14ac:dyDescent="0.25">
      <c r="A7929" s="431">
        <v>41489</v>
      </c>
      <c r="B7929" s="432">
        <v>1891.67</v>
      </c>
      <c r="C7929" s="427">
        <f t="shared" si="246"/>
        <v>2013</v>
      </c>
      <c r="D7929" s="433">
        <f t="shared" si="247"/>
        <v>1891.67</v>
      </c>
    </row>
    <row r="7930" spans="1:4" ht="16.149999999999999" customHeight="1" x14ac:dyDescent="0.25">
      <c r="A7930" s="431">
        <v>41490</v>
      </c>
      <c r="B7930" s="434">
        <v>1891.67</v>
      </c>
      <c r="C7930" s="427">
        <f t="shared" si="246"/>
        <v>2013</v>
      </c>
      <c r="D7930" s="433">
        <f t="shared" si="247"/>
        <v>1891.67</v>
      </c>
    </row>
    <row r="7931" spans="1:4" ht="16.149999999999999" customHeight="1" x14ac:dyDescent="0.25">
      <c r="A7931" s="431">
        <v>41491</v>
      </c>
      <c r="B7931" s="432">
        <v>1891.67</v>
      </c>
      <c r="C7931" s="427">
        <f t="shared" si="246"/>
        <v>2013</v>
      </c>
      <c r="D7931" s="433">
        <f t="shared" si="247"/>
        <v>1891.67</v>
      </c>
    </row>
    <row r="7932" spans="1:4" ht="16.149999999999999" customHeight="1" x14ac:dyDescent="0.25">
      <c r="A7932" s="431">
        <v>41492</v>
      </c>
      <c r="B7932" s="434">
        <v>1883.24</v>
      </c>
      <c r="C7932" s="427">
        <f t="shared" si="246"/>
        <v>2013</v>
      </c>
      <c r="D7932" s="433">
        <f t="shared" si="247"/>
        <v>1883.24</v>
      </c>
    </row>
    <row r="7933" spans="1:4" ht="16.149999999999999" customHeight="1" x14ac:dyDescent="0.25">
      <c r="A7933" s="431">
        <v>41493</v>
      </c>
      <c r="B7933" s="432">
        <v>1882.01</v>
      </c>
      <c r="C7933" s="427">
        <f t="shared" si="246"/>
        <v>2013</v>
      </c>
      <c r="D7933" s="433">
        <f t="shared" si="247"/>
        <v>1882.01</v>
      </c>
    </row>
    <row r="7934" spans="1:4" ht="16.149999999999999" customHeight="1" x14ac:dyDescent="0.25">
      <c r="A7934" s="431">
        <v>41494</v>
      </c>
      <c r="B7934" s="434">
        <v>1882.01</v>
      </c>
      <c r="C7934" s="427">
        <f t="shared" si="246"/>
        <v>2013</v>
      </c>
      <c r="D7934" s="433">
        <f t="shared" si="247"/>
        <v>1882.01</v>
      </c>
    </row>
    <row r="7935" spans="1:4" ht="16.149999999999999" customHeight="1" x14ac:dyDescent="0.25">
      <c r="A7935" s="431">
        <v>41495</v>
      </c>
      <c r="B7935" s="432">
        <v>1877.23</v>
      </c>
      <c r="C7935" s="427">
        <f t="shared" si="246"/>
        <v>2013</v>
      </c>
      <c r="D7935" s="433">
        <f t="shared" si="247"/>
        <v>1877.23</v>
      </c>
    </row>
    <row r="7936" spans="1:4" ht="16.149999999999999" customHeight="1" x14ac:dyDescent="0.25">
      <c r="A7936" s="431">
        <v>41496</v>
      </c>
      <c r="B7936" s="434">
        <v>1873.92</v>
      </c>
      <c r="C7936" s="427">
        <f t="shared" si="246"/>
        <v>2013</v>
      </c>
      <c r="D7936" s="433">
        <f t="shared" si="247"/>
        <v>1873.92</v>
      </c>
    </row>
    <row r="7937" spans="1:4" ht="16.149999999999999" customHeight="1" x14ac:dyDescent="0.25">
      <c r="A7937" s="431">
        <v>41497</v>
      </c>
      <c r="B7937" s="432">
        <v>1873.92</v>
      </c>
      <c r="C7937" s="427">
        <f t="shared" si="246"/>
        <v>2013</v>
      </c>
      <c r="D7937" s="433">
        <f t="shared" si="247"/>
        <v>1873.92</v>
      </c>
    </row>
    <row r="7938" spans="1:4" ht="16.149999999999999" customHeight="1" x14ac:dyDescent="0.25">
      <c r="A7938" s="431">
        <v>41498</v>
      </c>
      <c r="B7938" s="434">
        <v>1873.92</v>
      </c>
      <c r="C7938" s="427">
        <f t="shared" si="246"/>
        <v>2013</v>
      </c>
      <c r="D7938" s="433">
        <f t="shared" si="247"/>
        <v>1873.92</v>
      </c>
    </row>
    <row r="7939" spans="1:4" ht="16.149999999999999" customHeight="1" x14ac:dyDescent="0.25">
      <c r="A7939" s="431">
        <v>41499</v>
      </c>
      <c r="B7939" s="432">
        <v>1868.9</v>
      </c>
      <c r="C7939" s="427">
        <f t="shared" si="246"/>
        <v>2013</v>
      </c>
      <c r="D7939" s="433">
        <f t="shared" si="247"/>
        <v>1868.9</v>
      </c>
    </row>
    <row r="7940" spans="1:4" ht="16.149999999999999" customHeight="1" x14ac:dyDescent="0.25">
      <c r="A7940" s="431">
        <v>41500</v>
      </c>
      <c r="B7940" s="434">
        <v>1882.36</v>
      </c>
      <c r="C7940" s="427">
        <f t="shared" si="246"/>
        <v>2013</v>
      </c>
      <c r="D7940" s="433">
        <f t="shared" si="247"/>
        <v>1882.36</v>
      </c>
    </row>
    <row r="7941" spans="1:4" ht="16.149999999999999" customHeight="1" x14ac:dyDescent="0.25">
      <c r="A7941" s="431">
        <v>41501</v>
      </c>
      <c r="B7941" s="432">
        <v>1883.15</v>
      </c>
      <c r="C7941" s="427">
        <f t="shared" si="246"/>
        <v>2013</v>
      </c>
      <c r="D7941" s="433">
        <f t="shared" si="247"/>
        <v>1883.15</v>
      </c>
    </row>
    <row r="7942" spans="1:4" ht="16.149999999999999" customHeight="1" x14ac:dyDescent="0.25">
      <c r="A7942" s="431">
        <v>41502</v>
      </c>
      <c r="B7942" s="434">
        <v>1901.03</v>
      </c>
      <c r="C7942" s="427">
        <f t="shared" si="246"/>
        <v>2013</v>
      </c>
      <c r="D7942" s="433">
        <f t="shared" si="247"/>
        <v>1901.03</v>
      </c>
    </row>
    <row r="7943" spans="1:4" ht="16.149999999999999" customHeight="1" x14ac:dyDescent="0.25">
      <c r="A7943" s="431">
        <v>41503</v>
      </c>
      <c r="B7943" s="432">
        <v>1907.06</v>
      </c>
      <c r="C7943" s="427">
        <f t="shared" si="246"/>
        <v>2013</v>
      </c>
      <c r="D7943" s="433">
        <f t="shared" si="247"/>
        <v>1907.06</v>
      </c>
    </row>
    <row r="7944" spans="1:4" ht="16.149999999999999" customHeight="1" x14ac:dyDescent="0.25">
      <c r="A7944" s="431">
        <v>41504</v>
      </c>
      <c r="B7944" s="434">
        <v>1907.06</v>
      </c>
      <c r="C7944" s="427">
        <f t="shared" si="246"/>
        <v>2013</v>
      </c>
      <c r="D7944" s="433">
        <f t="shared" si="247"/>
        <v>1907.06</v>
      </c>
    </row>
    <row r="7945" spans="1:4" ht="16.149999999999999" customHeight="1" x14ac:dyDescent="0.25">
      <c r="A7945" s="431">
        <v>41505</v>
      </c>
      <c r="B7945" s="432">
        <v>1907.06</v>
      </c>
      <c r="C7945" s="427">
        <f t="shared" si="246"/>
        <v>2013</v>
      </c>
      <c r="D7945" s="433">
        <f t="shared" si="247"/>
        <v>1907.06</v>
      </c>
    </row>
    <row r="7946" spans="1:4" ht="16.149999999999999" customHeight="1" x14ac:dyDescent="0.25">
      <c r="A7946" s="431">
        <v>41506</v>
      </c>
      <c r="B7946" s="434">
        <v>1907.06</v>
      </c>
      <c r="C7946" s="427">
        <f t="shared" ref="C7946:C8009" si="248">YEAR(A7946)</f>
        <v>2013</v>
      </c>
      <c r="D7946" s="433">
        <f t="shared" ref="D7946:D8009" si="249">B7946</f>
        <v>1907.06</v>
      </c>
    </row>
    <row r="7947" spans="1:4" ht="16.149999999999999" customHeight="1" x14ac:dyDescent="0.25">
      <c r="A7947" s="431">
        <v>41507</v>
      </c>
      <c r="B7947" s="432">
        <v>1922.73</v>
      </c>
      <c r="C7947" s="427">
        <f t="shared" si="248"/>
        <v>2013</v>
      </c>
      <c r="D7947" s="433">
        <f t="shared" si="249"/>
        <v>1922.73</v>
      </c>
    </row>
    <row r="7948" spans="1:4" ht="16.149999999999999" customHeight="1" x14ac:dyDescent="0.25">
      <c r="A7948" s="431">
        <v>41508</v>
      </c>
      <c r="B7948" s="434">
        <v>1929.75</v>
      </c>
      <c r="C7948" s="427">
        <f t="shared" si="248"/>
        <v>2013</v>
      </c>
      <c r="D7948" s="433">
        <f t="shared" si="249"/>
        <v>1929.75</v>
      </c>
    </row>
    <row r="7949" spans="1:4" ht="16.149999999999999" customHeight="1" x14ac:dyDescent="0.25">
      <c r="A7949" s="431">
        <v>41509</v>
      </c>
      <c r="B7949" s="432">
        <v>1921.99</v>
      </c>
      <c r="C7949" s="427">
        <f t="shared" si="248"/>
        <v>2013</v>
      </c>
      <c r="D7949" s="433">
        <f t="shared" si="249"/>
        <v>1921.99</v>
      </c>
    </row>
    <row r="7950" spans="1:4" ht="16.149999999999999" customHeight="1" x14ac:dyDescent="0.25">
      <c r="A7950" s="431">
        <v>41510</v>
      </c>
      <c r="B7950" s="434">
        <v>1911.16</v>
      </c>
      <c r="C7950" s="427">
        <f t="shared" si="248"/>
        <v>2013</v>
      </c>
      <c r="D7950" s="433">
        <f t="shared" si="249"/>
        <v>1911.16</v>
      </c>
    </row>
    <row r="7951" spans="1:4" ht="16.149999999999999" customHeight="1" x14ac:dyDescent="0.25">
      <c r="A7951" s="431">
        <v>41511</v>
      </c>
      <c r="B7951" s="432">
        <v>1911.16</v>
      </c>
      <c r="C7951" s="427">
        <f t="shared" si="248"/>
        <v>2013</v>
      </c>
      <c r="D7951" s="433">
        <f t="shared" si="249"/>
        <v>1911.16</v>
      </c>
    </row>
    <row r="7952" spans="1:4" ht="16.149999999999999" customHeight="1" x14ac:dyDescent="0.25">
      <c r="A7952" s="431">
        <v>41512</v>
      </c>
      <c r="B7952" s="434">
        <v>1911.16</v>
      </c>
      <c r="C7952" s="427">
        <f t="shared" si="248"/>
        <v>2013</v>
      </c>
      <c r="D7952" s="433">
        <f t="shared" si="249"/>
        <v>1911.16</v>
      </c>
    </row>
    <row r="7953" spans="1:4" ht="16.149999999999999" customHeight="1" x14ac:dyDescent="0.25">
      <c r="A7953" s="431">
        <v>41513</v>
      </c>
      <c r="B7953" s="432">
        <v>1922.96</v>
      </c>
      <c r="C7953" s="427">
        <f t="shared" si="248"/>
        <v>2013</v>
      </c>
      <c r="D7953" s="433">
        <f t="shared" si="249"/>
        <v>1922.96</v>
      </c>
    </row>
    <row r="7954" spans="1:4" ht="16.149999999999999" customHeight="1" x14ac:dyDescent="0.25">
      <c r="A7954" s="431">
        <v>41514</v>
      </c>
      <c r="B7954" s="434">
        <v>1938.26</v>
      </c>
      <c r="C7954" s="427">
        <f t="shared" si="248"/>
        <v>2013</v>
      </c>
      <c r="D7954" s="433">
        <f t="shared" si="249"/>
        <v>1938.26</v>
      </c>
    </row>
    <row r="7955" spans="1:4" ht="16.149999999999999" customHeight="1" x14ac:dyDescent="0.25">
      <c r="A7955" s="431">
        <v>41515</v>
      </c>
      <c r="B7955" s="432">
        <v>1939.85</v>
      </c>
      <c r="C7955" s="427">
        <f t="shared" si="248"/>
        <v>2013</v>
      </c>
      <c r="D7955" s="433">
        <f t="shared" si="249"/>
        <v>1939.85</v>
      </c>
    </row>
    <row r="7956" spans="1:4" ht="16.149999999999999" customHeight="1" x14ac:dyDescent="0.25">
      <c r="A7956" s="431">
        <v>41516</v>
      </c>
      <c r="B7956" s="434">
        <v>1943.04</v>
      </c>
      <c r="C7956" s="427">
        <f t="shared" si="248"/>
        <v>2013</v>
      </c>
      <c r="D7956" s="433">
        <f t="shared" si="249"/>
        <v>1943.04</v>
      </c>
    </row>
    <row r="7957" spans="1:4" ht="16.149999999999999" customHeight="1" x14ac:dyDescent="0.25">
      <c r="A7957" s="431">
        <v>41517</v>
      </c>
      <c r="B7957" s="432">
        <v>1935.43</v>
      </c>
      <c r="C7957" s="427">
        <f t="shared" si="248"/>
        <v>2013</v>
      </c>
      <c r="D7957" s="433">
        <f t="shared" si="249"/>
        <v>1935.43</v>
      </c>
    </row>
    <row r="7958" spans="1:4" ht="16.149999999999999" customHeight="1" x14ac:dyDescent="0.25">
      <c r="A7958" s="431">
        <v>41518</v>
      </c>
      <c r="B7958" s="434">
        <v>1935.43</v>
      </c>
      <c r="C7958" s="427">
        <f t="shared" si="248"/>
        <v>2013</v>
      </c>
      <c r="D7958" s="433">
        <f t="shared" si="249"/>
        <v>1935.43</v>
      </c>
    </row>
    <row r="7959" spans="1:4" ht="16.149999999999999" customHeight="1" x14ac:dyDescent="0.25">
      <c r="A7959" s="431">
        <v>41519</v>
      </c>
      <c r="B7959" s="432">
        <v>1935.43</v>
      </c>
      <c r="C7959" s="427">
        <f t="shared" si="248"/>
        <v>2013</v>
      </c>
      <c r="D7959" s="433">
        <f t="shared" si="249"/>
        <v>1935.43</v>
      </c>
    </row>
    <row r="7960" spans="1:4" ht="16.149999999999999" customHeight="1" x14ac:dyDescent="0.25">
      <c r="A7960" s="431">
        <v>41520</v>
      </c>
      <c r="B7960" s="434">
        <v>1935.43</v>
      </c>
      <c r="C7960" s="427">
        <f t="shared" si="248"/>
        <v>2013</v>
      </c>
      <c r="D7960" s="433">
        <f t="shared" si="249"/>
        <v>1935.43</v>
      </c>
    </row>
    <row r="7961" spans="1:4" ht="16.149999999999999" customHeight="1" x14ac:dyDescent="0.25">
      <c r="A7961" s="431">
        <v>41521</v>
      </c>
      <c r="B7961" s="432">
        <v>1946.28</v>
      </c>
      <c r="C7961" s="427">
        <f t="shared" si="248"/>
        <v>2013</v>
      </c>
      <c r="D7961" s="433">
        <f t="shared" si="249"/>
        <v>1946.28</v>
      </c>
    </row>
    <row r="7962" spans="1:4" ht="16.149999999999999" customHeight="1" x14ac:dyDescent="0.25">
      <c r="A7962" s="431">
        <v>41522</v>
      </c>
      <c r="B7962" s="434">
        <v>1938.99</v>
      </c>
      <c r="C7962" s="427">
        <f t="shared" si="248"/>
        <v>2013</v>
      </c>
      <c r="D7962" s="433">
        <f t="shared" si="249"/>
        <v>1938.99</v>
      </c>
    </row>
    <row r="7963" spans="1:4" ht="16.149999999999999" customHeight="1" x14ac:dyDescent="0.25">
      <c r="A7963" s="431">
        <v>41523</v>
      </c>
      <c r="B7963" s="432">
        <v>1952.11</v>
      </c>
      <c r="C7963" s="427">
        <f t="shared" si="248"/>
        <v>2013</v>
      </c>
      <c r="D7963" s="433">
        <f t="shared" si="249"/>
        <v>1952.11</v>
      </c>
    </row>
    <row r="7964" spans="1:4" ht="16.149999999999999" customHeight="1" x14ac:dyDescent="0.25">
      <c r="A7964" s="431">
        <v>41524</v>
      </c>
      <c r="B7964" s="434">
        <v>1947.99</v>
      </c>
      <c r="C7964" s="427">
        <f t="shared" si="248"/>
        <v>2013</v>
      </c>
      <c r="D7964" s="433">
        <f t="shared" si="249"/>
        <v>1947.99</v>
      </c>
    </row>
    <row r="7965" spans="1:4" ht="16.149999999999999" customHeight="1" x14ac:dyDescent="0.25">
      <c r="A7965" s="431">
        <v>41525</v>
      </c>
      <c r="B7965" s="432">
        <v>1947.99</v>
      </c>
      <c r="C7965" s="427">
        <f t="shared" si="248"/>
        <v>2013</v>
      </c>
      <c r="D7965" s="433">
        <f t="shared" si="249"/>
        <v>1947.99</v>
      </c>
    </row>
    <row r="7966" spans="1:4" ht="16.149999999999999" customHeight="1" x14ac:dyDescent="0.25">
      <c r="A7966" s="431">
        <v>41526</v>
      </c>
      <c r="B7966" s="434">
        <v>1947.99</v>
      </c>
      <c r="C7966" s="427">
        <f t="shared" si="248"/>
        <v>2013</v>
      </c>
      <c r="D7966" s="433">
        <f t="shared" si="249"/>
        <v>1947.99</v>
      </c>
    </row>
    <row r="7967" spans="1:4" ht="16.149999999999999" customHeight="1" x14ac:dyDescent="0.25">
      <c r="A7967" s="431">
        <v>41527</v>
      </c>
      <c r="B7967" s="432">
        <v>1946.06</v>
      </c>
      <c r="C7967" s="427">
        <f t="shared" si="248"/>
        <v>2013</v>
      </c>
      <c r="D7967" s="433">
        <f t="shared" si="249"/>
        <v>1946.06</v>
      </c>
    </row>
    <row r="7968" spans="1:4" ht="16.149999999999999" customHeight="1" x14ac:dyDescent="0.25">
      <c r="A7968" s="431">
        <v>41528</v>
      </c>
      <c r="B7968" s="434">
        <v>1935.55</v>
      </c>
      <c r="C7968" s="427">
        <f t="shared" si="248"/>
        <v>2013</v>
      </c>
      <c r="D7968" s="433">
        <f t="shared" si="249"/>
        <v>1935.55</v>
      </c>
    </row>
    <row r="7969" spans="1:4" ht="16.149999999999999" customHeight="1" x14ac:dyDescent="0.25">
      <c r="A7969" s="431">
        <v>41529</v>
      </c>
      <c r="B7969" s="432">
        <v>1923.64</v>
      </c>
      <c r="C7969" s="427">
        <f t="shared" si="248"/>
        <v>2013</v>
      </c>
      <c r="D7969" s="433">
        <f t="shared" si="249"/>
        <v>1923.64</v>
      </c>
    </row>
    <row r="7970" spans="1:4" ht="16.149999999999999" customHeight="1" x14ac:dyDescent="0.25">
      <c r="A7970" s="431">
        <v>41530</v>
      </c>
      <c r="B7970" s="434">
        <v>1919.25</v>
      </c>
      <c r="C7970" s="427">
        <f t="shared" si="248"/>
        <v>2013</v>
      </c>
      <c r="D7970" s="433">
        <f t="shared" si="249"/>
        <v>1919.25</v>
      </c>
    </row>
    <row r="7971" spans="1:4" ht="16.149999999999999" customHeight="1" x14ac:dyDescent="0.25">
      <c r="A7971" s="431">
        <v>41531</v>
      </c>
      <c r="B7971" s="432">
        <v>1919.54</v>
      </c>
      <c r="C7971" s="427">
        <f t="shared" si="248"/>
        <v>2013</v>
      </c>
      <c r="D7971" s="433">
        <f t="shared" si="249"/>
        <v>1919.54</v>
      </c>
    </row>
    <row r="7972" spans="1:4" ht="16.149999999999999" customHeight="1" x14ac:dyDescent="0.25">
      <c r="A7972" s="431">
        <v>41532</v>
      </c>
      <c r="B7972" s="434">
        <v>1919.54</v>
      </c>
      <c r="C7972" s="427">
        <f t="shared" si="248"/>
        <v>2013</v>
      </c>
      <c r="D7972" s="433">
        <f t="shared" si="249"/>
        <v>1919.54</v>
      </c>
    </row>
    <row r="7973" spans="1:4" ht="16.149999999999999" customHeight="1" x14ac:dyDescent="0.25">
      <c r="A7973" s="431">
        <v>41533</v>
      </c>
      <c r="B7973" s="432">
        <v>1919.54</v>
      </c>
      <c r="C7973" s="427">
        <f t="shared" si="248"/>
        <v>2013</v>
      </c>
      <c r="D7973" s="433">
        <f t="shared" si="249"/>
        <v>1919.54</v>
      </c>
    </row>
    <row r="7974" spans="1:4" ht="16.149999999999999" customHeight="1" x14ac:dyDescent="0.25">
      <c r="A7974" s="431">
        <v>41534</v>
      </c>
      <c r="B7974" s="434">
        <v>1917.03</v>
      </c>
      <c r="C7974" s="427">
        <f t="shared" si="248"/>
        <v>2013</v>
      </c>
      <c r="D7974" s="433">
        <f t="shared" si="249"/>
        <v>1917.03</v>
      </c>
    </row>
    <row r="7975" spans="1:4" ht="16.149999999999999" customHeight="1" x14ac:dyDescent="0.25">
      <c r="A7975" s="431">
        <v>41535</v>
      </c>
      <c r="B7975" s="432">
        <v>1914.12</v>
      </c>
      <c r="C7975" s="427">
        <f t="shared" si="248"/>
        <v>2013</v>
      </c>
      <c r="D7975" s="433">
        <f t="shared" si="249"/>
        <v>1914.12</v>
      </c>
    </row>
    <row r="7976" spans="1:4" ht="16.149999999999999" customHeight="1" x14ac:dyDescent="0.25">
      <c r="A7976" s="431">
        <v>41536</v>
      </c>
      <c r="B7976" s="434">
        <v>1911.3</v>
      </c>
      <c r="C7976" s="427">
        <f t="shared" si="248"/>
        <v>2013</v>
      </c>
      <c r="D7976" s="433">
        <f t="shared" si="249"/>
        <v>1911.3</v>
      </c>
    </row>
    <row r="7977" spans="1:4" ht="16.149999999999999" customHeight="1" x14ac:dyDescent="0.25">
      <c r="A7977" s="431">
        <v>41537</v>
      </c>
      <c r="B7977" s="432">
        <v>1887.3</v>
      </c>
      <c r="C7977" s="427">
        <f t="shared" si="248"/>
        <v>2013</v>
      </c>
      <c r="D7977" s="433">
        <f t="shared" si="249"/>
        <v>1887.3</v>
      </c>
    </row>
    <row r="7978" spans="1:4" ht="16.149999999999999" customHeight="1" x14ac:dyDescent="0.25">
      <c r="A7978" s="431">
        <v>41538</v>
      </c>
      <c r="B7978" s="434">
        <v>1889.12</v>
      </c>
      <c r="C7978" s="427">
        <f t="shared" si="248"/>
        <v>2013</v>
      </c>
      <c r="D7978" s="433">
        <f t="shared" si="249"/>
        <v>1889.12</v>
      </c>
    </row>
    <row r="7979" spans="1:4" ht="16.149999999999999" customHeight="1" x14ac:dyDescent="0.25">
      <c r="A7979" s="431">
        <v>41539</v>
      </c>
      <c r="B7979" s="432">
        <v>1889.12</v>
      </c>
      <c r="C7979" s="427">
        <f t="shared" si="248"/>
        <v>2013</v>
      </c>
      <c r="D7979" s="433">
        <f t="shared" si="249"/>
        <v>1889.12</v>
      </c>
    </row>
    <row r="7980" spans="1:4" ht="16.149999999999999" customHeight="1" x14ac:dyDescent="0.25">
      <c r="A7980" s="431">
        <v>41540</v>
      </c>
      <c r="B7980" s="434">
        <v>1889.12</v>
      </c>
      <c r="C7980" s="427">
        <f t="shared" si="248"/>
        <v>2013</v>
      </c>
      <c r="D7980" s="433">
        <f t="shared" si="249"/>
        <v>1889.12</v>
      </c>
    </row>
    <row r="7981" spans="1:4" ht="16.149999999999999" customHeight="1" x14ac:dyDescent="0.25">
      <c r="A7981" s="431">
        <v>41541</v>
      </c>
      <c r="B7981" s="432">
        <v>1892.89</v>
      </c>
      <c r="C7981" s="427">
        <f t="shared" si="248"/>
        <v>2013</v>
      </c>
      <c r="D7981" s="433">
        <f t="shared" si="249"/>
        <v>1892.89</v>
      </c>
    </row>
    <row r="7982" spans="1:4" ht="16.149999999999999" customHeight="1" x14ac:dyDescent="0.25">
      <c r="A7982" s="431">
        <v>41542</v>
      </c>
      <c r="B7982" s="434">
        <v>1888.14</v>
      </c>
      <c r="C7982" s="427">
        <f t="shared" si="248"/>
        <v>2013</v>
      </c>
      <c r="D7982" s="433">
        <f t="shared" si="249"/>
        <v>1888.14</v>
      </c>
    </row>
    <row r="7983" spans="1:4" ht="16.149999999999999" customHeight="1" x14ac:dyDescent="0.25">
      <c r="A7983" s="431">
        <v>41543</v>
      </c>
      <c r="B7983" s="432">
        <v>1893.42</v>
      </c>
      <c r="C7983" s="427">
        <f t="shared" si="248"/>
        <v>2013</v>
      </c>
      <c r="D7983" s="433">
        <f t="shared" si="249"/>
        <v>1893.42</v>
      </c>
    </row>
    <row r="7984" spans="1:4" ht="16.149999999999999" customHeight="1" x14ac:dyDescent="0.25">
      <c r="A7984" s="431">
        <v>41544</v>
      </c>
      <c r="B7984" s="434">
        <v>1899.1</v>
      </c>
      <c r="C7984" s="427">
        <f t="shared" si="248"/>
        <v>2013</v>
      </c>
      <c r="D7984" s="433">
        <f t="shared" si="249"/>
        <v>1899.1</v>
      </c>
    </row>
    <row r="7985" spans="1:4" ht="16.149999999999999" customHeight="1" x14ac:dyDescent="0.25">
      <c r="A7985" s="431">
        <v>41545</v>
      </c>
      <c r="B7985" s="432">
        <v>1914.65</v>
      </c>
      <c r="C7985" s="427">
        <f t="shared" si="248"/>
        <v>2013</v>
      </c>
      <c r="D7985" s="433">
        <f t="shared" si="249"/>
        <v>1914.65</v>
      </c>
    </row>
    <row r="7986" spans="1:4" ht="16.149999999999999" customHeight="1" x14ac:dyDescent="0.25">
      <c r="A7986" s="431">
        <v>41546</v>
      </c>
      <c r="B7986" s="434">
        <v>1914.65</v>
      </c>
      <c r="C7986" s="427">
        <f t="shared" si="248"/>
        <v>2013</v>
      </c>
      <c r="D7986" s="433">
        <f t="shared" si="249"/>
        <v>1914.65</v>
      </c>
    </row>
    <row r="7987" spans="1:4" ht="16.149999999999999" customHeight="1" x14ac:dyDescent="0.25">
      <c r="A7987" s="431">
        <v>41547</v>
      </c>
      <c r="B7987" s="432">
        <v>1914.65</v>
      </c>
      <c r="C7987" s="427">
        <f t="shared" si="248"/>
        <v>2013</v>
      </c>
      <c r="D7987" s="433">
        <f t="shared" si="249"/>
        <v>1914.65</v>
      </c>
    </row>
    <row r="7988" spans="1:4" ht="16.149999999999999" customHeight="1" x14ac:dyDescent="0.25">
      <c r="A7988" s="431">
        <v>41548</v>
      </c>
      <c r="B7988" s="434">
        <v>1908.29</v>
      </c>
      <c r="C7988" s="427">
        <f t="shared" si="248"/>
        <v>2013</v>
      </c>
      <c r="D7988" s="433">
        <f t="shared" si="249"/>
        <v>1908.29</v>
      </c>
    </row>
    <row r="7989" spans="1:4" ht="16.149999999999999" customHeight="1" x14ac:dyDescent="0.25">
      <c r="A7989" s="431">
        <v>41549</v>
      </c>
      <c r="B7989" s="432">
        <v>1893.77</v>
      </c>
      <c r="C7989" s="427">
        <f t="shared" si="248"/>
        <v>2013</v>
      </c>
      <c r="D7989" s="433">
        <f t="shared" si="249"/>
        <v>1893.77</v>
      </c>
    </row>
    <row r="7990" spans="1:4" ht="16.149999999999999" customHeight="1" x14ac:dyDescent="0.25">
      <c r="A7990" s="431">
        <v>41550</v>
      </c>
      <c r="B7990" s="434">
        <v>1884.97</v>
      </c>
      <c r="C7990" s="427">
        <f t="shared" si="248"/>
        <v>2013</v>
      </c>
      <c r="D7990" s="433">
        <f t="shared" si="249"/>
        <v>1884.97</v>
      </c>
    </row>
    <row r="7991" spans="1:4" ht="16.149999999999999" customHeight="1" x14ac:dyDescent="0.25">
      <c r="A7991" s="431">
        <v>41551</v>
      </c>
      <c r="B7991" s="432">
        <v>1889.95</v>
      </c>
      <c r="C7991" s="427">
        <f t="shared" si="248"/>
        <v>2013</v>
      </c>
      <c r="D7991" s="433">
        <f t="shared" si="249"/>
        <v>1889.95</v>
      </c>
    </row>
    <row r="7992" spans="1:4" ht="16.149999999999999" customHeight="1" x14ac:dyDescent="0.25">
      <c r="A7992" s="431">
        <v>41552</v>
      </c>
      <c r="B7992" s="434">
        <v>1886.78</v>
      </c>
      <c r="C7992" s="427">
        <f t="shared" si="248"/>
        <v>2013</v>
      </c>
      <c r="D7992" s="433">
        <f t="shared" si="249"/>
        <v>1886.78</v>
      </c>
    </row>
    <row r="7993" spans="1:4" ht="16.149999999999999" customHeight="1" x14ac:dyDescent="0.25">
      <c r="A7993" s="431">
        <v>41553</v>
      </c>
      <c r="B7993" s="432">
        <v>1886.78</v>
      </c>
      <c r="C7993" s="427">
        <f t="shared" si="248"/>
        <v>2013</v>
      </c>
      <c r="D7993" s="433">
        <f t="shared" si="249"/>
        <v>1886.78</v>
      </c>
    </row>
    <row r="7994" spans="1:4" ht="16.149999999999999" customHeight="1" x14ac:dyDescent="0.25">
      <c r="A7994" s="431">
        <v>41554</v>
      </c>
      <c r="B7994" s="434">
        <v>1886.78</v>
      </c>
      <c r="C7994" s="427">
        <f t="shared" si="248"/>
        <v>2013</v>
      </c>
      <c r="D7994" s="433">
        <f t="shared" si="249"/>
        <v>1886.78</v>
      </c>
    </row>
    <row r="7995" spans="1:4" ht="16.149999999999999" customHeight="1" x14ac:dyDescent="0.25">
      <c r="A7995" s="431">
        <v>41555</v>
      </c>
      <c r="B7995" s="432">
        <v>1885.19</v>
      </c>
      <c r="C7995" s="427">
        <f t="shared" si="248"/>
        <v>2013</v>
      </c>
      <c r="D7995" s="433">
        <f t="shared" si="249"/>
        <v>1885.19</v>
      </c>
    </row>
    <row r="7996" spans="1:4" ht="16.149999999999999" customHeight="1" x14ac:dyDescent="0.25">
      <c r="A7996" s="431">
        <v>41556</v>
      </c>
      <c r="B7996" s="434">
        <v>1889.17</v>
      </c>
      <c r="C7996" s="427">
        <f t="shared" si="248"/>
        <v>2013</v>
      </c>
      <c r="D7996" s="433">
        <f t="shared" si="249"/>
        <v>1889.17</v>
      </c>
    </row>
    <row r="7997" spans="1:4" ht="16.149999999999999" customHeight="1" x14ac:dyDescent="0.25">
      <c r="A7997" s="431">
        <v>41557</v>
      </c>
      <c r="B7997" s="432">
        <v>1894.06</v>
      </c>
      <c r="C7997" s="427">
        <f t="shared" si="248"/>
        <v>2013</v>
      </c>
      <c r="D7997" s="433">
        <f t="shared" si="249"/>
        <v>1894.06</v>
      </c>
    </row>
    <row r="7998" spans="1:4" ht="16.149999999999999" customHeight="1" x14ac:dyDescent="0.25">
      <c r="A7998" s="431">
        <v>41558</v>
      </c>
      <c r="B7998" s="434">
        <v>1885.84</v>
      </c>
      <c r="C7998" s="427">
        <f t="shared" si="248"/>
        <v>2013</v>
      </c>
      <c r="D7998" s="433">
        <f t="shared" si="249"/>
        <v>1885.84</v>
      </c>
    </row>
    <row r="7999" spans="1:4" ht="16.149999999999999" customHeight="1" x14ac:dyDescent="0.25">
      <c r="A7999" s="431">
        <v>41559</v>
      </c>
      <c r="B7999" s="432">
        <v>1883.65</v>
      </c>
      <c r="C7999" s="427">
        <f t="shared" si="248"/>
        <v>2013</v>
      </c>
      <c r="D7999" s="433">
        <f t="shared" si="249"/>
        <v>1883.65</v>
      </c>
    </row>
    <row r="8000" spans="1:4" ht="16.149999999999999" customHeight="1" x14ac:dyDescent="0.25">
      <c r="A8000" s="431">
        <v>41560</v>
      </c>
      <c r="B8000" s="434">
        <v>1883.65</v>
      </c>
      <c r="C8000" s="427">
        <f t="shared" si="248"/>
        <v>2013</v>
      </c>
      <c r="D8000" s="433">
        <f t="shared" si="249"/>
        <v>1883.65</v>
      </c>
    </row>
    <row r="8001" spans="1:4" ht="16.149999999999999" customHeight="1" x14ac:dyDescent="0.25">
      <c r="A8001" s="431">
        <v>41561</v>
      </c>
      <c r="B8001" s="432">
        <v>1883.65</v>
      </c>
      <c r="C8001" s="427">
        <f t="shared" si="248"/>
        <v>2013</v>
      </c>
      <c r="D8001" s="433">
        <f t="shared" si="249"/>
        <v>1883.65</v>
      </c>
    </row>
    <row r="8002" spans="1:4" ht="16.149999999999999" customHeight="1" x14ac:dyDescent="0.25">
      <c r="A8002" s="431">
        <v>41562</v>
      </c>
      <c r="B8002" s="434">
        <v>1883.65</v>
      </c>
      <c r="C8002" s="427">
        <f t="shared" si="248"/>
        <v>2013</v>
      </c>
      <c r="D8002" s="433">
        <f t="shared" si="249"/>
        <v>1883.65</v>
      </c>
    </row>
    <row r="8003" spans="1:4" ht="16.149999999999999" customHeight="1" x14ac:dyDescent="0.25">
      <c r="A8003" s="431">
        <v>41563</v>
      </c>
      <c r="B8003" s="432">
        <v>1883.7</v>
      </c>
      <c r="C8003" s="427">
        <f t="shared" si="248"/>
        <v>2013</v>
      </c>
      <c r="D8003" s="433">
        <f t="shared" si="249"/>
        <v>1883.7</v>
      </c>
    </row>
    <row r="8004" spans="1:4" ht="16.149999999999999" customHeight="1" x14ac:dyDescent="0.25">
      <c r="A8004" s="431">
        <v>41564</v>
      </c>
      <c r="B8004" s="434">
        <v>1880.91</v>
      </c>
      <c r="C8004" s="427">
        <f t="shared" si="248"/>
        <v>2013</v>
      </c>
      <c r="D8004" s="433">
        <f t="shared" si="249"/>
        <v>1880.91</v>
      </c>
    </row>
    <row r="8005" spans="1:4" ht="16.149999999999999" customHeight="1" x14ac:dyDescent="0.25">
      <c r="A8005" s="431">
        <v>41565</v>
      </c>
      <c r="B8005" s="432">
        <v>1879.48</v>
      </c>
      <c r="C8005" s="427">
        <f t="shared" si="248"/>
        <v>2013</v>
      </c>
      <c r="D8005" s="433">
        <f t="shared" si="249"/>
        <v>1879.48</v>
      </c>
    </row>
    <row r="8006" spans="1:4" ht="16.149999999999999" customHeight="1" x14ac:dyDescent="0.25">
      <c r="A8006" s="431">
        <v>41566</v>
      </c>
      <c r="B8006" s="434">
        <v>1879.88</v>
      </c>
      <c r="C8006" s="427">
        <f t="shared" si="248"/>
        <v>2013</v>
      </c>
      <c r="D8006" s="433">
        <f t="shared" si="249"/>
        <v>1879.88</v>
      </c>
    </row>
    <row r="8007" spans="1:4" ht="16.149999999999999" customHeight="1" x14ac:dyDescent="0.25">
      <c r="A8007" s="431">
        <v>41567</v>
      </c>
      <c r="B8007" s="432">
        <v>1879.88</v>
      </c>
      <c r="C8007" s="427">
        <f t="shared" si="248"/>
        <v>2013</v>
      </c>
      <c r="D8007" s="433">
        <f t="shared" si="249"/>
        <v>1879.88</v>
      </c>
    </row>
    <row r="8008" spans="1:4" ht="16.149999999999999" customHeight="1" x14ac:dyDescent="0.25">
      <c r="A8008" s="431">
        <v>41568</v>
      </c>
      <c r="B8008" s="434">
        <v>1879.88</v>
      </c>
      <c r="C8008" s="427">
        <f t="shared" si="248"/>
        <v>2013</v>
      </c>
      <c r="D8008" s="433">
        <f t="shared" si="249"/>
        <v>1879.88</v>
      </c>
    </row>
    <row r="8009" spans="1:4" ht="16.149999999999999" customHeight="1" x14ac:dyDescent="0.25">
      <c r="A8009" s="431">
        <v>41569</v>
      </c>
      <c r="B8009" s="432">
        <v>1885.52</v>
      </c>
      <c r="C8009" s="427">
        <f t="shared" si="248"/>
        <v>2013</v>
      </c>
      <c r="D8009" s="433">
        <f t="shared" si="249"/>
        <v>1885.52</v>
      </c>
    </row>
    <row r="8010" spans="1:4" ht="16.149999999999999" customHeight="1" x14ac:dyDescent="0.25">
      <c r="A8010" s="431">
        <v>41570</v>
      </c>
      <c r="B8010" s="434">
        <v>1879.46</v>
      </c>
      <c r="C8010" s="427">
        <f t="shared" ref="C8010:C8073" si="250">YEAR(A8010)</f>
        <v>2013</v>
      </c>
      <c r="D8010" s="433">
        <f t="shared" ref="D8010:D8073" si="251">B8010</f>
        <v>1879.46</v>
      </c>
    </row>
    <row r="8011" spans="1:4" ht="16.149999999999999" customHeight="1" x14ac:dyDescent="0.25">
      <c r="A8011" s="431">
        <v>41571</v>
      </c>
      <c r="B8011" s="432">
        <v>1883.14</v>
      </c>
      <c r="C8011" s="427">
        <f t="shared" si="250"/>
        <v>2013</v>
      </c>
      <c r="D8011" s="433">
        <f t="shared" si="251"/>
        <v>1883.14</v>
      </c>
    </row>
    <row r="8012" spans="1:4" ht="16.149999999999999" customHeight="1" x14ac:dyDescent="0.25">
      <c r="A8012" s="431">
        <v>41572</v>
      </c>
      <c r="B8012" s="434">
        <v>1882.11</v>
      </c>
      <c r="C8012" s="427">
        <f t="shared" si="250"/>
        <v>2013</v>
      </c>
      <c r="D8012" s="433">
        <f t="shared" si="251"/>
        <v>1882.11</v>
      </c>
    </row>
    <row r="8013" spans="1:4" ht="16.149999999999999" customHeight="1" x14ac:dyDescent="0.25">
      <c r="A8013" s="431">
        <v>41573</v>
      </c>
      <c r="B8013" s="432">
        <v>1882.34</v>
      </c>
      <c r="C8013" s="427">
        <f t="shared" si="250"/>
        <v>2013</v>
      </c>
      <c r="D8013" s="433">
        <f t="shared" si="251"/>
        <v>1882.34</v>
      </c>
    </row>
    <row r="8014" spans="1:4" ht="16.149999999999999" customHeight="1" x14ac:dyDescent="0.25">
      <c r="A8014" s="431">
        <v>41574</v>
      </c>
      <c r="B8014" s="434">
        <v>1882.34</v>
      </c>
      <c r="C8014" s="427">
        <f t="shared" si="250"/>
        <v>2013</v>
      </c>
      <c r="D8014" s="433">
        <f t="shared" si="251"/>
        <v>1882.34</v>
      </c>
    </row>
    <row r="8015" spans="1:4" ht="16.149999999999999" customHeight="1" x14ac:dyDescent="0.25">
      <c r="A8015" s="431">
        <v>41575</v>
      </c>
      <c r="B8015" s="432">
        <v>1882.34</v>
      </c>
      <c r="C8015" s="427">
        <f t="shared" si="250"/>
        <v>2013</v>
      </c>
      <c r="D8015" s="433">
        <f t="shared" si="251"/>
        <v>1882.34</v>
      </c>
    </row>
    <row r="8016" spans="1:4" ht="16.149999999999999" customHeight="1" x14ac:dyDescent="0.25">
      <c r="A8016" s="431">
        <v>41576</v>
      </c>
      <c r="B8016" s="434">
        <v>1884.43</v>
      </c>
      <c r="C8016" s="427">
        <f t="shared" si="250"/>
        <v>2013</v>
      </c>
      <c r="D8016" s="433">
        <f t="shared" si="251"/>
        <v>1884.43</v>
      </c>
    </row>
    <row r="8017" spans="1:4" ht="16.149999999999999" customHeight="1" x14ac:dyDescent="0.25">
      <c r="A8017" s="431">
        <v>41577</v>
      </c>
      <c r="B8017" s="432">
        <v>1883.42</v>
      </c>
      <c r="C8017" s="427">
        <f t="shared" si="250"/>
        <v>2013</v>
      </c>
      <c r="D8017" s="433">
        <f t="shared" si="251"/>
        <v>1883.42</v>
      </c>
    </row>
    <row r="8018" spans="1:4" ht="16.149999999999999" customHeight="1" x14ac:dyDescent="0.25">
      <c r="A8018" s="431">
        <v>41578</v>
      </c>
      <c r="B8018" s="434">
        <v>1884.06</v>
      </c>
      <c r="C8018" s="427">
        <f t="shared" si="250"/>
        <v>2013</v>
      </c>
      <c r="D8018" s="433">
        <f t="shared" si="251"/>
        <v>1884.06</v>
      </c>
    </row>
    <row r="8019" spans="1:4" ht="16.149999999999999" customHeight="1" x14ac:dyDescent="0.25">
      <c r="A8019" s="431">
        <v>41579</v>
      </c>
      <c r="B8019" s="432">
        <v>1889.16</v>
      </c>
      <c r="C8019" s="427">
        <f t="shared" si="250"/>
        <v>2013</v>
      </c>
      <c r="D8019" s="433">
        <f t="shared" si="251"/>
        <v>1889.16</v>
      </c>
    </row>
    <row r="8020" spans="1:4" ht="16.149999999999999" customHeight="1" x14ac:dyDescent="0.25">
      <c r="A8020" s="431">
        <v>41580</v>
      </c>
      <c r="B8020" s="434">
        <v>1901.22</v>
      </c>
      <c r="C8020" s="427">
        <f t="shared" si="250"/>
        <v>2013</v>
      </c>
      <c r="D8020" s="433">
        <f t="shared" si="251"/>
        <v>1901.22</v>
      </c>
    </row>
    <row r="8021" spans="1:4" ht="16.149999999999999" customHeight="1" x14ac:dyDescent="0.25">
      <c r="A8021" s="431">
        <v>41581</v>
      </c>
      <c r="B8021" s="432">
        <v>1901.22</v>
      </c>
      <c r="C8021" s="427">
        <f t="shared" si="250"/>
        <v>2013</v>
      </c>
      <c r="D8021" s="433">
        <f t="shared" si="251"/>
        <v>1901.22</v>
      </c>
    </row>
    <row r="8022" spans="1:4" ht="16.149999999999999" customHeight="1" x14ac:dyDescent="0.25">
      <c r="A8022" s="431">
        <v>41582</v>
      </c>
      <c r="B8022" s="434">
        <v>1901.22</v>
      </c>
      <c r="C8022" s="427">
        <f t="shared" si="250"/>
        <v>2013</v>
      </c>
      <c r="D8022" s="433">
        <f t="shared" si="251"/>
        <v>1901.22</v>
      </c>
    </row>
    <row r="8023" spans="1:4" ht="16.149999999999999" customHeight="1" x14ac:dyDescent="0.25">
      <c r="A8023" s="431">
        <v>41583</v>
      </c>
      <c r="B8023" s="432">
        <v>1901.22</v>
      </c>
      <c r="C8023" s="427">
        <f t="shared" si="250"/>
        <v>2013</v>
      </c>
      <c r="D8023" s="433">
        <f t="shared" si="251"/>
        <v>1901.22</v>
      </c>
    </row>
    <row r="8024" spans="1:4" ht="16.149999999999999" customHeight="1" x14ac:dyDescent="0.25">
      <c r="A8024" s="431">
        <v>41584</v>
      </c>
      <c r="B8024" s="434">
        <v>1916.22</v>
      </c>
      <c r="C8024" s="427">
        <f t="shared" si="250"/>
        <v>2013</v>
      </c>
      <c r="D8024" s="433">
        <f t="shared" si="251"/>
        <v>1916.22</v>
      </c>
    </row>
    <row r="8025" spans="1:4" ht="16.149999999999999" customHeight="1" x14ac:dyDescent="0.25">
      <c r="A8025" s="431">
        <v>41585</v>
      </c>
      <c r="B8025" s="432">
        <v>1916.8</v>
      </c>
      <c r="C8025" s="427">
        <f t="shared" si="250"/>
        <v>2013</v>
      </c>
      <c r="D8025" s="433">
        <f t="shared" si="251"/>
        <v>1916.8</v>
      </c>
    </row>
    <row r="8026" spans="1:4" ht="16.149999999999999" customHeight="1" x14ac:dyDescent="0.25">
      <c r="A8026" s="431">
        <v>41586</v>
      </c>
      <c r="B8026" s="434">
        <v>1924.87</v>
      </c>
      <c r="C8026" s="427">
        <f t="shared" si="250"/>
        <v>2013</v>
      </c>
      <c r="D8026" s="433">
        <f t="shared" si="251"/>
        <v>1924.87</v>
      </c>
    </row>
    <row r="8027" spans="1:4" ht="16.149999999999999" customHeight="1" x14ac:dyDescent="0.25">
      <c r="A8027" s="431">
        <v>41587</v>
      </c>
      <c r="B8027" s="432">
        <v>1932.77</v>
      </c>
      <c r="C8027" s="427">
        <f t="shared" si="250"/>
        <v>2013</v>
      </c>
      <c r="D8027" s="433">
        <f t="shared" si="251"/>
        <v>1932.77</v>
      </c>
    </row>
    <row r="8028" spans="1:4" ht="16.149999999999999" customHeight="1" x14ac:dyDescent="0.25">
      <c r="A8028" s="431">
        <v>41588</v>
      </c>
      <c r="B8028" s="434">
        <v>1932.77</v>
      </c>
      <c r="C8028" s="427">
        <f t="shared" si="250"/>
        <v>2013</v>
      </c>
      <c r="D8028" s="433">
        <f t="shared" si="251"/>
        <v>1932.77</v>
      </c>
    </row>
    <row r="8029" spans="1:4" ht="16.149999999999999" customHeight="1" x14ac:dyDescent="0.25">
      <c r="A8029" s="431">
        <v>41589</v>
      </c>
      <c r="B8029" s="432">
        <v>1932.77</v>
      </c>
      <c r="C8029" s="427">
        <f t="shared" si="250"/>
        <v>2013</v>
      </c>
      <c r="D8029" s="433">
        <f t="shared" si="251"/>
        <v>1932.77</v>
      </c>
    </row>
    <row r="8030" spans="1:4" ht="16.149999999999999" customHeight="1" x14ac:dyDescent="0.25">
      <c r="A8030" s="431">
        <v>41590</v>
      </c>
      <c r="B8030" s="434">
        <v>1932.77</v>
      </c>
      <c r="C8030" s="427">
        <f t="shared" si="250"/>
        <v>2013</v>
      </c>
      <c r="D8030" s="433">
        <f t="shared" si="251"/>
        <v>1932.77</v>
      </c>
    </row>
    <row r="8031" spans="1:4" ht="16.149999999999999" customHeight="1" x14ac:dyDescent="0.25">
      <c r="A8031" s="431">
        <v>41591</v>
      </c>
      <c r="B8031" s="432">
        <v>1928.96</v>
      </c>
      <c r="C8031" s="427">
        <f t="shared" si="250"/>
        <v>2013</v>
      </c>
      <c r="D8031" s="433">
        <f t="shared" si="251"/>
        <v>1928.96</v>
      </c>
    </row>
    <row r="8032" spans="1:4" ht="16.149999999999999" customHeight="1" x14ac:dyDescent="0.25">
      <c r="A8032" s="431">
        <v>41592</v>
      </c>
      <c r="B8032" s="434">
        <v>1932.03</v>
      </c>
      <c r="C8032" s="427">
        <f t="shared" si="250"/>
        <v>2013</v>
      </c>
      <c r="D8032" s="433">
        <f t="shared" si="251"/>
        <v>1932.03</v>
      </c>
    </row>
    <row r="8033" spans="1:4" ht="16.149999999999999" customHeight="1" x14ac:dyDescent="0.25">
      <c r="A8033" s="431">
        <v>41593</v>
      </c>
      <c r="B8033" s="432">
        <v>1929.24</v>
      </c>
      <c r="C8033" s="427">
        <f t="shared" si="250"/>
        <v>2013</v>
      </c>
      <c r="D8033" s="433">
        <f t="shared" si="251"/>
        <v>1929.24</v>
      </c>
    </row>
    <row r="8034" spans="1:4" ht="16.149999999999999" customHeight="1" x14ac:dyDescent="0.25">
      <c r="A8034" s="431">
        <v>41594</v>
      </c>
      <c r="B8034" s="434">
        <v>1919.89</v>
      </c>
      <c r="C8034" s="427">
        <f t="shared" si="250"/>
        <v>2013</v>
      </c>
      <c r="D8034" s="433">
        <f t="shared" si="251"/>
        <v>1919.89</v>
      </c>
    </row>
    <row r="8035" spans="1:4" ht="16.149999999999999" customHeight="1" x14ac:dyDescent="0.25">
      <c r="A8035" s="431">
        <v>41595</v>
      </c>
      <c r="B8035" s="432">
        <v>1919.89</v>
      </c>
      <c r="C8035" s="427">
        <f t="shared" si="250"/>
        <v>2013</v>
      </c>
      <c r="D8035" s="433">
        <f t="shared" si="251"/>
        <v>1919.89</v>
      </c>
    </row>
    <row r="8036" spans="1:4" ht="16.149999999999999" customHeight="1" x14ac:dyDescent="0.25">
      <c r="A8036" s="431">
        <v>41596</v>
      </c>
      <c r="B8036" s="434">
        <v>1919.89</v>
      </c>
      <c r="C8036" s="427">
        <f t="shared" si="250"/>
        <v>2013</v>
      </c>
      <c r="D8036" s="433">
        <f t="shared" si="251"/>
        <v>1919.89</v>
      </c>
    </row>
    <row r="8037" spans="1:4" ht="16.149999999999999" customHeight="1" x14ac:dyDescent="0.25">
      <c r="A8037" s="431">
        <v>41597</v>
      </c>
      <c r="B8037" s="432">
        <v>1915.37</v>
      </c>
      <c r="C8037" s="427">
        <f t="shared" si="250"/>
        <v>2013</v>
      </c>
      <c r="D8037" s="433">
        <f t="shared" si="251"/>
        <v>1915.37</v>
      </c>
    </row>
    <row r="8038" spans="1:4" ht="16.149999999999999" customHeight="1" x14ac:dyDescent="0.25">
      <c r="A8038" s="431">
        <v>41598</v>
      </c>
      <c r="B8038" s="434">
        <v>1919.2</v>
      </c>
      <c r="C8038" s="427">
        <f t="shared" si="250"/>
        <v>2013</v>
      </c>
      <c r="D8038" s="433">
        <f t="shared" si="251"/>
        <v>1919.2</v>
      </c>
    </row>
    <row r="8039" spans="1:4" ht="16.149999999999999" customHeight="1" x14ac:dyDescent="0.25">
      <c r="A8039" s="431">
        <v>41599</v>
      </c>
      <c r="B8039" s="432">
        <v>1923.19</v>
      </c>
      <c r="C8039" s="427">
        <f t="shared" si="250"/>
        <v>2013</v>
      </c>
      <c r="D8039" s="433">
        <f t="shared" si="251"/>
        <v>1923.19</v>
      </c>
    </row>
    <row r="8040" spans="1:4" ht="16.149999999999999" customHeight="1" x14ac:dyDescent="0.25">
      <c r="A8040" s="431">
        <v>41600</v>
      </c>
      <c r="B8040" s="434">
        <v>1932.42</v>
      </c>
      <c r="C8040" s="427">
        <f t="shared" si="250"/>
        <v>2013</v>
      </c>
      <c r="D8040" s="433">
        <f t="shared" si="251"/>
        <v>1932.42</v>
      </c>
    </row>
    <row r="8041" spans="1:4" ht="16.149999999999999" customHeight="1" x14ac:dyDescent="0.25">
      <c r="A8041" s="431">
        <v>41601</v>
      </c>
      <c r="B8041" s="432">
        <v>1929.13</v>
      </c>
      <c r="C8041" s="427">
        <f t="shared" si="250"/>
        <v>2013</v>
      </c>
      <c r="D8041" s="433">
        <f t="shared" si="251"/>
        <v>1929.13</v>
      </c>
    </row>
    <row r="8042" spans="1:4" ht="16.149999999999999" customHeight="1" x14ac:dyDescent="0.25">
      <c r="A8042" s="431">
        <v>41602</v>
      </c>
      <c r="B8042" s="434">
        <v>1929.13</v>
      </c>
      <c r="C8042" s="427">
        <f t="shared" si="250"/>
        <v>2013</v>
      </c>
      <c r="D8042" s="433">
        <f t="shared" si="251"/>
        <v>1929.13</v>
      </c>
    </row>
    <row r="8043" spans="1:4" ht="16.149999999999999" customHeight="1" x14ac:dyDescent="0.25">
      <c r="A8043" s="431">
        <v>41603</v>
      </c>
      <c r="B8043" s="432">
        <v>1929.13</v>
      </c>
      <c r="C8043" s="427">
        <f t="shared" si="250"/>
        <v>2013</v>
      </c>
      <c r="D8043" s="433">
        <f t="shared" si="251"/>
        <v>1929.13</v>
      </c>
    </row>
    <row r="8044" spans="1:4" ht="16.149999999999999" customHeight="1" x14ac:dyDescent="0.25">
      <c r="A8044" s="431">
        <v>41604</v>
      </c>
      <c r="B8044" s="434">
        <v>1926.99</v>
      </c>
      <c r="C8044" s="427">
        <f t="shared" si="250"/>
        <v>2013</v>
      </c>
      <c r="D8044" s="433">
        <f t="shared" si="251"/>
        <v>1926.99</v>
      </c>
    </row>
    <row r="8045" spans="1:4" ht="16.149999999999999" customHeight="1" x14ac:dyDescent="0.25">
      <c r="A8045" s="431">
        <v>41605</v>
      </c>
      <c r="B8045" s="432">
        <v>1926.74</v>
      </c>
      <c r="C8045" s="427">
        <f t="shared" si="250"/>
        <v>2013</v>
      </c>
      <c r="D8045" s="433">
        <f t="shared" si="251"/>
        <v>1926.74</v>
      </c>
    </row>
    <row r="8046" spans="1:4" ht="16.149999999999999" customHeight="1" x14ac:dyDescent="0.25">
      <c r="A8046" s="431">
        <v>41606</v>
      </c>
      <c r="B8046" s="434">
        <v>1928.25</v>
      </c>
      <c r="C8046" s="427">
        <f t="shared" si="250"/>
        <v>2013</v>
      </c>
      <c r="D8046" s="433">
        <f t="shared" si="251"/>
        <v>1928.25</v>
      </c>
    </row>
    <row r="8047" spans="1:4" ht="16.149999999999999" customHeight="1" x14ac:dyDescent="0.25">
      <c r="A8047" s="431">
        <v>41607</v>
      </c>
      <c r="B8047" s="432">
        <v>1928.25</v>
      </c>
      <c r="C8047" s="427">
        <f t="shared" si="250"/>
        <v>2013</v>
      </c>
      <c r="D8047" s="433">
        <f t="shared" si="251"/>
        <v>1928.25</v>
      </c>
    </row>
    <row r="8048" spans="1:4" ht="16.149999999999999" customHeight="1" x14ac:dyDescent="0.25">
      <c r="A8048" s="431">
        <v>41608</v>
      </c>
      <c r="B8048" s="434">
        <v>1931.88</v>
      </c>
      <c r="C8048" s="427">
        <f t="shared" si="250"/>
        <v>2013</v>
      </c>
      <c r="D8048" s="433">
        <f t="shared" si="251"/>
        <v>1931.88</v>
      </c>
    </row>
    <row r="8049" spans="1:4" ht="16.149999999999999" customHeight="1" x14ac:dyDescent="0.25">
      <c r="A8049" s="431">
        <v>41609</v>
      </c>
      <c r="B8049" s="432">
        <v>1931.88</v>
      </c>
      <c r="C8049" s="427">
        <f t="shared" si="250"/>
        <v>2013</v>
      </c>
      <c r="D8049" s="433">
        <f t="shared" si="251"/>
        <v>1931.88</v>
      </c>
    </row>
    <row r="8050" spans="1:4" ht="16.149999999999999" customHeight="1" x14ac:dyDescent="0.25">
      <c r="A8050" s="431">
        <v>41610</v>
      </c>
      <c r="B8050" s="434">
        <v>1931.88</v>
      </c>
      <c r="C8050" s="427">
        <f t="shared" si="250"/>
        <v>2013</v>
      </c>
      <c r="D8050" s="433">
        <f t="shared" si="251"/>
        <v>1931.88</v>
      </c>
    </row>
    <row r="8051" spans="1:4" ht="16.149999999999999" customHeight="1" x14ac:dyDescent="0.25">
      <c r="A8051" s="431">
        <v>41611</v>
      </c>
      <c r="B8051" s="432">
        <v>1934.16</v>
      </c>
      <c r="C8051" s="427">
        <f t="shared" si="250"/>
        <v>2013</v>
      </c>
      <c r="D8051" s="433">
        <f t="shared" si="251"/>
        <v>1934.16</v>
      </c>
    </row>
    <row r="8052" spans="1:4" ht="16.149999999999999" customHeight="1" x14ac:dyDescent="0.25">
      <c r="A8052" s="431">
        <v>41612</v>
      </c>
      <c r="B8052" s="434">
        <v>1941.01</v>
      </c>
      <c r="C8052" s="427">
        <f t="shared" si="250"/>
        <v>2013</v>
      </c>
      <c r="D8052" s="433">
        <f t="shared" si="251"/>
        <v>1941.01</v>
      </c>
    </row>
    <row r="8053" spans="1:4" ht="16.149999999999999" customHeight="1" x14ac:dyDescent="0.25">
      <c r="A8053" s="431">
        <v>41613</v>
      </c>
      <c r="B8053" s="432">
        <v>1948.48</v>
      </c>
      <c r="C8053" s="427">
        <f t="shared" si="250"/>
        <v>2013</v>
      </c>
      <c r="D8053" s="433">
        <f t="shared" si="251"/>
        <v>1948.48</v>
      </c>
    </row>
    <row r="8054" spans="1:4" ht="16.149999999999999" customHeight="1" x14ac:dyDescent="0.25">
      <c r="A8054" s="431">
        <v>41614</v>
      </c>
      <c r="B8054" s="434">
        <v>1940.26</v>
      </c>
      <c r="C8054" s="427">
        <f t="shared" si="250"/>
        <v>2013</v>
      </c>
      <c r="D8054" s="433">
        <f t="shared" si="251"/>
        <v>1940.26</v>
      </c>
    </row>
    <row r="8055" spans="1:4" ht="16.149999999999999" customHeight="1" x14ac:dyDescent="0.25">
      <c r="A8055" s="431">
        <v>41615</v>
      </c>
      <c r="B8055" s="432">
        <v>1936.33</v>
      </c>
      <c r="C8055" s="427">
        <f t="shared" si="250"/>
        <v>2013</v>
      </c>
      <c r="D8055" s="433">
        <f t="shared" si="251"/>
        <v>1936.33</v>
      </c>
    </row>
    <row r="8056" spans="1:4" ht="16.149999999999999" customHeight="1" x14ac:dyDescent="0.25">
      <c r="A8056" s="431">
        <v>41616</v>
      </c>
      <c r="B8056" s="434">
        <v>1936.33</v>
      </c>
      <c r="C8056" s="427">
        <f t="shared" si="250"/>
        <v>2013</v>
      </c>
      <c r="D8056" s="433">
        <f t="shared" si="251"/>
        <v>1936.33</v>
      </c>
    </row>
    <row r="8057" spans="1:4" ht="16.149999999999999" customHeight="1" x14ac:dyDescent="0.25">
      <c r="A8057" s="431">
        <v>41617</v>
      </c>
      <c r="B8057" s="432">
        <v>1936.33</v>
      </c>
      <c r="C8057" s="427">
        <f t="shared" si="250"/>
        <v>2013</v>
      </c>
      <c r="D8057" s="433">
        <f t="shared" si="251"/>
        <v>1936.33</v>
      </c>
    </row>
    <row r="8058" spans="1:4" ht="16.149999999999999" customHeight="1" x14ac:dyDescent="0.25">
      <c r="A8058" s="431">
        <v>41618</v>
      </c>
      <c r="B8058" s="434">
        <v>1932.71</v>
      </c>
      <c r="C8058" s="427">
        <f t="shared" si="250"/>
        <v>2013</v>
      </c>
      <c r="D8058" s="433">
        <f t="shared" si="251"/>
        <v>1932.71</v>
      </c>
    </row>
    <row r="8059" spans="1:4" ht="16.149999999999999" customHeight="1" x14ac:dyDescent="0.25">
      <c r="A8059" s="431">
        <v>41619</v>
      </c>
      <c r="B8059" s="432">
        <v>1933.52</v>
      </c>
      <c r="C8059" s="427">
        <f t="shared" si="250"/>
        <v>2013</v>
      </c>
      <c r="D8059" s="433">
        <f t="shared" si="251"/>
        <v>1933.52</v>
      </c>
    </row>
    <row r="8060" spans="1:4" ht="16.149999999999999" customHeight="1" x14ac:dyDescent="0.25">
      <c r="A8060" s="431">
        <v>41620</v>
      </c>
      <c r="B8060" s="434">
        <v>1935.61</v>
      </c>
      <c r="C8060" s="427">
        <f t="shared" si="250"/>
        <v>2013</v>
      </c>
      <c r="D8060" s="433">
        <f t="shared" si="251"/>
        <v>1935.61</v>
      </c>
    </row>
    <row r="8061" spans="1:4" ht="16.149999999999999" customHeight="1" x14ac:dyDescent="0.25">
      <c r="A8061" s="431">
        <v>41621</v>
      </c>
      <c r="B8061" s="432">
        <v>1935.89</v>
      </c>
      <c r="C8061" s="427">
        <f t="shared" si="250"/>
        <v>2013</v>
      </c>
      <c r="D8061" s="433">
        <f t="shared" si="251"/>
        <v>1935.89</v>
      </c>
    </row>
    <row r="8062" spans="1:4" ht="16.149999999999999" customHeight="1" x14ac:dyDescent="0.25">
      <c r="A8062" s="431">
        <v>41622</v>
      </c>
      <c r="B8062" s="434">
        <v>1930.87</v>
      </c>
      <c r="C8062" s="427">
        <f t="shared" si="250"/>
        <v>2013</v>
      </c>
      <c r="D8062" s="433">
        <f t="shared" si="251"/>
        <v>1930.87</v>
      </c>
    </row>
    <row r="8063" spans="1:4" ht="16.149999999999999" customHeight="1" x14ac:dyDescent="0.25">
      <c r="A8063" s="431">
        <v>41623</v>
      </c>
      <c r="B8063" s="432">
        <v>1930.87</v>
      </c>
      <c r="C8063" s="427">
        <f t="shared" si="250"/>
        <v>2013</v>
      </c>
      <c r="D8063" s="433">
        <f t="shared" si="251"/>
        <v>1930.87</v>
      </c>
    </row>
    <row r="8064" spans="1:4" ht="16.149999999999999" customHeight="1" x14ac:dyDescent="0.25">
      <c r="A8064" s="431">
        <v>41624</v>
      </c>
      <c r="B8064" s="434">
        <v>1930.87</v>
      </c>
      <c r="C8064" s="427">
        <f t="shared" si="250"/>
        <v>2013</v>
      </c>
      <c r="D8064" s="433">
        <f t="shared" si="251"/>
        <v>1930.87</v>
      </c>
    </row>
    <row r="8065" spans="1:4" ht="16.149999999999999" customHeight="1" x14ac:dyDescent="0.25">
      <c r="A8065" s="431">
        <v>41625</v>
      </c>
      <c r="B8065" s="432">
        <v>1934.95</v>
      </c>
      <c r="C8065" s="427">
        <f t="shared" si="250"/>
        <v>2013</v>
      </c>
      <c r="D8065" s="433">
        <f t="shared" si="251"/>
        <v>1934.95</v>
      </c>
    </row>
    <row r="8066" spans="1:4" ht="16.149999999999999" customHeight="1" x14ac:dyDescent="0.25">
      <c r="A8066" s="431">
        <v>41626</v>
      </c>
      <c r="B8066" s="434">
        <v>1936.14</v>
      </c>
      <c r="C8066" s="427">
        <f t="shared" si="250"/>
        <v>2013</v>
      </c>
      <c r="D8066" s="433">
        <f t="shared" si="251"/>
        <v>1936.14</v>
      </c>
    </row>
    <row r="8067" spans="1:4" ht="16.149999999999999" customHeight="1" x14ac:dyDescent="0.25">
      <c r="A8067" s="431">
        <v>41627</v>
      </c>
      <c r="B8067" s="432">
        <v>1945.6</v>
      </c>
      <c r="C8067" s="427">
        <f t="shared" si="250"/>
        <v>2013</v>
      </c>
      <c r="D8067" s="433">
        <f t="shared" si="251"/>
        <v>1945.6</v>
      </c>
    </row>
    <row r="8068" spans="1:4" ht="16.149999999999999" customHeight="1" x14ac:dyDescent="0.25">
      <c r="A8068" s="431">
        <v>41628</v>
      </c>
      <c r="B8068" s="434">
        <v>1943.46</v>
      </c>
      <c r="C8068" s="427">
        <f t="shared" si="250"/>
        <v>2013</v>
      </c>
      <c r="D8068" s="433">
        <f t="shared" si="251"/>
        <v>1943.46</v>
      </c>
    </row>
    <row r="8069" spans="1:4" ht="16.149999999999999" customHeight="1" x14ac:dyDescent="0.25">
      <c r="A8069" s="431">
        <v>41629</v>
      </c>
      <c r="B8069" s="432">
        <v>1935.93</v>
      </c>
      <c r="C8069" s="427">
        <f t="shared" si="250"/>
        <v>2013</v>
      </c>
      <c r="D8069" s="433">
        <f t="shared" si="251"/>
        <v>1935.93</v>
      </c>
    </row>
    <row r="8070" spans="1:4" ht="16.149999999999999" customHeight="1" x14ac:dyDescent="0.25">
      <c r="A8070" s="431">
        <v>41630</v>
      </c>
      <c r="B8070" s="434">
        <v>1935.93</v>
      </c>
      <c r="C8070" s="427">
        <f t="shared" si="250"/>
        <v>2013</v>
      </c>
      <c r="D8070" s="433">
        <f t="shared" si="251"/>
        <v>1935.93</v>
      </c>
    </row>
    <row r="8071" spans="1:4" ht="16.149999999999999" customHeight="1" x14ac:dyDescent="0.25">
      <c r="A8071" s="431">
        <v>41631</v>
      </c>
      <c r="B8071" s="432">
        <v>1935.93</v>
      </c>
      <c r="C8071" s="427">
        <f t="shared" si="250"/>
        <v>2013</v>
      </c>
      <c r="D8071" s="433">
        <f t="shared" si="251"/>
        <v>1935.93</v>
      </c>
    </row>
    <row r="8072" spans="1:4" ht="16.149999999999999" customHeight="1" x14ac:dyDescent="0.25">
      <c r="A8072" s="431">
        <v>41632</v>
      </c>
      <c r="B8072" s="434">
        <v>1925.45</v>
      </c>
      <c r="C8072" s="427">
        <f t="shared" si="250"/>
        <v>2013</v>
      </c>
      <c r="D8072" s="433">
        <f t="shared" si="251"/>
        <v>1925.45</v>
      </c>
    </row>
    <row r="8073" spans="1:4" ht="16.149999999999999" customHeight="1" x14ac:dyDescent="0.25">
      <c r="A8073" s="431">
        <v>41633</v>
      </c>
      <c r="B8073" s="432">
        <v>1922.76</v>
      </c>
      <c r="C8073" s="427">
        <f t="shared" si="250"/>
        <v>2013</v>
      </c>
      <c r="D8073" s="433">
        <f t="shared" si="251"/>
        <v>1922.76</v>
      </c>
    </row>
    <row r="8074" spans="1:4" ht="16.149999999999999" customHeight="1" x14ac:dyDescent="0.25">
      <c r="A8074" s="431">
        <v>41634</v>
      </c>
      <c r="B8074" s="434">
        <v>1922.76</v>
      </c>
      <c r="C8074" s="427">
        <f t="shared" ref="C8074:C8137" si="252">YEAR(A8074)</f>
        <v>2013</v>
      </c>
      <c r="D8074" s="433">
        <f t="shared" ref="D8074:D8137" si="253">B8074</f>
        <v>1922.76</v>
      </c>
    </row>
    <row r="8075" spans="1:4" ht="16.149999999999999" customHeight="1" x14ac:dyDescent="0.25">
      <c r="A8075" s="431">
        <v>41635</v>
      </c>
      <c r="B8075" s="432">
        <v>1921.22</v>
      </c>
      <c r="C8075" s="427">
        <f t="shared" si="252"/>
        <v>2013</v>
      </c>
      <c r="D8075" s="433">
        <f t="shared" si="253"/>
        <v>1921.22</v>
      </c>
    </row>
    <row r="8076" spans="1:4" ht="16.149999999999999" customHeight="1" x14ac:dyDescent="0.25">
      <c r="A8076" s="431">
        <v>41636</v>
      </c>
      <c r="B8076" s="434">
        <v>1922.56</v>
      </c>
      <c r="C8076" s="427">
        <f t="shared" si="252"/>
        <v>2013</v>
      </c>
      <c r="D8076" s="433">
        <f t="shared" si="253"/>
        <v>1922.56</v>
      </c>
    </row>
    <row r="8077" spans="1:4" ht="16.149999999999999" customHeight="1" x14ac:dyDescent="0.25">
      <c r="A8077" s="431">
        <v>41637</v>
      </c>
      <c r="B8077" s="432">
        <v>1922.56</v>
      </c>
      <c r="C8077" s="427">
        <f t="shared" si="252"/>
        <v>2013</v>
      </c>
      <c r="D8077" s="433">
        <f t="shared" si="253"/>
        <v>1922.56</v>
      </c>
    </row>
    <row r="8078" spans="1:4" ht="16.149999999999999" customHeight="1" x14ac:dyDescent="0.25">
      <c r="A8078" s="431">
        <v>41638</v>
      </c>
      <c r="B8078" s="434">
        <v>1922.56</v>
      </c>
      <c r="C8078" s="427">
        <f t="shared" si="252"/>
        <v>2013</v>
      </c>
      <c r="D8078" s="433">
        <f t="shared" si="253"/>
        <v>1922.56</v>
      </c>
    </row>
    <row r="8079" spans="1:4" ht="16.149999999999999" customHeight="1" x14ac:dyDescent="0.25">
      <c r="A8079" s="431">
        <v>41639</v>
      </c>
      <c r="B8079" s="432">
        <v>1926.83</v>
      </c>
      <c r="C8079" s="427">
        <f t="shared" si="252"/>
        <v>2013</v>
      </c>
      <c r="D8079" s="433">
        <f t="shared" si="253"/>
        <v>1926.83</v>
      </c>
    </row>
    <row r="8080" spans="1:4" ht="16.149999999999999" customHeight="1" x14ac:dyDescent="0.25">
      <c r="A8080" s="431">
        <v>41640</v>
      </c>
      <c r="B8080" s="434">
        <v>1926.83</v>
      </c>
      <c r="C8080" s="427">
        <f t="shared" si="252"/>
        <v>2014</v>
      </c>
      <c r="D8080" s="433">
        <f t="shared" si="253"/>
        <v>1926.83</v>
      </c>
    </row>
    <row r="8081" spans="1:4" ht="16.149999999999999" customHeight="1" x14ac:dyDescent="0.25">
      <c r="A8081" s="431">
        <v>41641</v>
      </c>
      <c r="B8081" s="432">
        <v>1926.83</v>
      </c>
      <c r="C8081" s="427">
        <f t="shared" si="252"/>
        <v>2014</v>
      </c>
      <c r="D8081" s="433">
        <f t="shared" si="253"/>
        <v>1926.83</v>
      </c>
    </row>
    <row r="8082" spans="1:4" ht="16.149999999999999" customHeight="1" x14ac:dyDescent="0.25">
      <c r="A8082" s="431">
        <v>41642</v>
      </c>
      <c r="B8082" s="434">
        <v>1938.89</v>
      </c>
      <c r="C8082" s="427">
        <f t="shared" si="252"/>
        <v>2014</v>
      </c>
      <c r="D8082" s="433">
        <f t="shared" si="253"/>
        <v>1938.89</v>
      </c>
    </row>
    <row r="8083" spans="1:4" ht="16.149999999999999" customHeight="1" x14ac:dyDescent="0.25">
      <c r="A8083" s="431">
        <v>41643</v>
      </c>
      <c r="B8083" s="432">
        <v>1936.92</v>
      </c>
      <c r="C8083" s="427">
        <f t="shared" si="252"/>
        <v>2014</v>
      </c>
      <c r="D8083" s="433">
        <f t="shared" si="253"/>
        <v>1936.92</v>
      </c>
    </row>
    <row r="8084" spans="1:4" ht="16.149999999999999" customHeight="1" x14ac:dyDescent="0.25">
      <c r="A8084" s="431">
        <v>41644</v>
      </c>
      <c r="B8084" s="434">
        <v>1936.92</v>
      </c>
      <c r="C8084" s="427">
        <f t="shared" si="252"/>
        <v>2014</v>
      </c>
      <c r="D8084" s="433">
        <f t="shared" si="253"/>
        <v>1936.92</v>
      </c>
    </row>
    <row r="8085" spans="1:4" ht="16.149999999999999" customHeight="1" x14ac:dyDescent="0.25">
      <c r="A8085" s="431">
        <v>41645</v>
      </c>
      <c r="B8085" s="432">
        <v>1936.92</v>
      </c>
      <c r="C8085" s="427">
        <f t="shared" si="252"/>
        <v>2014</v>
      </c>
      <c r="D8085" s="433">
        <f t="shared" si="253"/>
        <v>1936.92</v>
      </c>
    </row>
    <row r="8086" spans="1:4" ht="16.149999999999999" customHeight="1" x14ac:dyDescent="0.25">
      <c r="A8086" s="431">
        <v>41646</v>
      </c>
      <c r="B8086" s="434">
        <v>1936.92</v>
      </c>
      <c r="C8086" s="427">
        <f t="shared" si="252"/>
        <v>2014</v>
      </c>
      <c r="D8086" s="433">
        <f t="shared" si="253"/>
        <v>1936.92</v>
      </c>
    </row>
    <row r="8087" spans="1:4" ht="16.149999999999999" customHeight="1" x14ac:dyDescent="0.25">
      <c r="A8087" s="431">
        <v>41647</v>
      </c>
      <c r="B8087" s="432">
        <v>1930.45</v>
      </c>
      <c r="C8087" s="427">
        <f t="shared" si="252"/>
        <v>2014</v>
      </c>
      <c r="D8087" s="433">
        <f t="shared" si="253"/>
        <v>1930.45</v>
      </c>
    </row>
    <row r="8088" spans="1:4" ht="16.149999999999999" customHeight="1" x14ac:dyDescent="0.25">
      <c r="A8088" s="431">
        <v>41648</v>
      </c>
      <c r="B8088" s="434">
        <v>1933.24</v>
      </c>
      <c r="C8088" s="427">
        <f t="shared" si="252"/>
        <v>2014</v>
      </c>
      <c r="D8088" s="433">
        <f t="shared" si="253"/>
        <v>1933.24</v>
      </c>
    </row>
    <row r="8089" spans="1:4" ht="16.149999999999999" customHeight="1" x14ac:dyDescent="0.25">
      <c r="A8089" s="431">
        <v>41649</v>
      </c>
      <c r="B8089" s="432">
        <v>1934.88</v>
      </c>
      <c r="C8089" s="427">
        <f t="shared" si="252"/>
        <v>2014</v>
      </c>
      <c r="D8089" s="433">
        <f t="shared" si="253"/>
        <v>1934.88</v>
      </c>
    </row>
    <row r="8090" spans="1:4" ht="16.149999999999999" customHeight="1" x14ac:dyDescent="0.25">
      <c r="A8090" s="431">
        <v>41650</v>
      </c>
      <c r="B8090" s="434">
        <v>1926.55</v>
      </c>
      <c r="C8090" s="427">
        <f t="shared" si="252"/>
        <v>2014</v>
      </c>
      <c r="D8090" s="433">
        <f t="shared" si="253"/>
        <v>1926.55</v>
      </c>
    </row>
    <row r="8091" spans="1:4" ht="16.149999999999999" customHeight="1" x14ac:dyDescent="0.25">
      <c r="A8091" s="431">
        <v>41651</v>
      </c>
      <c r="B8091" s="432">
        <v>1926.55</v>
      </c>
      <c r="C8091" s="427">
        <f t="shared" si="252"/>
        <v>2014</v>
      </c>
      <c r="D8091" s="433">
        <f t="shared" si="253"/>
        <v>1926.55</v>
      </c>
    </row>
    <row r="8092" spans="1:4" ht="16.149999999999999" customHeight="1" x14ac:dyDescent="0.25">
      <c r="A8092" s="431">
        <v>41652</v>
      </c>
      <c r="B8092" s="434">
        <v>1926.55</v>
      </c>
      <c r="C8092" s="427">
        <f t="shared" si="252"/>
        <v>2014</v>
      </c>
      <c r="D8092" s="433">
        <f t="shared" si="253"/>
        <v>1926.55</v>
      </c>
    </row>
    <row r="8093" spans="1:4" ht="16.149999999999999" customHeight="1" x14ac:dyDescent="0.25">
      <c r="A8093" s="431">
        <v>41653</v>
      </c>
      <c r="B8093" s="432">
        <v>1924.79</v>
      </c>
      <c r="C8093" s="427">
        <f t="shared" si="252"/>
        <v>2014</v>
      </c>
      <c r="D8093" s="433">
        <f t="shared" si="253"/>
        <v>1924.79</v>
      </c>
    </row>
    <row r="8094" spans="1:4" ht="16.149999999999999" customHeight="1" x14ac:dyDescent="0.25">
      <c r="A8094" s="431">
        <v>41654</v>
      </c>
      <c r="B8094" s="434">
        <v>1932.59</v>
      </c>
      <c r="C8094" s="427">
        <f t="shared" si="252"/>
        <v>2014</v>
      </c>
      <c r="D8094" s="433">
        <f t="shared" si="253"/>
        <v>1932.59</v>
      </c>
    </row>
    <row r="8095" spans="1:4" ht="16.149999999999999" customHeight="1" x14ac:dyDescent="0.25">
      <c r="A8095" s="431">
        <v>41655</v>
      </c>
      <c r="B8095" s="432">
        <v>1941.45</v>
      </c>
      <c r="C8095" s="427">
        <f t="shared" si="252"/>
        <v>2014</v>
      </c>
      <c r="D8095" s="433">
        <f t="shared" si="253"/>
        <v>1941.45</v>
      </c>
    </row>
    <row r="8096" spans="1:4" ht="16.149999999999999" customHeight="1" x14ac:dyDescent="0.25">
      <c r="A8096" s="431">
        <v>41656</v>
      </c>
      <c r="B8096" s="434">
        <v>1947.15</v>
      </c>
      <c r="C8096" s="427">
        <f t="shared" si="252"/>
        <v>2014</v>
      </c>
      <c r="D8096" s="433">
        <f t="shared" si="253"/>
        <v>1947.15</v>
      </c>
    </row>
    <row r="8097" spans="1:4" ht="16.149999999999999" customHeight="1" x14ac:dyDescent="0.25">
      <c r="A8097" s="431">
        <v>41657</v>
      </c>
      <c r="B8097" s="432">
        <v>1957.86</v>
      </c>
      <c r="C8097" s="427">
        <f t="shared" si="252"/>
        <v>2014</v>
      </c>
      <c r="D8097" s="433">
        <f t="shared" si="253"/>
        <v>1957.86</v>
      </c>
    </row>
    <row r="8098" spans="1:4" ht="16.149999999999999" customHeight="1" x14ac:dyDescent="0.25">
      <c r="A8098" s="431">
        <v>41658</v>
      </c>
      <c r="B8098" s="434">
        <v>1957.86</v>
      </c>
      <c r="C8098" s="427">
        <f t="shared" si="252"/>
        <v>2014</v>
      </c>
      <c r="D8098" s="433">
        <f t="shared" si="253"/>
        <v>1957.86</v>
      </c>
    </row>
    <row r="8099" spans="1:4" ht="16.149999999999999" customHeight="1" x14ac:dyDescent="0.25">
      <c r="A8099" s="431">
        <v>41659</v>
      </c>
      <c r="B8099" s="432">
        <v>1957.86</v>
      </c>
      <c r="C8099" s="427">
        <f t="shared" si="252"/>
        <v>2014</v>
      </c>
      <c r="D8099" s="433">
        <f t="shared" si="253"/>
        <v>1957.86</v>
      </c>
    </row>
    <row r="8100" spans="1:4" ht="16.149999999999999" customHeight="1" x14ac:dyDescent="0.25">
      <c r="A8100" s="431">
        <v>41660</v>
      </c>
      <c r="B8100" s="434">
        <v>1957.86</v>
      </c>
      <c r="C8100" s="427">
        <f t="shared" si="252"/>
        <v>2014</v>
      </c>
      <c r="D8100" s="433">
        <f t="shared" si="253"/>
        <v>1957.86</v>
      </c>
    </row>
    <row r="8101" spans="1:4" ht="16.149999999999999" customHeight="1" x14ac:dyDescent="0.25">
      <c r="A8101" s="431">
        <v>41661</v>
      </c>
      <c r="B8101" s="432">
        <v>1981.98</v>
      </c>
      <c r="C8101" s="427">
        <f t="shared" si="252"/>
        <v>2014</v>
      </c>
      <c r="D8101" s="433">
        <f t="shared" si="253"/>
        <v>1981.98</v>
      </c>
    </row>
    <row r="8102" spans="1:4" ht="16.149999999999999" customHeight="1" x14ac:dyDescent="0.25">
      <c r="A8102" s="431">
        <v>41662</v>
      </c>
      <c r="B8102" s="434">
        <v>1983.48</v>
      </c>
      <c r="C8102" s="427">
        <f t="shared" si="252"/>
        <v>2014</v>
      </c>
      <c r="D8102" s="433">
        <f t="shared" si="253"/>
        <v>1983.48</v>
      </c>
    </row>
    <row r="8103" spans="1:4" ht="16.149999999999999" customHeight="1" x14ac:dyDescent="0.25">
      <c r="A8103" s="431">
        <v>41663</v>
      </c>
      <c r="B8103" s="432">
        <v>1993.23</v>
      </c>
      <c r="C8103" s="427">
        <f t="shared" si="252"/>
        <v>2014</v>
      </c>
      <c r="D8103" s="433">
        <f t="shared" si="253"/>
        <v>1993.23</v>
      </c>
    </row>
    <row r="8104" spans="1:4" ht="16.149999999999999" customHeight="1" x14ac:dyDescent="0.25">
      <c r="A8104" s="431">
        <v>41664</v>
      </c>
      <c r="B8104" s="434">
        <v>2000.48</v>
      </c>
      <c r="C8104" s="427">
        <f t="shared" si="252"/>
        <v>2014</v>
      </c>
      <c r="D8104" s="433">
        <f t="shared" si="253"/>
        <v>2000.48</v>
      </c>
    </row>
    <row r="8105" spans="1:4" ht="16.149999999999999" customHeight="1" x14ac:dyDescent="0.25">
      <c r="A8105" s="431">
        <v>41665</v>
      </c>
      <c r="B8105" s="432">
        <v>2000.48</v>
      </c>
      <c r="C8105" s="427">
        <f t="shared" si="252"/>
        <v>2014</v>
      </c>
      <c r="D8105" s="433">
        <f t="shared" si="253"/>
        <v>2000.48</v>
      </c>
    </row>
    <row r="8106" spans="1:4" ht="16.149999999999999" customHeight="1" x14ac:dyDescent="0.25">
      <c r="A8106" s="431">
        <v>41666</v>
      </c>
      <c r="B8106" s="434">
        <v>2000.48</v>
      </c>
      <c r="C8106" s="427">
        <f t="shared" si="252"/>
        <v>2014</v>
      </c>
      <c r="D8106" s="433">
        <f t="shared" si="253"/>
        <v>2000.48</v>
      </c>
    </row>
    <row r="8107" spans="1:4" ht="16.149999999999999" customHeight="1" x14ac:dyDescent="0.25">
      <c r="A8107" s="431">
        <v>41667</v>
      </c>
      <c r="B8107" s="432">
        <v>1997.91</v>
      </c>
      <c r="C8107" s="427">
        <f t="shared" si="252"/>
        <v>2014</v>
      </c>
      <c r="D8107" s="433">
        <f t="shared" si="253"/>
        <v>1997.91</v>
      </c>
    </row>
    <row r="8108" spans="1:4" ht="16.149999999999999" customHeight="1" x14ac:dyDescent="0.25">
      <c r="A8108" s="431">
        <v>41668</v>
      </c>
      <c r="B8108" s="434">
        <v>2000.56</v>
      </c>
      <c r="C8108" s="427">
        <f t="shared" si="252"/>
        <v>2014</v>
      </c>
      <c r="D8108" s="433">
        <f t="shared" si="253"/>
        <v>2000.56</v>
      </c>
    </row>
    <row r="8109" spans="1:4" ht="16.149999999999999" customHeight="1" x14ac:dyDescent="0.25">
      <c r="A8109" s="431">
        <v>41669</v>
      </c>
      <c r="B8109" s="432">
        <v>2013.17</v>
      </c>
      <c r="C8109" s="427">
        <f t="shared" si="252"/>
        <v>2014</v>
      </c>
      <c r="D8109" s="433">
        <f t="shared" si="253"/>
        <v>2013.17</v>
      </c>
    </row>
    <row r="8110" spans="1:4" ht="16.149999999999999" customHeight="1" x14ac:dyDescent="0.25">
      <c r="A8110" s="431">
        <v>41670</v>
      </c>
      <c r="B8110" s="434">
        <v>2008.26</v>
      </c>
      <c r="C8110" s="427">
        <f t="shared" si="252"/>
        <v>2014</v>
      </c>
      <c r="D8110" s="433">
        <f t="shared" si="253"/>
        <v>2008.26</v>
      </c>
    </row>
    <row r="8111" spans="1:4" ht="16.149999999999999" customHeight="1" x14ac:dyDescent="0.25">
      <c r="A8111" s="431">
        <v>41671</v>
      </c>
      <c r="B8111" s="432">
        <v>2021.1</v>
      </c>
      <c r="C8111" s="427">
        <f t="shared" si="252"/>
        <v>2014</v>
      </c>
      <c r="D8111" s="433">
        <f t="shared" si="253"/>
        <v>2021.1</v>
      </c>
    </row>
    <row r="8112" spans="1:4" ht="16.149999999999999" customHeight="1" x14ac:dyDescent="0.25">
      <c r="A8112" s="431">
        <v>41672</v>
      </c>
      <c r="B8112" s="434">
        <v>2021.1</v>
      </c>
      <c r="C8112" s="427">
        <f t="shared" si="252"/>
        <v>2014</v>
      </c>
      <c r="D8112" s="433">
        <f t="shared" si="253"/>
        <v>2021.1</v>
      </c>
    </row>
    <row r="8113" spans="1:4" ht="16.149999999999999" customHeight="1" x14ac:dyDescent="0.25">
      <c r="A8113" s="431">
        <v>41673</v>
      </c>
      <c r="B8113" s="432">
        <v>2021.1</v>
      </c>
      <c r="C8113" s="427">
        <f t="shared" si="252"/>
        <v>2014</v>
      </c>
      <c r="D8113" s="433">
        <f t="shared" si="253"/>
        <v>2021.1</v>
      </c>
    </row>
    <row r="8114" spans="1:4" ht="16.149999999999999" customHeight="1" x14ac:dyDescent="0.25">
      <c r="A8114" s="431">
        <v>41674</v>
      </c>
      <c r="B8114" s="434">
        <v>2039.85</v>
      </c>
      <c r="C8114" s="427">
        <f t="shared" si="252"/>
        <v>2014</v>
      </c>
      <c r="D8114" s="433">
        <f t="shared" si="253"/>
        <v>2039.85</v>
      </c>
    </row>
    <row r="8115" spans="1:4" ht="16.149999999999999" customHeight="1" x14ac:dyDescent="0.25">
      <c r="A8115" s="431">
        <v>41675</v>
      </c>
      <c r="B8115" s="432">
        <v>2041.34</v>
      </c>
      <c r="C8115" s="427">
        <f t="shared" si="252"/>
        <v>2014</v>
      </c>
      <c r="D8115" s="433">
        <f t="shared" si="253"/>
        <v>2041.34</v>
      </c>
    </row>
    <row r="8116" spans="1:4" ht="16.149999999999999" customHeight="1" x14ac:dyDescent="0.25">
      <c r="A8116" s="431">
        <v>41676</v>
      </c>
      <c r="B8116" s="434">
        <v>2048.75</v>
      </c>
      <c r="C8116" s="427">
        <f t="shared" si="252"/>
        <v>2014</v>
      </c>
      <c r="D8116" s="433">
        <f t="shared" si="253"/>
        <v>2048.75</v>
      </c>
    </row>
    <row r="8117" spans="1:4" ht="16.149999999999999" customHeight="1" x14ac:dyDescent="0.25">
      <c r="A8117" s="431">
        <v>41677</v>
      </c>
      <c r="B8117" s="432">
        <v>2049.52</v>
      </c>
      <c r="C8117" s="427">
        <f t="shared" si="252"/>
        <v>2014</v>
      </c>
      <c r="D8117" s="433">
        <f t="shared" si="253"/>
        <v>2049.52</v>
      </c>
    </row>
    <row r="8118" spans="1:4" ht="16.149999999999999" customHeight="1" x14ac:dyDescent="0.25">
      <c r="A8118" s="431">
        <v>41678</v>
      </c>
      <c r="B8118" s="434">
        <v>2046.06</v>
      </c>
      <c r="C8118" s="427">
        <f t="shared" si="252"/>
        <v>2014</v>
      </c>
      <c r="D8118" s="433">
        <f t="shared" si="253"/>
        <v>2046.06</v>
      </c>
    </row>
    <row r="8119" spans="1:4" ht="16.149999999999999" customHeight="1" x14ac:dyDescent="0.25">
      <c r="A8119" s="431">
        <v>41679</v>
      </c>
      <c r="B8119" s="432">
        <v>2046.06</v>
      </c>
      <c r="C8119" s="427">
        <f t="shared" si="252"/>
        <v>2014</v>
      </c>
      <c r="D8119" s="433">
        <f t="shared" si="253"/>
        <v>2046.06</v>
      </c>
    </row>
    <row r="8120" spans="1:4" ht="16.149999999999999" customHeight="1" x14ac:dyDescent="0.25">
      <c r="A8120" s="431">
        <v>41680</v>
      </c>
      <c r="B8120" s="434">
        <v>2046.06</v>
      </c>
      <c r="C8120" s="427">
        <f t="shared" si="252"/>
        <v>2014</v>
      </c>
      <c r="D8120" s="433">
        <f t="shared" si="253"/>
        <v>2046.06</v>
      </c>
    </row>
    <row r="8121" spans="1:4" ht="16.149999999999999" customHeight="1" x14ac:dyDescent="0.25">
      <c r="A8121" s="431">
        <v>41681</v>
      </c>
      <c r="B8121" s="432">
        <v>2048.5500000000002</v>
      </c>
      <c r="C8121" s="427">
        <f t="shared" si="252"/>
        <v>2014</v>
      </c>
      <c r="D8121" s="433">
        <f t="shared" si="253"/>
        <v>2048.5500000000002</v>
      </c>
    </row>
    <row r="8122" spans="1:4" ht="16.149999999999999" customHeight="1" x14ac:dyDescent="0.25">
      <c r="A8122" s="431">
        <v>41682</v>
      </c>
      <c r="B8122" s="434">
        <v>2041.61</v>
      </c>
      <c r="C8122" s="427">
        <f t="shared" si="252"/>
        <v>2014</v>
      </c>
      <c r="D8122" s="433">
        <f t="shared" si="253"/>
        <v>2041.61</v>
      </c>
    </row>
    <row r="8123" spans="1:4" ht="16.149999999999999" customHeight="1" x14ac:dyDescent="0.25">
      <c r="A8123" s="431">
        <v>41683</v>
      </c>
      <c r="B8123" s="432">
        <v>2031.75</v>
      </c>
      <c r="C8123" s="427">
        <f t="shared" si="252"/>
        <v>2014</v>
      </c>
      <c r="D8123" s="433">
        <f t="shared" si="253"/>
        <v>2031.75</v>
      </c>
    </row>
    <row r="8124" spans="1:4" ht="16.149999999999999" customHeight="1" x14ac:dyDescent="0.25">
      <c r="A8124" s="431">
        <v>41684</v>
      </c>
      <c r="B8124" s="434">
        <v>2032.99</v>
      </c>
      <c r="C8124" s="427">
        <f t="shared" si="252"/>
        <v>2014</v>
      </c>
      <c r="D8124" s="433">
        <f t="shared" si="253"/>
        <v>2032.99</v>
      </c>
    </row>
    <row r="8125" spans="1:4" ht="16.149999999999999" customHeight="1" x14ac:dyDescent="0.25">
      <c r="A8125" s="431">
        <v>41685</v>
      </c>
      <c r="B8125" s="432">
        <v>2022.68</v>
      </c>
      <c r="C8125" s="427">
        <f t="shared" si="252"/>
        <v>2014</v>
      </c>
      <c r="D8125" s="433">
        <f t="shared" si="253"/>
        <v>2022.68</v>
      </c>
    </row>
    <row r="8126" spans="1:4" ht="16.149999999999999" customHeight="1" x14ac:dyDescent="0.25">
      <c r="A8126" s="431">
        <v>41686</v>
      </c>
      <c r="B8126" s="434">
        <v>2022.68</v>
      </c>
      <c r="C8126" s="427">
        <f t="shared" si="252"/>
        <v>2014</v>
      </c>
      <c r="D8126" s="433">
        <f t="shared" si="253"/>
        <v>2022.68</v>
      </c>
    </row>
    <row r="8127" spans="1:4" ht="16.149999999999999" customHeight="1" x14ac:dyDescent="0.25">
      <c r="A8127" s="431">
        <v>41687</v>
      </c>
      <c r="B8127" s="432">
        <v>2022.68</v>
      </c>
      <c r="C8127" s="427">
        <f t="shared" si="252"/>
        <v>2014</v>
      </c>
      <c r="D8127" s="433">
        <f t="shared" si="253"/>
        <v>2022.68</v>
      </c>
    </row>
    <row r="8128" spans="1:4" ht="16.149999999999999" customHeight="1" x14ac:dyDescent="0.25">
      <c r="A8128" s="431">
        <v>41688</v>
      </c>
      <c r="B8128" s="434">
        <v>2022.68</v>
      </c>
      <c r="C8128" s="427">
        <f t="shared" si="252"/>
        <v>2014</v>
      </c>
      <c r="D8128" s="433">
        <f t="shared" si="253"/>
        <v>2022.68</v>
      </c>
    </row>
    <row r="8129" spans="1:4" ht="16.149999999999999" customHeight="1" x14ac:dyDescent="0.25">
      <c r="A8129" s="431">
        <v>41689</v>
      </c>
      <c r="B8129" s="432">
        <v>2028.54</v>
      </c>
      <c r="C8129" s="427">
        <f t="shared" si="252"/>
        <v>2014</v>
      </c>
      <c r="D8129" s="433">
        <f t="shared" si="253"/>
        <v>2028.54</v>
      </c>
    </row>
    <row r="8130" spans="1:4" ht="16.149999999999999" customHeight="1" x14ac:dyDescent="0.25">
      <c r="A8130" s="431">
        <v>41690</v>
      </c>
      <c r="B8130" s="434">
        <v>2042.22</v>
      </c>
      <c r="C8130" s="427">
        <f t="shared" si="252"/>
        <v>2014</v>
      </c>
      <c r="D8130" s="433">
        <f t="shared" si="253"/>
        <v>2042.22</v>
      </c>
    </row>
    <row r="8131" spans="1:4" ht="16.149999999999999" customHeight="1" x14ac:dyDescent="0.25">
      <c r="A8131" s="431">
        <v>41691</v>
      </c>
      <c r="B8131" s="432">
        <v>2052.46</v>
      </c>
      <c r="C8131" s="427">
        <f t="shared" si="252"/>
        <v>2014</v>
      </c>
      <c r="D8131" s="433">
        <f t="shared" si="253"/>
        <v>2052.46</v>
      </c>
    </row>
    <row r="8132" spans="1:4" ht="16.149999999999999" customHeight="1" x14ac:dyDescent="0.25">
      <c r="A8132" s="431">
        <v>41692</v>
      </c>
      <c r="B8132" s="434">
        <v>2043.96</v>
      </c>
      <c r="C8132" s="427">
        <f t="shared" si="252"/>
        <v>2014</v>
      </c>
      <c r="D8132" s="433">
        <f t="shared" si="253"/>
        <v>2043.96</v>
      </c>
    </row>
    <row r="8133" spans="1:4" ht="16.149999999999999" customHeight="1" x14ac:dyDescent="0.25">
      <c r="A8133" s="431">
        <v>41693</v>
      </c>
      <c r="B8133" s="432">
        <v>2043.96</v>
      </c>
      <c r="C8133" s="427">
        <f t="shared" si="252"/>
        <v>2014</v>
      </c>
      <c r="D8133" s="433">
        <f t="shared" si="253"/>
        <v>2043.96</v>
      </c>
    </row>
    <row r="8134" spans="1:4" ht="16.149999999999999" customHeight="1" x14ac:dyDescent="0.25">
      <c r="A8134" s="431">
        <v>41694</v>
      </c>
      <c r="B8134" s="434">
        <v>2043.96</v>
      </c>
      <c r="C8134" s="427">
        <f t="shared" si="252"/>
        <v>2014</v>
      </c>
      <c r="D8134" s="433">
        <f t="shared" si="253"/>
        <v>2043.96</v>
      </c>
    </row>
    <row r="8135" spans="1:4" ht="16.149999999999999" customHeight="1" x14ac:dyDescent="0.25">
      <c r="A8135" s="431">
        <v>41695</v>
      </c>
      <c r="B8135" s="432">
        <v>2042.67</v>
      </c>
      <c r="C8135" s="427">
        <f t="shared" si="252"/>
        <v>2014</v>
      </c>
      <c r="D8135" s="433">
        <f t="shared" si="253"/>
        <v>2042.67</v>
      </c>
    </row>
    <row r="8136" spans="1:4" ht="16.149999999999999" customHeight="1" x14ac:dyDescent="0.25">
      <c r="A8136" s="431">
        <v>41696</v>
      </c>
      <c r="B8136" s="434">
        <v>2045.45</v>
      </c>
      <c r="C8136" s="427">
        <f t="shared" si="252"/>
        <v>2014</v>
      </c>
      <c r="D8136" s="433">
        <f t="shared" si="253"/>
        <v>2045.45</v>
      </c>
    </row>
    <row r="8137" spans="1:4" ht="16.149999999999999" customHeight="1" x14ac:dyDescent="0.25">
      <c r="A8137" s="431">
        <v>41697</v>
      </c>
      <c r="B8137" s="432">
        <v>2053.11</v>
      </c>
      <c r="C8137" s="427">
        <f t="shared" si="252"/>
        <v>2014</v>
      </c>
      <c r="D8137" s="433">
        <f t="shared" si="253"/>
        <v>2053.11</v>
      </c>
    </row>
    <row r="8138" spans="1:4" ht="16.149999999999999" customHeight="1" x14ac:dyDescent="0.25">
      <c r="A8138" s="431">
        <v>41698</v>
      </c>
      <c r="B8138" s="434">
        <v>2054.9</v>
      </c>
      <c r="C8138" s="427">
        <f t="shared" ref="C8138:C8201" si="254">YEAR(A8138)</f>
        <v>2014</v>
      </c>
      <c r="D8138" s="433">
        <f t="shared" ref="D8138:D8201" si="255">B8138</f>
        <v>2054.9</v>
      </c>
    </row>
    <row r="8139" spans="1:4" ht="16.149999999999999" customHeight="1" x14ac:dyDescent="0.25">
      <c r="A8139" s="431">
        <v>41699</v>
      </c>
      <c r="B8139" s="432">
        <v>2046.75</v>
      </c>
      <c r="C8139" s="427">
        <f t="shared" si="254"/>
        <v>2014</v>
      </c>
      <c r="D8139" s="433">
        <f t="shared" si="255"/>
        <v>2046.75</v>
      </c>
    </row>
    <row r="8140" spans="1:4" ht="16.149999999999999" customHeight="1" x14ac:dyDescent="0.25">
      <c r="A8140" s="431">
        <v>41700</v>
      </c>
      <c r="B8140" s="434">
        <v>2046.75</v>
      </c>
      <c r="C8140" s="427">
        <f t="shared" si="254"/>
        <v>2014</v>
      </c>
      <c r="D8140" s="433">
        <f t="shared" si="255"/>
        <v>2046.75</v>
      </c>
    </row>
    <row r="8141" spans="1:4" ht="16.149999999999999" customHeight="1" x14ac:dyDescent="0.25">
      <c r="A8141" s="431">
        <v>41701</v>
      </c>
      <c r="B8141" s="432">
        <v>2046.75</v>
      </c>
      <c r="C8141" s="427">
        <f t="shared" si="254"/>
        <v>2014</v>
      </c>
      <c r="D8141" s="433">
        <f t="shared" si="255"/>
        <v>2046.75</v>
      </c>
    </row>
    <row r="8142" spans="1:4" ht="16.149999999999999" customHeight="1" x14ac:dyDescent="0.25">
      <c r="A8142" s="431">
        <v>41702</v>
      </c>
      <c r="B8142" s="434">
        <v>2052.5100000000002</v>
      </c>
      <c r="C8142" s="427">
        <f t="shared" si="254"/>
        <v>2014</v>
      </c>
      <c r="D8142" s="433">
        <f t="shared" si="255"/>
        <v>2052.5100000000002</v>
      </c>
    </row>
    <row r="8143" spans="1:4" ht="16.149999999999999" customHeight="1" x14ac:dyDescent="0.25">
      <c r="A8143" s="431">
        <v>41703</v>
      </c>
      <c r="B8143" s="432">
        <v>2047.75</v>
      </c>
      <c r="C8143" s="427">
        <f t="shared" si="254"/>
        <v>2014</v>
      </c>
      <c r="D8143" s="433">
        <f t="shared" si="255"/>
        <v>2047.75</v>
      </c>
    </row>
    <row r="8144" spans="1:4" ht="16.149999999999999" customHeight="1" x14ac:dyDescent="0.25">
      <c r="A8144" s="431">
        <v>41704</v>
      </c>
      <c r="B8144" s="434">
        <v>2045.14</v>
      </c>
      <c r="C8144" s="427">
        <f t="shared" si="254"/>
        <v>2014</v>
      </c>
      <c r="D8144" s="433">
        <f t="shared" si="255"/>
        <v>2045.14</v>
      </c>
    </row>
    <row r="8145" spans="1:4" ht="16.149999999999999" customHeight="1" x14ac:dyDescent="0.25">
      <c r="A8145" s="431">
        <v>41705</v>
      </c>
      <c r="B8145" s="432">
        <v>2030.02</v>
      </c>
      <c r="C8145" s="427">
        <f t="shared" si="254"/>
        <v>2014</v>
      </c>
      <c r="D8145" s="433">
        <f t="shared" si="255"/>
        <v>2030.02</v>
      </c>
    </row>
    <row r="8146" spans="1:4" ht="16.149999999999999" customHeight="1" x14ac:dyDescent="0.25">
      <c r="A8146" s="431">
        <v>41706</v>
      </c>
      <c r="B8146" s="434">
        <v>2036.2</v>
      </c>
      <c r="C8146" s="427">
        <f t="shared" si="254"/>
        <v>2014</v>
      </c>
      <c r="D8146" s="433">
        <f t="shared" si="255"/>
        <v>2036.2</v>
      </c>
    </row>
    <row r="8147" spans="1:4" ht="16.149999999999999" customHeight="1" x14ac:dyDescent="0.25">
      <c r="A8147" s="431">
        <v>41707</v>
      </c>
      <c r="B8147" s="432">
        <v>2036.2</v>
      </c>
      <c r="C8147" s="427">
        <f t="shared" si="254"/>
        <v>2014</v>
      </c>
      <c r="D8147" s="433">
        <f t="shared" si="255"/>
        <v>2036.2</v>
      </c>
    </row>
    <row r="8148" spans="1:4" ht="16.149999999999999" customHeight="1" x14ac:dyDescent="0.25">
      <c r="A8148" s="431">
        <v>41708</v>
      </c>
      <c r="B8148" s="434">
        <v>2036.2</v>
      </c>
      <c r="C8148" s="427">
        <f t="shared" si="254"/>
        <v>2014</v>
      </c>
      <c r="D8148" s="433">
        <f t="shared" si="255"/>
        <v>2036.2</v>
      </c>
    </row>
    <row r="8149" spans="1:4" ht="16.149999999999999" customHeight="1" x14ac:dyDescent="0.25">
      <c r="A8149" s="431">
        <v>41709</v>
      </c>
      <c r="B8149" s="432">
        <v>2042.78</v>
      </c>
      <c r="C8149" s="427">
        <f t="shared" si="254"/>
        <v>2014</v>
      </c>
      <c r="D8149" s="433">
        <f t="shared" si="255"/>
        <v>2042.78</v>
      </c>
    </row>
    <row r="8150" spans="1:4" ht="16.149999999999999" customHeight="1" x14ac:dyDescent="0.25">
      <c r="A8150" s="431">
        <v>41710</v>
      </c>
      <c r="B8150" s="434">
        <v>2043.59</v>
      </c>
      <c r="C8150" s="427">
        <f t="shared" si="254"/>
        <v>2014</v>
      </c>
      <c r="D8150" s="433">
        <f t="shared" si="255"/>
        <v>2043.59</v>
      </c>
    </row>
    <row r="8151" spans="1:4" ht="16.149999999999999" customHeight="1" x14ac:dyDescent="0.25">
      <c r="A8151" s="431">
        <v>41711</v>
      </c>
      <c r="B8151" s="432">
        <v>2047.59</v>
      </c>
      <c r="C8151" s="427">
        <f t="shared" si="254"/>
        <v>2014</v>
      </c>
      <c r="D8151" s="433">
        <f t="shared" si="255"/>
        <v>2047.59</v>
      </c>
    </row>
    <row r="8152" spans="1:4" ht="16.149999999999999" customHeight="1" x14ac:dyDescent="0.25">
      <c r="A8152" s="431">
        <v>41712</v>
      </c>
      <c r="B8152" s="434">
        <v>2044.48</v>
      </c>
      <c r="C8152" s="427">
        <f t="shared" si="254"/>
        <v>2014</v>
      </c>
      <c r="D8152" s="433">
        <f t="shared" si="255"/>
        <v>2044.48</v>
      </c>
    </row>
    <row r="8153" spans="1:4" ht="16.149999999999999" customHeight="1" x14ac:dyDescent="0.25">
      <c r="A8153" s="431">
        <v>41713</v>
      </c>
      <c r="B8153" s="432">
        <v>2044.58</v>
      </c>
      <c r="C8153" s="427">
        <f t="shared" si="254"/>
        <v>2014</v>
      </c>
      <c r="D8153" s="433">
        <f t="shared" si="255"/>
        <v>2044.58</v>
      </c>
    </row>
    <row r="8154" spans="1:4" ht="16.149999999999999" customHeight="1" x14ac:dyDescent="0.25">
      <c r="A8154" s="431">
        <v>41714</v>
      </c>
      <c r="B8154" s="434">
        <v>2044.58</v>
      </c>
      <c r="C8154" s="427">
        <f t="shared" si="254"/>
        <v>2014</v>
      </c>
      <c r="D8154" s="433">
        <f t="shared" si="255"/>
        <v>2044.58</v>
      </c>
    </row>
    <row r="8155" spans="1:4" ht="16.149999999999999" customHeight="1" x14ac:dyDescent="0.25">
      <c r="A8155" s="431">
        <v>41715</v>
      </c>
      <c r="B8155" s="432">
        <v>2044.58</v>
      </c>
      <c r="C8155" s="427">
        <f t="shared" si="254"/>
        <v>2014</v>
      </c>
      <c r="D8155" s="433">
        <f t="shared" si="255"/>
        <v>2044.58</v>
      </c>
    </row>
    <row r="8156" spans="1:4" ht="16.149999999999999" customHeight="1" x14ac:dyDescent="0.25">
      <c r="A8156" s="431">
        <v>41716</v>
      </c>
      <c r="B8156" s="434">
        <v>2035.16</v>
      </c>
      <c r="C8156" s="427">
        <f t="shared" si="254"/>
        <v>2014</v>
      </c>
      <c r="D8156" s="433">
        <f t="shared" si="255"/>
        <v>2035.16</v>
      </c>
    </row>
    <row r="8157" spans="1:4" ht="16.149999999999999" customHeight="1" x14ac:dyDescent="0.25">
      <c r="A8157" s="431">
        <v>41717</v>
      </c>
      <c r="B8157" s="432">
        <v>2034.86</v>
      </c>
      <c r="C8157" s="427">
        <f t="shared" si="254"/>
        <v>2014</v>
      </c>
      <c r="D8157" s="433">
        <f t="shared" si="255"/>
        <v>2034.86</v>
      </c>
    </row>
    <row r="8158" spans="1:4" ht="16.149999999999999" customHeight="1" x14ac:dyDescent="0.25">
      <c r="A8158" s="431">
        <v>41718</v>
      </c>
      <c r="B8158" s="434">
        <v>2017.38</v>
      </c>
      <c r="C8158" s="427">
        <f t="shared" si="254"/>
        <v>2014</v>
      </c>
      <c r="D8158" s="433">
        <f t="shared" si="255"/>
        <v>2017.38</v>
      </c>
    </row>
    <row r="8159" spans="1:4" ht="16.149999999999999" customHeight="1" x14ac:dyDescent="0.25">
      <c r="A8159" s="431">
        <v>41719</v>
      </c>
      <c r="B8159" s="432">
        <v>1998.6</v>
      </c>
      <c r="C8159" s="427">
        <f t="shared" si="254"/>
        <v>2014</v>
      </c>
      <c r="D8159" s="433">
        <f t="shared" si="255"/>
        <v>1998.6</v>
      </c>
    </row>
    <row r="8160" spans="1:4" ht="16.149999999999999" customHeight="1" x14ac:dyDescent="0.25">
      <c r="A8160" s="431">
        <v>41720</v>
      </c>
      <c r="B8160" s="434">
        <v>1993.85</v>
      </c>
      <c r="C8160" s="427">
        <f t="shared" si="254"/>
        <v>2014</v>
      </c>
      <c r="D8160" s="433">
        <f t="shared" si="255"/>
        <v>1993.85</v>
      </c>
    </row>
    <row r="8161" spans="1:4" ht="16.149999999999999" customHeight="1" x14ac:dyDescent="0.25">
      <c r="A8161" s="431">
        <v>41721</v>
      </c>
      <c r="B8161" s="432">
        <v>1993.85</v>
      </c>
      <c r="C8161" s="427">
        <f t="shared" si="254"/>
        <v>2014</v>
      </c>
      <c r="D8161" s="433">
        <f t="shared" si="255"/>
        <v>1993.85</v>
      </c>
    </row>
    <row r="8162" spans="1:4" ht="16.149999999999999" customHeight="1" x14ac:dyDescent="0.25">
      <c r="A8162" s="431">
        <v>41722</v>
      </c>
      <c r="B8162" s="434">
        <v>1993.85</v>
      </c>
      <c r="C8162" s="427">
        <f t="shared" si="254"/>
        <v>2014</v>
      </c>
      <c r="D8162" s="433">
        <f t="shared" si="255"/>
        <v>1993.85</v>
      </c>
    </row>
    <row r="8163" spans="1:4" ht="16.149999999999999" customHeight="1" x14ac:dyDescent="0.25">
      <c r="A8163" s="431">
        <v>41723</v>
      </c>
      <c r="B8163" s="432">
        <v>1993.85</v>
      </c>
      <c r="C8163" s="427">
        <f t="shared" si="254"/>
        <v>2014</v>
      </c>
      <c r="D8163" s="433">
        <f t="shared" si="255"/>
        <v>1993.85</v>
      </c>
    </row>
    <row r="8164" spans="1:4" ht="16.149999999999999" customHeight="1" x14ac:dyDescent="0.25">
      <c r="A8164" s="431">
        <v>41724</v>
      </c>
      <c r="B8164" s="434">
        <v>1978.63</v>
      </c>
      <c r="C8164" s="427">
        <f t="shared" si="254"/>
        <v>2014</v>
      </c>
      <c r="D8164" s="433">
        <f t="shared" si="255"/>
        <v>1978.63</v>
      </c>
    </row>
    <row r="8165" spans="1:4" ht="16.149999999999999" customHeight="1" x14ac:dyDescent="0.25">
      <c r="A8165" s="431">
        <v>41725</v>
      </c>
      <c r="B8165" s="432">
        <v>1973.03</v>
      </c>
      <c r="C8165" s="427">
        <f t="shared" si="254"/>
        <v>2014</v>
      </c>
      <c r="D8165" s="433">
        <f t="shared" si="255"/>
        <v>1973.03</v>
      </c>
    </row>
    <row r="8166" spans="1:4" ht="16.149999999999999" customHeight="1" x14ac:dyDescent="0.25">
      <c r="A8166" s="431">
        <v>41726</v>
      </c>
      <c r="B8166" s="434">
        <v>1965.64</v>
      </c>
      <c r="C8166" s="427">
        <f t="shared" si="254"/>
        <v>2014</v>
      </c>
      <c r="D8166" s="433">
        <f t="shared" si="255"/>
        <v>1965.64</v>
      </c>
    </row>
    <row r="8167" spans="1:4" ht="16.149999999999999" customHeight="1" x14ac:dyDescent="0.25">
      <c r="A8167" s="431">
        <v>41727</v>
      </c>
      <c r="B8167" s="432">
        <v>1965.32</v>
      </c>
      <c r="C8167" s="427">
        <f t="shared" si="254"/>
        <v>2014</v>
      </c>
      <c r="D8167" s="433">
        <f t="shared" si="255"/>
        <v>1965.32</v>
      </c>
    </row>
    <row r="8168" spans="1:4" ht="16.149999999999999" customHeight="1" x14ac:dyDescent="0.25">
      <c r="A8168" s="431">
        <v>41728</v>
      </c>
      <c r="B8168" s="434">
        <v>1965.32</v>
      </c>
      <c r="C8168" s="427">
        <f t="shared" si="254"/>
        <v>2014</v>
      </c>
      <c r="D8168" s="433">
        <f t="shared" si="255"/>
        <v>1965.32</v>
      </c>
    </row>
    <row r="8169" spans="1:4" ht="16.149999999999999" customHeight="1" x14ac:dyDescent="0.25">
      <c r="A8169" s="431">
        <v>41729</v>
      </c>
      <c r="B8169" s="432">
        <v>1965.32</v>
      </c>
      <c r="C8169" s="427">
        <f t="shared" si="254"/>
        <v>2014</v>
      </c>
      <c r="D8169" s="433">
        <f t="shared" si="255"/>
        <v>1965.32</v>
      </c>
    </row>
    <row r="8170" spans="1:4" ht="16.149999999999999" customHeight="1" x14ac:dyDescent="0.25">
      <c r="A8170" s="431">
        <v>41730</v>
      </c>
      <c r="B8170" s="434">
        <v>1969.45</v>
      </c>
      <c r="C8170" s="427">
        <f t="shared" si="254"/>
        <v>2014</v>
      </c>
      <c r="D8170" s="433">
        <f t="shared" si="255"/>
        <v>1969.45</v>
      </c>
    </row>
    <row r="8171" spans="1:4" ht="16.149999999999999" customHeight="1" x14ac:dyDescent="0.25">
      <c r="A8171" s="431">
        <v>41731</v>
      </c>
      <c r="B8171" s="432">
        <v>1966.02</v>
      </c>
      <c r="C8171" s="427">
        <f t="shared" si="254"/>
        <v>2014</v>
      </c>
      <c r="D8171" s="433">
        <f t="shared" si="255"/>
        <v>1966.02</v>
      </c>
    </row>
    <row r="8172" spans="1:4" ht="16.149999999999999" customHeight="1" x14ac:dyDescent="0.25">
      <c r="A8172" s="431">
        <v>41732</v>
      </c>
      <c r="B8172" s="434">
        <v>1963.51</v>
      </c>
      <c r="C8172" s="427">
        <f t="shared" si="254"/>
        <v>2014</v>
      </c>
      <c r="D8172" s="433">
        <f t="shared" si="255"/>
        <v>1963.51</v>
      </c>
    </row>
    <row r="8173" spans="1:4" ht="16.149999999999999" customHeight="1" x14ac:dyDescent="0.25">
      <c r="A8173" s="431">
        <v>41733</v>
      </c>
      <c r="B8173" s="432">
        <v>1966.4</v>
      </c>
      <c r="C8173" s="427">
        <f t="shared" si="254"/>
        <v>2014</v>
      </c>
      <c r="D8173" s="433">
        <f t="shared" si="255"/>
        <v>1966.4</v>
      </c>
    </row>
    <row r="8174" spans="1:4" ht="16.149999999999999" customHeight="1" x14ac:dyDescent="0.25">
      <c r="A8174" s="431">
        <v>41734</v>
      </c>
      <c r="B8174" s="434">
        <v>1951.85</v>
      </c>
      <c r="C8174" s="427">
        <f t="shared" si="254"/>
        <v>2014</v>
      </c>
      <c r="D8174" s="433">
        <f t="shared" si="255"/>
        <v>1951.85</v>
      </c>
    </row>
    <row r="8175" spans="1:4" ht="16.149999999999999" customHeight="1" x14ac:dyDescent="0.25">
      <c r="A8175" s="431">
        <v>41735</v>
      </c>
      <c r="B8175" s="432">
        <v>1951.85</v>
      </c>
      <c r="C8175" s="427">
        <f t="shared" si="254"/>
        <v>2014</v>
      </c>
      <c r="D8175" s="433">
        <f t="shared" si="255"/>
        <v>1951.85</v>
      </c>
    </row>
    <row r="8176" spans="1:4" ht="16.149999999999999" customHeight="1" x14ac:dyDescent="0.25">
      <c r="A8176" s="431">
        <v>41736</v>
      </c>
      <c r="B8176" s="434">
        <v>1951.85</v>
      </c>
      <c r="C8176" s="427">
        <f t="shared" si="254"/>
        <v>2014</v>
      </c>
      <c r="D8176" s="433">
        <f t="shared" si="255"/>
        <v>1951.85</v>
      </c>
    </row>
    <row r="8177" spans="1:4" ht="16.149999999999999" customHeight="1" x14ac:dyDescent="0.25">
      <c r="A8177" s="431">
        <v>41737</v>
      </c>
      <c r="B8177" s="432">
        <v>1937.59</v>
      </c>
      <c r="C8177" s="427">
        <f t="shared" si="254"/>
        <v>2014</v>
      </c>
      <c r="D8177" s="433">
        <f t="shared" si="255"/>
        <v>1937.59</v>
      </c>
    </row>
    <row r="8178" spans="1:4" ht="16.149999999999999" customHeight="1" x14ac:dyDescent="0.25">
      <c r="A8178" s="431">
        <v>41738</v>
      </c>
      <c r="B8178" s="434">
        <v>1923.95</v>
      </c>
      <c r="C8178" s="427">
        <f t="shared" si="254"/>
        <v>2014</v>
      </c>
      <c r="D8178" s="433">
        <f t="shared" si="255"/>
        <v>1923.95</v>
      </c>
    </row>
    <row r="8179" spans="1:4" ht="16.149999999999999" customHeight="1" x14ac:dyDescent="0.25">
      <c r="A8179" s="431">
        <v>41739</v>
      </c>
      <c r="B8179" s="432">
        <v>1931.09</v>
      </c>
      <c r="C8179" s="427">
        <f t="shared" si="254"/>
        <v>2014</v>
      </c>
      <c r="D8179" s="433">
        <f t="shared" si="255"/>
        <v>1931.09</v>
      </c>
    </row>
    <row r="8180" spans="1:4" ht="16.149999999999999" customHeight="1" x14ac:dyDescent="0.25">
      <c r="A8180" s="431">
        <v>41740</v>
      </c>
      <c r="B8180" s="434">
        <v>1920.93</v>
      </c>
      <c r="C8180" s="427">
        <f t="shared" si="254"/>
        <v>2014</v>
      </c>
      <c r="D8180" s="433">
        <f t="shared" si="255"/>
        <v>1920.93</v>
      </c>
    </row>
    <row r="8181" spans="1:4" ht="16.149999999999999" customHeight="1" x14ac:dyDescent="0.25">
      <c r="A8181" s="431">
        <v>41741</v>
      </c>
      <c r="B8181" s="432">
        <v>1927.28</v>
      </c>
      <c r="C8181" s="427">
        <f t="shared" si="254"/>
        <v>2014</v>
      </c>
      <c r="D8181" s="433">
        <f t="shared" si="255"/>
        <v>1927.28</v>
      </c>
    </row>
    <row r="8182" spans="1:4" ht="16.149999999999999" customHeight="1" x14ac:dyDescent="0.25">
      <c r="A8182" s="431">
        <v>41742</v>
      </c>
      <c r="B8182" s="434">
        <v>1927.28</v>
      </c>
      <c r="C8182" s="427">
        <f t="shared" si="254"/>
        <v>2014</v>
      </c>
      <c r="D8182" s="433">
        <f t="shared" si="255"/>
        <v>1927.28</v>
      </c>
    </row>
    <row r="8183" spans="1:4" ht="16.149999999999999" customHeight="1" x14ac:dyDescent="0.25">
      <c r="A8183" s="431">
        <v>41743</v>
      </c>
      <c r="B8183" s="432">
        <v>1927.28</v>
      </c>
      <c r="C8183" s="427">
        <f t="shared" si="254"/>
        <v>2014</v>
      </c>
      <c r="D8183" s="433">
        <f t="shared" si="255"/>
        <v>1927.28</v>
      </c>
    </row>
    <row r="8184" spans="1:4" ht="16.149999999999999" customHeight="1" x14ac:dyDescent="0.25">
      <c r="A8184" s="431">
        <v>41744</v>
      </c>
      <c r="B8184" s="434">
        <v>1926.47</v>
      </c>
      <c r="C8184" s="427">
        <f t="shared" si="254"/>
        <v>2014</v>
      </c>
      <c r="D8184" s="433">
        <f t="shared" si="255"/>
        <v>1926.47</v>
      </c>
    </row>
    <row r="8185" spans="1:4" ht="16.149999999999999" customHeight="1" x14ac:dyDescent="0.25">
      <c r="A8185" s="431">
        <v>41745</v>
      </c>
      <c r="B8185" s="432">
        <v>1932.42</v>
      </c>
      <c r="C8185" s="427">
        <f t="shared" si="254"/>
        <v>2014</v>
      </c>
      <c r="D8185" s="433">
        <f t="shared" si="255"/>
        <v>1932.42</v>
      </c>
    </row>
    <row r="8186" spans="1:4" ht="16.149999999999999" customHeight="1" x14ac:dyDescent="0.25">
      <c r="A8186" s="431">
        <v>41746</v>
      </c>
      <c r="B8186" s="434">
        <v>1930.62</v>
      </c>
      <c r="C8186" s="427">
        <f t="shared" si="254"/>
        <v>2014</v>
      </c>
      <c r="D8186" s="433">
        <f t="shared" si="255"/>
        <v>1930.62</v>
      </c>
    </row>
    <row r="8187" spans="1:4" ht="16.149999999999999" customHeight="1" x14ac:dyDescent="0.25">
      <c r="A8187" s="431">
        <v>41747</v>
      </c>
      <c r="B8187" s="432">
        <v>1930.62</v>
      </c>
      <c r="C8187" s="427">
        <f t="shared" si="254"/>
        <v>2014</v>
      </c>
      <c r="D8187" s="433">
        <f t="shared" si="255"/>
        <v>1930.62</v>
      </c>
    </row>
    <row r="8188" spans="1:4" ht="16.149999999999999" customHeight="1" x14ac:dyDescent="0.25">
      <c r="A8188" s="431">
        <v>41748</v>
      </c>
      <c r="B8188" s="434">
        <v>1930.62</v>
      </c>
      <c r="C8188" s="427">
        <f t="shared" si="254"/>
        <v>2014</v>
      </c>
      <c r="D8188" s="433">
        <f t="shared" si="255"/>
        <v>1930.62</v>
      </c>
    </row>
    <row r="8189" spans="1:4" ht="16.149999999999999" customHeight="1" x14ac:dyDescent="0.25">
      <c r="A8189" s="431">
        <v>41749</v>
      </c>
      <c r="B8189" s="432">
        <v>1930.62</v>
      </c>
      <c r="C8189" s="427">
        <f t="shared" si="254"/>
        <v>2014</v>
      </c>
      <c r="D8189" s="433">
        <f t="shared" si="255"/>
        <v>1930.62</v>
      </c>
    </row>
    <row r="8190" spans="1:4" ht="16.149999999999999" customHeight="1" x14ac:dyDescent="0.25">
      <c r="A8190" s="431">
        <v>41750</v>
      </c>
      <c r="B8190" s="434">
        <v>1930.62</v>
      </c>
      <c r="C8190" s="427">
        <f t="shared" si="254"/>
        <v>2014</v>
      </c>
      <c r="D8190" s="433">
        <f t="shared" si="255"/>
        <v>1930.62</v>
      </c>
    </row>
    <row r="8191" spans="1:4" ht="16.149999999999999" customHeight="1" x14ac:dyDescent="0.25">
      <c r="A8191" s="431">
        <v>41751</v>
      </c>
      <c r="B8191" s="432">
        <v>1921.75</v>
      </c>
      <c r="C8191" s="427">
        <f t="shared" si="254"/>
        <v>2014</v>
      </c>
      <c r="D8191" s="433">
        <f t="shared" si="255"/>
        <v>1921.75</v>
      </c>
    </row>
    <row r="8192" spans="1:4" ht="16.149999999999999" customHeight="1" x14ac:dyDescent="0.25">
      <c r="A8192" s="431">
        <v>41752</v>
      </c>
      <c r="B8192" s="434">
        <v>1929.66</v>
      </c>
      <c r="C8192" s="427">
        <f t="shared" si="254"/>
        <v>2014</v>
      </c>
      <c r="D8192" s="433">
        <f t="shared" si="255"/>
        <v>1929.66</v>
      </c>
    </row>
    <row r="8193" spans="1:4" ht="16.149999999999999" customHeight="1" x14ac:dyDescent="0.25">
      <c r="A8193" s="431">
        <v>41753</v>
      </c>
      <c r="B8193" s="432">
        <v>1936.63</v>
      </c>
      <c r="C8193" s="427">
        <f t="shared" si="254"/>
        <v>2014</v>
      </c>
      <c r="D8193" s="433">
        <f t="shared" si="255"/>
        <v>1936.63</v>
      </c>
    </row>
    <row r="8194" spans="1:4" ht="16.149999999999999" customHeight="1" x14ac:dyDescent="0.25">
      <c r="A8194" s="431">
        <v>41754</v>
      </c>
      <c r="B8194" s="434">
        <v>1936.07</v>
      </c>
      <c r="C8194" s="427">
        <f t="shared" si="254"/>
        <v>2014</v>
      </c>
      <c r="D8194" s="433">
        <f t="shared" si="255"/>
        <v>1936.07</v>
      </c>
    </row>
    <row r="8195" spans="1:4" ht="16.149999999999999" customHeight="1" x14ac:dyDescent="0.25">
      <c r="A8195" s="431">
        <v>41755</v>
      </c>
      <c r="B8195" s="432">
        <v>1942.37</v>
      </c>
      <c r="C8195" s="427">
        <f t="shared" si="254"/>
        <v>2014</v>
      </c>
      <c r="D8195" s="433">
        <f t="shared" si="255"/>
        <v>1942.37</v>
      </c>
    </row>
    <row r="8196" spans="1:4" ht="16.149999999999999" customHeight="1" x14ac:dyDescent="0.25">
      <c r="A8196" s="431">
        <v>41756</v>
      </c>
      <c r="B8196" s="434">
        <v>1942.37</v>
      </c>
      <c r="C8196" s="427">
        <f t="shared" si="254"/>
        <v>2014</v>
      </c>
      <c r="D8196" s="433">
        <f t="shared" si="255"/>
        <v>1942.37</v>
      </c>
    </row>
    <row r="8197" spans="1:4" ht="16.149999999999999" customHeight="1" x14ac:dyDescent="0.25">
      <c r="A8197" s="431">
        <v>41757</v>
      </c>
      <c r="B8197" s="432">
        <v>1942.37</v>
      </c>
      <c r="C8197" s="427">
        <f t="shared" si="254"/>
        <v>2014</v>
      </c>
      <c r="D8197" s="433">
        <f t="shared" si="255"/>
        <v>1942.37</v>
      </c>
    </row>
    <row r="8198" spans="1:4" ht="16.149999999999999" customHeight="1" x14ac:dyDescent="0.25">
      <c r="A8198" s="431">
        <v>41758</v>
      </c>
      <c r="B8198" s="434">
        <v>1936.13</v>
      </c>
      <c r="C8198" s="427">
        <f t="shared" si="254"/>
        <v>2014</v>
      </c>
      <c r="D8198" s="433">
        <f t="shared" si="255"/>
        <v>1936.13</v>
      </c>
    </row>
    <row r="8199" spans="1:4" ht="16.149999999999999" customHeight="1" x14ac:dyDescent="0.25">
      <c r="A8199" s="431">
        <v>41759</v>
      </c>
      <c r="B8199" s="432">
        <v>1935.14</v>
      </c>
      <c r="C8199" s="427">
        <f t="shared" si="254"/>
        <v>2014</v>
      </c>
      <c r="D8199" s="433">
        <f t="shared" si="255"/>
        <v>1935.14</v>
      </c>
    </row>
    <row r="8200" spans="1:4" ht="16.149999999999999" customHeight="1" x14ac:dyDescent="0.25">
      <c r="A8200" s="431">
        <v>41760</v>
      </c>
      <c r="B8200" s="434">
        <v>1933.46</v>
      </c>
      <c r="C8200" s="427">
        <f t="shared" si="254"/>
        <v>2014</v>
      </c>
      <c r="D8200" s="433">
        <f t="shared" si="255"/>
        <v>1933.46</v>
      </c>
    </row>
    <row r="8201" spans="1:4" ht="16.149999999999999" customHeight="1" x14ac:dyDescent="0.25">
      <c r="A8201" s="431">
        <v>41761</v>
      </c>
      <c r="B8201" s="432">
        <v>1933.46</v>
      </c>
      <c r="C8201" s="427">
        <f t="shared" si="254"/>
        <v>2014</v>
      </c>
      <c r="D8201" s="433">
        <f t="shared" si="255"/>
        <v>1933.46</v>
      </c>
    </row>
    <row r="8202" spans="1:4" ht="16.149999999999999" customHeight="1" x14ac:dyDescent="0.25">
      <c r="A8202" s="431">
        <v>41762</v>
      </c>
      <c r="B8202" s="434">
        <v>1926.3</v>
      </c>
      <c r="C8202" s="427">
        <f t="shared" ref="C8202:C8265" si="256">YEAR(A8202)</f>
        <v>2014</v>
      </c>
      <c r="D8202" s="433">
        <f t="shared" ref="D8202:D8265" si="257">B8202</f>
        <v>1926.3</v>
      </c>
    </row>
    <row r="8203" spans="1:4" ht="16.149999999999999" customHeight="1" x14ac:dyDescent="0.25">
      <c r="A8203" s="431">
        <v>41763</v>
      </c>
      <c r="B8203" s="432">
        <v>1926.3</v>
      </c>
      <c r="C8203" s="427">
        <f t="shared" si="256"/>
        <v>2014</v>
      </c>
      <c r="D8203" s="433">
        <f t="shared" si="257"/>
        <v>1926.3</v>
      </c>
    </row>
    <row r="8204" spans="1:4" ht="16.149999999999999" customHeight="1" x14ac:dyDescent="0.25">
      <c r="A8204" s="431">
        <v>41764</v>
      </c>
      <c r="B8204" s="434">
        <v>1926.3</v>
      </c>
      <c r="C8204" s="427">
        <f t="shared" si="256"/>
        <v>2014</v>
      </c>
      <c r="D8204" s="433">
        <f t="shared" si="257"/>
        <v>1926.3</v>
      </c>
    </row>
    <row r="8205" spans="1:4" ht="16.149999999999999" customHeight="1" x14ac:dyDescent="0.25">
      <c r="A8205" s="431">
        <v>41765</v>
      </c>
      <c r="B8205" s="432">
        <v>1923.07</v>
      </c>
      <c r="C8205" s="427">
        <f t="shared" si="256"/>
        <v>2014</v>
      </c>
      <c r="D8205" s="433">
        <f t="shared" si="257"/>
        <v>1923.07</v>
      </c>
    </row>
    <row r="8206" spans="1:4" ht="16.149999999999999" customHeight="1" x14ac:dyDescent="0.25">
      <c r="A8206" s="431">
        <v>41766</v>
      </c>
      <c r="B8206" s="434">
        <v>1918.2</v>
      </c>
      <c r="C8206" s="427">
        <f t="shared" si="256"/>
        <v>2014</v>
      </c>
      <c r="D8206" s="433">
        <f t="shared" si="257"/>
        <v>1918.2</v>
      </c>
    </row>
    <row r="8207" spans="1:4" ht="16.149999999999999" customHeight="1" x14ac:dyDescent="0.25">
      <c r="A8207" s="431">
        <v>41767</v>
      </c>
      <c r="B8207" s="432">
        <v>1912.97</v>
      </c>
      <c r="C8207" s="427">
        <f t="shared" si="256"/>
        <v>2014</v>
      </c>
      <c r="D8207" s="433">
        <f t="shared" si="257"/>
        <v>1912.97</v>
      </c>
    </row>
    <row r="8208" spans="1:4" ht="16.149999999999999" customHeight="1" x14ac:dyDescent="0.25">
      <c r="A8208" s="431">
        <v>41768</v>
      </c>
      <c r="B8208" s="434">
        <v>1902.15</v>
      </c>
      <c r="C8208" s="427">
        <f t="shared" si="256"/>
        <v>2014</v>
      </c>
      <c r="D8208" s="433">
        <f t="shared" si="257"/>
        <v>1902.15</v>
      </c>
    </row>
    <row r="8209" spans="1:4" ht="16.149999999999999" customHeight="1" x14ac:dyDescent="0.25">
      <c r="A8209" s="431">
        <v>41769</v>
      </c>
      <c r="B8209" s="432">
        <v>1901.51</v>
      </c>
      <c r="C8209" s="427">
        <f t="shared" si="256"/>
        <v>2014</v>
      </c>
      <c r="D8209" s="433">
        <f t="shared" si="257"/>
        <v>1901.51</v>
      </c>
    </row>
    <row r="8210" spans="1:4" ht="16.149999999999999" customHeight="1" x14ac:dyDescent="0.25">
      <c r="A8210" s="431">
        <v>41770</v>
      </c>
      <c r="B8210" s="434">
        <v>1901.51</v>
      </c>
      <c r="C8210" s="427">
        <f t="shared" si="256"/>
        <v>2014</v>
      </c>
      <c r="D8210" s="433">
        <f t="shared" si="257"/>
        <v>1901.51</v>
      </c>
    </row>
    <row r="8211" spans="1:4" ht="16.149999999999999" customHeight="1" x14ac:dyDescent="0.25">
      <c r="A8211" s="431">
        <v>41771</v>
      </c>
      <c r="B8211" s="432">
        <v>1901.51</v>
      </c>
      <c r="C8211" s="427">
        <f t="shared" si="256"/>
        <v>2014</v>
      </c>
      <c r="D8211" s="433">
        <f t="shared" si="257"/>
        <v>1901.51</v>
      </c>
    </row>
    <row r="8212" spans="1:4" ht="16.149999999999999" customHeight="1" x14ac:dyDescent="0.25">
      <c r="A8212" s="431">
        <v>41772</v>
      </c>
      <c r="B8212" s="434">
        <v>1904.85</v>
      </c>
      <c r="C8212" s="427">
        <f t="shared" si="256"/>
        <v>2014</v>
      </c>
      <c r="D8212" s="433">
        <f t="shared" si="257"/>
        <v>1904.85</v>
      </c>
    </row>
    <row r="8213" spans="1:4" ht="16.149999999999999" customHeight="1" x14ac:dyDescent="0.25">
      <c r="A8213" s="431">
        <v>41773</v>
      </c>
      <c r="B8213" s="432">
        <v>1919.7</v>
      </c>
      <c r="C8213" s="427">
        <f t="shared" si="256"/>
        <v>2014</v>
      </c>
      <c r="D8213" s="433">
        <f t="shared" si="257"/>
        <v>1919.7</v>
      </c>
    </row>
    <row r="8214" spans="1:4" ht="16.149999999999999" customHeight="1" x14ac:dyDescent="0.25">
      <c r="A8214" s="431">
        <v>41774</v>
      </c>
      <c r="B8214" s="434">
        <v>1925.31</v>
      </c>
      <c r="C8214" s="427">
        <f t="shared" si="256"/>
        <v>2014</v>
      </c>
      <c r="D8214" s="433">
        <f t="shared" si="257"/>
        <v>1925.31</v>
      </c>
    </row>
    <row r="8215" spans="1:4" ht="16.149999999999999" customHeight="1" x14ac:dyDescent="0.25">
      <c r="A8215" s="431">
        <v>41775</v>
      </c>
      <c r="B8215" s="432">
        <v>1927.8</v>
      </c>
      <c r="C8215" s="427">
        <f t="shared" si="256"/>
        <v>2014</v>
      </c>
      <c r="D8215" s="433">
        <f t="shared" si="257"/>
        <v>1927.8</v>
      </c>
    </row>
    <row r="8216" spans="1:4" ht="16.149999999999999" customHeight="1" x14ac:dyDescent="0.25">
      <c r="A8216" s="431">
        <v>41776</v>
      </c>
      <c r="B8216" s="434">
        <v>1925.41</v>
      </c>
      <c r="C8216" s="427">
        <f t="shared" si="256"/>
        <v>2014</v>
      </c>
      <c r="D8216" s="433">
        <f t="shared" si="257"/>
        <v>1925.41</v>
      </c>
    </row>
    <row r="8217" spans="1:4" ht="16.149999999999999" customHeight="1" x14ac:dyDescent="0.25">
      <c r="A8217" s="431">
        <v>41777</v>
      </c>
      <c r="B8217" s="432">
        <v>1925.41</v>
      </c>
      <c r="C8217" s="427">
        <f t="shared" si="256"/>
        <v>2014</v>
      </c>
      <c r="D8217" s="433">
        <f t="shared" si="257"/>
        <v>1925.41</v>
      </c>
    </row>
    <row r="8218" spans="1:4" ht="16.149999999999999" customHeight="1" x14ac:dyDescent="0.25">
      <c r="A8218" s="431">
        <v>41778</v>
      </c>
      <c r="B8218" s="434">
        <v>1925.41</v>
      </c>
      <c r="C8218" s="427">
        <f t="shared" si="256"/>
        <v>2014</v>
      </c>
      <c r="D8218" s="433">
        <f t="shared" si="257"/>
        <v>1925.41</v>
      </c>
    </row>
    <row r="8219" spans="1:4" ht="16.149999999999999" customHeight="1" x14ac:dyDescent="0.25">
      <c r="A8219" s="431">
        <v>41779</v>
      </c>
      <c r="B8219" s="432">
        <v>1921.16</v>
      </c>
      <c r="C8219" s="427">
        <f t="shared" si="256"/>
        <v>2014</v>
      </c>
      <c r="D8219" s="433">
        <f t="shared" si="257"/>
        <v>1921.16</v>
      </c>
    </row>
    <row r="8220" spans="1:4" ht="16.149999999999999" customHeight="1" x14ac:dyDescent="0.25">
      <c r="A8220" s="431">
        <v>41780</v>
      </c>
      <c r="B8220" s="434">
        <v>1920.41</v>
      </c>
      <c r="C8220" s="427">
        <f t="shared" si="256"/>
        <v>2014</v>
      </c>
      <c r="D8220" s="433">
        <f t="shared" si="257"/>
        <v>1920.41</v>
      </c>
    </row>
    <row r="8221" spans="1:4" ht="16.149999999999999" customHeight="1" x14ac:dyDescent="0.25">
      <c r="A8221" s="431">
        <v>41781</v>
      </c>
      <c r="B8221" s="432">
        <v>1911.33</v>
      </c>
      <c r="C8221" s="427">
        <f t="shared" si="256"/>
        <v>2014</v>
      </c>
      <c r="D8221" s="433">
        <f t="shared" si="257"/>
        <v>1911.33</v>
      </c>
    </row>
    <row r="8222" spans="1:4" ht="16.149999999999999" customHeight="1" x14ac:dyDescent="0.25">
      <c r="A8222" s="431">
        <v>41782</v>
      </c>
      <c r="B8222" s="434">
        <v>1905.8</v>
      </c>
      <c r="C8222" s="427">
        <f t="shared" si="256"/>
        <v>2014</v>
      </c>
      <c r="D8222" s="433">
        <f t="shared" si="257"/>
        <v>1905.8</v>
      </c>
    </row>
    <row r="8223" spans="1:4" ht="16.149999999999999" customHeight="1" x14ac:dyDescent="0.25">
      <c r="A8223" s="431">
        <v>41783</v>
      </c>
      <c r="B8223" s="432">
        <v>1905.53</v>
      </c>
      <c r="C8223" s="427">
        <f t="shared" si="256"/>
        <v>2014</v>
      </c>
      <c r="D8223" s="433">
        <f t="shared" si="257"/>
        <v>1905.53</v>
      </c>
    </row>
    <row r="8224" spans="1:4" ht="16.149999999999999" customHeight="1" x14ac:dyDescent="0.25">
      <c r="A8224" s="431">
        <v>41784</v>
      </c>
      <c r="B8224" s="434">
        <v>1905.53</v>
      </c>
      <c r="C8224" s="427">
        <f t="shared" si="256"/>
        <v>2014</v>
      </c>
      <c r="D8224" s="433">
        <f t="shared" si="257"/>
        <v>1905.53</v>
      </c>
    </row>
    <row r="8225" spans="1:4" ht="16.149999999999999" customHeight="1" x14ac:dyDescent="0.25">
      <c r="A8225" s="431">
        <v>41785</v>
      </c>
      <c r="B8225" s="432">
        <v>1905.53</v>
      </c>
      <c r="C8225" s="427">
        <f t="shared" si="256"/>
        <v>2014</v>
      </c>
      <c r="D8225" s="433">
        <f t="shared" si="257"/>
        <v>1905.53</v>
      </c>
    </row>
    <row r="8226" spans="1:4" ht="16.149999999999999" customHeight="1" x14ac:dyDescent="0.25">
      <c r="A8226" s="431">
        <v>41786</v>
      </c>
      <c r="B8226" s="434">
        <v>1905.53</v>
      </c>
      <c r="C8226" s="427">
        <f t="shared" si="256"/>
        <v>2014</v>
      </c>
      <c r="D8226" s="433">
        <f t="shared" si="257"/>
        <v>1905.53</v>
      </c>
    </row>
    <row r="8227" spans="1:4" ht="16.149999999999999" customHeight="1" x14ac:dyDescent="0.25">
      <c r="A8227" s="431">
        <v>41787</v>
      </c>
      <c r="B8227" s="432">
        <v>1917.34</v>
      </c>
      <c r="C8227" s="427">
        <f t="shared" si="256"/>
        <v>2014</v>
      </c>
      <c r="D8227" s="433">
        <f t="shared" si="257"/>
        <v>1917.34</v>
      </c>
    </row>
    <row r="8228" spans="1:4" ht="16.149999999999999" customHeight="1" x14ac:dyDescent="0.25">
      <c r="A8228" s="431">
        <v>41788</v>
      </c>
      <c r="B8228" s="434">
        <v>1910.8</v>
      </c>
      <c r="C8228" s="427">
        <f t="shared" si="256"/>
        <v>2014</v>
      </c>
      <c r="D8228" s="433">
        <f t="shared" si="257"/>
        <v>1910.8</v>
      </c>
    </row>
    <row r="8229" spans="1:4" ht="16.149999999999999" customHeight="1" x14ac:dyDescent="0.25">
      <c r="A8229" s="431">
        <v>41789</v>
      </c>
      <c r="B8229" s="432">
        <v>1905.96</v>
      </c>
      <c r="C8229" s="427">
        <f t="shared" si="256"/>
        <v>2014</v>
      </c>
      <c r="D8229" s="433">
        <f t="shared" si="257"/>
        <v>1905.96</v>
      </c>
    </row>
    <row r="8230" spans="1:4" ht="16.149999999999999" customHeight="1" x14ac:dyDescent="0.25">
      <c r="A8230" s="431">
        <v>41790</v>
      </c>
      <c r="B8230" s="434">
        <v>1900.64</v>
      </c>
      <c r="C8230" s="427">
        <f t="shared" si="256"/>
        <v>2014</v>
      </c>
      <c r="D8230" s="433">
        <f t="shared" si="257"/>
        <v>1900.64</v>
      </c>
    </row>
    <row r="8231" spans="1:4" ht="16.149999999999999" customHeight="1" x14ac:dyDescent="0.25">
      <c r="A8231" s="431">
        <v>41791</v>
      </c>
      <c r="B8231" s="432">
        <v>1900.64</v>
      </c>
      <c r="C8231" s="427">
        <f t="shared" si="256"/>
        <v>2014</v>
      </c>
      <c r="D8231" s="433">
        <f t="shared" si="257"/>
        <v>1900.64</v>
      </c>
    </row>
    <row r="8232" spans="1:4" ht="16.149999999999999" customHeight="1" x14ac:dyDescent="0.25">
      <c r="A8232" s="431">
        <v>41792</v>
      </c>
      <c r="B8232" s="434">
        <v>1900.64</v>
      </c>
      <c r="C8232" s="427">
        <f t="shared" si="256"/>
        <v>2014</v>
      </c>
      <c r="D8232" s="433">
        <f t="shared" si="257"/>
        <v>1900.64</v>
      </c>
    </row>
    <row r="8233" spans="1:4" ht="16.149999999999999" customHeight="1" x14ac:dyDescent="0.25">
      <c r="A8233" s="431">
        <v>41793</v>
      </c>
      <c r="B8233" s="432">
        <v>1900.64</v>
      </c>
      <c r="C8233" s="427">
        <f t="shared" si="256"/>
        <v>2014</v>
      </c>
      <c r="D8233" s="433">
        <f t="shared" si="257"/>
        <v>1900.64</v>
      </c>
    </row>
    <row r="8234" spans="1:4" ht="16.149999999999999" customHeight="1" x14ac:dyDescent="0.25">
      <c r="A8234" s="431">
        <v>41794</v>
      </c>
      <c r="B8234" s="434">
        <v>1899.74</v>
      </c>
      <c r="C8234" s="427">
        <f t="shared" si="256"/>
        <v>2014</v>
      </c>
      <c r="D8234" s="433">
        <f t="shared" si="257"/>
        <v>1899.74</v>
      </c>
    </row>
    <row r="8235" spans="1:4" ht="16.149999999999999" customHeight="1" x14ac:dyDescent="0.25">
      <c r="A8235" s="431">
        <v>41795</v>
      </c>
      <c r="B8235" s="432">
        <v>1897.7</v>
      </c>
      <c r="C8235" s="427">
        <f t="shared" si="256"/>
        <v>2014</v>
      </c>
      <c r="D8235" s="433">
        <f t="shared" si="257"/>
        <v>1897.7</v>
      </c>
    </row>
    <row r="8236" spans="1:4" ht="16.149999999999999" customHeight="1" x14ac:dyDescent="0.25">
      <c r="A8236" s="431">
        <v>41796</v>
      </c>
      <c r="B8236" s="434">
        <v>1892.08</v>
      </c>
      <c r="C8236" s="427">
        <f t="shared" si="256"/>
        <v>2014</v>
      </c>
      <c r="D8236" s="433">
        <f t="shared" si="257"/>
        <v>1892.08</v>
      </c>
    </row>
    <row r="8237" spans="1:4" ht="16.149999999999999" customHeight="1" x14ac:dyDescent="0.25">
      <c r="A8237" s="431">
        <v>41797</v>
      </c>
      <c r="B8237" s="432">
        <v>1886.09</v>
      </c>
      <c r="C8237" s="427">
        <f t="shared" si="256"/>
        <v>2014</v>
      </c>
      <c r="D8237" s="433">
        <f t="shared" si="257"/>
        <v>1886.09</v>
      </c>
    </row>
    <row r="8238" spans="1:4" ht="16.149999999999999" customHeight="1" x14ac:dyDescent="0.25">
      <c r="A8238" s="431">
        <v>41798</v>
      </c>
      <c r="B8238" s="434">
        <v>1886.09</v>
      </c>
      <c r="C8238" s="427">
        <f t="shared" si="256"/>
        <v>2014</v>
      </c>
      <c r="D8238" s="433">
        <f t="shared" si="257"/>
        <v>1886.09</v>
      </c>
    </row>
    <row r="8239" spans="1:4" ht="16.149999999999999" customHeight="1" x14ac:dyDescent="0.25">
      <c r="A8239" s="431">
        <v>41799</v>
      </c>
      <c r="B8239" s="432">
        <v>1886.09</v>
      </c>
      <c r="C8239" s="427">
        <f t="shared" si="256"/>
        <v>2014</v>
      </c>
      <c r="D8239" s="433">
        <f t="shared" si="257"/>
        <v>1886.09</v>
      </c>
    </row>
    <row r="8240" spans="1:4" ht="16.149999999999999" customHeight="1" x14ac:dyDescent="0.25">
      <c r="A8240" s="431">
        <v>41800</v>
      </c>
      <c r="B8240" s="434">
        <v>1883.76</v>
      </c>
      <c r="C8240" s="427">
        <f t="shared" si="256"/>
        <v>2014</v>
      </c>
      <c r="D8240" s="433">
        <f t="shared" si="257"/>
        <v>1883.76</v>
      </c>
    </row>
    <row r="8241" spans="1:4" ht="16.149999999999999" customHeight="1" x14ac:dyDescent="0.25">
      <c r="A8241" s="431">
        <v>41801</v>
      </c>
      <c r="B8241" s="432">
        <v>1884.97</v>
      </c>
      <c r="C8241" s="427">
        <f t="shared" si="256"/>
        <v>2014</v>
      </c>
      <c r="D8241" s="433">
        <f t="shared" si="257"/>
        <v>1884.97</v>
      </c>
    </row>
    <row r="8242" spans="1:4" ht="16.149999999999999" customHeight="1" x14ac:dyDescent="0.25">
      <c r="A8242" s="431">
        <v>41802</v>
      </c>
      <c r="B8242" s="434">
        <v>1884.63</v>
      </c>
      <c r="C8242" s="427">
        <f t="shared" si="256"/>
        <v>2014</v>
      </c>
      <c r="D8242" s="433">
        <f t="shared" si="257"/>
        <v>1884.63</v>
      </c>
    </row>
    <row r="8243" spans="1:4" ht="16.149999999999999" customHeight="1" x14ac:dyDescent="0.25">
      <c r="A8243" s="431">
        <v>41803</v>
      </c>
      <c r="B8243" s="432">
        <v>1877.18</v>
      </c>
      <c r="C8243" s="427">
        <f t="shared" si="256"/>
        <v>2014</v>
      </c>
      <c r="D8243" s="433">
        <f t="shared" si="257"/>
        <v>1877.18</v>
      </c>
    </row>
    <row r="8244" spans="1:4" ht="16.149999999999999" customHeight="1" x14ac:dyDescent="0.25">
      <c r="A8244" s="431">
        <v>41804</v>
      </c>
      <c r="B8244" s="434">
        <v>1877.37</v>
      </c>
      <c r="C8244" s="427">
        <f t="shared" si="256"/>
        <v>2014</v>
      </c>
      <c r="D8244" s="433">
        <f t="shared" si="257"/>
        <v>1877.37</v>
      </c>
    </row>
    <row r="8245" spans="1:4" ht="16.149999999999999" customHeight="1" x14ac:dyDescent="0.25">
      <c r="A8245" s="431">
        <v>41805</v>
      </c>
      <c r="B8245" s="432">
        <v>1877.37</v>
      </c>
      <c r="C8245" s="427">
        <f t="shared" si="256"/>
        <v>2014</v>
      </c>
      <c r="D8245" s="433">
        <f t="shared" si="257"/>
        <v>1877.37</v>
      </c>
    </row>
    <row r="8246" spans="1:4" ht="16.149999999999999" customHeight="1" x14ac:dyDescent="0.25">
      <c r="A8246" s="431">
        <v>41806</v>
      </c>
      <c r="B8246" s="434">
        <v>1877.37</v>
      </c>
      <c r="C8246" s="427">
        <f t="shared" si="256"/>
        <v>2014</v>
      </c>
      <c r="D8246" s="433">
        <f t="shared" si="257"/>
        <v>1877.37</v>
      </c>
    </row>
    <row r="8247" spans="1:4" ht="16.149999999999999" customHeight="1" x14ac:dyDescent="0.25">
      <c r="A8247" s="431">
        <v>41807</v>
      </c>
      <c r="B8247" s="432">
        <v>1886.62</v>
      </c>
      <c r="C8247" s="427">
        <f t="shared" si="256"/>
        <v>2014</v>
      </c>
      <c r="D8247" s="433">
        <f t="shared" si="257"/>
        <v>1886.62</v>
      </c>
    </row>
    <row r="8248" spans="1:4" ht="16.149999999999999" customHeight="1" x14ac:dyDescent="0.25">
      <c r="A8248" s="431">
        <v>41808</v>
      </c>
      <c r="B8248" s="434">
        <v>1899.9</v>
      </c>
      <c r="C8248" s="427">
        <f t="shared" si="256"/>
        <v>2014</v>
      </c>
      <c r="D8248" s="433">
        <f t="shared" si="257"/>
        <v>1899.9</v>
      </c>
    </row>
    <row r="8249" spans="1:4" ht="16.149999999999999" customHeight="1" x14ac:dyDescent="0.25">
      <c r="A8249" s="431">
        <v>41809</v>
      </c>
      <c r="B8249" s="432">
        <v>1895.92</v>
      </c>
      <c r="C8249" s="427">
        <f t="shared" si="256"/>
        <v>2014</v>
      </c>
      <c r="D8249" s="433">
        <f t="shared" si="257"/>
        <v>1895.92</v>
      </c>
    </row>
    <row r="8250" spans="1:4" ht="16.149999999999999" customHeight="1" x14ac:dyDescent="0.25">
      <c r="A8250" s="431">
        <v>41810</v>
      </c>
      <c r="B8250" s="434">
        <v>1881.34</v>
      </c>
      <c r="C8250" s="427">
        <f t="shared" si="256"/>
        <v>2014</v>
      </c>
      <c r="D8250" s="433">
        <f t="shared" si="257"/>
        <v>1881.34</v>
      </c>
    </row>
    <row r="8251" spans="1:4" ht="16.149999999999999" customHeight="1" x14ac:dyDescent="0.25">
      <c r="A8251" s="431">
        <v>41811</v>
      </c>
      <c r="B8251" s="432">
        <v>1884.56</v>
      </c>
      <c r="C8251" s="427">
        <f t="shared" si="256"/>
        <v>2014</v>
      </c>
      <c r="D8251" s="433">
        <f t="shared" si="257"/>
        <v>1884.56</v>
      </c>
    </row>
    <row r="8252" spans="1:4" ht="16.149999999999999" customHeight="1" x14ac:dyDescent="0.25">
      <c r="A8252" s="431">
        <v>41812</v>
      </c>
      <c r="B8252" s="434">
        <v>1884.56</v>
      </c>
      <c r="C8252" s="427">
        <f t="shared" si="256"/>
        <v>2014</v>
      </c>
      <c r="D8252" s="433">
        <f t="shared" si="257"/>
        <v>1884.56</v>
      </c>
    </row>
    <row r="8253" spans="1:4" ht="16.149999999999999" customHeight="1" x14ac:dyDescent="0.25">
      <c r="A8253" s="431">
        <v>41813</v>
      </c>
      <c r="B8253" s="432">
        <v>1884.56</v>
      </c>
      <c r="C8253" s="427">
        <f t="shared" si="256"/>
        <v>2014</v>
      </c>
      <c r="D8253" s="433">
        <f t="shared" si="257"/>
        <v>1884.56</v>
      </c>
    </row>
    <row r="8254" spans="1:4" ht="16.149999999999999" customHeight="1" x14ac:dyDescent="0.25">
      <c r="A8254" s="431">
        <v>41814</v>
      </c>
      <c r="B8254" s="434">
        <v>1884.56</v>
      </c>
      <c r="C8254" s="427">
        <f t="shared" si="256"/>
        <v>2014</v>
      </c>
      <c r="D8254" s="433">
        <f t="shared" si="257"/>
        <v>1884.56</v>
      </c>
    </row>
    <row r="8255" spans="1:4" ht="16.149999999999999" customHeight="1" x14ac:dyDescent="0.25">
      <c r="A8255" s="431">
        <v>41815</v>
      </c>
      <c r="B8255" s="432">
        <v>1886.85</v>
      </c>
      <c r="C8255" s="427">
        <f t="shared" si="256"/>
        <v>2014</v>
      </c>
      <c r="D8255" s="433">
        <f t="shared" si="257"/>
        <v>1886.85</v>
      </c>
    </row>
    <row r="8256" spans="1:4" ht="16.149999999999999" customHeight="1" x14ac:dyDescent="0.25">
      <c r="A8256" s="431">
        <v>41816</v>
      </c>
      <c r="B8256" s="434">
        <v>1880.37</v>
      </c>
      <c r="C8256" s="427">
        <f t="shared" si="256"/>
        <v>2014</v>
      </c>
      <c r="D8256" s="433">
        <f t="shared" si="257"/>
        <v>1880.37</v>
      </c>
    </row>
    <row r="8257" spans="1:4" ht="16.149999999999999" customHeight="1" x14ac:dyDescent="0.25">
      <c r="A8257" s="431">
        <v>41817</v>
      </c>
      <c r="B8257" s="432">
        <v>1886.01</v>
      </c>
      <c r="C8257" s="427">
        <f t="shared" si="256"/>
        <v>2014</v>
      </c>
      <c r="D8257" s="433">
        <f t="shared" si="257"/>
        <v>1886.01</v>
      </c>
    </row>
    <row r="8258" spans="1:4" ht="16.149999999999999" customHeight="1" x14ac:dyDescent="0.25">
      <c r="A8258" s="431">
        <v>41818</v>
      </c>
      <c r="B8258" s="434">
        <v>1881.19</v>
      </c>
      <c r="C8258" s="427">
        <f t="shared" si="256"/>
        <v>2014</v>
      </c>
      <c r="D8258" s="433">
        <f t="shared" si="257"/>
        <v>1881.19</v>
      </c>
    </row>
    <row r="8259" spans="1:4" ht="16.149999999999999" customHeight="1" x14ac:dyDescent="0.25">
      <c r="A8259" s="431">
        <v>41819</v>
      </c>
      <c r="B8259" s="432">
        <v>1881.19</v>
      </c>
      <c r="C8259" s="427">
        <f t="shared" si="256"/>
        <v>2014</v>
      </c>
      <c r="D8259" s="433">
        <f t="shared" si="257"/>
        <v>1881.19</v>
      </c>
    </row>
    <row r="8260" spans="1:4" ht="16.149999999999999" customHeight="1" x14ac:dyDescent="0.25">
      <c r="A8260" s="431">
        <v>41820</v>
      </c>
      <c r="B8260" s="434">
        <v>1881.19</v>
      </c>
      <c r="C8260" s="427">
        <f t="shared" si="256"/>
        <v>2014</v>
      </c>
      <c r="D8260" s="433">
        <f t="shared" si="257"/>
        <v>1881.19</v>
      </c>
    </row>
    <row r="8261" spans="1:4" ht="16.149999999999999" customHeight="1" x14ac:dyDescent="0.25">
      <c r="A8261" s="431">
        <v>41821</v>
      </c>
      <c r="B8261" s="432">
        <v>1881.19</v>
      </c>
      <c r="C8261" s="427">
        <f t="shared" si="256"/>
        <v>2014</v>
      </c>
      <c r="D8261" s="433">
        <f t="shared" si="257"/>
        <v>1881.19</v>
      </c>
    </row>
    <row r="8262" spans="1:4" ht="16.149999999999999" customHeight="1" x14ac:dyDescent="0.25">
      <c r="A8262" s="431">
        <v>41822</v>
      </c>
      <c r="B8262" s="434">
        <v>1865.42</v>
      </c>
      <c r="C8262" s="427">
        <f t="shared" si="256"/>
        <v>2014</v>
      </c>
      <c r="D8262" s="433">
        <f t="shared" si="257"/>
        <v>1865.42</v>
      </c>
    </row>
    <row r="8263" spans="1:4" ht="16.149999999999999" customHeight="1" x14ac:dyDescent="0.25">
      <c r="A8263" s="431">
        <v>41823</v>
      </c>
      <c r="B8263" s="432">
        <v>1856.73</v>
      </c>
      <c r="C8263" s="427">
        <f t="shared" si="256"/>
        <v>2014</v>
      </c>
      <c r="D8263" s="433">
        <f t="shared" si="257"/>
        <v>1856.73</v>
      </c>
    </row>
    <row r="8264" spans="1:4" ht="16.149999999999999" customHeight="1" x14ac:dyDescent="0.25">
      <c r="A8264" s="431">
        <v>41824</v>
      </c>
      <c r="B8264" s="434">
        <v>1848.91</v>
      </c>
      <c r="C8264" s="427">
        <f t="shared" si="256"/>
        <v>2014</v>
      </c>
      <c r="D8264" s="433">
        <f t="shared" si="257"/>
        <v>1848.91</v>
      </c>
    </row>
    <row r="8265" spans="1:4" ht="16.149999999999999" customHeight="1" x14ac:dyDescent="0.25">
      <c r="A8265" s="431">
        <v>41825</v>
      </c>
      <c r="B8265" s="432">
        <v>1848.91</v>
      </c>
      <c r="C8265" s="427">
        <f t="shared" si="256"/>
        <v>2014</v>
      </c>
      <c r="D8265" s="433">
        <f t="shared" si="257"/>
        <v>1848.91</v>
      </c>
    </row>
    <row r="8266" spans="1:4" ht="16.149999999999999" customHeight="1" x14ac:dyDescent="0.25">
      <c r="A8266" s="431">
        <v>41826</v>
      </c>
      <c r="B8266" s="434">
        <v>1848.91</v>
      </c>
      <c r="C8266" s="427">
        <f t="shared" ref="C8266:C8329" si="258">YEAR(A8266)</f>
        <v>2014</v>
      </c>
      <c r="D8266" s="433">
        <f t="shared" ref="D8266:D8329" si="259">B8266</f>
        <v>1848.91</v>
      </c>
    </row>
    <row r="8267" spans="1:4" ht="16.149999999999999" customHeight="1" x14ac:dyDescent="0.25">
      <c r="A8267" s="431">
        <v>41827</v>
      </c>
      <c r="B8267" s="432">
        <v>1848.91</v>
      </c>
      <c r="C8267" s="427">
        <f t="shared" si="258"/>
        <v>2014</v>
      </c>
      <c r="D8267" s="433">
        <f t="shared" si="259"/>
        <v>1848.91</v>
      </c>
    </row>
    <row r="8268" spans="1:4" ht="16.149999999999999" customHeight="1" x14ac:dyDescent="0.25">
      <c r="A8268" s="431">
        <v>41828</v>
      </c>
      <c r="B8268" s="434">
        <v>1849.28</v>
      </c>
      <c r="C8268" s="427">
        <f t="shared" si="258"/>
        <v>2014</v>
      </c>
      <c r="D8268" s="433">
        <f t="shared" si="259"/>
        <v>1849.28</v>
      </c>
    </row>
    <row r="8269" spans="1:4" ht="16.149999999999999" customHeight="1" x14ac:dyDescent="0.25">
      <c r="A8269" s="431">
        <v>41829</v>
      </c>
      <c r="B8269" s="432">
        <v>1854.24</v>
      </c>
      <c r="C8269" s="427">
        <f t="shared" si="258"/>
        <v>2014</v>
      </c>
      <c r="D8269" s="433">
        <f t="shared" si="259"/>
        <v>1854.24</v>
      </c>
    </row>
    <row r="8270" spans="1:4" ht="16.149999999999999" customHeight="1" x14ac:dyDescent="0.25">
      <c r="A8270" s="431">
        <v>41830</v>
      </c>
      <c r="B8270" s="434">
        <v>1859.94</v>
      </c>
      <c r="C8270" s="427">
        <f t="shared" si="258"/>
        <v>2014</v>
      </c>
      <c r="D8270" s="433">
        <f t="shared" si="259"/>
        <v>1859.94</v>
      </c>
    </row>
    <row r="8271" spans="1:4" ht="16.149999999999999" customHeight="1" x14ac:dyDescent="0.25">
      <c r="A8271" s="431">
        <v>41831</v>
      </c>
      <c r="B8271" s="432">
        <v>1858.47</v>
      </c>
      <c r="C8271" s="427">
        <f t="shared" si="258"/>
        <v>2014</v>
      </c>
      <c r="D8271" s="433">
        <f t="shared" si="259"/>
        <v>1858.47</v>
      </c>
    </row>
    <row r="8272" spans="1:4" ht="16.149999999999999" customHeight="1" x14ac:dyDescent="0.25">
      <c r="A8272" s="431">
        <v>41832</v>
      </c>
      <c r="B8272" s="434">
        <v>1852.57</v>
      </c>
      <c r="C8272" s="427">
        <f t="shared" si="258"/>
        <v>2014</v>
      </c>
      <c r="D8272" s="433">
        <f t="shared" si="259"/>
        <v>1852.57</v>
      </c>
    </row>
    <row r="8273" spans="1:4" ht="16.149999999999999" customHeight="1" x14ac:dyDescent="0.25">
      <c r="A8273" s="431">
        <v>41833</v>
      </c>
      <c r="B8273" s="432">
        <v>1852.57</v>
      </c>
      <c r="C8273" s="427">
        <f t="shared" si="258"/>
        <v>2014</v>
      </c>
      <c r="D8273" s="433">
        <f t="shared" si="259"/>
        <v>1852.57</v>
      </c>
    </row>
    <row r="8274" spans="1:4" ht="16.149999999999999" customHeight="1" x14ac:dyDescent="0.25">
      <c r="A8274" s="431">
        <v>41834</v>
      </c>
      <c r="B8274" s="434">
        <v>1852.57</v>
      </c>
      <c r="C8274" s="427">
        <f t="shared" si="258"/>
        <v>2014</v>
      </c>
      <c r="D8274" s="433">
        <f t="shared" si="259"/>
        <v>1852.57</v>
      </c>
    </row>
    <row r="8275" spans="1:4" ht="16.149999999999999" customHeight="1" x14ac:dyDescent="0.25">
      <c r="A8275" s="431">
        <v>41835</v>
      </c>
      <c r="B8275" s="432">
        <v>1857.93</v>
      </c>
      <c r="C8275" s="427">
        <f t="shared" si="258"/>
        <v>2014</v>
      </c>
      <c r="D8275" s="433">
        <f t="shared" si="259"/>
        <v>1857.93</v>
      </c>
    </row>
    <row r="8276" spans="1:4" ht="16.149999999999999" customHeight="1" x14ac:dyDescent="0.25">
      <c r="A8276" s="431">
        <v>41836</v>
      </c>
      <c r="B8276" s="434">
        <v>1867.88</v>
      </c>
      <c r="C8276" s="427">
        <f t="shared" si="258"/>
        <v>2014</v>
      </c>
      <c r="D8276" s="433">
        <f t="shared" si="259"/>
        <v>1867.88</v>
      </c>
    </row>
    <row r="8277" spans="1:4" ht="16.149999999999999" customHeight="1" x14ac:dyDescent="0.25">
      <c r="A8277" s="431">
        <v>41837</v>
      </c>
      <c r="B8277" s="432">
        <v>1868.41</v>
      </c>
      <c r="C8277" s="427">
        <f t="shared" si="258"/>
        <v>2014</v>
      </c>
      <c r="D8277" s="433">
        <f t="shared" si="259"/>
        <v>1868.41</v>
      </c>
    </row>
    <row r="8278" spans="1:4" ht="16.149999999999999" customHeight="1" x14ac:dyDescent="0.25">
      <c r="A8278" s="431">
        <v>41838</v>
      </c>
      <c r="B8278" s="434">
        <v>1872.27</v>
      </c>
      <c r="C8278" s="427">
        <f t="shared" si="258"/>
        <v>2014</v>
      </c>
      <c r="D8278" s="433">
        <f t="shared" si="259"/>
        <v>1872.27</v>
      </c>
    </row>
    <row r="8279" spans="1:4" ht="16.149999999999999" customHeight="1" x14ac:dyDescent="0.25">
      <c r="A8279" s="431">
        <v>41839</v>
      </c>
      <c r="B8279" s="432">
        <v>1871.87</v>
      </c>
      <c r="C8279" s="427">
        <f t="shared" si="258"/>
        <v>2014</v>
      </c>
      <c r="D8279" s="433">
        <f t="shared" si="259"/>
        <v>1871.87</v>
      </c>
    </row>
    <row r="8280" spans="1:4" ht="16.149999999999999" customHeight="1" x14ac:dyDescent="0.25">
      <c r="A8280" s="431">
        <v>41840</v>
      </c>
      <c r="B8280" s="434">
        <v>1871.87</v>
      </c>
      <c r="C8280" s="427">
        <f t="shared" si="258"/>
        <v>2014</v>
      </c>
      <c r="D8280" s="433">
        <f t="shared" si="259"/>
        <v>1871.87</v>
      </c>
    </row>
    <row r="8281" spans="1:4" ht="16.149999999999999" customHeight="1" x14ac:dyDescent="0.25">
      <c r="A8281" s="431">
        <v>41841</v>
      </c>
      <c r="B8281" s="432">
        <v>1871.87</v>
      </c>
      <c r="C8281" s="427">
        <f t="shared" si="258"/>
        <v>2014</v>
      </c>
      <c r="D8281" s="433">
        <f t="shared" si="259"/>
        <v>1871.87</v>
      </c>
    </row>
    <row r="8282" spans="1:4" ht="16.149999999999999" customHeight="1" x14ac:dyDescent="0.25">
      <c r="A8282" s="431">
        <v>41842</v>
      </c>
      <c r="B8282" s="434">
        <v>1861.28</v>
      </c>
      <c r="C8282" s="427">
        <f t="shared" si="258"/>
        <v>2014</v>
      </c>
      <c r="D8282" s="433">
        <f t="shared" si="259"/>
        <v>1861.28</v>
      </c>
    </row>
    <row r="8283" spans="1:4" ht="16.149999999999999" customHeight="1" x14ac:dyDescent="0.25">
      <c r="A8283" s="431">
        <v>41843</v>
      </c>
      <c r="B8283" s="432">
        <v>1848.98</v>
      </c>
      <c r="C8283" s="427">
        <f t="shared" si="258"/>
        <v>2014</v>
      </c>
      <c r="D8283" s="433">
        <f t="shared" si="259"/>
        <v>1848.98</v>
      </c>
    </row>
    <row r="8284" spans="1:4" ht="16.149999999999999" customHeight="1" x14ac:dyDescent="0.25">
      <c r="A8284" s="431">
        <v>41844</v>
      </c>
      <c r="B8284" s="434">
        <v>1847.85</v>
      </c>
      <c r="C8284" s="427">
        <f t="shared" si="258"/>
        <v>2014</v>
      </c>
      <c r="D8284" s="433">
        <f t="shared" si="259"/>
        <v>1847.85</v>
      </c>
    </row>
    <row r="8285" spans="1:4" ht="16.149999999999999" customHeight="1" x14ac:dyDescent="0.25">
      <c r="A8285" s="431">
        <v>41845</v>
      </c>
      <c r="B8285" s="432">
        <v>1846.12</v>
      </c>
      <c r="C8285" s="427">
        <f t="shared" si="258"/>
        <v>2014</v>
      </c>
      <c r="D8285" s="433">
        <f t="shared" si="259"/>
        <v>1846.12</v>
      </c>
    </row>
    <row r="8286" spans="1:4" ht="16.149999999999999" customHeight="1" x14ac:dyDescent="0.25">
      <c r="A8286" s="431">
        <v>41846</v>
      </c>
      <c r="B8286" s="434">
        <v>1848.56</v>
      </c>
      <c r="C8286" s="427">
        <f t="shared" si="258"/>
        <v>2014</v>
      </c>
      <c r="D8286" s="433">
        <f t="shared" si="259"/>
        <v>1848.56</v>
      </c>
    </row>
    <row r="8287" spans="1:4" ht="16.149999999999999" customHeight="1" x14ac:dyDescent="0.25">
      <c r="A8287" s="431">
        <v>41847</v>
      </c>
      <c r="B8287" s="432">
        <v>1848.56</v>
      </c>
      <c r="C8287" s="427">
        <f t="shared" si="258"/>
        <v>2014</v>
      </c>
      <c r="D8287" s="433">
        <f t="shared" si="259"/>
        <v>1848.56</v>
      </c>
    </row>
    <row r="8288" spans="1:4" ht="16.149999999999999" customHeight="1" x14ac:dyDescent="0.25">
      <c r="A8288" s="431">
        <v>41848</v>
      </c>
      <c r="B8288" s="434">
        <v>1848.56</v>
      </c>
      <c r="C8288" s="427">
        <f t="shared" si="258"/>
        <v>2014</v>
      </c>
      <c r="D8288" s="433">
        <f t="shared" si="259"/>
        <v>1848.56</v>
      </c>
    </row>
    <row r="8289" spans="1:4" ht="16.149999999999999" customHeight="1" x14ac:dyDescent="0.25">
      <c r="A8289" s="431">
        <v>41849</v>
      </c>
      <c r="B8289" s="432">
        <v>1850.61</v>
      </c>
      <c r="C8289" s="427">
        <f t="shared" si="258"/>
        <v>2014</v>
      </c>
      <c r="D8289" s="433">
        <f t="shared" si="259"/>
        <v>1850.61</v>
      </c>
    </row>
    <row r="8290" spans="1:4" ht="16.149999999999999" customHeight="1" x14ac:dyDescent="0.25">
      <c r="A8290" s="431">
        <v>41850</v>
      </c>
      <c r="B8290" s="434">
        <v>1853.3</v>
      </c>
      <c r="C8290" s="427">
        <f t="shared" si="258"/>
        <v>2014</v>
      </c>
      <c r="D8290" s="433">
        <f t="shared" si="259"/>
        <v>1853.3</v>
      </c>
    </row>
    <row r="8291" spans="1:4" ht="16.149999999999999" customHeight="1" x14ac:dyDescent="0.25">
      <c r="A8291" s="431">
        <v>41851</v>
      </c>
      <c r="B8291" s="432">
        <v>1872.43</v>
      </c>
      <c r="C8291" s="427">
        <f t="shared" si="258"/>
        <v>2014</v>
      </c>
      <c r="D8291" s="433">
        <f t="shared" si="259"/>
        <v>1872.43</v>
      </c>
    </row>
    <row r="8292" spans="1:4" ht="16.149999999999999" customHeight="1" x14ac:dyDescent="0.25">
      <c r="A8292" s="431">
        <v>41852</v>
      </c>
      <c r="B8292" s="434">
        <v>1878.75</v>
      </c>
      <c r="C8292" s="427">
        <f t="shared" si="258"/>
        <v>2014</v>
      </c>
      <c r="D8292" s="433">
        <f t="shared" si="259"/>
        <v>1878.75</v>
      </c>
    </row>
    <row r="8293" spans="1:4" ht="16.149999999999999" customHeight="1" x14ac:dyDescent="0.25">
      <c r="A8293" s="431">
        <v>41853</v>
      </c>
      <c r="B8293" s="432">
        <v>1873.65</v>
      </c>
      <c r="C8293" s="427">
        <f t="shared" si="258"/>
        <v>2014</v>
      </c>
      <c r="D8293" s="433">
        <f t="shared" si="259"/>
        <v>1873.65</v>
      </c>
    </row>
    <row r="8294" spans="1:4" ht="16.149999999999999" customHeight="1" x14ac:dyDescent="0.25">
      <c r="A8294" s="431">
        <v>41854</v>
      </c>
      <c r="B8294" s="434">
        <v>1873.65</v>
      </c>
      <c r="C8294" s="427">
        <f t="shared" si="258"/>
        <v>2014</v>
      </c>
      <c r="D8294" s="433">
        <f t="shared" si="259"/>
        <v>1873.65</v>
      </c>
    </row>
    <row r="8295" spans="1:4" ht="16.149999999999999" customHeight="1" x14ac:dyDescent="0.25">
      <c r="A8295" s="431">
        <v>41855</v>
      </c>
      <c r="B8295" s="432">
        <v>1873.65</v>
      </c>
      <c r="C8295" s="427">
        <f t="shared" si="258"/>
        <v>2014</v>
      </c>
      <c r="D8295" s="433">
        <f t="shared" si="259"/>
        <v>1873.65</v>
      </c>
    </row>
    <row r="8296" spans="1:4" ht="16.149999999999999" customHeight="1" x14ac:dyDescent="0.25">
      <c r="A8296" s="431">
        <v>41856</v>
      </c>
      <c r="B8296" s="434">
        <v>1878.68</v>
      </c>
      <c r="C8296" s="427">
        <f t="shared" si="258"/>
        <v>2014</v>
      </c>
      <c r="D8296" s="433">
        <f t="shared" si="259"/>
        <v>1878.68</v>
      </c>
    </row>
    <row r="8297" spans="1:4" ht="16.149999999999999" customHeight="1" x14ac:dyDescent="0.25">
      <c r="A8297" s="431">
        <v>41857</v>
      </c>
      <c r="B8297" s="432">
        <v>1892.35</v>
      </c>
      <c r="C8297" s="427">
        <f t="shared" si="258"/>
        <v>2014</v>
      </c>
      <c r="D8297" s="433">
        <f t="shared" si="259"/>
        <v>1892.35</v>
      </c>
    </row>
    <row r="8298" spans="1:4" ht="16.149999999999999" customHeight="1" x14ac:dyDescent="0.25">
      <c r="A8298" s="431">
        <v>41858</v>
      </c>
      <c r="B8298" s="434">
        <v>1888.51</v>
      </c>
      <c r="C8298" s="427">
        <f t="shared" si="258"/>
        <v>2014</v>
      </c>
      <c r="D8298" s="433">
        <f t="shared" si="259"/>
        <v>1888.51</v>
      </c>
    </row>
    <row r="8299" spans="1:4" ht="16.149999999999999" customHeight="1" x14ac:dyDescent="0.25">
      <c r="A8299" s="431">
        <v>41859</v>
      </c>
      <c r="B8299" s="432">
        <v>1888.51</v>
      </c>
      <c r="C8299" s="427">
        <f t="shared" si="258"/>
        <v>2014</v>
      </c>
      <c r="D8299" s="433">
        <f t="shared" si="259"/>
        <v>1888.51</v>
      </c>
    </row>
    <row r="8300" spans="1:4" ht="16.149999999999999" customHeight="1" x14ac:dyDescent="0.25">
      <c r="A8300" s="431">
        <v>41860</v>
      </c>
      <c r="B8300" s="434">
        <v>1891.59</v>
      </c>
      <c r="C8300" s="427">
        <f t="shared" si="258"/>
        <v>2014</v>
      </c>
      <c r="D8300" s="433">
        <f t="shared" si="259"/>
        <v>1891.59</v>
      </c>
    </row>
    <row r="8301" spans="1:4" ht="16.149999999999999" customHeight="1" x14ac:dyDescent="0.25">
      <c r="A8301" s="431">
        <v>41861</v>
      </c>
      <c r="B8301" s="432">
        <v>1891.59</v>
      </c>
      <c r="C8301" s="427">
        <f t="shared" si="258"/>
        <v>2014</v>
      </c>
      <c r="D8301" s="433">
        <f t="shared" si="259"/>
        <v>1891.59</v>
      </c>
    </row>
    <row r="8302" spans="1:4" ht="16.149999999999999" customHeight="1" x14ac:dyDescent="0.25">
      <c r="A8302" s="431">
        <v>41862</v>
      </c>
      <c r="B8302" s="434">
        <v>1891.59</v>
      </c>
      <c r="C8302" s="427">
        <f t="shared" si="258"/>
        <v>2014</v>
      </c>
      <c r="D8302" s="433">
        <f t="shared" si="259"/>
        <v>1891.59</v>
      </c>
    </row>
    <row r="8303" spans="1:4" ht="16.149999999999999" customHeight="1" x14ac:dyDescent="0.25">
      <c r="A8303" s="431">
        <v>41863</v>
      </c>
      <c r="B8303" s="432">
        <v>1881.62</v>
      </c>
      <c r="C8303" s="427">
        <f t="shared" si="258"/>
        <v>2014</v>
      </c>
      <c r="D8303" s="433">
        <f t="shared" si="259"/>
        <v>1881.62</v>
      </c>
    </row>
    <row r="8304" spans="1:4" ht="16.149999999999999" customHeight="1" x14ac:dyDescent="0.25">
      <c r="A8304" s="431">
        <v>41864</v>
      </c>
      <c r="B8304" s="434">
        <v>1877.4</v>
      </c>
      <c r="C8304" s="427">
        <f t="shared" si="258"/>
        <v>2014</v>
      </c>
      <c r="D8304" s="433">
        <f t="shared" si="259"/>
        <v>1877.4</v>
      </c>
    </row>
    <row r="8305" spans="1:4" ht="16.149999999999999" customHeight="1" x14ac:dyDescent="0.25">
      <c r="A8305" s="431">
        <v>41865</v>
      </c>
      <c r="B8305" s="432">
        <v>1883.33</v>
      </c>
      <c r="C8305" s="427">
        <f t="shared" si="258"/>
        <v>2014</v>
      </c>
      <c r="D8305" s="433">
        <f t="shared" si="259"/>
        <v>1883.33</v>
      </c>
    </row>
    <row r="8306" spans="1:4" ht="16.149999999999999" customHeight="1" x14ac:dyDescent="0.25">
      <c r="A8306" s="431">
        <v>41866</v>
      </c>
      <c r="B8306" s="434">
        <v>1877.77</v>
      </c>
      <c r="C8306" s="427">
        <f t="shared" si="258"/>
        <v>2014</v>
      </c>
      <c r="D8306" s="433">
        <f t="shared" si="259"/>
        <v>1877.77</v>
      </c>
    </row>
    <row r="8307" spans="1:4" ht="16.149999999999999" customHeight="1" x14ac:dyDescent="0.25">
      <c r="A8307" s="431">
        <v>41867</v>
      </c>
      <c r="B8307" s="432">
        <v>1884.81</v>
      </c>
      <c r="C8307" s="427">
        <f t="shared" si="258"/>
        <v>2014</v>
      </c>
      <c r="D8307" s="433">
        <f t="shared" si="259"/>
        <v>1884.81</v>
      </c>
    </row>
    <row r="8308" spans="1:4" ht="16.149999999999999" customHeight="1" x14ac:dyDescent="0.25">
      <c r="A8308" s="431">
        <v>41868</v>
      </c>
      <c r="B8308" s="434">
        <v>1884.81</v>
      </c>
      <c r="C8308" s="427">
        <f t="shared" si="258"/>
        <v>2014</v>
      </c>
      <c r="D8308" s="433">
        <f t="shared" si="259"/>
        <v>1884.81</v>
      </c>
    </row>
    <row r="8309" spans="1:4" ht="16.149999999999999" customHeight="1" x14ac:dyDescent="0.25">
      <c r="A8309" s="431">
        <v>41869</v>
      </c>
      <c r="B8309" s="432">
        <v>1884.81</v>
      </c>
      <c r="C8309" s="427">
        <f t="shared" si="258"/>
        <v>2014</v>
      </c>
      <c r="D8309" s="433">
        <f t="shared" si="259"/>
        <v>1884.81</v>
      </c>
    </row>
    <row r="8310" spans="1:4" ht="16.149999999999999" customHeight="1" x14ac:dyDescent="0.25">
      <c r="A8310" s="431">
        <v>41870</v>
      </c>
      <c r="B8310" s="434">
        <v>1884.81</v>
      </c>
      <c r="C8310" s="427">
        <f t="shared" si="258"/>
        <v>2014</v>
      </c>
      <c r="D8310" s="433">
        <f t="shared" si="259"/>
        <v>1884.81</v>
      </c>
    </row>
    <row r="8311" spans="1:4" ht="16.149999999999999" customHeight="1" x14ac:dyDescent="0.25">
      <c r="A8311" s="431">
        <v>41871</v>
      </c>
      <c r="B8311" s="432">
        <v>1894.27</v>
      </c>
      <c r="C8311" s="427">
        <f t="shared" si="258"/>
        <v>2014</v>
      </c>
      <c r="D8311" s="433">
        <f t="shared" si="259"/>
        <v>1894.27</v>
      </c>
    </row>
    <row r="8312" spans="1:4" ht="16.149999999999999" customHeight="1" x14ac:dyDescent="0.25">
      <c r="A8312" s="431">
        <v>41872</v>
      </c>
      <c r="B8312" s="434">
        <v>1912.43</v>
      </c>
      <c r="C8312" s="427">
        <f t="shared" si="258"/>
        <v>2014</v>
      </c>
      <c r="D8312" s="433">
        <f t="shared" si="259"/>
        <v>1912.43</v>
      </c>
    </row>
    <row r="8313" spans="1:4" ht="16.149999999999999" customHeight="1" x14ac:dyDescent="0.25">
      <c r="A8313" s="431">
        <v>41873</v>
      </c>
      <c r="B8313" s="432">
        <v>1919.84</v>
      </c>
      <c r="C8313" s="427">
        <f t="shared" si="258"/>
        <v>2014</v>
      </c>
      <c r="D8313" s="433">
        <f t="shared" si="259"/>
        <v>1919.84</v>
      </c>
    </row>
    <row r="8314" spans="1:4" ht="16.149999999999999" customHeight="1" x14ac:dyDescent="0.25">
      <c r="A8314" s="431">
        <v>41874</v>
      </c>
      <c r="B8314" s="434">
        <v>1924.4</v>
      </c>
      <c r="C8314" s="427">
        <f t="shared" si="258"/>
        <v>2014</v>
      </c>
      <c r="D8314" s="433">
        <f t="shared" si="259"/>
        <v>1924.4</v>
      </c>
    </row>
    <row r="8315" spans="1:4" ht="16.149999999999999" customHeight="1" x14ac:dyDescent="0.25">
      <c r="A8315" s="431">
        <v>41875</v>
      </c>
      <c r="B8315" s="432">
        <v>1924.4</v>
      </c>
      <c r="C8315" s="427">
        <f t="shared" si="258"/>
        <v>2014</v>
      </c>
      <c r="D8315" s="433">
        <f t="shared" si="259"/>
        <v>1924.4</v>
      </c>
    </row>
    <row r="8316" spans="1:4" ht="16.149999999999999" customHeight="1" x14ac:dyDescent="0.25">
      <c r="A8316" s="431">
        <v>41876</v>
      </c>
      <c r="B8316" s="434">
        <v>1924.4</v>
      </c>
      <c r="C8316" s="427">
        <f t="shared" si="258"/>
        <v>2014</v>
      </c>
      <c r="D8316" s="433">
        <f t="shared" si="259"/>
        <v>1924.4</v>
      </c>
    </row>
    <row r="8317" spans="1:4" ht="16.149999999999999" customHeight="1" x14ac:dyDescent="0.25">
      <c r="A8317" s="431">
        <v>41877</v>
      </c>
      <c r="B8317" s="432">
        <v>1932.39</v>
      </c>
      <c r="C8317" s="427">
        <f t="shared" si="258"/>
        <v>2014</v>
      </c>
      <c r="D8317" s="433">
        <f t="shared" si="259"/>
        <v>1932.39</v>
      </c>
    </row>
    <row r="8318" spans="1:4" ht="16.149999999999999" customHeight="1" x14ac:dyDescent="0.25">
      <c r="A8318" s="431">
        <v>41878</v>
      </c>
      <c r="B8318" s="434">
        <v>1928.67</v>
      </c>
      <c r="C8318" s="427">
        <f t="shared" si="258"/>
        <v>2014</v>
      </c>
      <c r="D8318" s="433">
        <f t="shared" si="259"/>
        <v>1928.67</v>
      </c>
    </row>
    <row r="8319" spans="1:4" ht="16.149999999999999" customHeight="1" x14ac:dyDescent="0.25">
      <c r="A8319" s="431">
        <v>41879</v>
      </c>
      <c r="B8319" s="432">
        <v>1926.92</v>
      </c>
      <c r="C8319" s="427">
        <f t="shared" si="258"/>
        <v>2014</v>
      </c>
      <c r="D8319" s="433">
        <f t="shared" si="259"/>
        <v>1926.92</v>
      </c>
    </row>
    <row r="8320" spans="1:4" ht="16.149999999999999" customHeight="1" x14ac:dyDescent="0.25">
      <c r="A8320" s="431">
        <v>41880</v>
      </c>
      <c r="B8320" s="434">
        <v>1935.04</v>
      </c>
      <c r="C8320" s="427">
        <f t="shared" si="258"/>
        <v>2014</v>
      </c>
      <c r="D8320" s="433">
        <f t="shared" si="259"/>
        <v>1935.04</v>
      </c>
    </row>
    <row r="8321" spans="1:4" ht="16.149999999999999" customHeight="1" x14ac:dyDescent="0.25">
      <c r="A8321" s="431">
        <v>41881</v>
      </c>
      <c r="B8321" s="432">
        <v>1918.62</v>
      </c>
      <c r="C8321" s="427">
        <f t="shared" si="258"/>
        <v>2014</v>
      </c>
      <c r="D8321" s="433">
        <f t="shared" si="259"/>
        <v>1918.62</v>
      </c>
    </row>
    <row r="8322" spans="1:4" ht="16.149999999999999" customHeight="1" x14ac:dyDescent="0.25">
      <c r="A8322" s="431">
        <v>41882</v>
      </c>
      <c r="B8322" s="434">
        <v>1918.62</v>
      </c>
      <c r="C8322" s="427">
        <f t="shared" si="258"/>
        <v>2014</v>
      </c>
      <c r="D8322" s="433">
        <f t="shared" si="259"/>
        <v>1918.62</v>
      </c>
    </row>
    <row r="8323" spans="1:4" ht="16.149999999999999" customHeight="1" x14ac:dyDescent="0.25">
      <c r="A8323" s="431">
        <v>41883</v>
      </c>
      <c r="B8323" s="432">
        <v>1918.62</v>
      </c>
      <c r="C8323" s="427">
        <f t="shared" si="258"/>
        <v>2014</v>
      </c>
      <c r="D8323" s="433">
        <f t="shared" si="259"/>
        <v>1918.62</v>
      </c>
    </row>
    <row r="8324" spans="1:4" ht="16.149999999999999" customHeight="1" x14ac:dyDescent="0.25">
      <c r="A8324" s="431">
        <v>41884</v>
      </c>
      <c r="B8324" s="434">
        <v>1918.62</v>
      </c>
      <c r="C8324" s="427">
        <f t="shared" si="258"/>
        <v>2014</v>
      </c>
      <c r="D8324" s="433">
        <f t="shared" si="259"/>
        <v>1918.62</v>
      </c>
    </row>
    <row r="8325" spans="1:4" ht="16.149999999999999" customHeight="1" x14ac:dyDescent="0.25">
      <c r="A8325" s="431">
        <v>41885</v>
      </c>
      <c r="B8325" s="432">
        <v>1931.49</v>
      </c>
      <c r="C8325" s="427">
        <f t="shared" si="258"/>
        <v>2014</v>
      </c>
      <c r="D8325" s="433">
        <f t="shared" si="259"/>
        <v>1931.49</v>
      </c>
    </row>
    <row r="8326" spans="1:4" ht="16.149999999999999" customHeight="1" x14ac:dyDescent="0.25">
      <c r="A8326" s="431">
        <v>41886</v>
      </c>
      <c r="B8326" s="434">
        <v>1924.67</v>
      </c>
      <c r="C8326" s="427">
        <f t="shared" si="258"/>
        <v>2014</v>
      </c>
      <c r="D8326" s="433">
        <f t="shared" si="259"/>
        <v>1924.67</v>
      </c>
    </row>
    <row r="8327" spans="1:4" ht="16.149999999999999" customHeight="1" x14ac:dyDescent="0.25">
      <c r="A8327" s="431">
        <v>41887</v>
      </c>
      <c r="B8327" s="432">
        <v>1931.45</v>
      </c>
      <c r="C8327" s="427">
        <f t="shared" si="258"/>
        <v>2014</v>
      </c>
      <c r="D8327" s="433">
        <f t="shared" si="259"/>
        <v>1931.45</v>
      </c>
    </row>
    <row r="8328" spans="1:4" ht="16.149999999999999" customHeight="1" x14ac:dyDescent="0.25">
      <c r="A8328" s="431">
        <v>41888</v>
      </c>
      <c r="B8328" s="434">
        <v>1935.25</v>
      </c>
      <c r="C8328" s="427">
        <f t="shared" si="258"/>
        <v>2014</v>
      </c>
      <c r="D8328" s="433">
        <f t="shared" si="259"/>
        <v>1935.25</v>
      </c>
    </row>
    <row r="8329" spans="1:4" ht="16.149999999999999" customHeight="1" x14ac:dyDescent="0.25">
      <c r="A8329" s="431">
        <v>41889</v>
      </c>
      <c r="B8329" s="432">
        <v>1935.25</v>
      </c>
      <c r="C8329" s="427">
        <f t="shared" si="258"/>
        <v>2014</v>
      </c>
      <c r="D8329" s="433">
        <f t="shared" si="259"/>
        <v>1935.25</v>
      </c>
    </row>
    <row r="8330" spans="1:4" ht="16.149999999999999" customHeight="1" x14ac:dyDescent="0.25">
      <c r="A8330" s="431">
        <v>41890</v>
      </c>
      <c r="B8330" s="434">
        <v>1935.25</v>
      </c>
      <c r="C8330" s="427">
        <f t="shared" ref="C8330:C8393" si="260">YEAR(A8330)</f>
        <v>2014</v>
      </c>
      <c r="D8330" s="433">
        <f t="shared" ref="D8330:D8393" si="261">B8330</f>
        <v>1935.25</v>
      </c>
    </row>
    <row r="8331" spans="1:4" ht="16.149999999999999" customHeight="1" x14ac:dyDescent="0.25">
      <c r="A8331" s="431">
        <v>41891</v>
      </c>
      <c r="B8331" s="432">
        <v>1942.03</v>
      </c>
      <c r="C8331" s="427">
        <f t="shared" si="260"/>
        <v>2014</v>
      </c>
      <c r="D8331" s="433">
        <f t="shared" si="261"/>
        <v>1942.03</v>
      </c>
    </row>
    <row r="8332" spans="1:4" ht="16.149999999999999" customHeight="1" x14ac:dyDescent="0.25">
      <c r="A8332" s="431">
        <v>41892</v>
      </c>
      <c r="B8332" s="434">
        <v>1962.84</v>
      </c>
      <c r="C8332" s="427">
        <f t="shared" si="260"/>
        <v>2014</v>
      </c>
      <c r="D8332" s="433">
        <f t="shared" si="261"/>
        <v>1962.84</v>
      </c>
    </row>
    <row r="8333" spans="1:4" ht="16.149999999999999" customHeight="1" x14ac:dyDescent="0.25">
      <c r="A8333" s="431">
        <v>41893</v>
      </c>
      <c r="B8333" s="432">
        <v>1975.82</v>
      </c>
      <c r="C8333" s="427">
        <f t="shared" si="260"/>
        <v>2014</v>
      </c>
      <c r="D8333" s="433">
        <f t="shared" si="261"/>
        <v>1975.82</v>
      </c>
    </row>
    <row r="8334" spans="1:4" ht="16.149999999999999" customHeight="1" x14ac:dyDescent="0.25">
      <c r="A8334" s="431">
        <v>41894</v>
      </c>
      <c r="B8334" s="434">
        <v>1979.97</v>
      </c>
      <c r="C8334" s="427">
        <f t="shared" si="260"/>
        <v>2014</v>
      </c>
      <c r="D8334" s="433">
        <f t="shared" si="261"/>
        <v>1979.97</v>
      </c>
    </row>
    <row r="8335" spans="1:4" ht="16.149999999999999" customHeight="1" x14ac:dyDescent="0.25">
      <c r="A8335" s="431">
        <v>41895</v>
      </c>
      <c r="B8335" s="432">
        <v>1994.97</v>
      </c>
      <c r="C8335" s="427">
        <f t="shared" si="260"/>
        <v>2014</v>
      </c>
      <c r="D8335" s="433">
        <f t="shared" si="261"/>
        <v>1994.97</v>
      </c>
    </row>
    <row r="8336" spans="1:4" ht="16.149999999999999" customHeight="1" x14ac:dyDescent="0.25">
      <c r="A8336" s="431">
        <v>41896</v>
      </c>
      <c r="B8336" s="434">
        <v>1994.97</v>
      </c>
      <c r="C8336" s="427">
        <f t="shared" si="260"/>
        <v>2014</v>
      </c>
      <c r="D8336" s="433">
        <f t="shared" si="261"/>
        <v>1994.97</v>
      </c>
    </row>
    <row r="8337" spans="1:4" ht="16.149999999999999" customHeight="1" x14ac:dyDescent="0.25">
      <c r="A8337" s="431">
        <v>41897</v>
      </c>
      <c r="B8337" s="432">
        <v>1994.97</v>
      </c>
      <c r="C8337" s="427">
        <f t="shared" si="260"/>
        <v>2014</v>
      </c>
      <c r="D8337" s="433">
        <f t="shared" si="261"/>
        <v>1994.97</v>
      </c>
    </row>
    <row r="8338" spans="1:4" ht="16.149999999999999" customHeight="1" x14ac:dyDescent="0.25">
      <c r="A8338" s="431">
        <v>41898</v>
      </c>
      <c r="B8338" s="434">
        <v>1987.71</v>
      </c>
      <c r="C8338" s="427">
        <f t="shared" si="260"/>
        <v>2014</v>
      </c>
      <c r="D8338" s="433">
        <f t="shared" si="261"/>
        <v>1987.71</v>
      </c>
    </row>
    <row r="8339" spans="1:4" ht="16.149999999999999" customHeight="1" x14ac:dyDescent="0.25">
      <c r="A8339" s="431">
        <v>41899</v>
      </c>
      <c r="B8339" s="432">
        <v>1978.08</v>
      </c>
      <c r="C8339" s="427">
        <f t="shared" si="260"/>
        <v>2014</v>
      </c>
      <c r="D8339" s="433">
        <f t="shared" si="261"/>
        <v>1978.08</v>
      </c>
    </row>
    <row r="8340" spans="1:4" ht="16.149999999999999" customHeight="1" x14ac:dyDescent="0.25">
      <c r="A8340" s="431">
        <v>41900</v>
      </c>
      <c r="B8340" s="434">
        <v>1975.47</v>
      </c>
      <c r="C8340" s="427">
        <f t="shared" si="260"/>
        <v>2014</v>
      </c>
      <c r="D8340" s="433">
        <f t="shared" si="261"/>
        <v>1975.47</v>
      </c>
    </row>
    <row r="8341" spans="1:4" ht="16.149999999999999" customHeight="1" x14ac:dyDescent="0.25">
      <c r="A8341" s="431">
        <v>41901</v>
      </c>
      <c r="B8341" s="432">
        <v>1975.42</v>
      </c>
      <c r="C8341" s="427">
        <f t="shared" si="260"/>
        <v>2014</v>
      </c>
      <c r="D8341" s="433">
        <f t="shared" si="261"/>
        <v>1975.42</v>
      </c>
    </row>
    <row r="8342" spans="1:4" ht="16.149999999999999" customHeight="1" x14ac:dyDescent="0.25">
      <c r="A8342" s="431">
        <v>41902</v>
      </c>
      <c r="B8342" s="434">
        <v>1966.89</v>
      </c>
      <c r="C8342" s="427">
        <f t="shared" si="260"/>
        <v>2014</v>
      </c>
      <c r="D8342" s="433">
        <f t="shared" si="261"/>
        <v>1966.89</v>
      </c>
    </row>
    <row r="8343" spans="1:4" ht="16.149999999999999" customHeight="1" x14ac:dyDescent="0.25">
      <c r="A8343" s="431">
        <v>41903</v>
      </c>
      <c r="B8343" s="432">
        <v>1966.89</v>
      </c>
      <c r="C8343" s="427">
        <f t="shared" si="260"/>
        <v>2014</v>
      </c>
      <c r="D8343" s="433">
        <f t="shared" si="261"/>
        <v>1966.89</v>
      </c>
    </row>
    <row r="8344" spans="1:4" ht="16.149999999999999" customHeight="1" x14ac:dyDescent="0.25">
      <c r="A8344" s="431">
        <v>41904</v>
      </c>
      <c r="B8344" s="434">
        <v>1966.89</v>
      </c>
      <c r="C8344" s="427">
        <f t="shared" si="260"/>
        <v>2014</v>
      </c>
      <c r="D8344" s="433">
        <f t="shared" si="261"/>
        <v>1966.89</v>
      </c>
    </row>
    <row r="8345" spans="1:4" ht="16.149999999999999" customHeight="1" x14ac:dyDescent="0.25">
      <c r="A8345" s="431">
        <v>41905</v>
      </c>
      <c r="B8345" s="432">
        <v>1992.68</v>
      </c>
      <c r="C8345" s="427">
        <f t="shared" si="260"/>
        <v>2014</v>
      </c>
      <c r="D8345" s="433">
        <f t="shared" si="261"/>
        <v>1992.68</v>
      </c>
    </row>
    <row r="8346" spans="1:4" ht="16.149999999999999" customHeight="1" x14ac:dyDescent="0.25">
      <c r="A8346" s="431">
        <v>41906</v>
      </c>
      <c r="B8346" s="434">
        <v>1997.91</v>
      </c>
      <c r="C8346" s="427">
        <f t="shared" si="260"/>
        <v>2014</v>
      </c>
      <c r="D8346" s="433">
        <f t="shared" si="261"/>
        <v>1997.91</v>
      </c>
    </row>
    <row r="8347" spans="1:4" ht="16.149999999999999" customHeight="1" x14ac:dyDescent="0.25">
      <c r="A8347" s="431">
        <v>41907</v>
      </c>
      <c r="B8347" s="432">
        <v>2007.48</v>
      </c>
      <c r="C8347" s="427">
        <f t="shared" si="260"/>
        <v>2014</v>
      </c>
      <c r="D8347" s="433">
        <f t="shared" si="261"/>
        <v>2007.48</v>
      </c>
    </row>
    <row r="8348" spans="1:4" ht="16.149999999999999" customHeight="1" x14ac:dyDescent="0.25">
      <c r="A8348" s="431">
        <v>41908</v>
      </c>
      <c r="B8348" s="434">
        <v>2019.76</v>
      </c>
      <c r="C8348" s="427">
        <f t="shared" si="260"/>
        <v>2014</v>
      </c>
      <c r="D8348" s="433">
        <f t="shared" si="261"/>
        <v>2019.76</v>
      </c>
    </row>
    <row r="8349" spans="1:4" ht="16.149999999999999" customHeight="1" x14ac:dyDescent="0.25">
      <c r="A8349" s="431">
        <v>41909</v>
      </c>
      <c r="B8349" s="432">
        <v>2023.89</v>
      </c>
      <c r="C8349" s="427">
        <f t="shared" si="260"/>
        <v>2014</v>
      </c>
      <c r="D8349" s="433">
        <f t="shared" si="261"/>
        <v>2023.89</v>
      </c>
    </row>
    <row r="8350" spans="1:4" ht="16.149999999999999" customHeight="1" x14ac:dyDescent="0.25">
      <c r="A8350" s="431">
        <v>41910</v>
      </c>
      <c r="B8350" s="434">
        <v>2023.89</v>
      </c>
      <c r="C8350" s="427">
        <f t="shared" si="260"/>
        <v>2014</v>
      </c>
      <c r="D8350" s="433">
        <f t="shared" si="261"/>
        <v>2023.89</v>
      </c>
    </row>
    <row r="8351" spans="1:4" ht="16.149999999999999" customHeight="1" x14ac:dyDescent="0.25">
      <c r="A8351" s="431">
        <v>41911</v>
      </c>
      <c r="B8351" s="432">
        <v>2023.89</v>
      </c>
      <c r="C8351" s="427">
        <f t="shared" si="260"/>
        <v>2014</v>
      </c>
      <c r="D8351" s="433">
        <f t="shared" si="261"/>
        <v>2023.89</v>
      </c>
    </row>
    <row r="8352" spans="1:4" ht="16.149999999999999" customHeight="1" x14ac:dyDescent="0.25">
      <c r="A8352" s="431">
        <v>41912</v>
      </c>
      <c r="B8352" s="434">
        <v>2028.48</v>
      </c>
      <c r="C8352" s="427">
        <f t="shared" si="260"/>
        <v>2014</v>
      </c>
      <c r="D8352" s="433">
        <f t="shared" si="261"/>
        <v>2028.48</v>
      </c>
    </row>
    <row r="8353" spans="1:4" ht="16.149999999999999" customHeight="1" x14ac:dyDescent="0.25">
      <c r="A8353" s="431">
        <v>41913</v>
      </c>
      <c r="B8353" s="432">
        <v>2022</v>
      </c>
      <c r="C8353" s="427">
        <f t="shared" si="260"/>
        <v>2014</v>
      </c>
      <c r="D8353" s="433">
        <f t="shared" si="261"/>
        <v>2022</v>
      </c>
    </row>
    <row r="8354" spans="1:4" ht="16.149999999999999" customHeight="1" x14ac:dyDescent="0.25">
      <c r="A8354" s="431">
        <v>41914</v>
      </c>
      <c r="B8354" s="434">
        <v>2025.75</v>
      </c>
      <c r="C8354" s="427">
        <f t="shared" si="260"/>
        <v>2014</v>
      </c>
      <c r="D8354" s="433">
        <f t="shared" si="261"/>
        <v>2025.75</v>
      </c>
    </row>
    <row r="8355" spans="1:4" ht="16.149999999999999" customHeight="1" x14ac:dyDescent="0.25">
      <c r="A8355" s="431">
        <v>41915</v>
      </c>
      <c r="B8355" s="432">
        <v>2021.49</v>
      </c>
      <c r="C8355" s="427">
        <f t="shared" si="260"/>
        <v>2014</v>
      </c>
      <c r="D8355" s="433">
        <f t="shared" si="261"/>
        <v>2021.49</v>
      </c>
    </row>
    <row r="8356" spans="1:4" ht="16.149999999999999" customHeight="1" x14ac:dyDescent="0.25">
      <c r="A8356" s="431">
        <v>41916</v>
      </c>
      <c r="B8356" s="434">
        <v>2026.2</v>
      </c>
      <c r="C8356" s="427">
        <f t="shared" si="260"/>
        <v>2014</v>
      </c>
      <c r="D8356" s="433">
        <f t="shared" si="261"/>
        <v>2026.2</v>
      </c>
    </row>
    <row r="8357" spans="1:4" ht="16.149999999999999" customHeight="1" x14ac:dyDescent="0.25">
      <c r="A8357" s="431">
        <v>41917</v>
      </c>
      <c r="B8357" s="432">
        <v>2026.2</v>
      </c>
      <c r="C8357" s="427">
        <f t="shared" si="260"/>
        <v>2014</v>
      </c>
      <c r="D8357" s="433">
        <f t="shared" si="261"/>
        <v>2026.2</v>
      </c>
    </row>
    <row r="8358" spans="1:4" ht="16.149999999999999" customHeight="1" x14ac:dyDescent="0.25">
      <c r="A8358" s="431">
        <v>41918</v>
      </c>
      <c r="B8358" s="434">
        <v>2026.2</v>
      </c>
      <c r="C8358" s="427">
        <f t="shared" si="260"/>
        <v>2014</v>
      </c>
      <c r="D8358" s="433">
        <f t="shared" si="261"/>
        <v>2026.2</v>
      </c>
    </row>
    <row r="8359" spans="1:4" ht="16.149999999999999" customHeight="1" x14ac:dyDescent="0.25">
      <c r="A8359" s="431">
        <v>41919</v>
      </c>
      <c r="B8359" s="432">
        <v>2028.03</v>
      </c>
      <c r="C8359" s="427">
        <f t="shared" si="260"/>
        <v>2014</v>
      </c>
      <c r="D8359" s="433">
        <f t="shared" si="261"/>
        <v>2028.03</v>
      </c>
    </row>
    <row r="8360" spans="1:4" ht="16.149999999999999" customHeight="1" x14ac:dyDescent="0.25">
      <c r="A8360" s="431">
        <v>41920</v>
      </c>
      <c r="B8360" s="434">
        <v>2026.9</v>
      </c>
      <c r="C8360" s="427">
        <f t="shared" si="260"/>
        <v>2014</v>
      </c>
      <c r="D8360" s="433">
        <f t="shared" si="261"/>
        <v>2026.9</v>
      </c>
    </row>
    <row r="8361" spans="1:4" ht="16.149999999999999" customHeight="1" x14ac:dyDescent="0.25">
      <c r="A8361" s="431">
        <v>41921</v>
      </c>
      <c r="B8361" s="432">
        <v>2040.31</v>
      </c>
      <c r="C8361" s="427">
        <f t="shared" si="260"/>
        <v>2014</v>
      </c>
      <c r="D8361" s="433">
        <f t="shared" si="261"/>
        <v>2040.31</v>
      </c>
    </row>
    <row r="8362" spans="1:4" ht="16.149999999999999" customHeight="1" x14ac:dyDescent="0.25">
      <c r="A8362" s="431">
        <v>41922</v>
      </c>
      <c r="B8362" s="434">
        <v>2041.71</v>
      </c>
      <c r="C8362" s="427">
        <f t="shared" si="260"/>
        <v>2014</v>
      </c>
      <c r="D8362" s="433">
        <f t="shared" si="261"/>
        <v>2041.71</v>
      </c>
    </row>
    <row r="8363" spans="1:4" ht="16.149999999999999" customHeight="1" x14ac:dyDescent="0.25">
      <c r="A8363" s="431">
        <v>41923</v>
      </c>
      <c r="B8363" s="432">
        <v>2052.96</v>
      </c>
      <c r="C8363" s="427">
        <f t="shared" si="260"/>
        <v>2014</v>
      </c>
      <c r="D8363" s="433">
        <f t="shared" si="261"/>
        <v>2052.96</v>
      </c>
    </row>
    <row r="8364" spans="1:4" ht="16.149999999999999" customHeight="1" x14ac:dyDescent="0.25">
      <c r="A8364" s="431">
        <v>41924</v>
      </c>
      <c r="B8364" s="434">
        <v>2052.96</v>
      </c>
      <c r="C8364" s="427">
        <f t="shared" si="260"/>
        <v>2014</v>
      </c>
      <c r="D8364" s="433">
        <f t="shared" si="261"/>
        <v>2052.96</v>
      </c>
    </row>
    <row r="8365" spans="1:4" ht="16.149999999999999" customHeight="1" x14ac:dyDescent="0.25">
      <c r="A8365" s="431">
        <v>41925</v>
      </c>
      <c r="B8365" s="432">
        <v>2052.96</v>
      </c>
      <c r="C8365" s="427">
        <f t="shared" si="260"/>
        <v>2014</v>
      </c>
      <c r="D8365" s="433">
        <f t="shared" si="261"/>
        <v>2052.96</v>
      </c>
    </row>
    <row r="8366" spans="1:4" ht="16.149999999999999" customHeight="1" x14ac:dyDescent="0.25">
      <c r="A8366" s="431">
        <v>41926</v>
      </c>
      <c r="B8366" s="434">
        <v>2052.96</v>
      </c>
      <c r="C8366" s="427">
        <f t="shared" si="260"/>
        <v>2014</v>
      </c>
      <c r="D8366" s="433">
        <f t="shared" si="261"/>
        <v>2052.96</v>
      </c>
    </row>
    <row r="8367" spans="1:4" ht="16.149999999999999" customHeight="1" x14ac:dyDescent="0.25">
      <c r="A8367" s="431">
        <v>41927</v>
      </c>
      <c r="B8367" s="432">
        <v>2049.66</v>
      </c>
      <c r="C8367" s="427">
        <f t="shared" si="260"/>
        <v>2014</v>
      </c>
      <c r="D8367" s="433">
        <f t="shared" si="261"/>
        <v>2049.66</v>
      </c>
    </row>
    <row r="8368" spans="1:4" ht="16.149999999999999" customHeight="1" x14ac:dyDescent="0.25">
      <c r="A8368" s="431">
        <v>41928</v>
      </c>
      <c r="B8368" s="434">
        <v>2057.6999999999998</v>
      </c>
      <c r="C8368" s="427">
        <f t="shared" si="260"/>
        <v>2014</v>
      </c>
      <c r="D8368" s="433">
        <f t="shared" si="261"/>
        <v>2057.6999999999998</v>
      </c>
    </row>
    <row r="8369" spans="1:4" ht="16.149999999999999" customHeight="1" x14ac:dyDescent="0.25">
      <c r="A8369" s="431">
        <v>41929</v>
      </c>
      <c r="B8369" s="432">
        <v>2074.4</v>
      </c>
      <c r="C8369" s="427">
        <f t="shared" si="260"/>
        <v>2014</v>
      </c>
      <c r="D8369" s="433">
        <f t="shared" si="261"/>
        <v>2074.4</v>
      </c>
    </row>
    <row r="8370" spans="1:4" ht="16.149999999999999" customHeight="1" x14ac:dyDescent="0.25">
      <c r="A8370" s="431">
        <v>41930</v>
      </c>
      <c r="B8370" s="434">
        <v>2064.4299999999998</v>
      </c>
      <c r="C8370" s="427">
        <f t="shared" si="260"/>
        <v>2014</v>
      </c>
      <c r="D8370" s="433">
        <f t="shared" si="261"/>
        <v>2064.4299999999998</v>
      </c>
    </row>
    <row r="8371" spans="1:4" ht="16.149999999999999" customHeight="1" x14ac:dyDescent="0.25">
      <c r="A8371" s="431">
        <v>41931</v>
      </c>
      <c r="B8371" s="432">
        <v>2064.4299999999998</v>
      </c>
      <c r="C8371" s="427">
        <f t="shared" si="260"/>
        <v>2014</v>
      </c>
      <c r="D8371" s="433">
        <f t="shared" si="261"/>
        <v>2064.4299999999998</v>
      </c>
    </row>
    <row r="8372" spans="1:4" ht="16.149999999999999" customHeight="1" x14ac:dyDescent="0.25">
      <c r="A8372" s="431">
        <v>41932</v>
      </c>
      <c r="B8372" s="434">
        <v>2064.4299999999998</v>
      </c>
      <c r="C8372" s="427">
        <f t="shared" si="260"/>
        <v>2014</v>
      </c>
      <c r="D8372" s="433">
        <f t="shared" si="261"/>
        <v>2064.4299999999998</v>
      </c>
    </row>
    <row r="8373" spans="1:4" ht="16.149999999999999" customHeight="1" x14ac:dyDescent="0.25">
      <c r="A8373" s="431">
        <v>41933</v>
      </c>
      <c r="B8373" s="432">
        <v>2065.8200000000002</v>
      </c>
      <c r="C8373" s="427">
        <f t="shared" si="260"/>
        <v>2014</v>
      </c>
      <c r="D8373" s="433">
        <f t="shared" si="261"/>
        <v>2065.8200000000002</v>
      </c>
    </row>
    <row r="8374" spans="1:4" ht="16.149999999999999" customHeight="1" x14ac:dyDescent="0.25">
      <c r="A8374" s="431">
        <v>41934</v>
      </c>
      <c r="B8374" s="434">
        <v>2048.44</v>
      </c>
      <c r="C8374" s="427">
        <f t="shared" si="260"/>
        <v>2014</v>
      </c>
      <c r="D8374" s="433">
        <f t="shared" si="261"/>
        <v>2048.44</v>
      </c>
    </row>
    <row r="8375" spans="1:4" ht="16.149999999999999" customHeight="1" x14ac:dyDescent="0.25">
      <c r="A8375" s="431">
        <v>41935</v>
      </c>
      <c r="B8375" s="432">
        <v>2049.9</v>
      </c>
      <c r="C8375" s="427">
        <f t="shared" si="260"/>
        <v>2014</v>
      </c>
      <c r="D8375" s="433">
        <f t="shared" si="261"/>
        <v>2049.9</v>
      </c>
    </row>
    <row r="8376" spans="1:4" ht="16.149999999999999" customHeight="1" x14ac:dyDescent="0.25">
      <c r="A8376" s="431">
        <v>41936</v>
      </c>
      <c r="B8376" s="434">
        <v>2053.39</v>
      </c>
      <c r="C8376" s="427">
        <f t="shared" si="260"/>
        <v>2014</v>
      </c>
      <c r="D8376" s="433">
        <f t="shared" si="261"/>
        <v>2053.39</v>
      </c>
    </row>
    <row r="8377" spans="1:4" ht="16.149999999999999" customHeight="1" x14ac:dyDescent="0.25">
      <c r="A8377" s="431">
        <v>41937</v>
      </c>
      <c r="B8377" s="432">
        <v>2065.38</v>
      </c>
      <c r="C8377" s="427">
        <f t="shared" si="260"/>
        <v>2014</v>
      </c>
      <c r="D8377" s="433">
        <f t="shared" si="261"/>
        <v>2065.38</v>
      </c>
    </row>
    <row r="8378" spans="1:4" ht="16.149999999999999" customHeight="1" x14ac:dyDescent="0.25">
      <c r="A8378" s="431">
        <v>41938</v>
      </c>
      <c r="B8378" s="434">
        <v>2065.38</v>
      </c>
      <c r="C8378" s="427">
        <f t="shared" si="260"/>
        <v>2014</v>
      </c>
      <c r="D8378" s="433">
        <f t="shared" si="261"/>
        <v>2065.38</v>
      </c>
    </row>
    <row r="8379" spans="1:4" ht="16.149999999999999" customHeight="1" x14ac:dyDescent="0.25">
      <c r="A8379" s="431">
        <v>41939</v>
      </c>
      <c r="B8379" s="432">
        <v>2065.38</v>
      </c>
      <c r="C8379" s="427">
        <f t="shared" si="260"/>
        <v>2014</v>
      </c>
      <c r="D8379" s="433">
        <f t="shared" si="261"/>
        <v>2065.38</v>
      </c>
    </row>
    <row r="8380" spans="1:4" ht="16.149999999999999" customHeight="1" x14ac:dyDescent="0.25">
      <c r="A8380" s="431">
        <v>41940</v>
      </c>
      <c r="B8380" s="434">
        <v>2069.7199999999998</v>
      </c>
      <c r="C8380" s="427">
        <f t="shared" si="260"/>
        <v>2014</v>
      </c>
      <c r="D8380" s="433">
        <f t="shared" si="261"/>
        <v>2069.7199999999998</v>
      </c>
    </row>
    <row r="8381" spans="1:4" ht="16.149999999999999" customHeight="1" x14ac:dyDescent="0.25">
      <c r="A8381" s="431">
        <v>41941</v>
      </c>
      <c r="B8381" s="432">
        <v>2055.4299999999998</v>
      </c>
      <c r="C8381" s="427">
        <f t="shared" si="260"/>
        <v>2014</v>
      </c>
      <c r="D8381" s="433">
        <f t="shared" si="261"/>
        <v>2055.4299999999998</v>
      </c>
    </row>
    <row r="8382" spans="1:4" ht="16.149999999999999" customHeight="1" x14ac:dyDescent="0.25">
      <c r="A8382" s="431">
        <v>41942</v>
      </c>
      <c r="B8382" s="434">
        <v>2044.55</v>
      </c>
      <c r="C8382" s="427">
        <f t="shared" si="260"/>
        <v>2014</v>
      </c>
      <c r="D8382" s="433">
        <f t="shared" si="261"/>
        <v>2044.55</v>
      </c>
    </row>
    <row r="8383" spans="1:4" ht="16.149999999999999" customHeight="1" x14ac:dyDescent="0.25">
      <c r="A8383" s="431">
        <v>41943</v>
      </c>
      <c r="B8383" s="432">
        <v>2050.52</v>
      </c>
      <c r="C8383" s="427">
        <f t="shared" si="260"/>
        <v>2014</v>
      </c>
      <c r="D8383" s="433">
        <f t="shared" si="261"/>
        <v>2050.52</v>
      </c>
    </row>
    <row r="8384" spans="1:4" ht="16.149999999999999" customHeight="1" x14ac:dyDescent="0.25">
      <c r="A8384" s="431">
        <v>41944</v>
      </c>
      <c r="B8384" s="434">
        <v>2061.92</v>
      </c>
      <c r="C8384" s="427">
        <f t="shared" si="260"/>
        <v>2014</v>
      </c>
      <c r="D8384" s="433">
        <f t="shared" si="261"/>
        <v>2061.92</v>
      </c>
    </row>
    <row r="8385" spans="1:4" ht="16.149999999999999" customHeight="1" x14ac:dyDescent="0.25">
      <c r="A8385" s="431">
        <v>41945</v>
      </c>
      <c r="B8385" s="432">
        <v>2061.92</v>
      </c>
      <c r="C8385" s="427">
        <f t="shared" si="260"/>
        <v>2014</v>
      </c>
      <c r="D8385" s="433">
        <f t="shared" si="261"/>
        <v>2061.92</v>
      </c>
    </row>
    <row r="8386" spans="1:4" ht="16.149999999999999" customHeight="1" x14ac:dyDescent="0.25">
      <c r="A8386" s="431">
        <v>41946</v>
      </c>
      <c r="B8386" s="434">
        <v>2061.92</v>
      </c>
      <c r="C8386" s="427">
        <f t="shared" si="260"/>
        <v>2014</v>
      </c>
      <c r="D8386" s="433">
        <f t="shared" si="261"/>
        <v>2061.92</v>
      </c>
    </row>
    <row r="8387" spans="1:4" ht="16.149999999999999" customHeight="1" x14ac:dyDescent="0.25">
      <c r="A8387" s="431">
        <v>41947</v>
      </c>
      <c r="B8387" s="432">
        <v>2061.92</v>
      </c>
      <c r="C8387" s="427">
        <f t="shared" si="260"/>
        <v>2014</v>
      </c>
      <c r="D8387" s="433">
        <f t="shared" si="261"/>
        <v>2061.92</v>
      </c>
    </row>
    <row r="8388" spans="1:4" ht="16.149999999999999" customHeight="1" x14ac:dyDescent="0.25">
      <c r="A8388" s="431">
        <v>41948</v>
      </c>
      <c r="B8388" s="434">
        <v>2076.9899999999998</v>
      </c>
      <c r="C8388" s="427">
        <f t="shared" si="260"/>
        <v>2014</v>
      </c>
      <c r="D8388" s="433">
        <f t="shared" si="261"/>
        <v>2076.9899999999998</v>
      </c>
    </row>
    <row r="8389" spans="1:4" ht="16.149999999999999" customHeight="1" x14ac:dyDescent="0.25">
      <c r="A8389" s="431">
        <v>41949</v>
      </c>
      <c r="B8389" s="432">
        <v>2081.2399999999998</v>
      </c>
      <c r="C8389" s="427">
        <f t="shared" si="260"/>
        <v>2014</v>
      </c>
      <c r="D8389" s="433">
        <f t="shared" si="261"/>
        <v>2081.2399999999998</v>
      </c>
    </row>
    <row r="8390" spans="1:4" ht="16.149999999999999" customHeight="1" x14ac:dyDescent="0.25">
      <c r="A8390" s="431">
        <v>41950</v>
      </c>
      <c r="B8390" s="434">
        <v>2086.86</v>
      </c>
      <c r="C8390" s="427">
        <f t="shared" si="260"/>
        <v>2014</v>
      </c>
      <c r="D8390" s="433">
        <f t="shared" si="261"/>
        <v>2086.86</v>
      </c>
    </row>
    <row r="8391" spans="1:4" ht="16.149999999999999" customHeight="1" x14ac:dyDescent="0.25">
      <c r="A8391" s="431">
        <v>41951</v>
      </c>
      <c r="B8391" s="432">
        <v>2103.25</v>
      </c>
      <c r="C8391" s="427">
        <f t="shared" si="260"/>
        <v>2014</v>
      </c>
      <c r="D8391" s="433">
        <f t="shared" si="261"/>
        <v>2103.25</v>
      </c>
    </row>
    <row r="8392" spans="1:4" ht="16.149999999999999" customHeight="1" x14ac:dyDescent="0.25">
      <c r="A8392" s="431">
        <v>41952</v>
      </c>
      <c r="B8392" s="434">
        <v>2103.25</v>
      </c>
      <c r="C8392" s="427">
        <f t="shared" si="260"/>
        <v>2014</v>
      </c>
      <c r="D8392" s="433">
        <f t="shared" si="261"/>
        <v>2103.25</v>
      </c>
    </row>
    <row r="8393" spans="1:4" ht="16.149999999999999" customHeight="1" x14ac:dyDescent="0.25">
      <c r="A8393" s="431">
        <v>41953</v>
      </c>
      <c r="B8393" s="432">
        <v>2103.25</v>
      </c>
      <c r="C8393" s="427">
        <f t="shared" si="260"/>
        <v>2014</v>
      </c>
      <c r="D8393" s="433">
        <f t="shared" si="261"/>
        <v>2103.25</v>
      </c>
    </row>
    <row r="8394" spans="1:4" ht="16.149999999999999" customHeight="1" x14ac:dyDescent="0.25">
      <c r="A8394" s="431">
        <v>41954</v>
      </c>
      <c r="B8394" s="434">
        <v>2103.12</v>
      </c>
      <c r="C8394" s="427">
        <f t="shared" ref="C8394:C8457" si="262">YEAR(A8394)</f>
        <v>2014</v>
      </c>
      <c r="D8394" s="433">
        <f t="shared" ref="D8394:D8457" si="263">B8394</f>
        <v>2103.12</v>
      </c>
    </row>
    <row r="8395" spans="1:4" ht="16.149999999999999" customHeight="1" x14ac:dyDescent="0.25">
      <c r="A8395" s="431">
        <v>41955</v>
      </c>
      <c r="B8395" s="432">
        <v>2103.12</v>
      </c>
      <c r="C8395" s="427">
        <f t="shared" si="262"/>
        <v>2014</v>
      </c>
      <c r="D8395" s="433">
        <f t="shared" si="263"/>
        <v>2103.12</v>
      </c>
    </row>
    <row r="8396" spans="1:4" ht="16.149999999999999" customHeight="1" x14ac:dyDescent="0.25">
      <c r="A8396" s="431">
        <v>41956</v>
      </c>
      <c r="B8396" s="434">
        <v>2115.59</v>
      </c>
      <c r="C8396" s="427">
        <f t="shared" si="262"/>
        <v>2014</v>
      </c>
      <c r="D8396" s="433">
        <f t="shared" si="263"/>
        <v>2115.59</v>
      </c>
    </row>
    <row r="8397" spans="1:4" ht="16.149999999999999" customHeight="1" x14ac:dyDescent="0.25">
      <c r="A8397" s="431">
        <v>41957</v>
      </c>
      <c r="B8397" s="432">
        <v>2133.0300000000002</v>
      </c>
      <c r="C8397" s="427">
        <f t="shared" si="262"/>
        <v>2014</v>
      </c>
      <c r="D8397" s="433">
        <f t="shared" si="263"/>
        <v>2133.0300000000002</v>
      </c>
    </row>
    <row r="8398" spans="1:4" ht="16.149999999999999" customHeight="1" x14ac:dyDescent="0.25">
      <c r="A8398" s="431">
        <v>41958</v>
      </c>
      <c r="B8398" s="434">
        <v>2160.4699999999998</v>
      </c>
      <c r="C8398" s="427">
        <f t="shared" si="262"/>
        <v>2014</v>
      </c>
      <c r="D8398" s="433">
        <f t="shared" si="263"/>
        <v>2160.4699999999998</v>
      </c>
    </row>
    <row r="8399" spans="1:4" ht="16.149999999999999" customHeight="1" x14ac:dyDescent="0.25">
      <c r="A8399" s="431">
        <v>41959</v>
      </c>
      <c r="B8399" s="432">
        <v>2160.4699999999998</v>
      </c>
      <c r="C8399" s="427">
        <f t="shared" si="262"/>
        <v>2014</v>
      </c>
      <c r="D8399" s="433">
        <f t="shared" si="263"/>
        <v>2160.4699999999998</v>
      </c>
    </row>
    <row r="8400" spans="1:4" ht="16.149999999999999" customHeight="1" x14ac:dyDescent="0.25">
      <c r="A8400" s="431">
        <v>41960</v>
      </c>
      <c r="B8400" s="434">
        <v>2160.4699999999998</v>
      </c>
      <c r="C8400" s="427">
        <f t="shared" si="262"/>
        <v>2014</v>
      </c>
      <c r="D8400" s="433">
        <f t="shared" si="263"/>
        <v>2160.4699999999998</v>
      </c>
    </row>
    <row r="8401" spans="1:4" ht="16.149999999999999" customHeight="1" x14ac:dyDescent="0.25">
      <c r="A8401" s="431">
        <v>41961</v>
      </c>
      <c r="B8401" s="432">
        <v>2160.4699999999998</v>
      </c>
      <c r="C8401" s="427">
        <f t="shared" si="262"/>
        <v>2014</v>
      </c>
      <c r="D8401" s="433">
        <f t="shared" si="263"/>
        <v>2160.4699999999998</v>
      </c>
    </row>
    <row r="8402" spans="1:4" ht="16.149999999999999" customHeight="1" x14ac:dyDescent="0.25">
      <c r="A8402" s="431">
        <v>41962</v>
      </c>
      <c r="B8402" s="434">
        <v>2158.58</v>
      </c>
      <c r="C8402" s="427">
        <f t="shared" si="262"/>
        <v>2014</v>
      </c>
      <c r="D8402" s="433">
        <f t="shared" si="263"/>
        <v>2158.58</v>
      </c>
    </row>
    <row r="8403" spans="1:4" ht="16.149999999999999" customHeight="1" x14ac:dyDescent="0.25">
      <c r="A8403" s="431">
        <v>41963</v>
      </c>
      <c r="B8403" s="432">
        <v>2156.73</v>
      </c>
      <c r="C8403" s="427">
        <f t="shared" si="262"/>
        <v>2014</v>
      </c>
      <c r="D8403" s="433">
        <f t="shared" si="263"/>
        <v>2156.73</v>
      </c>
    </row>
    <row r="8404" spans="1:4" ht="16.149999999999999" customHeight="1" x14ac:dyDescent="0.25">
      <c r="A8404" s="431">
        <v>41964</v>
      </c>
      <c r="B8404" s="434">
        <v>2156.9299999999998</v>
      </c>
      <c r="C8404" s="427">
        <f t="shared" si="262"/>
        <v>2014</v>
      </c>
      <c r="D8404" s="433">
        <f t="shared" si="263"/>
        <v>2156.9299999999998</v>
      </c>
    </row>
    <row r="8405" spans="1:4" ht="16.149999999999999" customHeight="1" x14ac:dyDescent="0.25">
      <c r="A8405" s="431">
        <v>41965</v>
      </c>
      <c r="B8405" s="432">
        <v>2142.02</v>
      </c>
      <c r="C8405" s="427">
        <f t="shared" si="262"/>
        <v>2014</v>
      </c>
      <c r="D8405" s="433">
        <f t="shared" si="263"/>
        <v>2142.02</v>
      </c>
    </row>
    <row r="8406" spans="1:4" ht="16.149999999999999" customHeight="1" x14ac:dyDescent="0.25">
      <c r="A8406" s="431">
        <v>41966</v>
      </c>
      <c r="B8406" s="434">
        <v>2142.02</v>
      </c>
      <c r="C8406" s="427">
        <f t="shared" si="262"/>
        <v>2014</v>
      </c>
      <c r="D8406" s="433">
        <f t="shared" si="263"/>
        <v>2142.02</v>
      </c>
    </row>
    <row r="8407" spans="1:4" ht="16.149999999999999" customHeight="1" x14ac:dyDescent="0.25">
      <c r="A8407" s="431">
        <v>41967</v>
      </c>
      <c r="B8407" s="432">
        <v>2142.02</v>
      </c>
      <c r="C8407" s="427">
        <f t="shared" si="262"/>
        <v>2014</v>
      </c>
      <c r="D8407" s="433">
        <f t="shared" si="263"/>
        <v>2142.02</v>
      </c>
    </row>
    <row r="8408" spans="1:4" ht="16.149999999999999" customHeight="1" x14ac:dyDescent="0.25">
      <c r="A8408" s="431">
        <v>41968</v>
      </c>
      <c r="B8408" s="434">
        <v>2158.12</v>
      </c>
      <c r="C8408" s="427">
        <f t="shared" si="262"/>
        <v>2014</v>
      </c>
      <c r="D8408" s="433">
        <f t="shared" si="263"/>
        <v>2158.12</v>
      </c>
    </row>
    <row r="8409" spans="1:4" ht="16.149999999999999" customHeight="1" x14ac:dyDescent="0.25">
      <c r="A8409" s="431">
        <v>41969</v>
      </c>
      <c r="B8409" s="432">
        <v>2162.15</v>
      </c>
      <c r="C8409" s="427">
        <f t="shared" si="262"/>
        <v>2014</v>
      </c>
      <c r="D8409" s="433">
        <f t="shared" si="263"/>
        <v>2162.15</v>
      </c>
    </row>
    <row r="8410" spans="1:4" ht="16.149999999999999" customHeight="1" x14ac:dyDescent="0.25">
      <c r="A8410" s="431">
        <v>41970</v>
      </c>
      <c r="B8410" s="434">
        <v>2165.15</v>
      </c>
      <c r="C8410" s="427">
        <f t="shared" si="262"/>
        <v>2014</v>
      </c>
      <c r="D8410" s="433">
        <f t="shared" si="263"/>
        <v>2165.15</v>
      </c>
    </row>
    <row r="8411" spans="1:4" ht="16.149999999999999" customHeight="1" x14ac:dyDescent="0.25">
      <c r="A8411" s="431">
        <v>41971</v>
      </c>
      <c r="B8411" s="432">
        <v>2165.15</v>
      </c>
      <c r="C8411" s="427">
        <f t="shared" si="262"/>
        <v>2014</v>
      </c>
      <c r="D8411" s="433">
        <f t="shared" si="263"/>
        <v>2165.15</v>
      </c>
    </row>
    <row r="8412" spans="1:4" ht="16.149999999999999" customHeight="1" x14ac:dyDescent="0.25">
      <c r="A8412" s="431">
        <v>41972</v>
      </c>
      <c r="B8412" s="434">
        <v>2206.19</v>
      </c>
      <c r="C8412" s="427">
        <f t="shared" si="262"/>
        <v>2014</v>
      </c>
      <c r="D8412" s="433">
        <f t="shared" si="263"/>
        <v>2206.19</v>
      </c>
    </row>
    <row r="8413" spans="1:4" ht="16.149999999999999" customHeight="1" x14ac:dyDescent="0.25">
      <c r="A8413" s="431">
        <v>41973</v>
      </c>
      <c r="B8413" s="432">
        <v>2206.19</v>
      </c>
      <c r="C8413" s="427">
        <f t="shared" si="262"/>
        <v>2014</v>
      </c>
      <c r="D8413" s="433">
        <f t="shared" si="263"/>
        <v>2206.19</v>
      </c>
    </row>
    <row r="8414" spans="1:4" ht="16.149999999999999" customHeight="1" x14ac:dyDescent="0.25">
      <c r="A8414" s="431">
        <v>41974</v>
      </c>
      <c r="B8414" s="434">
        <v>2206.19</v>
      </c>
      <c r="C8414" s="427">
        <f t="shared" si="262"/>
        <v>2014</v>
      </c>
      <c r="D8414" s="433">
        <f t="shared" si="263"/>
        <v>2206.19</v>
      </c>
    </row>
    <row r="8415" spans="1:4" ht="16.149999999999999" customHeight="1" x14ac:dyDescent="0.25">
      <c r="A8415" s="431">
        <v>41975</v>
      </c>
      <c r="B8415" s="432">
        <v>2252.36</v>
      </c>
      <c r="C8415" s="427">
        <f t="shared" si="262"/>
        <v>2014</v>
      </c>
      <c r="D8415" s="433">
        <f t="shared" si="263"/>
        <v>2252.36</v>
      </c>
    </row>
    <row r="8416" spans="1:4" ht="16.149999999999999" customHeight="1" x14ac:dyDescent="0.25">
      <c r="A8416" s="431">
        <v>41976</v>
      </c>
      <c r="B8416" s="434">
        <v>2293.4699999999998</v>
      </c>
      <c r="C8416" s="427">
        <f t="shared" si="262"/>
        <v>2014</v>
      </c>
      <c r="D8416" s="433">
        <f t="shared" si="263"/>
        <v>2293.4699999999998</v>
      </c>
    </row>
    <row r="8417" spans="1:4" ht="16.149999999999999" customHeight="1" x14ac:dyDescent="0.25">
      <c r="A8417" s="431">
        <v>41977</v>
      </c>
      <c r="B8417" s="432">
        <v>2286.0300000000002</v>
      </c>
      <c r="C8417" s="427">
        <f t="shared" si="262"/>
        <v>2014</v>
      </c>
      <c r="D8417" s="433">
        <f t="shared" si="263"/>
        <v>2286.0300000000002</v>
      </c>
    </row>
    <row r="8418" spans="1:4" ht="16.149999999999999" customHeight="1" x14ac:dyDescent="0.25">
      <c r="A8418" s="431">
        <v>41978</v>
      </c>
      <c r="B8418" s="434">
        <v>2284.2399999999998</v>
      </c>
      <c r="C8418" s="427">
        <f t="shared" si="262"/>
        <v>2014</v>
      </c>
      <c r="D8418" s="433">
        <f t="shared" si="263"/>
        <v>2284.2399999999998</v>
      </c>
    </row>
    <row r="8419" spans="1:4" ht="16.149999999999999" customHeight="1" x14ac:dyDescent="0.25">
      <c r="A8419" s="431">
        <v>41979</v>
      </c>
      <c r="B8419" s="432">
        <v>2304.12</v>
      </c>
      <c r="C8419" s="427">
        <f t="shared" si="262"/>
        <v>2014</v>
      </c>
      <c r="D8419" s="433">
        <f t="shared" si="263"/>
        <v>2304.12</v>
      </c>
    </row>
    <row r="8420" spans="1:4" ht="16.149999999999999" customHeight="1" x14ac:dyDescent="0.25">
      <c r="A8420" s="431">
        <v>41980</v>
      </c>
      <c r="B8420" s="434">
        <v>2304.12</v>
      </c>
      <c r="C8420" s="427">
        <f t="shared" si="262"/>
        <v>2014</v>
      </c>
      <c r="D8420" s="433">
        <f t="shared" si="263"/>
        <v>2304.12</v>
      </c>
    </row>
    <row r="8421" spans="1:4" ht="16.149999999999999" customHeight="1" x14ac:dyDescent="0.25">
      <c r="A8421" s="431">
        <v>41981</v>
      </c>
      <c r="B8421" s="432">
        <v>2304.12</v>
      </c>
      <c r="C8421" s="427">
        <f t="shared" si="262"/>
        <v>2014</v>
      </c>
      <c r="D8421" s="433">
        <f t="shared" si="263"/>
        <v>2304.12</v>
      </c>
    </row>
    <row r="8422" spans="1:4" ht="16.149999999999999" customHeight="1" x14ac:dyDescent="0.25">
      <c r="A8422" s="431">
        <v>41982</v>
      </c>
      <c r="B8422" s="434">
        <v>2304.12</v>
      </c>
      <c r="C8422" s="427">
        <f t="shared" si="262"/>
        <v>2014</v>
      </c>
      <c r="D8422" s="433">
        <f t="shared" si="263"/>
        <v>2304.12</v>
      </c>
    </row>
    <row r="8423" spans="1:4" ht="16.149999999999999" customHeight="1" x14ac:dyDescent="0.25">
      <c r="A8423" s="431">
        <v>41983</v>
      </c>
      <c r="B8423" s="432">
        <v>2350.0100000000002</v>
      </c>
      <c r="C8423" s="427">
        <f t="shared" si="262"/>
        <v>2014</v>
      </c>
      <c r="D8423" s="433">
        <f t="shared" si="263"/>
        <v>2350.0100000000002</v>
      </c>
    </row>
    <row r="8424" spans="1:4" ht="16.149999999999999" customHeight="1" x14ac:dyDescent="0.25">
      <c r="A8424" s="431">
        <v>41984</v>
      </c>
      <c r="B8424" s="434">
        <v>2381.96</v>
      </c>
      <c r="C8424" s="427">
        <f t="shared" si="262"/>
        <v>2014</v>
      </c>
      <c r="D8424" s="433">
        <f t="shared" si="263"/>
        <v>2381.96</v>
      </c>
    </row>
    <row r="8425" spans="1:4" ht="16.149999999999999" customHeight="1" x14ac:dyDescent="0.25">
      <c r="A8425" s="431">
        <v>41985</v>
      </c>
      <c r="B8425" s="432">
        <v>2423.56</v>
      </c>
      <c r="C8425" s="427">
        <f t="shared" si="262"/>
        <v>2014</v>
      </c>
      <c r="D8425" s="433">
        <f t="shared" si="263"/>
        <v>2423.56</v>
      </c>
    </row>
    <row r="8426" spans="1:4" ht="16.149999999999999" customHeight="1" x14ac:dyDescent="0.25">
      <c r="A8426" s="431">
        <v>41986</v>
      </c>
      <c r="B8426" s="434">
        <v>2405.31</v>
      </c>
      <c r="C8426" s="427">
        <f t="shared" si="262"/>
        <v>2014</v>
      </c>
      <c r="D8426" s="433">
        <f t="shared" si="263"/>
        <v>2405.31</v>
      </c>
    </row>
    <row r="8427" spans="1:4" ht="16.149999999999999" customHeight="1" x14ac:dyDescent="0.25">
      <c r="A8427" s="431">
        <v>41987</v>
      </c>
      <c r="B8427" s="432">
        <v>2405.31</v>
      </c>
      <c r="C8427" s="427">
        <f t="shared" si="262"/>
        <v>2014</v>
      </c>
      <c r="D8427" s="433">
        <f t="shared" si="263"/>
        <v>2405.31</v>
      </c>
    </row>
    <row r="8428" spans="1:4" ht="16.149999999999999" customHeight="1" x14ac:dyDescent="0.25">
      <c r="A8428" s="431">
        <v>41988</v>
      </c>
      <c r="B8428" s="434">
        <v>2405.31</v>
      </c>
      <c r="C8428" s="427">
        <f t="shared" si="262"/>
        <v>2014</v>
      </c>
      <c r="D8428" s="433">
        <f t="shared" si="263"/>
        <v>2405.31</v>
      </c>
    </row>
    <row r="8429" spans="1:4" ht="16.149999999999999" customHeight="1" x14ac:dyDescent="0.25">
      <c r="A8429" s="431">
        <v>41989</v>
      </c>
      <c r="B8429" s="432">
        <v>2414.39</v>
      </c>
      <c r="C8429" s="427">
        <f t="shared" si="262"/>
        <v>2014</v>
      </c>
      <c r="D8429" s="433">
        <f t="shared" si="263"/>
        <v>2414.39</v>
      </c>
    </row>
    <row r="8430" spans="1:4" ht="16.149999999999999" customHeight="1" x14ac:dyDescent="0.25">
      <c r="A8430" s="431">
        <v>41990</v>
      </c>
      <c r="B8430" s="434">
        <v>2446.35</v>
      </c>
      <c r="C8430" s="427">
        <f t="shared" si="262"/>
        <v>2014</v>
      </c>
      <c r="D8430" s="433">
        <f t="shared" si="263"/>
        <v>2446.35</v>
      </c>
    </row>
    <row r="8431" spans="1:4" ht="16.149999999999999" customHeight="1" x14ac:dyDescent="0.25">
      <c r="A8431" s="431">
        <v>41991</v>
      </c>
      <c r="B8431" s="432">
        <v>2412.79</v>
      </c>
      <c r="C8431" s="427">
        <f t="shared" si="262"/>
        <v>2014</v>
      </c>
      <c r="D8431" s="433">
        <f t="shared" si="263"/>
        <v>2412.79</v>
      </c>
    </row>
    <row r="8432" spans="1:4" ht="16.149999999999999" customHeight="1" x14ac:dyDescent="0.25">
      <c r="A8432" s="431">
        <v>41992</v>
      </c>
      <c r="B8432" s="434">
        <v>2334.98</v>
      </c>
      <c r="C8432" s="427">
        <f t="shared" si="262"/>
        <v>2014</v>
      </c>
      <c r="D8432" s="433">
        <f t="shared" si="263"/>
        <v>2334.98</v>
      </c>
    </row>
    <row r="8433" spans="1:4" ht="16.149999999999999" customHeight="1" x14ac:dyDescent="0.25">
      <c r="A8433" s="431">
        <v>41993</v>
      </c>
      <c r="B8433" s="432">
        <v>2297.14</v>
      </c>
      <c r="C8433" s="427">
        <f t="shared" si="262"/>
        <v>2014</v>
      </c>
      <c r="D8433" s="433">
        <f t="shared" si="263"/>
        <v>2297.14</v>
      </c>
    </row>
    <row r="8434" spans="1:4" ht="16.149999999999999" customHeight="1" x14ac:dyDescent="0.25">
      <c r="A8434" s="431">
        <v>41994</v>
      </c>
      <c r="B8434" s="434">
        <v>2297.14</v>
      </c>
      <c r="C8434" s="427">
        <f t="shared" si="262"/>
        <v>2014</v>
      </c>
      <c r="D8434" s="433">
        <f t="shared" si="263"/>
        <v>2297.14</v>
      </c>
    </row>
    <row r="8435" spans="1:4" ht="16.149999999999999" customHeight="1" x14ac:dyDescent="0.25">
      <c r="A8435" s="431">
        <v>41995</v>
      </c>
      <c r="B8435" s="432">
        <v>2297.14</v>
      </c>
      <c r="C8435" s="427">
        <f t="shared" si="262"/>
        <v>2014</v>
      </c>
      <c r="D8435" s="433">
        <f t="shared" si="263"/>
        <v>2297.14</v>
      </c>
    </row>
    <row r="8436" spans="1:4" ht="16.149999999999999" customHeight="1" x14ac:dyDescent="0.25">
      <c r="A8436" s="431">
        <v>41996</v>
      </c>
      <c r="B8436" s="434">
        <v>2316.9299999999998</v>
      </c>
      <c r="C8436" s="427">
        <f t="shared" si="262"/>
        <v>2014</v>
      </c>
      <c r="D8436" s="433">
        <f t="shared" si="263"/>
        <v>2316.9299999999998</v>
      </c>
    </row>
    <row r="8437" spans="1:4" ht="16.149999999999999" customHeight="1" x14ac:dyDescent="0.25">
      <c r="A8437" s="431">
        <v>41997</v>
      </c>
      <c r="B8437" s="432">
        <v>2342.5700000000002</v>
      </c>
      <c r="C8437" s="427">
        <f t="shared" si="262"/>
        <v>2014</v>
      </c>
      <c r="D8437" s="433">
        <f t="shared" si="263"/>
        <v>2342.5700000000002</v>
      </c>
    </row>
    <row r="8438" spans="1:4" ht="16.149999999999999" customHeight="1" x14ac:dyDescent="0.25">
      <c r="A8438" s="431">
        <v>41998</v>
      </c>
      <c r="B8438" s="434">
        <v>2346.9</v>
      </c>
      <c r="C8438" s="427">
        <f t="shared" si="262"/>
        <v>2014</v>
      </c>
      <c r="D8438" s="433">
        <f t="shared" si="263"/>
        <v>2346.9</v>
      </c>
    </row>
    <row r="8439" spans="1:4" ht="16.149999999999999" customHeight="1" x14ac:dyDescent="0.25">
      <c r="A8439" s="431">
        <v>41999</v>
      </c>
      <c r="B8439" s="432">
        <v>2346.9</v>
      </c>
      <c r="C8439" s="427">
        <f t="shared" si="262"/>
        <v>2014</v>
      </c>
      <c r="D8439" s="433">
        <f t="shared" si="263"/>
        <v>2346.9</v>
      </c>
    </row>
    <row r="8440" spans="1:4" ht="16.149999999999999" customHeight="1" x14ac:dyDescent="0.25">
      <c r="A8440" s="431">
        <v>42000</v>
      </c>
      <c r="B8440" s="434">
        <v>2358.46</v>
      </c>
      <c r="C8440" s="427">
        <f t="shared" si="262"/>
        <v>2014</v>
      </c>
      <c r="D8440" s="433">
        <f t="shared" si="263"/>
        <v>2358.46</v>
      </c>
    </row>
    <row r="8441" spans="1:4" ht="16.149999999999999" customHeight="1" x14ac:dyDescent="0.25">
      <c r="A8441" s="431">
        <v>42001</v>
      </c>
      <c r="B8441" s="432">
        <v>2358.46</v>
      </c>
      <c r="C8441" s="427">
        <f t="shared" si="262"/>
        <v>2014</v>
      </c>
      <c r="D8441" s="433">
        <f t="shared" si="263"/>
        <v>2358.46</v>
      </c>
    </row>
    <row r="8442" spans="1:4" ht="16.149999999999999" customHeight="1" x14ac:dyDescent="0.25">
      <c r="A8442" s="431">
        <v>42002</v>
      </c>
      <c r="B8442" s="434">
        <v>2358.46</v>
      </c>
      <c r="C8442" s="427">
        <f t="shared" si="262"/>
        <v>2014</v>
      </c>
      <c r="D8442" s="433">
        <f t="shared" si="263"/>
        <v>2358.46</v>
      </c>
    </row>
    <row r="8443" spans="1:4" ht="16.149999999999999" customHeight="1" x14ac:dyDescent="0.25">
      <c r="A8443" s="431">
        <v>42003</v>
      </c>
      <c r="B8443" s="432">
        <v>2378.56</v>
      </c>
      <c r="C8443" s="427">
        <f t="shared" si="262"/>
        <v>2014</v>
      </c>
      <c r="D8443" s="433">
        <f t="shared" si="263"/>
        <v>2378.56</v>
      </c>
    </row>
    <row r="8444" spans="1:4" ht="16.149999999999999" customHeight="1" x14ac:dyDescent="0.25">
      <c r="A8444" s="431">
        <v>42004</v>
      </c>
      <c r="B8444" s="434">
        <v>2392.46</v>
      </c>
      <c r="C8444" s="427">
        <f t="shared" si="262"/>
        <v>2014</v>
      </c>
      <c r="D8444" s="433">
        <f t="shared" si="263"/>
        <v>2392.46</v>
      </c>
    </row>
    <row r="8445" spans="1:4" ht="16.149999999999999" customHeight="1" x14ac:dyDescent="0.25">
      <c r="A8445" s="431">
        <v>42005</v>
      </c>
      <c r="B8445" s="432">
        <v>2392.46</v>
      </c>
      <c r="C8445" s="427">
        <f t="shared" si="262"/>
        <v>2015</v>
      </c>
      <c r="D8445" s="433">
        <f t="shared" si="263"/>
        <v>2392.46</v>
      </c>
    </row>
    <row r="8446" spans="1:4" ht="16.149999999999999" customHeight="1" x14ac:dyDescent="0.25">
      <c r="A8446" s="431">
        <v>42006</v>
      </c>
      <c r="B8446" s="434">
        <v>2392.46</v>
      </c>
      <c r="C8446" s="427">
        <f t="shared" si="262"/>
        <v>2015</v>
      </c>
      <c r="D8446" s="433">
        <f t="shared" si="263"/>
        <v>2392.46</v>
      </c>
    </row>
    <row r="8447" spans="1:4" ht="16.149999999999999" customHeight="1" x14ac:dyDescent="0.25">
      <c r="A8447" s="431">
        <v>42007</v>
      </c>
      <c r="B8447" s="432">
        <v>2383.37</v>
      </c>
      <c r="C8447" s="427">
        <f t="shared" si="262"/>
        <v>2015</v>
      </c>
      <c r="D8447" s="433">
        <f t="shared" si="263"/>
        <v>2383.37</v>
      </c>
    </row>
    <row r="8448" spans="1:4" ht="16.149999999999999" customHeight="1" x14ac:dyDescent="0.25">
      <c r="A8448" s="431">
        <v>42008</v>
      </c>
      <c r="B8448" s="434">
        <v>2383.37</v>
      </c>
      <c r="C8448" s="427">
        <f t="shared" si="262"/>
        <v>2015</v>
      </c>
      <c r="D8448" s="433">
        <f t="shared" si="263"/>
        <v>2383.37</v>
      </c>
    </row>
    <row r="8449" spans="1:4" ht="16.149999999999999" customHeight="1" x14ac:dyDescent="0.25">
      <c r="A8449" s="431">
        <v>42009</v>
      </c>
      <c r="B8449" s="432">
        <v>2383.37</v>
      </c>
      <c r="C8449" s="427">
        <f t="shared" si="262"/>
        <v>2015</v>
      </c>
      <c r="D8449" s="433">
        <f t="shared" si="263"/>
        <v>2383.37</v>
      </c>
    </row>
    <row r="8450" spans="1:4" ht="16.149999999999999" customHeight="1" x14ac:dyDescent="0.25">
      <c r="A8450" s="431">
        <v>42010</v>
      </c>
      <c r="B8450" s="434">
        <v>2412.8200000000002</v>
      </c>
      <c r="C8450" s="427">
        <f t="shared" si="262"/>
        <v>2015</v>
      </c>
      <c r="D8450" s="433">
        <f t="shared" si="263"/>
        <v>2412.8200000000002</v>
      </c>
    </row>
    <row r="8451" spans="1:4" ht="16.149999999999999" customHeight="1" x14ac:dyDescent="0.25">
      <c r="A8451" s="431">
        <v>42011</v>
      </c>
      <c r="B8451" s="432">
        <v>2452.11</v>
      </c>
      <c r="C8451" s="427">
        <f t="shared" si="262"/>
        <v>2015</v>
      </c>
      <c r="D8451" s="433">
        <f t="shared" si="263"/>
        <v>2452.11</v>
      </c>
    </row>
    <row r="8452" spans="1:4" ht="16.149999999999999" customHeight="1" x14ac:dyDescent="0.25">
      <c r="A8452" s="431">
        <v>42012</v>
      </c>
      <c r="B8452" s="434">
        <v>2434.31</v>
      </c>
      <c r="C8452" s="427">
        <f t="shared" si="262"/>
        <v>2015</v>
      </c>
      <c r="D8452" s="433">
        <f t="shared" si="263"/>
        <v>2434.31</v>
      </c>
    </row>
    <row r="8453" spans="1:4" ht="16.149999999999999" customHeight="1" x14ac:dyDescent="0.25">
      <c r="A8453" s="431">
        <v>42013</v>
      </c>
      <c r="B8453" s="432">
        <v>2405.0300000000002</v>
      </c>
      <c r="C8453" s="427">
        <f t="shared" si="262"/>
        <v>2015</v>
      </c>
      <c r="D8453" s="433">
        <f t="shared" si="263"/>
        <v>2405.0300000000002</v>
      </c>
    </row>
    <row r="8454" spans="1:4" ht="16.149999999999999" customHeight="1" x14ac:dyDescent="0.25">
      <c r="A8454" s="431">
        <v>42014</v>
      </c>
      <c r="B8454" s="434">
        <v>2406.71</v>
      </c>
      <c r="C8454" s="427">
        <f t="shared" si="262"/>
        <v>2015</v>
      </c>
      <c r="D8454" s="433">
        <f t="shared" si="263"/>
        <v>2406.71</v>
      </c>
    </row>
    <row r="8455" spans="1:4" ht="16.149999999999999" customHeight="1" x14ac:dyDescent="0.25">
      <c r="A8455" s="431">
        <v>42015</v>
      </c>
      <c r="B8455" s="432">
        <v>2406.71</v>
      </c>
      <c r="C8455" s="427">
        <f t="shared" si="262"/>
        <v>2015</v>
      </c>
      <c r="D8455" s="433">
        <f t="shared" si="263"/>
        <v>2406.71</v>
      </c>
    </row>
    <row r="8456" spans="1:4" ht="16.149999999999999" customHeight="1" x14ac:dyDescent="0.25">
      <c r="A8456" s="431">
        <v>42016</v>
      </c>
      <c r="B8456" s="434">
        <v>2406.71</v>
      </c>
      <c r="C8456" s="427">
        <f t="shared" si="262"/>
        <v>2015</v>
      </c>
      <c r="D8456" s="433">
        <f t="shared" si="263"/>
        <v>2406.71</v>
      </c>
    </row>
    <row r="8457" spans="1:4" ht="16.149999999999999" customHeight="1" x14ac:dyDescent="0.25">
      <c r="A8457" s="431">
        <v>42017</v>
      </c>
      <c r="B8457" s="432">
        <v>2406.71</v>
      </c>
      <c r="C8457" s="427">
        <f t="shared" si="262"/>
        <v>2015</v>
      </c>
      <c r="D8457" s="433">
        <f t="shared" si="263"/>
        <v>2406.71</v>
      </c>
    </row>
    <row r="8458" spans="1:4" ht="16.149999999999999" customHeight="1" x14ac:dyDescent="0.25">
      <c r="A8458" s="431">
        <v>42018</v>
      </c>
      <c r="B8458" s="434">
        <v>2442.0300000000002</v>
      </c>
      <c r="C8458" s="427">
        <f t="shared" ref="C8458:C8521" si="264">YEAR(A8458)</f>
        <v>2015</v>
      </c>
      <c r="D8458" s="433">
        <f t="shared" ref="D8458:D8521" si="265">B8458</f>
        <v>2442.0300000000002</v>
      </c>
    </row>
    <row r="8459" spans="1:4" ht="16.149999999999999" customHeight="1" x14ac:dyDescent="0.25">
      <c r="A8459" s="431">
        <v>42019</v>
      </c>
      <c r="B8459" s="432">
        <v>2438.79</v>
      </c>
      <c r="C8459" s="427">
        <f t="shared" si="264"/>
        <v>2015</v>
      </c>
      <c r="D8459" s="433">
        <f t="shared" si="265"/>
        <v>2438.79</v>
      </c>
    </row>
    <row r="8460" spans="1:4" ht="16.149999999999999" customHeight="1" x14ac:dyDescent="0.25">
      <c r="A8460" s="431">
        <v>42020</v>
      </c>
      <c r="B8460" s="434">
        <v>2398.91</v>
      </c>
      <c r="C8460" s="427">
        <f t="shared" si="264"/>
        <v>2015</v>
      </c>
      <c r="D8460" s="433">
        <f t="shared" si="265"/>
        <v>2398.91</v>
      </c>
    </row>
    <row r="8461" spans="1:4" ht="16.149999999999999" customHeight="1" x14ac:dyDescent="0.25">
      <c r="A8461" s="431">
        <v>42021</v>
      </c>
      <c r="B8461" s="432">
        <v>2383.91</v>
      </c>
      <c r="C8461" s="427">
        <f t="shared" si="264"/>
        <v>2015</v>
      </c>
      <c r="D8461" s="433">
        <f t="shared" si="265"/>
        <v>2383.91</v>
      </c>
    </row>
    <row r="8462" spans="1:4" ht="16.149999999999999" customHeight="1" x14ac:dyDescent="0.25">
      <c r="A8462" s="431">
        <v>42022</v>
      </c>
      <c r="B8462" s="434">
        <v>2383.91</v>
      </c>
      <c r="C8462" s="427">
        <f t="shared" si="264"/>
        <v>2015</v>
      </c>
      <c r="D8462" s="433">
        <f t="shared" si="265"/>
        <v>2383.91</v>
      </c>
    </row>
    <row r="8463" spans="1:4" ht="16.149999999999999" customHeight="1" x14ac:dyDescent="0.25">
      <c r="A8463" s="431">
        <v>42023</v>
      </c>
      <c r="B8463" s="432">
        <v>2383.91</v>
      </c>
      <c r="C8463" s="427">
        <f t="shared" si="264"/>
        <v>2015</v>
      </c>
      <c r="D8463" s="433">
        <f t="shared" si="265"/>
        <v>2383.91</v>
      </c>
    </row>
    <row r="8464" spans="1:4" ht="16.149999999999999" customHeight="1" x14ac:dyDescent="0.25">
      <c r="A8464" s="431">
        <v>42024</v>
      </c>
      <c r="B8464" s="434">
        <v>2383.91</v>
      </c>
      <c r="C8464" s="427">
        <f t="shared" si="264"/>
        <v>2015</v>
      </c>
      <c r="D8464" s="433">
        <f t="shared" si="265"/>
        <v>2383.91</v>
      </c>
    </row>
    <row r="8465" spans="1:4" ht="16.149999999999999" customHeight="1" x14ac:dyDescent="0.25">
      <c r="A8465" s="431">
        <v>42025</v>
      </c>
      <c r="B8465" s="432">
        <v>2373.44</v>
      </c>
      <c r="C8465" s="427">
        <f t="shared" si="264"/>
        <v>2015</v>
      </c>
      <c r="D8465" s="433">
        <f t="shared" si="265"/>
        <v>2373.44</v>
      </c>
    </row>
    <row r="8466" spans="1:4" ht="16.149999999999999" customHeight="1" x14ac:dyDescent="0.25">
      <c r="A8466" s="431">
        <v>42026</v>
      </c>
      <c r="B8466" s="434">
        <v>2361.54</v>
      </c>
      <c r="C8466" s="427">
        <f t="shared" si="264"/>
        <v>2015</v>
      </c>
      <c r="D8466" s="433">
        <f t="shared" si="265"/>
        <v>2361.54</v>
      </c>
    </row>
    <row r="8467" spans="1:4" ht="16.149999999999999" customHeight="1" x14ac:dyDescent="0.25">
      <c r="A8467" s="431">
        <v>42027</v>
      </c>
      <c r="B8467" s="432">
        <v>2370.75</v>
      </c>
      <c r="C8467" s="427">
        <f t="shared" si="264"/>
        <v>2015</v>
      </c>
      <c r="D8467" s="433">
        <f t="shared" si="265"/>
        <v>2370.75</v>
      </c>
    </row>
    <row r="8468" spans="1:4" ht="16.149999999999999" customHeight="1" x14ac:dyDescent="0.25">
      <c r="A8468" s="431">
        <v>42028</v>
      </c>
      <c r="B8468" s="434">
        <v>2386.5</v>
      </c>
      <c r="C8468" s="427">
        <f t="shared" si="264"/>
        <v>2015</v>
      </c>
      <c r="D8468" s="433">
        <f t="shared" si="265"/>
        <v>2386.5</v>
      </c>
    </row>
    <row r="8469" spans="1:4" ht="16.149999999999999" customHeight="1" x14ac:dyDescent="0.25">
      <c r="A8469" s="431">
        <v>42029</v>
      </c>
      <c r="B8469" s="432">
        <v>2386.5</v>
      </c>
      <c r="C8469" s="427">
        <f t="shared" si="264"/>
        <v>2015</v>
      </c>
      <c r="D8469" s="433">
        <f t="shared" si="265"/>
        <v>2386.5</v>
      </c>
    </row>
    <row r="8470" spans="1:4" ht="16.149999999999999" customHeight="1" x14ac:dyDescent="0.25">
      <c r="A8470" s="431">
        <v>42030</v>
      </c>
      <c r="B8470" s="434">
        <v>2386.5</v>
      </c>
      <c r="C8470" s="427">
        <f t="shared" si="264"/>
        <v>2015</v>
      </c>
      <c r="D8470" s="433">
        <f t="shared" si="265"/>
        <v>2386.5</v>
      </c>
    </row>
    <row r="8471" spans="1:4" ht="16.149999999999999" customHeight="1" x14ac:dyDescent="0.25">
      <c r="A8471" s="431">
        <v>42031</v>
      </c>
      <c r="B8471" s="432">
        <v>2386.2800000000002</v>
      </c>
      <c r="C8471" s="427">
        <f t="shared" si="264"/>
        <v>2015</v>
      </c>
      <c r="D8471" s="433">
        <f t="shared" si="265"/>
        <v>2386.2800000000002</v>
      </c>
    </row>
    <row r="8472" spans="1:4" ht="16.149999999999999" customHeight="1" x14ac:dyDescent="0.25">
      <c r="A8472" s="431">
        <v>42032</v>
      </c>
      <c r="B8472" s="434">
        <v>2381.11</v>
      </c>
      <c r="C8472" s="427">
        <f t="shared" si="264"/>
        <v>2015</v>
      </c>
      <c r="D8472" s="433">
        <f t="shared" si="265"/>
        <v>2381.11</v>
      </c>
    </row>
    <row r="8473" spans="1:4" ht="16.149999999999999" customHeight="1" x14ac:dyDescent="0.25">
      <c r="A8473" s="431">
        <v>42033</v>
      </c>
      <c r="B8473" s="432">
        <v>2362.42</v>
      </c>
      <c r="C8473" s="427">
        <f t="shared" si="264"/>
        <v>2015</v>
      </c>
      <c r="D8473" s="433">
        <f t="shared" si="265"/>
        <v>2362.42</v>
      </c>
    </row>
    <row r="8474" spans="1:4" ht="16.149999999999999" customHeight="1" x14ac:dyDescent="0.25">
      <c r="A8474" s="431">
        <v>42034</v>
      </c>
      <c r="B8474" s="434">
        <v>2397.35</v>
      </c>
      <c r="C8474" s="427">
        <f t="shared" si="264"/>
        <v>2015</v>
      </c>
      <c r="D8474" s="433">
        <f t="shared" si="265"/>
        <v>2397.35</v>
      </c>
    </row>
    <row r="8475" spans="1:4" ht="16.149999999999999" customHeight="1" x14ac:dyDescent="0.25">
      <c r="A8475" s="431">
        <v>42035</v>
      </c>
      <c r="B8475" s="432">
        <v>2441.1</v>
      </c>
      <c r="C8475" s="427">
        <f t="shared" si="264"/>
        <v>2015</v>
      </c>
      <c r="D8475" s="433">
        <f t="shared" si="265"/>
        <v>2441.1</v>
      </c>
    </row>
    <row r="8476" spans="1:4" ht="16.149999999999999" customHeight="1" x14ac:dyDescent="0.25">
      <c r="A8476" s="431">
        <v>42036</v>
      </c>
      <c r="B8476" s="434">
        <v>2441.1</v>
      </c>
      <c r="C8476" s="427">
        <f t="shared" si="264"/>
        <v>2015</v>
      </c>
      <c r="D8476" s="433">
        <f t="shared" si="265"/>
        <v>2441.1</v>
      </c>
    </row>
    <row r="8477" spans="1:4" ht="16.149999999999999" customHeight="1" x14ac:dyDescent="0.25">
      <c r="A8477" s="431">
        <v>42037</v>
      </c>
      <c r="B8477" s="432">
        <v>2441.1</v>
      </c>
      <c r="C8477" s="427">
        <f t="shared" si="264"/>
        <v>2015</v>
      </c>
      <c r="D8477" s="433">
        <f t="shared" si="265"/>
        <v>2441.1</v>
      </c>
    </row>
    <row r="8478" spans="1:4" ht="16.149999999999999" customHeight="1" x14ac:dyDescent="0.25">
      <c r="A8478" s="431">
        <v>42038</v>
      </c>
      <c r="B8478" s="434">
        <v>2407.29</v>
      </c>
      <c r="C8478" s="427">
        <f t="shared" si="264"/>
        <v>2015</v>
      </c>
      <c r="D8478" s="433">
        <f t="shared" si="265"/>
        <v>2407.29</v>
      </c>
    </row>
    <row r="8479" spans="1:4" ht="16.149999999999999" customHeight="1" x14ac:dyDescent="0.25">
      <c r="A8479" s="431">
        <v>42039</v>
      </c>
      <c r="B8479" s="432">
        <v>2374.7199999999998</v>
      </c>
      <c r="C8479" s="427">
        <f t="shared" si="264"/>
        <v>2015</v>
      </c>
      <c r="D8479" s="433">
        <f t="shared" si="265"/>
        <v>2374.7199999999998</v>
      </c>
    </row>
    <row r="8480" spans="1:4" ht="16.149999999999999" customHeight="1" x14ac:dyDescent="0.25">
      <c r="A8480" s="431">
        <v>42040</v>
      </c>
      <c r="B8480" s="434">
        <v>2381.91</v>
      </c>
      <c r="C8480" s="427">
        <f t="shared" si="264"/>
        <v>2015</v>
      </c>
      <c r="D8480" s="433">
        <f t="shared" si="265"/>
        <v>2381.91</v>
      </c>
    </row>
    <row r="8481" spans="1:4" ht="16.149999999999999" customHeight="1" x14ac:dyDescent="0.25">
      <c r="A8481" s="431">
        <v>42041</v>
      </c>
      <c r="B8481" s="432">
        <v>2384.5300000000002</v>
      </c>
      <c r="C8481" s="427">
        <f t="shared" si="264"/>
        <v>2015</v>
      </c>
      <c r="D8481" s="433">
        <f t="shared" si="265"/>
        <v>2384.5300000000002</v>
      </c>
    </row>
    <row r="8482" spans="1:4" ht="16.149999999999999" customHeight="1" x14ac:dyDescent="0.25">
      <c r="A8482" s="431">
        <v>42042</v>
      </c>
      <c r="B8482" s="434">
        <v>2384.7600000000002</v>
      </c>
      <c r="C8482" s="427">
        <f t="shared" si="264"/>
        <v>2015</v>
      </c>
      <c r="D8482" s="433">
        <f t="shared" si="265"/>
        <v>2384.7600000000002</v>
      </c>
    </row>
    <row r="8483" spans="1:4" ht="16.149999999999999" customHeight="1" x14ac:dyDescent="0.25">
      <c r="A8483" s="431">
        <v>42043</v>
      </c>
      <c r="B8483" s="432">
        <v>2384.7600000000002</v>
      </c>
      <c r="C8483" s="427">
        <f t="shared" si="264"/>
        <v>2015</v>
      </c>
      <c r="D8483" s="433">
        <f t="shared" si="265"/>
        <v>2384.7600000000002</v>
      </c>
    </row>
    <row r="8484" spans="1:4" ht="16.149999999999999" customHeight="1" x14ac:dyDescent="0.25">
      <c r="A8484" s="431">
        <v>42044</v>
      </c>
      <c r="B8484" s="434">
        <v>2384.7600000000002</v>
      </c>
      <c r="C8484" s="427">
        <f t="shared" si="264"/>
        <v>2015</v>
      </c>
      <c r="D8484" s="433">
        <f t="shared" si="265"/>
        <v>2384.7600000000002</v>
      </c>
    </row>
    <row r="8485" spans="1:4" ht="16.149999999999999" customHeight="1" x14ac:dyDescent="0.25">
      <c r="A8485" s="431">
        <v>42045</v>
      </c>
      <c r="B8485" s="432">
        <v>2371.31</v>
      </c>
      <c r="C8485" s="427">
        <f t="shared" si="264"/>
        <v>2015</v>
      </c>
      <c r="D8485" s="433">
        <f t="shared" si="265"/>
        <v>2371.31</v>
      </c>
    </row>
    <row r="8486" spans="1:4" ht="16.149999999999999" customHeight="1" x14ac:dyDescent="0.25">
      <c r="A8486" s="431">
        <v>42046</v>
      </c>
      <c r="B8486" s="434">
        <v>2380.79</v>
      </c>
      <c r="C8486" s="427">
        <f t="shared" si="264"/>
        <v>2015</v>
      </c>
      <c r="D8486" s="433">
        <f t="shared" si="265"/>
        <v>2380.79</v>
      </c>
    </row>
    <row r="8487" spans="1:4" ht="16.149999999999999" customHeight="1" x14ac:dyDescent="0.25">
      <c r="A8487" s="431">
        <v>42047</v>
      </c>
      <c r="B8487" s="432">
        <v>2416.61</v>
      </c>
      <c r="C8487" s="427">
        <f t="shared" si="264"/>
        <v>2015</v>
      </c>
      <c r="D8487" s="433">
        <f t="shared" si="265"/>
        <v>2416.61</v>
      </c>
    </row>
    <row r="8488" spans="1:4" ht="16.149999999999999" customHeight="1" x14ac:dyDescent="0.25">
      <c r="A8488" s="431">
        <v>42048</v>
      </c>
      <c r="B8488" s="434">
        <v>2401.0300000000002</v>
      </c>
      <c r="C8488" s="427">
        <f t="shared" si="264"/>
        <v>2015</v>
      </c>
      <c r="D8488" s="433">
        <f t="shared" si="265"/>
        <v>2401.0300000000002</v>
      </c>
    </row>
    <row r="8489" spans="1:4" ht="16.149999999999999" customHeight="1" x14ac:dyDescent="0.25">
      <c r="A8489" s="431">
        <v>42049</v>
      </c>
      <c r="B8489" s="432">
        <v>2376.23</v>
      </c>
      <c r="C8489" s="427">
        <f t="shared" si="264"/>
        <v>2015</v>
      </c>
      <c r="D8489" s="433">
        <f t="shared" si="265"/>
        <v>2376.23</v>
      </c>
    </row>
    <row r="8490" spans="1:4" ht="16.149999999999999" customHeight="1" x14ac:dyDescent="0.25">
      <c r="A8490" s="431">
        <v>42050</v>
      </c>
      <c r="B8490" s="434">
        <v>2376.23</v>
      </c>
      <c r="C8490" s="427">
        <f t="shared" si="264"/>
        <v>2015</v>
      </c>
      <c r="D8490" s="433">
        <f t="shared" si="265"/>
        <v>2376.23</v>
      </c>
    </row>
    <row r="8491" spans="1:4" ht="16.149999999999999" customHeight="1" x14ac:dyDescent="0.25">
      <c r="A8491" s="431">
        <v>42051</v>
      </c>
      <c r="B8491" s="432">
        <v>2376.23</v>
      </c>
      <c r="C8491" s="427">
        <f t="shared" si="264"/>
        <v>2015</v>
      </c>
      <c r="D8491" s="433">
        <f t="shared" si="265"/>
        <v>2376.23</v>
      </c>
    </row>
    <row r="8492" spans="1:4" ht="16.149999999999999" customHeight="1" x14ac:dyDescent="0.25">
      <c r="A8492" s="431">
        <v>42052</v>
      </c>
      <c r="B8492" s="434">
        <v>2376.23</v>
      </c>
      <c r="C8492" s="427">
        <f t="shared" si="264"/>
        <v>2015</v>
      </c>
      <c r="D8492" s="433">
        <f t="shared" si="265"/>
        <v>2376.23</v>
      </c>
    </row>
    <row r="8493" spans="1:4" ht="16.149999999999999" customHeight="1" x14ac:dyDescent="0.25">
      <c r="A8493" s="431">
        <v>42053</v>
      </c>
      <c r="B8493" s="432">
        <v>2416.37</v>
      </c>
      <c r="C8493" s="427">
        <f t="shared" si="264"/>
        <v>2015</v>
      </c>
      <c r="D8493" s="433">
        <f t="shared" si="265"/>
        <v>2416.37</v>
      </c>
    </row>
    <row r="8494" spans="1:4" ht="16.149999999999999" customHeight="1" x14ac:dyDescent="0.25">
      <c r="A8494" s="431">
        <v>42054</v>
      </c>
      <c r="B8494" s="434">
        <v>2429.71</v>
      </c>
      <c r="C8494" s="427">
        <f t="shared" si="264"/>
        <v>2015</v>
      </c>
      <c r="D8494" s="433">
        <f t="shared" si="265"/>
        <v>2429.71</v>
      </c>
    </row>
    <row r="8495" spans="1:4" ht="16.149999999999999" customHeight="1" x14ac:dyDescent="0.25">
      <c r="A8495" s="431">
        <v>42055</v>
      </c>
      <c r="B8495" s="432">
        <v>2445.16</v>
      </c>
      <c r="C8495" s="427">
        <f t="shared" si="264"/>
        <v>2015</v>
      </c>
      <c r="D8495" s="433">
        <f t="shared" si="265"/>
        <v>2445.16</v>
      </c>
    </row>
    <row r="8496" spans="1:4" ht="16.149999999999999" customHeight="1" x14ac:dyDescent="0.25">
      <c r="A8496" s="431">
        <v>42056</v>
      </c>
      <c r="B8496" s="434">
        <v>2455.54</v>
      </c>
      <c r="C8496" s="427">
        <f t="shared" si="264"/>
        <v>2015</v>
      </c>
      <c r="D8496" s="433">
        <f t="shared" si="265"/>
        <v>2455.54</v>
      </c>
    </row>
    <row r="8497" spans="1:4" ht="16.149999999999999" customHeight="1" x14ac:dyDescent="0.25">
      <c r="A8497" s="431">
        <v>42057</v>
      </c>
      <c r="B8497" s="432">
        <v>2455.54</v>
      </c>
      <c r="C8497" s="427">
        <f t="shared" si="264"/>
        <v>2015</v>
      </c>
      <c r="D8497" s="433">
        <f t="shared" si="265"/>
        <v>2455.54</v>
      </c>
    </row>
    <row r="8498" spans="1:4" ht="16.149999999999999" customHeight="1" x14ac:dyDescent="0.25">
      <c r="A8498" s="431">
        <v>42058</v>
      </c>
      <c r="B8498" s="434">
        <v>2455.54</v>
      </c>
      <c r="C8498" s="427">
        <f t="shared" si="264"/>
        <v>2015</v>
      </c>
      <c r="D8498" s="433">
        <f t="shared" si="265"/>
        <v>2455.54</v>
      </c>
    </row>
    <row r="8499" spans="1:4" ht="16.149999999999999" customHeight="1" x14ac:dyDescent="0.25">
      <c r="A8499" s="431">
        <v>42059</v>
      </c>
      <c r="B8499" s="432">
        <v>2489.81</v>
      </c>
      <c r="C8499" s="427">
        <f t="shared" si="264"/>
        <v>2015</v>
      </c>
      <c r="D8499" s="433">
        <f t="shared" si="265"/>
        <v>2489.81</v>
      </c>
    </row>
    <row r="8500" spans="1:4" ht="16.149999999999999" customHeight="1" x14ac:dyDescent="0.25">
      <c r="A8500" s="431">
        <v>42060</v>
      </c>
      <c r="B8500" s="434">
        <v>2500.59</v>
      </c>
      <c r="C8500" s="427">
        <f t="shared" si="264"/>
        <v>2015</v>
      </c>
      <c r="D8500" s="433">
        <f t="shared" si="265"/>
        <v>2500.59</v>
      </c>
    </row>
    <row r="8501" spans="1:4" ht="16.149999999999999" customHeight="1" x14ac:dyDescent="0.25">
      <c r="A8501" s="431">
        <v>42061</v>
      </c>
      <c r="B8501" s="432">
        <v>2489.41</v>
      </c>
      <c r="C8501" s="427">
        <f t="shared" si="264"/>
        <v>2015</v>
      </c>
      <c r="D8501" s="433">
        <f t="shared" si="265"/>
        <v>2489.41</v>
      </c>
    </row>
    <row r="8502" spans="1:4" ht="16.149999999999999" customHeight="1" x14ac:dyDescent="0.25">
      <c r="A8502" s="431">
        <v>42062</v>
      </c>
      <c r="B8502" s="434">
        <v>2484.58</v>
      </c>
      <c r="C8502" s="427">
        <f t="shared" si="264"/>
        <v>2015</v>
      </c>
      <c r="D8502" s="433">
        <f t="shared" si="265"/>
        <v>2484.58</v>
      </c>
    </row>
    <row r="8503" spans="1:4" ht="16.149999999999999" customHeight="1" x14ac:dyDescent="0.25">
      <c r="A8503" s="431">
        <v>42063</v>
      </c>
      <c r="B8503" s="432">
        <v>2496.9899999999998</v>
      </c>
      <c r="C8503" s="427">
        <f t="shared" si="264"/>
        <v>2015</v>
      </c>
      <c r="D8503" s="433">
        <f t="shared" si="265"/>
        <v>2496.9899999999998</v>
      </c>
    </row>
    <row r="8504" spans="1:4" ht="16.149999999999999" customHeight="1" x14ac:dyDescent="0.25">
      <c r="A8504" s="431">
        <v>42064</v>
      </c>
      <c r="B8504" s="434">
        <v>2496.9899999999998</v>
      </c>
      <c r="C8504" s="427">
        <f t="shared" si="264"/>
        <v>2015</v>
      </c>
      <c r="D8504" s="433">
        <f t="shared" si="265"/>
        <v>2496.9899999999998</v>
      </c>
    </row>
    <row r="8505" spans="1:4" ht="16.149999999999999" customHeight="1" x14ac:dyDescent="0.25">
      <c r="A8505" s="431">
        <v>42065</v>
      </c>
      <c r="B8505" s="432">
        <v>2496.9899999999998</v>
      </c>
      <c r="C8505" s="427">
        <f t="shared" si="264"/>
        <v>2015</v>
      </c>
      <c r="D8505" s="433">
        <f t="shared" si="265"/>
        <v>2496.9899999999998</v>
      </c>
    </row>
    <row r="8506" spans="1:4" ht="16.149999999999999" customHeight="1" x14ac:dyDescent="0.25">
      <c r="A8506" s="431">
        <v>42066</v>
      </c>
      <c r="B8506" s="434">
        <v>2522.0300000000002</v>
      </c>
      <c r="C8506" s="427">
        <f t="shared" si="264"/>
        <v>2015</v>
      </c>
      <c r="D8506" s="433">
        <f t="shared" si="265"/>
        <v>2522.0300000000002</v>
      </c>
    </row>
    <row r="8507" spans="1:4" ht="16.149999999999999" customHeight="1" x14ac:dyDescent="0.25">
      <c r="A8507" s="431">
        <v>42067</v>
      </c>
      <c r="B8507" s="432">
        <v>2555.08</v>
      </c>
      <c r="C8507" s="427">
        <f t="shared" si="264"/>
        <v>2015</v>
      </c>
      <c r="D8507" s="433">
        <f t="shared" si="265"/>
        <v>2555.08</v>
      </c>
    </row>
    <row r="8508" spans="1:4" ht="16.149999999999999" customHeight="1" x14ac:dyDescent="0.25">
      <c r="A8508" s="431">
        <v>42068</v>
      </c>
      <c r="B8508" s="434">
        <v>2565.9</v>
      </c>
      <c r="C8508" s="427">
        <f t="shared" si="264"/>
        <v>2015</v>
      </c>
      <c r="D8508" s="433">
        <f t="shared" si="265"/>
        <v>2565.9</v>
      </c>
    </row>
    <row r="8509" spans="1:4" ht="16.149999999999999" customHeight="1" x14ac:dyDescent="0.25">
      <c r="A8509" s="431">
        <v>42069</v>
      </c>
      <c r="B8509" s="432">
        <v>2543.4699999999998</v>
      </c>
      <c r="C8509" s="427">
        <f t="shared" si="264"/>
        <v>2015</v>
      </c>
      <c r="D8509" s="433">
        <f t="shared" si="265"/>
        <v>2543.4699999999998</v>
      </c>
    </row>
    <row r="8510" spans="1:4" ht="16.149999999999999" customHeight="1" x14ac:dyDescent="0.25">
      <c r="A8510" s="431">
        <v>42070</v>
      </c>
      <c r="B8510" s="434">
        <v>2565.61</v>
      </c>
      <c r="C8510" s="427">
        <f t="shared" si="264"/>
        <v>2015</v>
      </c>
      <c r="D8510" s="433">
        <f t="shared" si="265"/>
        <v>2565.61</v>
      </c>
    </row>
    <row r="8511" spans="1:4" ht="16.149999999999999" customHeight="1" x14ac:dyDescent="0.25">
      <c r="A8511" s="431">
        <v>42071</v>
      </c>
      <c r="B8511" s="432">
        <v>2565.61</v>
      </c>
      <c r="C8511" s="427">
        <f t="shared" si="264"/>
        <v>2015</v>
      </c>
      <c r="D8511" s="433">
        <f t="shared" si="265"/>
        <v>2565.61</v>
      </c>
    </row>
    <row r="8512" spans="1:4" ht="16.149999999999999" customHeight="1" x14ac:dyDescent="0.25">
      <c r="A8512" s="431">
        <v>42072</v>
      </c>
      <c r="B8512" s="434">
        <v>2565.61</v>
      </c>
      <c r="C8512" s="427">
        <f t="shared" si="264"/>
        <v>2015</v>
      </c>
      <c r="D8512" s="433">
        <f t="shared" si="265"/>
        <v>2565.61</v>
      </c>
    </row>
    <row r="8513" spans="1:4" ht="16.149999999999999" customHeight="1" x14ac:dyDescent="0.25">
      <c r="A8513" s="431">
        <v>42073</v>
      </c>
      <c r="B8513" s="432">
        <v>2592.86</v>
      </c>
      <c r="C8513" s="427">
        <f t="shared" si="264"/>
        <v>2015</v>
      </c>
      <c r="D8513" s="433">
        <f t="shared" si="265"/>
        <v>2592.86</v>
      </c>
    </row>
    <row r="8514" spans="1:4" ht="16.149999999999999" customHeight="1" x14ac:dyDescent="0.25">
      <c r="A8514" s="431">
        <v>42074</v>
      </c>
      <c r="B8514" s="434">
        <v>2618.79</v>
      </c>
      <c r="C8514" s="427">
        <f t="shared" si="264"/>
        <v>2015</v>
      </c>
      <c r="D8514" s="433">
        <f t="shared" si="265"/>
        <v>2618.79</v>
      </c>
    </row>
    <row r="8515" spans="1:4" ht="16.149999999999999" customHeight="1" x14ac:dyDescent="0.25">
      <c r="A8515" s="431">
        <v>42075</v>
      </c>
      <c r="B8515" s="432">
        <v>2633.65</v>
      </c>
      <c r="C8515" s="427">
        <f t="shared" si="264"/>
        <v>2015</v>
      </c>
      <c r="D8515" s="433">
        <f t="shared" si="265"/>
        <v>2633.65</v>
      </c>
    </row>
    <row r="8516" spans="1:4" ht="16.149999999999999" customHeight="1" x14ac:dyDescent="0.25">
      <c r="A8516" s="431">
        <v>42076</v>
      </c>
      <c r="B8516" s="434">
        <v>2610.08</v>
      </c>
      <c r="C8516" s="427">
        <f t="shared" si="264"/>
        <v>2015</v>
      </c>
      <c r="D8516" s="433">
        <f t="shared" si="265"/>
        <v>2610.08</v>
      </c>
    </row>
    <row r="8517" spans="1:4" ht="16.149999999999999" customHeight="1" x14ac:dyDescent="0.25">
      <c r="A8517" s="431">
        <v>42077</v>
      </c>
      <c r="B8517" s="432">
        <v>2661.52</v>
      </c>
      <c r="C8517" s="427">
        <f t="shared" si="264"/>
        <v>2015</v>
      </c>
      <c r="D8517" s="433">
        <f t="shared" si="265"/>
        <v>2661.52</v>
      </c>
    </row>
    <row r="8518" spans="1:4" ht="16.149999999999999" customHeight="1" x14ac:dyDescent="0.25">
      <c r="A8518" s="431">
        <v>42078</v>
      </c>
      <c r="B8518" s="434">
        <v>2661.52</v>
      </c>
      <c r="C8518" s="427">
        <f t="shared" si="264"/>
        <v>2015</v>
      </c>
      <c r="D8518" s="433">
        <f t="shared" si="265"/>
        <v>2661.52</v>
      </c>
    </row>
    <row r="8519" spans="1:4" ht="16.149999999999999" customHeight="1" x14ac:dyDescent="0.25">
      <c r="A8519" s="431">
        <v>42079</v>
      </c>
      <c r="B8519" s="432">
        <v>2661.52</v>
      </c>
      <c r="C8519" s="427">
        <f t="shared" si="264"/>
        <v>2015</v>
      </c>
      <c r="D8519" s="433">
        <f t="shared" si="265"/>
        <v>2661.52</v>
      </c>
    </row>
    <row r="8520" spans="1:4" ht="16.149999999999999" customHeight="1" x14ac:dyDescent="0.25">
      <c r="A8520" s="431">
        <v>42080</v>
      </c>
      <c r="B8520" s="434">
        <v>2675.08</v>
      </c>
      <c r="C8520" s="427">
        <f t="shared" si="264"/>
        <v>2015</v>
      </c>
      <c r="D8520" s="433">
        <f t="shared" si="265"/>
        <v>2675.08</v>
      </c>
    </row>
    <row r="8521" spans="1:4" ht="16.149999999999999" customHeight="1" x14ac:dyDescent="0.25">
      <c r="A8521" s="431">
        <v>42081</v>
      </c>
      <c r="B8521" s="432">
        <v>2677.97</v>
      </c>
      <c r="C8521" s="427">
        <f t="shared" si="264"/>
        <v>2015</v>
      </c>
      <c r="D8521" s="433">
        <f t="shared" si="265"/>
        <v>2677.97</v>
      </c>
    </row>
    <row r="8522" spans="1:4" ht="16.149999999999999" customHeight="1" x14ac:dyDescent="0.25">
      <c r="A8522" s="431">
        <v>42082</v>
      </c>
      <c r="B8522" s="434">
        <v>2651.49</v>
      </c>
      <c r="C8522" s="427">
        <f t="shared" ref="C8522:C8585" si="266">YEAR(A8522)</f>
        <v>2015</v>
      </c>
      <c r="D8522" s="433">
        <f t="shared" ref="D8522:D8585" si="267">B8522</f>
        <v>2651.49</v>
      </c>
    </row>
    <row r="8523" spans="1:4" ht="16.149999999999999" customHeight="1" x14ac:dyDescent="0.25">
      <c r="A8523" s="431">
        <v>42083</v>
      </c>
      <c r="B8523" s="432">
        <v>2613.38</v>
      </c>
      <c r="C8523" s="427">
        <f t="shared" si="266"/>
        <v>2015</v>
      </c>
      <c r="D8523" s="433">
        <f t="shared" si="267"/>
        <v>2613.38</v>
      </c>
    </row>
    <row r="8524" spans="1:4" ht="16.149999999999999" customHeight="1" x14ac:dyDescent="0.25">
      <c r="A8524" s="431">
        <v>42084</v>
      </c>
      <c r="B8524" s="434">
        <v>2587.71</v>
      </c>
      <c r="C8524" s="427">
        <f t="shared" si="266"/>
        <v>2015</v>
      </c>
      <c r="D8524" s="433">
        <f t="shared" si="267"/>
        <v>2587.71</v>
      </c>
    </row>
    <row r="8525" spans="1:4" ht="16.149999999999999" customHeight="1" x14ac:dyDescent="0.25">
      <c r="A8525" s="431">
        <v>42085</v>
      </c>
      <c r="B8525" s="432">
        <v>2587.71</v>
      </c>
      <c r="C8525" s="427">
        <f t="shared" si="266"/>
        <v>2015</v>
      </c>
      <c r="D8525" s="433">
        <f t="shared" si="267"/>
        <v>2587.71</v>
      </c>
    </row>
    <row r="8526" spans="1:4" ht="16.149999999999999" customHeight="1" x14ac:dyDescent="0.25">
      <c r="A8526" s="431">
        <v>42086</v>
      </c>
      <c r="B8526" s="434">
        <v>2587.71</v>
      </c>
      <c r="C8526" s="427">
        <f t="shared" si="266"/>
        <v>2015</v>
      </c>
      <c r="D8526" s="433">
        <f t="shared" si="267"/>
        <v>2587.71</v>
      </c>
    </row>
    <row r="8527" spans="1:4" ht="16.149999999999999" customHeight="1" x14ac:dyDescent="0.25">
      <c r="A8527" s="431">
        <v>42087</v>
      </c>
      <c r="B8527" s="432">
        <v>2587.71</v>
      </c>
      <c r="C8527" s="427">
        <f t="shared" si="266"/>
        <v>2015</v>
      </c>
      <c r="D8527" s="433">
        <f t="shared" si="267"/>
        <v>2587.71</v>
      </c>
    </row>
    <row r="8528" spans="1:4" ht="16.149999999999999" customHeight="1" x14ac:dyDescent="0.25">
      <c r="A8528" s="431">
        <v>42088</v>
      </c>
      <c r="B8528" s="434">
        <v>2526.79</v>
      </c>
      <c r="C8528" s="427">
        <f t="shared" si="266"/>
        <v>2015</v>
      </c>
      <c r="D8528" s="433">
        <f t="shared" si="267"/>
        <v>2526.79</v>
      </c>
    </row>
    <row r="8529" spans="1:4" ht="16.149999999999999" customHeight="1" x14ac:dyDescent="0.25">
      <c r="A8529" s="431">
        <v>42089</v>
      </c>
      <c r="B8529" s="432">
        <v>2535.5500000000002</v>
      </c>
      <c r="C8529" s="427">
        <f t="shared" si="266"/>
        <v>2015</v>
      </c>
      <c r="D8529" s="433">
        <f t="shared" si="267"/>
        <v>2535.5500000000002</v>
      </c>
    </row>
    <row r="8530" spans="1:4" ht="16.149999999999999" customHeight="1" x14ac:dyDescent="0.25">
      <c r="A8530" s="431">
        <v>42090</v>
      </c>
      <c r="B8530" s="434">
        <v>2551.3000000000002</v>
      </c>
      <c r="C8530" s="427">
        <f t="shared" si="266"/>
        <v>2015</v>
      </c>
      <c r="D8530" s="433">
        <f t="shared" si="267"/>
        <v>2551.3000000000002</v>
      </c>
    </row>
    <row r="8531" spans="1:4" ht="16.149999999999999" customHeight="1" x14ac:dyDescent="0.25">
      <c r="A8531" s="431">
        <v>42091</v>
      </c>
      <c r="B8531" s="432">
        <v>2556.85</v>
      </c>
      <c r="C8531" s="427">
        <f t="shared" si="266"/>
        <v>2015</v>
      </c>
      <c r="D8531" s="433">
        <f t="shared" si="267"/>
        <v>2556.85</v>
      </c>
    </row>
    <row r="8532" spans="1:4" ht="16.149999999999999" customHeight="1" x14ac:dyDescent="0.25">
      <c r="A8532" s="431">
        <v>42092</v>
      </c>
      <c r="B8532" s="434">
        <v>2556.85</v>
      </c>
      <c r="C8532" s="427">
        <f t="shared" si="266"/>
        <v>2015</v>
      </c>
      <c r="D8532" s="433">
        <f t="shared" si="267"/>
        <v>2556.85</v>
      </c>
    </row>
    <row r="8533" spans="1:4" ht="16.149999999999999" customHeight="1" x14ac:dyDescent="0.25">
      <c r="A8533" s="431">
        <v>42093</v>
      </c>
      <c r="B8533" s="432">
        <v>2556.85</v>
      </c>
      <c r="C8533" s="427">
        <f t="shared" si="266"/>
        <v>2015</v>
      </c>
      <c r="D8533" s="433">
        <f t="shared" si="267"/>
        <v>2556.85</v>
      </c>
    </row>
    <row r="8534" spans="1:4" ht="16.149999999999999" customHeight="1" x14ac:dyDescent="0.25">
      <c r="A8534" s="431">
        <v>42094</v>
      </c>
      <c r="B8534" s="434">
        <v>2576.0500000000002</v>
      </c>
      <c r="C8534" s="427">
        <f t="shared" si="266"/>
        <v>2015</v>
      </c>
      <c r="D8534" s="433">
        <f t="shared" si="267"/>
        <v>2576.0500000000002</v>
      </c>
    </row>
    <row r="8535" spans="1:4" ht="16.149999999999999" customHeight="1" x14ac:dyDescent="0.25">
      <c r="A8535" s="431">
        <v>42095</v>
      </c>
      <c r="B8535" s="432">
        <v>2598.36</v>
      </c>
      <c r="C8535" s="427">
        <f t="shared" si="266"/>
        <v>2015</v>
      </c>
      <c r="D8535" s="433">
        <f t="shared" si="267"/>
        <v>2598.36</v>
      </c>
    </row>
    <row r="8536" spans="1:4" ht="16.149999999999999" customHeight="1" x14ac:dyDescent="0.25">
      <c r="A8536" s="431">
        <v>42096</v>
      </c>
      <c r="B8536" s="434">
        <v>2576.41</v>
      </c>
      <c r="C8536" s="427">
        <f t="shared" si="266"/>
        <v>2015</v>
      </c>
      <c r="D8536" s="433">
        <f t="shared" si="267"/>
        <v>2576.41</v>
      </c>
    </row>
    <row r="8537" spans="1:4" ht="16.149999999999999" customHeight="1" x14ac:dyDescent="0.25">
      <c r="A8537" s="431">
        <v>42097</v>
      </c>
      <c r="B8537" s="432">
        <v>2576.41</v>
      </c>
      <c r="C8537" s="427">
        <f t="shared" si="266"/>
        <v>2015</v>
      </c>
      <c r="D8537" s="433">
        <f t="shared" si="267"/>
        <v>2576.41</v>
      </c>
    </row>
    <row r="8538" spans="1:4" ht="16.149999999999999" customHeight="1" x14ac:dyDescent="0.25">
      <c r="A8538" s="431">
        <v>42098</v>
      </c>
      <c r="B8538" s="434">
        <v>2576.41</v>
      </c>
      <c r="C8538" s="427">
        <f t="shared" si="266"/>
        <v>2015</v>
      </c>
      <c r="D8538" s="433">
        <f t="shared" si="267"/>
        <v>2576.41</v>
      </c>
    </row>
    <row r="8539" spans="1:4" ht="16.149999999999999" customHeight="1" x14ac:dyDescent="0.25">
      <c r="A8539" s="431">
        <v>42099</v>
      </c>
      <c r="B8539" s="432">
        <v>2576.41</v>
      </c>
      <c r="C8539" s="427">
        <f t="shared" si="266"/>
        <v>2015</v>
      </c>
      <c r="D8539" s="433">
        <f t="shared" si="267"/>
        <v>2576.41</v>
      </c>
    </row>
    <row r="8540" spans="1:4" ht="16.149999999999999" customHeight="1" x14ac:dyDescent="0.25">
      <c r="A8540" s="431">
        <v>42100</v>
      </c>
      <c r="B8540" s="434">
        <v>2576.41</v>
      </c>
      <c r="C8540" s="427">
        <f t="shared" si="266"/>
        <v>2015</v>
      </c>
      <c r="D8540" s="433">
        <f t="shared" si="267"/>
        <v>2576.41</v>
      </c>
    </row>
    <row r="8541" spans="1:4" ht="16.149999999999999" customHeight="1" x14ac:dyDescent="0.25">
      <c r="A8541" s="431">
        <v>42101</v>
      </c>
      <c r="B8541" s="432">
        <v>2522.71</v>
      </c>
      <c r="C8541" s="427">
        <f t="shared" si="266"/>
        <v>2015</v>
      </c>
      <c r="D8541" s="433">
        <f t="shared" si="267"/>
        <v>2522.71</v>
      </c>
    </row>
    <row r="8542" spans="1:4" ht="16.149999999999999" customHeight="1" x14ac:dyDescent="0.25">
      <c r="A8542" s="431">
        <v>42102</v>
      </c>
      <c r="B8542" s="434">
        <v>2518.0500000000002</v>
      </c>
      <c r="C8542" s="427">
        <f t="shared" si="266"/>
        <v>2015</v>
      </c>
      <c r="D8542" s="433">
        <f t="shared" si="267"/>
        <v>2518.0500000000002</v>
      </c>
    </row>
    <row r="8543" spans="1:4" ht="16.149999999999999" customHeight="1" x14ac:dyDescent="0.25">
      <c r="A8543" s="431">
        <v>42103</v>
      </c>
      <c r="B8543" s="432">
        <v>2490.9</v>
      </c>
      <c r="C8543" s="427">
        <f t="shared" si="266"/>
        <v>2015</v>
      </c>
      <c r="D8543" s="433">
        <f t="shared" si="267"/>
        <v>2490.9</v>
      </c>
    </row>
    <row r="8544" spans="1:4" ht="16.149999999999999" customHeight="1" x14ac:dyDescent="0.25">
      <c r="A8544" s="431">
        <v>42104</v>
      </c>
      <c r="B8544" s="434">
        <v>2494.77</v>
      </c>
      <c r="C8544" s="427">
        <f t="shared" si="266"/>
        <v>2015</v>
      </c>
      <c r="D8544" s="433">
        <f t="shared" si="267"/>
        <v>2494.77</v>
      </c>
    </row>
    <row r="8545" spans="1:4" ht="16.149999999999999" customHeight="1" x14ac:dyDescent="0.25">
      <c r="A8545" s="431">
        <v>42105</v>
      </c>
      <c r="B8545" s="432">
        <v>2516.08</v>
      </c>
      <c r="C8545" s="427">
        <f t="shared" si="266"/>
        <v>2015</v>
      </c>
      <c r="D8545" s="433">
        <f t="shared" si="267"/>
        <v>2516.08</v>
      </c>
    </row>
    <row r="8546" spans="1:4" ht="16.149999999999999" customHeight="1" x14ac:dyDescent="0.25">
      <c r="A8546" s="431">
        <v>42106</v>
      </c>
      <c r="B8546" s="434">
        <v>2516.08</v>
      </c>
      <c r="C8546" s="427">
        <f t="shared" si="266"/>
        <v>2015</v>
      </c>
      <c r="D8546" s="433">
        <f t="shared" si="267"/>
        <v>2516.08</v>
      </c>
    </row>
    <row r="8547" spans="1:4" ht="16.149999999999999" customHeight="1" x14ac:dyDescent="0.25">
      <c r="A8547" s="431">
        <v>42107</v>
      </c>
      <c r="B8547" s="432">
        <v>2516.08</v>
      </c>
      <c r="C8547" s="427">
        <f t="shared" si="266"/>
        <v>2015</v>
      </c>
      <c r="D8547" s="433">
        <f t="shared" si="267"/>
        <v>2516.08</v>
      </c>
    </row>
    <row r="8548" spans="1:4" ht="16.149999999999999" customHeight="1" x14ac:dyDescent="0.25">
      <c r="A8548" s="431">
        <v>42108</v>
      </c>
      <c r="B8548" s="434">
        <v>2537.33</v>
      </c>
      <c r="C8548" s="427">
        <f t="shared" si="266"/>
        <v>2015</v>
      </c>
      <c r="D8548" s="433">
        <f t="shared" si="267"/>
        <v>2537.33</v>
      </c>
    </row>
    <row r="8549" spans="1:4" ht="16.149999999999999" customHeight="1" x14ac:dyDescent="0.25">
      <c r="A8549" s="431">
        <v>42109</v>
      </c>
      <c r="B8549" s="432">
        <v>2550.83</v>
      </c>
      <c r="C8549" s="427">
        <f t="shared" si="266"/>
        <v>2015</v>
      </c>
      <c r="D8549" s="433">
        <f t="shared" si="267"/>
        <v>2550.83</v>
      </c>
    </row>
    <row r="8550" spans="1:4" ht="16.149999999999999" customHeight="1" x14ac:dyDescent="0.25">
      <c r="A8550" s="431">
        <v>42110</v>
      </c>
      <c r="B8550" s="434">
        <v>2534.63</v>
      </c>
      <c r="C8550" s="427">
        <f t="shared" si="266"/>
        <v>2015</v>
      </c>
      <c r="D8550" s="433">
        <f t="shared" si="267"/>
        <v>2534.63</v>
      </c>
    </row>
    <row r="8551" spans="1:4" ht="16.149999999999999" customHeight="1" x14ac:dyDescent="0.25">
      <c r="A8551" s="431">
        <v>42111</v>
      </c>
      <c r="B8551" s="432">
        <v>2493.9299999999998</v>
      </c>
      <c r="C8551" s="427">
        <f t="shared" si="266"/>
        <v>2015</v>
      </c>
      <c r="D8551" s="433">
        <f t="shared" si="267"/>
        <v>2493.9299999999998</v>
      </c>
    </row>
    <row r="8552" spans="1:4" ht="16.149999999999999" customHeight="1" x14ac:dyDescent="0.25">
      <c r="A8552" s="431">
        <v>42112</v>
      </c>
      <c r="B8552" s="434">
        <v>2495.0100000000002</v>
      </c>
      <c r="C8552" s="427">
        <f t="shared" si="266"/>
        <v>2015</v>
      </c>
      <c r="D8552" s="433">
        <f t="shared" si="267"/>
        <v>2495.0100000000002</v>
      </c>
    </row>
    <row r="8553" spans="1:4" ht="16.149999999999999" customHeight="1" x14ac:dyDescent="0.25">
      <c r="A8553" s="431">
        <v>42113</v>
      </c>
      <c r="B8553" s="432">
        <v>2495.0100000000002</v>
      </c>
      <c r="C8553" s="427">
        <f t="shared" si="266"/>
        <v>2015</v>
      </c>
      <c r="D8553" s="433">
        <f t="shared" si="267"/>
        <v>2495.0100000000002</v>
      </c>
    </row>
    <row r="8554" spans="1:4" ht="16.149999999999999" customHeight="1" x14ac:dyDescent="0.25">
      <c r="A8554" s="431">
        <v>42114</v>
      </c>
      <c r="B8554" s="434">
        <v>2495.0100000000002</v>
      </c>
      <c r="C8554" s="427">
        <f t="shared" si="266"/>
        <v>2015</v>
      </c>
      <c r="D8554" s="433">
        <f t="shared" si="267"/>
        <v>2495.0100000000002</v>
      </c>
    </row>
    <row r="8555" spans="1:4" ht="16.149999999999999" customHeight="1" x14ac:dyDescent="0.25">
      <c r="A8555" s="431">
        <v>42115</v>
      </c>
      <c r="B8555" s="432">
        <v>2487.0700000000002</v>
      </c>
      <c r="C8555" s="427">
        <f t="shared" si="266"/>
        <v>2015</v>
      </c>
      <c r="D8555" s="433">
        <f t="shared" si="267"/>
        <v>2487.0700000000002</v>
      </c>
    </row>
    <row r="8556" spans="1:4" ht="16.149999999999999" customHeight="1" x14ac:dyDescent="0.25">
      <c r="A8556" s="431">
        <v>42116</v>
      </c>
      <c r="B8556" s="434">
        <v>2469.0300000000002</v>
      </c>
      <c r="C8556" s="427">
        <f t="shared" si="266"/>
        <v>2015</v>
      </c>
      <c r="D8556" s="433">
        <f t="shared" si="267"/>
        <v>2469.0300000000002</v>
      </c>
    </row>
    <row r="8557" spans="1:4" ht="16.149999999999999" customHeight="1" x14ac:dyDescent="0.25">
      <c r="A8557" s="431">
        <v>42117</v>
      </c>
      <c r="B8557" s="432">
        <v>2488.5</v>
      </c>
      <c r="C8557" s="427">
        <f t="shared" si="266"/>
        <v>2015</v>
      </c>
      <c r="D8557" s="433">
        <f t="shared" si="267"/>
        <v>2488.5</v>
      </c>
    </row>
    <row r="8558" spans="1:4" ht="16.149999999999999" customHeight="1" x14ac:dyDescent="0.25">
      <c r="A8558" s="431">
        <v>42118</v>
      </c>
      <c r="B8558" s="434">
        <v>2471.21</v>
      </c>
      <c r="C8558" s="427">
        <f t="shared" si="266"/>
        <v>2015</v>
      </c>
      <c r="D8558" s="433">
        <f t="shared" si="267"/>
        <v>2471.21</v>
      </c>
    </row>
    <row r="8559" spans="1:4" ht="16.149999999999999" customHeight="1" x14ac:dyDescent="0.25">
      <c r="A8559" s="431">
        <v>42119</v>
      </c>
      <c r="B8559" s="432">
        <v>2461.17</v>
      </c>
      <c r="C8559" s="427">
        <f t="shared" si="266"/>
        <v>2015</v>
      </c>
      <c r="D8559" s="433">
        <f t="shared" si="267"/>
        <v>2461.17</v>
      </c>
    </row>
    <row r="8560" spans="1:4" ht="16.149999999999999" customHeight="1" x14ac:dyDescent="0.25">
      <c r="A8560" s="431">
        <v>42120</v>
      </c>
      <c r="B8560" s="434">
        <v>2461.17</v>
      </c>
      <c r="C8560" s="427">
        <f t="shared" si="266"/>
        <v>2015</v>
      </c>
      <c r="D8560" s="433">
        <f t="shared" si="267"/>
        <v>2461.17</v>
      </c>
    </row>
    <row r="8561" spans="1:4" ht="16.149999999999999" customHeight="1" x14ac:dyDescent="0.25">
      <c r="A8561" s="431">
        <v>42121</v>
      </c>
      <c r="B8561" s="432">
        <v>2461.17</v>
      </c>
      <c r="C8561" s="427">
        <f t="shared" si="266"/>
        <v>2015</v>
      </c>
      <c r="D8561" s="433">
        <f t="shared" si="267"/>
        <v>2461.17</v>
      </c>
    </row>
    <row r="8562" spans="1:4" ht="16.149999999999999" customHeight="1" x14ac:dyDescent="0.25">
      <c r="A8562" s="431">
        <v>42122</v>
      </c>
      <c r="B8562" s="434">
        <v>2419.81</v>
      </c>
      <c r="C8562" s="427">
        <f t="shared" si="266"/>
        <v>2015</v>
      </c>
      <c r="D8562" s="433">
        <f t="shared" si="267"/>
        <v>2419.81</v>
      </c>
    </row>
    <row r="8563" spans="1:4" ht="16.149999999999999" customHeight="1" x14ac:dyDescent="0.25">
      <c r="A8563" s="431">
        <v>42123</v>
      </c>
      <c r="B8563" s="432">
        <v>2393.42</v>
      </c>
      <c r="C8563" s="427">
        <f t="shared" si="266"/>
        <v>2015</v>
      </c>
      <c r="D8563" s="433">
        <f t="shared" si="267"/>
        <v>2393.42</v>
      </c>
    </row>
    <row r="8564" spans="1:4" ht="16.149999999999999" customHeight="1" x14ac:dyDescent="0.25">
      <c r="A8564" s="431">
        <v>42124</v>
      </c>
      <c r="B8564" s="434">
        <v>2388.06</v>
      </c>
      <c r="C8564" s="427">
        <f t="shared" si="266"/>
        <v>2015</v>
      </c>
      <c r="D8564" s="433">
        <f t="shared" si="267"/>
        <v>2388.06</v>
      </c>
    </row>
    <row r="8565" spans="1:4" ht="16.149999999999999" customHeight="1" x14ac:dyDescent="0.25">
      <c r="A8565" s="431">
        <v>42125</v>
      </c>
      <c r="B8565" s="432">
        <v>2393.58</v>
      </c>
      <c r="C8565" s="427">
        <f t="shared" si="266"/>
        <v>2015</v>
      </c>
      <c r="D8565" s="433">
        <f t="shared" si="267"/>
        <v>2393.58</v>
      </c>
    </row>
    <row r="8566" spans="1:4" ht="16.149999999999999" customHeight="1" x14ac:dyDescent="0.25">
      <c r="A8566" s="431">
        <v>42126</v>
      </c>
      <c r="B8566" s="434">
        <v>2393.58</v>
      </c>
      <c r="C8566" s="427">
        <f t="shared" si="266"/>
        <v>2015</v>
      </c>
      <c r="D8566" s="433">
        <f t="shared" si="267"/>
        <v>2393.58</v>
      </c>
    </row>
    <row r="8567" spans="1:4" ht="16.149999999999999" customHeight="1" x14ac:dyDescent="0.25">
      <c r="A8567" s="431">
        <v>42127</v>
      </c>
      <c r="B8567" s="432">
        <v>2393.58</v>
      </c>
      <c r="C8567" s="427">
        <f t="shared" si="266"/>
        <v>2015</v>
      </c>
      <c r="D8567" s="433">
        <f t="shared" si="267"/>
        <v>2393.58</v>
      </c>
    </row>
    <row r="8568" spans="1:4" ht="16.149999999999999" customHeight="1" x14ac:dyDescent="0.25">
      <c r="A8568" s="431">
        <v>42128</v>
      </c>
      <c r="B8568" s="434">
        <v>2393.58</v>
      </c>
      <c r="C8568" s="427">
        <f t="shared" si="266"/>
        <v>2015</v>
      </c>
      <c r="D8568" s="433">
        <f t="shared" si="267"/>
        <v>2393.58</v>
      </c>
    </row>
    <row r="8569" spans="1:4" ht="16.149999999999999" customHeight="1" x14ac:dyDescent="0.25">
      <c r="A8569" s="431">
        <v>42129</v>
      </c>
      <c r="B8569" s="432">
        <v>2408.17</v>
      </c>
      <c r="C8569" s="427">
        <f t="shared" si="266"/>
        <v>2015</v>
      </c>
      <c r="D8569" s="433">
        <f t="shared" si="267"/>
        <v>2408.17</v>
      </c>
    </row>
    <row r="8570" spans="1:4" ht="16.149999999999999" customHeight="1" x14ac:dyDescent="0.25">
      <c r="A8570" s="431">
        <v>42130</v>
      </c>
      <c r="B8570" s="434">
        <v>2386.7199999999998</v>
      </c>
      <c r="C8570" s="427">
        <f t="shared" si="266"/>
        <v>2015</v>
      </c>
      <c r="D8570" s="433">
        <f t="shared" si="267"/>
        <v>2386.7199999999998</v>
      </c>
    </row>
    <row r="8571" spans="1:4" ht="16.149999999999999" customHeight="1" x14ac:dyDescent="0.25">
      <c r="A8571" s="431">
        <v>42131</v>
      </c>
      <c r="B8571" s="432">
        <v>2362.41</v>
      </c>
      <c r="C8571" s="427">
        <f t="shared" si="266"/>
        <v>2015</v>
      </c>
      <c r="D8571" s="433">
        <f t="shared" si="267"/>
        <v>2362.41</v>
      </c>
    </row>
    <row r="8572" spans="1:4" ht="16.149999999999999" customHeight="1" x14ac:dyDescent="0.25">
      <c r="A8572" s="431">
        <v>42132</v>
      </c>
      <c r="B8572" s="434">
        <v>2369.23</v>
      </c>
      <c r="C8572" s="427">
        <f t="shared" si="266"/>
        <v>2015</v>
      </c>
      <c r="D8572" s="433">
        <f t="shared" si="267"/>
        <v>2369.23</v>
      </c>
    </row>
    <row r="8573" spans="1:4" ht="16.149999999999999" customHeight="1" x14ac:dyDescent="0.25">
      <c r="A8573" s="431">
        <v>42133</v>
      </c>
      <c r="B8573" s="432">
        <v>2360.58</v>
      </c>
      <c r="C8573" s="427">
        <f t="shared" si="266"/>
        <v>2015</v>
      </c>
      <c r="D8573" s="433">
        <f t="shared" si="267"/>
        <v>2360.58</v>
      </c>
    </row>
    <row r="8574" spans="1:4" ht="16.149999999999999" customHeight="1" x14ac:dyDescent="0.25">
      <c r="A8574" s="431">
        <v>42134</v>
      </c>
      <c r="B8574" s="434">
        <v>2360.58</v>
      </c>
      <c r="C8574" s="427">
        <f t="shared" si="266"/>
        <v>2015</v>
      </c>
      <c r="D8574" s="433">
        <f t="shared" si="267"/>
        <v>2360.58</v>
      </c>
    </row>
    <row r="8575" spans="1:4" ht="16.149999999999999" customHeight="1" x14ac:dyDescent="0.25">
      <c r="A8575" s="431">
        <v>42135</v>
      </c>
      <c r="B8575" s="432">
        <v>2360.58</v>
      </c>
      <c r="C8575" s="427">
        <f t="shared" si="266"/>
        <v>2015</v>
      </c>
      <c r="D8575" s="433">
        <f t="shared" si="267"/>
        <v>2360.58</v>
      </c>
    </row>
    <row r="8576" spans="1:4" ht="16.149999999999999" customHeight="1" x14ac:dyDescent="0.25">
      <c r="A8576" s="431">
        <v>42136</v>
      </c>
      <c r="B8576" s="434">
        <v>2381.5300000000002</v>
      </c>
      <c r="C8576" s="427">
        <f t="shared" si="266"/>
        <v>2015</v>
      </c>
      <c r="D8576" s="433">
        <f t="shared" si="267"/>
        <v>2381.5300000000002</v>
      </c>
    </row>
    <row r="8577" spans="1:4" ht="16.149999999999999" customHeight="1" x14ac:dyDescent="0.25">
      <c r="A8577" s="431">
        <v>42137</v>
      </c>
      <c r="B8577" s="432">
        <v>2386.77</v>
      </c>
      <c r="C8577" s="427">
        <f t="shared" si="266"/>
        <v>2015</v>
      </c>
      <c r="D8577" s="433">
        <f t="shared" si="267"/>
        <v>2386.77</v>
      </c>
    </row>
    <row r="8578" spans="1:4" ht="16.149999999999999" customHeight="1" x14ac:dyDescent="0.25">
      <c r="A8578" s="431">
        <v>42138</v>
      </c>
      <c r="B8578" s="434">
        <v>2377.87</v>
      </c>
      <c r="C8578" s="427">
        <f t="shared" si="266"/>
        <v>2015</v>
      </c>
      <c r="D8578" s="433">
        <f t="shared" si="267"/>
        <v>2377.87</v>
      </c>
    </row>
    <row r="8579" spans="1:4" ht="16.149999999999999" customHeight="1" x14ac:dyDescent="0.25">
      <c r="A8579" s="431">
        <v>42139</v>
      </c>
      <c r="B8579" s="432">
        <v>2389.4899999999998</v>
      </c>
      <c r="C8579" s="427">
        <f t="shared" si="266"/>
        <v>2015</v>
      </c>
      <c r="D8579" s="433">
        <f t="shared" si="267"/>
        <v>2389.4899999999998</v>
      </c>
    </row>
    <row r="8580" spans="1:4" ht="16.149999999999999" customHeight="1" x14ac:dyDescent="0.25">
      <c r="A8580" s="431">
        <v>42140</v>
      </c>
      <c r="B8580" s="434">
        <v>2417.0100000000002</v>
      </c>
      <c r="C8580" s="427">
        <f t="shared" si="266"/>
        <v>2015</v>
      </c>
      <c r="D8580" s="433">
        <f t="shared" si="267"/>
        <v>2417.0100000000002</v>
      </c>
    </row>
    <row r="8581" spans="1:4" ht="16.149999999999999" customHeight="1" x14ac:dyDescent="0.25">
      <c r="A8581" s="431">
        <v>42141</v>
      </c>
      <c r="B8581" s="432">
        <v>2417.0100000000002</v>
      </c>
      <c r="C8581" s="427">
        <f t="shared" si="266"/>
        <v>2015</v>
      </c>
      <c r="D8581" s="433">
        <f t="shared" si="267"/>
        <v>2417.0100000000002</v>
      </c>
    </row>
    <row r="8582" spans="1:4" ht="16.149999999999999" customHeight="1" x14ac:dyDescent="0.25">
      <c r="A8582" s="431">
        <v>42142</v>
      </c>
      <c r="B8582" s="434">
        <v>2417.0100000000002</v>
      </c>
      <c r="C8582" s="427">
        <f t="shared" si="266"/>
        <v>2015</v>
      </c>
      <c r="D8582" s="433">
        <f t="shared" si="267"/>
        <v>2417.0100000000002</v>
      </c>
    </row>
    <row r="8583" spans="1:4" ht="16.149999999999999" customHeight="1" x14ac:dyDescent="0.25">
      <c r="A8583" s="431">
        <v>42143</v>
      </c>
      <c r="B8583" s="432">
        <v>2417.0100000000002</v>
      </c>
      <c r="C8583" s="427">
        <f t="shared" si="266"/>
        <v>2015</v>
      </c>
      <c r="D8583" s="433">
        <f t="shared" si="267"/>
        <v>2417.0100000000002</v>
      </c>
    </row>
    <row r="8584" spans="1:4" ht="16.149999999999999" customHeight="1" x14ac:dyDescent="0.25">
      <c r="A8584" s="431">
        <v>42144</v>
      </c>
      <c r="B8584" s="434">
        <v>2475.4499999999998</v>
      </c>
      <c r="C8584" s="427">
        <f t="shared" si="266"/>
        <v>2015</v>
      </c>
      <c r="D8584" s="433">
        <f t="shared" si="267"/>
        <v>2475.4499999999998</v>
      </c>
    </row>
    <row r="8585" spans="1:4" ht="16.149999999999999" customHeight="1" x14ac:dyDescent="0.25">
      <c r="A8585" s="431">
        <v>42145</v>
      </c>
      <c r="B8585" s="432">
        <v>2503.37</v>
      </c>
      <c r="C8585" s="427">
        <f t="shared" si="266"/>
        <v>2015</v>
      </c>
      <c r="D8585" s="433">
        <f t="shared" si="267"/>
        <v>2503.37</v>
      </c>
    </row>
    <row r="8586" spans="1:4" ht="16.149999999999999" customHeight="1" x14ac:dyDescent="0.25">
      <c r="A8586" s="431">
        <v>42146</v>
      </c>
      <c r="B8586" s="434">
        <v>2489.39</v>
      </c>
      <c r="C8586" s="427">
        <f t="shared" ref="C8586:C8649" si="268">YEAR(A8586)</f>
        <v>2015</v>
      </c>
      <c r="D8586" s="433">
        <f t="shared" ref="D8586:D8649" si="269">B8586</f>
        <v>2489.39</v>
      </c>
    </row>
    <row r="8587" spans="1:4" ht="16.149999999999999" customHeight="1" x14ac:dyDescent="0.25">
      <c r="A8587" s="431">
        <v>42147</v>
      </c>
      <c r="B8587" s="432">
        <v>2500.2199999999998</v>
      </c>
      <c r="C8587" s="427">
        <f t="shared" si="268"/>
        <v>2015</v>
      </c>
      <c r="D8587" s="433">
        <f t="shared" si="269"/>
        <v>2500.2199999999998</v>
      </c>
    </row>
    <row r="8588" spans="1:4" ht="16.149999999999999" customHeight="1" x14ac:dyDescent="0.25">
      <c r="A8588" s="431">
        <v>42148</v>
      </c>
      <c r="B8588" s="434">
        <v>2500.2199999999998</v>
      </c>
      <c r="C8588" s="427">
        <f t="shared" si="268"/>
        <v>2015</v>
      </c>
      <c r="D8588" s="433">
        <f t="shared" si="269"/>
        <v>2500.2199999999998</v>
      </c>
    </row>
    <row r="8589" spans="1:4" ht="16.149999999999999" customHeight="1" x14ac:dyDescent="0.25">
      <c r="A8589" s="431">
        <v>42149</v>
      </c>
      <c r="B8589" s="432">
        <v>2500.2199999999998</v>
      </c>
      <c r="C8589" s="427">
        <f t="shared" si="268"/>
        <v>2015</v>
      </c>
      <c r="D8589" s="433">
        <f t="shared" si="269"/>
        <v>2500.2199999999998</v>
      </c>
    </row>
    <row r="8590" spans="1:4" ht="16.149999999999999" customHeight="1" x14ac:dyDescent="0.25">
      <c r="A8590" s="431">
        <v>42150</v>
      </c>
      <c r="B8590" s="434">
        <v>2500.2199999999998</v>
      </c>
      <c r="C8590" s="427">
        <f t="shared" si="268"/>
        <v>2015</v>
      </c>
      <c r="D8590" s="433">
        <f t="shared" si="269"/>
        <v>2500.2199999999998</v>
      </c>
    </row>
    <row r="8591" spans="1:4" ht="16.149999999999999" customHeight="1" x14ac:dyDescent="0.25">
      <c r="A8591" s="431">
        <v>42151</v>
      </c>
      <c r="B8591" s="432">
        <v>2542.5300000000002</v>
      </c>
      <c r="C8591" s="427">
        <f t="shared" si="268"/>
        <v>2015</v>
      </c>
      <c r="D8591" s="433">
        <f t="shared" si="269"/>
        <v>2542.5300000000002</v>
      </c>
    </row>
    <row r="8592" spans="1:4" ht="16.149999999999999" customHeight="1" x14ac:dyDescent="0.25">
      <c r="A8592" s="431">
        <v>42152</v>
      </c>
      <c r="B8592" s="434">
        <v>2548.13</v>
      </c>
      <c r="C8592" s="427">
        <f t="shared" si="268"/>
        <v>2015</v>
      </c>
      <c r="D8592" s="433">
        <f t="shared" si="269"/>
        <v>2548.13</v>
      </c>
    </row>
    <row r="8593" spans="1:4" ht="16.149999999999999" customHeight="1" x14ac:dyDescent="0.25">
      <c r="A8593" s="431">
        <v>42153</v>
      </c>
      <c r="B8593" s="432">
        <v>2549.9699999999998</v>
      </c>
      <c r="C8593" s="427">
        <f t="shared" si="268"/>
        <v>2015</v>
      </c>
      <c r="D8593" s="433">
        <f t="shared" si="269"/>
        <v>2549.9699999999998</v>
      </c>
    </row>
    <row r="8594" spans="1:4" ht="16.149999999999999" customHeight="1" x14ac:dyDescent="0.25">
      <c r="A8594" s="431">
        <v>42154</v>
      </c>
      <c r="B8594" s="434">
        <v>2533.79</v>
      </c>
      <c r="C8594" s="427">
        <f t="shared" si="268"/>
        <v>2015</v>
      </c>
      <c r="D8594" s="433">
        <f t="shared" si="269"/>
        <v>2533.79</v>
      </c>
    </row>
    <row r="8595" spans="1:4" ht="16.149999999999999" customHeight="1" x14ac:dyDescent="0.25">
      <c r="A8595" s="431">
        <v>42155</v>
      </c>
      <c r="B8595" s="432">
        <v>2533.79</v>
      </c>
      <c r="C8595" s="427">
        <f t="shared" si="268"/>
        <v>2015</v>
      </c>
      <c r="D8595" s="433">
        <f t="shared" si="269"/>
        <v>2533.79</v>
      </c>
    </row>
    <row r="8596" spans="1:4" ht="16.149999999999999" customHeight="1" x14ac:dyDescent="0.25">
      <c r="A8596" s="431">
        <v>42156</v>
      </c>
      <c r="B8596" s="434">
        <v>2533.79</v>
      </c>
      <c r="C8596" s="427">
        <f t="shared" si="268"/>
        <v>2015</v>
      </c>
      <c r="D8596" s="433">
        <f t="shared" si="269"/>
        <v>2533.79</v>
      </c>
    </row>
    <row r="8597" spans="1:4" ht="16.149999999999999" customHeight="1" x14ac:dyDescent="0.25">
      <c r="A8597" s="431">
        <v>42157</v>
      </c>
      <c r="B8597" s="432">
        <v>2549.29</v>
      </c>
      <c r="C8597" s="427">
        <f t="shared" si="268"/>
        <v>2015</v>
      </c>
      <c r="D8597" s="433">
        <f t="shared" si="269"/>
        <v>2549.29</v>
      </c>
    </row>
    <row r="8598" spans="1:4" ht="16.149999999999999" customHeight="1" x14ac:dyDescent="0.25">
      <c r="A8598" s="431">
        <v>42158</v>
      </c>
      <c r="B8598" s="434">
        <v>2554.44</v>
      </c>
      <c r="C8598" s="427">
        <f t="shared" si="268"/>
        <v>2015</v>
      </c>
      <c r="D8598" s="433">
        <f t="shared" si="269"/>
        <v>2554.44</v>
      </c>
    </row>
    <row r="8599" spans="1:4" ht="16.149999999999999" customHeight="1" x14ac:dyDescent="0.25">
      <c r="A8599" s="431">
        <v>42159</v>
      </c>
      <c r="B8599" s="432">
        <v>2571.92</v>
      </c>
      <c r="C8599" s="427">
        <f t="shared" si="268"/>
        <v>2015</v>
      </c>
      <c r="D8599" s="433">
        <f t="shared" si="269"/>
        <v>2571.92</v>
      </c>
    </row>
    <row r="8600" spans="1:4" ht="16.149999999999999" customHeight="1" x14ac:dyDescent="0.25">
      <c r="A8600" s="431">
        <v>42160</v>
      </c>
      <c r="B8600" s="434">
        <v>2588.56</v>
      </c>
      <c r="C8600" s="427">
        <f t="shared" si="268"/>
        <v>2015</v>
      </c>
      <c r="D8600" s="433">
        <f t="shared" si="269"/>
        <v>2588.56</v>
      </c>
    </row>
    <row r="8601" spans="1:4" ht="16.149999999999999" customHeight="1" x14ac:dyDescent="0.25">
      <c r="A8601" s="431">
        <v>42161</v>
      </c>
      <c r="B8601" s="432">
        <v>2623.66</v>
      </c>
      <c r="C8601" s="427">
        <f t="shared" si="268"/>
        <v>2015</v>
      </c>
      <c r="D8601" s="433">
        <f t="shared" si="269"/>
        <v>2623.66</v>
      </c>
    </row>
    <row r="8602" spans="1:4" ht="16.149999999999999" customHeight="1" x14ac:dyDescent="0.25">
      <c r="A8602" s="431">
        <v>42162</v>
      </c>
      <c r="B8602" s="434">
        <v>2623.66</v>
      </c>
      <c r="C8602" s="427">
        <f t="shared" si="268"/>
        <v>2015</v>
      </c>
      <c r="D8602" s="433">
        <f t="shared" si="269"/>
        <v>2623.66</v>
      </c>
    </row>
    <row r="8603" spans="1:4" ht="16.149999999999999" customHeight="1" x14ac:dyDescent="0.25">
      <c r="A8603" s="431">
        <v>42163</v>
      </c>
      <c r="B8603" s="432">
        <v>2623.66</v>
      </c>
      <c r="C8603" s="427">
        <f t="shared" si="268"/>
        <v>2015</v>
      </c>
      <c r="D8603" s="433">
        <f t="shared" si="269"/>
        <v>2623.66</v>
      </c>
    </row>
    <row r="8604" spans="1:4" ht="16.149999999999999" customHeight="1" x14ac:dyDescent="0.25">
      <c r="A8604" s="431">
        <v>42164</v>
      </c>
      <c r="B8604" s="434">
        <v>2623.66</v>
      </c>
      <c r="C8604" s="427">
        <f t="shared" si="268"/>
        <v>2015</v>
      </c>
      <c r="D8604" s="433">
        <f t="shared" si="269"/>
        <v>2623.66</v>
      </c>
    </row>
    <row r="8605" spans="1:4" ht="16.149999999999999" customHeight="1" x14ac:dyDescent="0.25">
      <c r="A8605" s="431">
        <v>42165</v>
      </c>
      <c r="B8605" s="432">
        <v>2569.17</v>
      </c>
      <c r="C8605" s="427">
        <f t="shared" si="268"/>
        <v>2015</v>
      </c>
      <c r="D8605" s="433">
        <f t="shared" si="269"/>
        <v>2569.17</v>
      </c>
    </row>
    <row r="8606" spans="1:4" ht="16.149999999999999" customHeight="1" x14ac:dyDescent="0.25">
      <c r="A8606" s="431">
        <v>42166</v>
      </c>
      <c r="B8606" s="434">
        <v>2523</v>
      </c>
      <c r="C8606" s="427">
        <f t="shared" si="268"/>
        <v>2015</v>
      </c>
      <c r="D8606" s="433">
        <f t="shared" si="269"/>
        <v>2523</v>
      </c>
    </row>
    <row r="8607" spans="1:4" ht="16.149999999999999" customHeight="1" x14ac:dyDescent="0.25">
      <c r="A8607" s="431">
        <v>42167</v>
      </c>
      <c r="B8607" s="432">
        <v>2538.5500000000002</v>
      </c>
      <c r="C8607" s="427">
        <f t="shared" si="268"/>
        <v>2015</v>
      </c>
      <c r="D8607" s="433">
        <f t="shared" si="269"/>
        <v>2538.5500000000002</v>
      </c>
    </row>
    <row r="8608" spans="1:4" ht="16.149999999999999" customHeight="1" x14ac:dyDescent="0.25">
      <c r="A8608" s="431">
        <v>42168</v>
      </c>
      <c r="B8608" s="434">
        <v>2535.91</v>
      </c>
      <c r="C8608" s="427">
        <f t="shared" si="268"/>
        <v>2015</v>
      </c>
      <c r="D8608" s="433">
        <f t="shared" si="269"/>
        <v>2535.91</v>
      </c>
    </row>
    <row r="8609" spans="1:4" ht="16.149999999999999" customHeight="1" x14ac:dyDescent="0.25">
      <c r="A8609" s="431">
        <v>42169</v>
      </c>
      <c r="B8609" s="432">
        <v>2535.91</v>
      </c>
      <c r="C8609" s="427">
        <f t="shared" si="268"/>
        <v>2015</v>
      </c>
      <c r="D8609" s="433">
        <f t="shared" si="269"/>
        <v>2535.91</v>
      </c>
    </row>
    <row r="8610" spans="1:4" ht="16.149999999999999" customHeight="1" x14ac:dyDescent="0.25">
      <c r="A8610" s="431">
        <v>42170</v>
      </c>
      <c r="B8610" s="434">
        <v>2535.91</v>
      </c>
      <c r="C8610" s="427">
        <f t="shared" si="268"/>
        <v>2015</v>
      </c>
      <c r="D8610" s="433">
        <f t="shared" si="269"/>
        <v>2535.91</v>
      </c>
    </row>
    <row r="8611" spans="1:4" ht="16.149999999999999" customHeight="1" x14ac:dyDescent="0.25">
      <c r="A8611" s="431">
        <v>42171</v>
      </c>
      <c r="B8611" s="432">
        <v>2535.91</v>
      </c>
      <c r="C8611" s="427">
        <f t="shared" si="268"/>
        <v>2015</v>
      </c>
      <c r="D8611" s="433">
        <f t="shared" si="269"/>
        <v>2535.91</v>
      </c>
    </row>
    <row r="8612" spans="1:4" ht="16.149999999999999" customHeight="1" x14ac:dyDescent="0.25">
      <c r="A8612" s="431">
        <v>42172</v>
      </c>
      <c r="B8612" s="434">
        <v>2531.7199999999998</v>
      </c>
      <c r="C8612" s="427">
        <f t="shared" si="268"/>
        <v>2015</v>
      </c>
      <c r="D8612" s="433">
        <f t="shared" si="269"/>
        <v>2531.7199999999998</v>
      </c>
    </row>
    <row r="8613" spans="1:4" ht="16.149999999999999" customHeight="1" x14ac:dyDescent="0.25">
      <c r="A8613" s="431">
        <v>42173</v>
      </c>
      <c r="B8613" s="432">
        <v>2550.4299999999998</v>
      </c>
      <c r="C8613" s="427">
        <f t="shared" si="268"/>
        <v>2015</v>
      </c>
      <c r="D8613" s="433">
        <f t="shared" si="269"/>
        <v>2550.4299999999998</v>
      </c>
    </row>
    <row r="8614" spans="1:4" ht="16.149999999999999" customHeight="1" x14ac:dyDescent="0.25">
      <c r="A8614" s="431">
        <v>42174</v>
      </c>
      <c r="B8614" s="434">
        <v>2528.85</v>
      </c>
      <c r="C8614" s="427">
        <f t="shared" si="268"/>
        <v>2015</v>
      </c>
      <c r="D8614" s="433">
        <f t="shared" si="269"/>
        <v>2528.85</v>
      </c>
    </row>
    <row r="8615" spans="1:4" ht="16.149999999999999" customHeight="1" x14ac:dyDescent="0.25">
      <c r="A8615" s="431">
        <v>42175</v>
      </c>
      <c r="B8615" s="432">
        <v>2548.1999999999998</v>
      </c>
      <c r="C8615" s="427">
        <f t="shared" si="268"/>
        <v>2015</v>
      </c>
      <c r="D8615" s="433">
        <f t="shared" si="269"/>
        <v>2548.1999999999998</v>
      </c>
    </row>
    <row r="8616" spans="1:4" ht="16.149999999999999" customHeight="1" x14ac:dyDescent="0.25">
      <c r="A8616" s="431">
        <v>42176</v>
      </c>
      <c r="B8616" s="434">
        <v>2548.1999999999998</v>
      </c>
      <c r="C8616" s="427">
        <f t="shared" si="268"/>
        <v>2015</v>
      </c>
      <c r="D8616" s="433">
        <f t="shared" si="269"/>
        <v>2548.1999999999998</v>
      </c>
    </row>
    <row r="8617" spans="1:4" ht="16.149999999999999" customHeight="1" x14ac:dyDescent="0.25">
      <c r="A8617" s="431">
        <v>42177</v>
      </c>
      <c r="B8617" s="432">
        <v>2548.1999999999998</v>
      </c>
      <c r="C8617" s="427">
        <f t="shared" si="268"/>
        <v>2015</v>
      </c>
      <c r="D8617" s="433">
        <f t="shared" si="269"/>
        <v>2548.1999999999998</v>
      </c>
    </row>
    <row r="8618" spans="1:4" ht="16.149999999999999" customHeight="1" x14ac:dyDescent="0.25">
      <c r="A8618" s="431">
        <v>42178</v>
      </c>
      <c r="B8618" s="434">
        <v>2537.6799999999998</v>
      </c>
      <c r="C8618" s="427">
        <f t="shared" si="268"/>
        <v>2015</v>
      </c>
      <c r="D8618" s="433">
        <f t="shared" si="269"/>
        <v>2537.6799999999998</v>
      </c>
    </row>
    <row r="8619" spans="1:4" ht="16.149999999999999" customHeight="1" x14ac:dyDescent="0.25">
      <c r="A8619" s="431">
        <v>42179</v>
      </c>
      <c r="B8619" s="432">
        <v>2550.7399999999998</v>
      </c>
      <c r="C8619" s="427">
        <f t="shared" si="268"/>
        <v>2015</v>
      </c>
      <c r="D8619" s="433">
        <f t="shared" si="269"/>
        <v>2550.7399999999998</v>
      </c>
    </row>
    <row r="8620" spans="1:4" ht="16.149999999999999" customHeight="1" x14ac:dyDescent="0.25">
      <c r="A8620" s="431">
        <v>42180</v>
      </c>
      <c r="B8620" s="434">
        <v>2566.66</v>
      </c>
      <c r="C8620" s="427">
        <f t="shared" si="268"/>
        <v>2015</v>
      </c>
      <c r="D8620" s="433">
        <f t="shared" si="269"/>
        <v>2566.66</v>
      </c>
    </row>
    <row r="8621" spans="1:4" ht="16.149999999999999" customHeight="1" x14ac:dyDescent="0.25">
      <c r="A8621" s="431">
        <v>42181</v>
      </c>
      <c r="B8621" s="432">
        <v>2556.21</v>
      </c>
      <c r="C8621" s="427">
        <f t="shared" si="268"/>
        <v>2015</v>
      </c>
      <c r="D8621" s="433">
        <f t="shared" si="269"/>
        <v>2556.21</v>
      </c>
    </row>
    <row r="8622" spans="1:4" ht="16.149999999999999" customHeight="1" x14ac:dyDescent="0.25">
      <c r="A8622" s="431">
        <v>42182</v>
      </c>
      <c r="B8622" s="434">
        <v>2585.11</v>
      </c>
      <c r="C8622" s="427">
        <f t="shared" si="268"/>
        <v>2015</v>
      </c>
      <c r="D8622" s="433">
        <f t="shared" si="269"/>
        <v>2585.11</v>
      </c>
    </row>
    <row r="8623" spans="1:4" ht="16.149999999999999" customHeight="1" x14ac:dyDescent="0.25">
      <c r="A8623" s="431">
        <v>42183</v>
      </c>
      <c r="B8623" s="432">
        <v>2585.11</v>
      </c>
      <c r="C8623" s="427">
        <f t="shared" si="268"/>
        <v>2015</v>
      </c>
      <c r="D8623" s="433">
        <f t="shared" si="269"/>
        <v>2585.11</v>
      </c>
    </row>
    <row r="8624" spans="1:4" ht="16.149999999999999" customHeight="1" x14ac:dyDescent="0.25">
      <c r="A8624" s="431">
        <v>42184</v>
      </c>
      <c r="B8624" s="434">
        <v>2585.11</v>
      </c>
      <c r="C8624" s="427">
        <f t="shared" si="268"/>
        <v>2015</v>
      </c>
      <c r="D8624" s="433">
        <f t="shared" si="269"/>
        <v>2585.11</v>
      </c>
    </row>
    <row r="8625" spans="1:4" ht="16.149999999999999" customHeight="1" x14ac:dyDescent="0.25">
      <c r="A8625" s="431">
        <v>42185</v>
      </c>
      <c r="B8625" s="432">
        <v>2585.11</v>
      </c>
      <c r="C8625" s="427">
        <f t="shared" si="268"/>
        <v>2015</v>
      </c>
      <c r="D8625" s="433">
        <f t="shared" si="269"/>
        <v>2585.11</v>
      </c>
    </row>
    <row r="8626" spans="1:4" ht="16.149999999999999" customHeight="1" x14ac:dyDescent="0.25">
      <c r="A8626" s="431">
        <v>42186</v>
      </c>
      <c r="B8626" s="434">
        <v>2598.6799999999998</v>
      </c>
      <c r="C8626" s="427">
        <f t="shared" si="268"/>
        <v>2015</v>
      </c>
      <c r="D8626" s="433">
        <f t="shared" si="269"/>
        <v>2598.6799999999998</v>
      </c>
    </row>
    <row r="8627" spans="1:4" ht="16.149999999999999" customHeight="1" x14ac:dyDescent="0.25">
      <c r="A8627" s="431">
        <v>42187</v>
      </c>
      <c r="B8627" s="432">
        <v>2626.8</v>
      </c>
      <c r="C8627" s="427">
        <f t="shared" si="268"/>
        <v>2015</v>
      </c>
      <c r="D8627" s="433">
        <f t="shared" si="269"/>
        <v>2626.8</v>
      </c>
    </row>
    <row r="8628" spans="1:4" ht="16.149999999999999" customHeight="1" x14ac:dyDescent="0.25">
      <c r="A8628" s="431">
        <v>42188</v>
      </c>
      <c r="B8628" s="434">
        <v>2623.91</v>
      </c>
      <c r="C8628" s="427">
        <f t="shared" si="268"/>
        <v>2015</v>
      </c>
      <c r="D8628" s="433">
        <f t="shared" si="269"/>
        <v>2623.91</v>
      </c>
    </row>
    <row r="8629" spans="1:4" ht="16.149999999999999" customHeight="1" x14ac:dyDescent="0.25">
      <c r="A8629" s="431">
        <v>42189</v>
      </c>
      <c r="B8629" s="432">
        <v>2642.97</v>
      </c>
      <c r="C8629" s="427">
        <f t="shared" si="268"/>
        <v>2015</v>
      </c>
      <c r="D8629" s="433">
        <f t="shared" si="269"/>
        <v>2642.97</v>
      </c>
    </row>
    <row r="8630" spans="1:4" ht="16.149999999999999" customHeight="1" x14ac:dyDescent="0.25">
      <c r="A8630" s="431">
        <v>42190</v>
      </c>
      <c r="B8630" s="434">
        <v>2642.97</v>
      </c>
      <c r="C8630" s="427">
        <f t="shared" si="268"/>
        <v>2015</v>
      </c>
      <c r="D8630" s="433">
        <f t="shared" si="269"/>
        <v>2642.97</v>
      </c>
    </row>
    <row r="8631" spans="1:4" ht="16.149999999999999" customHeight="1" x14ac:dyDescent="0.25">
      <c r="A8631" s="431">
        <v>42191</v>
      </c>
      <c r="B8631" s="432">
        <v>2642.97</v>
      </c>
      <c r="C8631" s="427">
        <f t="shared" si="268"/>
        <v>2015</v>
      </c>
      <c r="D8631" s="433">
        <f t="shared" si="269"/>
        <v>2642.97</v>
      </c>
    </row>
    <row r="8632" spans="1:4" ht="16.149999999999999" customHeight="1" x14ac:dyDescent="0.25">
      <c r="A8632" s="431">
        <v>42192</v>
      </c>
      <c r="B8632" s="434">
        <v>2665.41</v>
      </c>
      <c r="C8632" s="427">
        <f t="shared" si="268"/>
        <v>2015</v>
      </c>
      <c r="D8632" s="433">
        <f t="shared" si="269"/>
        <v>2665.41</v>
      </c>
    </row>
    <row r="8633" spans="1:4" ht="16.149999999999999" customHeight="1" x14ac:dyDescent="0.25">
      <c r="A8633" s="431">
        <v>42193</v>
      </c>
      <c r="B8633" s="432">
        <v>2690.15</v>
      </c>
      <c r="C8633" s="427">
        <f t="shared" si="268"/>
        <v>2015</v>
      </c>
      <c r="D8633" s="433">
        <f t="shared" si="269"/>
        <v>2690.15</v>
      </c>
    </row>
    <row r="8634" spans="1:4" ht="16.149999999999999" customHeight="1" x14ac:dyDescent="0.25">
      <c r="A8634" s="431">
        <v>42194</v>
      </c>
      <c r="B8634" s="434">
        <v>2690.79</v>
      </c>
      <c r="C8634" s="427">
        <f t="shared" si="268"/>
        <v>2015</v>
      </c>
      <c r="D8634" s="433">
        <f t="shared" si="269"/>
        <v>2690.79</v>
      </c>
    </row>
    <row r="8635" spans="1:4" ht="16.149999999999999" customHeight="1" x14ac:dyDescent="0.25">
      <c r="A8635" s="431">
        <v>42195</v>
      </c>
      <c r="B8635" s="432">
        <v>2670.79</v>
      </c>
      <c r="C8635" s="427">
        <f t="shared" si="268"/>
        <v>2015</v>
      </c>
      <c r="D8635" s="433">
        <f t="shared" si="269"/>
        <v>2670.79</v>
      </c>
    </row>
    <row r="8636" spans="1:4" ht="16.149999999999999" customHeight="1" x14ac:dyDescent="0.25">
      <c r="A8636" s="431">
        <v>42196</v>
      </c>
      <c r="B8636" s="434">
        <v>2667.37</v>
      </c>
      <c r="C8636" s="427">
        <f t="shared" si="268"/>
        <v>2015</v>
      </c>
      <c r="D8636" s="433">
        <f t="shared" si="269"/>
        <v>2667.37</v>
      </c>
    </row>
    <row r="8637" spans="1:4" ht="16.149999999999999" customHeight="1" x14ac:dyDescent="0.25">
      <c r="A8637" s="431">
        <v>42197</v>
      </c>
      <c r="B8637" s="432">
        <v>2667.37</v>
      </c>
      <c r="C8637" s="427">
        <f t="shared" si="268"/>
        <v>2015</v>
      </c>
      <c r="D8637" s="433">
        <f t="shared" si="269"/>
        <v>2667.37</v>
      </c>
    </row>
    <row r="8638" spans="1:4" ht="16.149999999999999" customHeight="1" x14ac:dyDescent="0.25">
      <c r="A8638" s="431">
        <v>42198</v>
      </c>
      <c r="B8638" s="434">
        <v>2667.37</v>
      </c>
      <c r="C8638" s="427">
        <f t="shared" si="268"/>
        <v>2015</v>
      </c>
      <c r="D8638" s="433">
        <f t="shared" si="269"/>
        <v>2667.37</v>
      </c>
    </row>
    <row r="8639" spans="1:4" ht="16.149999999999999" customHeight="1" x14ac:dyDescent="0.25">
      <c r="A8639" s="431">
        <v>42199</v>
      </c>
      <c r="B8639" s="432">
        <v>2693.54</v>
      </c>
      <c r="C8639" s="427">
        <f t="shared" si="268"/>
        <v>2015</v>
      </c>
      <c r="D8639" s="433">
        <f t="shared" si="269"/>
        <v>2693.54</v>
      </c>
    </row>
    <row r="8640" spans="1:4" ht="16.149999999999999" customHeight="1" x14ac:dyDescent="0.25">
      <c r="A8640" s="431">
        <v>42200</v>
      </c>
      <c r="B8640" s="434">
        <v>2688.2</v>
      </c>
      <c r="C8640" s="427">
        <f t="shared" si="268"/>
        <v>2015</v>
      </c>
      <c r="D8640" s="433">
        <f t="shared" si="269"/>
        <v>2688.2</v>
      </c>
    </row>
    <row r="8641" spans="1:4" ht="16.149999999999999" customHeight="1" x14ac:dyDescent="0.25">
      <c r="A8641" s="431">
        <v>42201</v>
      </c>
      <c r="B8641" s="432">
        <v>2713.04</v>
      </c>
      <c r="C8641" s="427">
        <f t="shared" si="268"/>
        <v>2015</v>
      </c>
      <c r="D8641" s="433">
        <f t="shared" si="269"/>
        <v>2713.04</v>
      </c>
    </row>
    <row r="8642" spans="1:4" ht="16.149999999999999" customHeight="1" x14ac:dyDescent="0.25">
      <c r="A8642" s="431">
        <v>42202</v>
      </c>
      <c r="B8642" s="434">
        <v>2727.23</v>
      </c>
      <c r="C8642" s="427">
        <f t="shared" si="268"/>
        <v>2015</v>
      </c>
      <c r="D8642" s="433">
        <f t="shared" si="269"/>
        <v>2727.23</v>
      </c>
    </row>
    <row r="8643" spans="1:4" ht="16.149999999999999" customHeight="1" x14ac:dyDescent="0.25">
      <c r="A8643" s="431">
        <v>42203</v>
      </c>
      <c r="B8643" s="432">
        <v>2751.88</v>
      </c>
      <c r="C8643" s="427">
        <f t="shared" si="268"/>
        <v>2015</v>
      </c>
      <c r="D8643" s="433">
        <f t="shared" si="269"/>
        <v>2751.88</v>
      </c>
    </row>
    <row r="8644" spans="1:4" ht="16.149999999999999" customHeight="1" x14ac:dyDescent="0.25">
      <c r="A8644" s="431">
        <v>42204</v>
      </c>
      <c r="B8644" s="434">
        <v>2751.88</v>
      </c>
      <c r="C8644" s="427">
        <f t="shared" si="268"/>
        <v>2015</v>
      </c>
      <c r="D8644" s="433">
        <f t="shared" si="269"/>
        <v>2751.88</v>
      </c>
    </row>
    <row r="8645" spans="1:4" ht="16.149999999999999" customHeight="1" x14ac:dyDescent="0.25">
      <c r="A8645" s="431">
        <v>42205</v>
      </c>
      <c r="B8645" s="432">
        <v>2751.88</v>
      </c>
      <c r="C8645" s="427">
        <f t="shared" si="268"/>
        <v>2015</v>
      </c>
      <c r="D8645" s="433">
        <f t="shared" si="269"/>
        <v>2751.88</v>
      </c>
    </row>
    <row r="8646" spans="1:4" ht="16.149999999999999" customHeight="1" x14ac:dyDescent="0.25">
      <c r="A8646" s="431">
        <v>42206</v>
      </c>
      <c r="B8646" s="434">
        <v>2751.88</v>
      </c>
      <c r="C8646" s="427">
        <f t="shared" si="268"/>
        <v>2015</v>
      </c>
      <c r="D8646" s="433">
        <f t="shared" si="269"/>
        <v>2751.88</v>
      </c>
    </row>
    <row r="8647" spans="1:4" ht="16.149999999999999" customHeight="1" x14ac:dyDescent="0.25">
      <c r="A8647" s="431">
        <v>42207</v>
      </c>
      <c r="B8647" s="432">
        <v>2765.1</v>
      </c>
      <c r="C8647" s="427">
        <f t="shared" si="268"/>
        <v>2015</v>
      </c>
      <c r="D8647" s="433">
        <f t="shared" si="269"/>
        <v>2765.1</v>
      </c>
    </row>
    <row r="8648" spans="1:4" ht="16.149999999999999" customHeight="1" x14ac:dyDescent="0.25">
      <c r="A8648" s="431">
        <v>42208</v>
      </c>
      <c r="B8648" s="434">
        <v>2790.26</v>
      </c>
      <c r="C8648" s="427">
        <f t="shared" si="268"/>
        <v>2015</v>
      </c>
      <c r="D8648" s="433">
        <f t="shared" si="269"/>
        <v>2790.26</v>
      </c>
    </row>
    <row r="8649" spans="1:4" ht="16.149999999999999" customHeight="1" x14ac:dyDescent="0.25">
      <c r="A8649" s="431">
        <v>42209</v>
      </c>
      <c r="B8649" s="432">
        <v>2807.36</v>
      </c>
      <c r="C8649" s="427">
        <f t="shared" si="268"/>
        <v>2015</v>
      </c>
      <c r="D8649" s="433">
        <f t="shared" si="269"/>
        <v>2807.36</v>
      </c>
    </row>
    <row r="8650" spans="1:4" ht="16.149999999999999" customHeight="1" x14ac:dyDescent="0.25">
      <c r="A8650" s="431">
        <v>42210</v>
      </c>
      <c r="B8650" s="434">
        <v>2857.46</v>
      </c>
      <c r="C8650" s="427">
        <f t="shared" ref="C8650:C8713" si="270">YEAR(A8650)</f>
        <v>2015</v>
      </c>
      <c r="D8650" s="433">
        <f t="shared" ref="D8650:D8713" si="271">B8650</f>
        <v>2857.46</v>
      </c>
    </row>
    <row r="8651" spans="1:4" ht="16.149999999999999" customHeight="1" x14ac:dyDescent="0.25">
      <c r="A8651" s="431">
        <v>42211</v>
      </c>
      <c r="B8651" s="432">
        <v>2857.46</v>
      </c>
      <c r="C8651" s="427">
        <f t="shared" si="270"/>
        <v>2015</v>
      </c>
      <c r="D8651" s="433">
        <f t="shared" si="271"/>
        <v>2857.46</v>
      </c>
    </row>
    <row r="8652" spans="1:4" ht="16.149999999999999" customHeight="1" x14ac:dyDescent="0.25">
      <c r="A8652" s="431">
        <v>42212</v>
      </c>
      <c r="B8652" s="434">
        <v>2857.46</v>
      </c>
      <c r="C8652" s="427">
        <f t="shared" si="270"/>
        <v>2015</v>
      </c>
      <c r="D8652" s="433">
        <f t="shared" si="271"/>
        <v>2857.46</v>
      </c>
    </row>
    <row r="8653" spans="1:4" ht="16.149999999999999" customHeight="1" x14ac:dyDescent="0.25">
      <c r="A8653" s="431">
        <v>42213</v>
      </c>
      <c r="B8653" s="432">
        <v>2854.13</v>
      </c>
      <c r="C8653" s="427">
        <f t="shared" si="270"/>
        <v>2015</v>
      </c>
      <c r="D8653" s="433">
        <f t="shared" si="271"/>
        <v>2854.13</v>
      </c>
    </row>
    <row r="8654" spans="1:4" ht="16.149999999999999" customHeight="1" x14ac:dyDescent="0.25">
      <c r="A8654" s="431">
        <v>42214</v>
      </c>
      <c r="B8654" s="434">
        <v>2855.44</v>
      </c>
      <c r="C8654" s="427">
        <f t="shared" si="270"/>
        <v>2015</v>
      </c>
      <c r="D8654" s="433">
        <f t="shared" si="271"/>
        <v>2855.44</v>
      </c>
    </row>
    <row r="8655" spans="1:4" ht="16.149999999999999" customHeight="1" x14ac:dyDescent="0.25">
      <c r="A8655" s="431">
        <v>42215</v>
      </c>
      <c r="B8655" s="432">
        <v>2855.32</v>
      </c>
      <c r="C8655" s="427">
        <f t="shared" si="270"/>
        <v>2015</v>
      </c>
      <c r="D8655" s="433">
        <f t="shared" si="271"/>
        <v>2855.32</v>
      </c>
    </row>
    <row r="8656" spans="1:4" ht="16.149999999999999" customHeight="1" x14ac:dyDescent="0.25">
      <c r="A8656" s="431">
        <v>42216</v>
      </c>
      <c r="B8656" s="434">
        <v>2866.04</v>
      </c>
      <c r="C8656" s="427">
        <f t="shared" si="270"/>
        <v>2015</v>
      </c>
      <c r="D8656" s="433">
        <f t="shared" si="271"/>
        <v>2866.04</v>
      </c>
    </row>
    <row r="8657" spans="1:4" ht="16.149999999999999" customHeight="1" x14ac:dyDescent="0.25">
      <c r="A8657" s="431">
        <v>42217</v>
      </c>
      <c r="B8657" s="432">
        <v>2862.51</v>
      </c>
      <c r="C8657" s="427">
        <f t="shared" si="270"/>
        <v>2015</v>
      </c>
      <c r="D8657" s="433">
        <f t="shared" si="271"/>
        <v>2862.51</v>
      </c>
    </row>
    <row r="8658" spans="1:4" ht="16.149999999999999" customHeight="1" x14ac:dyDescent="0.25">
      <c r="A8658" s="431">
        <v>42218</v>
      </c>
      <c r="B8658" s="434">
        <v>2862.51</v>
      </c>
      <c r="C8658" s="427">
        <f t="shared" si="270"/>
        <v>2015</v>
      </c>
      <c r="D8658" s="433">
        <f t="shared" si="271"/>
        <v>2862.51</v>
      </c>
    </row>
    <row r="8659" spans="1:4" ht="16.149999999999999" customHeight="1" x14ac:dyDescent="0.25">
      <c r="A8659" s="431">
        <v>42219</v>
      </c>
      <c r="B8659" s="432">
        <v>2862.51</v>
      </c>
      <c r="C8659" s="427">
        <f t="shared" si="270"/>
        <v>2015</v>
      </c>
      <c r="D8659" s="433">
        <f t="shared" si="271"/>
        <v>2862.51</v>
      </c>
    </row>
    <row r="8660" spans="1:4" ht="16.149999999999999" customHeight="1" x14ac:dyDescent="0.25">
      <c r="A8660" s="431">
        <v>42220</v>
      </c>
      <c r="B8660" s="434">
        <v>2902.98</v>
      </c>
      <c r="C8660" s="427">
        <f t="shared" si="270"/>
        <v>2015</v>
      </c>
      <c r="D8660" s="433">
        <f t="shared" si="271"/>
        <v>2902.98</v>
      </c>
    </row>
    <row r="8661" spans="1:4" ht="16.149999999999999" customHeight="1" x14ac:dyDescent="0.25">
      <c r="A8661" s="431">
        <v>42221</v>
      </c>
      <c r="B8661" s="432">
        <v>2906.95</v>
      </c>
      <c r="C8661" s="427">
        <f t="shared" si="270"/>
        <v>2015</v>
      </c>
      <c r="D8661" s="433">
        <f t="shared" si="271"/>
        <v>2906.95</v>
      </c>
    </row>
    <row r="8662" spans="1:4" ht="16.149999999999999" customHeight="1" x14ac:dyDescent="0.25">
      <c r="A8662" s="431">
        <v>42222</v>
      </c>
      <c r="B8662" s="434">
        <v>2945.97</v>
      </c>
      <c r="C8662" s="427">
        <f t="shared" si="270"/>
        <v>2015</v>
      </c>
      <c r="D8662" s="433">
        <f t="shared" si="271"/>
        <v>2945.97</v>
      </c>
    </row>
    <row r="8663" spans="1:4" ht="16.149999999999999" customHeight="1" x14ac:dyDescent="0.25">
      <c r="A8663" s="431">
        <v>42223</v>
      </c>
      <c r="B8663" s="432">
        <v>2955.31</v>
      </c>
      <c r="C8663" s="427">
        <f t="shared" si="270"/>
        <v>2015</v>
      </c>
      <c r="D8663" s="433">
        <f t="shared" si="271"/>
        <v>2955.31</v>
      </c>
    </row>
    <row r="8664" spans="1:4" ht="16.149999999999999" customHeight="1" x14ac:dyDescent="0.25">
      <c r="A8664" s="431">
        <v>42224</v>
      </c>
      <c r="B8664" s="434">
        <v>2955.31</v>
      </c>
      <c r="C8664" s="427">
        <f t="shared" si="270"/>
        <v>2015</v>
      </c>
      <c r="D8664" s="433">
        <f t="shared" si="271"/>
        <v>2955.31</v>
      </c>
    </row>
    <row r="8665" spans="1:4" ht="16.149999999999999" customHeight="1" x14ac:dyDescent="0.25">
      <c r="A8665" s="431">
        <v>42225</v>
      </c>
      <c r="B8665" s="432">
        <v>2955.31</v>
      </c>
      <c r="C8665" s="427">
        <f t="shared" si="270"/>
        <v>2015</v>
      </c>
      <c r="D8665" s="433">
        <f t="shared" si="271"/>
        <v>2955.31</v>
      </c>
    </row>
    <row r="8666" spans="1:4" ht="16.149999999999999" customHeight="1" x14ac:dyDescent="0.25">
      <c r="A8666" s="431">
        <v>42226</v>
      </c>
      <c r="B8666" s="434">
        <v>2955.31</v>
      </c>
      <c r="C8666" s="427">
        <f t="shared" si="270"/>
        <v>2015</v>
      </c>
      <c r="D8666" s="433">
        <f t="shared" si="271"/>
        <v>2955.31</v>
      </c>
    </row>
    <row r="8667" spans="1:4" ht="16.149999999999999" customHeight="1" x14ac:dyDescent="0.25">
      <c r="A8667" s="431">
        <v>42227</v>
      </c>
      <c r="B8667" s="432">
        <v>2913.45</v>
      </c>
      <c r="C8667" s="427">
        <f t="shared" si="270"/>
        <v>2015</v>
      </c>
      <c r="D8667" s="433">
        <f t="shared" si="271"/>
        <v>2913.45</v>
      </c>
    </row>
    <row r="8668" spans="1:4" ht="16.149999999999999" customHeight="1" x14ac:dyDescent="0.25">
      <c r="A8668" s="431">
        <v>42228</v>
      </c>
      <c r="B8668" s="434">
        <v>2943.97</v>
      </c>
      <c r="C8668" s="427">
        <f t="shared" si="270"/>
        <v>2015</v>
      </c>
      <c r="D8668" s="433">
        <f t="shared" si="271"/>
        <v>2943.97</v>
      </c>
    </row>
    <row r="8669" spans="1:4" ht="16.149999999999999" customHeight="1" x14ac:dyDescent="0.25">
      <c r="A8669" s="431">
        <v>42229</v>
      </c>
      <c r="B8669" s="432">
        <v>2937.63</v>
      </c>
      <c r="C8669" s="427">
        <f t="shared" si="270"/>
        <v>2015</v>
      </c>
      <c r="D8669" s="433">
        <f t="shared" si="271"/>
        <v>2937.63</v>
      </c>
    </row>
    <row r="8670" spans="1:4" ht="16.149999999999999" customHeight="1" x14ac:dyDescent="0.25">
      <c r="A8670" s="431">
        <v>42230</v>
      </c>
      <c r="B8670" s="434">
        <v>2966.12</v>
      </c>
      <c r="C8670" s="427">
        <f t="shared" si="270"/>
        <v>2015</v>
      </c>
      <c r="D8670" s="433">
        <f t="shared" si="271"/>
        <v>2966.12</v>
      </c>
    </row>
    <row r="8671" spans="1:4" ht="16.149999999999999" customHeight="1" x14ac:dyDescent="0.25">
      <c r="A8671" s="431">
        <v>42231</v>
      </c>
      <c r="B8671" s="432">
        <v>2983.12</v>
      </c>
      <c r="C8671" s="427">
        <f t="shared" si="270"/>
        <v>2015</v>
      </c>
      <c r="D8671" s="433">
        <f t="shared" si="271"/>
        <v>2983.12</v>
      </c>
    </row>
    <row r="8672" spans="1:4" ht="16.149999999999999" customHeight="1" x14ac:dyDescent="0.25">
      <c r="A8672" s="431">
        <v>42232</v>
      </c>
      <c r="B8672" s="434">
        <v>2983.12</v>
      </c>
      <c r="C8672" s="427">
        <f t="shared" si="270"/>
        <v>2015</v>
      </c>
      <c r="D8672" s="433">
        <f t="shared" si="271"/>
        <v>2983.12</v>
      </c>
    </row>
    <row r="8673" spans="1:4" ht="16.149999999999999" customHeight="1" x14ac:dyDescent="0.25">
      <c r="A8673" s="431">
        <v>42233</v>
      </c>
      <c r="B8673" s="432">
        <v>2983.12</v>
      </c>
      <c r="C8673" s="427">
        <f t="shared" si="270"/>
        <v>2015</v>
      </c>
      <c r="D8673" s="433">
        <f t="shared" si="271"/>
        <v>2983.12</v>
      </c>
    </row>
    <row r="8674" spans="1:4" ht="16.149999999999999" customHeight="1" x14ac:dyDescent="0.25">
      <c r="A8674" s="431">
        <v>42234</v>
      </c>
      <c r="B8674" s="434">
        <v>2983.12</v>
      </c>
      <c r="C8674" s="427">
        <f t="shared" si="270"/>
        <v>2015</v>
      </c>
      <c r="D8674" s="433">
        <f t="shared" si="271"/>
        <v>2983.12</v>
      </c>
    </row>
    <row r="8675" spans="1:4" ht="16.149999999999999" customHeight="1" x14ac:dyDescent="0.25">
      <c r="A8675" s="431">
        <v>42235</v>
      </c>
      <c r="B8675" s="432">
        <v>3003.35</v>
      </c>
      <c r="C8675" s="427">
        <f t="shared" si="270"/>
        <v>2015</v>
      </c>
      <c r="D8675" s="433">
        <f t="shared" si="271"/>
        <v>3003.35</v>
      </c>
    </row>
    <row r="8676" spans="1:4" ht="16.149999999999999" customHeight="1" x14ac:dyDescent="0.25">
      <c r="A8676" s="431">
        <v>42236</v>
      </c>
      <c r="B8676" s="434">
        <v>3027.2</v>
      </c>
      <c r="C8676" s="427">
        <f t="shared" si="270"/>
        <v>2015</v>
      </c>
      <c r="D8676" s="433">
        <f t="shared" si="271"/>
        <v>3027.2</v>
      </c>
    </row>
    <row r="8677" spans="1:4" ht="16.149999999999999" customHeight="1" x14ac:dyDescent="0.25">
      <c r="A8677" s="431">
        <v>42237</v>
      </c>
      <c r="B8677" s="432">
        <v>3053.65</v>
      </c>
      <c r="C8677" s="427">
        <f t="shared" si="270"/>
        <v>2015</v>
      </c>
      <c r="D8677" s="433">
        <f t="shared" si="271"/>
        <v>3053.65</v>
      </c>
    </row>
    <row r="8678" spans="1:4" ht="16.149999999999999" customHeight="1" x14ac:dyDescent="0.25">
      <c r="A8678" s="431">
        <v>42238</v>
      </c>
      <c r="B8678" s="434">
        <v>3102.6</v>
      </c>
      <c r="C8678" s="427">
        <f t="shared" si="270"/>
        <v>2015</v>
      </c>
      <c r="D8678" s="433">
        <f t="shared" si="271"/>
        <v>3102.6</v>
      </c>
    </row>
    <row r="8679" spans="1:4" ht="16.149999999999999" customHeight="1" x14ac:dyDescent="0.25">
      <c r="A8679" s="431">
        <v>42239</v>
      </c>
      <c r="B8679" s="432">
        <v>3102.6</v>
      </c>
      <c r="C8679" s="427">
        <f t="shared" si="270"/>
        <v>2015</v>
      </c>
      <c r="D8679" s="433">
        <f t="shared" si="271"/>
        <v>3102.6</v>
      </c>
    </row>
    <row r="8680" spans="1:4" ht="16.149999999999999" customHeight="1" x14ac:dyDescent="0.25">
      <c r="A8680" s="431">
        <v>42240</v>
      </c>
      <c r="B8680" s="434">
        <v>3102.6</v>
      </c>
      <c r="C8680" s="427">
        <f t="shared" si="270"/>
        <v>2015</v>
      </c>
      <c r="D8680" s="433">
        <f t="shared" si="271"/>
        <v>3102.6</v>
      </c>
    </row>
    <row r="8681" spans="1:4" ht="16.149999999999999" customHeight="1" x14ac:dyDescent="0.25">
      <c r="A8681" s="431">
        <v>42241</v>
      </c>
      <c r="B8681" s="432">
        <v>3208.37</v>
      </c>
      <c r="C8681" s="427">
        <f t="shared" si="270"/>
        <v>2015</v>
      </c>
      <c r="D8681" s="433">
        <f t="shared" si="271"/>
        <v>3208.37</v>
      </c>
    </row>
    <row r="8682" spans="1:4" ht="16.149999999999999" customHeight="1" x14ac:dyDescent="0.25">
      <c r="A8682" s="431">
        <v>42242</v>
      </c>
      <c r="B8682" s="434">
        <v>3194.24</v>
      </c>
      <c r="C8682" s="427">
        <f t="shared" si="270"/>
        <v>2015</v>
      </c>
      <c r="D8682" s="433">
        <f t="shared" si="271"/>
        <v>3194.24</v>
      </c>
    </row>
    <row r="8683" spans="1:4" ht="16.149999999999999" customHeight="1" x14ac:dyDescent="0.25">
      <c r="A8683" s="431">
        <v>42243</v>
      </c>
      <c r="B8683" s="432">
        <v>3238.51</v>
      </c>
      <c r="C8683" s="427">
        <f t="shared" si="270"/>
        <v>2015</v>
      </c>
      <c r="D8683" s="433">
        <f t="shared" si="271"/>
        <v>3238.51</v>
      </c>
    </row>
    <row r="8684" spans="1:4" ht="16.149999999999999" customHeight="1" x14ac:dyDescent="0.25">
      <c r="A8684" s="431">
        <v>42244</v>
      </c>
      <c r="B8684" s="434">
        <v>3195.47</v>
      </c>
      <c r="C8684" s="427">
        <f t="shared" si="270"/>
        <v>2015</v>
      </c>
      <c r="D8684" s="433">
        <f t="shared" si="271"/>
        <v>3195.47</v>
      </c>
    </row>
    <row r="8685" spans="1:4" ht="16.149999999999999" customHeight="1" x14ac:dyDescent="0.25">
      <c r="A8685" s="431">
        <v>42245</v>
      </c>
      <c r="B8685" s="432">
        <v>3101.1</v>
      </c>
      <c r="C8685" s="427">
        <f t="shared" si="270"/>
        <v>2015</v>
      </c>
      <c r="D8685" s="433">
        <f t="shared" si="271"/>
        <v>3101.1</v>
      </c>
    </row>
    <row r="8686" spans="1:4" ht="16.149999999999999" customHeight="1" x14ac:dyDescent="0.25">
      <c r="A8686" s="431">
        <v>42246</v>
      </c>
      <c r="B8686" s="434">
        <v>3101.1</v>
      </c>
      <c r="C8686" s="427">
        <f t="shared" si="270"/>
        <v>2015</v>
      </c>
      <c r="D8686" s="433">
        <f t="shared" si="271"/>
        <v>3101.1</v>
      </c>
    </row>
    <row r="8687" spans="1:4" ht="16.149999999999999" customHeight="1" x14ac:dyDescent="0.25">
      <c r="A8687" s="431">
        <v>42247</v>
      </c>
      <c r="B8687" s="432">
        <v>3101.1</v>
      </c>
      <c r="C8687" s="427">
        <f t="shared" si="270"/>
        <v>2015</v>
      </c>
      <c r="D8687" s="433">
        <f t="shared" si="271"/>
        <v>3101.1</v>
      </c>
    </row>
    <row r="8688" spans="1:4" ht="16.149999999999999" customHeight="1" x14ac:dyDescent="0.25">
      <c r="A8688" s="431">
        <v>42248</v>
      </c>
      <c r="B8688" s="434">
        <v>3079.97</v>
      </c>
      <c r="C8688" s="427">
        <f t="shared" si="270"/>
        <v>2015</v>
      </c>
      <c r="D8688" s="433">
        <f t="shared" si="271"/>
        <v>3079.97</v>
      </c>
    </row>
    <row r="8689" spans="1:4" ht="16.149999999999999" customHeight="1" x14ac:dyDescent="0.25">
      <c r="A8689" s="431">
        <v>42249</v>
      </c>
      <c r="B8689" s="432">
        <v>3093.64</v>
      </c>
      <c r="C8689" s="427">
        <f t="shared" si="270"/>
        <v>2015</v>
      </c>
      <c r="D8689" s="433">
        <f t="shared" si="271"/>
        <v>3093.64</v>
      </c>
    </row>
    <row r="8690" spans="1:4" ht="16.149999999999999" customHeight="1" x14ac:dyDescent="0.25">
      <c r="A8690" s="431">
        <v>42250</v>
      </c>
      <c r="B8690" s="434">
        <v>3142.34</v>
      </c>
      <c r="C8690" s="427">
        <f t="shared" si="270"/>
        <v>2015</v>
      </c>
      <c r="D8690" s="433">
        <f t="shared" si="271"/>
        <v>3142.34</v>
      </c>
    </row>
    <row r="8691" spans="1:4" ht="16.149999999999999" customHeight="1" x14ac:dyDescent="0.25">
      <c r="A8691" s="431">
        <v>42251</v>
      </c>
      <c r="B8691" s="432">
        <v>3119.93</v>
      </c>
      <c r="C8691" s="427">
        <f t="shared" si="270"/>
        <v>2015</v>
      </c>
      <c r="D8691" s="433">
        <f t="shared" si="271"/>
        <v>3119.93</v>
      </c>
    </row>
    <row r="8692" spans="1:4" ht="16.149999999999999" customHeight="1" x14ac:dyDescent="0.25">
      <c r="A8692" s="431">
        <v>42252</v>
      </c>
      <c r="B8692" s="434">
        <v>3113.55</v>
      </c>
      <c r="C8692" s="427">
        <f t="shared" si="270"/>
        <v>2015</v>
      </c>
      <c r="D8692" s="433">
        <f t="shared" si="271"/>
        <v>3113.55</v>
      </c>
    </row>
    <row r="8693" spans="1:4" ht="16.149999999999999" customHeight="1" x14ac:dyDescent="0.25">
      <c r="A8693" s="431">
        <v>42253</v>
      </c>
      <c r="B8693" s="432">
        <v>3113.55</v>
      </c>
      <c r="C8693" s="427">
        <f t="shared" si="270"/>
        <v>2015</v>
      </c>
      <c r="D8693" s="433">
        <f t="shared" si="271"/>
        <v>3113.55</v>
      </c>
    </row>
    <row r="8694" spans="1:4" ht="16.149999999999999" customHeight="1" x14ac:dyDescent="0.25">
      <c r="A8694" s="431">
        <v>42254</v>
      </c>
      <c r="B8694" s="434">
        <v>3113.55</v>
      </c>
      <c r="C8694" s="427">
        <f t="shared" si="270"/>
        <v>2015</v>
      </c>
      <c r="D8694" s="433">
        <f t="shared" si="271"/>
        <v>3113.55</v>
      </c>
    </row>
    <row r="8695" spans="1:4" ht="16.149999999999999" customHeight="1" x14ac:dyDescent="0.25">
      <c r="A8695" s="431">
        <v>42255</v>
      </c>
      <c r="B8695" s="432">
        <v>3113.55</v>
      </c>
      <c r="C8695" s="427">
        <f t="shared" si="270"/>
        <v>2015</v>
      </c>
      <c r="D8695" s="433">
        <f t="shared" si="271"/>
        <v>3113.55</v>
      </c>
    </row>
    <row r="8696" spans="1:4" ht="16.149999999999999" customHeight="1" x14ac:dyDescent="0.25">
      <c r="A8696" s="431">
        <v>42256</v>
      </c>
      <c r="B8696" s="434">
        <v>3138.46</v>
      </c>
      <c r="C8696" s="427">
        <f t="shared" si="270"/>
        <v>2015</v>
      </c>
      <c r="D8696" s="433">
        <f t="shared" si="271"/>
        <v>3138.46</v>
      </c>
    </row>
    <row r="8697" spans="1:4" ht="16.149999999999999" customHeight="1" x14ac:dyDescent="0.25">
      <c r="A8697" s="431">
        <v>42257</v>
      </c>
      <c r="B8697" s="432">
        <v>3105.4</v>
      </c>
      <c r="C8697" s="427">
        <f t="shared" si="270"/>
        <v>2015</v>
      </c>
      <c r="D8697" s="433">
        <f t="shared" si="271"/>
        <v>3105.4</v>
      </c>
    </row>
    <row r="8698" spans="1:4" ht="16.149999999999999" customHeight="1" x14ac:dyDescent="0.25">
      <c r="A8698" s="431">
        <v>42258</v>
      </c>
      <c r="B8698" s="434">
        <v>3080.57</v>
      </c>
      <c r="C8698" s="427">
        <f t="shared" si="270"/>
        <v>2015</v>
      </c>
      <c r="D8698" s="433">
        <f t="shared" si="271"/>
        <v>3080.57</v>
      </c>
    </row>
    <row r="8699" spans="1:4" ht="16.149999999999999" customHeight="1" x14ac:dyDescent="0.25">
      <c r="A8699" s="431">
        <v>42259</v>
      </c>
      <c r="B8699" s="432">
        <v>3012.96</v>
      </c>
      <c r="C8699" s="427">
        <f t="shared" si="270"/>
        <v>2015</v>
      </c>
      <c r="D8699" s="433">
        <f t="shared" si="271"/>
        <v>3012.96</v>
      </c>
    </row>
    <row r="8700" spans="1:4" ht="16.149999999999999" customHeight="1" x14ac:dyDescent="0.25">
      <c r="A8700" s="431">
        <v>42260</v>
      </c>
      <c r="B8700" s="434">
        <v>3012.96</v>
      </c>
      <c r="C8700" s="427">
        <f t="shared" si="270"/>
        <v>2015</v>
      </c>
      <c r="D8700" s="433">
        <f t="shared" si="271"/>
        <v>3012.96</v>
      </c>
    </row>
    <row r="8701" spans="1:4" ht="16.149999999999999" customHeight="1" x14ac:dyDescent="0.25">
      <c r="A8701" s="431">
        <v>42261</v>
      </c>
      <c r="B8701" s="432">
        <v>3012.96</v>
      </c>
      <c r="C8701" s="427">
        <f t="shared" si="270"/>
        <v>2015</v>
      </c>
      <c r="D8701" s="433">
        <f t="shared" si="271"/>
        <v>3012.96</v>
      </c>
    </row>
    <row r="8702" spans="1:4" ht="16.149999999999999" customHeight="1" x14ac:dyDescent="0.25">
      <c r="A8702" s="431">
        <v>42262</v>
      </c>
      <c r="B8702" s="434">
        <v>3032.59</v>
      </c>
      <c r="C8702" s="427">
        <f t="shared" si="270"/>
        <v>2015</v>
      </c>
      <c r="D8702" s="433">
        <f t="shared" si="271"/>
        <v>3032.59</v>
      </c>
    </row>
    <row r="8703" spans="1:4" ht="16.149999999999999" customHeight="1" x14ac:dyDescent="0.25">
      <c r="A8703" s="431">
        <v>42263</v>
      </c>
      <c r="B8703" s="432">
        <v>3025.28</v>
      </c>
      <c r="C8703" s="427">
        <f t="shared" si="270"/>
        <v>2015</v>
      </c>
      <c r="D8703" s="433">
        <f t="shared" si="271"/>
        <v>3025.28</v>
      </c>
    </row>
    <row r="8704" spans="1:4" ht="16.149999999999999" customHeight="1" x14ac:dyDescent="0.25">
      <c r="A8704" s="431">
        <v>42264</v>
      </c>
      <c r="B8704" s="434">
        <v>2989.04</v>
      </c>
      <c r="C8704" s="427">
        <f t="shared" si="270"/>
        <v>2015</v>
      </c>
      <c r="D8704" s="433">
        <f t="shared" si="271"/>
        <v>2989.04</v>
      </c>
    </row>
    <row r="8705" spans="1:4" ht="16.149999999999999" customHeight="1" x14ac:dyDescent="0.25">
      <c r="A8705" s="431">
        <v>42265</v>
      </c>
      <c r="B8705" s="432">
        <v>2975.13</v>
      </c>
      <c r="C8705" s="427">
        <f t="shared" si="270"/>
        <v>2015</v>
      </c>
      <c r="D8705" s="433">
        <f t="shared" si="271"/>
        <v>2975.13</v>
      </c>
    </row>
    <row r="8706" spans="1:4" ht="16.149999999999999" customHeight="1" x14ac:dyDescent="0.25">
      <c r="A8706" s="431">
        <v>42266</v>
      </c>
      <c r="B8706" s="434">
        <v>2984.9</v>
      </c>
      <c r="C8706" s="427">
        <f t="shared" si="270"/>
        <v>2015</v>
      </c>
      <c r="D8706" s="433">
        <f t="shared" si="271"/>
        <v>2984.9</v>
      </c>
    </row>
    <row r="8707" spans="1:4" ht="16.149999999999999" customHeight="1" x14ac:dyDescent="0.25">
      <c r="A8707" s="431">
        <v>42267</v>
      </c>
      <c r="B8707" s="432">
        <v>2984.9</v>
      </c>
      <c r="C8707" s="427">
        <f t="shared" si="270"/>
        <v>2015</v>
      </c>
      <c r="D8707" s="433">
        <f t="shared" si="271"/>
        <v>2984.9</v>
      </c>
    </row>
    <row r="8708" spans="1:4" ht="16.149999999999999" customHeight="1" x14ac:dyDescent="0.25">
      <c r="A8708" s="431">
        <v>42268</v>
      </c>
      <c r="B8708" s="434">
        <v>2984.9</v>
      </c>
      <c r="C8708" s="427">
        <f t="shared" si="270"/>
        <v>2015</v>
      </c>
      <c r="D8708" s="433">
        <f t="shared" si="271"/>
        <v>2984.9</v>
      </c>
    </row>
    <row r="8709" spans="1:4" ht="16.149999999999999" customHeight="1" x14ac:dyDescent="0.25">
      <c r="A8709" s="431">
        <v>42269</v>
      </c>
      <c r="B8709" s="432">
        <v>3001.68</v>
      </c>
      <c r="C8709" s="427">
        <f t="shared" si="270"/>
        <v>2015</v>
      </c>
      <c r="D8709" s="433">
        <f t="shared" si="271"/>
        <v>3001.68</v>
      </c>
    </row>
    <row r="8710" spans="1:4" ht="16.149999999999999" customHeight="1" x14ac:dyDescent="0.25">
      <c r="A8710" s="431">
        <v>42270</v>
      </c>
      <c r="B8710" s="434">
        <v>3065.74</v>
      </c>
      <c r="C8710" s="427">
        <f t="shared" si="270"/>
        <v>2015</v>
      </c>
      <c r="D8710" s="433">
        <f t="shared" si="271"/>
        <v>3065.74</v>
      </c>
    </row>
    <row r="8711" spans="1:4" ht="16.149999999999999" customHeight="1" x14ac:dyDescent="0.25">
      <c r="A8711" s="431">
        <v>42271</v>
      </c>
      <c r="B8711" s="432">
        <v>3099.28</v>
      </c>
      <c r="C8711" s="427">
        <f t="shared" si="270"/>
        <v>2015</v>
      </c>
      <c r="D8711" s="433">
        <f t="shared" si="271"/>
        <v>3099.28</v>
      </c>
    </row>
    <row r="8712" spans="1:4" ht="16.149999999999999" customHeight="1" x14ac:dyDescent="0.25">
      <c r="A8712" s="431">
        <v>42272</v>
      </c>
      <c r="B8712" s="434">
        <v>3135.17</v>
      </c>
      <c r="C8712" s="427">
        <f t="shared" si="270"/>
        <v>2015</v>
      </c>
      <c r="D8712" s="433">
        <f t="shared" si="271"/>
        <v>3135.17</v>
      </c>
    </row>
    <row r="8713" spans="1:4" ht="16.149999999999999" customHeight="1" x14ac:dyDescent="0.25">
      <c r="A8713" s="431">
        <v>42273</v>
      </c>
      <c r="B8713" s="432">
        <v>3080.44</v>
      </c>
      <c r="C8713" s="427">
        <f t="shared" si="270"/>
        <v>2015</v>
      </c>
      <c r="D8713" s="433">
        <f t="shared" si="271"/>
        <v>3080.44</v>
      </c>
    </row>
    <row r="8714" spans="1:4" ht="16.149999999999999" customHeight="1" x14ac:dyDescent="0.25">
      <c r="A8714" s="431">
        <v>42274</v>
      </c>
      <c r="B8714" s="434">
        <v>3080.44</v>
      </c>
      <c r="C8714" s="427">
        <f t="shared" ref="C8714:C8777" si="272">YEAR(A8714)</f>
        <v>2015</v>
      </c>
      <c r="D8714" s="433">
        <f t="shared" ref="D8714:D8777" si="273">B8714</f>
        <v>3080.44</v>
      </c>
    </row>
    <row r="8715" spans="1:4" ht="16.149999999999999" customHeight="1" x14ac:dyDescent="0.25">
      <c r="A8715" s="431">
        <v>42275</v>
      </c>
      <c r="B8715" s="432">
        <v>3080.44</v>
      </c>
      <c r="C8715" s="427">
        <f t="shared" si="272"/>
        <v>2015</v>
      </c>
      <c r="D8715" s="433">
        <f t="shared" si="273"/>
        <v>3080.44</v>
      </c>
    </row>
    <row r="8716" spans="1:4" ht="16.149999999999999" customHeight="1" x14ac:dyDescent="0.25">
      <c r="A8716" s="431">
        <v>42276</v>
      </c>
      <c r="B8716" s="434">
        <v>3096.98</v>
      </c>
      <c r="C8716" s="427">
        <f t="shared" si="272"/>
        <v>2015</v>
      </c>
      <c r="D8716" s="433">
        <f t="shared" si="273"/>
        <v>3096.98</v>
      </c>
    </row>
    <row r="8717" spans="1:4" ht="16.149999999999999" customHeight="1" x14ac:dyDescent="0.25">
      <c r="A8717" s="431">
        <v>42277</v>
      </c>
      <c r="B8717" s="432">
        <v>3121.94</v>
      </c>
      <c r="C8717" s="427">
        <f t="shared" si="272"/>
        <v>2015</v>
      </c>
      <c r="D8717" s="433">
        <f t="shared" si="273"/>
        <v>3121.94</v>
      </c>
    </row>
    <row r="8718" spans="1:4" ht="16.149999999999999" customHeight="1" x14ac:dyDescent="0.25">
      <c r="A8718" s="431">
        <v>42278</v>
      </c>
      <c r="B8718" s="434">
        <v>3086.75</v>
      </c>
      <c r="C8718" s="427">
        <f t="shared" si="272"/>
        <v>2015</v>
      </c>
      <c r="D8718" s="433">
        <f t="shared" si="273"/>
        <v>3086.75</v>
      </c>
    </row>
    <row r="8719" spans="1:4" ht="16.149999999999999" customHeight="1" x14ac:dyDescent="0.25">
      <c r="A8719" s="431">
        <v>42279</v>
      </c>
      <c r="B8719" s="432">
        <v>3061.85</v>
      </c>
      <c r="C8719" s="427">
        <f t="shared" si="272"/>
        <v>2015</v>
      </c>
      <c r="D8719" s="433">
        <f t="shared" si="273"/>
        <v>3061.85</v>
      </c>
    </row>
    <row r="8720" spans="1:4" ht="16.149999999999999" customHeight="1" x14ac:dyDescent="0.25">
      <c r="A8720" s="431">
        <v>42280</v>
      </c>
      <c r="B8720" s="434">
        <v>3034.9</v>
      </c>
      <c r="C8720" s="427">
        <f t="shared" si="272"/>
        <v>2015</v>
      </c>
      <c r="D8720" s="433">
        <f t="shared" si="273"/>
        <v>3034.9</v>
      </c>
    </row>
    <row r="8721" spans="1:4" ht="16.149999999999999" customHeight="1" x14ac:dyDescent="0.25">
      <c r="A8721" s="431">
        <v>42281</v>
      </c>
      <c r="B8721" s="432">
        <v>3034.9</v>
      </c>
      <c r="C8721" s="427">
        <f t="shared" si="272"/>
        <v>2015</v>
      </c>
      <c r="D8721" s="433">
        <f t="shared" si="273"/>
        <v>3034.9</v>
      </c>
    </row>
    <row r="8722" spans="1:4" ht="16.149999999999999" customHeight="1" x14ac:dyDescent="0.25">
      <c r="A8722" s="431">
        <v>42282</v>
      </c>
      <c r="B8722" s="434">
        <v>3034.9</v>
      </c>
      <c r="C8722" s="427">
        <f t="shared" si="272"/>
        <v>2015</v>
      </c>
      <c r="D8722" s="433">
        <f t="shared" si="273"/>
        <v>3034.9</v>
      </c>
    </row>
    <row r="8723" spans="1:4" ht="16.149999999999999" customHeight="1" x14ac:dyDescent="0.25">
      <c r="A8723" s="431">
        <v>42283</v>
      </c>
      <c r="B8723" s="432">
        <v>2971.15</v>
      </c>
      <c r="C8723" s="427">
        <f t="shared" si="272"/>
        <v>2015</v>
      </c>
      <c r="D8723" s="433">
        <f t="shared" si="273"/>
        <v>2971.15</v>
      </c>
    </row>
    <row r="8724" spans="1:4" ht="16.149999999999999" customHeight="1" x14ac:dyDescent="0.25">
      <c r="A8724" s="431">
        <v>42284</v>
      </c>
      <c r="B8724" s="434">
        <v>2913.74</v>
      </c>
      <c r="C8724" s="427">
        <f t="shared" si="272"/>
        <v>2015</v>
      </c>
      <c r="D8724" s="433">
        <f t="shared" si="273"/>
        <v>2913.74</v>
      </c>
    </row>
    <row r="8725" spans="1:4" ht="16.149999999999999" customHeight="1" x14ac:dyDescent="0.25">
      <c r="A8725" s="431">
        <v>42285</v>
      </c>
      <c r="B8725" s="432">
        <v>2891.91</v>
      </c>
      <c r="C8725" s="427">
        <f t="shared" si="272"/>
        <v>2015</v>
      </c>
      <c r="D8725" s="433">
        <f t="shared" si="273"/>
        <v>2891.91</v>
      </c>
    </row>
    <row r="8726" spans="1:4" ht="16.149999999999999" customHeight="1" x14ac:dyDescent="0.25">
      <c r="A8726" s="431">
        <v>42286</v>
      </c>
      <c r="B8726" s="434">
        <v>2887.21</v>
      </c>
      <c r="C8726" s="427">
        <f t="shared" si="272"/>
        <v>2015</v>
      </c>
      <c r="D8726" s="433">
        <f t="shared" si="273"/>
        <v>2887.21</v>
      </c>
    </row>
    <row r="8727" spans="1:4" ht="16.149999999999999" customHeight="1" x14ac:dyDescent="0.25">
      <c r="A8727" s="431">
        <v>42287</v>
      </c>
      <c r="B8727" s="432">
        <v>2855.74</v>
      </c>
      <c r="C8727" s="427">
        <f t="shared" si="272"/>
        <v>2015</v>
      </c>
      <c r="D8727" s="433">
        <f t="shared" si="273"/>
        <v>2855.74</v>
      </c>
    </row>
    <row r="8728" spans="1:4" ht="16.149999999999999" customHeight="1" x14ac:dyDescent="0.25">
      <c r="A8728" s="431">
        <v>42288</v>
      </c>
      <c r="B8728" s="434">
        <v>2855.74</v>
      </c>
      <c r="C8728" s="427">
        <f t="shared" si="272"/>
        <v>2015</v>
      </c>
      <c r="D8728" s="433">
        <f t="shared" si="273"/>
        <v>2855.74</v>
      </c>
    </row>
    <row r="8729" spans="1:4" ht="16.149999999999999" customHeight="1" x14ac:dyDescent="0.25">
      <c r="A8729" s="431">
        <v>42289</v>
      </c>
      <c r="B8729" s="432">
        <v>2855.74</v>
      </c>
      <c r="C8729" s="427">
        <f t="shared" si="272"/>
        <v>2015</v>
      </c>
      <c r="D8729" s="433">
        <f t="shared" si="273"/>
        <v>2855.74</v>
      </c>
    </row>
    <row r="8730" spans="1:4" ht="16.149999999999999" customHeight="1" x14ac:dyDescent="0.25">
      <c r="A8730" s="431">
        <v>42290</v>
      </c>
      <c r="B8730" s="434">
        <v>2855.74</v>
      </c>
      <c r="C8730" s="427">
        <f t="shared" si="272"/>
        <v>2015</v>
      </c>
      <c r="D8730" s="433">
        <f t="shared" si="273"/>
        <v>2855.74</v>
      </c>
    </row>
    <row r="8731" spans="1:4" ht="16.149999999999999" customHeight="1" x14ac:dyDescent="0.25">
      <c r="A8731" s="431">
        <v>42291</v>
      </c>
      <c r="B8731" s="432">
        <v>2910.7</v>
      </c>
      <c r="C8731" s="427">
        <f t="shared" si="272"/>
        <v>2015</v>
      </c>
      <c r="D8731" s="433">
        <f t="shared" si="273"/>
        <v>2910.7</v>
      </c>
    </row>
    <row r="8732" spans="1:4" ht="16.149999999999999" customHeight="1" x14ac:dyDescent="0.25">
      <c r="A8732" s="431">
        <v>42292</v>
      </c>
      <c r="B8732" s="434">
        <v>2928.69</v>
      </c>
      <c r="C8732" s="427">
        <f t="shared" si="272"/>
        <v>2015</v>
      </c>
      <c r="D8732" s="433">
        <f t="shared" si="273"/>
        <v>2928.69</v>
      </c>
    </row>
    <row r="8733" spans="1:4" ht="16.149999999999999" customHeight="1" x14ac:dyDescent="0.25">
      <c r="A8733" s="431">
        <v>42293</v>
      </c>
      <c r="B8733" s="432">
        <v>2908.87</v>
      </c>
      <c r="C8733" s="427">
        <f t="shared" si="272"/>
        <v>2015</v>
      </c>
      <c r="D8733" s="433">
        <f t="shared" si="273"/>
        <v>2908.87</v>
      </c>
    </row>
    <row r="8734" spans="1:4" ht="16.149999999999999" customHeight="1" x14ac:dyDescent="0.25">
      <c r="A8734" s="431">
        <v>42294</v>
      </c>
      <c r="B8734" s="434">
        <v>2879.89</v>
      </c>
      <c r="C8734" s="427">
        <f t="shared" si="272"/>
        <v>2015</v>
      </c>
      <c r="D8734" s="433">
        <f t="shared" si="273"/>
        <v>2879.89</v>
      </c>
    </row>
    <row r="8735" spans="1:4" ht="16.149999999999999" customHeight="1" x14ac:dyDescent="0.25">
      <c r="A8735" s="431">
        <v>42295</v>
      </c>
      <c r="B8735" s="432">
        <v>2879.89</v>
      </c>
      <c r="C8735" s="427">
        <f t="shared" si="272"/>
        <v>2015</v>
      </c>
      <c r="D8735" s="433">
        <f t="shared" si="273"/>
        <v>2879.89</v>
      </c>
    </row>
    <row r="8736" spans="1:4" ht="16.149999999999999" customHeight="1" x14ac:dyDescent="0.25">
      <c r="A8736" s="431">
        <v>42296</v>
      </c>
      <c r="B8736" s="434">
        <v>2879.89</v>
      </c>
      <c r="C8736" s="427">
        <f t="shared" si="272"/>
        <v>2015</v>
      </c>
      <c r="D8736" s="433">
        <f t="shared" si="273"/>
        <v>2879.89</v>
      </c>
    </row>
    <row r="8737" spans="1:4" ht="16.149999999999999" customHeight="1" x14ac:dyDescent="0.25">
      <c r="A8737" s="431">
        <v>42297</v>
      </c>
      <c r="B8737" s="432">
        <v>2912.99</v>
      </c>
      <c r="C8737" s="427">
        <f t="shared" si="272"/>
        <v>2015</v>
      </c>
      <c r="D8737" s="433">
        <f t="shared" si="273"/>
        <v>2912.99</v>
      </c>
    </row>
    <row r="8738" spans="1:4" ht="16.149999999999999" customHeight="1" x14ac:dyDescent="0.25">
      <c r="A8738" s="431">
        <v>42298</v>
      </c>
      <c r="B8738" s="434">
        <v>2929.19</v>
      </c>
      <c r="C8738" s="427">
        <f t="shared" si="272"/>
        <v>2015</v>
      </c>
      <c r="D8738" s="433">
        <f t="shared" si="273"/>
        <v>2929.19</v>
      </c>
    </row>
    <row r="8739" spans="1:4" ht="16.149999999999999" customHeight="1" x14ac:dyDescent="0.25">
      <c r="A8739" s="431">
        <v>42299</v>
      </c>
      <c r="B8739" s="432">
        <v>2966.68</v>
      </c>
      <c r="C8739" s="427">
        <f t="shared" si="272"/>
        <v>2015</v>
      </c>
      <c r="D8739" s="433">
        <f t="shared" si="273"/>
        <v>2966.68</v>
      </c>
    </row>
    <row r="8740" spans="1:4" ht="16.149999999999999" customHeight="1" x14ac:dyDescent="0.25">
      <c r="A8740" s="431">
        <v>42300</v>
      </c>
      <c r="B8740" s="434">
        <v>2925.36</v>
      </c>
      <c r="C8740" s="427">
        <f t="shared" si="272"/>
        <v>2015</v>
      </c>
      <c r="D8740" s="433">
        <f t="shared" si="273"/>
        <v>2925.36</v>
      </c>
    </row>
    <row r="8741" spans="1:4" ht="16.149999999999999" customHeight="1" x14ac:dyDescent="0.25">
      <c r="A8741" s="431">
        <v>42301</v>
      </c>
      <c r="B8741" s="432">
        <v>2912.08</v>
      </c>
      <c r="C8741" s="427">
        <f t="shared" si="272"/>
        <v>2015</v>
      </c>
      <c r="D8741" s="433">
        <f t="shared" si="273"/>
        <v>2912.08</v>
      </c>
    </row>
    <row r="8742" spans="1:4" ht="16.149999999999999" customHeight="1" x14ac:dyDescent="0.25">
      <c r="A8742" s="431">
        <v>42302</v>
      </c>
      <c r="B8742" s="434">
        <v>2912.08</v>
      </c>
      <c r="C8742" s="427">
        <f t="shared" si="272"/>
        <v>2015</v>
      </c>
      <c r="D8742" s="433">
        <f t="shared" si="273"/>
        <v>2912.08</v>
      </c>
    </row>
    <row r="8743" spans="1:4" ht="16.149999999999999" customHeight="1" x14ac:dyDescent="0.25">
      <c r="A8743" s="431">
        <v>42303</v>
      </c>
      <c r="B8743" s="432">
        <v>2912.08</v>
      </c>
      <c r="C8743" s="427">
        <f t="shared" si="272"/>
        <v>2015</v>
      </c>
      <c r="D8743" s="433">
        <f t="shared" si="273"/>
        <v>2912.08</v>
      </c>
    </row>
    <row r="8744" spans="1:4" ht="16.149999999999999" customHeight="1" x14ac:dyDescent="0.25">
      <c r="A8744" s="431">
        <v>42304</v>
      </c>
      <c r="B8744" s="434">
        <v>2918.21</v>
      </c>
      <c r="C8744" s="427">
        <f t="shared" si="272"/>
        <v>2015</v>
      </c>
      <c r="D8744" s="433">
        <f t="shared" si="273"/>
        <v>2918.21</v>
      </c>
    </row>
    <row r="8745" spans="1:4" ht="16.149999999999999" customHeight="1" x14ac:dyDescent="0.25">
      <c r="A8745" s="431">
        <v>42305</v>
      </c>
      <c r="B8745" s="432">
        <v>2950.87</v>
      </c>
      <c r="C8745" s="427">
        <f t="shared" si="272"/>
        <v>2015</v>
      </c>
      <c r="D8745" s="433">
        <f t="shared" si="273"/>
        <v>2950.87</v>
      </c>
    </row>
    <row r="8746" spans="1:4" ht="16.149999999999999" customHeight="1" x14ac:dyDescent="0.25">
      <c r="A8746" s="431">
        <v>42306</v>
      </c>
      <c r="B8746" s="434">
        <v>2926.75</v>
      </c>
      <c r="C8746" s="427">
        <f t="shared" si="272"/>
        <v>2015</v>
      </c>
      <c r="D8746" s="433">
        <f t="shared" si="273"/>
        <v>2926.75</v>
      </c>
    </row>
    <row r="8747" spans="1:4" ht="16.149999999999999" customHeight="1" x14ac:dyDescent="0.25">
      <c r="A8747" s="431">
        <v>42307</v>
      </c>
      <c r="B8747" s="432">
        <v>2921.32</v>
      </c>
      <c r="C8747" s="427">
        <f t="shared" si="272"/>
        <v>2015</v>
      </c>
      <c r="D8747" s="433">
        <f t="shared" si="273"/>
        <v>2921.32</v>
      </c>
    </row>
    <row r="8748" spans="1:4" ht="16.149999999999999" customHeight="1" x14ac:dyDescent="0.25">
      <c r="A8748" s="431">
        <v>42308</v>
      </c>
      <c r="B8748" s="434">
        <v>2897.83</v>
      </c>
      <c r="C8748" s="427">
        <f t="shared" si="272"/>
        <v>2015</v>
      </c>
      <c r="D8748" s="433">
        <f t="shared" si="273"/>
        <v>2897.83</v>
      </c>
    </row>
    <row r="8749" spans="1:4" ht="16.149999999999999" customHeight="1" x14ac:dyDescent="0.25">
      <c r="A8749" s="431">
        <v>42309</v>
      </c>
      <c r="B8749" s="432">
        <v>2897.83</v>
      </c>
      <c r="C8749" s="427">
        <f t="shared" si="272"/>
        <v>2015</v>
      </c>
      <c r="D8749" s="433">
        <f t="shared" si="273"/>
        <v>2897.83</v>
      </c>
    </row>
    <row r="8750" spans="1:4" ht="16.149999999999999" customHeight="1" x14ac:dyDescent="0.25">
      <c r="A8750" s="431">
        <v>42310</v>
      </c>
      <c r="B8750" s="434">
        <v>2897.83</v>
      </c>
      <c r="C8750" s="427">
        <f t="shared" si="272"/>
        <v>2015</v>
      </c>
      <c r="D8750" s="433">
        <f t="shared" si="273"/>
        <v>2897.83</v>
      </c>
    </row>
    <row r="8751" spans="1:4" ht="16.149999999999999" customHeight="1" x14ac:dyDescent="0.25">
      <c r="A8751" s="431">
        <v>42311</v>
      </c>
      <c r="B8751" s="432">
        <v>2897.83</v>
      </c>
      <c r="C8751" s="427">
        <f t="shared" si="272"/>
        <v>2015</v>
      </c>
      <c r="D8751" s="433">
        <f t="shared" si="273"/>
        <v>2897.83</v>
      </c>
    </row>
    <row r="8752" spans="1:4" ht="16.149999999999999" customHeight="1" x14ac:dyDescent="0.25">
      <c r="A8752" s="431">
        <v>42312</v>
      </c>
      <c r="B8752" s="434">
        <v>2825.25</v>
      </c>
      <c r="C8752" s="427">
        <f t="shared" si="272"/>
        <v>2015</v>
      </c>
      <c r="D8752" s="433">
        <f t="shared" si="273"/>
        <v>2825.25</v>
      </c>
    </row>
    <row r="8753" spans="1:4" ht="16.149999999999999" customHeight="1" x14ac:dyDescent="0.25">
      <c r="A8753" s="431">
        <v>42313</v>
      </c>
      <c r="B8753" s="432">
        <v>2819.63</v>
      </c>
      <c r="C8753" s="427">
        <f t="shared" si="272"/>
        <v>2015</v>
      </c>
      <c r="D8753" s="433">
        <f t="shared" si="273"/>
        <v>2819.63</v>
      </c>
    </row>
    <row r="8754" spans="1:4" ht="16.149999999999999" customHeight="1" x14ac:dyDescent="0.25">
      <c r="A8754" s="431">
        <v>42314</v>
      </c>
      <c r="B8754" s="434">
        <v>2853.32</v>
      </c>
      <c r="C8754" s="427">
        <f t="shared" si="272"/>
        <v>2015</v>
      </c>
      <c r="D8754" s="433">
        <f t="shared" si="273"/>
        <v>2853.32</v>
      </c>
    </row>
    <row r="8755" spans="1:4" ht="16.149999999999999" customHeight="1" x14ac:dyDescent="0.25">
      <c r="A8755" s="431">
        <v>42315</v>
      </c>
      <c r="B8755" s="432">
        <v>2896.19</v>
      </c>
      <c r="C8755" s="427">
        <f t="shared" si="272"/>
        <v>2015</v>
      </c>
      <c r="D8755" s="433">
        <f t="shared" si="273"/>
        <v>2896.19</v>
      </c>
    </row>
    <row r="8756" spans="1:4" ht="16.149999999999999" customHeight="1" x14ac:dyDescent="0.25">
      <c r="A8756" s="431">
        <v>42316</v>
      </c>
      <c r="B8756" s="434">
        <v>2896.19</v>
      </c>
      <c r="C8756" s="427">
        <f t="shared" si="272"/>
        <v>2015</v>
      </c>
      <c r="D8756" s="433">
        <f t="shared" si="273"/>
        <v>2896.19</v>
      </c>
    </row>
    <row r="8757" spans="1:4" ht="16.149999999999999" customHeight="1" x14ac:dyDescent="0.25">
      <c r="A8757" s="431">
        <v>42317</v>
      </c>
      <c r="B8757" s="432">
        <v>2896.19</v>
      </c>
      <c r="C8757" s="427">
        <f t="shared" si="272"/>
        <v>2015</v>
      </c>
      <c r="D8757" s="433">
        <f t="shared" si="273"/>
        <v>2896.19</v>
      </c>
    </row>
    <row r="8758" spans="1:4" ht="16.149999999999999" customHeight="1" x14ac:dyDescent="0.25">
      <c r="A8758" s="431">
        <v>42318</v>
      </c>
      <c r="B8758" s="434">
        <v>2921.15</v>
      </c>
      <c r="C8758" s="427">
        <f t="shared" si="272"/>
        <v>2015</v>
      </c>
      <c r="D8758" s="433">
        <f t="shared" si="273"/>
        <v>2921.15</v>
      </c>
    </row>
    <row r="8759" spans="1:4" ht="16.149999999999999" customHeight="1" x14ac:dyDescent="0.25">
      <c r="A8759" s="431">
        <v>42319</v>
      </c>
      <c r="B8759" s="432">
        <v>2935.86</v>
      </c>
      <c r="C8759" s="427">
        <f t="shared" si="272"/>
        <v>2015</v>
      </c>
      <c r="D8759" s="433">
        <f t="shared" si="273"/>
        <v>2935.86</v>
      </c>
    </row>
    <row r="8760" spans="1:4" ht="16.149999999999999" customHeight="1" x14ac:dyDescent="0.25">
      <c r="A8760" s="431">
        <v>42320</v>
      </c>
      <c r="B8760" s="434">
        <v>2935.86</v>
      </c>
      <c r="C8760" s="427">
        <f t="shared" si="272"/>
        <v>2015</v>
      </c>
      <c r="D8760" s="433">
        <f t="shared" si="273"/>
        <v>2935.86</v>
      </c>
    </row>
    <row r="8761" spans="1:4" ht="16.149999999999999" customHeight="1" x14ac:dyDescent="0.25">
      <c r="A8761" s="431">
        <v>42321</v>
      </c>
      <c r="B8761" s="432">
        <v>3009.36</v>
      </c>
      <c r="C8761" s="427">
        <f t="shared" si="272"/>
        <v>2015</v>
      </c>
      <c r="D8761" s="433">
        <f t="shared" si="273"/>
        <v>3009.36</v>
      </c>
    </row>
    <row r="8762" spans="1:4" ht="16.149999999999999" customHeight="1" x14ac:dyDescent="0.25">
      <c r="A8762" s="431">
        <v>42322</v>
      </c>
      <c r="B8762" s="434">
        <v>3073.23</v>
      </c>
      <c r="C8762" s="427">
        <f t="shared" si="272"/>
        <v>2015</v>
      </c>
      <c r="D8762" s="433">
        <f t="shared" si="273"/>
        <v>3073.23</v>
      </c>
    </row>
    <row r="8763" spans="1:4" ht="16.149999999999999" customHeight="1" x14ac:dyDescent="0.25">
      <c r="A8763" s="431">
        <v>42323</v>
      </c>
      <c r="B8763" s="432">
        <v>3073.23</v>
      </c>
      <c r="C8763" s="427">
        <f t="shared" si="272"/>
        <v>2015</v>
      </c>
      <c r="D8763" s="433">
        <f t="shared" si="273"/>
        <v>3073.23</v>
      </c>
    </row>
    <row r="8764" spans="1:4" ht="16.149999999999999" customHeight="1" x14ac:dyDescent="0.25">
      <c r="A8764" s="431">
        <v>42324</v>
      </c>
      <c r="B8764" s="434">
        <v>3073.23</v>
      </c>
      <c r="C8764" s="427">
        <f t="shared" si="272"/>
        <v>2015</v>
      </c>
      <c r="D8764" s="433">
        <f t="shared" si="273"/>
        <v>3073.23</v>
      </c>
    </row>
    <row r="8765" spans="1:4" ht="16.149999999999999" customHeight="1" x14ac:dyDescent="0.25">
      <c r="A8765" s="431">
        <v>42325</v>
      </c>
      <c r="B8765" s="432">
        <v>3073.23</v>
      </c>
      <c r="C8765" s="427">
        <f t="shared" si="272"/>
        <v>2015</v>
      </c>
      <c r="D8765" s="433">
        <f t="shared" si="273"/>
        <v>3073.23</v>
      </c>
    </row>
    <row r="8766" spans="1:4" ht="16.149999999999999" customHeight="1" x14ac:dyDescent="0.25">
      <c r="A8766" s="431">
        <v>42326</v>
      </c>
      <c r="B8766" s="434">
        <v>3069.24</v>
      </c>
      <c r="C8766" s="427">
        <f t="shared" si="272"/>
        <v>2015</v>
      </c>
      <c r="D8766" s="433">
        <f t="shared" si="273"/>
        <v>3069.24</v>
      </c>
    </row>
    <row r="8767" spans="1:4" ht="16.149999999999999" customHeight="1" x14ac:dyDescent="0.25">
      <c r="A8767" s="431">
        <v>42327</v>
      </c>
      <c r="B8767" s="432">
        <v>3108.7</v>
      </c>
      <c r="C8767" s="427">
        <f t="shared" si="272"/>
        <v>2015</v>
      </c>
      <c r="D8767" s="433">
        <f t="shared" si="273"/>
        <v>3108.7</v>
      </c>
    </row>
    <row r="8768" spans="1:4" ht="16.149999999999999" customHeight="1" x14ac:dyDescent="0.25">
      <c r="A8768" s="431">
        <v>42328</v>
      </c>
      <c r="B8768" s="434">
        <v>3082.04</v>
      </c>
      <c r="C8768" s="427">
        <f t="shared" si="272"/>
        <v>2015</v>
      </c>
      <c r="D8768" s="433">
        <f t="shared" si="273"/>
        <v>3082.04</v>
      </c>
    </row>
    <row r="8769" spans="1:4" ht="16.149999999999999" customHeight="1" x14ac:dyDescent="0.25">
      <c r="A8769" s="431">
        <v>42329</v>
      </c>
      <c r="B8769" s="432">
        <v>3047.31</v>
      </c>
      <c r="C8769" s="427">
        <f t="shared" si="272"/>
        <v>2015</v>
      </c>
      <c r="D8769" s="433">
        <f t="shared" si="273"/>
        <v>3047.31</v>
      </c>
    </row>
    <row r="8770" spans="1:4" ht="16.149999999999999" customHeight="1" x14ac:dyDescent="0.25">
      <c r="A8770" s="431">
        <v>42330</v>
      </c>
      <c r="B8770" s="434">
        <v>3047.31</v>
      </c>
      <c r="C8770" s="427">
        <f t="shared" si="272"/>
        <v>2015</v>
      </c>
      <c r="D8770" s="433">
        <f t="shared" si="273"/>
        <v>3047.31</v>
      </c>
    </row>
    <row r="8771" spans="1:4" ht="16.149999999999999" customHeight="1" x14ac:dyDescent="0.25">
      <c r="A8771" s="431">
        <v>42331</v>
      </c>
      <c r="B8771" s="432">
        <v>3047.31</v>
      </c>
      <c r="C8771" s="427">
        <f t="shared" si="272"/>
        <v>2015</v>
      </c>
      <c r="D8771" s="433">
        <f t="shared" si="273"/>
        <v>3047.31</v>
      </c>
    </row>
    <row r="8772" spans="1:4" ht="16.149999999999999" customHeight="1" x14ac:dyDescent="0.25">
      <c r="A8772" s="431">
        <v>42332</v>
      </c>
      <c r="B8772" s="434">
        <v>3086.82</v>
      </c>
      <c r="C8772" s="427">
        <f t="shared" si="272"/>
        <v>2015</v>
      </c>
      <c r="D8772" s="433">
        <f t="shared" si="273"/>
        <v>3086.82</v>
      </c>
    </row>
    <row r="8773" spans="1:4" ht="16.149999999999999" customHeight="1" x14ac:dyDescent="0.25">
      <c r="A8773" s="431">
        <v>42333</v>
      </c>
      <c r="B8773" s="432">
        <v>3074.35</v>
      </c>
      <c r="C8773" s="427">
        <f t="shared" si="272"/>
        <v>2015</v>
      </c>
      <c r="D8773" s="433">
        <f t="shared" si="273"/>
        <v>3074.35</v>
      </c>
    </row>
    <row r="8774" spans="1:4" ht="16.149999999999999" customHeight="1" x14ac:dyDescent="0.25">
      <c r="A8774" s="431">
        <v>42334</v>
      </c>
      <c r="B8774" s="434">
        <v>3099.75</v>
      </c>
      <c r="C8774" s="427">
        <f t="shared" si="272"/>
        <v>2015</v>
      </c>
      <c r="D8774" s="433">
        <f t="shared" si="273"/>
        <v>3099.75</v>
      </c>
    </row>
    <row r="8775" spans="1:4" ht="16.149999999999999" customHeight="1" x14ac:dyDescent="0.25">
      <c r="A8775" s="431">
        <v>42335</v>
      </c>
      <c r="B8775" s="432">
        <v>3099.75</v>
      </c>
      <c r="C8775" s="427">
        <f t="shared" si="272"/>
        <v>2015</v>
      </c>
      <c r="D8775" s="433">
        <f t="shared" si="273"/>
        <v>3099.75</v>
      </c>
    </row>
    <row r="8776" spans="1:4" ht="16.149999999999999" customHeight="1" x14ac:dyDescent="0.25">
      <c r="A8776" s="431">
        <v>42336</v>
      </c>
      <c r="B8776" s="434">
        <v>3101.1</v>
      </c>
      <c r="C8776" s="427">
        <f t="shared" si="272"/>
        <v>2015</v>
      </c>
      <c r="D8776" s="433">
        <f t="shared" si="273"/>
        <v>3101.1</v>
      </c>
    </row>
    <row r="8777" spans="1:4" ht="16.149999999999999" customHeight="1" x14ac:dyDescent="0.25">
      <c r="A8777" s="431">
        <v>42337</v>
      </c>
      <c r="B8777" s="432">
        <v>3101.1</v>
      </c>
      <c r="C8777" s="427">
        <f t="shared" si="272"/>
        <v>2015</v>
      </c>
      <c r="D8777" s="433">
        <f t="shared" si="273"/>
        <v>3101.1</v>
      </c>
    </row>
    <row r="8778" spans="1:4" ht="16.149999999999999" customHeight="1" x14ac:dyDescent="0.25">
      <c r="A8778" s="431">
        <v>42338</v>
      </c>
      <c r="B8778" s="434">
        <v>3101.1</v>
      </c>
      <c r="C8778" s="427">
        <f t="shared" ref="C8778:C8841" si="274">YEAR(A8778)</f>
        <v>2015</v>
      </c>
      <c r="D8778" s="433">
        <f t="shared" ref="D8778:D8841" si="275">B8778</f>
        <v>3101.1</v>
      </c>
    </row>
    <row r="8779" spans="1:4" ht="16.149999999999999" customHeight="1" x14ac:dyDescent="0.25">
      <c r="A8779" s="431">
        <v>42339</v>
      </c>
      <c r="B8779" s="432">
        <v>3142.11</v>
      </c>
      <c r="C8779" s="427">
        <f t="shared" si="274"/>
        <v>2015</v>
      </c>
      <c r="D8779" s="433">
        <f t="shared" si="275"/>
        <v>3142.11</v>
      </c>
    </row>
    <row r="8780" spans="1:4" ht="16.149999999999999" customHeight="1" x14ac:dyDescent="0.25">
      <c r="A8780" s="431">
        <v>42340</v>
      </c>
      <c r="B8780" s="434">
        <v>3131.95</v>
      </c>
      <c r="C8780" s="427">
        <f t="shared" si="274"/>
        <v>2015</v>
      </c>
      <c r="D8780" s="433">
        <f t="shared" si="275"/>
        <v>3131.95</v>
      </c>
    </row>
    <row r="8781" spans="1:4" ht="16.149999999999999" customHeight="1" x14ac:dyDescent="0.25">
      <c r="A8781" s="431">
        <v>42341</v>
      </c>
      <c r="B8781" s="432">
        <v>3166.67</v>
      </c>
      <c r="C8781" s="427">
        <f t="shared" si="274"/>
        <v>2015</v>
      </c>
      <c r="D8781" s="433">
        <f t="shared" si="275"/>
        <v>3166.67</v>
      </c>
    </row>
    <row r="8782" spans="1:4" ht="16.149999999999999" customHeight="1" x14ac:dyDescent="0.25">
      <c r="A8782" s="431">
        <v>42342</v>
      </c>
      <c r="B8782" s="434">
        <v>3149.12</v>
      </c>
      <c r="C8782" s="427">
        <f t="shared" si="274"/>
        <v>2015</v>
      </c>
      <c r="D8782" s="433">
        <f t="shared" si="275"/>
        <v>3149.12</v>
      </c>
    </row>
    <row r="8783" spans="1:4" ht="16.149999999999999" customHeight="1" x14ac:dyDescent="0.25">
      <c r="A8783" s="431">
        <v>42343</v>
      </c>
      <c r="B8783" s="432">
        <v>3179.22</v>
      </c>
      <c r="C8783" s="427">
        <f t="shared" si="274"/>
        <v>2015</v>
      </c>
      <c r="D8783" s="433">
        <f t="shared" si="275"/>
        <v>3179.22</v>
      </c>
    </row>
    <row r="8784" spans="1:4" ht="16.149999999999999" customHeight="1" x14ac:dyDescent="0.25">
      <c r="A8784" s="431">
        <v>42344</v>
      </c>
      <c r="B8784" s="434">
        <v>3179.22</v>
      </c>
      <c r="C8784" s="427">
        <f t="shared" si="274"/>
        <v>2015</v>
      </c>
      <c r="D8784" s="433">
        <f t="shared" si="275"/>
        <v>3179.22</v>
      </c>
    </row>
    <row r="8785" spans="1:4" ht="16.149999999999999" customHeight="1" x14ac:dyDescent="0.25">
      <c r="A8785" s="431">
        <v>42345</v>
      </c>
      <c r="B8785" s="432">
        <v>3179.22</v>
      </c>
      <c r="C8785" s="427">
        <f t="shared" si="274"/>
        <v>2015</v>
      </c>
      <c r="D8785" s="433">
        <f t="shared" si="275"/>
        <v>3179.22</v>
      </c>
    </row>
    <row r="8786" spans="1:4" ht="16.149999999999999" customHeight="1" x14ac:dyDescent="0.25">
      <c r="A8786" s="431">
        <v>42346</v>
      </c>
      <c r="B8786" s="434">
        <v>3287.03</v>
      </c>
      <c r="C8786" s="427">
        <f t="shared" si="274"/>
        <v>2015</v>
      </c>
      <c r="D8786" s="433">
        <f t="shared" si="275"/>
        <v>3287.03</v>
      </c>
    </row>
    <row r="8787" spans="1:4" ht="16.149999999999999" customHeight="1" x14ac:dyDescent="0.25">
      <c r="A8787" s="431">
        <v>42347</v>
      </c>
      <c r="B8787" s="432">
        <v>3287.03</v>
      </c>
      <c r="C8787" s="427">
        <f t="shared" si="274"/>
        <v>2015</v>
      </c>
      <c r="D8787" s="433">
        <f t="shared" si="275"/>
        <v>3287.03</v>
      </c>
    </row>
    <row r="8788" spans="1:4" ht="16.149999999999999" customHeight="1" x14ac:dyDescent="0.25">
      <c r="A8788" s="431">
        <v>42348</v>
      </c>
      <c r="B8788" s="434">
        <v>3294.02</v>
      </c>
      <c r="C8788" s="427">
        <f t="shared" si="274"/>
        <v>2015</v>
      </c>
      <c r="D8788" s="433">
        <f t="shared" si="275"/>
        <v>3294.02</v>
      </c>
    </row>
    <row r="8789" spans="1:4" ht="16.149999999999999" customHeight="1" x14ac:dyDescent="0.25">
      <c r="A8789" s="431">
        <v>42349</v>
      </c>
      <c r="B8789" s="432">
        <v>3259.56</v>
      </c>
      <c r="C8789" s="427">
        <f t="shared" si="274"/>
        <v>2015</v>
      </c>
      <c r="D8789" s="433">
        <f t="shared" si="275"/>
        <v>3259.56</v>
      </c>
    </row>
    <row r="8790" spans="1:4" ht="16.149999999999999" customHeight="1" x14ac:dyDescent="0.25">
      <c r="A8790" s="431">
        <v>42350</v>
      </c>
      <c r="B8790" s="434">
        <v>3299.36</v>
      </c>
      <c r="C8790" s="427">
        <f t="shared" si="274"/>
        <v>2015</v>
      </c>
      <c r="D8790" s="433">
        <f t="shared" si="275"/>
        <v>3299.36</v>
      </c>
    </row>
    <row r="8791" spans="1:4" ht="16.149999999999999" customHeight="1" x14ac:dyDescent="0.25">
      <c r="A8791" s="431">
        <v>42351</v>
      </c>
      <c r="B8791" s="432">
        <v>3299.36</v>
      </c>
      <c r="C8791" s="427">
        <f t="shared" si="274"/>
        <v>2015</v>
      </c>
      <c r="D8791" s="433">
        <f t="shared" si="275"/>
        <v>3299.36</v>
      </c>
    </row>
    <row r="8792" spans="1:4" ht="16.149999999999999" customHeight="1" x14ac:dyDescent="0.25">
      <c r="A8792" s="431">
        <v>42352</v>
      </c>
      <c r="B8792" s="434">
        <v>3299.36</v>
      </c>
      <c r="C8792" s="427">
        <f t="shared" si="274"/>
        <v>2015</v>
      </c>
      <c r="D8792" s="433">
        <f t="shared" si="275"/>
        <v>3299.36</v>
      </c>
    </row>
    <row r="8793" spans="1:4" ht="16.149999999999999" customHeight="1" x14ac:dyDescent="0.25">
      <c r="A8793" s="431">
        <v>42353</v>
      </c>
      <c r="B8793" s="432">
        <v>3356</v>
      </c>
      <c r="C8793" s="427">
        <f t="shared" si="274"/>
        <v>2015</v>
      </c>
      <c r="D8793" s="433">
        <f t="shared" si="275"/>
        <v>3356</v>
      </c>
    </row>
    <row r="8794" spans="1:4" ht="16.149999999999999" customHeight="1" x14ac:dyDescent="0.25">
      <c r="A8794" s="431">
        <v>42354</v>
      </c>
      <c r="B8794" s="434">
        <v>3328.08</v>
      </c>
      <c r="C8794" s="427">
        <f t="shared" si="274"/>
        <v>2015</v>
      </c>
      <c r="D8794" s="433">
        <f t="shared" si="275"/>
        <v>3328.08</v>
      </c>
    </row>
    <row r="8795" spans="1:4" ht="16.149999999999999" customHeight="1" x14ac:dyDescent="0.25">
      <c r="A8795" s="431">
        <v>42355</v>
      </c>
      <c r="B8795" s="432">
        <v>3317.72</v>
      </c>
      <c r="C8795" s="427">
        <f t="shared" si="274"/>
        <v>2015</v>
      </c>
      <c r="D8795" s="433">
        <f t="shared" si="275"/>
        <v>3317.72</v>
      </c>
    </row>
    <row r="8796" spans="1:4" ht="16.149999999999999" customHeight="1" x14ac:dyDescent="0.25">
      <c r="A8796" s="431">
        <v>42356</v>
      </c>
      <c r="B8796" s="434">
        <v>3333.37</v>
      </c>
      <c r="C8796" s="427">
        <f t="shared" si="274"/>
        <v>2015</v>
      </c>
      <c r="D8796" s="433">
        <f t="shared" si="275"/>
        <v>3333.37</v>
      </c>
    </row>
    <row r="8797" spans="1:4" ht="16.149999999999999" customHeight="1" x14ac:dyDescent="0.25">
      <c r="A8797" s="431">
        <v>42357</v>
      </c>
      <c r="B8797" s="432">
        <v>3337.68</v>
      </c>
      <c r="C8797" s="427">
        <f t="shared" si="274"/>
        <v>2015</v>
      </c>
      <c r="D8797" s="433">
        <f t="shared" si="275"/>
        <v>3337.68</v>
      </c>
    </row>
    <row r="8798" spans="1:4" ht="16.149999999999999" customHeight="1" x14ac:dyDescent="0.25">
      <c r="A8798" s="431">
        <v>42358</v>
      </c>
      <c r="B8798" s="434">
        <v>3337.68</v>
      </c>
      <c r="C8798" s="427">
        <f t="shared" si="274"/>
        <v>2015</v>
      </c>
      <c r="D8798" s="433">
        <f t="shared" si="275"/>
        <v>3337.68</v>
      </c>
    </row>
    <row r="8799" spans="1:4" ht="16.149999999999999" customHeight="1" x14ac:dyDescent="0.25">
      <c r="A8799" s="431">
        <v>42359</v>
      </c>
      <c r="B8799" s="432">
        <v>3337.68</v>
      </c>
      <c r="C8799" s="427">
        <f t="shared" si="274"/>
        <v>2015</v>
      </c>
      <c r="D8799" s="433">
        <f t="shared" si="275"/>
        <v>3337.68</v>
      </c>
    </row>
    <row r="8800" spans="1:4" ht="16.149999999999999" customHeight="1" x14ac:dyDescent="0.25">
      <c r="A8800" s="431">
        <v>42360</v>
      </c>
      <c r="B8800" s="434">
        <v>3332.7</v>
      </c>
      <c r="C8800" s="427">
        <f t="shared" si="274"/>
        <v>2015</v>
      </c>
      <c r="D8800" s="433">
        <f t="shared" si="275"/>
        <v>3332.7</v>
      </c>
    </row>
    <row r="8801" spans="1:4" ht="16.149999999999999" customHeight="1" x14ac:dyDescent="0.25">
      <c r="A8801" s="431">
        <v>42361</v>
      </c>
      <c r="B8801" s="432">
        <v>3307.24</v>
      </c>
      <c r="C8801" s="427">
        <f t="shared" si="274"/>
        <v>2015</v>
      </c>
      <c r="D8801" s="433">
        <f t="shared" si="275"/>
        <v>3307.24</v>
      </c>
    </row>
    <row r="8802" spans="1:4" ht="16.149999999999999" customHeight="1" x14ac:dyDescent="0.25">
      <c r="A8802" s="431">
        <v>42362</v>
      </c>
      <c r="B8802" s="434">
        <v>3255.19</v>
      </c>
      <c r="C8802" s="427">
        <f t="shared" si="274"/>
        <v>2015</v>
      </c>
      <c r="D8802" s="433">
        <f t="shared" si="275"/>
        <v>3255.19</v>
      </c>
    </row>
    <row r="8803" spans="1:4" ht="16.149999999999999" customHeight="1" x14ac:dyDescent="0.25">
      <c r="A8803" s="431">
        <v>42363</v>
      </c>
      <c r="B8803" s="432">
        <v>3172.03</v>
      </c>
      <c r="C8803" s="427">
        <f t="shared" si="274"/>
        <v>2015</v>
      </c>
      <c r="D8803" s="433">
        <f t="shared" si="275"/>
        <v>3172.03</v>
      </c>
    </row>
    <row r="8804" spans="1:4" ht="16.149999999999999" customHeight="1" x14ac:dyDescent="0.25">
      <c r="A8804" s="431">
        <v>42364</v>
      </c>
      <c r="B8804" s="434">
        <v>3172.03</v>
      </c>
      <c r="C8804" s="427">
        <f t="shared" si="274"/>
        <v>2015</v>
      </c>
      <c r="D8804" s="433">
        <f t="shared" si="275"/>
        <v>3172.03</v>
      </c>
    </row>
    <row r="8805" spans="1:4" ht="16.149999999999999" customHeight="1" x14ac:dyDescent="0.25">
      <c r="A8805" s="431">
        <v>42365</v>
      </c>
      <c r="B8805" s="432">
        <v>3172.03</v>
      </c>
      <c r="C8805" s="427">
        <f t="shared" si="274"/>
        <v>2015</v>
      </c>
      <c r="D8805" s="433">
        <f t="shared" si="275"/>
        <v>3172.03</v>
      </c>
    </row>
    <row r="8806" spans="1:4" ht="16.149999999999999" customHeight="1" x14ac:dyDescent="0.25">
      <c r="A8806" s="431">
        <v>42366</v>
      </c>
      <c r="B8806" s="434">
        <v>3172.03</v>
      </c>
      <c r="C8806" s="427">
        <f t="shared" si="274"/>
        <v>2015</v>
      </c>
      <c r="D8806" s="433">
        <f t="shared" si="275"/>
        <v>3172.03</v>
      </c>
    </row>
    <row r="8807" spans="1:4" ht="16.149999999999999" customHeight="1" x14ac:dyDescent="0.25">
      <c r="A8807" s="431">
        <v>42367</v>
      </c>
      <c r="B8807" s="432">
        <v>3180.87</v>
      </c>
      <c r="C8807" s="427">
        <f t="shared" si="274"/>
        <v>2015</v>
      </c>
      <c r="D8807" s="433">
        <f t="shared" si="275"/>
        <v>3180.87</v>
      </c>
    </row>
    <row r="8808" spans="1:4" ht="16.149999999999999" customHeight="1" x14ac:dyDescent="0.25">
      <c r="A8808" s="431">
        <v>42368</v>
      </c>
      <c r="B8808" s="434">
        <v>3155.22</v>
      </c>
      <c r="C8808" s="427">
        <f t="shared" si="274"/>
        <v>2015</v>
      </c>
      <c r="D8808" s="433">
        <f t="shared" si="275"/>
        <v>3155.22</v>
      </c>
    </row>
    <row r="8809" spans="1:4" ht="16.149999999999999" customHeight="1" x14ac:dyDescent="0.25">
      <c r="A8809" s="431">
        <v>42369</v>
      </c>
      <c r="B8809" s="432">
        <v>3149.47</v>
      </c>
      <c r="C8809" s="427">
        <f t="shared" si="274"/>
        <v>2015</v>
      </c>
      <c r="D8809" s="433">
        <f t="shared" si="275"/>
        <v>3149.47</v>
      </c>
    </row>
    <row r="8810" spans="1:4" ht="16.149999999999999" customHeight="1" x14ac:dyDescent="0.25">
      <c r="A8810" s="431">
        <v>42370</v>
      </c>
      <c r="B8810" s="434">
        <v>3149.47</v>
      </c>
      <c r="C8810" s="427">
        <f t="shared" si="274"/>
        <v>2016</v>
      </c>
      <c r="D8810" s="433">
        <f t="shared" si="275"/>
        <v>3149.47</v>
      </c>
    </row>
    <row r="8811" spans="1:4" ht="16.149999999999999" customHeight="1" x14ac:dyDescent="0.25">
      <c r="A8811" s="431">
        <v>42371</v>
      </c>
      <c r="B8811" s="432">
        <v>3149.47</v>
      </c>
      <c r="C8811" s="427">
        <f t="shared" si="274"/>
        <v>2016</v>
      </c>
      <c r="D8811" s="433">
        <f t="shared" si="275"/>
        <v>3149.47</v>
      </c>
    </row>
    <row r="8812" spans="1:4" ht="16.149999999999999" customHeight="1" x14ac:dyDescent="0.25">
      <c r="A8812" s="431">
        <v>42372</v>
      </c>
      <c r="B8812" s="434">
        <v>3149.47</v>
      </c>
      <c r="C8812" s="427">
        <f t="shared" si="274"/>
        <v>2016</v>
      </c>
      <c r="D8812" s="433">
        <f t="shared" si="275"/>
        <v>3149.47</v>
      </c>
    </row>
    <row r="8813" spans="1:4" ht="16.149999999999999" customHeight="1" x14ac:dyDescent="0.25">
      <c r="A8813" s="431">
        <v>42373</v>
      </c>
      <c r="B8813" s="432">
        <v>3149.47</v>
      </c>
      <c r="C8813" s="427">
        <f t="shared" si="274"/>
        <v>2016</v>
      </c>
      <c r="D8813" s="433">
        <f t="shared" si="275"/>
        <v>3149.47</v>
      </c>
    </row>
    <row r="8814" spans="1:4" ht="16.149999999999999" customHeight="1" x14ac:dyDescent="0.25">
      <c r="A8814" s="431">
        <v>42374</v>
      </c>
      <c r="B8814" s="434">
        <v>3213.24</v>
      </c>
      <c r="C8814" s="427">
        <f t="shared" si="274"/>
        <v>2016</v>
      </c>
      <c r="D8814" s="433">
        <f t="shared" si="275"/>
        <v>3213.24</v>
      </c>
    </row>
    <row r="8815" spans="1:4" ht="16.149999999999999" customHeight="1" x14ac:dyDescent="0.25">
      <c r="A8815" s="431">
        <v>42375</v>
      </c>
      <c r="B8815" s="432">
        <v>3203.86</v>
      </c>
      <c r="C8815" s="427">
        <f t="shared" si="274"/>
        <v>2016</v>
      </c>
      <c r="D8815" s="433">
        <f t="shared" si="275"/>
        <v>3203.86</v>
      </c>
    </row>
    <row r="8816" spans="1:4" ht="16.149999999999999" customHeight="1" x14ac:dyDescent="0.25">
      <c r="A8816" s="431">
        <v>42376</v>
      </c>
      <c r="B8816" s="434">
        <v>3250.69</v>
      </c>
      <c r="C8816" s="427">
        <f t="shared" si="274"/>
        <v>2016</v>
      </c>
      <c r="D8816" s="433">
        <f t="shared" si="275"/>
        <v>3250.69</v>
      </c>
    </row>
    <row r="8817" spans="1:4" ht="16.149999999999999" customHeight="1" x14ac:dyDescent="0.25">
      <c r="A8817" s="431">
        <v>42377</v>
      </c>
      <c r="B8817" s="432">
        <v>3287.28</v>
      </c>
      <c r="C8817" s="427">
        <f t="shared" si="274"/>
        <v>2016</v>
      </c>
      <c r="D8817" s="433">
        <f t="shared" si="275"/>
        <v>3287.28</v>
      </c>
    </row>
    <row r="8818" spans="1:4" ht="16.149999999999999" customHeight="1" x14ac:dyDescent="0.25">
      <c r="A8818" s="431">
        <v>42378</v>
      </c>
      <c r="B8818" s="434">
        <v>3268.37</v>
      </c>
      <c r="C8818" s="427">
        <f t="shared" si="274"/>
        <v>2016</v>
      </c>
      <c r="D8818" s="433">
        <f t="shared" si="275"/>
        <v>3268.37</v>
      </c>
    </row>
    <row r="8819" spans="1:4" ht="16.149999999999999" customHeight="1" x14ac:dyDescent="0.25">
      <c r="A8819" s="431">
        <v>42379</v>
      </c>
      <c r="B8819" s="432">
        <v>3268.37</v>
      </c>
      <c r="C8819" s="427">
        <f t="shared" si="274"/>
        <v>2016</v>
      </c>
      <c r="D8819" s="433">
        <f t="shared" si="275"/>
        <v>3268.37</v>
      </c>
    </row>
    <row r="8820" spans="1:4" ht="16.149999999999999" customHeight="1" x14ac:dyDescent="0.25">
      <c r="A8820" s="431">
        <v>42380</v>
      </c>
      <c r="B8820" s="434">
        <v>3268.37</v>
      </c>
      <c r="C8820" s="427">
        <f t="shared" si="274"/>
        <v>2016</v>
      </c>
      <c r="D8820" s="433">
        <f t="shared" si="275"/>
        <v>3268.37</v>
      </c>
    </row>
    <row r="8821" spans="1:4" ht="16.149999999999999" customHeight="1" x14ac:dyDescent="0.25">
      <c r="A8821" s="431">
        <v>42381</v>
      </c>
      <c r="B8821" s="432">
        <v>3268.37</v>
      </c>
      <c r="C8821" s="427">
        <f t="shared" si="274"/>
        <v>2016</v>
      </c>
      <c r="D8821" s="433">
        <f t="shared" si="275"/>
        <v>3268.37</v>
      </c>
    </row>
    <row r="8822" spans="1:4" ht="16.149999999999999" customHeight="1" x14ac:dyDescent="0.25">
      <c r="A8822" s="431">
        <v>42382</v>
      </c>
      <c r="B8822" s="434">
        <v>3246.51</v>
      </c>
      <c r="C8822" s="427">
        <f t="shared" si="274"/>
        <v>2016</v>
      </c>
      <c r="D8822" s="433">
        <f t="shared" si="275"/>
        <v>3246.51</v>
      </c>
    </row>
    <row r="8823" spans="1:4" ht="16.149999999999999" customHeight="1" x14ac:dyDescent="0.25">
      <c r="A8823" s="431">
        <v>42383</v>
      </c>
      <c r="B8823" s="432">
        <v>3235.45</v>
      </c>
      <c r="C8823" s="427">
        <f t="shared" si="274"/>
        <v>2016</v>
      </c>
      <c r="D8823" s="433">
        <f t="shared" si="275"/>
        <v>3235.45</v>
      </c>
    </row>
    <row r="8824" spans="1:4" ht="16.149999999999999" customHeight="1" x14ac:dyDescent="0.25">
      <c r="A8824" s="431">
        <v>42384</v>
      </c>
      <c r="B8824" s="434">
        <v>3240.71</v>
      </c>
      <c r="C8824" s="427">
        <f t="shared" si="274"/>
        <v>2016</v>
      </c>
      <c r="D8824" s="433">
        <f t="shared" si="275"/>
        <v>3240.71</v>
      </c>
    </row>
    <row r="8825" spans="1:4" ht="16.149999999999999" customHeight="1" x14ac:dyDescent="0.25">
      <c r="A8825" s="431">
        <v>42385</v>
      </c>
      <c r="B8825" s="432">
        <v>3293.94</v>
      </c>
      <c r="C8825" s="427">
        <f t="shared" si="274"/>
        <v>2016</v>
      </c>
      <c r="D8825" s="433">
        <f t="shared" si="275"/>
        <v>3293.94</v>
      </c>
    </row>
    <row r="8826" spans="1:4" ht="16.149999999999999" customHeight="1" x14ac:dyDescent="0.25">
      <c r="A8826" s="431">
        <v>42386</v>
      </c>
      <c r="B8826" s="434">
        <v>3293.94</v>
      </c>
      <c r="C8826" s="427">
        <f t="shared" si="274"/>
        <v>2016</v>
      </c>
      <c r="D8826" s="433">
        <f t="shared" si="275"/>
        <v>3293.94</v>
      </c>
    </row>
    <row r="8827" spans="1:4" ht="16.149999999999999" customHeight="1" x14ac:dyDescent="0.25">
      <c r="A8827" s="431">
        <v>42387</v>
      </c>
      <c r="B8827" s="432">
        <v>3293.94</v>
      </c>
      <c r="C8827" s="427">
        <f t="shared" si="274"/>
        <v>2016</v>
      </c>
      <c r="D8827" s="433">
        <f t="shared" si="275"/>
        <v>3293.94</v>
      </c>
    </row>
    <row r="8828" spans="1:4" ht="16.149999999999999" customHeight="1" x14ac:dyDescent="0.25">
      <c r="A8828" s="431">
        <v>42388</v>
      </c>
      <c r="B8828" s="434">
        <v>3293.94</v>
      </c>
      <c r="C8828" s="427">
        <f t="shared" si="274"/>
        <v>2016</v>
      </c>
      <c r="D8828" s="433">
        <f t="shared" si="275"/>
        <v>3293.94</v>
      </c>
    </row>
    <row r="8829" spans="1:4" ht="16.149999999999999" customHeight="1" x14ac:dyDescent="0.25">
      <c r="A8829" s="431">
        <v>42389</v>
      </c>
      <c r="B8829" s="432">
        <v>3297.46</v>
      </c>
      <c r="C8829" s="427">
        <f t="shared" si="274"/>
        <v>2016</v>
      </c>
      <c r="D8829" s="433">
        <f t="shared" si="275"/>
        <v>3297.46</v>
      </c>
    </row>
    <row r="8830" spans="1:4" ht="16.149999999999999" customHeight="1" x14ac:dyDescent="0.25">
      <c r="A8830" s="431">
        <v>42390</v>
      </c>
      <c r="B8830" s="434">
        <v>3357.67</v>
      </c>
      <c r="C8830" s="427">
        <f t="shared" si="274"/>
        <v>2016</v>
      </c>
      <c r="D8830" s="433">
        <f t="shared" si="275"/>
        <v>3357.67</v>
      </c>
    </row>
    <row r="8831" spans="1:4" ht="16.149999999999999" customHeight="1" x14ac:dyDescent="0.25">
      <c r="A8831" s="431">
        <v>42391</v>
      </c>
      <c r="B8831" s="432">
        <v>3368.49</v>
      </c>
      <c r="C8831" s="427">
        <f t="shared" si="274"/>
        <v>2016</v>
      </c>
      <c r="D8831" s="433">
        <f t="shared" si="275"/>
        <v>3368.49</v>
      </c>
    </row>
    <row r="8832" spans="1:4" ht="16.149999999999999" customHeight="1" x14ac:dyDescent="0.25">
      <c r="A8832" s="431">
        <v>42392</v>
      </c>
      <c r="B8832" s="434">
        <v>3281.74</v>
      </c>
      <c r="C8832" s="427">
        <f t="shared" si="274"/>
        <v>2016</v>
      </c>
      <c r="D8832" s="433">
        <f t="shared" si="275"/>
        <v>3281.74</v>
      </c>
    </row>
    <row r="8833" spans="1:4" ht="16.149999999999999" customHeight="1" x14ac:dyDescent="0.25">
      <c r="A8833" s="431">
        <v>42393</v>
      </c>
      <c r="B8833" s="432">
        <v>3281.74</v>
      </c>
      <c r="C8833" s="427">
        <f t="shared" si="274"/>
        <v>2016</v>
      </c>
      <c r="D8833" s="433">
        <f t="shared" si="275"/>
        <v>3281.74</v>
      </c>
    </row>
    <row r="8834" spans="1:4" ht="16.149999999999999" customHeight="1" x14ac:dyDescent="0.25">
      <c r="A8834" s="431">
        <v>42394</v>
      </c>
      <c r="B8834" s="434">
        <v>3281.74</v>
      </c>
      <c r="C8834" s="427">
        <f t="shared" si="274"/>
        <v>2016</v>
      </c>
      <c r="D8834" s="433">
        <f t="shared" si="275"/>
        <v>3281.74</v>
      </c>
    </row>
    <row r="8835" spans="1:4" ht="16.149999999999999" customHeight="1" x14ac:dyDescent="0.25">
      <c r="A8835" s="431">
        <v>42395</v>
      </c>
      <c r="B8835" s="432">
        <v>3362.38</v>
      </c>
      <c r="C8835" s="427">
        <f t="shared" si="274"/>
        <v>2016</v>
      </c>
      <c r="D8835" s="433">
        <f t="shared" si="275"/>
        <v>3362.38</v>
      </c>
    </row>
    <row r="8836" spans="1:4" ht="16.149999999999999" customHeight="1" x14ac:dyDescent="0.25">
      <c r="A8836" s="431">
        <v>42396</v>
      </c>
      <c r="B8836" s="434">
        <v>3375.8</v>
      </c>
      <c r="C8836" s="427">
        <f t="shared" si="274"/>
        <v>2016</v>
      </c>
      <c r="D8836" s="433">
        <f t="shared" si="275"/>
        <v>3375.8</v>
      </c>
    </row>
    <row r="8837" spans="1:4" ht="16.149999999999999" customHeight="1" x14ac:dyDescent="0.25">
      <c r="A8837" s="431">
        <v>42397</v>
      </c>
      <c r="B8837" s="432">
        <v>3366.63</v>
      </c>
      <c r="C8837" s="427">
        <f t="shared" si="274"/>
        <v>2016</v>
      </c>
      <c r="D8837" s="433">
        <f t="shared" si="275"/>
        <v>3366.63</v>
      </c>
    </row>
    <row r="8838" spans="1:4" ht="16.149999999999999" customHeight="1" x14ac:dyDescent="0.25">
      <c r="A8838" s="431">
        <v>42398</v>
      </c>
      <c r="B8838" s="434">
        <v>3302.92</v>
      </c>
      <c r="C8838" s="427">
        <f t="shared" si="274"/>
        <v>2016</v>
      </c>
      <c r="D8838" s="433">
        <f t="shared" si="275"/>
        <v>3302.92</v>
      </c>
    </row>
    <row r="8839" spans="1:4" ht="16.149999999999999" customHeight="1" x14ac:dyDescent="0.25">
      <c r="A8839" s="431">
        <v>42399</v>
      </c>
      <c r="B8839" s="432">
        <v>3287.31</v>
      </c>
      <c r="C8839" s="427">
        <f t="shared" si="274"/>
        <v>2016</v>
      </c>
      <c r="D8839" s="433">
        <f t="shared" si="275"/>
        <v>3287.31</v>
      </c>
    </row>
    <row r="8840" spans="1:4" ht="16.149999999999999" customHeight="1" x14ac:dyDescent="0.25">
      <c r="A8840" s="431">
        <v>42400</v>
      </c>
      <c r="B8840" s="434">
        <v>3287.31</v>
      </c>
      <c r="C8840" s="427">
        <f t="shared" si="274"/>
        <v>2016</v>
      </c>
      <c r="D8840" s="433">
        <f t="shared" si="275"/>
        <v>3287.31</v>
      </c>
    </row>
    <row r="8841" spans="1:4" ht="16.149999999999999" customHeight="1" x14ac:dyDescent="0.25">
      <c r="A8841" s="431">
        <v>42401</v>
      </c>
      <c r="B8841" s="432">
        <v>3287.31</v>
      </c>
      <c r="C8841" s="427">
        <f t="shared" si="274"/>
        <v>2016</v>
      </c>
      <c r="D8841" s="433">
        <f t="shared" si="275"/>
        <v>3287.31</v>
      </c>
    </row>
    <row r="8842" spans="1:4" ht="16.149999999999999" customHeight="1" x14ac:dyDescent="0.25">
      <c r="A8842" s="431">
        <v>42402</v>
      </c>
      <c r="B8842" s="434">
        <v>3326.82</v>
      </c>
      <c r="C8842" s="427">
        <f t="shared" ref="C8842:C8905" si="276">YEAR(A8842)</f>
        <v>2016</v>
      </c>
      <c r="D8842" s="433">
        <f t="shared" ref="D8842:D8905" si="277">B8842</f>
        <v>3326.82</v>
      </c>
    </row>
    <row r="8843" spans="1:4" ht="16.149999999999999" customHeight="1" x14ac:dyDescent="0.25">
      <c r="A8843" s="431">
        <v>42403</v>
      </c>
      <c r="B8843" s="432">
        <v>3387.69</v>
      </c>
      <c r="C8843" s="427">
        <f t="shared" si="276"/>
        <v>2016</v>
      </c>
      <c r="D8843" s="433">
        <f t="shared" si="277"/>
        <v>3387.69</v>
      </c>
    </row>
    <row r="8844" spans="1:4" ht="16.149999999999999" customHeight="1" x14ac:dyDescent="0.25">
      <c r="A8844" s="431">
        <v>42404</v>
      </c>
      <c r="B8844" s="434">
        <v>3382.2</v>
      </c>
      <c r="C8844" s="427">
        <f t="shared" si="276"/>
        <v>2016</v>
      </c>
      <c r="D8844" s="433">
        <f t="shared" si="277"/>
        <v>3382.2</v>
      </c>
    </row>
    <row r="8845" spans="1:4" ht="16.149999999999999" customHeight="1" x14ac:dyDescent="0.25">
      <c r="A8845" s="431">
        <v>42405</v>
      </c>
      <c r="B8845" s="432">
        <v>3315.75</v>
      </c>
      <c r="C8845" s="427">
        <f t="shared" si="276"/>
        <v>2016</v>
      </c>
      <c r="D8845" s="433">
        <f t="shared" si="277"/>
        <v>3315.75</v>
      </c>
    </row>
    <row r="8846" spans="1:4" ht="16.149999999999999" customHeight="1" x14ac:dyDescent="0.25">
      <c r="A8846" s="431">
        <v>42406</v>
      </c>
      <c r="B8846" s="434">
        <v>3320.49</v>
      </c>
      <c r="C8846" s="427">
        <f t="shared" si="276"/>
        <v>2016</v>
      </c>
      <c r="D8846" s="433">
        <f t="shared" si="277"/>
        <v>3320.49</v>
      </c>
    </row>
    <row r="8847" spans="1:4" ht="16.149999999999999" customHeight="1" x14ac:dyDescent="0.25">
      <c r="A8847" s="431">
        <v>42407</v>
      </c>
      <c r="B8847" s="432">
        <v>3320.49</v>
      </c>
      <c r="C8847" s="427">
        <f t="shared" si="276"/>
        <v>2016</v>
      </c>
      <c r="D8847" s="433">
        <f t="shared" si="277"/>
        <v>3320.49</v>
      </c>
    </row>
    <row r="8848" spans="1:4" ht="16.149999999999999" customHeight="1" x14ac:dyDescent="0.25">
      <c r="A8848" s="431">
        <v>42408</v>
      </c>
      <c r="B8848" s="434">
        <v>3320.49</v>
      </c>
      <c r="C8848" s="427">
        <f t="shared" si="276"/>
        <v>2016</v>
      </c>
      <c r="D8848" s="433">
        <f t="shared" si="277"/>
        <v>3320.49</v>
      </c>
    </row>
    <row r="8849" spans="1:4" ht="16.149999999999999" customHeight="1" x14ac:dyDescent="0.25">
      <c r="A8849" s="431">
        <v>42409</v>
      </c>
      <c r="B8849" s="432">
        <v>3367.02</v>
      </c>
      <c r="C8849" s="427">
        <f t="shared" si="276"/>
        <v>2016</v>
      </c>
      <c r="D8849" s="433">
        <f t="shared" si="277"/>
        <v>3367.02</v>
      </c>
    </row>
    <row r="8850" spans="1:4" ht="16.149999999999999" customHeight="1" x14ac:dyDescent="0.25">
      <c r="A8850" s="431">
        <v>42410</v>
      </c>
      <c r="B8850" s="434">
        <v>3391.93</v>
      </c>
      <c r="C8850" s="427">
        <f t="shared" si="276"/>
        <v>2016</v>
      </c>
      <c r="D8850" s="433">
        <f t="shared" si="277"/>
        <v>3391.93</v>
      </c>
    </row>
    <row r="8851" spans="1:4" ht="16.149999999999999" customHeight="1" x14ac:dyDescent="0.25">
      <c r="A8851" s="431">
        <v>42411</v>
      </c>
      <c r="B8851" s="432">
        <v>3385.65</v>
      </c>
      <c r="C8851" s="427">
        <f t="shared" si="276"/>
        <v>2016</v>
      </c>
      <c r="D8851" s="433">
        <f t="shared" si="277"/>
        <v>3385.65</v>
      </c>
    </row>
    <row r="8852" spans="1:4" ht="16.149999999999999" customHeight="1" x14ac:dyDescent="0.25">
      <c r="A8852" s="431">
        <v>42412</v>
      </c>
      <c r="B8852" s="434">
        <v>3434.89</v>
      </c>
      <c r="C8852" s="427">
        <f t="shared" si="276"/>
        <v>2016</v>
      </c>
      <c r="D8852" s="433">
        <f t="shared" si="277"/>
        <v>3434.89</v>
      </c>
    </row>
    <row r="8853" spans="1:4" ht="16.149999999999999" customHeight="1" x14ac:dyDescent="0.25">
      <c r="A8853" s="431">
        <v>42413</v>
      </c>
      <c r="B8853" s="432">
        <v>3409.82</v>
      </c>
      <c r="C8853" s="427">
        <f t="shared" si="276"/>
        <v>2016</v>
      </c>
      <c r="D8853" s="433">
        <f t="shared" si="277"/>
        <v>3409.82</v>
      </c>
    </row>
    <row r="8854" spans="1:4" ht="16.149999999999999" customHeight="1" x14ac:dyDescent="0.25">
      <c r="A8854" s="431">
        <v>42414</v>
      </c>
      <c r="B8854" s="434">
        <v>3409.82</v>
      </c>
      <c r="C8854" s="427">
        <f t="shared" si="276"/>
        <v>2016</v>
      </c>
      <c r="D8854" s="433">
        <f t="shared" si="277"/>
        <v>3409.82</v>
      </c>
    </row>
    <row r="8855" spans="1:4" ht="16.149999999999999" customHeight="1" x14ac:dyDescent="0.25">
      <c r="A8855" s="431">
        <v>42415</v>
      </c>
      <c r="B8855" s="432">
        <v>3409.82</v>
      </c>
      <c r="C8855" s="427">
        <f t="shared" si="276"/>
        <v>2016</v>
      </c>
      <c r="D8855" s="433">
        <f t="shared" si="277"/>
        <v>3409.82</v>
      </c>
    </row>
    <row r="8856" spans="1:4" ht="16.149999999999999" customHeight="1" x14ac:dyDescent="0.25">
      <c r="A8856" s="431">
        <v>42416</v>
      </c>
      <c r="B8856" s="434">
        <v>3409.82</v>
      </c>
      <c r="C8856" s="427">
        <f t="shared" si="276"/>
        <v>2016</v>
      </c>
      <c r="D8856" s="433">
        <f t="shared" si="277"/>
        <v>3409.82</v>
      </c>
    </row>
    <row r="8857" spans="1:4" ht="16.149999999999999" customHeight="1" x14ac:dyDescent="0.25">
      <c r="A8857" s="431">
        <v>42417</v>
      </c>
      <c r="B8857" s="432">
        <v>3406.87</v>
      </c>
      <c r="C8857" s="427">
        <f t="shared" si="276"/>
        <v>2016</v>
      </c>
      <c r="D8857" s="433">
        <f t="shared" si="277"/>
        <v>3406.87</v>
      </c>
    </row>
    <row r="8858" spans="1:4" ht="16.149999999999999" customHeight="1" x14ac:dyDescent="0.25">
      <c r="A8858" s="431">
        <v>42418</v>
      </c>
      <c r="B8858" s="434">
        <v>3391.87</v>
      </c>
      <c r="C8858" s="427">
        <f t="shared" si="276"/>
        <v>2016</v>
      </c>
      <c r="D8858" s="433">
        <f t="shared" si="277"/>
        <v>3391.87</v>
      </c>
    </row>
    <row r="8859" spans="1:4" ht="16.149999999999999" customHeight="1" x14ac:dyDescent="0.25">
      <c r="A8859" s="431">
        <v>42419</v>
      </c>
      <c r="B8859" s="432">
        <v>3338.03</v>
      </c>
      <c r="C8859" s="427">
        <f t="shared" si="276"/>
        <v>2016</v>
      </c>
      <c r="D8859" s="433">
        <f t="shared" si="277"/>
        <v>3338.03</v>
      </c>
    </row>
    <row r="8860" spans="1:4" ht="16.149999999999999" customHeight="1" x14ac:dyDescent="0.25">
      <c r="A8860" s="431">
        <v>42420</v>
      </c>
      <c r="B8860" s="434">
        <v>3356.78</v>
      </c>
      <c r="C8860" s="427">
        <f t="shared" si="276"/>
        <v>2016</v>
      </c>
      <c r="D8860" s="433">
        <f t="shared" si="277"/>
        <v>3356.78</v>
      </c>
    </row>
    <row r="8861" spans="1:4" ht="16.149999999999999" customHeight="1" x14ac:dyDescent="0.25">
      <c r="A8861" s="431">
        <v>42421</v>
      </c>
      <c r="B8861" s="432">
        <v>3356.78</v>
      </c>
      <c r="C8861" s="427">
        <f t="shared" si="276"/>
        <v>2016</v>
      </c>
      <c r="D8861" s="433">
        <f t="shared" si="277"/>
        <v>3356.78</v>
      </c>
    </row>
    <row r="8862" spans="1:4" ht="16.149999999999999" customHeight="1" x14ac:dyDescent="0.25">
      <c r="A8862" s="431">
        <v>42422</v>
      </c>
      <c r="B8862" s="434">
        <v>3356.78</v>
      </c>
      <c r="C8862" s="427">
        <f t="shared" si="276"/>
        <v>2016</v>
      </c>
      <c r="D8862" s="433">
        <f t="shared" si="277"/>
        <v>3356.78</v>
      </c>
    </row>
    <row r="8863" spans="1:4" ht="16.149999999999999" customHeight="1" x14ac:dyDescent="0.25">
      <c r="A8863" s="431">
        <v>42423</v>
      </c>
      <c r="B8863" s="432">
        <v>3314.24</v>
      </c>
      <c r="C8863" s="427">
        <f t="shared" si="276"/>
        <v>2016</v>
      </c>
      <c r="D8863" s="433">
        <f t="shared" si="277"/>
        <v>3314.24</v>
      </c>
    </row>
    <row r="8864" spans="1:4" ht="16.149999999999999" customHeight="1" x14ac:dyDescent="0.25">
      <c r="A8864" s="431">
        <v>42424</v>
      </c>
      <c r="B8864" s="434">
        <v>3322.54</v>
      </c>
      <c r="C8864" s="427">
        <f t="shared" si="276"/>
        <v>2016</v>
      </c>
      <c r="D8864" s="433">
        <f t="shared" si="277"/>
        <v>3322.54</v>
      </c>
    </row>
    <row r="8865" spans="1:4" ht="16.149999999999999" customHeight="1" x14ac:dyDescent="0.25">
      <c r="A8865" s="431">
        <v>42425</v>
      </c>
      <c r="B8865" s="432">
        <v>3341.69</v>
      </c>
      <c r="C8865" s="427">
        <f t="shared" si="276"/>
        <v>2016</v>
      </c>
      <c r="D8865" s="433">
        <f t="shared" si="277"/>
        <v>3341.69</v>
      </c>
    </row>
    <row r="8866" spans="1:4" ht="16.149999999999999" customHeight="1" x14ac:dyDescent="0.25">
      <c r="A8866" s="431">
        <v>42426</v>
      </c>
      <c r="B8866" s="434">
        <v>3310.16</v>
      </c>
      <c r="C8866" s="427">
        <f t="shared" si="276"/>
        <v>2016</v>
      </c>
      <c r="D8866" s="433">
        <f t="shared" si="277"/>
        <v>3310.16</v>
      </c>
    </row>
    <row r="8867" spans="1:4" ht="16.149999999999999" customHeight="1" x14ac:dyDescent="0.25">
      <c r="A8867" s="431">
        <v>42427</v>
      </c>
      <c r="B8867" s="432">
        <v>3306</v>
      </c>
      <c r="C8867" s="427">
        <f t="shared" si="276"/>
        <v>2016</v>
      </c>
      <c r="D8867" s="433">
        <f t="shared" si="277"/>
        <v>3306</v>
      </c>
    </row>
    <row r="8868" spans="1:4" ht="16.149999999999999" customHeight="1" x14ac:dyDescent="0.25">
      <c r="A8868" s="431">
        <v>42428</v>
      </c>
      <c r="B8868" s="434">
        <v>3306</v>
      </c>
      <c r="C8868" s="427">
        <f t="shared" si="276"/>
        <v>2016</v>
      </c>
      <c r="D8868" s="433">
        <f t="shared" si="277"/>
        <v>3306</v>
      </c>
    </row>
    <row r="8869" spans="1:4" ht="16.149999999999999" customHeight="1" x14ac:dyDescent="0.25">
      <c r="A8869" s="431">
        <v>42429</v>
      </c>
      <c r="B8869" s="432">
        <v>3306</v>
      </c>
      <c r="C8869" s="427">
        <f t="shared" si="276"/>
        <v>2016</v>
      </c>
      <c r="D8869" s="433">
        <f t="shared" si="277"/>
        <v>3306</v>
      </c>
    </row>
    <row r="8870" spans="1:4" ht="16.149999999999999" customHeight="1" x14ac:dyDescent="0.25">
      <c r="A8870" s="431">
        <v>42430</v>
      </c>
      <c r="B8870" s="434">
        <v>3319.8</v>
      </c>
      <c r="C8870" s="427">
        <f t="shared" si="276"/>
        <v>2016</v>
      </c>
      <c r="D8870" s="433">
        <f t="shared" si="277"/>
        <v>3319.8</v>
      </c>
    </row>
    <row r="8871" spans="1:4" ht="16.149999999999999" customHeight="1" x14ac:dyDescent="0.25">
      <c r="A8871" s="431">
        <v>42431</v>
      </c>
      <c r="B8871" s="432">
        <v>3268.86</v>
      </c>
      <c r="C8871" s="427">
        <f t="shared" si="276"/>
        <v>2016</v>
      </c>
      <c r="D8871" s="433">
        <f t="shared" si="277"/>
        <v>3268.86</v>
      </c>
    </row>
    <row r="8872" spans="1:4" ht="16.149999999999999" customHeight="1" x14ac:dyDescent="0.25">
      <c r="A8872" s="431">
        <v>42432</v>
      </c>
      <c r="B8872" s="434">
        <v>3205.6</v>
      </c>
      <c r="C8872" s="427">
        <f t="shared" si="276"/>
        <v>2016</v>
      </c>
      <c r="D8872" s="433">
        <f t="shared" si="277"/>
        <v>3205.6</v>
      </c>
    </row>
    <row r="8873" spans="1:4" ht="16.149999999999999" customHeight="1" x14ac:dyDescent="0.25">
      <c r="A8873" s="431">
        <v>42433</v>
      </c>
      <c r="B8873" s="432">
        <v>3203.03</v>
      </c>
      <c r="C8873" s="427">
        <f t="shared" si="276"/>
        <v>2016</v>
      </c>
      <c r="D8873" s="433">
        <f t="shared" si="277"/>
        <v>3203.03</v>
      </c>
    </row>
    <row r="8874" spans="1:4" ht="16.149999999999999" customHeight="1" x14ac:dyDescent="0.25">
      <c r="A8874" s="431">
        <v>42434</v>
      </c>
      <c r="B8874" s="434">
        <v>3163.25</v>
      </c>
      <c r="C8874" s="427">
        <f t="shared" si="276"/>
        <v>2016</v>
      </c>
      <c r="D8874" s="433">
        <f t="shared" si="277"/>
        <v>3163.25</v>
      </c>
    </row>
    <row r="8875" spans="1:4" ht="16.149999999999999" customHeight="1" x14ac:dyDescent="0.25">
      <c r="A8875" s="431">
        <v>42435</v>
      </c>
      <c r="B8875" s="432">
        <v>3163.25</v>
      </c>
      <c r="C8875" s="427">
        <f t="shared" si="276"/>
        <v>2016</v>
      </c>
      <c r="D8875" s="433">
        <f t="shared" si="277"/>
        <v>3163.25</v>
      </c>
    </row>
    <row r="8876" spans="1:4" ht="16.149999999999999" customHeight="1" x14ac:dyDescent="0.25">
      <c r="A8876" s="431">
        <v>42436</v>
      </c>
      <c r="B8876" s="434">
        <v>3163.25</v>
      </c>
      <c r="C8876" s="427">
        <f t="shared" si="276"/>
        <v>2016</v>
      </c>
      <c r="D8876" s="433">
        <f t="shared" si="277"/>
        <v>3163.25</v>
      </c>
    </row>
    <row r="8877" spans="1:4" ht="16.149999999999999" customHeight="1" x14ac:dyDescent="0.25">
      <c r="A8877" s="431">
        <v>42437</v>
      </c>
      <c r="B8877" s="432">
        <v>3135.28</v>
      </c>
      <c r="C8877" s="427">
        <f t="shared" si="276"/>
        <v>2016</v>
      </c>
      <c r="D8877" s="433">
        <f t="shared" si="277"/>
        <v>3135.28</v>
      </c>
    </row>
    <row r="8878" spans="1:4" ht="16.149999999999999" customHeight="1" x14ac:dyDescent="0.25">
      <c r="A8878" s="431">
        <v>42438</v>
      </c>
      <c r="B8878" s="434">
        <v>3155.9</v>
      </c>
      <c r="C8878" s="427">
        <f t="shared" si="276"/>
        <v>2016</v>
      </c>
      <c r="D8878" s="433">
        <f t="shared" si="277"/>
        <v>3155.9</v>
      </c>
    </row>
    <row r="8879" spans="1:4" ht="16.149999999999999" customHeight="1" x14ac:dyDescent="0.25">
      <c r="A8879" s="431">
        <v>42439</v>
      </c>
      <c r="B8879" s="432">
        <v>3192.49</v>
      </c>
      <c r="C8879" s="427">
        <f t="shared" si="276"/>
        <v>2016</v>
      </c>
      <c r="D8879" s="433">
        <f t="shared" si="277"/>
        <v>3192.49</v>
      </c>
    </row>
    <row r="8880" spans="1:4" ht="16.149999999999999" customHeight="1" x14ac:dyDescent="0.25">
      <c r="A8880" s="431">
        <v>42440</v>
      </c>
      <c r="B8880" s="434">
        <v>3204.27</v>
      </c>
      <c r="C8880" s="427">
        <f t="shared" si="276"/>
        <v>2016</v>
      </c>
      <c r="D8880" s="433">
        <f t="shared" si="277"/>
        <v>3204.27</v>
      </c>
    </row>
    <row r="8881" spans="1:4" ht="16.149999999999999" customHeight="1" x14ac:dyDescent="0.25">
      <c r="A8881" s="431">
        <v>42441</v>
      </c>
      <c r="B8881" s="432">
        <v>3164.12</v>
      </c>
      <c r="C8881" s="427">
        <f t="shared" si="276"/>
        <v>2016</v>
      </c>
      <c r="D8881" s="433">
        <f t="shared" si="277"/>
        <v>3164.12</v>
      </c>
    </row>
    <row r="8882" spans="1:4" ht="16.149999999999999" customHeight="1" x14ac:dyDescent="0.25">
      <c r="A8882" s="431">
        <v>42442</v>
      </c>
      <c r="B8882" s="434">
        <v>3164.12</v>
      </c>
      <c r="C8882" s="427">
        <f t="shared" si="276"/>
        <v>2016</v>
      </c>
      <c r="D8882" s="433">
        <f t="shared" si="277"/>
        <v>3164.12</v>
      </c>
    </row>
    <row r="8883" spans="1:4" ht="16.149999999999999" customHeight="1" x14ac:dyDescent="0.25">
      <c r="A8883" s="431">
        <v>42443</v>
      </c>
      <c r="B8883" s="432">
        <v>3164.12</v>
      </c>
      <c r="C8883" s="427">
        <f t="shared" si="276"/>
        <v>2016</v>
      </c>
      <c r="D8883" s="433">
        <f t="shared" si="277"/>
        <v>3164.12</v>
      </c>
    </row>
    <row r="8884" spans="1:4" ht="16.149999999999999" customHeight="1" x14ac:dyDescent="0.25">
      <c r="A8884" s="431">
        <v>42444</v>
      </c>
      <c r="B8884" s="434">
        <v>3175.95</v>
      </c>
      <c r="C8884" s="427">
        <f t="shared" si="276"/>
        <v>2016</v>
      </c>
      <c r="D8884" s="433">
        <f t="shared" si="277"/>
        <v>3175.95</v>
      </c>
    </row>
    <row r="8885" spans="1:4" ht="16.149999999999999" customHeight="1" x14ac:dyDescent="0.25">
      <c r="A8885" s="431">
        <v>42445</v>
      </c>
      <c r="B8885" s="432">
        <v>3175.88</v>
      </c>
      <c r="C8885" s="427">
        <f t="shared" si="276"/>
        <v>2016</v>
      </c>
      <c r="D8885" s="433">
        <f t="shared" si="277"/>
        <v>3175.88</v>
      </c>
    </row>
    <row r="8886" spans="1:4" ht="16.149999999999999" customHeight="1" x14ac:dyDescent="0.25">
      <c r="A8886" s="431">
        <v>42446</v>
      </c>
      <c r="B8886" s="434">
        <v>3155.9</v>
      </c>
      <c r="C8886" s="427">
        <f t="shared" si="276"/>
        <v>2016</v>
      </c>
      <c r="D8886" s="433">
        <f t="shared" si="277"/>
        <v>3155.9</v>
      </c>
    </row>
    <row r="8887" spans="1:4" ht="16.149999999999999" customHeight="1" x14ac:dyDescent="0.25">
      <c r="A8887" s="431">
        <v>42447</v>
      </c>
      <c r="B8887" s="432">
        <v>3087.39</v>
      </c>
      <c r="C8887" s="427">
        <f t="shared" si="276"/>
        <v>2016</v>
      </c>
      <c r="D8887" s="433">
        <f t="shared" si="277"/>
        <v>3087.39</v>
      </c>
    </row>
    <row r="8888" spans="1:4" ht="16.149999999999999" customHeight="1" x14ac:dyDescent="0.25">
      <c r="A8888" s="431">
        <v>42448</v>
      </c>
      <c r="B8888" s="434">
        <v>3065.79</v>
      </c>
      <c r="C8888" s="427">
        <f t="shared" si="276"/>
        <v>2016</v>
      </c>
      <c r="D8888" s="433">
        <f t="shared" si="277"/>
        <v>3065.79</v>
      </c>
    </row>
    <row r="8889" spans="1:4" ht="16.149999999999999" customHeight="1" x14ac:dyDescent="0.25">
      <c r="A8889" s="431">
        <v>42449</v>
      </c>
      <c r="B8889" s="432">
        <v>3065.79</v>
      </c>
      <c r="C8889" s="427">
        <f t="shared" si="276"/>
        <v>2016</v>
      </c>
      <c r="D8889" s="433">
        <f t="shared" si="277"/>
        <v>3065.79</v>
      </c>
    </row>
    <row r="8890" spans="1:4" ht="16.149999999999999" customHeight="1" x14ac:dyDescent="0.25">
      <c r="A8890" s="431">
        <v>42450</v>
      </c>
      <c r="B8890" s="434">
        <v>3065.79</v>
      </c>
      <c r="C8890" s="427">
        <f t="shared" si="276"/>
        <v>2016</v>
      </c>
      <c r="D8890" s="433">
        <f t="shared" si="277"/>
        <v>3065.79</v>
      </c>
    </row>
    <row r="8891" spans="1:4" ht="16.149999999999999" customHeight="1" x14ac:dyDescent="0.25">
      <c r="A8891" s="431">
        <v>42451</v>
      </c>
      <c r="B8891" s="432">
        <v>3065.79</v>
      </c>
      <c r="C8891" s="427">
        <f t="shared" si="276"/>
        <v>2016</v>
      </c>
      <c r="D8891" s="433">
        <f t="shared" si="277"/>
        <v>3065.79</v>
      </c>
    </row>
    <row r="8892" spans="1:4" ht="16.149999999999999" customHeight="1" x14ac:dyDescent="0.25">
      <c r="A8892" s="431">
        <v>42452</v>
      </c>
      <c r="B8892" s="434">
        <v>3050.31</v>
      </c>
      <c r="C8892" s="427">
        <f t="shared" si="276"/>
        <v>2016</v>
      </c>
      <c r="D8892" s="433">
        <f t="shared" si="277"/>
        <v>3050.31</v>
      </c>
    </row>
    <row r="8893" spans="1:4" ht="16.149999999999999" customHeight="1" x14ac:dyDescent="0.25">
      <c r="A8893" s="431">
        <v>42453</v>
      </c>
      <c r="B8893" s="432">
        <v>3058.8</v>
      </c>
      <c r="C8893" s="427">
        <f t="shared" si="276"/>
        <v>2016</v>
      </c>
      <c r="D8893" s="433">
        <f t="shared" si="277"/>
        <v>3058.8</v>
      </c>
    </row>
    <row r="8894" spans="1:4" ht="16.149999999999999" customHeight="1" x14ac:dyDescent="0.25">
      <c r="A8894" s="431">
        <v>42454</v>
      </c>
      <c r="B8894" s="434">
        <v>3058.8</v>
      </c>
      <c r="C8894" s="427">
        <f t="shared" si="276"/>
        <v>2016</v>
      </c>
      <c r="D8894" s="433">
        <f t="shared" si="277"/>
        <v>3058.8</v>
      </c>
    </row>
    <row r="8895" spans="1:4" ht="16.149999999999999" customHeight="1" x14ac:dyDescent="0.25">
      <c r="A8895" s="431">
        <v>42455</v>
      </c>
      <c r="B8895" s="432">
        <v>3058.8</v>
      </c>
      <c r="C8895" s="427">
        <f t="shared" si="276"/>
        <v>2016</v>
      </c>
      <c r="D8895" s="433">
        <f t="shared" si="277"/>
        <v>3058.8</v>
      </c>
    </row>
    <row r="8896" spans="1:4" ht="16.149999999999999" customHeight="1" x14ac:dyDescent="0.25">
      <c r="A8896" s="431">
        <v>42456</v>
      </c>
      <c r="B8896" s="434">
        <v>3058.8</v>
      </c>
      <c r="C8896" s="427">
        <f t="shared" si="276"/>
        <v>2016</v>
      </c>
      <c r="D8896" s="433">
        <f t="shared" si="277"/>
        <v>3058.8</v>
      </c>
    </row>
    <row r="8897" spans="1:4" ht="16.149999999999999" customHeight="1" x14ac:dyDescent="0.25">
      <c r="A8897" s="431">
        <v>42457</v>
      </c>
      <c r="B8897" s="432">
        <v>3058.8</v>
      </c>
      <c r="C8897" s="427">
        <f t="shared" si="276"/>
        <v>2016</v>
      </c>
      <c r="D8897" s="433">
        <f t="shared" si="277"/>
        <v>3058.8</v>
      </c>
    </row>
    <row r="8898" spans="1:4" ht="16.149999999999999" customHeight="1" x14ac:dyDescent="0.25">
      <c r="A8898" s="431">
        <v>42458</v>
      </c>
      <c r="B8898" s="434">
        <v>3047.85</v>
      </c>
      <c r="C8898" s="427">
        <f t="shared" si="276"/>
        <v>2016</v>
      </c>
      <c r="D8898" s="433">
        <f t="shared" si="277"/>
        <v>3047.85</v>
      </c>
    </row>
    <row r="8899" spans="1:4" ht="16.149999999999999" customHeight="1" x14ac:dyDescent="0.25">
      <c r="A8899" s="431">
        <v>42459</v>
      </c>
      <c r="B8899" s="432">
        <v>3052.33</v>
      </c>
      <c r="C8899" s="427">
        <f t="shared" si="276"/>
        <v>2016</v>
      </c>
      <c r="D8899" s="433">
        <f t="shared" si="277"/>
        <v>3052.33</v>
      </c>
    </row>
    <row r="8900" spans="1:4" ht="16.149999999999999" customHeight="1" x14ac:dyDescent="0.25">
      <c r="A8900" s="431">
        <v>42460</v>
      </c>
      <c r="B8900" s="434">
        <v>3022.35</v>
      </c>
      <c r="C8900" s="427">
        <f t="shared" si="276"/>
        <v>2016</v>
      </c>
      <c r="D8900" s="433">
        <f t="shared" si="277"/>
        <v>3022.35</v>
      </c>
    </row>
    <row r="8901" spans="1:4" ht="16.149999999999999" customHeight="1" x14ac:dyDescent="0.25">
      <c r="A8901" s="431">
        <v>42461</v>
      </c>
      <c r="B8901" s="432">
        <v>3000.63</v>
      </c>
      <c r="C8901" s="427">
        <f t="shared" si="276"/>
        <v>2016</v>
      </c>
      <c r="D8901" s="433">
        <f t="shared" si="277"/>
        <v>3000.63</v>
      </c>
    </row>
    <row r="8902" spans="1:4" ht="16.149999999999999" customHeight="1" x14ac:dyDescent="0.25">
      <c r="A8902" s="431">
        <v>42462</v>
      </c>
      <c r="B8902" s="434">
        <v>3038.48</v>
      </c>
      <c r="C8902" s="427">
        <f t="shared" si="276"/>
        <v>2016</v>
      </c>
      <c r="D8902" s="433">
        <f t="shared" si="277"/>
        <v>3038.48</v>
      </c>
    </row>
    <row r="8903" spans="1:4" ht="16.149999999999999" customHeight="1" x14ac:dyDescent="0.25">
      <c r="A8903" s="431">
        <v>42463</v>
      </c>
      <c r="B8903" s="432">
        <v>3038.48</v>
      </c>
      <c r="C8903" s="427">
        <f t="shared" si="276"/>
        <v>2016</v>
      </c>
      <c r="D8903" s="433">
        <f t="shared" si="277"/>
        <v>3038.48</v>
      </c>
    </row>
    <row r="8904" spans="1:4" ht="16.149999999999999" customHeight="1" x14ac:dyDescent="0.25">
      <c r="A8904" s="431">
        <v>42464</v>
      </c>
      <c r="B8904" s="434">
        <v>3038.48</v>
      </c>
      <c r="C8904" s="427">
        <f t="shared" si="276"/>
        <v>2016</v>
      </c>
      <c r="D8904" s="433">
        <f t="shared" si="277"/>
        <v>3038.48</v>
      </c>
    </row>
    <row r="8905" spans="1:4" ht="16.149999999999999" customHeight="1" x14ac:dyDescent="0.25">
      <c r="A8905" s="431">
        <v>42465</v>
      </c>
      <c r="B8905" s="432">
        <v>3066.94</v>
      </c>
      <c r="C8905" s="427">
        <f t="shared" si="276"/>
        <v>2016</v>
      </c>
      <c r="D8905" s="433">
        <f t="shared" si="277"/>
        <v>3066.94</v>
      </c>
    </row>
    <row r="8906" spans="1:4" ht="16.149999999999999" customHeight="1" x14ac:dyDescent="0.25">
      <c r="A8906" s="431">
        <v>42466</v>
      </c>
      <c r="B8906" s="434">
        <v>3085.82</v>
      </c>
      <c r="C8906" s="427">
        <f t="shared" ref="C8906:C8969" si="278">YEAR(A8906)</f>
        <v>2016</v>
      </c>
      <c r="D8906" s="433">
        <f t="shared" ref="D8906:D8969" si="279">B8906</f>
        <v>3085.82</v>
      </c>
    </row>
    <row r="8907" spans="1:4" ht="16.149999999999999" customHeight="1" x14ac:dyDescent="0.25">
      <c r="A8907" s="431">
        <v>42467</v>
      </c>
      <c r="B8907" s="432">
        <v>3081.39</v>
      </c>
      <c r="C8907" s="427">
        <f t="shared" si="278"/>
        <v>2016</v>
      </c>
      <c r="D8907" s="433">
        <f t="shared" si="279"/>
        <v>3081.39</v>
      </c>
    </row>
    <row r="8908" spans="1:4" ht="16.149999999999999" customHeight="1" x14ac:dyDescent="0.25">
      <c r="A8908" s="431">
        <v>42468</v>
      </c>
      <c r="B8908" s="434">
        <v>3109.6</v>
      </c>
      <c r="C8908" s="427">
        <f t="shared" si="278"/>
        <v>2016</v>
      </c>
      <c r="D8908" s="433">
        <f t="shared" si="279"/>
        <v>3109.6</v>
      </c>
    </row>
    <row r="8909" spans="1:4" ht="16.149999999999999" customHeight="1" x14ac:dyDescent="0.25">
      <c r="A8909" s="431">
        <v>42469</v>
      </c>
      <c r="B8909" s="432">
        <v>3076.29</v>
      </c>
      <c r="C8909" s="427">
        <f t="shared" si="278"/>
        <v>2016</v>
      </c>
      <c r="D8909" s="433">
        <f t="shared" si="279"/>
        <v>3076.29</v>
      </c>
    </row>
    <row r="8910" spans="1:4" ht="16.149999999999999" customHeight="1" x14ac:dyDescent="0.25">
      <c r="A8910" s="431">
        <v>42470</v>
      </c>
      <c r="B8910" s="434">
        <v>3076.29</v>
      </c>
      <c r="C8910" s="427">
        <f t="shared" si="278"/>
        <v>2016</v>
      </c>
      <c r="D8910" s="433">
        <f t="shared" si="279"/>
        <v>3076.29</v>
      </c>
    </row>
    <row r="8911" spans="1:4" ht="16.149999999999999" customHeight="1" x14ac:dyDescent="0.25">
      <c r="A8911" s="431">
        <v>42471</v>
      </c>
      <c r="B8911" s="432">
        <v>3076.29</v>
      </c>
      <c r="C8911" s="427">
        <f t="shared" si="278"/>
        <v>2016</v>
      </c>
      <c r="D8911" s="433">
        <f t="shared" si="279"/>
        <v>3076.29</v>
      </c>
    </row>
    <row r="8912" spans="1:4" ht="16.149999999999999" customHeight="1" x14ac:dyDescent="0.25">
      <c r="A8912" s="431">
        <v>42472</v>
      </c>
      <c r="B8912" s="434">
        <v>3057.96</v>
      </c>
      <c r="C8912" s="427">
        <f t="shared" si="278"/>
        <v>2016</v>
      </c>
      <c r="D8912" s="433">
        <f t="shared" si="279"/>
        <v>3057.96</v>
      </c>
    </row>
    <row r="8913" spans="1:4" ht="16.149999999999999" customHeight="1" x14ac:dyDescent="0.25">
      <c r="A8913" s="431">
        <v>42473</v>
      </c>
      <c r="B8913" s="432">
        <v>3036.57</v>
      </c>
      <c r="C8913" s="427">
        <f t="shared" si="278"/>
        <v>2016</v>
      </c>
      <c r="D8913" s="433">
        <f t="shared" si="279"/>
        <v>3036.57</v>
      </c>
    </row>
    <row r="8914" spans="1:4" ht="16.149999999999999" customHeight="1" x14ac:dyDescent="0.25">
      <c r="A8914" s="431">
        <v>42474</v>
      </c>
      <c r="B8914" s="434">
        <v>3006.35</v>
      </c>
      <c r="C8914" s="427">
        <f t="shared" si="278"/>
        <v>2016</v>
      </c>
      <c r="D8914" s="433">
        <f t="shared" si="279"/>
        <v>3006.35</v>
      </c>
    </row>
    <row r="8915" spans="1:4" ht="16.149999999999999" customHeight="1" x14ac:dyDescent="0.25">
      <c r="A8915" s="431">
        <v>42475</v>
      </c>
      <c r="B8915" s="432">
        <v>3000.78</v>
      </c>
      <c r="C8915" s="427">
        <f t="shared" si="278"/>
        <v>2016</v>
      </c>
      <c r="D8915" s="433">
        <f t="shared" si="279"/>
        <v>3000.78</v>
      </c>
    </row>
    <row r="8916" spans="1:4" ht="16.149999999999999" customHeight="1" x14ac:dyDescent="0.25">
      <c r="A8916" s="431">
        <v>42476</v>
      </c>
      <c r="B8916" s="434">
        <v>2999.38</v>
      </c>
      <c r="C8916" s="427">
        <f t="shared" si="278"/>
        <v>2016</v>
      </c>
      <c r="D8916" s="433">
        <f t="shared" si="279"/>
        <v>2999.38</v>
      </c>
    </row>
    <row r="8917" spans="1:4" ht="16.149999999999999" customHeight="1" x14ac:dyDescent="0.25">
      <c r="A8917" s="431">
        <v>42477</v>
      </c>
      <c r="B8917" s="432">
        <v>2999.38</v>
      </c>
      <c r="C8917" s="427">
        <f t="shared" si="278"/>
        <v>2016</v>
      </c>
      <c r="D8917" s="433">
        <f t="shared" si="279"/>
        <v>2999.38</v>
      </c>
    </row>
    <row r="8918" spans="1:4" ht="16.149999999999999" customHeight="1" x14ac:dyDescent="0.25">
      <c r="A8918" s="431">
        <v>42478</v>
      </c>
      <c r="B8918" s="434">
        <v>2999.38</v>
      </c>
      <c r="C8918" s="427">
        <f t="shared" si="278"/>
        <v>2016</v>
      </c>
      <c r="D8918" s="433">
        <f t="shared" si="279"/>
        <v>2999.38</v>
      </c>
    </row>
    <row r="8919" spans="1:4" ht="16.149999999999999" customHeight="1" x14ac:dyDescent="0.25">
      <c r="A8919" s="431">
        <v>42479</v>
      </c>
      <c r="B8919" s="432">
        <v>2995.86</v>
      </c>
      <c r="C8919" s="427">
        <f t="shared" si="278"/>
        <v>2016</v>
      </c>
      <c r="D8919" s="433">
        <f t="shared" si="279"/>
        <v>2995.86</v>
      </c>
    </row>
    <row r="8920" spans="1:4" ht="16.149999999999999" customHeight="1" x14ac:dyDescent="0.25">
      <c r="A8920" s="431">
        <v>42480</v>
      </c>
      <c r="B8920" s="434">
        <v>2912.2</v>
      </c>
      <c r="C8920" s="427">
        <f t="shared" si="278"/>
        <v>2016</v>
      </c>
      <c r="D8920" s="433">
        <f t="shared" si="279"/>
        <v>2912.2</v>
      </c>
    </row>
    <row r="8921" spans="1:4" ht="16.149999999999999" customHeight="1" x14ac:dyDescent="0.25">
      <c r="A8921" s="431">
        <v>42481</v>
      </c>
      <c r="B8921" s="432">
        <v>2899.92</v>
      </c>
      <c r="C8921" s="427">
        <f t="shared" si="278"/>
        <v>2016</v>
      </c>
      <c r="D8921" s="433">
        <f t="shared" si="279"/>
        <v>2899.92</v>
      </c>
    </row>
    <row r="8922" spans="1:4" ht="16.149999999999999" customHeight="1" x14ac:dyDescent="0.25">
      <c r="A8922" s="431">
        <v>42482</v>
      </c>
      <c r="B8922" s="434">
        <v>2928.7</v>
      </c>
      <c r="C8922" s="427">
        <f t="shared" si="278"/>
        <v>2016</v>
      </c>
      <c r="D8922" s="433">
        <f t="shared" si="279"/>
        <v>2928.7</v>
      </c>
    </row>
    <row r="8923" spans="1:4" ht="16.149999999999999" customHeight="1" x14ac:dyDescent="0.25">
      <c r="A8923" s="431">
        <v>42483</v>
      </c>
      <c r="B8923" s="432">
        <v>2939.7</v>
      </c>
      <c r="C8923" s="427">
        <f t="shared" si="278"/>
        <v>2016</v>
      </c>
      <c r="D8923" s="433">
        <f t="shared" si="279"/>
        <v>2939.7</v>
      </c>
    </row>
    <row r="8924" spans="1:4" ht="16.149999999999999" customHeight="1" x14ac:dyDescent="0.25">
      <c r="A8924" s="431">
        <v>42484</v>
      </c>
      <c r="B8924" s="434">
        <v>2939.7</v>
      </c>
      <c r="C8924" s="427">
        <f t="shared" si="278"/>
        <v>2016</v>
      </c>
      <c r="D8924" s="433">
        <f t="shared" si="279"/>
        <v>2939.7</v>
      </c>
    </row>
    <row r="8925" spans="1:4" ht="16.149999999999999" customHeight="1" x14ac:dyDescent="0.25">
      <c r="A8925" s="431">
        <v>42485</v>
      </c>
      <c r="B8925" s="432">
        <v>2939.7</v>
      </c>
      <c r="C8925" s="427">
        <f t="shared" si="278"/>
        <v>2016</v>
      </c>
      <c r="D8925" s="433">
        <f t="shared" si="279"/>
        <v>2939.7</v>
      </c>
    </row>
    <row r="8926" spans="1:4" ht="16.149999999999999" customHeight="1" x14ac:dyDescent="0.25">
      <c r="A8926" s="431">
        <v>42486</v>
      </c>
      <c r="B8926" s="434">
        <v>2962.08</v>
      </c>
      <c r="C8926" s="427">
        <f t="shared" si="278"/>
        <v>2016</v>
      </c>
      <c r="D8926" s="433">
        <f t="shared" si="279"/>
        <v>2962.08</v>
      </c>
    </row>
    <row r="8927" spans="1:4" ht="16.149999999999999" customHeight="1" x14ac:dyDescent="0.25">
      <c r="A8927" s="431">
        <v>42487</v>
      </c>
      <c r="B8927" s="432">
        <v>2945.37</v>
      </c>
      <c r="C8927" s="427">
        <f t="shared" si="278"/>
        <v>2016</v>
      </c>
      <c r="D8927" s="433">
        <f t="shared" si="279"/>
        <v>2945.37</v>
      </c>
    </row>
    <row r="8928" spans="1:4" ht="16.149999999999999" customHeight="1" x14ac:dyDescent="0.25">
      <c r="A8928" s="431">
        <v>42488</v>
      </c>
      <c r="B8928" s="434">
        <v>2943.23</v>
      </c>
      <c r="C8928" s="427">
        <f t="shared" si="278"/>
        <v>2016</v>
      </c>
      <c r="D8928" s="433">
        <f t="shared" si="279"/>
        <v>2943.23</v>
      </c>
    </row>
    <row r="8929" spans="1:4" ht="16.149999999999999" customHeight="1" x14ac:dyDescent="0.25">
      <c r="A8929" s="431">
        <v>42489</v>
      </c>
      <c r="B8929" s="432">
        <v>2885.72</v>
      </c>
      <c r="C8929" s="427">
        <f t="shared" si="278"/>
        <v>2016</v>
      </c>
      <c r="D8929" s="433">
        <f t="shared" si="279"/>
        <v>2885.72</v>
      </c>
    </row>
    <row r="8930" spans="1:4" ht="16.149999999999999" customHeight="1" x14ac:dyDescent="0.25">
      <c r="A8930" s="431">
        <v>42490</v>
      </c>
      <c r="B8930" s="434">
        <v>2851.14</v>
      </c>
      <c r="C8930" s="427">
        <f t="shared" si="278"/>
        <v>2016</v>
      </c>
      <c r="D8930" s="433">
        <f t="shared" si="279"/>
        <v>2851.14</v>
      </c>
    </row>
    <row r="8931" spans="1:4" ht="16.149999999999999" customHeight="1" x14ac:dyDescent="0.25">
      <c r="A8931" s="431">
        <v>42491</v>
      </c>
      <c r="B8931" s="432">
        <v>2851.14</v>
      </c>
      <c r="C8931" s="427">
        <f t="shared" si="278"/>
        <v>2016</v>
      </c>
      <c r="D8931" s="433">
        <f t="shared" si="279"/>
        <v>2851.14</v>
      </c>
    </row>
    <row r="8932" spans="1:4" ht="16.149999999999999" customHeight="1" x14ac:dyDescent="0.25">
      <c r="A8932" s="431">
        <v>42492</v>
      </c>
      <c r="B8932" s="434">
        <v>2851.14</v>
      </c>
      <c r="C8932" s="427">
        <f t="shared" si="278"/>
        <v>2016</v>
      </c>
      <c r="D8932" s="433">
        <f t="shared" si="279"/>
        <v>2851.14</v>
      </c>
    </row>
    <row r="8933" spans="1:4" ht="16.149999999999999" customHeight="1" x14ac:dyDescent="0.25">
      <c r="A8933" s="431">
        <v>42493</v>
      </c>
      <c r="B8933" s="432">
        <v>2833.78</v>
      </c>
      <c r="C8933" s="427">
        <f t="shared" si="278"/>
        <v>2016</v>
      </c>
      <c r="D8933" s="433">
        <f t="shared" si="279"/>
        <v>2833.78</v>
      </c>
    </row>
    <row r="8934" spans="1:4" ht="16.149999999999999" customHeight="1" x14ac:dyDescent="0.25">
      <c r="A8934" s="431">
        <v>42494</v>
      </c>
      <c r="B8934" s="434">
        <v>2895.51</v>
      </c>
      <c r="C8934" s="427">
        <f t="shared" si="278"/>
        <v>2016</v>
      </c>
      <c r="D8934" s="433">
        <f t="shared" si="279"/>
        <v>2895.51</v>
      </c>
    </row>
    <row r="8935" spans="1:4" ht="16.149999999999999" customHeight="1" x14ac:dyDescent="0.25">
      <c r="A8935" s="431">
        <v>42495</v>
      </c>
      <c r="B8935" s="432">
        <v>2942.16</v>
      </c>
      <c r="C8935" s="427">
        <f t="shared" si="278"/>
        <v>2016</v>
      </c>
      <c r="D8935" s="433">
        <f t="shared" si="279"/>
        <v>2942.16</v>
      </c>
    </row>
    <row r="8936" spans="1:4" ht="16.149999999999999" customHeight="1" x14ac:dyDescent="0.25">
      <c r="A8936" s="431">
        <v>42496</v>
      </c>
      <c r="B8936" s="434">
        <v>2952.37</v>
      </c>
      <c r="C8936" s="427">
        <f t="shared" si="278"/>
        <v>2016</v>
      </c>
      <c r="D8936" s="433">
        <f t="shared" si="279"/>
        <v>2952.37</v>
      </c>
    </row>
    <row r="8937" spans="1:4" ht="16.149999999999999" customHeight="1" x14ac:dyDescent="0.25">
      <c r="A8937" s="431">
        <v>42497</v>
      </c>
      <c r="B8937" s="432">
        <v>2969.62</v>
      </c>
      <c r="C8937" s="427">
        <f t="shared" si="278"/>
        <v>2016</v>
      </c>
      <c r="D8937" s="433">
        <f t="shared" si="279"/>
        <v>2969.62</v>
      </c>
    </row>
    <row r="8938" spans="1:4" ht="16.149999999999999" customHeight="1" x14ac:dyDescent="0.25">
      <c r="A8938" s="431">
        <v>42498</v>
      </c>
      <c r="B8938" s="434">
        <v>2969.62</v>
      </c>
      <c r="C8938" s="427">
        <f t="shared" si="278"/>
        <v>2016</v>
      </c>
      <c r="D8938" s="433">
        <f t="shared" si="279"/>
        <v>2969.62</v>
      </c>
    </row>
    <row r="8939" spans="1:4" ht="16.149999999999999" customHeight="1" x14ac:dyDescent="0.25">
      <c r="A8939" s="431">
        <v>42499</v>
      </c>
      <c r="B8939" s="432">
        <v>2969.62</v>
      </c>
      <c r="C8939" s="427">
        <f t="shared" si="278"/>
        <v>2016</v>
      </c>
      <c r="D8939" s="433">
        <f t="shared" si="279"/>
        <v>2969.62</v>
      </c>
    </row>
    <row r="8940" spans="1:4" ht="16.149999999999999" customHeight="1" x14ac:dyDescent="0.25">
      <c r="A8940" s="431">
        <v>42500</v>
      </c>
      <c r="B8940" s="434">
        <v>2969.62</v>
      </c>
      <c r="C8940" s="427">
        <f t="shared" si="278"/>
        <v>2016</v>
      </c>
      <c r="D8940" s="433">
        <f t="shared" si="279"/>
        <v>2969.62</v>
      </c>
    </row>
    <row r="8941" spans="1:4" ht="16.149999999999999" customHeight="1" x14ac:dyDescent="0.25">
      <c r="A8941" s="431">
        <v>42501</v>
      </c>
      <c r="B8941" s="432">
        <v>2979.54</v>
      </c>
      <c r="C8941" s="427">
        <f t="shared" si="278"/>
        <v>2016</v>
      </c>
      <c r="D8941" s="433">
        <f t="shared" si="279"/>
        <v>2979.54</v>
      </c>
    </row>
    <row r="8942" spans="1:4" ht="16.149999999999999" customHeight="1" x14ac:dyDescent="0.25">
      <c r="A8942" s="431">
        <v>42502</v>
      </c>
      <c r="B8942" s="434">
        <v>2956.82</v>
      </c>
      <c r="C8942" s="427">
        <f t="shared" si="278"/>
        <v>2016</v>
      </c>
      <c r="D8942" s="433">
        <f t="shared" si="279"/>
        <v>2956.82</v>
      </c>
    </row>
    <row r="8943" spans="1:4" ht="16.149999999999999" customHeight="1" x14ac:dyDescent="0.25">
      <c r="A8943" s="431">
        <v>42503</v>
      </c>
      <c r="B8943" s="432">
        <v>2934.88</v>
      </c>
      <c r="C8943" s="427">
        <f t="shared" si="278"/>
        <v>2016</v>
      </c>
      <c r="D8943" s="433">
        <f t="shared" si="279"/>
        <v>2934.88</v>
      </c>
    </row>
    <row r="8944" spans="1:4" ht="16.149999999999999" customHeight="1" x14ac:dyDescent="0.25">
      <c r="A8944" s="431">
        <v>42504</v>
      </c>
      <c r="B8944" s="434">
        <v>2983.82</v>
      </c>
      <c r="C8944" s="427">
        <f t="shared" si="278"/>
        <v>2016</v>
      </c>
      <c r="D8944" s="433">
        <f t="shared" si="279"/>
        <v>2983.82</v>
      </c>
    </row>
    <row r="8945" spans="1:4" ht="16.149999999999999" customHeight="1" x14ac:dyDescent="0.25">
      <c r="A8945" s="431">
        <v>42505</v>
      </c>
      <c r="B8945" s="432">
        <v>2983.82</v>
      </c>
      <c r="C8945" s="427">
        <f t="shared" si="278"/>
        <v>2016</v>
      </c>
      <c r="D8945" s="433">
        <f t="shared" si="279"/>
        <v>2983.82</v>
      </c>
    </row>
    <row r="8946" spans="1:4" ht="16.149999999999999" customHeight="1" x14ac:dyDescent="0.25">
      <c r="A8946" s="431">
        <v>42506</v>
      </c>
      <c r="B8946" s="434">
        <v>2983.82</v>
      </c>
      <c r="C8946" s="427">
        <f t="shared" si="278"/>
        <v>2016</v>
      </c>
      <c r="D8946" s="433">
        <f t="shared" si="279"/>
        <v>2983.82</v>
      </c>
    </row>
    <row r="8947" spans="1:4" ht="16.149999999999999" customHeight="1" x14ac:dyDescent="0.25">
      <c r="A8947" s="431">
        <v>42507</v>
      </c>
      <c r="B8947" s="432">
        <v>3007.74</v>
      </c>
      <c r="C8947" s="427">
        <f t="shared" si="278"/>
        <v>2016</v>
      </c>
      <c r="D8947" s="433">
        <f t="shared" si="279"/>
        <v>3007.74</v>
      </c>
    </row>
    <row r="8948" spans="1:4" ht="16.149999999999999" customHeight="1" x14ac:dyDescent="0.25">
      <c r="A8948" s="431">
        <v>42508</v>
      </c>
      <c r="B8948" s="434">
        <v>3020.89</v>
      </c>
      <c r="C8948" s="427">
        <f t="shared" si="278"/>
        <v>2016</v>
      </c>
      <c r="D8948" s="433">
        <f t="shared" si="279"/>
        <v>3020.89</v>
      </c>
    </row>
    <row r="8949" spans="1:4" ht="16.149999999999999" customHeight="1" x14ac:dyDescent="0.25">
      <c r="A8949" s="431">
        <v>42509</v>
      </c>
      <c r="B8949" s="432">
        <v>3031.48</v>
      </c>
      <c r="C8949" s="427">
        <f t="shared" si="278"/>
        <v>2016</v>
      </c>
      <c r="D8949" s="433">
        <f t="shared" si="279"/>
        <v>3031.48</v>
      </c>
    </row>
    <row r="8950" spans="1:4" ht="16.149999999999999" customHeight="1" x14ac:dyDescent="0.25">
      <c r="A8950" s="431">
        <v>42510</v>
      </c>
      <c r="B8950" s="434">
        <v>3056.06</v>
      </c>
      <c r="C8950" s="427">
        <f t="shared" si="278"/>
        <v>2016</v>
      </c>
      <c r="D8950" s="433">
        <f t="shared" si="279"/>
        <v>3056.06</v>
      </c>
    </row>
    <row r="8951" spans="1:4" ht="16.149999999999999" customHeight="1" x14ac:dyDescent="0.25">
      <c r="A8951" s="431">
        <v>42511</v>
      </c>
      <c r="B8951" s="432">
        <v>3047.99</v>
      </c>
      <c r="C8951" s="427">
        <f t="shared" si="278"/>
        <v>2016</v>
      </c>
      <c r="D8951" s="433">
        <f t="shared" si="279"/>
        <v>3047.99</v>
      </c>
    </row>
    <row r="8952" spans="1:4" ht="16.149999999999999" customHeight="1" x14ac:dyDescent="0.25">
      <c r="A8952" s="431">
        <v>42512</v>
      </c>
      <c r="B8952" s="434">
        <v>3047.99</v>
      </c>
      <c r="C8952" s="427">
        <f t="shared" si="278"/>
        <v>2016</v>
      </c>
      <c r="D8952" s="433">
        <f t="shared" si="279"/>
        <v>3047.99</v>
      </c>
    </row>
    <row r="8953" spans="1:4" ht="16.149999999999999" customHeight="1" x14ac:dyDescent="0.25">
      <c r="A8953" s="431">
        <v>42513</v>
      </c>
      <c r="B8953" s="432">
        <v>3047.99</v>
      </c>
      <c r="C8953" s="427">
        <f t="shared" si="278"/>
        <v>2016</v>
      </c>
      <c r="D8953" s="433">
        <f t="shared" si="279"/>
        <v>3047.99</v>
      </c>
    </row>
    <row r="8954" spans="1:4" ht="16.149999999999999" customHeight="1" x14ac:dyDescent="0.25">
      <c r="A8954" s="431">
        <v>42514</v>
      </c>
      <c r="B8954" s="434">
        <v>3058.25</v>
      </c>
      <c r="C8954" s="427">
        <f t="shared" si="278"/>
        <v>2016</v>
      </c>
      <c r="D8954" s="433">
        <f t="shared" si="279"/>
        <v>3058.25</v>
      </c>
    </row>
    <row r="8955" spans="1:4" ht="16.149999999999999" customHeight="1" x14ac:dyDescent="0.25">
      <c r="A8955" s="431">
        <v>42515</v>
      </c>
      <c r="B8955" s="432">
        <v>3059.92</v>
      </c>
      <c r="C8955" s="427">
        <f t="shared" si="278"/>
        <v>2016</v>
      </c>
      <c r="D8955" s="433">
        <f t="shared" si="279"/>
        <v>3059.92</v>
      </c>
    </row>
    <row r="8956" spans="1:4" ht="16.149999999999999" customHeight="1" x14ac:dyDescent="0.25">
      <c r="A8956" s="431">
        <v>42516</v>
      </c>
      <c r="B8956" s="434">
        <v>3061.89</v>
      </c>
      <c r="C8956" s="427">
        <f t="shared" si="278"/>
        <v>2016</v>
      </c>
      <c r="D8956" s="433">
        <f t="shared" si="279"/>
        <v>3061.89</v>
      </c>
    </row>
    <row r="8957" spans="1:4" ht="16.149999999999999" customHeight="1" x14ac:dyDescent="0.25">
      <c r="A8957" s="431">
        <v>42517</v>
      </c>
      <c r="B8957" s="432">
        <v>3054.6</v>
      </c>
      <c r="C8957" s="427">
        <f t="shared" si="278"/>
        <v>2016</v>
      </c>
      <c r="D8957" s="433">
        <f t="shared" si="279"/>
        <v>3054.6</v>
      </c>
    </row>
    <row r="8958" spans="1:4" ht="16.149999999999999" customHeight="1" x14ac:dyDescent="0.25">
      <c r="A8958" s="431">
        <v>42518</v>
      </c>
      <c r="B8958" s="434">
        <v>3069.17</v>
      </c>
      <c r="C8958" s="427">
        <f t="shared" si="278"/>
        <v>2016</v>
      </c>
      <c r="D8958" s="433">
        <f t="shared" si="279"/>
        <v>3069.17</v>
      </c>
    </row>
    <row r="8959" spans="1:4" ht="16.149999999999999" customHeight="1" x14ac:dyDescent="0.25">
      <c r="A8959" s="431">
        <v>42519</v>
      </c>
      <c r="B8959" s="432">
        <v>3069.17</v>
      </c>
      <c r="C8959" s="427">
        <f t="shared" si="278"/>
        <v>2016</v>
      </c>
      <c r="D8959" s="433">
        <f t="shared" si="279"/>
        <v>3069.17</v>
      </c>
    </row>
    <row r="8960" spans="1:4" ht="16.149999999999999" customHeight="1" x14ac:dyDescent="0.25">
      <c r="A8960" s="431">
        <v>42520</v>
      </c>
      <c r="B8960" s="434">
        <v>3069.17</v>
      </c>
      <c r="C8960" s="427">
        <f t="shared" si="278"/>
        <v>2016</v>
      </c>
      <c r="D8960" s="433">
        <f t="shared" si="279"/>
        <v>3069.17</v>
      </c>
    </row>
    <row r="8961" spans="1:4" ht="16.149999999999999" customHeight="1" x14ac:dyDescent="0.25">
      <c r="A8961" s="431">
        <v>42521</v>
      </c>
      <c r="B8961" s="432">
        <v>3069.17</v>
      </c>
      <c r="C8961" s="427">
        <f t="shared" si="278"/>
        <v>2016</v>
      </c>
      <c r="D8961" s="433">
        <f t="shared" si="279"/>
        <v>3069.17</v>
      </c>
    </row>
    <row r="8962" spans="1:4" ht="16.149999999999999" customHeight="1" x14ac:dyDescent="0.25">
      <c r="A8962" s="431">
        <v>42522</v>
      </c>
      <c r="B8962" s="434">
        <v>3089.65</v>
      </c>
      <c r="C8962" s="427">
        <f t="shared" si="278"/>
        <v>2016</v>
      </c>
      <c r="D8962" s="433">
        <f t="shared" si="279"/>
        <v>3089.65</v>
      </c>
    </row>
    <row r="8963" spans="1:4" ht="16.149999999999999" customHeight="1" x14ac:dyDescent="0.25">
      <c r="A8963" s="431">
        <v>42523</v>
      </c>
      <c r="B8963" s="432">
        <v>3117.83</v>
      </c>
      <c r="C8963" s="427">
        <f t="shared" si="278"/>
        <v>2016</v>
      </c>
      <c r="D8963" s="433">
        <f t="shared" si="279"/>
        <v>3117.83</v>
      </c>
    </row>
    <row r="8964" spans="1:4" ht="16.149999999999999" customHeight="1" x14ac:dyDescent="0.25">
      <c r="A8964" s="431">
        <v>42524</v>
      </c>
      <c r="B8964" s="434">
        <v>3110.88</v>
      </c>
      <c r="C8964" s="427">
        <f t="shared" si="278"/>
        <v>2016</v>
      </c>
      <c r="D8964" s="433">
        <f t="shared" si="279"/>
        <v>3110.88</v>
      </c>
    </row>
    <row r="8965" spans="1:4" ht="16.149999999999999" customHeight="1" x14ac:dyDescent="0.25">
      <c r="A8965" s="431">
        <v>42525</v>
      </c>
      <c r="B8965" s="432">
        <v>3017.71</v>
      </c>
      <c r="C8965" s="427">
        <f t="shared" si="278"/>
        <v>2016</v>
      </c>
      <c r="D8965" s="433">
        <f t="shared" si="279"/>
        <v>3017.71</v>
      </c>
    </row>
    <row r="8966" spans="1:4" ht="16.149999999999999" customHeight="1" x14ac:dyDescent="0.25">
      <c r="A8966" s="431">
        <v>42526</v>
      </c>
      <c r="B8966" s="434">
        <v>3017.71</v>
      </c>
      <c r="C8966" s="427">
        <f t="shared" si="278"/>
        <v>2016</v>
      </c>
      <c r="D8966" s="433">
        <f t="shared" si="279"/>
        <v>3017.71</v>
      </c>
    </row>
    <row r="8967" spans="1:4" ht="16.149999999999999" customHeight="1" x14ac:dyDescent="0.25">
      <c r="A8967" s="431">
        <v>42527</v>
      </c>
      <c r="B8967" s="432">
        <v>3017.71</v>
      </c>
      <c r="C8967" s="427">
        <f t="shared" si="278"/>
        <v>2016</v>
      </c>
      <c r="D8967" s="433">
        <f t="shared" si="279"/>
        <v>3017.71</v>
      </c>
    </row>
    <row r="8968" spans="1:4" ht="16.149999999999999" customHeight="1" x14ac:dyDescent="0.25">
      <c r="A8968" s="431">
        <v>42528</v>
      </c>
      <c r="B8968" s="434">
        <v>3017.71</v>
      </c>
      <c r="C8968" s="427">
        <f t="shared" si="278"/>
        <v>2016</v>
      </c>
      <c r="D8968" s="433">
        <f t="shared" si="279"/>
        <v>3017.71</v>
      </c>
    </row>
    <row r="8969" spans="1:4" ht="16.149999999999999" customHeight="1" x14ac:dyDescent="0.25">
      <c r="A8969" s="431">
        <v>42529</v>
      </c>
      <c r="B8969" s="432">
        <v>2950.95</v>
      </c>
      <c r="C8969" s="427">
        <f t="shared" si="278"/>
        <v>2016</v>
      </c>
      <c r="D8969" s="433">
        <f t="shared" si="279"/>
        <v>2950.95</v>
      </c>
    </row>
    <row r="8970" spans="1:4" ht="16.149999999999999" customHeight="1" x14ac:dyDescent="0.25">
      <c r="A8970" s="431">
        <v>42530</v>
      </c>
      <c r="B8970" s="434">
        <v>2905.23</v>
      </c>
      <c r="C8970" s="427">
        <f t="shared" ref="C8970:C9033" si="280">YEAR(A8970)</f>
        <v>2016</v>
      </c>
      <c r="D8970" s="433">
        <f t="shared" ref="D8970:D9033" si="281">B8970</f>
        <v>2905.23</v>
      </c>
    </row>
    <row r="8971" spans="1:4" ht="16.149999999999999" customHeight="1" x14ac:dyDescent="0.25">
      <c r="A8971" s="431">
        <v>42531</v>
      </c>
      <c r="B8971" s="432">
        <v>2942.13</v>
      </c>
      <c r="C8971" s="427">
        <f t="shared" si="280"/>
        <v>2016</v>
      </c>
      <c r="D8971" s="433">
        <f t="shared" si="281"/>
        <v>2942.13</v>
      </c>
    </row>
    <row r="8972" spans="1:4" ht="16.149999999999999" customHeight="1" x14ac:dyDescent="0.25">
      <c r="A8972" s="431">
        <v>42532</v>
      </c>
      <c r="B8972" s="434">
        <v>2969.83</v>
      </c>
      <c r="C8972" s="427">
        <f t="shared" si="280"/>
        <v>2016</v>
      </c>
      <c r="D8972" s="433">
        <f t="shared" si="281"/>
        <v>2969.83</v>
      </c>
    </row>
    <row r="8973" spans="1:4" ht="16.149999999999999" customHeight="1" x14ac:dyDescent="0.25">
      <c r="A8973" s="431">
        <v>42533</v>
      </c>
      <c r="B8973" s="432">
        <v>2969.83</v>
      </c>
      <c r="C8973" s="427">
        <f t="shared" si="280"/>
        <v>2016</v>
      </c>
      <c r="D8973" s="433">
        <f t="shared" si="281"/>
        <v>2969.83</v>
      </c>
    </row>
    <row r="8974" spans="1:4" ht="16.149999999999999" customHeight="1" x14ac:dyDescent="0.25">
      <c r="A8974" s="431">
        <v>42534</v>
      </c>
      <c r="B8974" s="434">
        <v>2969.83</v>
      </c>
      <c r="C8974" s="427">
        <f t="shared" si="280"/>
        <v>2016</v>
      </c>
      <c r="D8974" s="433">
        <f t="shared" si="281"/>
        <v>2969.83</v>
      </c>
    </row>
    <row r="8975" spans="1:4" ht="16.149999999999999" customHeight="1" x14ac:dyDescent="0.25">
      <c r="A8975" s="431">
        <v>42535</v>
      </c>
      <c r="B8975" s="432">
        <v>2990.35</v>
      </c>
      <c r="C8975" s="427">
        <f t="shared" si="280"/>
        <v>2016</v>
      </c>
      <c r="D8975" s="433">
        <f t="shared" si="281"/>
        <v>2990.35</v>
      </c>
    </row>
    <row r="8976" spans="1:4" ht="16.149999999999999" customHeight="1" x14ac:dyDescent="0.25">
      <c r="A8976" s="431">
        <v>42536</v>
      </c>
      <c r="B8976" s="434">
        <v>3003.28</v>
      </c>
      <c r="C8976" s="427">
        <f t="shared" si="280"/>
        <v>2016</v>
      </c>
      <c r="D8976" s="433">
        <f t="shared" si="281"/>
        <v>3003.28</v>
      </c>
    </row>
    <row r="8977" spans="1:4" ht="16.149999999999999" customHeight="1" x14ac:dyDescent="0.25">
      <c r="A8977" s="431">
        <v>42537</v>
      </c>
      <c r="B8977" s="432">
        <v>2989.56</v>
      </c>
      <c r="C8977" s="427">
        <f t="shared" si="280"/>
        <v>2016</v>
      </c>
      <c r="D8977" s="433">
        <f t="shared" si="281"/>
        <v>2989.56</v>
      </c>
    </row>
    <row r="8978" spans="1:4" ht="16.149999999999999" customHeight="1" x14ac:dyDescent="0.25">
      <c r="A8978" s="431">
        <v>42538</v>
      </c>
      <c r="B8978" s="434">
        <v>3019.12</v>
      </c>
      <c r="C8978" s="427">
        <f t="shared" si="280"/>
        <v>2016</v>
      </c>
      <c r="D8978" s="433">
        <f t="shared" si="281"/>
        <v>3019.12</v>
      </c>
    </row>
    <row r="8979" spans="1:4" ht="16.149999999999999" customHeight="1" x14ac:dyDescent="0.25">
      <c r="A8979" s="431">
        <v>42539</v>
      </c>
      <c r="B8979" s="432">
        <v>3010.91</v>
      </c>
      <c r="C8979" s="427">
        <f t="shared" si="280"/>
        <v>2016</v>
      </c>
      <c r="D8979" s="433">
        <f t="shared" si="281"/>
        <v>3010.91</v>
      </c>
    </row>
    <row r="8980" spans="1:4" ht="16.149999999999999" customHeight="1" x14ac:dyDescent="0.25">
      <c r="A8980" s="431">
        <v>42540</v>
      </c>
      <c r="B8980" s="434">
        <v>3010.91</v>
      </c>
      <c r="C8980" s="427">
        <f t="shared" si="280"/>
        <v>2016</v>
      </c>
      <c r="D8980" s="433">
        <f t="shared" si="281"/>
        <v>3010.91</v>
      </c>
    </row>
    <row r="8981" spans="1:4" ht="16.149999999999999" customHeight="1" x14ac:dyDescent="0.25">
      <c r="A8981" s="431">
        <v>42541</v>
      </c>
      <c r="B8981" s="432">
        <v>3010.91</v>
      </c>
      <c r="C8981" s="427">
        <f t="shared" si="280"/>
        <v>2016</v>
      </c>
      <c r="D8981" s="433">
        <f t="shared" si="281"/>
        <v>3010.91</v>
      </c>
    </row>
    <row r="8982" spans="1:4" ht="16.149999999999999" customHeight="1" x14ac:dyDescent="0.25">
      <c r="A8982" s="431">
        <v>42542</v>
      </c>
      <c r="B8982" s="434">
        <v>2972.97</v>
      </c>
      <c r="C8982" s="427">
        <f t="shared" si="280"/>
        <v>2016</v>
      </c>
      <c r="D8982" s="433">
        <f t="shared" si="281"/>
        <v>2972.97</v>
      </c>
    </row>
    <row r="8983" spans="1:4" ht="16.149999999999999" customHeight="1" x14ac:dyDescent="0.25">
      <c r="A8983" s="431">
        <v>42543</v>
      </c>
      <c r="B8983" s="432">
        <v>2976.29</v>
      </c>
      <c r="C8983" s="427">
        <f t="shared" si="280"/>
        <v>2016</v>
      </c>
      <c r="D8983" s="433">
        <f t="shared" si="281"/>
        <v>2976.29</v>
      </c>
    </row>
    <row r="8984" spans="1:4" ht="16.149999999999999" customHeight="1" x14ac:dyDescent="0.25">
      <c r="A8984" s="431">
        <v>42544</v>
      </c>
      <c r="B8984" s="434">
        <v>2944.06</v>
      </c>
      <c r="C8984" s="427">
        <f t="shared" si="280"/>
        <v>2016</v>
      </c>
      <c r="D8984" s="433">
        <f t="shared" si="281"/>
        <v>2944.06</v>
      </c>
    </row>
    <row r="8985" spans="1:4" ht="16.149999999999999" customHeight="1" x14ac:dyDescent="0.25">
      <c r="A8985" s="431">
        <v>42545</v>
      </c>
      <c r="B8985" s="432">
        <v>2897.53</v>
      </c>
      <c r="C8985" s="427">
        <f t="shared" si="280"/>
        <v>2016</v>
      </c>
      <c r="D8985" s="433">
        <f t="shared" si="281"/>
        <v>2897.53</v>
      </c>
    </row>
    <row r="8986" spans="1:4" ht="16.149999999999999" customHeight="1" x14ac:dyDescent="0.25">
      <c r="A8986" s="431">
        <v>42546</v>
      </c>
      <c r="B8986" s="434">
        <v>2972.92</v>
      </c>
      <c r="C8986" s="427">
        <f t="shared" si="280"/>
        <v>2016</v>
      </c>
      <c r="D8986" s="433">
        <f t="shared" si="281"/>
        <v>2972.92</v>
      </c>
    </row>
    <row r="8987" spans="1:4" ht="16.149999999999999" customHeight="1" x14ac:dyDescent="0.25">
      <c r="A8987" s="431">
        <v>42547</v>
      </c>
      <c r="B8987" s="432">
        <v>2972.92</v>
      </c>
      <c r="C8987" s="427">
        <f t="shared" si="280"/>
        <v>2016</v>
      </c>
      <c r="D8987" s="433">
        <f t="shared" si="281"/>
        <v>2972.92</v>
      </c>
    </row>
    <row r="8988" spans="1:4" ht="16.149999999999999" customHeight="1" x14ac:dyDescent="0.25">
      <c r="A8988" s="431">
        <v>42548</v>
      </c>
      <c r="B8988" s="434">
        <v>2972.92</v>
      </c>
      <c r="C8988" s="427">
        <f t="shared" si="280"/>
        <v>2016</v>
      </c>
      <c r="D8988" s="433">
        <f t="shared" si="281"/>
        <v>2972.92</v>
      </c>
    </row>
    <row r="8989" spans="1:4" ht="16.149999999999999" customHeight="1" x14ac:dyDescent="0.25">
      <c r="A8989" s="431">
        <v>42549</v>
      </c>
      <c r="B8989" s="432">
        <v>3022.78</v>
      </c>
      <c r="C8989" s="427">
        <f t="shared" si="280"/>
        <v>2016</v>
      </c>
      <c r="D8989" s="433">
        <f t="shared" si="281"/>
        <v>3022.78</v>
      </c>
    </row>
    <row r="8990" spans="1:4" ht="16.149999999999999" customHeight="1" x14ac:dyDescent="0.25">
      <c r="A8990" s="431">
        <v>42550</v>
      </c>
      <c r="B8990" s="434">
        <v>3005.18</v>
      </c>
      <c r="C8990" s="427">
        <f t="shared" si="280"/>
        <v>2016</v>
      </c>
      <c r="D8990" s="433">
        <f t="shared" si="281"/>
        <v>3005.18</v>
      </c>
    </row>
    <row r="8991" spans="1:4" ht="16.149999999999999" customHeight="1" x14ac:dyDescent="0.25">
      <c r="A8991" s="431">
        <v>42551</v>
      </c>
      <c r="B8991" s="432">
        <v>2916.15</v>
      </c>
      <c r="C8991" s="427">
        <f t="shared" si="280"/>
        <v>2016</v>
      </c>
      <c r="D8991" s="433">
        <f t="shared" si="281"/>
        <v>2916.15</v>
      </c>
    </row>
    <row r="8992" spans="1:4" ht="16.149999999999999" customHeight="1" x14ac:dyDescent="0.25">
      <c r="A8992" s="431">
        <v>42552</v>
      </c>
      <c r="B8992" s="434">
        <v>2919.01</v>
      </c>
      <c r="C8992" s="427">
        <f t="shared" si="280"/>
        <v>2016</v>
      </c>
      <c r="D8992" s="433">
        <f t="shared" si="281"/>
        <v>2919.01</v>
      </c>
    </row>
    <row r="8993" spans="1:4" ht="16.149999999999999" customHeight="1" x14ac:dyDescent="0.25">
      <c r="A8993" s="431">
        <v>42553</v>
      </c>
      <c r="B8993" s="432">
        <v>2914.38</v>
      </c>
      <c r="C8993" s="427">
        <f t="shared" si="280"/>
        <v>2016</v>
      </c>
      <c r="D8993" s="433">
        <f t="shared" si="281"/>
        <v>2914.38</v>
      </c>
    </row>
    <row r="8994" spans="1:4" ht="16.149999999999999" customHeight="1" x14ac:dyDescent="0.25">
      <c r="A8994" s="431">
        <v>42554</v>
      </c>
      <c r="B8994" s="434">
        <v>2914.38</v>
      </c>
      <c r="C8994" s="427">
        <f t="shared" si="280"/>
        <v>2016</v>
      </c>
      <c r="D8994" s="433">
        <f t="shared" si="281"/>
        <v>2914.38</v>
      </c>
    </row>
    <row r="8995" spans="1:4" ht="16.149999999999999" customHeight="1" x14ac:dyDescent="0.25">
      <c r="A8995" s="431">
        <v>42555</v>
      </c>
      <c r="B8995" s="432">
        <v>2914.38</v>
      </c>
      <c r="C8995" s="427">
        <f t="shared" si="280"/>
        <v>2016</v>
      </c>
      <c r="D8995" s="433">
        <f t="shared" si="281"/>
        <v>2914.38</v>
      </c>
    </row>
    <row r="8996" spans="1:4" ht="16.149999999999999" customHeight="1" x14ac:dyDescent="0.25">
      <c r="A8996" s="431">
        <v>42556</v>
      </c>
      <c r="B8996" s="434">
        <v>2914.38</v>
      </c>
      <c r="C8996" s="427">
        <f t="shared" si="280"/>
        <v>2016</v>
      </c>
      <c r="D8996" s="433">
        <f t="shared" si="281"/>
        <v>2914.38</v>
      </c>
    </row>
    <row r="8997" spans="1:4" ht="16.149999999999999" customHeight="1" x14ac:dyDescent="0.25">
      <c r="A8997" s="431">
        <v>42557</v>
      </c>
      <c r="B8997" s="432">
        <v>2966.87</v>
      </c>
      <c r="C8997" s="427">
        <f t="shared" si="280"/>
        <v>2016</v>
      </c>
      <c r="D8997" s="433">
        <f t="shared" si="281"/>
        <v>2966.87</v>
      </c>
    </row>
    <row r="8998" spans="1:4" ht="16.149999999999999" customHeight="1" x14ac:dyDescent="0.25">
      <c r="A8998" s="431">
        <v>42558</v>
      </c>
      <c r="B8998" s="434">
        <v>3003.2</v>
      </c>
      <c r="C8998" s="427">
        <f t="shared" si="280"/>
        <v>2016</v>
      </c>
      <c r="D8998" s="433">
        <f t="shared" si="281"/>
        <v>3003.2</v>
      </c>
    </row>
    <row r="8999" spans="1:4" ht="16.149999999999999" customHeight="1" x14ac:dyDescent="0.25">
      <c r="A8999" s="431">
        <v>42559</v>
      </c>
      <c r="B8999" s="432">
        <v>2986.49</v>
      </c>
      <c r="C8999" s="427">
        <f t="shared" si="280"/>
        <v>2016</v>
      </c>
      <c r="D8999" s="433">
        <f t="shared" si="281"/>
        <v>2986.49</v>
      </c>
    </row>
    <row r="9000" spans="1:4" ht="16.149999999999999" customHeight="1" x14ac:dyDescent="0.25">
      <c r="A9000" s="431">
        <v>42560</v>
      </c>
      <c r="B9000" s="434">
        <v>2952.64</v>
      </c>
      <c r="C9000" s="427">
        <f t="shared" si="280"/>
        <v>2016</v>
      </c>
      <c r="D9000" s="433">
        <f t="shared" si="281"/>
        <v>2952.64</v>
      </c>
    </row>
    <row r="9001" spans="1:4" ht="16.149999999999999" customHeight="1" x14ac:dyDescent="0.25">
      <c r="A9001" s="431">
        <v>42561</v>
      </c>
      <c r="B9001" s="432">
        <v>2952.64</v>
      </c>
      <c r="C9001" s="427">
        <f t="shared" si="280"/>
        <v>2016</v>
      </c>
      <c r="D9001" s="433">
        <f t="shared" si="281"/>
        <v>2952.64</v>
      </c>
    </row>
    <row r="9002" spans="1:4" ht="16.149999999999999" customHeight="1" x14ac:dyDescent="0.25">
      <c r="A9002" s="431">
        <v>42562</v>
      </c>
      <c r="B9002" s="434">
        <v>2952.64</v>
      </c>
      <c r="C9002" s="427">
        <f t="shared" si="280"/>
        <v>2016</v>
      </c>
      <c r="D9002" s="433">
        <f t="shared" si="281"/>
        <v>2952.64</v>
      </c>
    </row>
    <row r="9003" spans="1:4" ht="16.149999999999999" customHeight="1" x14ac:dyDescent="0.25">
      <c r="A9003" s="431">
        <v>42563</v>
      </c>
      <c r="B9003" s="432">
        <v>2929.81</v>
      </c>
      <c r="C9003" s="427">
        <f t="shared" si="280"/>
        <v>2016</v>
      </c>
      <c r="D9003" s="433">
        <f t="shared" si="281"/>
        <v>2929.81</v>
      </c>
    </row>
    <row r="9004" spans="1:4" ht="16.149999999999999" customHeight="1" x14ac:dyDescent="0.25">
      <c r="A9004" s="431">
        <v>42564</v>
      </c>
      <c r="B9004" s="434">
        <v>2911.91</v>
      </c>
      <c r="C9004" s="427">
        <f t="shared" si="280"/>
        <v>2016</v>
      </c>
      <c r="D9004" s="433">
        <f t="shared" si="281"/>
        <v>2911.91</v>
      </c>
    </row>
    <row r="9005" spans="1:4" ht="16.149999999999999" customHeight="1" x14ac:dyDescent="0.25">
      <c r="A9005" s="431">
        <v>42565</v>
      </c>
      <c r="B9005" s="432">
        <v>2936.53</v>
      </c>
      <c r="C9005" s="427">
        <f t="shared" si="280"/>
        <v>2016</v>
      </c>
      <c r="D9005" s="433">
        <f t="shared" si="281"/>
        <v>2936.53</v>
      </c>
    </row>
    <row r="9006" spans="1:4" ht="16.149999999999999" customHeight="1" x14ac:dyDescent="0.25">
      <c r="A9006" s="431">
        <v>42566</v>
      </c>
      <c r="B9006" s="434">
        <v>2923.07</v>
      </c>
      <c r="C9006" s="427">
        <f t="shared" si="280"/>
        <v>2016</v>
      </c>
      <c r="D9006" s="433">
        <f t="shared" si="281"/>
        <v>2923.07</v>
      </c>
    </row>
    <row r="9007" spans="1:4" ht="16.149999999999999" customHeight="1" x14ac:dyDescent="0.25">
      <c r="A9007" s="431">
        <v>42567</v>
      </c>
      <c r="B9007" s="432">
        <v>2923.46</v>
      </c>
      <c r="C9007" s="427">
        <f t="shared" si="280"/>
        <v>2016</v>
      </c>
      <c r="D9007" s="433">
        <f t="shared" si="281"/>
        <v>2923.46</v>
      </c>
    </row>
    <row r="9008" spans="1:4" ht="16.149999999999999" customHeight="1" x14ac:dyDescent="0.25">
      <c r="A9008" s="431">
        <v>42568</v>
      </c>
      <c r="B9008" s="434">
        <v>2923.46</v>
      </c>
      <c r="C9008" s="427">
        <f t="shared" si="280"/>
        <v>2016</v>
      </c>
      <c r="D9008" s="433">
        <f t="shared" si="281"/>
        <v>2923.46</v>
      </c>
    </row>
    <row r="9009" spans="1:4" ht="16.149999999999999" customHeight="1" x14ac:dyDescent="0.25">
      <c r="A9009" s="431">
        <v>42569</v>
      </c>
      <c r="B9009" s="432">
        <v>2923.46</v>
      </c>
      <c r="C9009" s="427">
        <f t="shared" si="280"/>
        <v>2016</v>
      </c>
      <c r="D9009" s="433">
        <f t="shared" si="281"/>
        <v>2923.46</v>
      </c>
    </row>
    <row r="9010" spans="1:4" ht="16.149999999999999" customHeight="1" x14ac:dyDescent="0.25">
      <c r="A9010" s="431">
        <v>42570</v>
      </c>
      <c r="B9010" s="434">
        <v>2928.3</v>
      </c>
      <c r="C9010" s="427">
        <f t="shared" si="280"/>
        <v>2016</v>
      </c>
      <c r="D9010" s="433">
        <f t="shared" si="281"/>
        <v>2928.3</v>
      </c>
    </row>
    <row r="9011" spans="1:4" ht="16.149999999999999" customHeight="1" x14ac:dyDescent="0.25">
      <c r="A9011" s="431">
        <v>42571</v>
      </c>
      <c r="B9011" s="432">
        <v>2931.08</v>
      </c>
      <c r="C9011" s="427">
        <f t="shared" si="280"/>
        <v>2016</v>
      </c>
      <c r="D9011" s="433">
        <f t="shared" si="281"/>
        <v>2931.08</v>
      </c>
    </row>
    <row r="9012" spans="1:4" ht="16.149999999999999" customHeight="1" x14ac:dyDescent="0.25">
      <c r="A9012" s="431">
        <v>42572</v>
      </c>
      <c r="B9012" s="434">
        <v>2931.08</v>
      </c>
      <c r="C9012" s="427">
        <f t="shared" si="280"/>
        <v>2016</v>
      </c>
      <c r="D9012" s="433">
        <f t="shared" si="281"/>
        <v>2931.08</v>
      </c>
    </row>
    <row r="9013" spans="1:4" ht="16.149999999999999" customHeight="1" x14ac:dyDescent="0.25">
      <c r="A9013" s="431">
        <v>42573</v>
      </c>
      <c r="B9013" s="432">
        <v>2928.67</v>
      </c>
      <c r="C9013" s="427">
        <f t="shared" si="280"/>
        <v>2016</v>
      </c>
      <c r="D9013" s="433">
        <f t="shared" si="281"/>
        <v>2928.67</v>
      </c>
    </row>
    <row r="9014" spans="1:4" ht="16.149999999999999" customHeight="1" x14ac:dyDescent="0.25">
      <c r="A9014" s="431">
        <v>42574</v>
      </c>
      <c r="B9014" s="434">
        <v>2942.65</v>
      </c>
      <c r="C9014" s="427">
        <f t="shared" si="280"/>
        <v>2016</v>
      </c>
      <c r="D9014" s="433">
        <f t="shared" si="281"/>
        <v>2942.65</v>
      </c>
    </row>
    <row r="9015" spans="1:4" ht="16.149999999999999" customHeight="1" x14ac:dyDescent="0.25">
      <c r="A9015" s="431">
        <v>42575</v>
      </c>
      <c r="B9015" s="432">
        <v>2942.65</v>
      </c>
      <c r="C9015" s="427">
        <f t="shared" si="280"/>
        <v>2016</v>
      </c>
      <c r="D9015" s="433">
        <f t="shared" si="281"/>
        <v>2942.65</v>
      </c>
    </row>
    <row r="9016" spans="1:4" ht="16.149999999999999" customHeight="1" x14ac:dyDescent="0.25">
      <c r="A9016" s="431">
        <v>42576</v>
      </c>
      <c r="B9016" s="434">
        <v>2942.65</v>
      </c>
      <c r="C9016" s="427">
        <f t="shared" si="280"/>
        <v>2016</v>
      </c>
      <c r="D9016" s="433">
        <f t="shared" si="281"/>
        <v>2942.65</v>
      </c>
    </row>
    <row r="9017" spans="1:4" ht="16.149999999999999" customHeight="1" x14ac:dyDescent="0.25">
      <c r="A9017" s="431">
        <v>42577</v>
      </c>
      <c r="B9017" s="432">
        <v>2997.25</v>
      </c>
      <c r="C9017" s="427">
        <f t="shared" si="280"/>
        <v>2016</v>
      </c>
      <c r="D9017" s="433">
        <f t="shared" si="281"/>
        <v>2997.25</v>
      </c>
    </row>
    <row r="9018" spans="1:4" ht="16.149999999999999" customHeight="1" x14ac:dyDescent="0.25">
      <c r="A9018" s="431">
        <v>42578</v>
      </c>
      <c r="B9018" s="434">
        <v>3055.15</v>
      </c>
      <c r="C9018" s="427">
        <f t="shared" si="280"/>
        <v>2016</v>
      </c>
      <c r="D9018" s="433">
        <f t="shared" si="281"/>
        <v>3055.15</v>
      </c>
    </row>
    <row r="9019" spans="1:4" ht="16.149999999999999" customHeight="1" x14ac:dyDescent="0.25">
      <c r="A9019" s="431">
        <v>42579</v>
      </c>
      <c r="B9019" s="432">
        <v>3073.52</v>
      </c>
      <c r="C9019" s="427">
        <f t="shared" si="280"/>
        <v>2016</v>
      </c>
      <c r="D9019" s="433">
        <f t="shared" si="281"/>
        <v>3073.52</v>
      </c>
    </row>
    <row r="9020" spans="1:4" ht="16.149999999999999" customHeight="1" x14ac:dyDescent="0.25">
      <c r="A9020" s="431">
        <v>42580</v>
      </c>
      <c r="B9020" s="434">
        <v>3091.78</v>
      </c>
      <c r="C9020" s="427">
        <f t="shared" si="280"/>
        <v>2016</v>
      </c>
      <c r="D9020" s="433">
        <f t="shared" si="281"/>
        <v>3091.78</v>
      </c>
    </row>
    <row r="9021" spans="1:4" ht="16.149999999999999" customHeight="1" x14ac:dyDescent="0.25">
      <c r="A9021" s="431">
        <v>42581</v>
      </c>
      <c r="B9021" s="432">
        <v>3081.75</v>
      </c>
      <c r="C9021" s="427">
        <f t="shared" si="280"/>
        <v>2016</v>
      </c>
      <c r="D9021" s="433">
        <f t="shared" si="281"/>
        <v>3081.75</v>
      </c>
    </row>
    <row r="9022" spans="1:4" ht="16.149999999999999" customHeight="1" x14ac:dyDescent="0.25">
      <c r="A9022" s="431">
        <v>42582</v>
      </c>
      <c r="B9022" s="434">
        <v>3081.75</v>
      </c>
      <c r="C9022" s="427">
        <f t="shared" si="280"/>
        <v>2016</v>
      </c>
      <c r="D9022" s="433">
        <f t="shared" si="281"/>
        <v>3081.75</v>
      </c>
    </row>
    <row r="9023" spans="1:4" ht="16.149999999999999" customHeight="1" x14ac:dyDescent="0.25">
      <c r="A9023" s="431">
        <v>42583</v>
      </c>
      <c r="B9023" s="432">
        <v>3081.75</v>
      </c>
      <c r="C9023" s="427">
        <f t="shared" si="280"/>
        <v>2016</v>
      </c>
      <c r="D9023" s="433">
        <f t="shared" si="281"/>
        <v>3081.75</v>
      </c>
    </row>
    <row r="9024" spans="1:4" ht="16.149999999999999" customHeight="1" x14ac:dyDescent="0.25">
      <c r="A9024" s="431">
        <v>42584</v>
      </c>
      <c r="B9024" s="434">
        <v>3090.28</v>
      </c>
      <c r="C9024" s="427">
        <f t="shared" si="280"/>
        <v>2016</v>
      </c>
      <c r="D9024" s="433">
        <f t="shared" si="281"/>
        <v>3090.28</v>
      </c>
    </row>
    <row r="9025" spans="1:4" ht="16.149999999999999" customHeight="1" x14ac:dyDescent="0.25">
      <c r="A9025" s="431">
        <v>42585</v>
      </c>
      <c r="B9025" s="432">
        <v>3084.81</v>
      </c>
      <c r="C9025" s="427">
        <f t="shared" si="280"/>
        <v>2016</v>
      </c>
      <c r="D9025" s="433">
        <f t="shared" si="281"/>
        <v>3084.81</v>
      </c>
    </row>
    <row r="9026" spans="1:4" ht="16.149999999999999" customHeight="1" x14ac:dyDescent="0.25">
      <c r="A9026" s="431">
        <v>42586</v>
      </c>
      <c r="B9026" s="434">
        <v>3110.43</v>
      </c>
      <c r="C9026" s="427">
        <f t="shared" si="280"/>
        <v>2016</v>
      </c>
      <c r="D9026" s="433">
        <f t="shared" si="281"/>
        <v>3110.43</v>
      </c>
    </row>
    <row r="9027" spans="1:4" ht="16.149999999999999" customHeight="1" x14ac:dyDescent="0.25">
      <c r="A9027" s="431">
        <v>42587</v>
      </c>
      <c r="B9027" s="432">
        <v>3079.83</v>
      </c>
      <c r="C9027" s="427">
        <f t="shared" si="280"/>
        <v>2016</v>
      </c>
      <c r="D9027" s="433">
        <f t="shared" si="281"/>
        <v>3079.83</v>
      </c>
    </row>
    <row r="9028" spans="1:4" ht="16.149999999999999" customHeight="1" x14ac:dyDescent="0.25">
      <c r="A9028" s="431">
        <v>42588</v>
      </c>
      <c r="B9028" s="434">
        <v>3052.8</v>
      </c>
      <c r="C9028" s="427">
        <f t="shared" si="280"/>
        <v>2016</v>
      </c>
      <c r="D9028" s="433">
        <f t="shared" si="281"/>
        <v>3052.8</v>
      </c>
    </row>
    <row r="9029" spans="1:4" ht="16.149999999999999" customHeight="1" x14ac:dyDescent="0.25">
      <c r="A9029" s="431">
        <v>42589</v>
      </c>
      <c r="B9029" s="432">
        <v>3052.8</v>
      </c>
      <c r="C9029" s="427">
        <f t="shared" si="280"/>
        <v>2016</v>
      </c>
      <c r="D9029" s="433">
        <f t="shared" si="281"/>
        <v>3052.8</v>
      </c>
    </row>
    <row r="9030" spans="1:4" ht="16.149999999999999" customHeight="1" x14ac:dyDescent="0.25">
      <c r="A9030" s="431">
        <v>42590</v>
      </c>
      <c r="B9030" s="434">
        <v>3052.8</v>
      </c>
      <c r="C9030" s="427">
        <f t="shared" si="280"/>
        <v>2016</v>
      </c>
      <c r="D9030" s="433">
        <f t="shared" si="281"/>
        <v>3052.8</v>
      </c>
    </row>
    <row r="9031" spans="1:4" ht="16.149999999999999" customHeight="1" x14ac:dyDescent="0.25">
      <c r="A9031" s="431">
        <v>42591</v>
      </c>
      <c r="B9031" s="432">
        <v>2992.5</v>
      </c>
      <c r="C9031" s="427">
        <f t="shared" si="280"/>
        <v>2016</v>
      </c>
      <c r="D9031" s="433">
        <f t="shared" si="281"/>
        <v>2992.5</v>
      </c>
    </row>
    <row r="9032" spans="1:4" ht="16.149999999999999" customHeight="1" x14ac:dyDescent="0.25">
      <c r="A9032" s="431">
        <v>42592</v>
      </c>
      <c r="B9032" s="434">
        <v>2974.31</v>
      </c>
      <c r="C9032" s="427">
        <f t="shared" si="280"/>
        <v>2016</v>
      </c>
      <c r="D9032" s="433">
        <f t="shared" si="281"/>
        <v>2974.31</v>
      </c>
    </row>
    <row r="9033" spans="1:4" ht="16.149999999999999" customHeight="1" x14ac:dyDescent="0.25">
      <c r="A9033" s="431">
        <v>42593</v>
      </c>
      <c r="B9033" s="432">
        <v>2954.9</v>
      </c>
      <c r="C9033" s="427">
        <f t="shared" si="280"/>
        <v>2016</v>
      </c>
      <c r="D9033" s="433">
        <f t="shared" si="281"/>
        <v>2954.9</v>
      </c>
    </row>
    <row r="9034" spans="1:4" ht="16.149999999999999" customHeight="1" x14ac:dyDescent="0.25">
      <c r="A9034" s="431">
        <v>42594</v>
      </c>
      <c r="B9034" s="434">
        <v>2911.26</v>
      </c>
      <c r="C9034" s="427">
        <f t="shared" ref="C9034:C9038" si="282">YEAR(A9034)</f>
        <v>2016</v>
      </c>
      <c r="D9034" s="433">
        <f t="shared" ref="D9034:D9038" si="283">B9034</f>
        <v>2911.26</v>
      </c>
    </row>
    <row r="9035" spans="1:4" ht="16.149999999999999" customHeight="1" x14ac:dyDescent="0.25">
      <c r="A9035" s="431">
        <v>42595</v>
      </c>
      <c r="B9035" s="432">
        <v>2908.67</v>
      </c>
      <c r="C9035" s="427">
        <f t="shared" si="282"/>
        <v>2016</v>
      </c>
      <c r="D9035" s="433">
        <f t="shared" si="283"/>
        <v>2908.67</v>
      </c>
    </row>
    <row r="9036" spans="1:4" ht="16.149999999999999" customHeight="1" x14ac:dyDescent="0.25">
      <c r="A9036" s="431">
        <v>42596</v>
      </c>
      <c r="B9036" s="434">
        <v>2908.67</v>
      </c>
      <c r="C9036" s="427">
        <f t="shared" si="282"/>
        <v>2016</v>
      </c>
      <c r="D9036" s="433">
        <f t="shared" si="283"/>
        <v>2908.67</v>
      </c>
    </row>
    <row r="9037" spans="1:4" ht="16.149999999999999" customHeight="1" x14ac:dyDescent="0.25">
      <c r="A9037" s="431">
        <v>42597</v>
      </c>
      <c r="B9037" s="432">
        <v>2908.67</v>
      </c>
      <c r="C9037" s="427">
        <f t="shared" si="282"/>
        <v>2016</v>
      </c>
      <c r="D9037" s="433">
        <f t="shared" si="283"/>
        <v>2908.67</v>
      </c>
    </row>
    <row r="9038" spans="1:4" ht="16.7" customHeight="1" x14ac:dyDescent="0.25">
      <c r="A9038" s="435">
        <v>42598</v>
      </c>
      <c r="B9038" s="436">
        <v>2908.67</v>
      </c>
      <c r="C9038" s="427">
        <f t="shared" si="282"/>
        <v>2016</v>
      </c>
      <c r="D9038" s="433">
        <f t="shared" si="283"/>
        <v>2908.67</v>
      </c>
    </row>
    <row r="9039" spans="1:4" x14ac:dyDescent="0.25">
      <c r="A9039" s="428" t="s">
        <v>4054</v>
      </c>
    </row>
    <row r="9040" spans="1:4" x14ac:dyDescent="0.25">
      <c r="A9040" s="733" t="s">
        <v>4058</v>
      </c>
      <c r="B9040" s="733"/>
      <c r="C9040" s="733"/>
      <c r="D9040" s="733"/>
    </row>
    <row r="9041" spans="1:4" x14ac:dyDescent="0.25">
      <c r="A9041" s="733" t="s">
        <v>4054</v>
      </c>
      <c r="B9041" s="733"/>
      <c r="C9041" s="733"/>
      <c r="D9041" s="733"/>
    </row>
    <row r="9042" spans="1:4" x14ac:dyDescent="0.25">
      <c r="A9042" s="733" t="s">
        <v>4056</v>
      </c>
      <c r="B9042" s="733"/>
      <c r="C9042" s="733"/>
      <c r="D9042" s="733"/>
    </row>
    <row r="9043" spans="1:4" x14ac:dyDescent="0.25">
      <c r="A9043" s="428" t="s">
        <v>4054</v>
      </c>
    </row>
  </sheetData>
  <autoFilter ref="A8:D9043"/>
  <mergeCells count="8">
    <mergeCell ref="A9041:D9041"/>
    <mergeCell ref="A9042:D9042"/>
    <mergeCell ref="A1:D1"/>
    <mergeCell ref="A2:D2"/>
    <mergeCell ref="A4:D4"/>
    <mergeCell ref="A5:D5"/>
    <mergeCell ref="A6:D6"/>
    <mergeCell ref="A9040:D9040"/>
  </mergeCells>
  <hyperlinks>
    <hyperlink ref="A9040"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99"/>
  <sheetViews>
    <sheetView showGridLines="0" topLeftCell="A50" workbookViewId="0">
      <selection activeCell="C53" sqref="C53"/>
    </sheetView>
  </sheetViews>
  <sheetFormatPr baseColWidth="10" defaultRowHeight="15" x14ac:dyDescent="0.25"/>
  <cols>
    <col min="1" max="2" width="3.625" customWidth="1"/>
    <col min="3" max="3" width="20.625" customWidth="1"/>
    <col min="4" max="4" width="21.625" bestFit="1" customWidth="1"/>
    <col min="5" max="5" width="18.125" customWidth="1"/>
    <col min="6" max="6" width="13.375" customWidth="1"/>
    <col min="7" max="7" width="13.625" customWidth="1"/>
    <col min="8" max="8" width="14" customWidth="1"/>
    <col min="9" max="9" width="12.125" bestFit="1" customWidth="1"/>
    <col min="10" max="10" width="14.75" customWidth="1"/>
    <col min="11" max="13" width="12.125" bestFit="1" customWidth="1"/>
  </cols>
  <sheetData>
    <row r="2" spans="2:7" x14ac:dyDescent="0.25">
      <c r="B2" s="26" t="s">
        <v>4087</v>
      </c>
    </row>
    <row r="3" spans="2:7" x14ac:dyDescent="0.25">
      <c r="C3" s="463" t="s">
        <v>4090</v>
      </c>
      <c r="D3" s="463" t="s">
        <v>6</v>
      </c>
      <c r="E3" s="637" t="s">
        <v>4091</v>
      </c>
      <c r="F3" s="637"/>
      <c r="G3" s="637"/>
    </row>
    <row r="4" spans="2:7" x14ac:dyDescent="0.25">
      <c r="C4" s="467" t="s">
        <v>4088</v>
      </c>
      <c r="D4" s="467" t="s">
        <v>4092</v>
      </c>
      <c r="E4" s="638" t="s">
        <v>4093</v>
      </c>
      <c r="F4" s="638"/>
      <c r="G4" s="638"/>
    </row>
    <row r="5" spans="2:7" ht="66.75" customHeight="1" x14ac:dyDescent="0.25">
      <c r="C5" s="467" t="s">
        <v>4089</v>
      </c>
      <c r="D5" s="467" t="s">
        <v>4094</v>
      </c>
      <c r="E5" s="639" t="s">
        <v>4095</v>
      </c>
      <c r="F5" s="640"/>
      <c r="G5" s="641"/>
    </row>
    <row r="7" spans="2:7" x14ac:dyDescent="0.25">
      <c r="B7" s="26" t="s">
        <v>4096</v>
      </c>
    </row>
    <row r="9" spans="2:7" ht="25.5" x14ac:dyDescent="0.25">
      <c r="C9" s="587" t="s">
        <v>4097</v>
      </c>
      <c r="D9" s="587" t="s">
        <v>4098</v>
      </c>
      <c r="E9" s="588" t="s">
        <v>4099</v>
      </c>
    </row>
    <row r="10" spans="2:7" x14ac:dyDescent="0.25">
      <c r="C10" s="404" t="s">
        <v>451</v>
      </c>
      <c r="D10" s="468">
        <f>'EF Sempertex 2015 I'!B57</f>
        <v>96562000</v>
      </c>
      <c r="E10" s="469">
        <f>D10</f>
        <v>96562000</v>
      </c>
    </row>
    <row r="11" spans="2:7" x14ac:dyDescent="0.25">
      <c r="C11" s="404" t="s">
        <v>334</v>
      </c>
      <c r="D11" s="468">
        <v>6958054</v>
      </c>
      <c r="E11" s="469">
        <f>D11*(1+E12)</f>
        <v>115874400.00000001</v>
      </c>
      <c r="F11" s="67"/>
    </row>
    <row r="12" spans="2:7" x14ac:dyDescent="0.25">
      <c r="C12" s="404" t="s">
        <v>4100</v>
      </c>
      <c r="D12" s="404"/>
      <c r="E12" s="470">
        <v>15.653276907595142</v>
      </c>
    </row>
    <row r="13" spans="2:7" x14ac:dyDescent="0.25">
      <c r="C13" s="404" t="s">
        <v>4101</v>
      </c>
      <c r="D13" s="404"/>
      <c r="E13" s="409">
        <f>E11/E10-1</f>
        <v>0.20000000000000018</v>
      </c>
    </row>
    <row r="15" spans="2:7" x14ac:dyDescent="0.25">
      <c r="B15" s="26" t="s">
        <v>5517</v>
      </c>
    </row>
    <row r="16" spans="2:7" x14ac:dyDescent="0.25">
      <c r="B16" s="26"/>
    </row>
    <row r="17" spans="2:9" ht="30" customHeight="1" x14ac:dyDescent="0.25">
      <c r="C17" s="586" t="s">
        <v>4237</v>
      </c>
      <c r="D17" s="635" t="s">
        <v>4238</v>
      </c>
      <c r="E17" s="635"/>
    </row>
    <row r="18" spans="2:9" ht="30" customHeight="1" x14ac:dyDescent="0.25">
      <c r="C18" s="586" t="s">
        <v>4239</v>
      </c>
      <c r="D18" s="635" t="s">
        <v>4240</v>
      </c>
      <c r="E18" s="635"/>
    </row>
    <row r="19" spans="2:9" ht="30" customHeight="1" x14ac:dyDescent="0.25">
      <c r="C19" s="586" t="s">
        <v>4235</v>
      </c>
      <c r="D19" s="635" t="s">
        <v>4236</v>
      </c>
      <c r="E19" s="635"/>
    </row>
    <row r="21" spans="2:9" x14ac:dyDescent="0.25">
      <c r="B21" s="26" t="s">
        <v>4245</v>
      </c>
    </row>
    <row r="23" spans="2:9" x14ac:dyDescent="0.25">
      <c r="D23" s="407">
        <v>2011</v>
      </c>
      <c r="E23" s="407">
        <v>2012</v>
      </c>
      <c r="F23" s="407">
        <v>2013</v>
      </c>
      <c r="G23" s="407">
        <v>2014</v>
      </c>
      <c r="H23" s="407">
        <v>2015</v>
      </c>
    </row>
    <row r="24" spans="2:9" x14ac:dyDescent="0.25">
      <c r="C24" s="407" t="s">
        <v>4246</v>
      </c>
      <c r="D24" s="468">
        <f>'EF Sempertex 2011-2014 I'!B99</f>
        <v>5989470</v>
      </c>
      <c r="E24" s="468">
        <f>'EF Sempertex 2011-2014 I'!C99</f>
        <v>7728707</v>
      </c>
      <c r="F24" s="468">
        <f>'EF Sempertex 2011-2014 I'!D99</f>
        <v>9350983</v>
      </c>
      <c r="G24" s="468">
        <f>'EF Sempertex 2011-2014 I'!E99</f>
        <v>10136508</v>
      </c>
      <c r="H24" s="468">
        <f>'EF Sempertex 2015 I'!B62</f>
        <v>12675308</v>
      </c>
    </row>
    <row r="25" spans="2:9" x14ac:dyDescent="0.25">
      <c r="C25" s="407" t="s">
        <v>4247</v>
      </c>
      <c r="D25" s="468">
        <f>'Flujo de Caja'!D6</f>
        <v>556032</v>
      </c>
      <c r="E25" s="468">
        <f>'Flujo de Caja'!E6</f>
        <v>642813</v>
      </c>
      <c r="F25" s="468">
        <f>'Flujo de Caja'!F6</f>
        <v>637998</v>
      </c>
      <c r="G25" s="468">
        <f>'Flujo de Caja'!G6</f>
        <v>804446</v>
      </c>
      <c r="H25" s="468">
        <f>'Flujo de Caja'!H6</f>
        <v>1221805</v>
      </c>
    </row>
    <row r="26" spans="2:9" x14ac:dyDescent="0.25">
      <c r="C26" s="407" t="s">
        <v>4248</v>
      </c>
      <c r="D26" s="409">
        <f>D25/D24</f>
        <v>9.2834925293890772E-2</v>
      </c>
      <c r="E26" s="409">
        <f>E25/E24</f>
        <v>8.317212698061914E-2</v>
      </c>
      <c r="F26" s="589">
        <f>F25/F24</f>
        <v>6.822790716227374E-2</v>
      </c>
      <c r="G26" s="409">
        <f>G25/G24</f>
        <v>7.9361255375125242E-2</v>
      </c>
      <c r="H26" s="409">
        <f>H25/H24</f>
        <v>9.6392529475417876E-2</v>
      </c>
      <c r="I26" s="590">
        <f>AVERAGE(H26,G26,E26,D26)</f>
        <v>8.7940209281263254E-2</v>
      </c>
    </row>
    <row r="28" spans="2:9" x14ac:dyDescent="0.25">
      <c r="B28" s="26" t="s">
        <v>5539</v>
      </c>
    </row>
    <row r="29" spans="2:9" x14ac:dyDescent="0.25">
      <c r="D29" s="407">
        <v>2011</v>
      </c>
      <c r="E29" s="407">
        <v>2012</v>
      </c>
      <c r="F29" s="407">
        <v>2013</v>
      </c>
      <c r="G29" s="407">
        <v>2014</v>
      </c>
      <c r="H29" s="407">
        <v>2015</v>
      </c>
      <c r="I29" s="407" t="s">
        <v>466</v>
      </c>
    </row>
    <row r="30" spans="2:9" x14ac:dyDescent="0.25">
      <c r="C30" s="404" t="s">
        <v>5518</v>
      </c>
      <c r="D30" s="409">
        <f>PIB!C20/100</f>
        <v>6.589511515571167E-2</v>
      </c>
      <c r="E30" s="409">
        <f>PIB!C21/100</f>
        <v>4.0439438063714972E-2</v>
      </c>
      <c r="F30" s="409">
        <f>PIB!C22/100</f>
        <v>4.8740655793408028E-2</v>
      </c>
      <c r="G30" s="409">
        <f>PIB!C23/100</f>
        <v>4.3857109010977391E-2</v>
      </c>
      <c r="H30" s="409">
        <f>PIB!C24/100</f>
        <v>3.0832859673048274E-2</v>
      </c>
      <c r="I30" s="156">
        <f>AVERAGE(D30:H30)</f>
        <v>4.5953035539372064E-2</v>
      </c>
    </row>
    <row r="31" spans="2:9" x14ac:dyDescent="0.25">
      <c r="C31" s="404" t="s">
        <v>5519</v>
      </c>
      <c r="D31" s="409">
        <f>'1.3.1. Total nacional'!E698</f>
        <v>3.73E-2</v>
      </c>
      <c r="E31" s="409">
        <f>'1.3.1. Total nacional'!E710</f>
        <v>2.4400000000000002E-2</v>
      </c>
      <c r="F31" s="409">
        <f>'1.3.1. Total nacional'!E722</f>
        <v>1.9400000000000001E-2</v>
      </c>
      <c r="G31" s="409">
        <f>'1.3.1. Total nacional'!E734</f>
        <v>3.6600000000000001E-2</v>
      </c>
      <c r="H31" s="409">
        <f>'1.3.1. Total nacional'!E746</f>
        <v>6.7699999999999996E-2</v>
      </c>
      <c r="I31" s="156">
        <f>AVERAGE(D31:H31)</f>
        <v>3.7080000000000002E-2</v>
      </c>
    </row>
    <row r="32" spans="2:9" x14ac:dyDescent="0.25">
      <c r="C32" s="404" t="s">
        <v>1098</v>
      </c>
      <c r="D32" s="593">
        <f>D30+D31</f>
        <v>0.10319511515571167</v>
      </c>
      <c r="E32" s="593">
        <f t="shared" ref="E32:H32" si="0">E30+E31</f>
        <v>6.4839438063714977E-2</v>
      </c>
      <c r="F32" s="593">
        <f t="shared" si="0"/>
        <v>6.8140655793408028E-2</v>
      </c>
      <c r="G32" s="593">
        <f t="shared" si="0"/>
        <v>8.0457109010977385E-2</v>
      </c>
      <c r="H32" s="593">
        <f t="shared" si="0"/>
        <v>9.853285967304827E-2</v>
      </c>
      <c r="I32" s="590">
        <f>AVERAGE(D32:H32)</f>
        <v>8.3033035539372066E-2</v>
      </c>
    </row>
    <row r="34" spans="2:10" x14ac:dyDescent="0.25">
      <c r="B34" s="26"/>
    </row>
    <row r="35" spans="2:10" x14ac:dyDescent="0.25">
      <c r="B35" s="26" t="s">
        <v>5525</v>
      </c>
    </row>
    <row r="37" spans="2:10" ht="30" customHeight="1" x14ac:dyDescent="0.25">
      <c r="C37" s="632" t="s">
        <v>5535</v>
      </c>
      <c r="D37" s="636" t="s">
        <v>5543</v>
      </c>
      <c r="E37" s="636"/>
      <c r="F37" s="636"/>
      <c r="G37" s="636"/>
      <c r="H37" s="636"/>
      <c r="I37" s="636"/>
      <c r="J37" s="636"/>
    </row>
    <row r="38" spans="2:10" ht="30" customHeight="1" x14ac:dyDescent="0.25">
      <c r="C38" s="633"/>
      <c r="D38" s="642" t="s">
        <v>5544</v>
      </c>
      <c r="E38" s="642"/>
      <c r="F38" s="642"/>
      <c r="G38" s="642"/>
      <c r="H38" s="642"/>
      <c r="I38" s="642"/>
      <c r="J38" s="642"/>
    </row>
    <row r="39" spans="2:10" ht="30" customHeight="1" x14ac:dyDescent="0.25">
      <c r="C39" s="633"/>
      <c r="D39" s="629" t="s">
        <v>5545</v>
      </c>
      <c r="E39" s="630"/>
      <c r="F39" s="630"/>
      <c r="G39" s="630"/>
      <c r="H39" s="630"/>
      <c r="I39" s="630"/>
      <c r="J39" s="631"/>
    </row>
    <row r="40" spans="2:10" ht="30" customHeight="1" x14ac:dyDescent="0.25">
      <c r="C40" s="634"/>
      <c r="D40" s="629" t="s">
        <v>5546</v>
      </c>
      <c r="E40" s="630"/>
      <c r="F40" s="630"/>
      <c r="G40" s="630"/>
      <c r="H40" s="630"/>
      <c r="I40" s="630"/>
      <c r="J40" s="631"/>
    </row>
    <row r="41" spans="2:10" ht="30" customHeight="1" x14ac:dyDescent="0.25">
      <c r="C41" s="632" t="s">
        <v>5536</v>
      </c>
      <c r="D41" s="635" t="s">
        <v>5547</v>
      </c>
      <c r="E41" s="635"/>
      <c r="F41" s="635"/>
      <c r="G41" s="635"/>
      <c r="H41" s="635"/>
      <c r="I41" s="635"/>
      <c r="J41" s="635"/>
    </row>
    <row r="42" spans="2:10" ht="30" customHeight="1" x14ac:dyDescent="0.25">
      <c r="C42" s="633"/>
      <c r="D42" s="636" t="s">
        <v>5557</v>
      </c>
      <c r="E42" s="636"/>
      <c r="F42" s="636"/>
      <c r="G42" s="636"/>
      <c r="H42" s="636"/>
      <c r="I42" s="636"/>
      <c r="J42" s="636"/>
    </row>
    <row r="43" spans="2:10" ht="30" customHeight="1" x14ac:dyDescent="0.25">
      <c r="C43" s="633"/>
      <c r="D43" s="629" t="s">
        <v>5558</v>
      </c>
      <c r="E43" s="630"/>
      <c r="F43" s="630"/>
      <c r="G43" s="630"/>
      <c r="H43" s="630"/>
      <c r="I43" s="630"/>
      <c r="J43" s="631"/>
    </row>
    <row r="44" spans="2:10" ht="30" customHeight="1" x14ac:dyDescent="0.25">
      <c r="C44" s="633"/>
      <c r="D44" s="635" t="s">
        <v>5550</v>
      </c>
      <c r="E44" s="635"/>
      <c r="F44" s="635"/>
      <c r="G44" s="635"/>
      <c r="H44" s="635"/>
      <c r="I44" s="635"/>
      <c r="J44" s="635"/>
    </row>
    <row r="45" spans="2:10" ht="30" customHeight="1" x14ac:dyDescent="0.25">
      <c r="C45" s="634"/>
      <c r="D45" s="636" t="s">
        <v>5551</v>
      </c>
      <c r="E45" s="636"/>
      <c r="F45" s="636"/>
      <c r="G45" s="636"/>
      <c r="H45" s="636"/>
      <c r="I45" s="636"/>
      <c r="J45" s="636"/>
    </row>
    <row r="46" spans="2:10" ht="30" customHeight="1" x14ac:dyDescent="0.25">
      <c r="C46" s="632" t="s">
        <v>5538</v>
      </c>
      <c r="D46" s="635" t="s">
        <v>5552</v>
      </c>
      <c r="E46" s="635"/>
      <c r="F46" s="635"/>
      <c r="G46" s="635"/>
      <c r="H46" s="635"/>
      <c r="I46" s="635"/>
      <c r="J46" s="635"/>
    </row>
    <row r="47" spans="2:10" ht="30" customHeight="1" x14ac:dyDescent="0.25">
      <c r="C47" s="633"/>
      <c r="D47" s="636" t="s">
        <v>5553</v>
      </c>
      <c r="E47" s="636"/>
      <c r="F47" s="636"/>
      <c r="G47" s="636"/>
      <c r="H47" s="636"/>
      <c r="I47" s="636"/>
      <c r="J47" s="636"/>
    </row>
    <row r="48" spans="2:10" ht="45" customHeight="1" x14ac:dyDescent="0.25">
      <c r="C48" s="633"/>
      <c r="D48" s="629" t="s">
        <v>5554</v>
      </c>
      <c r="E48" s="630"/>
      <c r="F48" s="630"/>
      <c r="G48" s="630"/>
      <c r="H48" s="630"/>
      <c r="I48" s="630"/>
      <c r="J48" s="631"/>
    </row>
    <row r="49" spans="2:13" ht="30" customHeight="1" x14ac:dyDescent="0.25">
      <c r="C49" s="633"/>
      <c r="D49" s="635" t="s">
        <v>5555</v>
      </c>
      <c r="E49" s="635"/>
      <c r="F49" s="635"/>
      <c r="G49" s="635"/>
      <c r="H49" s="635"/>
      <c r="I49" s="635"/>
      <c r="J49" s="635"/>
    </row>
    <row r="50" spans="2:13" ht="30" customHeight="1" x14ac:dyDescent="0.25">
      <c r="C50" s="634"/>
      <c r="D50" s="636" t="s">
        <v>5556</v>
      </c>
      <c r="E50" s="636"/>
      <c r="F50" s="636"/>
      <c r="G50" s="636"/>
      <c r="H50" s="636"/>
      <c r="I50" s="636"/>
      <c r="J50" s="636"/>
    </row>
    <row r="53" spans="2:13" x14ac:dyDescent="0.25">
      <c r="B53" s="26" t="s">
        <v>5535</v>
      </c>
    </row>
    <row r="54" spans="2:13" x14ac:dyDescent="0.25">
      <c r="B54" s="26"/>
    </row>
    <row r="55" spans="2:13" x14ac:dyDescent="0.25">
      <c r="D55" s="610">
        <v>2015</v>
      </c>
      <c r="E55" s="610">
        <v>2016</v>
      </c>
      <c r="F55" s="610">
        <v>2017</v>
      </c>
      <c r="G55" s="610">
        <v>2018</v>
      </c>
      <c r="H55" s="610">
        <v>2019</v>
      </c>
      <c r="I55" s="610">
        <v>2020</v>
      </c>
      <c r="J55" s="407" t="s">
        <v>371</v>
      </c>
    </row>
    <row r="56" spans="2:13" x14ac:dyDescent="0.25">
      <c r="C56" s="404" t="s">
        <v>5526</v>
      </c>
      <c r="D56" s="487">
        <f>'Proyección Base'!C91</f>
        <v>5.1020524081310112</v>
      </c>
      <c r="E56" s="487">
        <v>3</v>
      </c>
      <c r="F56" s="487">
        <f>E56*(1+$J$56)</f>
        <v>3.4259037427582522</v>
      </c>
      <c r="G56" s="487">
        <f t="shared" ref="G56:I56" si="1">F56*(1+$J$56)</f>
        <v>3.9122721515483336</v>
      </c>
      <c r="H56" s="487">
        <f t="shared" si="1"/>
        <v>4.4676892688927721</v>
      </c>
      <c r="I56" s="487">
        <f t="shared" si="1"/>
        <v>5.101957795926876</v>
      </c>
      <c r="J56" s="406">
        <v>0.14196791425275074</v>
      </c>
      <c r="K56" s="149"/>
    </row>
    <row r="57" spans="2:13" x14ac:dyDescent="0.25">
      <c r="C57" s="404" t="s">
        <v>5527</v>
      </c>
      <c r="D57" s="487">
        <f>360/D56</f>
        <v>70.5598396884903</v>
      </c>
      <c r="E57" s="487">
        <f t="shared" ref="E57:I57" si="2">360/E56</f>
        <v>120</v>
      </c>
      <c r="F57" s="487">
        <f t="shared" si="2"/>
        <v>105.0817614946058</v>
      </c>
      <c r="G57" s="487">
        <f t="shared" si="2"/>
        <v>92.018138323410156</v>
      </c>
      <c r="H57" s="487">
        <f t="shared" si="2"/>
        <v>80.578567203985259</v>
      </c>
      <c r="I57" s="487">
        <f t="shared" si="2"/>
        <v>70.56114817088536</v>
      </c>
      <c r="K57" s="149"/>
    </row>
    <row r="58" spans="2:13" x14ac:dyDescent="0.25">
      <c r="C58" s="404" t="s">
        <v>5528</v>
      </c>
      <c r="D58" s="487">
        <f>'Proyección Base'!C92</f>
        <v>1.720009809864969</v>
      </c>
      <c r="E58" s="487">
        <v>1</v>
      </c>
      <c r="F58" s="487">
        <f>E58*(1+$J$58)</f>
        <v>1.1452113949139828</v>
      </c>
      <c r="G58" s="487">
        <f t="shared" ref="G58:I58" si="3">F58*(1+$J$58)</f>
        <v>1.3115091390408304</v>
      </c>
      <c r="H58" s="487">
        <f t="shared" si="3"/>
        <v>1.501955210563386</v>
      </c>
      <c r="I58" s="487">
        <f t="shared" si="3"/>
        <v>1.7200562217876201</v>
      </c>
      <c r="J58" s="406">
        <v>0.14521139491398277</v>
      </c>
      <c r="K58" s="149"/>
    </row>
    <row r="59" spans="2:13" x14ac:dyDescent="0.25">
      <c r="C59" s="404" t="s">
        <v>5529</v>
      </c>
      <c r="D59" s="611">
        <f>360/D58</f>
        <v>209.30113185125504</v>
      </c>
      <c r="E59" s="611">
        <f t="shared" ref="E59:I59" si="4">360/E58</f>
        <v>360</v>
      </c>
      <c r="F59" s="611">
        <f t="shared" si="4"/>
        <v>314.35244322471982</v>
      </c>
      <c r="G59" s="611">
        <f t="shared" si="4"/>
        <v>274.49294044819641</v>
      </c>
      <c r="H59" s="611">
        <f t="shared" si="4"/>
        <v>239.6875735495224</v>
      </c>
      <c r="I59" s="611">
        <f t="shared" si="4"/>
        <v>209.29548432193641</v>
      </c>
    </row>
    <row r="60" spans="2:13" x14ac:dyDescent="0.25">
      <c r="C60" s="612" t="s">
        <v>5530</v>
      </c>
      <c r="D60" s="487">
        <f>'Proyección Base'!C93</f>
        <v>3.2670404174489476</v>
      </c>
      <c r="E60" s="487">
        <f>D60*(1+$J$60)</f>
        <v>3.1142838668263475</v>
      </c>
      <c r="F60" s="487">
        <f t="shared" ref="F60:I60" si="5">E60*(1+$J$60)</f>
        <v>2.9686697328183347</v>
      </c>
      <c r="G60" s="487">
        <f t="shared" si="5"/>
        <v>2.8298640584529271</v>
      </c>
      <c r="H60" s="487">
        <f t="shared" si="5"/>
        <v>2.697548501537447</v>
      </c>
      <c r="I60" s="487">
        <f t="shared" si="5"/>
        <v>2.5714196045604742</v>
      </c>
      <c r="J60" s="406">
        <v>-4.6756859758067884E-2</v>
      </c>
    </row>
    <row r="61" spans="2:13" x14ac:dyDescent="0.25">
      <c r="C61" s="612" t="s">
        <v>5531</v>
      </c>
      <c r="D61" s="487">
        <f>360/D60</f>
        <v>110.19147423988842</v>
      </c>
      <c r="E61" s="487">
        <f t="shared" ref="E61:I61" si="6">360/E60</f>
        <v>115.59639884942884</v>
      </c>
      <c r="F61" s="487">
        <f t="shared" si="6"/>
        <v>121.26643661982251</v>
      </c>
      <c r="G61" s="487">
        <f t="shared" si="6"/>
        <v>127.21459143051919</v>
      </c>
      <c r="H61" s="487">
        <f t="shared" si="6"/>
        <v>133.45450500512624</v>
      </c>
      <c r="I61" s="487">
        <f t="shared" si="6"/>
        <v>140.00048819785437</v>
      </c>
      <c r="K61" s="149"/>
    </row>
    <row r="63" spans="2:13" x14ac:dyDescent="0.25">
      <c r="D63" s="407">
        <v>2011</v>
      </c>
      <c r="E63" s="407">
        <v>2012</v>
      </c>
      <c r="F63" s="407">
        <v>2013</v>
      </c>
      <c r="G63" s="407">
        <v>2014</v>
      </c>
      <c r="H63" s="407">
        <v>2015</v>
      </c>
      <c r="I63" s="407">
        <v>2016</v>
      </c>
      <c r="J63" s="407">
        <v>2017</v>
      </c>
      <c r="K63" s="407">
        <v>2018</v>
      </c>
      <c r="L63" s="407">
        <v>2019</v>
      </c>
      <c r="M63" s="407">
        <v>2020</v>
      </c>
    </row>
    <row r="64" spans="2:13" x14ac:dyDescent="0.25">
      <c r="C64" s="407" t="s">
        <v>4125</v>
      </c>
      <c r="D64" s="468">
        <f>'EF Sempertex 2011-2014 I'!B96</f>
        <v>60953023</v>
      </c>
      <c r="E64" s="468">
        <f>'EF Sempertex 2011-2014 I'!C96</f>
        <v>63696911</v>
      </c>
      <c r="F64" s="468">
        <f>'EF Sempertex 2011-2014 I'!D96</f>
        <v>66144474</v>
      </c>
      <c r="G64" s="468">
        <f>'EF Sempertex 2011-2014 I'!E96</f>
        <v>82963988</v>
      </c>
      <c r="H64" s="468">
        <f>'EF Sempertex 2015 I'!B57</f>
        <v>96562000</v>
      </c>
      <c r="I64" s="468">
        <f>H64*(1+I65)</f>
        <v>112011919.99999999</v>
      </c>
      <c r="J64" s="468">
        <f t="shared" ref="J64:M64" si="7">I64*(1+J65)</f>
        <v>129278899.68302366</v>
      </c>
      <c r="K64" s="468">
        <f t="shared" si="7"/>
        <v>152947931.28081855</v>
      </c>
      <c r="L64" s="468">
        <f t="shared" si="7"/>
        <v>178227955.79358459</v>
      </c>
      <c r="M64" s="468">
        <f t="shared" si="7"/>
        <v>207747997.18958372</v>
      </c>
    </row>
    <row r="65" spans="2:13" x14ac:dyDescent="0.25">
      <c r="C65" s="404" t="s">
        <v>5523</v>
      </c>
      <c r="D65" s="404"/>
      <c r="E65" s="606">
        <f>E64/D64-1</f>
        <v>4.5016438315126805E-2</v>
      </c>
      <c r="F65" s="606">
        <f t="shared" ref="F65:H65" si="8">F64/E64-1</f>
        <v>3.8425144352761453E-2</v>
      </c>
      <c r="G65" s="606">
        <f t="shared" si="8"/>
        <v>0.25428449245813045</v>
      </c>
      <c r="H65" s="606">
        <f t="shared" si="8"/>
        <v>0.16390258385361123</v>
      </c>
      <c r="I65" s="607">
        <v>0.16</v>
      </c>
      <c r="J65" s="608">
        <f>AVERAGE(F65:I65)</f>
        <v>0.15415305516612579</v>
      </c>
      <c r="K65" s="608">
        <f t="shared" ref="K65:M65" si="9">AVERAGE(G65:J65)</f>
        <v>0.18308503286946687</v>
      </c>
      <c r="L65" s="608">
        <f t="shared" si="9"/>
        <v>0.16528516797230097</v>
      </c>
      <c r="M65" s="608">
        <f t="shared" si="9"/>
        <v>0.16563081400197341</v>
      </c>
    </row>
    <row r="66" spans="2:13" ht="38.25" x14ac:dyDescent="0.25">
      <c r="C66" s="404" t="s">
        <v>4091</v>
      </c>
      <c r="D66" s="603" t="s">
        <v>5522</v>
      </c>
      <c r="E66" s="603" t="s">
        <v>5522</v>
      </c>
      <c r="F66" s="603" t="s">
        <v>5522</v>
      </c>
      <c r="G66" s="603" t="s">
        <v>5522</v>
      </c>
      <c r="H66" s="603" t="s">
        <v>5522</v>
      </c>
      <c r="I66" s="604" t="s">
        <v>5521</v>
      </c>
      <c r="J66" s="605" t="s">
        <v>5520</v>
      </c>
      <c r="K66" s="605" t="s">
        <v>5520</v>
      </c>
      <c r="L66" s="605" t="s">
        <v>5520</v>
      </c>
      <c r="M66" s="605" t="s">
        <v>5520</v>
      </c>
    </row>
    <row r="67" spans="2:13" x14ac:dyDescent="0.25">
      <c r="C67" s="496"/>
      <c r="D67" s="614"/>
      <c r="E67" s="614"/>
      <c r="F67" s="614"/>
      <c r="G67" s="614"/>
      <c r="H67" s="614"/>
      <c r="I67" s="615"/>
      <c r="J67" s="616"/>
      <c r="K67" s="616"/>
      <c r="L67" s="616"/>
      <c r="M67" s="616"/>
    </row>
    <row r="68" spans="2:13" x14ac:dyDescent="0.25">
      <c r="C68" s="496"/>
      <c r="D68" s="614"/>
      <c r="E68" s="614"/>
      <c r="F68" s="614"/>
      <c r="G68" s="614"/>
      <c r="H68" s="614"/>
      <c r="J68" s="616"/>
      <c r="K68" s="616"/>
      <c r="L68" s="616"/>
      <c r="M68" s="616"/>
    </row>
    <row r="69" spans="2:13" x14ac:dyDescent="0.25">
      <c r="B69" s="26" t="s">
        <v>5536</v>
      </c>
    </row>
    <row r="70" spans="2:13" x14ac:dyDescent="0.25">
      <c r="D70" s="610">
        <v>2015</v>
      </c>
      <c r="E70" s="610">
        <v>2016</v>
      </c>
      <c r="F70" s="610">
        <v>2017</v>
      </c>
      <c r="G70" s="610">
        <v>2018</v>
      </c>
      <c r="H70" s="610">
        <v>2019</v>
      </c>
      <c r="I70" s="610">
        <v>2020</v>
      </c>
      <c r="J70" s="407" t="s">
        <v>371</v>
      </c>
    </row>
    <row r="71" spans="2:13" x14ac:dyDescent="0.25">
      <c r="C71" s="404" t="s">
        <v>5526</v>
      </c>
      <c r="D71" s="487">
        <f>D56</f>
        <v>5.1020524081310112</v>
      </c>
      <c r="E71" s="487">
        <f t="shared" ref="E71" si="10">E56</f>
        <v>3</v>
      </c>
      <c r="F71" s="487">
        <f>E71*(1+$J$71)</f>
        <v>3.2238631883459492</v>
      </c>
      <c r="G71" s="487">
        <f t="shared" ref="G71:I71" si="11">F71*(1+$J$71)</f>
        <v>3.4644312857240362</v>
      </c>
      <c r="H71" s="487">
        <f t="shared" si="11"/>
        <v>3.7229508301999155</v>
      </c>
      <c r="I71" s="487">
        <f t="shared" si="11"/>
        <v>4.0007613778344995</v>
      </c>
      <c r="J71" s="406">
        <v>7.4621062781982953E-2</v>
      </c>
      <c r="K71" s="149"/>
    </row>
    <row r="72" spans="2:13" x14ac:dyDescent="0.25">
      <c r="C72" s="404" t="s">
        <v>5527</v>
      </c>
      <c r="D72" s="487">
        <f>360/D71</f>
        <v>70.5598396884903</v>
      </c>
      <c r="E72" s="487">
        <f t="shared" ref="E72:I72" si="12">360/E71</f>
        <v>120</v>
      </c>
      <c r="F72" s="487">
        <f t="shared" si="12"/>
        <v>111.66726966000792</v>
      </c>
      <c r="G72" s="487">
        <f t="shared" si="12"/>
        <v>103.91315927767438</v>
      </c>
      <c r="H72" s="487">
        <f t="shared" si="12"/>
        <v>96.69748981902849</v>
      </c>
      <c r="I72" s="487">
        <f t="shared" si="12"/>
        <v>89.982872258894375</v>
      </c>
      <c r="K72" s="149"/>
    </row>
    <row r="73" spans="2:13" x14ac:dyDescent="0.25">
      <c r="C73" s="404" t="s">
        <v>5528</v>
      </c>
      <c r="D73" s="487">
        <f>D58</f>
        <v>1.720009809864969</v>
      </c>
      <c r="E73" s="487">
        <f t="shared" ref="E73" si="13">E58</f>
        <v>1</v>
      </c>
      <c r="F73" s="487">
        <f>E73*(1+$J$73)</f>
        <v>1.0466385505033768</v>
      </c>
      <c r="G73" s="487">
        <f t="shared" ref="G73:I73" si="14">F73*(1+$J$73)</f>
        <v>1.0954522553998096</v>
      </c>
      <c r="H73" s="487">
        <f t="shared" si="14"/>
        <v>1.1465425607373116</v>
      </c>
      <c r="I73" s="487">
        <f t="shared" si="14"/>
        <v>1.2000156438605298</v>
      </c>
      <c r="J73" s="406">
        <v>4.6638550503376931E-2</v>
      </c>
      <c r="K73" s="149"/>
    </row>
    <row r="74" spans="2:13" x14ac:dyDescent="0.25">
      <c r="C74" s="404" t="s">
        <v>5529</v>
      </c>
      <c r="D74" s="611">
        <f>360/D73</f>
        <v>209.30113185125504</v>
      </c>
      <c r="E74" s="611">
        <f t="shared" ref="E74:I74" si="15">360/E73</f>
        <v>360</v>
      </c>
      <c r="F74" s="611">
        <f t="shared" si="15"/>
        <v>343.95828419167185</v>
      </c>
      <c r="G74" s="611">
        <f t="shared" si="15"/>
        <v>328.63139240021923</v>
      </c>
      <c r="H74" s="611">
        <f t="shared" si="15"/>
        <v>313.98747183749845</v>
      </c>
      <c r="I74" s="611">
        <f t="shared" si="15"/>
        <v>299.99608908585236</v>
      </c>
    </row>
    <row r="75" spans="2:13" x14ac:dyDescent="0.25">
      <c r="C75" s="612" t="s">
        <v>5530</v>
      </c>
      <c r="D75" s="487">
        <f>D60</f>
        <v>3.2670404174489476</v>
      </c>
      <c r="E75" s="487">
        <f>D75*(1+$J$75)</f>
        <v>3.6893887137566468</v>
      </c>
      <c r="F75" s="487">
        <f t="shared" ref="F75:I75" si="16">E75*(1+$J$75)</f>
        <v>4.1663362989012134</v>
      </c>
      <c r="G75" s="487">
        <f t="shared" si="16"/>
        <v>4.704941523460958</v>
      </c>
      <c r="H75" s="487">
        <f t="shared" si="16"/>
        <v>5.3131752098420781</v>
      </c>
      <c r="I75" s="487">
        <f t="shared" si="16"/>
        <v>6.0000386125340253</v>
      </c>
      <c r="J75" s="617">
        <v>0.12927550392458503</v>
      </c>
    </row>
    <row r="76" spans="2:13" x14ac:dyDescent="0.25">
      <c r="C76" s="612" t="s">
        <v>5531</v>
      </c>
      <c r="D76" s="487">
        <f>360/D75</f>
        <v>110.19147423988842</v>
      </c>
      <c r="E76" s="487">
        <f t="shared" ref="E76:I76" si="17">360/E75</f>
        <v>97.577140261113101</v>
      </c>
      <c r="F76" s="487">
        <f t="shared" si="17"/>
        <v>86.406851049192241</v>
      </c>
      <c r="G76" s="487">
        <f t="shared" si="17"/>
        <v>76.515297417593359</v>
      </c>
      <c r="H76" s="487">
        <f t="shared" si="17"/>
        <v>67.756094196393008</v>
      </c>
      <c r="I76" s="487">
        <f t="shared" si="17"/>
        <v>59.999613877144611</v>
      </c>
      <c r="K76" s="149"/>
    </row>
    <row r="78" spans="2:13" x14ac:dyDescent="0.25">
      <c r="C78" s="404" t="s">
        <v>5537</v>
      </c>
      <c r="D78" s="404"/>
      <c r="E78" s="406">
        <f>-(I65-$I$30)</f>
        <v>-0.11404696446062794</v>
      </c>
      <c r="F78" s="406">
        <f t="shared" ref="F78:I78" si="18">-(J65-$I$30)</f>
        <v>-0.10820001962675373</v>
      </c>
      <c r="G78" s="406">
        <f t="shared" si="18"/>
        <v>-0.13713199733009479</v>
      </c>
      <c r="H78" s="406">
        <f t="shared" si="18"/>
        <v>-0.11933213243292891</v>
      </c>
      <c r="I78" s="406">
        <f t="shared" si="18"/>
        <v>-0.11967777846260134</v>
      </c>
    </row>
    <row r="80" spans="2:13" x14ac:dyDescent="0.25">
      <c r="C80" s="404" t="s">
        <v>396</v>
      </c>
      <c r="D80" s="406">
        <f>Realista!C7</f>
        <v>0.39993543457368314</v>
      </c>
      <c r="E80" s="406">
        <f>Realista!D7</f>
        <v>0.39993543457368314</v>
      </c>
      <c r="F80" s="406">
        <f t="shared" ref="F80:I80" si="19">$D$80+4%</f>
        <v>0.43993543457368312</v>
      </c>
      <c r="G80" s="406">
        <f t="shared" si="19"/>
        <v>0.43993543457368312</v>
      </c>
      <c r="H80" s="406">
        <f t="shared" si="19"/>
        <v>0.43993543457368312</v>
      </c>
      <c r="I80" s="406">
        <f t="shared" si="19"/>
        <v>0.43993543457368312</v>
      </c>
    </row>
    <row r="82" spans="2:11" x14ac:dyDescent="0.25">
      <c r="C82" s="404" t="s">
        <v>5534</v>
      </c>
      <c r="D82" s="404"/>
      <c r="E82" s="617">
        <v>0.05</v>
      </c>
      <c r="F82" s="617">
        <f>E82</f>
        <v>0.05</v>
      </c>
      <c r="G82" s="617">
        <f t="shared" ref="G82:I82" si="20">F82</f>
        <v>0.05</v>
      </c>
      <c r="H82" s="617">
        <f t="shared" si="20"/>
        <v>0.05</v>
      </c>
      <c r="I82" s="617">
        <f t="shared" si="20"/>
        <v>0.05</v>
      </c>
    </row>
    <row r="83" spans="2:11" x14ac:dyDescent="0.25">
      <c r="E83" s="479"/>
      <c r="F83" s="479"/>
      <c r="G83" s="479"/>
      <c r="H83" s="479"/>
      <c r="I83" s="479"/>
    </row>
    <row r="84" spans="2:11" x14ac:dyDescent="0.25">
      <c r="I84" s="149"/>
      <c r="J84" s="149"/>
    </row>
    <row r="85" spans="2:11" x14ac:dyDescent="0.25">
      <c r="B85" s="26" t="s">
        <v>5538</v>
      </c>
      <c r="I85" s="618"/>
      <c r="J85" s="149"/>
    </row>
    <row r="86" spans="2:11" x14ac:dyDescent="0.25">
      <c r="B86" s="26"/>
      <c r="I86" s="149"/>
      <c r="J86" s="149"/>
    </row>
    <row r="87" spans="2:11" x14ac:dyDescent="0.25">
      <c r="D87" s="610">
        <v>2015</v>
      </c>
      <c r="E87" s="610">
        <v>2016</v>
      </c>
      <c r="F87" s="610">
        <v>2017</v>
      </c>
      <c r="G87" s="610">
        <v>2018</v>
      </c>
      <c r="H87" s="610">
        <v>2019</v>
      </c>
      <c r="I87" s="610">
        <v>2020</v>
      </c>
      <c r="J87" s="407" t="s">
        <v>371</v>
      </c>
    </row>
    <row r="88" spans="2:11" x14ac:dyDescent="0.25">
      <c r="C88" s="404" t="s">
        <v>5526</v>
      </c>
      <c r="D88" s="487">
        <f>D71</f>
        <v>5.1020524081310112</v>
      </c>
      <c r="E88" s="487">
        <f t="shared" ref="E88:E90" si="21">E71</f>
        <v>3</v>
      </c>
      <c r="F88" s="487">
        <f>E88*(1+$J$88)</f>
        <v>3.5676197285495013</v>
      </c>
      <c r="G88" s="487">
        <f t="shared" ref="G88:I88" si="22">F88*(1+$J$88)</f>
        <v>4.2426368425118728</v>
      </c>
      <c r="H88" s="487">
        <f t="shared" si="22"/>
        <v>5.045371633472107</v>
      </c>
      <c r="I88" s="487">
        <f t="shared" si="22"/>
        <v>5.9999891258130376</v>
      </c>
      <c r="J88" s="406">
        <v>0.18920657618316719</v>
      </c>
      <c r="K88" s="149"/>
    </row>
    <row r="89" spans="2:11" x14ac:dyDescent="0.25">
      <c r="C89" s="404" t="s">
        <v>5527</v>
      </c>
      <c r="D89" s="487">
        <f>360/D88</f>
        <v>70.5598396884903</v>
      </c>
      <c r="E89" s="487">
        <f t="shared" ref="E89:I89" si="23">360/E88</f>
        <v>120</v>
      </c>
      <c r="F89" s="487">
        <f t="shared" si="23"/>
        <v>100.90761555082172</v>
      </c>
      <c r="G89" s="487">
        <f t="shared" si="23"/>
        <v>84.852890634603625</v>
      </c>
      <c r="H89" s="487">
        <f t="shared" si="23"/>
        <v>71.352523887770857</v>
      </c>
      <c r="I89" s="487">
        <f t="shared" si="23"/>
        <v>60.000108742066708</v>
      </c>
      <c r="K89" s="75"/>
    </row>
    <row r="90" spans="2:11" x14ac:dyDescent="0.25">
      <c r="C90" s="404" t="s">
        <v>5528</v>
      </c>
      <c r="D90" s="487">
        <f>D73</f>
        <v>1.720009809864969</v>
      </c>
      <c r="E90" s="487">
        <f t="shared" si="21"/>
        <v>1</v>
      </c>
      <c r="F90" s="487">
        <f>E90*(1+$J$90)</f>
        <v>1.1891703795338411</v>
      </c>
      <c r="G90" s="487">
        <f t="shared" ref="G90:I90" si="24">F90*(1+$J$90)</f>
        <v>1.4141261915606596</v>
      </c>
      <c r="H90" s="487">
        <f t="shared" si="24"/>
        <v>1.6816369799269348</v>
      </c>
      <c r="I90" s="487">
        <f t="shared" si="24"/>
        <v>1.9997528856578555</v>
      </c>
      <c r="J90" s="406">
        <v>0.18917037953384111</v>
      </c>
      <c r="K90" s="149"/>
    </row>
    <row r="91" spans="2:11" x14ac:dyDescent="0.25">
      <c r="C91" s="404" t="s">
        <v>5529</v>
      </c>
      <c r="D91" s="611">
        <f>360/D90</f>
        <v>209.30113185125504</v>
      </c>
      <c r="E91" s="611">
        <f t="shared" ref="E91:I91" si="25">360/E90</f>
        <v>360</v>
      </c>
      <c r="F91" s="611">
        <f t="shared" si="25"/>
        <v>302.73206110391118</v>
      </c>
      <c r="G91" s="611">
        <f t="shared" si="25"/>
        <v>254.57416894506167</v>
      </c>
      <c r="H91" s="611">
        <f t="shared" si="25"/>
        <v>214.07711907931613</v>
      </c>
      <c r="I91" s="611">
        <f t="shared" si="25"/>
        <v>180.02224303908</v>
      </c>
    </row>
    <row r="92" spans="2:11" x14ac:dyDescent="0.25">
      <c r="C92" s="612" t="s">
        <v>5530</v>
      </c>
      <c r="D92" s="487">
        <f>D75</f>
        <v>3.2670404174489476</v>
      </c>
      <c r="E92" s="487">
        <f>D92*(1+$J$92)</f>
        <v>2.9616217751461518</v>
      </c>
      <c r="F92" s="487">
        <f t="shared" ref="F92:I92" si="26">E92*(1+$J$92)</f>
        <v>2.6847551356186754</v>
      </c>
      <c r="G92" s="487">
        <f t="shared" si="26"/>
        <v>2.4337713204027045</v>
      </c>
      <c r="H92" s="487">
        <f t="shared" si="26"/>
        <v>2.2062506786674874</v>
      </c>
      <c r="I92" s="487">
        <f t="shared" si="26"/>
        <v>1.999999760172759</v>
      </c>
      <c r="J92" s="617">
        <v>-9.3484806821361746E-2</v>
      </c>
    </row>
    <row r="93" spans="2:11" x14ac:dyDescent="0.25">
      <c r="C93" s="612" t="s">
        <v>5531</v>
      </c>
      <c r="D93" s="487">
        <f>360/D92</f>
        <v>110.19147423988842</v>
      </c>
      <c r="E93" s="487">
        <f t="shared" ref="E93:I93" si="27">360/E92</f>
        <v>121.55502198866515</v>
      </c>
      <c r="F93" s="487">
        <f t="shared" si="27"/>
        <v>134.09044095823717</v>
      </c>
      <c r="G93" s="487">
        <f t="shared" si="27"/>
        <v>147.91858092091928</v>
      </c>
      <c r="H93" s="487">
        <f t="shared" si="27"/>
        <v>163.17275433879061</v>
      </c>
      <c r="I93" s="487">
        <f t="shared" si="27"/>
        <v>180.00002158445429</v>
      </c>
      <c r="K93" s="149"/>
    </row>
    <row r="95" spans="2:11" x14ac:dyDescent="0.25">
      <c r="C95" s="404" t="s">
        <v>5537</v>
      </c>
      <c r="D95" s="404"/>
      <c r="E95" s="406">
        <f>I65+$I$30</f>
        <v>0.20595303553937205</v>
      </c>
      <c r="F95" s="406">
        <f t="shared" ref="F95:I95" si="28">J65+$I$30</f>
        <v>0.20010609070549784</v>
      </c>
      <c r="G95" s="406">
        <f t="shared" si="28"/>
        <v>0.22903806840883895</v>
      </c>
      <c r="H95" s="406">
        <f t="shared" si="28"/>
        <v>0.21123820351167305</v>
      </c>
      <c r="I95" s="406">
        <f t="shared" si="28"/>
        <v>0.21158384954134546</v>
      </c>
    </row>
    <row r="97" spans="3:9" x14ac:dyDescent="0.25">
      <c r="C97" s="404" t="s">
        <v>396</v>
      </c>
      <c r="D97" s="406">
        <f>Realista!C7</f>
        <v>0.39993543457368314</v>
      </c>
      <c r="E97" s="406">
        <f>Realista!D7</f>
        <v>0.39993543457368314</v>
      </c>
      <c r="F97" s="406">
        <f t="shared" ref="F97:I97" si="29">$D$80-4%</f>
        <v>0.35993543457368316</v>
      </c>
      <c r="G97" s="406">
        <f t="shared" si="29"/>
        <v>0.35993543457368316</v>
      </c>
      <c r="H97" s="406">
        <f t="shared" si="29"/>
        <v>0.35993543457368316</v>
      </c>
      <c r="I97" s="406">
        <f t="shared" si="29"/>
        <v>0.35993543457368316</v>
      </c>
    </row>
    <row r="99" spans="3:9" x14ac:dyDescent="0.25">
      <c r="C99" s="404" t="s">
        <v>5540</v>
      </c>
      <c r="D99" s="404"/>
      <c r="E99" s="617">
        <v>-0.05</v>
      </c>
      <c r="F99" s="617">
        <f>E99</f>
        <v>-0.05</v>
      </c>
      <c r="G99" s="617">
        <f t="shared" ref="G99:I99" si="30">F99</f>
        <v>-0.05</v>
      </c>
      <c r="H99" s="617">
        <f t="shared" si="30"/>
        <v>-0.05</v>
      </c>
      <c r="I99" s="617">
        <f t="shared" si="30"/>
        <v>-0.05</v>
      </c>
    </row>
  </sheetData>
  <mergeCells count="23">
    <mergeCell ref="C37:C40"/>
    <mergeCell ref="E3:G3"/>
    <mergeCell ref="E4:G4"/>
    <mergeCell ref="E5:G5"/>
    <mergeCell ref="D41:J41"/>
    <mergeCell ref="D38:J38"/>
    <mergeCell ref="D37:J37"/>
    <mergeCell ref="D39:J39"/>
    <mergeCell ref="D40:J40"/>
    <mergeCell ref="D18:E18"/>
    <mergeCell ref="D17:E17"/>
    <mergeCell ref="D19:E19"/>
    <mergeCell ref="D43:J43"/>
    <mergeCell ref="C46:C50"/>
    <mergeCell ref="D46:J46"/>
    <mergeCell ref="D47:J47"/>
    <mergeCell ref="D49:J49"/>
    <mergeCell ref="D50:J50"/>
    <mergeCell ref="D48:J48"/>
    <mergeCell ref="D45:J45"/>
    <mergeCell ref="C41:C45"/>
    <mergeCell ref="D44:J44"/>
    <mergeCell ref="D42:J4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8" transitionEvaluation="1">
    <pageSetUpPr fitToPage="1"/>
  </sheetPr>
  <dimension ref="A1:M53"/>
  <sheetViews>
    <sheetView topLeftCell="A8" zoomScale="85" zoomScaleNormal="85" workbookViewId="0">
      <selection activeCell="C20" sqref="C20"/>
    </sheetView>
  </sheetViews>
  <sheetFormatPr baseColWidth="10" defaultColWidth="9.625" defaultRowHeight="12" x14ac:dyDescent="0.15"/>
  <cols>
    <col min="1" max="1" width="9.125" style="534" customWidth="1"/>
    <col min="2" max="2" width="11.75" style="534" customWidth="1"/>
    <col min="3" max="3" width="9.75" style="534" customWidth="1"/>
    <col min="4" max="4" width="11.25" style="534" customWidth="1"/>
    <col min="5" max="5" width="10.125" style="534" customWidth="1"/>
    <col min="6" max="6" width="10.875" style="534" customWidth="1"/>
    <col min="7" max="7" width="10.625" style="534" customWidth="1"/>
    <col min="8" max="8" width="6" style="534" customWidth="1"/>
    <col min="9" max="9" width="9.625" style="534"/>
    <col min="10" max="10" width="4.125" style="534" customWidth="1"/>
    <col min="11" max="11" width="9.625" style="534"/>
    <col min="12" max="12" width="10.25" style="534" bestFit="1" customWidth="1"/>
    <col min="13" max="17" width="9.625" style="534"/>
    <col min="18" max="18" width="9.625" style="534" customWidth="1"/>
    <col min="19" max="256" width="9.625" style="534"/>
    <col min="257" max="257" width="9.125" style="534" customWidth="1"/>
    <col min="258" max="258" width="11.75" style="534" customWidth="1"/>
    <col min="259" max="259" width="9.75" style="534" customWidth="1"/>
    <col min="260" max="260" width="11.25" style="534" customWidth="1"/>
    <col min="261" max="261" width="10.125" style="534" customWidth="1"/>
    <col min="262" max="262" width="10.875" style="534" customWidth="1"/>
    <col min="263" max="263" width="10.625" style="534" customWidth="1"/>
    <col min="264" max="264" width="6" style="534" customWidth="1"/>
    <col min="265" max="265" width="9.625" style="534"/>
    <col min="266" max="266" width="4.125" style="534" customWidth="1"/>
    <col min="267" max="267" width="9.625" style="534"/>
    <col min="268" max="268" width="10.25" style="534" bestFit="1" customWidth="1"/>
    <col min="269" max="273" width="9.625" style="534"/>
    <col min="274" max="274" width="9.625" style="534" customWidth="1"/>
    <col min="275" max="512" width="9.625" style="534"/>
    <col min="513" max="513" width="9.125" style="534" customWidth="1"/>
    <col min="514" max="514" width="11.75" style="534" customWidth="1"/>
    <col min="515" max="515" width="9.75" style="534" customWidth="1"/>
    <col min="516" max="516" width="11.25" style="534" customWidth="1"/>
    <col min="517" max="517" width="10.125" style="534" customWidth="1"/>
    <col min="518" max="518" width="10.875" style="534" customWidth="1"/>
    <col min="519" max="519" width="10.625" style="534" customWidth="1"/>
    <col min="520" max="520" width="6" style="534" customWidth="1"/>
    <col min="521" max="521" width="9.625" style="534"/>
    <col min="522" max="522" width="4.125" style="534" customWidth="1"/>
    <col min="523" max="523" width="9.625" style="534"/>
    <col min="524" max="524" width="10.25" style="534" bestFit="1" customWidth="1"/>
    <col min="525" max="529" width="9.625" style="534"/>
    <col min="530" max="530" width="9.625" style="534" customWidth="1"/>
    <col min="531" max="768" width="9.625" style="534"/>
    <col min="769" max="769" width="9.125" style="534" customWidth="1"/>
    <col min="770" max="770" width="11.75" style="534" customWidth="1"/>
    <col min="771" max="771" width="9.75" style="534" customWidth="1"/>
    <col min="772" max="772" width="11.25" style="534" customWidth="1"/>
    <col min="773" max="773" width="10.125" style="534" customWidth="1"/>
    <col min="774" max="774" width="10.875" style="534" customWidth="1"/>
    <col min="775" max="775" width="10.625" style="534" customWidth="1"/>
    <col min="776" max="776" width="6" style="534" customWidth="1"/>
    <col min="777" max="777" width="9.625" style="534"/>
    <col min="778" max="778" width="4.125" style="534" customWidth="1"/>
    <col min="779" max="779" width="9.625" style="534"/>
    <col min="780" max="780" width="10.25" style="534" bestFit="1" customWidth="1"/>
    <col min="781" max="785" width="9.625" style="534"/>
    <col min="786" max="786" width="9.625" style="534" customWidth="1"/>
    <col min="787" max="1024" width="9.625" style="534"/>
    <col min="1025" max="1025" width="9.125" style="534" customWidth="1"/>
    <col min="1026" max="1026" width="11.75" style="534" customWidth="1"/>
    <col min="1027" max="1027" width="9.75" style="534" customWidth="1"/>
    <col min="1028" max="1028" width="11.25" style="534" customWidth="1"/>
    <col min="1029" max="1029" width="10.125" style="534" customWidth="1"/>
    <col min="1030" max="1030" width="10.875" style="534" customWidth="1"/>
    <col min="1031" max="1031" width="10.625" style="534" customWidth="1"/>
    <col min="1032" max="1032" width="6" style="534" customWidth="1"/>
    <col min="1033" max="1033" width="9.625" style="534"/>
    <col min="1034" max="1034" width="4.125" style="534" customWidth="1"/>
    <col min="1035" max="1035" width="9.625" style="534"/>
    <col min="1036" max="1036" width="10.25" style="534" bestFit="1" customWidth="1"/>
    <col min="1037" max="1041" width="9.625" style="534"/>
    <col min="1042" max="1042" width="9.625" style="534" customWidth="1"/>
    <col min="1043" max="1280" width="9.625" style="534"/>
    <col min="1281" max="1281" width="9.125" style="534" customWidth="1"/>
    <col min="1282" max="1282" width="11.75" style="534" customWidth="1"/>
    <col min="1283" max="1283" width="9.75" style="534" customWidth="1"/>
    <col min="1284" max="1284" width="11.25" style="534" customWidth="1"/>
    <col min="1285" max="1285" width="10.125" style="534" customWidth="1"/>
    <col min="1286" max="1286" width="10.875" style="534" customWidth="1"/>
    <col min="1287" max="1287" width="10.625" style="534" customWidth="1"/>
    <col min="1288" max="1288" width="6" style="534" customWidth="1"/>
    <col min="1289" max="1289" width="9.625" style="534"/>
    <col min="1290" max="1290" width="4.125" style="534" customWidth="1"/>
    <col min="1291" max="1291" width="9.625" style="534"/>
    <col min="1292" max="1292" width="10.25" style="534" bestFit="1" customWidth="1"/>
    <col min="1293" max="1297" width="9.625" style="534"/>
    <col min="1298" max="1298" width="9.625" style="534" customWidth="1"/>
    <col min="1299" max="1536" width="9.625" style="534"/>
    <col min="1537" max="1537" width="9.125" style="534" customWidth="1"/>
    <col min="1538" max="1538" width="11.75" style="534" customWidth="1"/>
    <col min="1539" max="1539" width="9.75" style="534" customWidth="1"/>
    <col min="1540" max="1540" width="11.25" style="534" customWidth="1"/>
    <col min="1541" max="1541" width="10.125" style="534" customWidth="1"/>
    <col min="1542" max="1542" width="10.875" style="534" customWidth="1"/>
    <col min="1543" max="1543" width="10.625" style="534" customWidth="1"/>
    <col min="1544" max="1544" width="6" style="534" customWidth="1"/>
    <col min="1545" max="1545" width="9.625" style="534"/>
    <col min="1546" max="1546" width="4.125" style="534" customWidth="1"/>
    <col min="1547" max="1547" width="9.625" style="534"/>
    <col min="1548" max="1548" width="10.25" style="534" bestFit="1" customWidth="1"/>
    <col min="1549" max="1553" width="9.625" style="534"/>
    <col min="1554" max="1554" width="9.625" style="534" customWidth="1"/>
    <col min="1555" max="1792" width="9.625" style="534"/>
    <col min="1793" max="1793" width="9.125" style="534" customWidth="1"/>
    <col min="1794" max="1794" width="11.75" style="534" customWidth="1"/>
    <col min="1795" max="1795" width="9.75" style="534" customWidth="1"/>
    <col min="1796" max="1796" width="11.25" style="534" customWidth="1"/>
    <col min="1797" max="1797" width="10.125" style="534" customWidth="1"/>
    <col min="1798" max="1798" width="10.875" style="534" customWidth="1"/>
    <col min="1799" max="1799" width="10.625" style="534" customWidth="1"/>
    <col min="1800" max="1800" width="6" style="534" customWidth="1"/>
    <col min="1801" max="1801" width="9.625" style="534"/>
    <col min="1802" max="1802" width="4.125" style="534" customWidth="1"/>
    <col min="1803" max="1803" width="9.625" style="534"/>
    <col min="1804" max="1804" width="10.25" style="534" bestFit="1" customWidth="1"/>
    <col min="1805" max="1809" width="9.625" style="534"/>
    <col min="1810" max="1810" width="9.625" style="534" customWidth="1"/>
    <col min="1811" max="2048" width="9.625" style="534"/>
    <col min="2049" max="2049" width="9.125" style="534" customWidth="1"/>
    <col min="2050" max="2050" width="11.75" style="534" customWidth="1"/>
    <col min="2051" max="2051" width="9.75" style="534" customWidth="1"/>
    <col min="2052" max="2052" width="11.25" style="534" customWidth="1"/>
    <col min="2053" max="2053" width="10.125" style="534" customWidth="1"/>
    <col min="2054" max="2054" width="10.875" style="534" customWidth="1"/>
    <col min="2055" max="2055" width="10.625" style="534" customWidth="1"/>
    <col min="2056" max="2056" width="6" style="534" customWidth="1"/>
    <col min="2057" max="2057" width="9.625" style="534"/>
    <col min="2058" max="2058" width="4.125" style="534" customWidth="1"/>
    <col min="2059" max="2059" width="9.625" style="534"/>
    <col min="2060" max="2060" width="10.25" style="534" bestFit="1" customWidth="1"/>
    <col min="2061" max="2065" width="9.625" style="534"/>
    <col min="2066" max="2066" width="9.625" style="534" customWidth="1"/>
    <col min="2067" max="2304" width="9.625" style="534"/>
    <col min="2305" max="2305" width="9.125" style="534" customWidth="1"/>
    <col min="2306" max="2306" width="11.75" style="534" customWidth="1"/>
    <col min="2307" max="2307" width="9.75" style="534" customWidth="1"/>
    <col min="2308" max="2308" width="11.25" style="534" customWidth="1"/>
    <col min="2309" max="2309" width="10.125" style="534" customWidth="1"/>
    <col min="2310" max="2310" width="10.875" style="534" customWidth="1"/>
    <col min="2311" max="2311" width="10.625" style="534" customWidth="1"/>
    <col min="2312" max="2312" width="6" style="534" customWidth="1"/>
    <col min="2313" max="2313" width="9.625" style="534"/>
    <col min="2314" max="2314" width="4.125" style="534" customWidth="1"/>
    <col min="2315" max="2315" width="9.625" style="534"/>
    <col min="2316" max="2316" width="10.25" style="534" bestFit="1" customWidth="1"/>
    <col min="2317" max="2321" width="9.625" style="534"/>
    <col min="2322" max="2322" width="9.625" style="534" customWidth="1"/>
    <col min="2323" max="2560" width="9.625" style="534"/>
    <col min="2561" max="2561" width="9.125" style="534" customWidth="1"/>
    <col min="2562" max="2562" width="11.75" style="534" customWidth="1"/>
    <col min="2563" max="2563" width="9.75" style="534" customWidth="1"/>
    <col min="2564" max="2564" width="11.25" style="534" customWidth="1"/>
    <col min="2565" max="2565" width="10.125" style="534" customWidth="1"/>
    <col min="2566" max="2566" width="10.875" style="534" customWidth="1"/>
    <col min="2567" max="2567" width="10.625" style="534" customWidth="1"/>
    <col min="2568" max="2568" width="6" style="534" customWidth="1"/>
    <col min="2569" max="2569" width="9.625" style="534"/>
    <col min="2570" max="2570" width="4.125" style="534" customWidth="1"/>
    <col min="2571" max="2571" width="9.625" style="534"/>
    <col min="2572" max="2572" width="10.25" style="534" bestFit="1" customWidth="1"/>
    <col min="2573" max="2577" width="9.625" style="534"/>
    <col min="2578" max="2578" width="9.625" style="534" customWidth="1"/>
    <col min="2579" max="2816" width="9.625" style="534"/>
    <col min="2817" max="2817" width="9.125" style="534" customWidth="1"/>
    <col min="2818" max="2818" width="11.75" style="534" customWidth="1"/>
    <col min="2819" max="2819" width="9.75" style="534" customWidth="1"/>
    <col min="2820" max="2820" width="11.25" style="534" customWidth="1"/>
    <col min="2821" max="2821" width="10.125" style="534" customWidth="1"/>
    <col min="2822" max="2822" width="10.875" style="534" customWidth="1"/>
    <col min="2823" max="2823" width="10.625" style="534" customWidth="1"/>
    <col min="2824" max="2824" width="6" style="534" customWidth="1"/>
    <col min="2825" max="2825" width="9.625" style="534"/>
    <col min="2826" max="2826" width="4.125" style="534" customWidth="1"/>
    <col min="2827" max="2827" width="9.625" style="534"/>
    <col min="2828" max="2828" width="10.25" style="534" bestFit="1" customWidth="1"/>
    <col min="2829" max="2833" width="9.625" style="534"/>
    <col min="2834" max="2834" width="9.625" style="534" customWidth="1"/>
    <col min="2835" max="3072" width="9.625" style="534"/>
    <col min="3073" max="3073" width="9.125" style="534" customWidth="1"/>
    <col min="3074" max="3074" width="11.75" style="534" customWidth="1"/>
    <col min="3075" max="3075" width="9.75" style="534" customWidth="1"/>
    <col min="3076" max="3076" width="11.25" style="534" customWidth="1"/>
    <col min="3077" max="3077" width="10.125" style="534" customWidth="1"/>
    <col min="3078" max="3078" width="10.875" style="534" customWidth="1"/>
    <col min="3079" max="3079" width="10.625" style="534" customWidth="1"/>
    <col min="3080" max="3080" width="6" style="534" customWidth="1"/>
    <col min="3081" max="3081" width="9.625" style="534"/>
    <col min="3082" max="3082" width="4.125" style="534" customWidth="1"/>
    <col min="3083" max="3083" width="9.625" style="534"/>
    <col min="3084" max="3084" width="10.25" style="534" bestFit="1" customWidth="1"/>
    <col min="3085" max="3089" width="9.625" style="534"/>
    <col min="3090" max="3090" width="9.625" style="534" customWidth="1"/>
    <col min="3091" max="3328" width="9.625" style="534"/>
    <col min="3329" max="3329" width="9.125" style="534" customWidth="1"/>
    <col min="3330" max="3330" width="11.75" style="534" customWidth="1"/>
    <col min="3331" max="3331" width="9.75" style="534" customWidth="1"/>
    <col min="3332" max="3332" width="11.25" style="534" customWidth="1"/>
    <col min="3333" max="3333" width="10.125" style="534" customWidth="1"/>
    <col min="3334" max="3334" width="10.875" style="534" customWidth="1"/>
    <col min="3335" max="3335" width="10.625" style="534" customWidth="1"/>
    <col min="3336" max="3336" width="6" style="534" customWidth="1"/>
    <col min="3337" max="3337" width="9.625" style="534"/>
    <col min="3338" max="3338" width="4.125" style="534" customWidth="1"/>
    <col min="3339" max="3339" width="9.625" style="534"/>
    <col min="3340" max="3340" width="10.25" style="534" bestFit="1" customWidth="1"/>
    <col min="3341" max="3345" width="9.625" style="534"/>
    <col min="3346" max="3346" width="9.625" style="534" customWidth="1"/>
    <col min="3347" max="3584" width="9.625" style="534"/>
    <col min="3585" max="3585" width="9.125" style="534" customWidth="1"/>
    <col min="3586" max="3586" width="11.75" style="534" customWidth="1"/>
    <col min="3587" max="3587" width="9.75" style="534" customWidth="1"/>
    <col min="3588" max="3588" width="11.25" style="534" customWidth="1"/>
    <col min="3589" max="3589" width="10.125" style="534" customWidth="1"/>
    <col min="3590" max="3590" width="10.875" style="534" customWidth="1"/>
    <col min="3591" max="3591" width="10.625" style="534" customWidth="1"/>
    <col min="3592" max="3592" width="6" style="534" customWidth="1"/>
    <col min="3593" max="3593" width="9.625" style="534"/>
    <col min="3594" max="3594" width="4.125" style="534" customWidth="1"/>
    <col min="3595" max="3595" width="9.625" style="534"/>
    <col min="3596" max="3596" width="10.25" style="534" bestFit="1" customWidth="1"/>
    <col min="3597" max="3601" width="9.625" style="534"/>
    <col min="3602" max="3602" width="9.625" style="534" customWidth="1"/>
    <col min="3603" max="3840" width="9.625" style="534"/>
    <col min="3841" max="3841" width="9.125" style="534" customWidth="1"/>
    <col min="3842" max="3842" width="11.75" style="534" customWidth="1"/>
    <col min="3843" max="3843" width="9.75" style="534" customWidth="1"/>
    <col min="3844" max="3844" width="11.25" style="534" customWidth="1"/>
    <col min="3845" max="3845" width="10.125" style="534" customWidth="1"/>
    <col min="3846" max="3846" width="10.875" style="534" customWidth="1"/>
    <col min="3847" max="3847" width="10.625" style="534" customWidth="1"/>
    <col min="3848" max="3848" width="6" style="534" customWidth="1"/>
    <col min="3849" max="3849" width="9.625" style="534"/>
    <col min="3850" max="3850" width="4.125" style="534" customWidth="1"/>
    <col min="3851" max="3851" width="9.625" style="534"/>
    <col min="3852" max="3852" width="10.25" style="534" bestFit="1" customWidth="1"/>
    <col min="3853" max="3857" width="9.625" style="534"/>
    <col min="3858" max="3858" width="9.625" style="534" customWidth="1"/>
    <col min="3859" max="4096" width="9.625" style="534"/>
    <col min="4097" max="4097" width="9.125" style="534" customWidth="1"/>
    <col min="4098" max="4098" width="11.75" style="534" customWidth="1"/>
    <col min="4099" max="4099" width="9.75" style="534" customWidth="1"/>
    <col min="4100" max="4100" width="11.25" style="534" customWidth="1"/>
    <col min="4101" max="4101" width="10.125" style="534" customWidth="1"/>
    <col min="4102" max="4102" width="10.875" style="534" customWidth="1"/>
    <col min="4103" max="4103" width="10.625" style="534" customWidth="1"/>
    <col min="4104" max="4104" width="6" style="534" customWidth="1"/>
    <col min="4105" max="4105" width="9.625" style="534"/>
    <col min="4106" max="4106" width="4.125" style="534" customWidth="1"/>
    <col min="4107" max="4107" width="9.625" style="534"/>
    <col min="4108" max="4108" width="10.25" style="534" bestFit="1" customWidth="1"/>
    <col min="4109" max="4113" width="9.625" style="534"/>
    <col min="4114" max="4114" width="9.625" style="534" customWidth="1"/>
    <col min="4115" max="4352" width="9.625" style="534"/>
    <col min="4353" max="4353" width="9.125" style="534" customWidth="1"/>
    <col min="4354" max="4354" width="11.75" style="534" customWidth="1"/>
    <col min="4355" max="4355" width="9.75" style="534" customWidth="1"/>
    <col min="4356" max="4356" width="11.25" style="534" customWidth="1"/>
    <col min="4357" max="4357" width="10.125" style="534" customWidth="1"/>
    <col min="4358" max="4358" width="10.875" style="534" customWidth="1"/>
    <col min="4359" max="4359" width="10.625" style="534" customWidth="1"/>
    <col min="4360" max="4360" width="6" style="534" customWidth="1"/>
    <col min="4361" max="4361" width="9.625" style="534"/>
    <col min="4362" max="4362" width="4.125" style="534" customWidth="1"/>
    <col min="4363" max="4363" width="9.625" style="534"/>
    <col min="4364" max="4364" width="10.25" style="534" bestFit="1" customWidth="1"/>
    <col min="4365" max="4369" width="9.625" style="534"/>
    <col min="4370" max="4370" width="9.625" style="534" customWidth="1"/>
    <col min="4371" max="4608" width="9.625" style="534"/>
    <col min="4609" max="4609" width="9.125" style="534" customWidth="1"/>
    <col min="4610" max="4610" width="11.75" style="534" customWidth="1"/>
    <col min="4611" max="4611" width="9.75" style="534" customWidth="1"/>
    <col min="4612" max="4612" width="11.25" style="534" customWidth="1"/>
    <col min="4613" max="4613" width="10.125" style="534" customWidth="1"/>
    <col min="4614" max="4614" width="10.875" style="534" customWidth="1"/>
    <col min="4615" max="4615" width="10.625" style="534" customWidth="1"/>
    <col min="4616" max="4616" width="6" style="534" customWidth="1"/>
    <col min="4617" max="4617" width="9.625" style="534"/>
    <col min="4618" max="4618" width="4.125" style="534" customWidth="1"/>
    <col min="4619" max="4619" width="9.625" style="534"/>
    <col min="4620" max="4620" width="10.25" style="534" bestFit="1" customWidth="1"/>
    <col min="4621" max="4625" width="9.625" style="534"/>
    <col min="4626" max="4626" width="9.625" style="534" customWidth="1"/>
    <col min="4627" max="4864" width="9.625" style="534"/>
    <col min="4865" max="4865" width="9.125" style="534" customWidth="1"/>
    <col min="4866" max="4866" width="11.75" style="534" customWidth="1"/>
    <col min="4867" max="4867" width="9.75" style="534" customWidth="1"/>
    <col min="4868" max="4868" width="11.25" style="534" customWidth="1"/>
    <col min="4869" max="4869" width="10.125" style="534" customWidth="1"/>
    <col min="4870" max="4870" width="10.875" style="534" customWidth="1"/>
    <col min="4871" max="4871" width="10.625" style="534" customWidth="1"/>
    <col min="4872" max="4872" width="6" style="534" customWidth="1"/>
    <col min="4873" max="4873" width="9.625" style="534"/>
    <col min="4874" max="4874" width="4.125" style="534" customWidth="1"/>
    <col min="4875" max="4875" width="9.625" style="534"/>
    <col min="4876" max="4876" width="10.25" style="534" bestFit="1" customWidth="1"/>
    <col min="4877" max="4881" width="9.625" style="534"/>
    <col min="4882" max="4882" width="9.625" style="534" customWidth="1"/>
    <col min="4883" max="5120" width="9.625" style="534"/>
    <col min="5121" max="5121" width="9.125" style="534" customWidth="1"/>
    <col min="5122" max="5122" width="11.75" style="534" customWidth="1"/>
    <col min="5123" max="5123" width="9.75" style="534" customWidth="1"/>
    <col min="5124" max="5124" width="11.25" style="534" customWidth="1"/>
    <col min="5125" max="5125" width="10.125" style="534" customWidth="1"/>
    <col min="5126" max="5126" width="10.875" style="534" customWidth="1"/>
    <col min="5127" max="5127" width="10.625" style="534" customWidth="1"/>
    <col min="5128" max="5128" width="6" style="534" customWidth="1"/>
    <col min="5129" max="5129" width="9.625" style="534"/>
    <col min="5130" max="5130" width="4.125" style="534" customWidth="1"/>
    <col min="5131" max="5131" width="9.625" style="534"/>
    <col min="5132" max="5132" width="10.25" style="534" bestFit="1" customWidth="1"/>
    <col min="5133" max="5137" width="9.625" style="534"/>
    <col min="5138" max="5138" width="9.625" style="534" customWidth="1"/>
    <col min="5139" max="5376" width="9.625" style="534"/>
    <col min="5377" max="5377" width="9.125" style="534" customWidth="1"/>
    <col min="5378" max="5378" width="11.75" style="534" customWidth="1"/>
    <col min="5379" max="5379" width="9.75" style="534" customWidth="1"/>
    <col min="5380" max="5380" width="11.25" style="534" customWidth="1"/>
    <col min="5381" max="5381" width="10.125" style="534" customWidth="1"/>
    <col min="5382" max="5382" width="10.875" style="534" customWidth="1"/>
    <col min="5383" max="5383" width="10.625" style="534" customWidth="1"/>
    <col min="5384" max="5384" width="6" style="534" customWidth="1"/>
    <col min="5385" max="5385" width="9.625" style="534"/>
    <col min="5386" max="5386" width="4.125" style="534" customWidth="1"/>
    <col min="5387" max="5387" width="9.625" style="534"/>
    <col min="5388" max="5388" width="10.25" style="534" bestFit="1" customWidth="1"/>
    <col min="5389" max="5393" width="9.625" style="534"/>
    <col min="5394" max="5394" width="9.625" style="534" customWidth="1"/>
    <col min="5395" max="5632" width="9.625" style="534"/>
    <col min="5633" max="5633" width="9.125" style="534" customWidth="1"/>
    <col min="5634" max="5634" width="11.75" style="534" customWidth="1"/>
    <col min="5635" max="5635" width="9.75" style="534" customWidth="1"/>
    <col min="5636" max="5636" width="11.25" style="534" customWidth="1"/>
    <col min="5637" max="5637" width="10.125" style="534" customWidth="1"/>
    <col min="5638" max="5638" width="10.875" style="534" customWidth="1"/>
    <col min="5639" max="5639" width="10.625" style="534" customWidth="1"/>
    <col min="5640" max="5640" width="6" style="534" customWidth="1"/>
    <col min="5641" max="5641" width="9.625" style="534"/>
    <col min="5642" max="5642" width="4.125" style="534" customWidth="1"/>
    <col min="5643" max="5643" width="9.625" style="534"/>
    <col min="5644" max="5644" width="10.25" style="534" bestFit="1" customWidth="1"/>
    <col min="5645" max="5649" width="9.625" style="534"/>
    <col min="5650" max="5650" width="9.625" style="534" customWidth="1"/>
    <col min="5651" max="5888" width="9.625" style="534"/>
    <col min="5889" max="5889" width="9.125" style="534" customWidth="1"/>
    <col min="5890" max="5890" width="11.75" style="534" customWidth="1"/>
    <col min="5891" max="5891" width="9.75" style="534" customWidth="1"/>
    <col min="5892" max="5892" width="11.25" style="534" customWidth="1"/>
    <col min="5893" max="5893" width="10.125" style="534" customWidth="1"/>
    <col min="5894" max="5894" width="10.875" style="534" customWidth="1"/>
    <col min="5895" max="5895" width="10.625" style="534" customWidth="1"/>
    <col min="5896" max="5896" width="6" style="534" customWidth="1"/>
    <col min="5897" max="5897" width="9.625" style="534"/>
    <col min="5898" max="5898" width="4.125" style="534" customWidth="1"/>
    <col min="5899" max="5899" width="9.625" style="534"/>
    <col min="5900" max="5900" width="10.25" style="534" bestFit="1" customWidth="1"/>
    <col min="5901" max="5905" width="9.625" style="534"/>
    <col min="5906" max="5906" width="9.625" style="534" customWidth="1"/>
    <col min="5907" max="6144" width="9.625" style="534"/>
    <col min="6145" max="6145" width="9.125" style="534" customWidth="1"/>
    <col min="6146" max="6146" width="11.75" style="534" customWidth="1"/>
    <col min="6147" max="6147" width="9.75" style="534" customWidth="1"/>
    <col min="6148" max="6148" width="11.25" style="534" customWidth="1"/>
    <col min="6149" max="6149" width="10.125" style="534" customWidth="1"/>
    <col min="6150" max="6150" width="10.875" style="534" customWidth="1"/>
    <col min="6151" max="6151" width="10.625" style="534" customWidth="1"/>
    <col min="6152" max="6152" width="6" style="534" customWidth="1"/>
    <col min="6153" max="6153" width="9.625" style="534"/>
    <col min="6154" max="6154" width="4.125" style="534" customWidth="1"/>
    <col min="6155" max="6155" width="9.625" style="534"/>
    <col min="6156" max="6156" width="10.25" style="534" bestFit="1" customWidth="1"/>
    <col min="6157" max="6161" width="9.625" style="534"/>
    <col min="6162" max="6162" width="9.625" style="534" customWidth="1"/>
    <col min="6163" max="6400" width="9.625" style="534"/>
    <col min="6401" max="6401" width="9.125" style="534" customWidth="1"/>
    <col min="6402" max="6402" width="11.75" style="534" customWidth="1"/>
    <col min="6403" max="6403" width="9.75" style="534" customWidth="1"/>
    <col min="6404" max="6404" width="11.25" style="534" customWidth="1"/>
    <col min="6405" max="6405" width="10.125" style="534" customWidth="1"/>
    <col min="6406" max="6406" width="10.875" style="534" customWidth="1"/>
    <col min="6407" max="6407" width="10.625" style="534" customWidth="1"/>
    <col min="6408" max="6408" width="6" style="534" customWidth="1"/>
    <col min="6409" max="6409" width="9.625" style="534"/>
    <col min="6410" max="6410" width="4.125" style="534" customWidth="1"/>
    <col min="6411" max="6411" width="9.625" style="534"/>
    <col min="6412" max="6412" width="10.25" style="534" bestFit="1" customWidth="1"/>
    <col min="6413" max="6417" width="9.625" style="534"/>
    <col min="6418" max="6418" width="9.625" style="534" customWidth="1"/>
    <col min="6419" max="6656" width="9.625" style="534"/>
    <col min="6657" max="6657" width="9.125" style="534" customWidth="1"/>
    <col min="6658" max="6658" width="11.75" style="534" customWidth="1"/>
    <col min="6659" max="6659" width="9.75" style="534" customWidth="1"/>
    <col min="6660" max="6660" width="11.25" style="534" customWidth="1"/>
    <col min="6661" max="6661" width="10.125" style="534" customWidth="1"/>
    <col min="6662" max="6662" width="10.875" style="534" customWidth="1"/>
    <col min="6663" max="6663" width="10.625" style="534" customWidth="1"/>
    <col min="6664" max="6664" width="6" style="534" customWidth="1"/>
    <col min="6665" max="6665" width="9.625" style="534"/>
    <col min="6666" max="6666" width="4.125" style="534" customWidth="1"/>
    <col min="6667" max="6667" width="9.625" style="534"/>
    <col min="6668" max="6668" width="10.25" style="534" bestFit="1" customWidth="1"/>
    <col min="6669" max="6673" width="9.625" style="534"/>
    <col min="6674" max="6674" width="9.625" style="534" customWidth="1"/>
    <col min="6675" max="6912" width="9.625" style="534"/>
    <col min="6913" max="6913" width="9.125" style="534" customWidth="1"/>
    <col min="6914" max="6914" width="11.75" style="534" customWidth="1"/>
    <col min="6915" max="6915" width="9.75" style="534" customWidth="1"/>
    <col min="6916" max="6916" width="11.25" style="534" customWidth="1"/>
    <col min="6917" max="6917" width="10.125" style="534" customWidth="1"/>
    <col min="6918" max="6918" width="10.875" style="534" customWidth="1"/>
    <col min="6919" max="6919" width="10.625" style="534" customWidth="1"/>
    <col min="6920" max="6920" width="6" style="534" customWidth="1"/>
    <col min="6921" max="6921" width="9.625" style="534"/>
    <col min="6922" max="6922" width="4.125" style="534" customWidth="1"/>
    <col min="6923" max="6923" width="9.625" style="534"/>
    <col min="6924" max="6924" width="10.25" style="534" bestFit="1" customWidth="1"/>
    <col min="6925" max="6929" width="9.625" style="534"/>
    <col min="6930" max="6930" width="9.625" style="534" customWidth="1"/>
    <col min="6931" max="7168" width="9.625" style="534"/>
    <col min="7169" max="7169" width="9.125" style="534" customWidth="1"/>
    <col min="7170" max="7170" width="11.75" style="534" customWidth="1"/>
    <col min="7171" max="7171" width="9.75" style="534" customWidth="1"/>
    <col min="7172" max="7172" width="11.25" style="534" customWidth="1"/>
    <col min="7173" max="7173" width="10.125" style="534" customWidth="1"/>
    <col min="7174" max="7174" width="10.875" style="534" customWidth="1"/>
    <col min="7175" max="7175" width="10.625" style="534" customWidth="1"/>
    <col min="7176" max="7176" width="6" style="534" customWidth="1"/>
    <col min="7177" max="7177" width="9.625" style="534"/>
    <col min="7178" max="7178" width="4.125" style="534" customWidth="1"/>
    <col min="7179" max="7179" width="9.625" style="534"/>
    <col min="7180" max="7180" width="10.25" style="534" bestFit="1" customWidth="1"/>
    <col min="7181" max="7185" width="9.625" style="534"/>
    <col min="7186" max="7186" width="9.625" style="534" customWidth="1"/>
    <col min="7187" max="7424" width="9.625" style="534"/>
    <col min="7425" max="7425" width="9.125" style="534" customWidth="1"/>
    <col min="7426" max="7426" width="11.75" style="534" customWidth="1"/>
    <col min="7427" max="7427" width="9.75" style="534" customWidth="1"/>
    <col min="7428" max="7428" width="11.25" style="534" customWidth="1"/>
    <col min="7429" max="7429" width="10.125" style="534" customWidth="1"/>
    <col min="7430" max="7430" width="10.875" style="534" customWidth="1"/>
    <col min="7431" max="7431" width="10.625" style="534" customWidth="1"/>
    <col min="7432" max="7432" width="6" style="534" customWidth="1"/>
    <col min="7433" max="7433" width="9.625" style="534"/>
    <col min="7434" max="7434" width="4.125" style="534" customWidth="1"/>
    <col min="7435" max="7435" width="9.625" style="534"/>
    <col min="7436" max="7436" width="10.25" style="534" bestFit="1" customWidth="1"/>
    <col min="7437" max="7441" width="9.625" style="534"/>
    <col min="7442" max="7442" width="9.625" style="534" customWidth="1"/>
    <col min="7443" max="7680" width="9.625" style="534"/>
    <col min="7681" max="7681" width="9.125" style="534" customWidth="1"/>
    <col min="7682" max="7682" width="11.75" style="534" customWidth="1"/>
    <col min="7683" max="7683" width="9.75" style="534" customWidth="1"/>
    <col min="7684" max="7684" width="11.25" style="534" customWidth="1"/>
    <col min="7685" max="7685" width="10.125" style="534" customWidth="1"/>
    <col min="7686" max="7686" width="10.875" style="534" customWidth="1"/>
    <col min="7687" max="7687" width="10.625" style="534" customWidth="1"/>
    <col min="7688" max="7688" width="6" style="534" customWidth="1"/>
    <col min="7689" max="7689" width="9.625" style="534"/>
    <col min="7690" max="7690" width="4.125" style="534" customWidth="1"/>
    <col min="7691" max="7691" width="9.625" style="534"/>
    <col min="7692" max="7692" width="10.25" style="534" bestFit="1" customWidth="1"/>
    <col min="7693" max="7697" width="9.625" style="534"/>
    <col min="7698" max="7698" width="9.625" style="534" customWidth="1"/>
    <col min="7699" max="7936" width="9.625" style="534"/>
    <col min="7937" max="7937" width="9.125" style="534" customWidth="1"/>
    <col min="7938" max="7938" width="11.75" style="534" customWidth="1"/>
    <col min="7939" max="7939" width="9.75" style="534" customWidth="1"/>
    <col min="7940" max="7940" width="11.25" style="534" customWidth="1"/>
    <col min="7941" max="7941" width="10.125" style="534" customWidth="1"/>
    <col min="7942" max="7942" width="10.875" style="534" customWidth="1"/>
    <col min="7943" max="7943" width="10.625" style="534" customWidth="1"/>
    <col min="7944" max="7944" width="6" style="534" customWidth="1"/>
    <col min="7945" max="7945" width="9.625" style="534"/>
    <col min="7946" max="7946" width="4.125" style="534" customWidth="1"/>
    <col min="7947" max="7947" width="9.625" style="534"/>
    <col min="7948" max="7948" width="10.25" style="534" bestFit="1" customWidth="1"/>
    <col min="7949" max="7953" width="9.625" style="534"/>
    <col min="7954" max="7954" width="9.625" style="534" customWidth="1"/>
    <col min="7955" max="8192" width="9.625" style="534"/>
    <col min="8193" max="8193" width="9.125" style="534" customWidth="1"/>
    <col min="8194" max="8194" width="11.75" style="534" customWidth="1"/>
    <col min="8195" max="8195" width="9.75" style="534" customWidth="1"/>
    <col min="8196" max="8196" width="11.25" style="534" customWidth="1"/>
    <col min="8197" max="8197" width="10.125" style="534" customWidth="1"/>
    <col min="8198" max="8198" width="10.875" style="534" customWidth="1"/>
    <col min="8199" max="8199" width="10.625" style="534" customWidth="1"/>
    <col min="8200" max="8200" width="6" style="534" customWidth="1"/>
    <col min="8201" max="8201" width="9.625" style="534"/>
    <col min="8202" max="8202" width="4.125" style="534" customWidth="1"/>
    <col min="8203" max="8203" width="9.625" style="534"/>
    <col min="8204" max="8204" width="10.25" style="534" bestFit="1" customWidth="1"/>
    <col min="8205" max="8209" width="9.625" style="534"/>
    <col min="8210" max="8210" width="9.625" style="534" customWidth="1"/>
    <col min="8211" max="8448" width="9.625" style="534"/>
    <col min="8449" max="8449" width="9.125" style="534" customWidth="1"/>
    <col min="8450" max="8450" width="11.75" style="534" customWidth="1"/>
    <col min="8451" max="8451" width="9.75" style="534" customWidth="1"/>
    <col min="8452" max="8452" width="11.25" style="534" customWidth="1"/>
    <col min="8453" max="8453" width="10.125" style="534" customWidth="1"/>
    <col min="8454" max="8454" width="10.875" style="534" customWidth="1"/>
    <col min="8455" max="8455" width="10.625" style="534" customWidth="1"/>
    <col min="8456" max="8456" width="6" style="534" customWidth="1"/>
    <col min="8457" max="8457" width="9.625" style="534"/>
    <col min="8458" max="8458" width="4.125" style="534" customWidth="1"/>
    <col min="8459" max="8459" width="9.625" style="534"/>
    <col min="8460" max="8460" width="10.25" style="534" bestFit="1" customWidth="1"/>
    <col min="8461" max="8465" width="9.625" style="534"/>
    <col min="8466" max="8466" width="9.625" style="534" customWidth="1"/>
    <col min="8467" max="8704" width="9.625" style="534"/>
    <col min="8705" max="8705" width="9.125" style="534" customWidth="1"/>
    <col min="8706" max="8706" width="11.75" style="534" customWidth="1"/>
    <col min="8707" max="8707" width="9.75" style="534" customWidth="1"/>
    <col min="8708" max="8708" width="11.25" style="534" customWidth="1"/>
    <col min="8709" max="8709" width="10.125" style="534" customWidth="1"/>
    <col min="8710" max="8710" width="10.875" style="534" customWidth="1"/>
    <col min="8711" max="8711" width="10.625" style="534" customWidth="1"/>
    <col min="8712" max="8712" width="6" style="534" customWidth="1"/>
    <col min="8713" max="8713" width="9.625" style="534"/>
    <col min="8714" max="8714" width="4.125" style="534" customWidth="1"/>
    <col min="8715" max="8715" width="9.625" style="534"/>
    <col min="8716" max="8716" width="10.25" style="534" bestFit="1" customWidth="1"/>
    <col min="8717" max="8721" width="9.625" style="534"/>
    <col min="8722" max="8722" width="9.625" style="534" customWidth="1"/>
    <col min="8723" max="8960" width="9.625" style="534"/>
    <col min="8961" max="8961" width="9.125" style="534" customWidth="1"/>
    <col min="8962" max="8962" width="11.75" style="534" customWidth="1"/>
    <col min="8963" max="8963" width="9.75" style="534" customWidth="1"/>
    <col min="8964" max="8964" width="11.25" style="534" customWidth="1"/>
    <col min="8965" max="8965" width="10.125" style="534" customWidth="1"/>
    <col min="8966" max="8966" width="10.875" style="534" customWidth="1"/>
    <col min="8967" max="8967" width="10.625" style="534" customWidth="1"/>
    <col min="8968" max="8968" width="6" style="534" customWidth="1"/>
    <col min="8969" max="8969" width="9.625" style="534"/>
    <col min="8970" max="8970" width="4.125" style="534" customWidth="1"/>
    <col min="8971" max="8971" width="9.625" style="534"/>
    <col min="8972" max="8972" width="10.25" style="534" bestFit="1" customWidth="1"/>
    <col min="8973" max="8977" width="9.625" style="534"/>
    <col min="8978" max="8978" width="9.625" style="534" customWidth="1"/>
    <col min="8979" max="9216" width="9.625" style="534"/>
    <col min="9217" max="9217" width="9.125" style="534" customWidth="1"/>
    <col min="9218" max="9218" width="11.75" style="534" customWidth="1"/>
    <col min="9219" max="9219" width="9.75" style="534" customWidth="1"/>
    <col min="9220" max="9220" width="11.25" style="534" customWidth="1"/>
    <col min="9221" max="9221" width="10.125" style="534" customWidth="1"/>
    <col min="9222" max="9222" width="10.875" style="534" customWidth="1"/>
    <col min="9223" max="9223" width="10.625" style="534" customWidth="1"/>
    <col min="9224" max="9224" width="6" style="534" customWidth="1"/>
    <col min="9225" max="9225" width="9.625" style="534"/>
    <col min="9226" max="9226" width="4.125" style="534" customWidth="1"/>
    <col min="9227" max="9227" width="9.625" style="534"/>
    <col min="9228" max="9228" width="10.25" style="534" bestFit="1" customWidth="1"/>
    <col min="9229" max="9233" width="9.625" style="534"/>
    <col min="9234" max="9234" width="9.625" style="534" customWidth="1"/>
    <col min="9235" max="9472" width="9.625" style="534"/>
    <col min="9473" max="9473" width="9.125" style="534" customWidth="1"/>
    <col min="9474" max="9474" width="11.75" style="534" customWidth="1"/>
    <col min="9475" max="9475" width="9.75" style="534" customWidth="1"/>
    <col min="9476" max="9476" width="11.25" style="534" customWidth="1"/>
    <col min="9477" max="9477" width="10.125" style="534" customWidth="1"/>
    <col min="9478" max="9478" width="10.875" style="534" customWidth="1"/>
    <col min="9479" max="9479" width="10.625" style="534" customWidth="1"/>
    <col min="9480" max="9480" width="6" style="534" customWidth="1"/>
    <col min="9481" max="9481" width="9.625" style="534"/>
    <col min="9482" max="9482" width="4.125" style="534" customWidth="1"/>
    <col min="9483" max="9483" width="9.625" style="534"/>
    <col min="9484" max="9484" width="10.25" style="534" bestFit="1" customWidth="1"/>
    <col min="9485" max="9489" width="9.625" style="534"/>
    <col min="9490" max="9490" width="9.625" style="534" customWidth="1"/>
    <col min="9491" max="9728" width="9.625" style="534"/>
    <col min="9729" max="9729" width="9.125" style="534" customWidth="1"/>
    <col min="9730" max="9730" width="11.75" style="534" customWidth="1"/>
    <col min="9731" max="9731" width="9.75" style="534" customWidth="1"/>
    <col min="9732" max="9732" width="11.25" style="534" customWidth="1"/>
    <col min="9733" max="9733" width="10.125" style="534" customWidth="1"/>
    <col min="9734" max="9734" width="10.875" style="534" customWidth="1"/>
    <col min="9735" max="9735" width="10.625" style="534" customWidth="1"/>
    <col min="9736" max="9736" width="6" style="534" customWidth="1"/>
    <col min="9737" max="9737" width="9.625" style="534"/>
    <col min="9738" max="9738" width="4.125" style="534" customWidth="1"/>
    <col min="9739" max="9739" width="9.625" style="534"/>
    <col min="9740" max="9740" width="10.25" style="534" bestFit="1" customWidth="1"/>
    <col min="9741" max="9745" width="9.625" style="534"/>
    <col min="9746" max="9746" width="9.625" style="534" customWidth="1"/>
    <col min="9747" max="9984" width="9.625" style="534"/>
    <col min="9985" max="9985" width="9.125" style="534" customWidth="1"/>
    <col min="9986" max="9986" width="11.75" style="534" customWidth="1"/>
    <col min="9987" max="9987" width="9.75" style="534" customWidth="1"/>
    <col min="9988" max="9988" width="11.25" style="534" customWidth="1"/>
    <col min="9989" max="9989" width="10.125" style="534" customWidth="1"/>
    <col min="9990" max="9990" width="10.875" style="534" customWidth="1"/>
    <col min="9991" max="9991" width="10.625" style="534" customWidth="1"/>
    <col min="9992" max="9992" width="6" style="534" customWidth="1"/>
    <col min="9993" max="9993" width="9.625" style="534"/>
    <col min="9994" max="9994" width="4.125" style="534" customWidth="1"/>
    <col min="9995" max="9995" width="9.625" style="534"/>
    <col min="9996" max="9996" width="10.25" style="534" bestFit="1" customWidth="1"/>
    <col min="9997" max="10001" width="9.625" style="534"/>
    <col min="10002" max="10002" width="9.625" style="534" customWidth="1"/>
    <col min="10003" max="10240" width="9.625" style="534"/>
    <col min="10241" max="10241" width="9.125" style="534" customWidth="1"/>
    <col min="10242" max="10242" width="11.75" style="534" customWidth="1"/>
    <col min="10243" max="10243" width="9.75" style="534" customWidth="1"/>
    <col min="10244" max="10244" width="11.25" style="534" customWidth="1"/>
    <col min="10245" max="10245" width="10.125" style="534" customWidth="1"/>
    <col min="10246" max="10246" width="10.875" style="534" customWidth="1"/>
    <col min="10247" max="10247" width="10.625" style="534" customWidth="1"/>
    <col min="10248" max="10248" width="6" style="534" customWidth="1"/>
    <col min="10249" max="10249" width="9.625" style="534"/>
    <col min="10250" max="10250" width="4.125" style="534" customWidth="1"/>
    <col min="10251" max="10251" width="9.625" style="534"/>
    <col min="10252" max="10252" width="10.25" style="534" bestFit="1" customWidth="1"/>
    <col min="10253" max="10257" width="9.625" style="534"/>
    <col min="10258" max="10258" width="9.625" style="534" customWidth="1"/>
    <col min="10259" max="10496" width="9.625" style="534"/>
    <col min="10497" max="10497" width="9.125" style="534" customWidth="1"/>
    <col min="10498" max="10498" width="11.75" style="534" customWidth="1"/>
    <col min="10499" max="10499" width="9.75" style="534" customWidth="1"/>
    <col min="10500" max="10500" width="11.25" style="534" customWidth="1"/>
    <col min="10501" max="10501" width="10.125" style="534" customWidth="1"/>
    <col min="10502" max="10502" width="10.875" style="534" customWidth="1"/>
    <col min="10503" max="10503" width="10.625" style="534" customWidth="1"/>
    <col min="10504" max="10504" width="6" style="534" customWidth="1"/>
    <col min="10505" max="10505" width="9.625" style="534"/>
    <col min="10506" max="10506" width="4.125" style="534" customWidth="1"/>
    <col min="10507" max="10507" width="9.625" style="534"/>
    <col min="10508" max="10508" width="10.25" style="534" bestFit="1" customWidth="1"/>
    <col min="10509" max="10513" width="9.625" style="534"/>
    <col min="10514" max="10514" width="9.625" style="534" customWidth="1"/>
    <col min="10515" max="10752" width="9.625" style="534"/>
    <col min="10753" max="10753" width="9.125" style="534" customWidth="1"/>
    <col min="10754" max="10754" width="11.75" style="534" customWidth="1"/>
    <col min="10755" max="10755" width="9.75" style="534" customWidth="1"/>
    <col min="10756" max="10756" width="11.25" style="534" customWidth="1"/>
    <col min="10757" max="10757" width="10.125" style="534" customWidth="1"/>
    <col min="10758" max="10758" width="10.875" style="534" customWidth="1"/>
    <col min="10759" max="10759" width="10.625" style="534" customWidth="1"/>
    <col min="10760" max="10760" width="6" style="534" customWidth="1"/>
    <col min="10761" max="10761" width="9.625" style="534"/>
    <col min="10762" max="10762" width="4.125" style="534" customWidth="1"/>
    <col min="10763" max="10763" width="9.625" style="534"/>
    <col min="10764" max="10764" width="10.25" style="534" bestFit="1" customWidth="1"/>
    <col min="10765" max="10769" width="9.625" style="534"/>
    <col min="10770" max="10770" width="9.625" style="534" customWidth="1"/>
    <col min="10771" max="11008" width="9.625" style="534"/>
    <col min="11009" max="11009" width="9.125" style="534" customWidth="1"/>
    <col min="11010" max="11010" width="11.75" style="534" customWidth="1"/>
    <col min="11011" max="11011" width="9.75" style="534" customWidth="1"/>
    <col min="11012" max="11012" width="11.25" style="534" customWidth="1"/>
    <col min="11013" max="11013" width="10.125" style="534" customWidth="1"/>
    <col min="11014" max="11014" width="10.875" style="534" customWidth="1"/>
    <col min="11015" max="11015" width="10.625" style="534" customWidth="1"/>
    <col min="11016" max="11016" width="6" style="534" customWidth="1"/>
    <col min="11017" max="11017" width="9.625" style="534"/>
    <col min="11018" max="11018" width="4.125" style="534" customWidth="1"/>
    <col min="11019" max="11019" width="9.625" style="534"/>
    <col min="11020" max="11020" width="10.25" style="534" bestFit="1" customWidth="1"/>
    <col min="11021" max="11025" width="9.625" style="534"/>
    <col min="11026" max="11026" width="9.625" style="534" customWidth="1"/>
    <col min="11027" max="11264" width="9.625" style="534"/>
    <col min="11265" max="11265" width="9.125" style="534" customWidth="1"/>
    <col min="11266" max="11266" width="11.75" style="534" customWidth="1"/>
    <col min="11267" max="11267" width="9.75" style="534" customWidth="1"/>
    <col min="11268" max="11268" width="11.25" style="534" customWidth="1"/>
    <col min="11269" max="11269" width="10.125" style="534" customWidth="1"/>
    <col min="11270" max="11270" width="10.875" style="534" customWidth="1"/>
    <col min="11271" max="11271" width="10.625" style="534" customWidth="1"/>
    <col min="11272" max="11272" width="6" style="534" customWidth="1"/>
    <col min="11273" max="11273" width="9.625" style="534"/>
    <col min="11274" max="11274" width="4.125" style="534" customWidth="1"/>
    <col min="11275" max="11275" width="9.625" style="534"/>
    <col min="11276" max="11276" width="10.25" style="534" bestFit="1" customWidth="1"/>
    <col min="11277" max="11281" width="9.625" style="534"/>
    <col min="11282" max="11282" width="9.625" style="534" customWidth="1"/>
    <col min="11283" max="11520" width="9.625" style="534"/>
    <col min="11521" max="11521" width="9.125" style="534" customWidth="1"/>
    <col min="11522" max="11522" width="11.75" style="534" customWidth="1"/>
    <col min="11523" max="11523" width="9.75" style="534" customWidth="1"/>
    <col min="11524" max="11524" width="11.25" style="534" customWidth="1"/>
    <col min="11525" max="11525" width="10.125" style="534" customWidth="1"/>
    <col min="11526" max="11526" width="10.875" style="534" customWidth="1"/>
    <col min="11527" max="11527" width="10.625" style="534" customWidth="1"/>
    <col min="11528" max="11528" width="6" style="534" customWidth="1"/>
    <col min="11529" max="11529" width="9.625" style="534"/>
    <col min="11530" max="11530" width="4.125" style="534" customWidth="1"/>
    <col min="11531" max="11531" width="9.625" style="534"/>
    <col min="11532" max="11532" width="10.25" style="534" bestFit="1" customWidth="1"/>
    <col min="11533" max="11537" width="9.625" style="534"/>
    <col min="11538" max="11538" width="9.625" style="534" customWidth="1"/>
    <col min="11539" max="11776" width="9.625" style="534"/>
    <col min="11777" max="11777" width="9.125" style="534" customWidth="1"/>
    <col min="11778" max="11778" width="11.75" style="534" customWidth="1"/>
    <col min="11779" max="11779" width="9.75" style="534" customWidth="1"/>
    <col min="11780" max="11780" width="11.25" style="534" customWidth="1"/>
    <col min="11781" max="11781" width="10.125" style="534" customWidth="1"/>
    <col min="11782" max="11782" width="10.875" style="534" customWidth="1"/>
    <col min="11783" max="11783" width="10.625" style="534" customWidth="1"/>
    <col min="11784" max="11784" width="6" style="534" customWidth="1"/>
    <col min="11785" max="11785" width="9.625" style="534"/>
    <col min="11786" max="11786" width="4.125" style="534" customWidth="1"/>
    <col min="11787" max="11787" width="9.625" style="534"/>
    <col min="11788" max="11788" width="10.25" style="534" bestFit="1" customWidth="1"/>
    <col min="11789" max="11793" width="9.625" style="534"/>
    <col min="11794" max="11794" width="9.625" style="534" customWidth="1"/>
    <col min="11795" max="12032" width="9.625" style="534"/>
    <col min="12033" max="12033" width="9.125" style="534" customWidth="1"/>
    <col min="12034" max="12034" width="11.75" style="534" customWidth="1"/>
    <col min="12035" max="12035" width="9.75" style="534" customWidth="1"/>
    <col min="12036" max="12036" width="11.25" style="534" customWidth="1"/>
    <col min="12037" max="12037" width="10.125" style="534" customWidth="1"/>
    <col min="12038" max="12038" width="10.875" style="534" customWidth="1"/>
    <col min="12039" max="12039" width="10.625" style="534" customWidth="1"/>
    <col min="12040" max="12040" width="6" style="534" customWidth="1"/>
    <col min="12041" max="12041" width="9.625" style="534"/>
    <col min="12042" max="12042" width="4.125" style="534" customWidth="1"/>
    <col min="12043" max="12043" width="9.625" style="534"/>
    <col min="12044" max="12044" width="10.25" style="534" bestFit="1" customWidth="1"/>
    <col min="12045" max="12049" width="9.625" style="534"/>
    <col min="12050" max="12050" width="9.625" style="534" customWidth="1"/>
    <col min="12051" max="12288" width="9.625" style="534"/>
    <col min="12289" max="12289" width="9.125" style="534" customWidth="1"/>
    <col min="12290" max="12290" width="11.75" style="534" customWidth="1"/>
    <col min="12291" max="12291" width="9.75" style="534" customWidth="1"/>
    <col min="12292" max="12292" width="11.25" style="534" customWidth="1"/>
    <col min="12293" max="12293" width="10.125" style="534" customWidth="1"/>
    <col min="12294" max="12294" width="10.875" style="534" customWidth="1"/>
    <col min="12295" max="12295" width="10.625" style="534" customWidth="1"/>
    <col min="12296" max="12296" width="6" style="534" customWidth="1"/>
    <col min="12297" max="12297" width="9.625" style="534"/>
    <col min="12298" max="12298" width="4.125" style="534" customWidth="1"/>
    <col min="12299" max="12299" width="9.625" style="534"/>
    <col min="12300" max="12300" width="10.25" style="534" bestFit="1" customWidth="1"/>
    <col min="12301" max="12305" width="9.625" style="534"/>
    <col min="12306" max="12306" width="9.625" style="534" customWidth="1"/>
    <col min="12307" max="12544" width="9.625" style="534"/>
    <col min="12545" max="12545" width="9.125" style="534" customWidth="1"/>
    <col min="12546" max="12546" width="11.75" style="534" customWidth="1"/>
    <col min="12547" max="12547" width="9.75" style="534" customWidth="1"/>
    <col min="12548" max="12548" width="11.25" style="534" customWidth="1"/>
    <col min="12549" max="12549" width="10.125" style="534" customWidth="1"/>
    <col min="12550" max="12550" width="10.875" style="534" customWidth="1"/>
    <col min="12551" max="12551" width="10.625" style="534" customWidth="1"/>
    <col min="12552" max="12552" width="6" style="534" customWidth="1"/>
    <col min="12553" max="12553" width="9.625" style="534"/>
    <col min="12554" max="12554" width="4.125" style="534" customWidth="1"/>
    <col min="12555" max="12555" width="9.625" style="534"/>
    <col min="12556" max="12556" width="10.25" style="534" bestFit="1" customWidth="1"/>
    <col min="12557" max="12561" width="9.625" style="534"/>
    <col min="12562" max="12562" width="9.625" style="534" customWidth="1"/>
    <col min="12563" max="12800" width="9.625" style="534"/>
    <col min="12801" max="12801" width="9.125" style="534" customWidth="1"/>
    <col min="12802" max="12802" width="11.75" style="534" customWidth="1"/>
    <col min="12803" max="12803" width="9.75" style="534" customWidth="1"/>
    <col min="12804" max="12804" width="11.25" style="534" customWidth="1"/>
    <col min="12805" max="12805" width="10.125" style="534" customWidth="1"/>
    <col min="12806" max="12806" width="10.875" style="534" customWidth="1"/>
    <col min="12807" max="12807" width="10.625" style="534" customWidth="1"/>
    <col min="12808" max="12808" width="6" style="534" customWidth="1"/>
    <col min="12809" max="12809" width="9.625" style="534"/>
    <col min="12810" max="12810" width="4.125" style="534" customWidth="1"/>
    <col min="12811" max="12811" width="9.625" style="534"/>
    <col min="12812" max="12812" width="10.25" style="534" bestFit="1" customWidth="1"/>
    <col min="12813" max="12817" width="9.625" style="534"/>
    <col min="12818" max="12818" width="9.625" style="534" customWidth="1"/>
    <col min="12819" max="13056" width="9.625" style="534"/>
    <col min="13057" max="13057" width="9.125" style="534" customWidth="1"/>
    <col min="13058" max="13058" width="11.75" style="534" customWidth="1"/>
    <col min="13059" max="13059" width="9.75" style="534" customWidth="1"/>
    <col min="13060" max="13060" width="11.25" style="534" customWidth="1"/>
    <col min="13061" max="13061" width="10.125" style="534" customWidth="1"/>
    <col min="13062" max="13062" width="10.875" style="534" customWidth="1"/>
    <col min="13063" max="13063" width="10.625" style="534" customWidth="1"/>
    <col min="13064" max="13064" width="6" style="534" customWidth="1"/>
    <col min="13065" max="13065" width="9.625" style="534"/>
    <col min="13066" max="13066" width="4.125" style="534" customWidth="1"/>
    <col min="13067" max="13067" width="9.625" style="534"/>
    <col min="13068" max="13068" width="10.25" style="534" bestFit="1" customWidth="1"/>
    <col min="13069" max="13073" width="9.625" style="534"/>
    <col min="13074" max="13074" width="9.625" style="534" customWidth="1"/>
    <col min="13075" max="13312" width="9.625" style="534"/>
    <col min="13313" max="13313" width="9.125" style="534" customWidth="1"/>
    <col min="13314" max="13314" width="11.75" style="534" customWidth="1"/>
    <col min="13315" max="13315" width="9.75" style="534" customWidth="1"/>
    <col min="13316" max="13316" width="11.25" style="534" customWidth="1"/>
    <col min="13317" max="13317" width="10.125" style="534" customWidth="1"/>
    <col min="13318" max="13318" width="10.875" style="534" customWidth="1"/>
    <col min="13319" max="13319" width="10.625" style="534" customWidth="1"/>
    <col min="13320" max="13320" width="6" style="534" customWidth="1"/>
    <col min="13321" max="13321" width="9.625" style="534"/>
    <col min="13322" max="13322" width="4.125" style="534" customWidth="1"/>
    <col min="13323" max="13323" width="9.625" style="534"/>
    <col min="13324" max="13324" width="10.25" style="534" bestFit="1" customWidth="1"/>
    <col min="13325" max="13329" width="9.625" style="534"/>
    <col min="13330" max="13330" width="9.625" style="534" customWidth="1"/>
    <col min="13331" max="13568" width="9.625" style="534"/>
    <col min="13569" max="13569" width="9.125" style="534" customWidth="1"/>
    <col min="13570" max="13570" width="11.75" style="534" customWidth="1"/>
    <col min="13571" max="13571" width="9.75" style="534" customWidth="1"/>
    <col min="13572" max="13572" width="11.25" style="534" customWidth="1"/>
    <col min="13573" max="13573" width="10.125" style="534" customWidth="1"/>
    <col min="13574" max="13574" width="10.875" style="534" customWidth="1"/>
    <col min="13575" max="13575" width="10.625" style="534" customWidth="1"/>
    <col min="13576" max="13576" width="6" style="534" customWidth="1"/>
    <col min="13577" max="13577" width="9.625" style="534"/>
    <col min="13578" max="13578" width="4.125" style="534" customWidth="1"/>
    <col min="13579" max="13579" width="9.625" style="534"/>
    <col min="13580" max="13580" width="10.25" style="534" bestFit="1" customWidth="1"/>
    <col min="13581" max="13585" width="9.625" style="534"/>
    <col min="13586" max="13586" width="9.625" style="534" customWidth="1"/>
    <col min="13587" max="13824" width="9.625" style="534"/>
    <col min="13825" max="13825" width="9.125" style="534" customWidth="1"/>
    <col min="13826" max="13826" width="11.75" style="534" customWidth="1"/>
    <col min="13827" max="13827" width="9.75" style="534" customWidth="1"/>
    <col min="13828" max="13828" width="11.25" style="534" customWidth="1"/>
    <col min="13829" max="13829" width="10.125" style="534" customWidth="1"/>
    <col min="13830" max="13830" width="10.875" style="534" customWidth="1"/>
    <col min="13831" max="13831" width="10.625" style="534" customWidth="1"/>
    <col min="13832" max="13832" width="6" style="534" customWidth="1"/>
    <col min="13833" max="13833" width="9.625" style="534"/>
    <col min="13834" max="13834" width="4.125" style="534" customWidth="1"/>
    <col min="13835" max="13835" width="9.625" style="534"/>
    <col min="13836" max="13836" width="10.25" style="534" bestFit="1" customWidth="1"/>
    <col min="13837" max="13841" width="9.625" style="534"/>
    <col min="13842" max="13842" width="9.625" style="534" customWidth="1"/>
    <col min="13843" max="14080" width="9.625" style="534"/>
    <col min="14081" max="14081" width="9.125" style="534" customWidth="1"/>
    <col min="14082" max="14082" width="11.75" style="534" customWidth="1"/>
    <col min="14083" max="14083" width="9.75" style="534" customWidth="1"/>
    <col min="14084" max="14084" width="11.25" style="534" customWidth="1"/>
    <col min="14085" max="14085" width="10.125" style="534" customWidth="1"/>
    <col min="14086" max="14086" width="10.875" style="534" customWidth="1"/>
    <col min="14087" max="14087" width="10.625" style="534" customWidth="1"/>
    <col min="14088" max="14088" width="6" style="534" customWidth="1"/>
    <col min="14089" max="14089" width="9.625" style="534"/>
    <col min="14090" max="14090" width="4.125" style="534" customWidth="1"/>
    <col min="14091" max="14091" width="9.625" style="534"/>
    <col min="14092" max="14092" width="10.25" style="534" bestFit="1" customWidth="1"/>
    <col min="14093" max="14097" width="9.625" style="534"/>
    <col min="14098" max="14098" width="9.625" style="534" customWidth="1"/>
    <col min="14099" max="14336" width="9.625" style="534"/>
    <col min="14337" max="14337" width="9.125" style="534" customWidth="1"/>
    <col min="14338" max="14338" width="11.75" style="534" customWidth="1"/>
    <col min="14339" max="14339" width="9.75" style="534" customWidth="1"/>
    <col min="14340" max="14340" width="11.25" style="534" customWidth="1"/>
    <col min="14341" max="14341" width="10.125" style="534" customWidth="1"/>
    <col min="14342" max="14342" width="10.875" style="534" customWidth="1"/>
    <col min="14343" max="14343" width="10.625" style="534" customWidth="1"/>
    <col min="14344" max="14344" width="6" style="534" customWidth="1"/>
    <col min="14345" max="14345" width="9.625" style="534"/>
    <col min="14346" max="14346" width="4.125" style="534" customWidth="1"/>
    <col min="14347" max="14347" width="9.625" style="534"/>
    <col min="14348" max="14348" width="10.25" style="534" bestFit="1" customWidth="1"/>
    <col min="14349" max="14353" width="9.625" style="534"/>
    <col min="14354" max="14354" width="9.625" style="534" customWidth="1"/>
    <col min="14355" max="14592" width="9.625" style="534"/>
    <col min="14593" max="14593" width="9.125" style="534" customWidth="1"/>
    <col min="14594" max="14594" width="11.75" style="534" customWidth="1"/>
    <col min="14595" max="14595" width="9.75" style="534" customWidth="1"/>
    <col min="14596" max="14596" width="11.25" style="534" customWidth="1"/>
    <col min="14597" max="14597" width="10.125" style="534" customWidth="1"/>
    <col min="14598" max="14598" width="10.875" style="534" customWidth="1"/>
    <col min="14599" max="14599" width="10.625" style="534" customWidth="1"/>
    <col min="14600" max="14600" width="6" style="534" customWidth="1"/>
    <col min="14601" max="14601" width="9.625" style="534"/>
    <col min="14602" max="14602" width="4.125" style="534" customWidth="1"/>
    <col min="14603" max="14603" width="9.625" style="534"/>
    <col min="14604" max="14604" width="10.25" style="534" bestFit="1" customWidth="1"/>
    <col min="14605" max="14609" width="9.625" style="534"/>
    <col min="14610" max="14610" width="9.625" style="534" customWidth="1"/>
    <col min="14611" max="14848" width="9.625" style="534"/>
    <col min="14849" max="14849" width="9.125" style="534" customWidth="1"/>
    <col min="14850" max="14850" width="11.75" style="534" customWidth="1"/>
    <col min="14851" max="14851" width="9.75" style="534" customWidth="1"/>
    <col min="14852" max="14852" width="11.25" style="534" customWidth="1"/>
    <col min="14853" max="14853" width="10.125" style="534" customWidth="1"/>
    <col min="14854" max="14854" width="10.875" style="534" customWidth="1"/>
    <col min="14855" max="14855" width="10.625" style="534" customWidth="1"/>
    <col min="14856" max="14856" width="6" style="534" customWidth="1"/>
    <col min="14857" max="14857" width="9.625" style="534"/>
    <col min="14858" max="14858" width="4.125" style="534" customWidth="1"/>
    <col min="14859" max="14859" width="9.625" style="534"/>
    <col min="14860" max="14860" width="10.25" style="534" bestFit="1" customWidth="1"/>
    <col min="14861" max="14865" width="9.625" style="534"/>
    <col min="14866" max="14866" width="9.625" style="534" customWidth="1"/>
    <col min="14867" max="15104" width="9.625" style="534"/>
    <col min="15105" max="15105" width="9.125" style="534" customWidth="1"/>
    <col min="15106" max="15106" width="11.75" style="534" customWidth="1"/>
    <col min="15107" max="15107" width="9.75" style="534" customWidth="1"/>
    <col min="15108" max="15108" width="11.25" style="534" customWidth="1"/>
    <col min="15109" max="15109" width="10.125" style="534" customWidth="1"/>
    <col min="15110" max="15110" width="10.875" style="534" customWidth="1"/>
    <col min="15111" max="15111" width="10.625" style="534" customWidth="1"/>
    <col min="15112" max="15112" width="6" style="534" customWidth="1"/>
    <col min="15113" max="15113" width="9.625" style="534"/>
    <col min="15114" max="15114" width="4.125" style="534" customWidth="1"/>
    <col min="15115" max="15115" width="9.625" style="534"/>
    <col min="15116" max="15116" width="10.25" style="534" bestFit="1" customWidth="1"/>
    <col min="15117" max="15121" width="9.625" style="534"/>
    <col min="15122" max="15122" width="9.625" style="534" customWidth="1"/>
    <col min="15123" max="15360" width="9.625" style="534"/>
    <col min="15361" max="15361" width="9.125" style="534" customWidth="1"/>
    <col min="15362" max="15362" width="11.75" style="534" customWidth="1"/>
    <col min="15363" max="15363" width="9.75" style="534" customWidth="1"/>
    <col min="15364" max="15364" width="11.25" style="534" customWidth="1"/>
    <col min="15365" max="15365" width="10.125" style="534" customWidth="1"/>
    <col min="15366" max="15366" width="10.875" style="534" customWidth="1"/>
    <col min="15367" max="15367" width="10.625" style="534" customWidth="1"/>
    <col min="15368" max="15368" width="6" style="534" customWidth="1"/>
    <col min="15369" max="15369" width="9.625" style="534"/>
    <col min="15370" max="15370" width="4.125" style="534" customWidth="1"/>
    <col min="15371" max="15371" width="9.625" style="534"/>
    <col min="15372" max="15372" width="10.25" style="534" bestFit="1" customWidth="1"/>
    <col min="15373" max="15377" width="9.625" style="534"/>
    <col min="15378" max="15378" width="9.625" style="534" customWidth="1"/>
    <col min="15379" max="15616" width="9.625" style="534"/>
    <col min="15617" max="15617" width="9.125" style="534" customWidth="1"/>
    <col min="15618" max="15618" width="11.75" style="534" customWidth="1"/>
    <col min="15619" max="15619" width="9.75" style="534" customWidth="1"/>
    <col min="15620" max="15620" width="11.25" style="534" customWidth="1"/>
    <col min="15621" max="15621" width="10.125" style="534" customWidth="1"/>
    <col min="15622" max="15622" width="10.875" style="534" customWidth="1"/>
    <col min="15623" max="15623" width="10.625" style="534" customWidth="1"/>
    <col min="15624" max="15624" width="6" style="534" customWidth="1"/>
    <col min="15625" max="15625" width="9.625" style="534"/>
    <col min="15626" max="15626" width="4.125" style="534" customWidth="1"/>
    <col min="15627" max="15627" width="9.625" style="534"/>
    <col min="15628" max="15628" width="10.25" style="534" bestFit="1" customWidth="1"/>
    <col min="15629" max="15633" width="9.625" style="534"/>
    <col min="15634" max="15634" width="9.625" style="534" customWidth="1"/>
    <col min="15635" max="15872" width="9.625" style="534"/>
    <col min="15873" max="15873" width="9.125" style="534" customWidth="1"/>
    <col min="15874" max="15874" width="11.75" style="534" customWidth="1"/>
    <col min="15875" max="15875" width="9.75" style="534" customWidth="1"/>
    <col min="15876" max="15876" width="11.25" style="534" customWidth="1"/>
    <col min="15877" max="15877" width="10.125" style="534" customWidth="1"/>
    <col min="15878" max="15878" width="10.875" style="534" customWidth="1"/>
    <col min="15879" max="15879" width="10.625" style="534" customWidth="1"/>
    <col min="15880" max="15880" width="6" style="534" customWidth="1"/>
    <col min="15881" max="15881" width="9.625" style="534"/>
    <col min="15882" max="15882" width="4.125" style="534" customWidth="1"/>
    <col min="15883" max="15883" width="9.625" style="534"/>
    <col min="15884" max="15884" width="10.25" style="534" bestFit="1" customWidth="1"/>
    <col min="15885" max="15889" width="9.625" style="534"/>
    <col min="15890" max="15890" width="9.625" style="534" customWidth="1"/>
    <col min="15891" max="16128" width="9.625" style="534"/>
    <col min="16129" max="16129" width="9.125" style="534" customWidth="1"/>
    <col min="16130" max="16130" width="11.75" style="534" customWidth="1"/>
    <col min="16131" max="16131" width="9.75" style="534" customWidth="1"/>
    <col min="16132" max="16132" width="11.25" style="534" customWidth="1"/>
    <col min="16133" max="16133" width="10.125" style="534" customWidth="1"/>
    <col min="16134" max="16134" width="10.875" style="534" customWidth="1"/>
    <col min="16135" max="16135" width="10.625" style="534" customWidth="1"/>
    <col min="16136" max="16136" width="6" style="534" customWidth="1"/>
    <col min="16137" max="16137" width="9.625" style="534"/>
    <col min="16138" max="16138" width="4.125" style="534" customWidth="1"/>
    <col min="16139" max="16139" width="9.625" style="534"/>
    <col min="16140" max="16140" width="10.25" style="534" bestFit="1" customWidth="1"/>
    <col min="16141" max="16145" width="9.625" style="534"/>
    <col min="16146" max="16146" width="9.625" style="534" customWidth="1"/>
    <col min="16147" max="16384" width="9.625" style="534"/>
  </cols>
  <sheetData>
    <row r="1" spans="1:13" ht="12.75" x14ac:dyDescent="0.2">
      <c r="A1" s="738" t="s">
        <v>4253</v>
      </c>
      <c r="B1" s="739"/>
      <c r="C1" s="739"/>
      <c r="D1" s="739"/>
      <c r="E1" s="739"/>
      <c r="F1" s="739"/>
      <c r="G1" s="740"/>
      <c r="H1" s="533"/>
      <c r="I1" s="533"/>
      <c r="J1" s="533"/>
      <c r="K1" s="533"/>
      <c r="L1" s="533"/>
      <c r="M1" s="533"/>
    </row>
    <row r="2" spans="1:13" ht="12.75" x14ac:dyDescent="0.2">
      <c r="A2" s="741" t="s">
        <v>4254</v>
      </c>
      <c r="B2" s="742"/>
      <c r="C2" s="742"/>
      <c r="D2" s="742"/>
      <c r="E2" s="742"/>
      <c r="F2" s="742"/>
      <c r="G2" s="743"/>
      <c r="H2" s="533"/>
      <c r="I2" s="533"/>
      <c r="J2" s="533"/>
      <c r="K2" s="533"/>
      <c r="L2" s="533"/>
      <c r="M2" s="533"/>
    </row>
    <row r="3" spans="1:13" ht="13.5" thickBot="1" x14ac:dyDescent="0.25">
      <c r="A3" s="535"/>
      <c r="B3" s="536"/>
      <c r="C3" s="536"/>
      <c r="D3" s="536"/>
      <c r="E3" s="536"/>
      <c r="F3" s="536"/>
      <c r="G3" s="537"/>
      <c r="H3" s="533"/>
      <c r="I3" s="533"/>
      <c r="J3" s="533"/>
      <c r="K3" s="533"/>
      <c r="L3" s="533"/>
      <c r="M3" s="533"/>
    </row>
    <row r="4" spans="1:13" ht="12.75" x14ac:dyDescent="0.2">
      <c r="A4" s="538"/>
      <c r="B4" s="744" t="s">
        <v>1098</v>
      </c>
      <c r="C4" s="745"/>
      <c r="D4" s="746"/>
      <c r="E4" s="747" t="s">
        <v>4255</v>
      </c>
      <c r="F4" s="748"/>
      <c r="G4" s="749"/>
      <c r="H4" s="533"/>
      <c r="I4" s="533"/>
      <c r="J4" s="533"/>
      <c r="K4" s="533"/>
      <c r="L4" s="533"/>
      <c r="M4" s="533"/>
    </row>
    <row r="5" spans="1:13" ht="12.75" customHeight="1" x14ac:dyDescent="0.25">
      <c r="A5" s="539"/>
      <c r="B5" s="540" t="s">
        <v>4256</v>
      </c>
      <c r="C5" s="541" t="s">
        <v>4257</v>
      </c>
      <c r="D5" s="542" t="s">
        <v>4258</v>
      </c>
      <c r="E5" s="750" t="s">
        <v>4259</v>
      </c>
      <c r="F5" s="541" t="s">
        <v>4257</v>
      </c>
      <c r="G5" s="543" t="s">
        <v>4260</v>
      </c>
      <c r="H5" s="533"/>
      <c r="I5" s="571" t="s">
        <v>4278</v>
      </c>
      <c r="J5" s="533"/>
      <c r="K5" s="533"/>
      <c r="L5" s="533"/>
      <c r="M5" s="533"/>
    </row>
    <row r="6" spans="1:13" ht="12.75" x14ac:dyDescent="0.2">
      <c r="A6" s="544" t="s">
        <v>4261</v>
      </c>
      <c r="B6" s="540" t="s">
        <v>4258</v>
      </c>
      <c r="C6" s="540" t="s">
        <v>4262</v>
      </c>
      <c r="D6" s="542" t="s">
        <v>4263</v>
      </c>
      <c r="E6" s="751"/>
      <c r="F6" s="540" t="s">
        <v>4262</v>
      </c>
      <c r="G6" s="543" t="s">
        <v>4264</v>
      </c>
      <c r="H6" s="533"/>
      <c r="I6" s="533"/>
      <c r="J6" s="533"/>
      <c r="K6" s="533"/>
      <c r="L6" s="533"/>
      <c r="M6" s="533"/>
    </row>
    <row r="7" spans="1:13" ht="12.75" x14ac:dyDescent="0.2">
      <c r="A7" s="545"/>
      <c r="B7" s="546" t="s">
        <v>4265</v>
      </c>
      <c r="C7" s="547"/>
      <c r="D7" s="548" t="s">
        <v>4264</v>
      </c>
      <c r="E7" s="752"/>
      <c r="F7" s="547"/>
      <c r="G7" s="549"/>
      <c r="H7" s="533"/>
      <c r="I7" s="533"/>
      <c r="J7" s="533"/>
      <c r="K7" s="533"/>
      <c r="L7" s="533"/>
      <c r="M7" s="533"/>
    </row>
    <row r="8" spans="1:13" ht="12.75" x14ac:dyDescent="0.2">
      <c r="A8" s="550"/>
      <c r="B8" s="551"/>
      <c r="C8" s="551"/>
      <c r="D8" s="552"/>
      <c r="E8" s="551"/>
      <c r="F8" s="551"/>
      <c r="G8" s="553"/>
      <c r="H8" s="533"/>
      <c r="I8" s="533"/>
      <c r="J8" s="533"/>
      <c r="K8" s="533"/>
      <c r="L8" s="533"/>
      <c r="M8" s="533"/>
    </row>
    <row r="9" spans="1:13" ht="12.75" x14ac:dyDescent="0.2">
      <c r="A9" s="554">
        <v>2000</v>
      </c>
      <c r="B9" s="555">
        <v>284761</v>
      </c>
      <c r="C9" s="556" t="s">
        <v>4266</v>
      </c>
      <c r="D9" s="555">
        <v>122701.08627739931</v>
      </c>
      <c r="E9" s="555">
        <v>7066807.8269560346</v>
      </c>
      <c r="F9" s="556" t="s">
        <v>4266</v>
      </c>
      <c r="G9" s="557">
        <v>3045.027222411542</v>
      </c>
      <c r="H9" s="533"/>
      <c r="I9" s="533"/>
      <c r="J9" s="558"/>
      <c r="K9" s="558"/>
      <c r="L9" s="558"/>
      <c r="M9" s="533"/>
    </row>
    <row r="10" spans="1:13" ht="12.75" x14ac:dyDescent="0.2">
      <c r="A10" s="554">
        <v>2001</v>
      </c>
      <c r="B10" s="555">
        <v>289539</v>
      </c>
      <c r="C10" s="556">
        <v>1.6778983077036624</v>
      </c>
      <c r="D10" s="555">
        <v>124759.8857275818</v>
      </c>
      <c r="E10" s="555">
        <v>7094189.6465195213</v>
      </c>
      <c r="F10" s="556">
        <v>0.38747083879995259</v>
      </c>
      <c r="G10" s="557">
        <v>3056.8258149319067</v>
      </c>
      <c r="H10" s="533"/>
      <c r="I10" s="533"/>
      <c r="J10" s="558"/>
      <c r="K10" s="558"/>
      <c r="L10" s="558"/>
      <c r="M10" s="533"/>
    </row>
    <row r="11" spans="1:13" ht="12.75" x14ac:dyDescent="0.2">
      <c r="A11" s="554">
        <v>2002</v>
      </c>
      <c r="B11" s="555">
        <v>296789</v>
      </c>
      <c r="C11" s="556">
        <v>2.5039804654986009</v>
      </c>
      <c r="D11" s="555">
        <v>127883.84889497883</v>
      </c>
      <c r="E11" s="555">
        <v>7181162.4739189288</v>
      </c>
      <c r="F11" s="556">
        <v>1.2259726865643916</v>
      </c>
      <c r="G11" s="557">
        <v>3094.3016644988211</v>
      </c>
      <c r="H11" s="533"/>
      <c r="I11" s="533"/>
      <c r="J11" s="558"/>
      <c r="K11" s="558"/>
      <c r="L11" s="558"/>
      <c r="M11" s="533"/>
    </row>
    <row r="12" spans="1:13" ht="12.75" x14ac:dyDescent="0.2">
      <c r="A12" s="554">
        <v>2003</v>
      </c>
      <c r="B12" s="555">
        <v>308418</v>
      </c>
      <c r="C12" s="556">
        <v>3.9182719036082947</v>
      </c>
      <c r="D12" s="555">
        <v>132894.68581548365</v>
      </c>
      <c r="E12" s="555">
        <v>7369789.0549678905</v>
      </c>
      <c r="F12" s="556">
        <v>2.6266858845490404</v>
      </c>
      <c r="G12" s="557">
        <v>3175.5792495455776</v>
      </c>
      <c r="H12" s="533"/>
      <c r="I12" s="533"/>
      <c r="J12" s="558"/>
      <c r="K12" s="558"/>
      <c r="L12" s="558"/>
      <c r="M12" s="533"/>
    </row>
    <row r="13" spans="1:13" ht="12.75" x14ac:dyDescent="0.2">
      <c r="A13" s="554">
        <v>2004</v>
      </c>
      <c r="B13" s="555">
        <v>324866</v>
      </c>
      <c r="C13" s="556">
        <v>5.3330220674539186</v>
      </c>
      <c r="D13" s="555">
        <v>139981.98873649695</v>
      </c>
      <c r="E13" s="555">
        <v>7667632.4237099886</v>
      </c>
      <c r="F13" s="556">
        <v>4.0414096865001303</v>
      </c>
      <c r="G13" s="557">
        <v>3303.9174169392008</v>
      </c>
      <c r="H13" s="533"/>
      <c r="I13" s="533"/>
      <c r="J13" s="558"/>
      <c r="K13" s="558"/>
      <c r="L13" s="558"/>
      <c r="M13" s="533"/>
    </row>
    <row r="14" spans="1:13" ht="12.75" x14ac:dyDescent="0.2">
      <c r="A14" s="554">
        <v>2005</v>
      </c>
      <c r="B14" s="555">
        <v>340156</v>
      </c>
      <c r="C14" s="556">
        <v>4.7065559338311802</v>
      </c>
      <c r="D14" s="555">
        <v>146570.31933366944</v>
      </c>
      <c r="E14" s="555">
        <v>7931153.3472584039</v>
      </c>
      <c r="F14" s="556">
        <v>3.436796510139839</v>
      </c>
      <c r="G14" s="557">
        <v>3417.4663354224695</v>
      </c>
      <c r="H14" s="533"/>
      <c r="I14" s="533"/>
      <c r="J14" s="558"/>
      <c r="K14" s="558"/>
      <c r="L14" s="558"/>
      <c r="M14" s="533"/>
    </row>
    <row r="15" spans="1:13" ht="12.75" x14ac:dyDescent="0.2">
      <c r="A15" s="554">
        <v>2006</v>
      </c>
      <c r="B15" s="555">
        <v>362938</v>
      </c>
      <c r="C15" s="556">
        <v>6.6975152577052777</v>
      </c>
      <c r="D15" s="555">
        <v>156386.8888343093</v>
      </c>
      <c r="E15" s="555">
        <v>8361479.2403143933</v>
      </c>
      <c r="F15" s="556">
        <v>5.4257668993973329</v>
      </c>
      <c r="G15" s="557">
        <v>3602.8900926478682</v>
      </c>
      <c r="H15" s="533"/>
      <c r="I15" s="533"/>
      <c r="J15" s="558"/>
      <c r="K15" s="558"/>
      <c r="L15" s="558"/>
      <c r="M15" s="533"/>
    </row>
    <row r="16" spans="1:13" ht="12.75" x14ac:dyDescent="0.2">
      <c r="A16" s="554">
        <v>2007</v>
      </c>
      <c r="B16" s="555">
        <v>387983</v>
      </c>
      <c r="C16" s="556">
        <v>6.900627655412217</v>
      </c>
      <c r="D16" s="555">
        <v>167178.56573464841</v>
      </c>
      <c r="E16" s="555">
        <v>8832463.5669386312</v>
      </c>
      <c r="F16" s="556">
        <v>5.6327871311742772</v>
      </c>
      <c r="G16" s="557">
        <v>3805.8332221368905</v>
      </c>
      <c r="H16" s="533"/>
      <c r="I16" s="533"/>
      <c r="J16" s="559"/>
      <c r="K16" s="558"/>
      <c r="L16" s="558"/>
      <c r="M16" s="533"/>
    </row>
    <row r="17" spans="1:13" ht="12.75" x14ac:dyDescent="0.2">
      <c r="A17" s="554">
        <v>2008</v>
      </c>
      <c r="B17" s="555">
        <v>401744</v>
      </c>
      <c r="C17" s="556">
        <v>3.5468048857810741</v>
      </c>
      <c r="D17" s="555">
        <v>173108.06327210367</v>
      </c>
      <c r="E17" s="555">
        <v>9037877.0203612521</v>
      </c>
      <c r="F17" s="556">
        <v>2.3256643162562041</v>
      </c>
      <c r="G17" s="557">
        <v>3894.3441273203516</v>
      </c>
      <c r="H17" s="533"/>
      <c r="I17" s="533"/>
      <c r="J17" s="559"/>
      <c r="K17" s="558"/>
      <c r="L17" s="558"/>
      <c r="M17" s="533"/>
    </row>
    <row r="18" spans="1:13" ht="12.75" x14ac:dyDescent="0.2">
      <c r="A18" s="554">
        <v>2009</v>
      </c>
      <c r="B18" s="555">
        <v>408379</v>
      </c>
      <c r="C18" s="556">
        <v>1.65154924529054</v>
      </c>
      <c r="D18" s="555">
        <v>175967.02818461115</v>
      </c>
      <c r="E18" s="555">
        <v>9079359.819748098</v>
      </c>
      <c r="F18" s="556">
        <v>0.45898831432857889</v>
      </c>
      <c r="G18" s="557">
        <v>3912.2187117844933</v>
      </c>
      <c r="H18" s="533"/>
      <c r="I18" s="533"/>
      <c r="J18" s="559"/>
      <c r="K18" s="558"/>
      <c r="L18" s="558"/>
      <c r="M18" s="533"/>
    </row>
    <row r="19" spans="1:13" ht="12.75" x14ac:dyDescent="0.2">
      <c r="A19" s="554">
        <v>2010</v>
      </c>
      <c r="B19" s="555">
        <v>424599</v>
      </c>
      <c r="C19" s="556">
        <v>3.9718007047375048</v>
      </c>
      <c r="D19" s="560">
        <v>182956.08785015318</v>
      </c>
      <c r="E19" s="555">
        <v>9329880.9323328473</v>
      </c>
      <c r="F19" s="556">
        <v>2.7592376286249998</v>
      </c>
      <c r="G19" s="557">
        <v>4020.1661225941593</v>
      </c>
      <c r="H19" s="533"/>
      <c r="I19" s="533"/>
      <c r="J19" s="559"/>
      <c r="K19" s="558"/>
      <c r="L19" s="558"/>
      <c r="M19" s="533"/>
    </row>
    <row r="20" spans="1:13" ht="12.75" x14ac:dyDescent="0.2">
      <c r="A20" s="561" t="s">
        <v>4267</v>
      </c>
      <c r="B20" s="555">
        <v>452578</v>
      </c>
      <c r="C20" s="556">
        <v>6.589511515571167</v>
      </c>
      <c r="D20" s="560">
        <v>195012.00032747752</v>
      </c>
      <c r="E20" s="555">
        <v>9829121.9854418971</v>
      </c>
      <c r="F20" s="556">
        <v>5.3509906153134557</v>
      </c>
      <c r="G20" s="557">
        <v>4235.2848345341836</v>
      </c>
      <c r="H20" s="533"/>
      <c r="I20" s="533"/>
      <c r="J20" s="559"/>
      <c r="K20" s="558"/>
      <c r="L20" s="558"/>
      <c r="M20" s="533"/>
    </row>
    <row r="21" spans="1:13" ht="12.75" x14ac:dyDescent="0.2">
      <c r="A21" s="561" t="s">
        <v>4268</v>
      </c>
      <c r="B21" s="555">
        <v>470880</v>
      </c>
      <c r="C21" s="556">
        <v>4.0439438063714972</v>
      </c>
      <c r="D21" s="560">
        <v>202898.17603640171</v>
      </c>
      <c r="E21" s="555">
        <v>10108664.059798604</v>
      </c>
      <c r="F21" s="556">
        <v>2.8440187716740395</v>
      </c>
      <c r="G21" s="557">
        <v>4355.7371302621996</v>
      </c>
      <c r="H21" s="533"/>
      <c r="I21" s="533"/>
      <c r="J21" s="559"/>
      <c r="K21" s="558"/>
      <c r="L21" s="558"/>
      <c r="M21" s="533"/>
    </row>
    <row r="22" spans="1:13" ht="12.75" x14ac:dyDescent="0.2">
      <c r="A22" s="561" t="s">
        <v>4269</v>
      </c>
      <c r="B22" s="555">
        <v>493831</v>
      </c>
      <c r="C22" s="556">
        <v>4.8740655793408028</v>
      </c>
      <c r="D22" s="560">
        <v>212787.5661957023</v>
      </c>
      <c r="E22" s="555">
        <v>10480837.345791837</v>
      </c>
      <c r="F22" s="556">
        <v>3.6817257334066378</v>
      </c>
      <c r="G22" s="557">
        <v>4516.1034250666107</v>
      </c>
      <c r="H22" s="533"/>
      <c r="I22" s="533"/>
      <c r="J22" s="559"/>
      <c r="K22" s="558"/>
      <c r="L22" s="558"/>
      <c r="M22" s="533"/>
    </row>
    <row r="23" spans="1:13" ht="12.75" x14ac:dyDescent="0.2">
      <c r="A23" s="561" t="s">
        <v>4270</v>
      </c>
      <c r="B23" s="555">
        <v>515489</v>
      </c>
      <c r="C23" s="556">
        <v>4.3857109010977391</v>
      </c>
      <c r="D23" s="560">
        <v>222119.81368252778</v>
      </c>
      <c r="E23" s="555">
        <v>10815561.741317</v>
      </c>
      <c r="F23" s="556">
        <v>3.1936798986729631</v>
      </c>
      <c r="G23" s="557">
        <v>4660.3333123562443</v>
      </c>
      <c r="H23" s="533"/>
      <c r="I23" s="533"/>
      <c r="J23" s="559"/>
      <c r="K23" s="558"/>
      <c r="L23" s="558"/>
      <c r="M23" s="533"/>
    </row>
    <row r="24" spans="1:13" ht="12.75" x14ac:dyDescent="0.2">
      <c r="A24" s="561" t="s">
        <v>4271</v>
      </c>
      <c r="B24" s="555">
        <v>531383</v>
      </c>
      <c r="C24" s="556">
        <v>3.0832859673048274</v>
      </c>
      <c r="D24" s="560">
        <v>228968.40272840479</v>
      </c>
      <c r="E24" s="555">
        <v>11023764.814954462</v>
      </c>
      <c r="F24" s="556">
        <v>1.9250324543208519</v>
      </c>
      <c r="G24" s="557">
        <v>4750.0462410986274</v>
      </c>
      <c r="H24" s="533"/>
      <c r="I24" s="533"/>
      <c r="J24" s="559"/>
      <c r="K24" s="558"/>
      <c r="L24" s="558"/>
      <c r="M24" s="533"/>
    </row>
    <row r="25" spans="1:13" ht="13.5" thickBot="1" x14ac:dyDescent="0.25">
      <c r="A25" s="562"/>
      <c r="B25" s="563"/>
      <c r="C25" s="563"/>
      <c r="D25" s="564"/>
      <c r="E25" s="563"/>
      <c r="F25" s="565"/>
      <c r="G25" s="566"/>
      <c r="H25" s="533"/>
      <c r="I25" s="533"/>
      <c r="J25" s="533"/>
      <c r="K25" s="533"/>
      <c r="L25" s="533"/>
      <c r="M25" s="533"/>
    </row>
    <row r="26" spans="1:13" ht="12.75" x14ac:dyDescent="0.2">
      <c r="A26" s="567" t="s">
        <v>4272</v>
      </c>
      <c r="B26" s="533"/>
      <c r="C26" s="568"/>
      <c r="D26" s="568"/>
      <c r="E26" s="568"/>
      <c r="F26" s="568"/>
      <c r="G26" s="568"/>
      <c r="H26" s="533"/>
      <c r="I26" s="533"/>
      <c r="J26" s="533"/>
      <c r="K26" s="533"/>
      <c r="L26" s="533"/>
      <c r="M26" s="533"/>
    </row>
    <row r="27" spans="1:13" ht="12.75" x14ac:dyDescent="0.2">
      <c r="A27" s="533" t="s">
        <v>4273</v>
      </c>
      <c r="B27" s="533"/>
      <c r="C27" s="568"/>
      <c r="D27" s="568"/>
      <c r="E27" s="568"/>
      <c r="F27" s="568"/>
      <c r="G27" s="568"/>
      <c r="H27" s="533"/>
      <c r="I27" s="533"/>
      <c r="J27" s="533"/>
      <c r="K27" s="533"/>
      <c r="L27" s="533"/>
      <c r="M27" s="533"/>
    </row>
    <row r="28" spans="1:13" ht="12.75" x14ac:dyDescent="0.2">
      <c r="A28" s="533" t="s">
        <v>4274</v>
      </c>
      <c r="B28" s="533"/>
      <c r="C28" s="568"/>
      <c r="D28" s="568"/>
      <c r="E28" s="568"/>
      <c r="F28" s="568"/>
      <c r="G28" s="568"/>
      <c r="H28" s="533"/>
      <c r="I28" s="533"/>
      <c r="J28" s="533"/>
      <c r="K28" s="533"/>
      <c r="L28" s="533"/>
      <c r="M28" s="533"/>
    </row>
    <row r="29" spans="1:13" ht="12.75" x14ac:dyDescent="0.2">
      <c r="A29" s="569" t="s">
        <v>4275</v>
      </c>
      <c r="B29" s="533"/>
      <c r="C29" s="533"/>
      <c r="D29" s="533"/>
      <c r="E29" s="533"/>
      <c r="F29" s="533"/>
      <c r="G29" s="533"/>
      <c r="H29" s="533"/>
      <c r="I29" s="533"/>
      <c r="J29" s="533"/>
      <c r="K29" s="533"/>
      <c r="L29" s="533"/>
      <c r="M29" s="533"/>
    </row>
    <row r="30" spans="1:13" ht="12.75" x14ac:dyDescent="0.2">
      <c r="A30" s="569" t="s">
        <v>4276</v>
      </c>
      <c r="B30" s="533"/>
      <c r="C30" s="533"/>
      <c r="D30" s="533"/>
      <c r="E30" s="533"/>
      <c r="F30" s="533"/>
      <c r="G30" s="533"/>
      <c r="H30" s="533"/>
      <c r="I30" s="533"/>
      <c r="J30" s="533"/>
      <c r="K30" s="533"/>
      <c r="L30" s="533"/>
      <c r="M30" s="533"/>
    </row>
    <row r="31" spans="1:13" ht="12.75" x14ac:dyDescent="0.2">
      <c r="A31" s="737"/>
      <c r="B31" s="737"/>
      <c r="C31" s="737"/>
      <c r="D31" s="737"/>
      <c r="E31" s="737"/>
      <c r="F31" s="570"/>
      <c r="G31" s="570"/>
    </row>
    <row r="33" spans="1:13" ht="12.75" x14ac:dyDescent="0.2">
      <c r="A33" s="533"/>
      <c r="B33" s="533"/>
      <c r="C33" s="533"/>
      <c r="D33" s="533"/>
      <c r="E33" s="533"/>
      <c r="F33" s="533"/>
      <c r="G33" s="533"/>
      <c r="H33" s="533"/>
      <c r="I33" s="533"/>
      <c r="J33" s="533"/>
      <c r="K33" s="533"/>
      <c r="L33" s="533"/>
      <c r="M33" s="533"/>
    </row>
    <row r="35" spans="1:13" x14ac:dyDescent="0.15">
      <c r="F35" s="534" t="s">
        <v>4277</v>
      </c>
    </row>
    <row r="36" spans="1:13" ht="12.75" x14ac:dyDescent="0.2">
      <c r="A36" s="533"/>
      <c r="B36" s="533"/>
      <c r="C36" s="533"/>
      <c r="D36" s="533"/>
      <c r="E36" s="533"/>
      <c r="F36" s="533"/>
      <c r="G36" s="533"/>
      <c r="H36" s="533"/>
      <c r="I36" s="533"/>
      <c r="J36" s="533"/>
      <c r="K36" s="533"/>
      <c r="L36" s="533"/>
      <c r="M36" s="533"/>
    </row>
    <row r="37" spans="1:13" ht="12.75" x14ac:dyDescent="0.2">
      <c r="A37" s="533"/>
      <c r="B37" s="533"/>
      <c r="C37" s="533"/>
      <c r="D37" s="533"/>
      <c r="E37" s="533"/>
      <c r="F37" s="533"/>
      <c r="G37" s="533"/>
      <c r="H37" s="533"/>
      <c r="I37" s="533"/>
      <c r="J37" s="533"/>
      <c r="K37" s="533"/>
      <c r="L37" s="533"/>
      <c r="M37" s="533"/>
    </row>
    <row r="38" spans="1:13" ht="12.75" x14ac:dyDescent="0.2">
      <c r="A38" s="533"/>
      <c r="B38" s="533"/>
      <c r="C38" s="533"/>
      <c r="D38" s="533"/>
      <c r="E38" s="533"/>
      <c r="F38" s="533"/>
      <c r="G38" s="533"/>
      <c r="H38" s="533"/>
      <c r="I38" s="533"/>
      <c r="J38" s="533"/>
      <c r="K38" s="533"/>
      <c r="L38" s="533"/>
      <c r="M38" s="533"/>
    </row>
    <row r="39" spans="1:13" ht="12.75" x14ac:dyDescent="0.2">
      <c r="A39" s="533"/>
      <c r="B39" s="533"/>
      <c r="C39" s="533"/>
      <c r="D39" s="533"/>
      <c r="E39" s="533"/>
      <c r="F39" s="533"/>
      <c r="G39" s="533"/>
      <c r="H39" s="533"/>
      <c r="I39" s="533"/>
      <c r="J39" s="533"/>
      <c r="K39" s="533"/>
      <c r="L39" s="533"/>
      <c r="M39" s="533"/>
    </row>
    <row r="40" spans="1:13" ht="12.75" x14ac:dyDescent="0.2">
      <c r="A40" s="533"/>
      <c r="B40" s="533"/>
      <c r="C40" s="533"/>
      <c r="D40" s="533"/>
      <c r="E40" s="533"/>
      <c r="F40" s="533"/>
      <c r="G40" s="533"/>
      <c r="H40" s="533"/>
      <c r="I40" s="533"/>
      <c r="J40" s="533"/>
      <c r="K40" s="533"/>
      <c r="L40" s="533"/>
      <c r="M40" s="533"/>
    </row>
    <row r="41" spans="1:13" ht="12.75" x14ac:dyDescent="0.2">
      <c r="A41" s="533"/>
      <c r="B41" s="533"/>
      <c r="C41" s="533"/>
      <c r="D41" s="533"/>
      <c r="E41" s="533"/>
      <c r="F41" s="533"/>
      <c r="G41" s="533"/>
      <c r="H41" s="533"/>
      <c r="I41" s="533"/>
      <c r="J41" s="533"/>
      <c r="K41" s="533"/>
      <c r="L41" s="533"/>
      <c r="M41" s="533"/>
    </row>
    <row r="42" spans="1:13" ht="12.75" x14ac:dyDescent="0.2">
      <c r="A42" s="533"/>
      <c r="B42" s="533"/>
      <c r="C42" s="533"/>
      <c r="D42" s="533"/>
      <c r="E42" s="533"/>
      <c r="F42" s="533"/>
      <c r="G42" s="533"/>
      <c r="H42" s="533"/>
      <c r="I42" s="533"/>
      <c r="J42" s="533"/>
      <c r="K42" s="533"/>
      <c r="L42" s="533"/>
      <c r="M42" s="533"/>
    </row>
    <row r="43" spans="1:13" ht="12.75" x14ac:dyDescent="0.2">
      <c r="A43" s="533"/>
      <c r="B43" s="533"/>
      <c r="C43" s="533"/>
      <c r="D43" s="533"/>
      <c r="E43" s="533"/>
      <c r="F43" s="533"/>
      <c r="G43" s="533"/>
      <c r="H43" s="533"/>
      <c r="I43" s="533"/>
      <c r="J43" s="533"/>
      <c r="K43" s="533"/>
      <c r="L43" s="533"/>
      <c r="M43" s="533"/>
    </row>
    <row r="44" spans="1:13" ht="12.75" x14ac:dyDescent="0.2">
      <c r="A44" s="533"/>
      <c r="B44" s="533"/>
      <c r="C44" s="533"/>
      <c r="D44" s="533"/>
      <c r="E44" s="533"/>
      <c r="F44" s="533"/>
      <c r="G44" s="533"/>
      <c r="H44" s="533"/>
      <c r="I44" s="533"/>
      <c r="J44" s="533"/>
      <c r="K44" s="533"/>
      <c r="L44" s="533"/>
      <c r="M44" s="533"/>
    </row>
    <row r="45" spans="1:13" ht="12.75" x14ac:dyDescent="0.2">
      <c r="A45" s="533"/>
      <c r="B45" s="533"/>
      <c r="C45" s="533"/>
      <c r="D45" s="533"/>
      <c r="E45" s="533"/>
      <c r="F45" s="533"/>
      <c r="G45" s="533"/>
      <c r="H45" s="533"/>
      <c r="I45" s="533"/>
      <c r="J45" s="533"/>
      <c r="K45" s="533"/>
      <c r="L45" s="533"/>
      <c r="M45" s="533"/>
    </row>
    <row r="46" spans="1:13" ht="12.75" x14ac:dyDescent="0.2">
      <c r="A46" s="533"/>
      <c r="B46" s="533"/>
      <c r="C46" s="533"/>
      <c r="D46" s="533"/>
      <c r="E46" s="533"/>
      <c r="F46" s="533"/>
      <c r="G46" s="533"/>
      <c r="H46" s="533"/>
      <c r="I46" s="533"/>
      <c r="J46" s="533"/>
      <c r="K46" s="533"/>
      <c r="L46" s="533"/>
      <c r="M46" s="533"/>
    </row>
    <row r="47" spans="1:13" ht="12.75" x14ac:dyDescent="0.2">
      <c r="A47" s="533"/>
      <c r="B47" s="533"/>
      <c r="C47" s="533"/>
      <c r="D47" s="533"/>
      <c r="E47" s="533"/>
      <c r="F47" s="533"/>
      <c r="G47" s="533"/>
      <c r="H47" s="533"/>
      <c r="I47" s="533"/>
      <c r="J47" s="533"/>
      <c r="K47" s="533"/>
      <c r="L47" s="533"/>
      <c r="M47" s="533"/>
    </row>
    <row r="48" spans="1:13" ht="12.75" x14ac:dyDescent="0.2">
      <c r="A48" s="533"/>
      <c r="B48" s="533"/>
      <c r="C48" s="533"/>
      <c r="D48" s="533"/>
      <c r="E48" s="533"/>
      <c r="F48" s="533"/>
      <c r="G48" s="533"/>
      <c r="H48" s="533"/>
      <c r="I48" s="533"/>
      <c r="J48" s="533"/>
      <c r="K48" s="533"/>
      <c r="L48" s="533"/>
      <c r="M48" s="533"/>
    </row>
    <row r="49" spans="1:13" ht="12.75" x14ac:dyDescent="0.2">
      <c r="A49" s="533"/>
      <c r="B49" s="533"/>
      <c r="C49" s="533"/>
      <c r="D49" s="533"/>
      <c r="E49" s="533"/>
      <c r="F49" s="533"/>
      <c r="G49" s="533"/>
      <c r="H49" s="533"/>
      <c r="I49" s="533"/>
      <c r="J49" s="533"/>
      <c r="K49" s="533"/>
      <c r="L49" s="533"/>
      <c r="M49" s="533"/>
    </row>
    <row r="50" spans="1:13" ht="12.75" x14ac:dyDescent="0.2">
      <c r="A50" s="533"/>
      <c r="B50" s="533"/>
      <c r="C50" s="533"/>
      <c r="D50" s="533"/>
      <c r="E50" s="533"/>
      <c r="F50" s="533"/>
      <c r="G50" s="533"/>
      <c r="H50" s="533"/>
      <c r="I50" s="533"/>
      <c r="J50" s="533"/>
      <c r="K50" s="533"/>
      <c r="L50" s="533"/>
      <c r="M50" s="533"/>
    </row>
    <row r="51" spans="1:13" ht="12.75" x14ac:dyDescent="0.2">
      <c r="A51" s="533"/>
      <c r="B51" s="533"/>
      <c r="C51" s="533"/>
      <c r="D51" s="533"/>
      <c r="E51" s="533"/>
      <c r="F51" s="533"/>
      <c r="G51" s="533"/>
      <c r="H51" s="533"/>
      <c r="I51" s="533"/>
      <c r="J51" s="533"/>
      <c r="K51" s="533"/>
      <c r="L51" s="533"/>
      <c r="M51" s="533"/>
    </row>
    <row r="52" spans="1:13" ht="12.75" x14ac:dyDescent="0.2">
      <c r="A52" s="533"/>
      <c r="B52" s="533"/>
      <c r="C52" s="533"/>
      <c r="D52" s="533"/>
      <c r="E52" s="533"/>
      <c r="F52" s="533"/>
      <c r="G52" s="533"/>
      <c r="H52" s="533"/>
      <c r="I52" s="533"/>
      <c r="J52" s="533"/>
      <c r="K52" s="533"/>
      <c r="L52" s="533"/>
      <c r="M52" s="533"/>
    </row>
    <row r="53" spans="1:13" ht="12.75" x14ac:dyDescent="0.2">
      <c r="A53" s="533"/>
      <c r="B53" s="533"/>
      <c r="C53" s="533"/>
      <c r="D53" s="533"/>
      <c r="E53" s="533"/>
      <c r="F53" s="533"/>
      <c r="G53" s="533"/>
      <c r="H53" s="533"/>
      <c r="I53" s="533"/>
      <c r="J53" s="533"/>
      <c r="K53" s="533"/>
      <c r="L53" s="533"/>
      <c r="M53" s="533"/>
    </row>
  </sheetData>
  <mergeCells count="6">
    <mergeCell ref="A31:E31"/>
    <mergeCell ref="A1:G1"/>
    <mergeCell ref="A2:G2"/>
    <mergeCell ref="B4:D4"/>
    <mergeCell ref="E4:G4"/>
    <mergeCell ref="E5:E7"/>
  </mergeCells>
  <hyperlinks>
    <hyperlink ref="I5" r:id="rId1"/>
  </hyperlinks>
  <printOptions horizontalCentered="1" verticalCentered="1" gridLines="1" gridLinesSet="0"/>
  <pageMargins left="0.78740157480314965" right="0.78740157480314965" top="0.98425196850393704" bottom="0.98425196850393704" header="0" footer="0"/>
  <pageSetup paperSize="140" orientation="landscape" horizontalDpi="300" verticalDpi="144"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9"/>
  <sheetViews>
    <sheetView showGridLines="0" topLeftCell="A697" workbookViewId="0">
      <selection activeCell="E697" sqref="E1:E1048576"/>
    </sheetView>
  </sheetViews>
  <sheetFormatPr baseColWidth="10" defaultRowHeight="11.25" x14ac:dyDescent="0.2"/>
  <cols>
    <col min="1" max="1" width="11.375" style="572" customWidth="1"/>
    <col min="2" max="2" width="22.375" style="572" customWidth="1"/>
    <col min="3" max="3" width="22.375" style="572" hidden="1" customWidth="1"/>
    <col min="4" max="4" width="44" style="572" hidden="1" customWidth="1"/>
    <col min="5" max="5" width="44" style="572" customWidth="1"/>
    <col min="6" max="6" width="40.25" style="572" customWidth="1"/>
    <col min="7" max="7" width="32.25" style="572" customWidth="1"/>
    <col min="8" max="16384" width="11" style="572"/>
  </cols>
  <sheetData>
    <row r="1" spans="1:7" ht="12.75" customHeight="1" x14ac:dyDescent="0.2">
      <c r="A1" s="760" t="s">
        <v>4279</v>
      </c>
      <c r="B1" s="760"/>
      <c r="C1" s="760"/>
      <c r="D1" s="760"/>
      <c r="E1" s="760"/>
      <c r="F1" s="760"/>
      <c r="G1" s="761"/>
    </row>
    <row r="2" spans="1:7" ht="12.75" x14ac:dyDescent="0.2">
      <c r="A2" s="760"/>
      <c r="B2" s="760"/>
      <c r="C2" s="760"/>
      <c r="D2" s="760"/>
      <c r="E2" s="760"/>
      <c r="F2" s="760"/>
      <c r="G2" s="761"/>
    </row>
    <row r="3" spans="1:7" ht="12" thickBot="1" x14ac:dyDescent="0.25">
      <c r="A3" s="762" t="s">
        <v>4280</v>
      </c>
      <c r="B3" s="762"/>
      <c r="C3" s="762"/>
      <c r="D3" s="762"/>
      <c r="E3" s="762"/>
      <c r="F3" s="762"/>
      <c r="G3" s="761"/>
    </row>
    <row r="4" spans="1:7" ht="12" thickTop="1" x14ac:dyDescent="0.2">
      <c r="G4" s="761"/>
    </row>
    <row r="5" spans="1:7" ht="11.25" customHeight="1" x14ac:dyDescent="0.2">
      <c r="A5" s="753" t="s">
        <v>4281</v>
      </c>
      <c r="B5" s="753"/>
      <c r="C5" s="753"/>
      <c r="D5" s="753"/>
      <c r="E5" s="753"/>
      <c r="F5" s="753"/>
      <c r="G5" s="753"/>
    </row>
    <row r="6" spans="1:7" ht="11.25" customHeight="1" x14ac:dyDescent="0.2">
      <c r="A6" s="753" t="s">
        <v>4282</v>
      </c>
      <c r="B6" s="753"/>
      <c r="C6" s="753"/>
      <c r="D6" s="753"/>
      <c r="E6" s="753"/>
      <c r="F6" s="753"/>
      <c r="G6" s="753"/>
    </row>
    <row r="7" spans="1:7" ht="11.25" customHeight="1" x14ac:dyDescent="0.2">
      <c r="A7" s="753" t="s">
        <v>4283</v>
      </c>
      <c r="B7" s="753"/>
      <c r="C7" s="753"/>
      <c r="D7" s="753"/>
      <c r="E7" s="753"/>
      <c r="F7" s="753"/>
      <c r="G7" s="753"/>
    </row>
    <row r="8" spans="1:7" ht="12" thickBot="1" x14ac:dyDescent="0.25">
      <c r="A8" s="573" t="s">
        <v>971</v>
      </c>
      <c r="B8" s="574" t="s">
        <v>972</v>
      </c>
      <c r="C8" s="575" t="s">
        <v>4192</v>
      </c>
      <c r="D8" s="575" t="s">
        <v>4284</v>
      </c>
      <c r="E8" s="575" t="s">
        <v>4285</v>
      </c>
      <c r="F8" s="576" t="s">
        <v>4286</v>
      </c>
    </row>
    <row r="9" spans="1:7" ht="12" thickBot="1" x14ac:dyDescent="0.25">
      <c r="A9" s="759">
        <v>1954</v>
      </c>
      <c r="B9" s="577" t="s">
        <v>4287</v>
      </c>
      <c r="C9" s="578" t="s">
        <v>4288</v>
      </c>
      <c r="D9" s="578"/>
      <c r="E9" s="578"/>
      <c r="F9" s="579"/>
    </row>
    <row r="10" spans="1:7" ht="12" thickBot="1" x14ac:dyDescent="0.25">
      <c r="A10" s="756"/>
      <c r="B10" s="577" t="s">
        <v>4289</v>
      </c>
      <c r="C10" s="578" t="s">
        <v>4290</v>
      </c>
      <c r="D10" s="578" t="s">
        <v>4291</v>
      </c>
      <c r="E10" s="591">
        <v>-7.6E-3</v>
      </c>
      <c r="F10" s="579"/>
    </row>
    <row r="11" spans="1:7" ht="12" thickBot="1" x14ac:dyDescent="0.25">
      <c r="A11" s="756"/>
      <c r="B11" s="577" t="s">
        <v>4292</v>
      </c>
      <c r="C11" s="578" t="s">
        <v>4293</v>
      </c>
      <c r="D11" s="578" t="s">
        <v>4294</v>
      </c>
      <c r="E11" s="591">
        <v>-2.12E-2</v>
      </c>
      <c r="F11" s="579"/>
    </row>
    <row r="12" spans="1:7" ht="12" thickBot="1" x14ac:dyDescent="0.25">
      <c r="A12" s="756"/>
      <c r="B12" s="577" t="s">
        <v>4295</v>
      </c>
      <c r="C12" s="578" t="s">
        <v>4296</v>
      </c>
      <c r="D12" s="578" t="s">
        <v>4297</v>
      </c>
      <c r="E12" s="591">
        <v>-1.7899999999999999E-2</v>
      </c>
      <c r="F12" s="579"/>
    </row>
    <row r="13" spans="1:7" ht="12" thickBot="1" x14ac:dyDescent="0.25">
      <c r="A13" s="756"/>
      <c r="B13" s="577" t="s">
        <v>4298</v>
      </c>
      <c r="C13" s="578" t="s">
        <v>4299</v>
      </c>
      <c r="D13" s="578" t="s">
        <v>4300</v>
      </c>
      <c r="E13" s="591">
        <v>-1.52E-2</v>
      </c>
      <c r="F13" s="579"/>
    </row>
    <row r="14" spans="1:7" ht="12" thickBot="1" x14ac:dyDescent="0.25">
      <c r="A14" s="757"/>
      <c r="B14" s="577" t="s">
        <v>4301</v>
      </c>
      <c r="C14" s="578" t="s">
        <v>4302</v>
      </c>
      <c r="D14" s="578" t="s">
        <v>4303</v>
      </c>
      <c r="E14" s="591">
        <v>-0.01</v>
      </c>
      <c r="F14" s="579"/>
    </row>
    <row r="15" spans="1:7" ht="12" thickBot="1" x14ac:dyDescent="0.25">
      <c r="A15" s="755">
        <v>1955</v>
      </c>
      <c r="B15" s="577" t="s">
        <v>4304</v>
      </c>
      <c r="C15" s="578" t="s">
        <v>4305</v>
      </c>
      <c r="D15" s="578" t="s">
        <v>4306</v>
      </c>
      <c r="E15" s="591">
        <v>-1.6999999999999999E-3</v>
      </c>
      <c r="F15" s="579"/>
    </row>
    <row r="16" spans="1:7" ht="12" thickBot="1" x14ac:dyDescent="0.25">
      <c r="A16" s="756"/>
      <c r="B16" s="577" t="s">
        <v>4307</v>
      </c>
      <c r="C16" s="578" t="s">
        <v>4308</v>
      </c>
      <c r="D16" s="578" t="s">
        <v>4309</v>
      </c>
      <c r="E16" s="591">
        <v>-2.3E-3</v>
      </c>
      <c r="F16" s="579"/>
    </row>
    <row r="17" spans="1:6" ht="12" thickBot="1" x14ac:dyDescent="0.25">
      <c r="A17" s="756"/>
      <c r="B17" s="577" t="s">
        <v>4311</v>
      </c>
      <c r="C17" s="578" t="s">
        <v>4312</v>
      </c>
      <c r="D17" s="578" t="s">
        <v>4313</v>
      </c>
      <c r="E17" s="591">
        <v>1.6999999999999999E-3</v>
      </c>
      <c r="F17" s="579"/>
    </row>
    <row r="18" spans="1:6" ht="12" thickBot="1" x14ac:dyDescent="0.25">
      <c r="A18" s="756"/>
      <c r="B18" s="577" t="s">
        <v>4315</v>
      </c>
      <c r="C18" s="578" t="s">
        <v>4316</v>
      </c>
      <c r="D18" s="578" t="s">
        <v>4317</v>
      </c>
      <c r="E18" s="591">
        <v>8.6999999999999994E-3</v>
      </c>
      <c r="F18" s="579"/>
    </row>
    <row r="19" spans="1:6" ht="12" thickBot="1" x14ac:dyDescent="0.25">
      <c r="A19" s="756"/>
      <c r="B19" s="577" t="s">
        <v>4319</v>
      </c>
      <c r="C19" s="578" t="s">
        <v>4320</v>
      </c>
      <c r="D19" s="578" t="s">
        <v>4321</v>
      </c>
      <c r="E19" s="591">
        <v>4.3E-3</v>
      </c>
      <c r="F19" s="579"/>
    </row>
    <row r="20" spans="1:6" ht="12" thickBot="1" x14ac:dyDescent="0.25">
      <c r="A20" s="756"/>
      <c r="B20" s="577" t="s">
        <v>4323</v>
      </c>
      <c r="C20" s="578" t="s">
        <v>4324</v>
      </c>
      <c r="D20" s="578" t="s">
        <v>4309</v>
      </c>
      <c r="E20" s="591">
        <v>3.7000000000000002E-3</v>
      </c>
      <c r="F20" s="579"/>
    </row>
    <row r="21" spans="1:6" ht="12" thickBot="1" x14ac:dyDescent="0.25">
      <c r="A21" s="756"/>
      <c r="B21" s="577" t="s">
        <v>4287</v>
      </c>
      <c r="C21" s="578" t="s">
        <v>4326</v>
      </c>
      <c r="D21" s="578" t="s">
        <v>4310</v>
      </c>
      <c r="E21" s="591">
        <v>1.2999999999999999E-3</v>
      </c>
      <c r="F21" s="579" t="s">
        <v>4328</v>
      </c>
    </row>
    <row r="22" spans="1:6" ht="12" thickBot="1" x14ac:dyDescent="0.25">
      <c r="A22" s="756"/>
      <c r="B22" s="577" t="s">
        <v>4289</v>
      </c>
      <c r="C22" s="578" t="s">
        <v>4329</v>
      </c>
      <c r="D22" s="578" t="s">
        <v>4330</v>
      </c>
      <c r="E22" s="591">
        <v>2.3E-3</v>
      </c>
      <c r="F22" s="579" t="s">
        <v>4332</v>
      </c>
    </row>
    <row r="23" spans="1:6" ht="12" thickBot="1" x14ac:dyDescent="0.25">
      <c r="A23" s="756"/>
      <c r="B23" s="577" t="s">
        <v>4292</v>
      </c>
      <c r="C23" s="578" t="s">
        <v>4333</v>
      </c>
      <c r="D23" s="578" t="s">
        <v>4334</v>
      </c>
      <c r="E23" s="591">
        <v>-3.0000000000000001E-3</v>
      </c>
      <c r="F23" s="579" t="s">
        <v>4336</v>
      </c>
    </row>
    <row r="24" spans="1:6" ht="12" thickBot="1" x14ac:dyDescent="0.25">
      <c r="A24" s="756"/>
      <c r="B24" s="577" t="s">
        <v>4295</v>
      </c>
      <c r="C24" s="578" t="s">
        <v>4337</v>
      </c>
      <c r="D24" s="578" t="s">
        <v>4300</v>
      </c>
      <c r="E24" s="591">
        <v>-4.0000000000000002E-4</v>
      </c>
      <c r="F24" s="579" t="s">
        <v>4339</v>
      </c>
    </row>
    <row r="25" spans="1:6" ht="12" thickBot="1" x14ac:dyDescent="0.25">
      <c r="A25" s="756"/>
      <c r="B25" s="577" t="s">
        <v>4298</v>
      </c>
      <c r="C25" s="578" t="s">
        <v>4340</v>
      </c>
      <c r="D25" s="578" t="s">
        <v>4341</v>
      </c>
      <c r="E25" s="591">
        <v>8.9999999999999993E-3</v>
      </c>
      <c r="F25" s="579" t="s">
        <v>4343</v>
      </c>
    </row>
    <row r="26" spans="1:6" ht="12" thickBot="1" x14ac:dyDescent="0.25">
      <c r="A26" s="757"/>
      <c r="B26" s="577" t="s">
        <v>4301</v>
      </c>
      <c r="C26" s="578" t="s">
        <v>4344</v>
      </c>
      <c r="D26" s="578" t="s">
        <v>4345</v>
      </c>
      <c r="E26" s="591">
        <v>2.0299999999999999E-2</v>
      </c>
      <c r="F26" s="579" t="s">
        <v>4346</v>
      </c>
    </row>
    <row r="27" spans="1:6" ht="12" thickBot="1" x14ac:dyDescent="0.25">
      <c r="A27" s="755">
        <v>1956</v>
      </c>
      <c r="B27" s="577" t="s">
        <v>4304</v>
      </c>
      <c r="C27" s="578" t="s">
        <v>4347</v>
      </c>
      <c r="D27" s="578" t="s">
        <v>4348</v>
      </c>
      <c r="E27" s="591">
        <v>-1E-3</v>
      </c>
      <c r="F27" s="579" t="s">
        <v>4349</v>
      </c>
    </row>
    <row r="28" spans="1:6" ht="12" thickBot="1" x14ac:dyDescent="0.25">
      <c r="A28" s="756"/>
      <c r="B28" s="577" t="s">
        <v>4307</v>
      </c>
      <c r="C28" s="578" t="s">
        <v>4350</v>
      </c>
      <c r="D28" s="578" t="s">
        <v>4351</v>
      </c>
      <c r="E28" s="591">
        <v>2.8999999999999998E-3</v>
      </c>
      <c r="F28" s="579" t="s">
        <v>4353</v>
      </c>
    </row>
    <row r="29" spans="1:6" ht="12" thickBot="1" x14ac:dyDescent="0.25">
      <c r="A29" s="756"/>
      <c r="B29" s="577" t="s">
        <v>4311</v>
      </c>
      <c r="C29" s="578" t="s">
        <v>4354</v>
      </c>
      <c r="D29" s="578" t="s">
        <v>4355</v>
      </c>
      <c r="E29" s="591">
        <v>1.21E-2</v>
      </c>
      <c r="F29" s="579" t="s">
        <v>4357</v>
      </c>
    </row>
    <row r="30" spans="1:6" ht="12" thickBot="1" x14ac:dyDescent="0.25">
      <c r="A30" s="756"/>
      <c r="B30" s="577" t="s">
        <v>4315</v>
      </c>
      <c r="C30" s="578" t="s">
        <v>4358</v>
      </c>
      <c r="D30" s="578" t="s">
        <v>4359</v>
      </c>
      <c r="E30" s="591">
        <v>1.8599999999999998E-2</v>
      </c>
      <c r="F30" s="579" t="s">
        <v>4360</v>
      </c>
    </row>
    <row r="31" spans="1:6" ht="12" thickBot="1" x14ac:dyDescent="0.25">
      <c r="A31" s="756"/>
      <c r="B31" s="577" t="s">
        <v>4319</v>
      </c>
      <c r="C31" s="578" t="s">
        <v>4361</v>
      </c>
      <c r="D31" s="578" t="s">
        <v>4362</v>
      </c>
      <c r="E31" s="591">
        <v>2.6200000000000001E-2</v>
      </c>
      <c r="F31" s="579" t="s">
        <v>4363</v>
      </c>
    </row>
    <row r="32" spans="1:6" ht="12" thickBot="1" x14ac:dyDescent="0.25">
      <c r="A32" s="756"/>
      <c r="B32" s="577" t="s">
        <v>4323</v>
      </c>
      <c r="C32" s="578" t="s">
        <v>4364</v>
      </c>
      <c r="D32" s="578" t="s">
        <v>4365</v>
      </c>
      <c r="E32" s="591">
        <v>3.56E-2</v>
      </c>
      <c r="F32" s="579" t="s">
        <v>4366</v>
      </c>
    </row>
    <row r="33" spans="1:6" ht="12" thickBot="1" x14ac:dyDescent="0.25">
      <c r="A33" s="756"/>
      <c r="B33" s="577" t="s">
        <v>4287</v>
      </c>
      <c r="C33" s="578" t="s">
        <v>4367</v>
      </c>
      <c r="D33" s="578" t="s">
        <v>4368</v>
      </c>
      <c r="E33" s="591">
        <v>4.3799999999999999E-2</v>
      </c>
      <c r="F33" s="579" t="s">
        <v>4370</v>
      </c>
    </row>
    <row r="34" spans="1:6" ht="12" thickBot="1" x14ac:dyDescent="0.25">
      <c r="A34" s="756"/>
      <c r="B34" s="577" t="s">
        <v>4289</v>
      </c>
      <c r="C34" s="578" t="s">
        <v>4371</v>
      </c>
      <c r="D34" s="578" t="s">
        <v>4372</v>
      </c>
      <c r="E34" s="591">
        <v>3.8899999999999997E-2</v>
      </c>
      <c r="F34" s="579" t="s">
        <v>4373</v>
      </c>
    </row>
    <row r="35" spans="1:6" ht="12" thickBot="1" x14ac:dyDescent="0.25">
      <c r="A35" s="756"/>
      <c r="B35" s="577" t="s">
        <v>4292</v>
      </c>
      <c r="C35" s="578" t="s">
        <v>4374</v>
      </c>
      <c r="D35" s="578" t="s">
        <v>4375</v>
      </c>
      <c r="E35" s="591">
        <v>4.8099999999999997E-2</v>
      </c>
      <c r="F35" s="579" t="s">
        <v>4376</v>
      </c>
    </row>
    <row r="36" spans="1:6" ht="12" thickBot="1" x14ac:dyDescent="0.25">
      <c r="A36" s="756"/>
      <c r="B36" s="577" t="s">
        <v>4295</v>
      </c>
      <c r="C36" s="578" t="s">
        <v>4377</v>
      </c>
      <c r="D36" s="578" t="s">
        <v>4378</v>
      </c>
      <c r="E36" s="591">
        <v>6.1100000000000002E-2</v>
      </c>
      <c r="F36" s="579" t="s">
        <v>4379</v>
      </c>
    </row>
    <row r="37" spans="1:6" ht="12" thickBot="1" x14ac:dyDescent="0.25">
      <c r="A37" s="756"/>
      <c r="B37" s="577" t="s">
        <v>4298</v>
      </c>
      <c r="C37" s="578" t="s">
        <v>4380</v>
      </c>
      <c r="D37" s="578" t="s">
        <v>4381</v>
      </c>
      <c r="E37" s="591">
        <v>7.6200000000000004E-2</v>
      </c>
      <c r="F37" s="579" t="s">
        <v>4383</v>
      </c>
    </row>
    <row r="38" spans="1:6" ht="12" thickBot="1" x14ac:dyDescent="0.25">
      <c r="A38" s="757"/>
      <c r="B38" s="577" t="s">
        <v>4301</v>
      </c>
      <c r="C38" s="578" t="s">
        <v>4384</v>
      </c>
      <c r="D38" s="578" t="s">
        <v>4300</v>
      </c>
      <c r="E38" s="591">
        <v>7.9100000000000004E-2</v>
      </c>
      <c r="F38" s="579" t="s">
        <v>4385</v>
      </c>
    </row>
    <row r="39" spans="1:6" ht="12" thickBot="1" x14ac:dyDescent="0.25">
      <c r="A39" s="755">
        <v>1957</v>
      </c>
      <c r="B39" s="577" t="s">
        <v>4304</v>
      </c>
      <c r="C39" s="578" t="s">
        <v>4386</v>
      </c>
      <c r="D39" s="578" t="s">
        <v>4387</v>
      </c>
      <c r="E39" s="591">
        <v>1.18E-2</v>
      </c>
      <c r="F39" s="579" t="s">
        <v>4388</v>
      </c>
    </row>
    <row r="40" spans="1:6" ht="12" thickBot="1" x14ac:dyDescent="0.25">
      <c r="A40" s="756"/>
      <c r="B40" s="577" t="s">
        <v>4307</v>
      </c>
      <c r="C40" s="578" t="s">
        <v>4389</v>
      </c>
      <c r="D40" s="578" t="s">
        <v>4390</v>
      </c>
      <c r="E40" s="591">
        <v>2.52E-2</v>
      </c>
      <c r="F40" s="579" t="s">
        <v>4392</v>
      </c>
    </row>
    <row r="41" spans="1:6" ht="12" thickBot="1" x14ac:dyDescent="0.25">
      <c r="A41" s="756"/>
      <c r="B41" s="577" t="s">
        <v>4311</v>
      </c>
      <c r="C41" s="578" t="s">
        <v>4393</v>
      </c>
      <c r="D41" s="578" t="s">
        <v>4394</v>
      </c>
      <c r="E41" s="591">
        <v>4.2999999999999997E-2</v>
      </c>
      <c r="F41" s="579" t="s">
        <v>4395</v>
      </c>
    </row>
    <row r="42" spans="1:6" ht="12" thickBot="1" x14ac:dyDescent="0.25">
      <c r="A42" s="756"/>
      <c r="B42" s="577" t="s">
        <v>4315</v>
      </c>
      <c r="C42" s="578" t="s">
        <v>4396</v>
      </c>
      <c r="D42" s="578" t="s">
        <v>4397</v>
      </c>
      <c r="E42" s="591">
        <v>6.6400000000000001E-2</v>
      </c>
      <c r="F42" s="579" t="s">
        <v>4398</v>
      </c>
    </row>
    <row r="43" spans="1:6" ht="12" thickBot="1" x14ac:dyDescent="0.25">
      <c r="A43" s="756"/>
      <c r="B43" s="577" t="s">
        <v>4319</v>
      </c>
      <c r="C43" s="578" t="s">
        <v>4399</v>
      </c>
      <c r="D43" s="578" t="s">
        <v>4400</v>
      </c>
      <c r="E43" s="591">
        <v>0.08</v>
      </c>
      <c r="F43" s="579" t="s">
        <v>4401</v>
      </c>
    </row>
    <row r="44" spans="1:6" ht="12" thickBot="1" x14ac:dyDescent="0.25">
      <c r="A44" s="756"/>
      <c r="B44" s="577" t="s">
        <v>4323</v>
      </c>
      <c r="C44" s="578" t="s">
        <v>4402</v>
      </c>
      <c r="D44" s="578" t="s">
        <v>4403</v>
      </c>
      <c r="E44" s="591">
        <v>0.12429999999999999</v>
      </c>
      <c r="F44" s="579" t="s">
        <v>4404</v>
      </c>
    </row>
    <row r="45" spans="1:6" ht="12" thickBot="1" x14ac:dyDescent="0.25">
      <c r="A45" s="756"/>
      <c r="B45" s="577" t="s">
        <v>4287</v>
      </c>
      <c r="C45" s="578" t="s">
        <v>4405</v>
      </c>
      <c r="D45" s="578" t="s">
        <v>4406</v>
      </c>
      <c r="E45" s="591">
        <v>0.15490000000000001</v>
      </c>
      <c r="F45" s="579" t="s">
        <v>4407</v>
      </c>
    </row>
    <row r="46" spans="1:6" ht="12" thickBot="1" x14ac:dyDescent="0.25">
      <c r="A46" s="756"/>
      <c r="B46" s="577" t="s">
        <v>4289</v>
      </c>
      <c r="C46" s="578" t="s">
        <v>4408</v>
      </c>
      <c r="D46" s="578" t="s">
        <v>4409</v>
      </c>
      <c r="E46" s="591">
        <v>0.1691</v>
      </c>
      <c r="F46" s="579" t="s">
        <v>4410</v>
      </c>
    </row>
    <row r="47" spans="1:6" ht="12" thickBot="1" x14ac:dyDescent="0.25">
      <c r="A47" s="756"/>
      <c r="B47" s="577" t="s">
        <v>4292</v>
      </c>
      <c r="C47" s="578" t="s">
        <v>4411</v>
      </c>
      <c r="D47" s="578" t="s">
        <v>4412</v>
      </c>
      <c r="E47" s="591">
        <v>0.17449999999999999</v>
      </c>
      <c r="F47" s="579" t="s">
        <v>4413</v>
      </c>
    </row>
    <row r="48" spans="1:6" ht="12" thickBot="1" x14ac:dyDescent="0.25">
      <c r="A48" s="756"/>
      <c r="B48" s="577" t="s">
        <v>4295</v>
      </c>
      <c r="C48" s="578" t="s">
        <v>4414</v>
      </c>
      <c r="D48" s="578" t="s">
        <v>4343</v>
      </c>
      <c r="E48" s="591">
        <v>0.1915</v>
      </c>
      <c r="F48" s="579" t="s">
        <v>4415</v>
      </c>
    </row>
    <row r="49" spans="1:6" ht="12" thickBot="1" x14ac:dyDescent="0.25">
      <c r="A49" s="756"/>
      <c r="B49" s="577" t="s">
        <v>4298</v>
      </c>
      <c r="C49" s="578" t="s">
        <v>4416</v>
      </c>
      <c r="D49" s="578" t="s">
        <v>4417</v>
      </c>
      <c r="E49" s="591">
        <v>0.1951</v>
      </c>
      <c r="F49" s="579" t="s">
        <v>4419</v>
      </c>
    </row>
    <row r="50" spans="1:6" ht="12" thickBot="1" x14ac:dyDescent="0.25">
      <c r="A50" s="757"/>
      <c r="B50" s="577" t="s">
        <v>4301</v>
      </c>
      <c r="C50" s="578" t="s">
        <v>4420</v>
      </c>
      <c r="D50" s="578" t="s">
        <v>4421</v>
      </c>
      <c r="E50" s="591">
        <v>0.2069</v>
      </c>
      <c r="F50" s="579" t="s">
        <v>4422</v>
      </c>
    </row>
    <row r="51" spans="1:6" ht="12" thickBot="1" x14ac:dyDescent="0.25">
      <c r="A51" s="755">
        <v>1958</v>
      </c>
      <c r="B51" s="577" t="s">
        <v>4304</v>
      </c>
      <c r="C51" s="578" t="s">
        <v>4423</v>
      </c>
      <c r="D51" s="578" t="s">
        <v>4424</v>
      </c>
      <c r="E51" s="591">
        <v>1.5E-3</v>
      </c>
      <c r="F51" s="579" t="s">
        <v>4425</v>
      </c>
    </row>
    <row r="52" spans="1:6" ht="12" thickBot="1" x14ac:dyDescent="0.25">
      <c r="A52" s="756"/>
      <c r="B52" s="577" t="s">
        <v>4307</v>
      </c>
      <c r="C52" s="578" t="s">
        <v>4426</v>
      </c>
      <c r="D52" s="578" t="s">
        <v>4427</v>
      </c>
      <c r="E52" s="591">
        <v>2.8E-3</v>
      </c>
      <c r="F52" s="579" t="s">
        <v>4429</v>
      </c>
    </row>
    <row r="53" spans="1:6" ht="12" thickBot="1" x14ac:dyDescent="0.25">
      <c r="A53" s="756"/>
      <c r="B53" s="577" t="s">
        <v>4311</v>
      </c>
      <c r="C53" s="578" t="s">
        <v>4430</v>
      </c>
      <c r="D53" s="578" t="s">
        <v>4431</v>
      </c>
      <c r="E53" s="591">
        <v>1.8599999999999998E-2</v>
      </c>
      <c r="F53" s="579" t="s">
        <v>4432</v>
      </c>
    </row>
    <row r="54" spans="1:6" ht="12" thickBot="1" x14ac:dyDescent="0.25">
      <c r="A54" s="756"/>
      <c r="B54" s="577" t="s">
        <v>4315</v>
      </c>
      <c r="C54" s="578" t="s">
        <v>4433</v>
      </c>
      <c r="D54" s="578" t="s">
        <v>4434</v>
      </c>
      <c r="E54" s="591">
        <v>3.5900000000000001E-2</v>
      </c>
      <c r="F54" s="579" t="s">
        <v>4435</v>
      </c>
    </row>
    <row r="55" spans="1:6" ht="12" thickBot="1" x14ac:dyDescent="0.25">
      <c r="A55" s="756"/>
      <c r="B55" s="577" t="s">
        <v>4319</v>
      </c>
      <c r="C55" s="578" t="s">
        <v>4436</v>
      </c>
      <c r="D55" s="578" t="s">
        <v>4437</v>
      </c>
      <c r="E55" s="591">
        <v>5.6500000000000002E-2</v>
      </c>
      <c r="F55" s="579" t="s">
        <v>4439</v>
      </c>
    </row>
    <row r="56" spans="1:6" ht="12" thickBot="1" x14ac:dyDescent="0.25">
      <c r="A56" s="756"/>
      <c r="B56" s="577" t="s">
        <v>4323</v>
      </c>
      <c r="C56" s="578" t="s">
        <v>4440</v>
      </c>
      <c r="D56" s="578" t="s">
        <v>4322</v>
      </c>
      <c r="E56" s="591">
        <v>6.0999999999999999E-2</v>
      </c>
      <c r="F56" s="579" t="s">
        <v>4441</v>
      </c>
    </row>
    <row r="57" spans="1:6" ht="12" thickBot="1" x14ac:dyDescent="0.25">
      <c r="A57" s="756"/>
      <c r="B57" s="577" t="s">
        <v>4287</v>
      </c>
      <c r="C57" s="578" t="s">
        <v>4442</v>
      </c>
      <c r="D57" s="578" t="s">
        <v>4443</v>
      </c>
      <c r="E57" s="591">
        <v>6.2E-2</v>
      </c>
      <c r="F57" s="579" t="s">
        <v>4444</v>
      </c>
    </row>
    <row r="58" spans="1:6" ht="12" thickBot="1" x14ac:dyDescent="0.25">
      <c r="A58" s="756"/>
      <c r="B58" s="577" t="s">
        <v>4289</v>
      </c>
      <c r="C58" s="578" t="s">
        <v>4445</v>
      </c>
      <c r="D58" s="578" t="s">
        <v>4446</v>
      </c>
      <c r="E58" s="591">
        <v>7.0000000000000007E-2</v>
      </c>
      <c r="F58" s="579" t="s">
        <v>4447</v>
      </c>
    </row>
    <row r="59" spans="1:6" ht="12" thickBot="1" x14ac:dyDescent="0.25">
      <c r="A59" s="756"/>
      <c r="B59" s="577" t="s">
        <v>4292</v>
      </c>
      <c r="C59" s="578" t="s">
        <v>4448</v>
      </c>
      <c r="D59" s="578" t="s">
        <v>4449</v>
      </c>
      <c r="E59" s="591">
        <v>7.1800000000000003E-2</v>
      </c>
      <c r="F59" s="579" t="s">
        <v>4451</v>
      </c>
    </row>
    <row r="60" spans="1:6" ht="12" thickBot="1" x14ac:dyDescent="0.25">
      <c r="A60" s="756"/>
      <c r="B60" s="577" t="s">
        <v>4295</v>
      </c>
      <c r="C60" s="578" t="s">
        <v>4452</v>
      </c>
      <c r="D60" s="578" t="s">
        <v>4453</v>
      </c>
      <c r="E60" s="591">
        <v>7.5300000000000006E-2</v>
      </c>
      <c r="F60" s="579" t="s">
        <v>4454</v>
      </c>
    </row>
    <row r="61" spans="1:6" ht="12" thickBot="1" x14ac:dyDescent="0.25">
      <c r="A61" s="756"/>
      <c r="B61" s="577" t="s">
        <v>4298</v>
      </c>
      <c r="C61" s="578" t="s">
        <v>4455</v>
      </c>
      <c r="D61" s="578" t="s">
        <v>4456</v>
      </c>
      <c r="E61" s="591">
        <v>7.4800000000000005E-2</v>
      </c>
      <c r="F61" s="579" t="s">
        <v>4457</v>
      </c>
    </row>
    <row r="62" spans="1:6" ht="12" thickBot="1" x14ac:dyDescent="0.25">
      <c r="A62" s="757"/>
      <c r="B62" s="577" t="s">
        <v>4301</v>
      </c>
      <c r="C62" s="578" t="s">
        <v>4458</v>
      </c>
      <c r="D62" s="578" t="s">
        <v>4459</v>
      </c>
      <c r="E62" s="591">
        <v>7.9799999999999996E-2</v>
      </c>
      <c r="F62" s="579" t="s">
        <v>4460</v>
      </c>
    </row>
    <row r="63" spans="1:6" ht="12" thickBot="1" x14ac:dyDescent="0.25">
      <c r="A63" s="755">
        <v>1959</v>
      </c>
      <c r="B63" s="577" t="s">
        <v>4304</v>
      </c>
      <c r="C63" s="578" t="s">
        <v>4461</v>
      </c>
      <c r="D63" s="578" t="s">
        <v>4462</v>
      </c>
      <c r="E63" s="591">
        <v>1.54E-2</v>
      </c>
      <c r="F63" s="579" t="s">
        <v>4463</v>
      </c>
    </row>
    <row r="64" spans="1:6" ht="12" thickBot="1" x14ac:dyDescent="0.25">
      <c r="A64" s="756"/>
      <c r="B64" s="577" t="s">
        <v>4307</v>
      </c>
      <c r="C64" s="578" t="s">
        <v>4464</v>
      </c>
      <c r="D64" s="578" t="s">
        <v>4365</v>
      </c>
      <c r="E64" s="591">
        <v>2.47E-2</v>
      </c>
      <c r="F64" s="579" t="s">
        <v>4465</v>
      </c>
    </row>
    <row r="65" spans="1:6" ht="12" thickBot="1" x14ac:dyDescent="0.25">
      <c r="A65" s="756"/>
      <c r="B65" s="577" t="s">
        <v>4311</v>
      </c>
      <c r="C65" s="578" t="s">
        <v>4466</v>
      </c>
      <c r="D65" s="578" t="s">
        <v>4322</v>
      </c>
      <c r="E65" s="591">
        <v>2.9100000000000001E-2</v>
      </c>
      <c r="F65" s="579" t="s">
        <v>4467</v>
      </c>
    </row>
    <row r="66" spans="1:6" ht="12" thickBot="1" x14ac:dyDescent="0.25">
      <c r="A66" s="756"/>
      <c r="B66" s="577" t="s">
        <v>4315</v>
      </c>
      <c r="C66" s="578" t="s">
        <v>4468</v>
      </c>
      <c r="D66" s="578" t="s">
        <v>4431</v>
      </c>
      <c r="E66" s="591">
        <v>4.5400000000000003E-2</v>
      </c>
      <c r="F66" s="579" t="s">
        <v>4470</v>
      </c>
    </row>
    <row r="67" spans="1:6" ht="12" thickBot="1" x14ac:dyDescent="0.25">
      <c r="A67" s="756"/>
      <c r="B67" s="577" t="s">
        <v>4319</v>
      </c>
      <c r="C67" s="578" t="s">
        <v>4471</v>
      </c>
      <c r="D67" s="578" t="s">
        <v>4472</v>
      </c>
      <c r="E67" s="591">
        <v>5.2999999999999999E-2</v>
      </c>
      <c r="F67" s="579" t="s">
        <v>4382</v>
      </c>
    </row>
    <row r="68" spans="1:6" ht="12" thickBot="1" x14ac:dyDescent="0.25">
      <c r="A68" s="756"/>
      <c r="B68" s="577" t="s">
        <v>4323</v>
      </c>
      <c r="C68" s="578" t="s">
        <v>4473</v>
      </c>
      <c r="D68" s="578" t="s">
        <v>4474</v>
      </c>
      <c r="E68" s="591">
        <v>0.06</v>
      </c>
      <c r="F68" s="579" t="s">
        <v>4476</v>
      </c>
    </row>
    <row r="69" spans="1:6" ht="12" thickBot="1" x14ac:dyDescent="0.25">
      <c r="A69" s="756"/>
      <c r="B69" s="577" t="s">
        <v>4287</v>
      </c>
      <c r="C69" s="578" t="s">
        <v>4477</v>
      </c>
      <c r="D69" s="578" t="s">
        <v>4478</v>
      </c>
      <c r="E69" s="591">
        <v>6.6299999999999998E-2</v>
      </c>
      <c r="F69" s="579" t="s">
        <v>4479</v>
      </c>
    </row>
    <row r="70" spans="1:6" ht="12" thickBot="1" x14ac:dyDescent="0.25">
      <c r="A70" s="756"/>
      <c r="B70" s="577" t="s">
        <v>4289</v>
      </c>
      <c r="C70" s="578" t="s">
        <v>4480</v>
      </c>
      <c r="D70" s="578" t="s">
        <v>4314</v>
      </c>
      <c r="E70" s="591">
        <v>6.8099999999999994E-2</v>
      </c>
      <c r="F70" s="579" t="s">
        <v>4482</v>
      </c>
    </row>
    <row r="71" spans="1:6" ht="12" thickBot="1" x14ac:dyDescent="0.25">
      <c r="A71" s="756"/>
      <c r="B71" s="577" t="s">
        <v>4292</v>
      </c>
      <c r="C71" s="578" t="s">
        <v>4483</v>
      </c>
      <c r="D71" s="578" t="s">
        <v>4484</v>
      </c>
      <c r="E71" s="591">
        <v>6.4399999999999999E-2</v>
      </c>
      <c r="F71" s="579" t="s">
        <v>4485</v>
      </c>
    </row>
    <row r="72" spans="1:6" ht="12" thickBot="1" x14ac:dyDescent="0.25">
      <c r="A72" s="756"/>
      <c r="B72" s="577" t="s">
        <v>4295</v>
      </c>
      <c r="C72" s="578" t="s">
        <v>4486</v>
      </c>
      <c r="D72" s="578" t="s">
        <v>4487</v>
      </c>
      <c r="E72" s="591">
        <v>6.6900000000000001E-2</v>
      </c>
      <c r="F72" s="579" t="s">
        <v>4488</v>
      </c>
    </row>
    <row r="73" spans="1:6" ht="12" thickBot="1" x14ac:dyDescent="0.25">
      <c r="A73" s="756"/>
      <c r="B73" s="577" t="s">
        <v>4298</v>
      </c>
      <c r="C73" s="578" t="s">
        <v>4489</v>
      </c>
      <c r="D73" s="578" t="s">
        <v>4490</v>
      </c>
      <c r="E73" s="591">
        <v>6.9199999999999998E-2</v>
      </c>
      <c r="F73" s="579" t="s">
        <v>4491</v>
      </c>
    </row>
    <row r="74" spans="1:6" ht="12" thickBot="1" x14ac:dyDescent="0.25">
      <c r="A74" s="757"/>
      <c r="B74" s="577" t="s">
        <v>4301</v>
      </c>
      <c r="C74" s="578" t="s">
        <v>4492</v>
      </c>
      <c r="D74" s="578" t="s">
        <v>4493</v>
      </c>
      <c r="E74" s="591">
        <v>7.8100000000000003E-2</v>
      </c>
      <c r="F74" s="579" t="s">
        <v>4494</v>
      </c>
    </row>
    <row r="75" spans="1:6" ht="12" thickBot="1" x14ac:dyDescent="0.25">
      <c r="A75" s="755">
        <v>1960</v>
      </c>
      <c r="B75" s="577" t="s">
        <v>4304</v>
      </c>
      <c r="C75" s="578" t="s">
        <v>4495</v>
      </c>
      <c r="D75" s="578" t="s">
        <v>4496</v>
      </c>
      <c r="E75" s="591">
        <v>3.2000000000000002E-3</v>
      </c>
      <c r="F75" s="579" t="s">
        <v>4497</v>
      </c>
    </row>
    <row r="76" spans="1:6" ht="12" thickBot="1" x14ac:dyDescent="0.25">
      <c r="A76" s="756"/>
      <c r="B76" s="577" t="s">
        <v>4307</v>
      </c>
      <c r="C76" s="578" t="s">
        <v>4498</v>
      </c>
      <c r="D76" s="578" t="s">
        <v>4335</v>
      </c>
      <c r="E76" s="591">
        <v>2.0000000000000001E-4</v>
      </c>
      <c r="F76" s="579" t="s">
        <v>4500</v>
      </c>
    </row>
    <row r="77" spans="1:6" ht="12" thickBot="1" x14ac:dyDescent="0.25">
      <c r="A77" s="756"/>
      <c r="B77" s="577" t="s">
        <v>4311</v>
      </c>
      <c r="C77" s="578" t="s">
        <v>4501</v>
      </c>
      <c r="D77" s="578" t="s">
        <v>4502</v>
      </c>
      <c r="E77" s="591">
        <v>1.32E-2</v>
      </c>
      <c r="F77" s="579" t="s">
        <v>4503</v>
      </c>
    </row>
    <row r="78" spans="1:6" ht="12" thickBot="1" x14ac:dyDescent="0.25">
      <c r="A78" s="756"/>
      <c r="B78" s="577" t="s">
        <v>4315</v>
      </c>
      <c r="C78" s="578" t="s">
        <v>4504</v>
      </c>
      <c r="D78" s="578" t="s">
        <v>4505</v>
      </c>
      <c r="E78" s="591">
        <v>2.29E-2</v>
      </c>
      <c r="F78" s="579" t="s">
        <v>4507</v>
      </c>
    </row>
    <row r="79" spans="1:6" ht="12" thickBot="1" x14ac:dyDescent="0.25">
      <c r="A79" s="756"/>
      <c r="B79" s="577" t="s">
        <v>4319</v>
      </c>
      <c r="C79" s="578" t="s">
        <v>4508</v>
      </c>
      <c r="D79" s="578" t="s">
        <v>4446</v>
      </c>
      <c r="E79" s="591">
        <v>3.0599999999999999E-2</v>
      </c>
      <c r="F79" s="579" t="s">
        <v>4510</v>
      </c>
    </row>
    <row r="80" spans="1:6" ht="12" thickBot="1" x14ac:dyDescent="0.25">
      <c r="A80" s="756"/>
      <c r="B80" s="577" t="s">
        <v>4323</v>
      </c>
      <c r="C80" s="578" t="s">
        <v>4511</v>
      </c>
      <c r="D80" s="578" t="s">
        <v>4330</v>
      </c>
      <c r="E80" s="591">
        <v>3.1699999999999999E-2</v>
      </c>
      <c r="F80" s="579" t="s">
        <v>4513</v>
      </c>
    </row>
    <row r="81" spans="1:6" ht="12" thickBot="1" x14ac:dyDescent="0.25">
      <c r="A81" s="756"/>
      <c r="B81" s="577" t="s">
        <v>4287</v>
      </c>
      <c r="C81" s="578" t="s">
        <v>4514</v>
      </c>
      <c r="D81" s="578" t="s">
        <v>4412</v>
      </c>
      <c r="E81" s="591">
        <v>3.6400000000000002E-2</v>
      </c>
      <c r="F81" s="579" t="s">
        <v>4515</v>
      </c>
    </row>
    <row r="82" spans="1:6" ht="12" thickBot="1" x14ac:dyDescent="0.25">
      <c r="A82" s="756"/>
      <c r="B82" s="577" t="s">
        <v>4289</v>
      </c>
      <c r="C82" s="578" t="s">
        <v>4516</v>
      </c>
      <c r="D82" s="578" t="s">
        <v>4453</v>
      </c>
      <c r="E82" s="591">
        <v>3.9899999999999998E-2</v>
      </c>
      <c r="F82" s="579" t="s">
        <v>4517</v>
      </c>
    </row>
    <row r="83" spans="1:6" ht="12" thickBot="1" x14ac:dyDescent="0.25">
      <c r="A83" s="756"/>
      <c r="B83" s="577" t="s">
        <v>4292</v>
      </c>
      <c r="C83" s="578" t="s">
        <v>4518</v>
      </c>
      <c r="D83" s="578" t="s">
        <v>4331</v>
      </c>
      <c r="E83" s="591">
        <v>4.2299999999999997E-2</v>
      </c>
      <c r="F83" s="579" t="s">
        <v>4519</v>
      </c>
    </row>
    <row r="84" spans="1:6" ht="12" thickBot="1" x14ac:dyDescent="0.25">
      <c r="A84" s="756"/>
      <c r="B84" s="577" t="s">
        <v>4295</v>
      </c>
      <c r="C84" s="578" t="s">
        <v>4520</v>
      </c>
      <c r="D84" s="578" t="s">
        <v>4339</v>
      </c>
      <c r="E84" s="591">
        <v>5.0200000000000002E-2</v>
      </c>
      <c r="F84" s="579" t="s">
        <v>4522</v>
      </c>
    </row>
    <row r="85" spans="1:6" ht="12" thickBot="1" x14ac:dyDescent="0.25">
      <c r="A85" s="756"/>
      <c r="B85" s="577" t="s">
        <v>4298</v>
      </c>
      <c r="C85" s="578" t="s">
        <v>4523</v>
      </c>
      <c r="D85" s="578" t="s">
        <v>4524</v>
      </c>
      <c r="E85" s="591">
        <v>6.25E-2</v>
      </c>
      <c r="F85" s="579" t="s">
        <v>4526</v>
      </c>
    </row>
    <row r="86" spans="1:6" ht="12" thickBot="1" x14ac:dyDescent="0.25">
      <c r="A86" s="757"/>
      <c r="B86" s="577" t="s">
        <v>4301</v>
      </c>
      <c r="C86" s="578" t="s">
        <v>4527</v>
      </c>
      <c r="D86" s="578" t="s">
        <v>4528</v>
      </c>
      <c r="E86" s="591">
        <v>7.3499999999999996E-2</v>
      </c>
      <c r="F86" s="579" t="s">
        <v>4529</v>
      </c>
    </row>
    <row r="87" spans="1:6" ht="12" thickBot="1" x14ac:dyDescent="0.25">
      <c r="A87" s="755">
        <v>1961</v>
      </c>
      <c r="B87" s="577" t="s">
        <v>4304</v>
      </c>
      <c r="C87" s="578" t="s">
        <v>4530</v>
      </c>
      <c r="D87" s="578" t="s">
        <v>4303</v>
      </c>
      <c r="E87" s="591">
        <v>5.4000000000000003E-3</v>
      </c>
      <c r="F87" s="579" t="s">
        <v>4531</v>
      </c>
    </row>
    <row r="88" spans="1:6" ht="12" thickBot="1" x14ac:dyDescent="0.25">
      <c r="A88" s="756"/>
      <c r="B88" s="577" t="s">
        <v>4307</v>
      </c>
      <c r="C88" s="578" t="s">
        <v>4532</v>
      </c>
      <c r="D88" s="578" t="s">
        <v>4533</v>
      </c>
      <c r="E88" s="591">
        <v>9.5999999999999992E-3</v>
      </c>
      <c r="F88" s="579" t="s">
        <v>4534</v>
      </c>
    </row>
    <row r="89" spans="1:6" ht="12" thickBot="1" x14ac:dyDescent="0.25">
      <c r="A89" s="756"/>
      <c r="B89" s="577" t="s">
        <v>4311</v>
      </c>
      <c r="C89" s="578" t="s">
        <v>4535</v>
      </c>
      <c r="D89" s="578" t="s">
        <v>4536</v>
      </c>
      <c r="E89" s="591">
        <v>2.5899999999999999E-2</v>
      </c>
      <c r="F89" s="579" t="s">
        <v>4538</v>
      </c>
    </row>
    <row r="90" spans="1:6" ht="12" thickBot="1" x14ac:dyDescent="0.25">
      <c r="A90" s="756"/>
      <c r="B90" s="577" t="s">
        <v>4315</v>
      </c>
      <c r="C90" s="578" t="s">
        <v>4539</v>
      </c>
      <c r="D90" s="578" t="s">
        <v>4540</v>
      </c>
      <c r="E90" s="591">
        <v>4.6800000000000001E-2</v>
      </c>
      <c r="F90" s="579" t="s">
        <v>4541</v>
      </c>
    </row>
    <row r="91" spans="1:6" ht="12" thickBot="1" x14ac:dyDescent="0.25">
      <c r="A91" s="756"/>
      <c r="B91" s="577" t="s">
        <v>4319</v>
      </c>
      <c r="C91" s="578" t="s">
        <v>4542</v>
      </c>
      <c r="D91" s="578" t="s">
        <v>4543</v>
      </c>
      <c r="E91" s="591">
        <v>5.8299999999999998E-2</v>
      </c>
      <c r="F91" s="579" t="s">
        <v>4544</v>
      </c>
    </row>
    <row r="92" spans="1:6" ht="12" thickBot="1" x14ac:dyDescent="0.25">
      <c r="A92" s="756"/>
      <c r="B92" s="577" t="s">
        <v>4323</v>
      </c>
      <c r="C92" s="578" t="s">
        <v>4545</v>
      </c>
      <c r="D92" s="578" t="s">
        <v>4327</v>
      </c>
      <c r="E92" s="591">
        <v>5.9700000000000003E-2</v>
      </c>
      <c r="F92" s="579" t="s">
        <v>4547</v>
      </c>
    </row>
    <row r="93" spans="1:6" ht="12" thickBot="1" x14ac:dyDescent="0.25">
      <c r="A93" s="756"/>
      <c r="B93" s="577" t="s">
        <v>4287</v>
      </c>
      <c r="C93" s="578" t="s">
        <v>4548</v>
      </c>
      <c r="D93" s="578" t="s">
        <v>4487</v>
      </c>
      <c r="E93" s="591">
        <v>6.2300000000000001E-2</v>
      </c>
      <c r="F93" s="579" t="s">
        <v>4550</v>
      </c>
    </row>
    <row r="94" spans="1:6" ht="12" thickBot="1" x14ac:dyDescent="0.25">
      <c r="A94" s="756"/>
      <c r="B94" s="577" t="s">
        <v>4289</v>
      </c>
      <c r="C94" s="578" t="s">
        <v>4551</v>
      </c>
      <c r="D94" s="578" t="s">
        <v>4552</v>
      </c>
      <c r="E94" s="591">
        <v>0.05</v>
      </c>
      <c r="F94" s="579" t="s">
        <v>4553</v>
      </c>
    </row>
    <row r="95" spans="1:6" ht="12" thickBot="1" x14ac:dyDescent="0.25">
      <c r="A95" s="756"/>
      <c r="B95" s="577" t="s">
        <v>4292</v>
      </c>
      <c r="C95" s="578" t="s">
        <v>4554</v>
      </c>
      <c r="D95" s="578" t="s">
        <v>4555</v>
      </c>
      <c r="E95" s="591">
        <v>4.3400000000000001E-2</v>
      </c>
      <c r="F95" s="579" t="s">
        <v>4557</v>
      </c>
    </row>
    <row r="96" spans="1:6" ht="12" thickBot="1" x14ac:dyDescent="0.25">
      <c r="A96" s="756"/>
      <c r="B96" s="577" t="s">
        <v>4295</v>
      </c>
      <c r="C96" s="578" t="s">
        <v>4558</v>
      </c>
      <c r="D96" s="578" t="s">
        <v>4424</v>
      </c>
      <c r="E96" s="591">
        <v>4.4999999999999998E-2</v>
      </c>
      <c r="F96" s="579" t="s">
        <v>4481</v>
      </c>
    </row>
    <row r="97" spans="1:6" ht="12" thickBot="1" x14ac:dyDescent="0.25">
      <c r="A97" s="756"/>
      <c r="B97" s="577" t="s">
        <v>4298</v>
      </c>
      <c r="C97" s="578" t="s">
        <v>4559</v>
      </c>
      <c r="D97" s="578" t="s">
        <v>4560</v>
      </c>
      <c r="E97" s="591">
        <v>5.04E-2</v>
      </c>
      <c r="F97" s="579" t="s">
        <v>4562</v>
      </c>
    </row>
    <row r="98" spans="1:6" ht="12" thickBot="1" x14ac:dyDescent="0.25">
      <c r="A98" s="757"/>
      <c r="B98" s="577" t="s">
        <v>4301</v>
      </c>
      <c r="C98" s="578" t="s">
        <v>4563</v>
      </c>
      <c r="D98" s="578" t="s">
        <v>4564</v>
      </c>
      <c r="E98" s="591">
        <v>5.74E-2</v>
      </c>
      <c r="F98" s="579" t="s">
        <v>4565</v>
      </c>
    </row>
    <row r="99" spans="1:6" ht="12" thickBot="1" x14ac:dyDescent="0.25">
      <c r="A99" s="755">
        <v>1962</v>
      </c>
      <c r="B99" s="577" t="s">
        <v>4304</v>
      </c>
      <c r="C99" s="578" t="s">
        <v>4566</v>
      </c>
      <c r="D99" s="578" t="s">
        <v>4567</v>
      </c>
      <c r="E99" s="591">
        <v>4.4000000000000003E-3</v>
      </c>
      <c r="F99" s="579" t="s">
        <v>4568</v>
      </c>
    </row>
    <row r="100" spans="1:6" ht="12" thickBot="1" x14ac:dyDescent="0.25">
      <c r="A100" s="756"/>
      <c r="B100" s="577" t="s">
        <v>4307</v>
      </c>
      <c r="C100" s="578" t="s">
        <v>4569</v>
      </c>
      <c r="D100" s="578" t="s">
        <v>4443</v>
      </c>
      <c r="E100" s="591">
        <v>5.3E-3</v>
      </c>
      <c r="F100" s="579" t="s">
        <v>4571</v>
      </c>
    </row>
    <row r="101" spans="1:6" ht="12" thickBot="1" x14ac:dyDescent="0.25">
      <c r="A101" s="756"/>
      <c r="B101" s="577" t="s">
        <v>4311</v>
      </c>
      <c r="C101" s="578" t="s">
        <v>4572</v>
      </c>
      <c r="D101" s="578" t="s">
        <v>4573</v>
      </c>
      <c r="E101" s="591">
        <v>1.4200000000000001E-2</v>
      </c>
      <c r="F101" s="579" t="s">
        <v>4469</v>
      </c>
    </row>
    <row r="102" spans="1:6" ht="12" thickBot="1" x14ac:dyDescent="0.25">
      <c r="A102" s="756"/>
      <c r="B102" s="577" t="s">
        <v>4315</v>
      </c>
      <c r="C102" s="578" t="s">
        <v>4574</v>
      </c>
      <c r="D102" s="578" t="s">
        <v>4387</v>
      </c>
      <c r="E102" s="591">
        <v>2.6200000000000001E-2</v>
      </c>
      <c r="F102" s="579" t="s">
        <v>4575</v>
      </c>
    </row>
    <row r="103" spans="1:6" ht="12" thickBot="1" x14ac:dyDescent="0.25">
      <c r="A103" s="756"/>
      <c r="B103" s="577" t="s">
        <v>4319</v>
      </c>
      <c r="C103" s="578" t="s">
        <v>4576</v>
      </c>
      <c r="D103" s="578" t="s">
        <v>4443</v>
      </c>
      <c r="E103" s="591">
        <v>2.7199999999999998E-2</v>
      </c>
      <c r="F103" s="579" t="s">
        <v>4577</v>
      </c>
    </row>
    <row r="104" spans="1:6" ht="12" thickBot="1" x14ac:dyDescent="0.25">
      <c r="A104" s="756"/>
      <c r="B104" s="577" t="s">
        <v>4323</v>
      </c>
      <c r="C104" s="578" t="s">
        <v>4578</v>
      </c>
      <c r="D104" s="578" t="s">
        <v>4579</v>
      </c>
      <c r="E104" s="591">
        <v>2.7900000000000001E-2</v>
      </c>
      <c r="F104" s="579" t="s">
        <v>4353</v>
      </c>
    </row>
    <row r="105" spans="1:6" ht="12" thickBot="1" x14ac:dyDescent="0.25">
      <c r="A105" s="756"/>
      <c r="B105" s="577" t="s">
        <v>4287</v>
      </c>
      <c r="C105" s="578" t="s">
        <v>4581</v>
      </c>
      <c r="D105" s="578" t="s">
        <v>4505</v>
      </c>
      <c r="E105" s="591">
        <v>3.78E-2</v>
      </c>
      <c r="F105" s="579" t="s">
        <v>4582</v>
      </c>
    </row>
    <row r="106" spans="1:6" ht="12" thickBot="1" x14ac:dyDescent="0.25">
      <c r="A106" s="756"/>
      <c r="B106" s="577" t="s">
        <v>4289</v>
      </c>
      <c r="C106" s="578" t="s">
        <v>4583</v>
      </c>
      <c r="D106" s="578" t="s">
        <v>4584</v>
      </c>
      <c r="E106" s="591">
        <v>3.8199999999999998E-2</v>
      </c>
      <c r="F106" s="579" t="s">
        <v>4586</v>
      </c>
    </row>
    <row r="107" spans="1:6" ht="12" thickBot="1" x14ac:dyDescent="0.25">
      <c r="A107" s="756"/>
      <c r="B107" s="577" t="s">
        <v>4292</v>
      </c>
      <c r="C107" s="578" t="s">
        <v>4587</v>
      </c>
      <c r="D107" s="578" t="s">
        <v>4588</v>
      </c>
      <c r="E107" s="591">
        <v>4.4400000000000002E-2</v>
      </c>
      <c r="F107" s="579" t="s">
        <v>4589</v>
      </c>
    </row>
    <row r="108" spans="1:6" ht="12" thickBot="1" x14ac:dyDescent="0.25">
      <c r="A108" s="756"/>
      <c r="B108" s="577" t="s">
        <v>4295</v>
      </c>
      <c r="C108" s="578" t="s">
        <v>4590</v>
      </c>
      <c r="D108" s="578" t="s">
        <v>4417</v>
      </c>
      <c r="E108" s="591">
        <v>4.7600000000000003E-2</v>
      </c>
      <c r="F108" s="579" t="s">
        <v>4591</v>
      </c>
    </row>
    <row r="109" spans="1:6" ht="12" thickBot="1" x14ac:dyDescent="0.25">
      <c r="A109" s="756"/>
      <c r="B109" s="577" t="s">
        <v>4298</v>
      </c>
      <c r="C109" s="578" t="s">
        <v>4592</v>
      </c>
      <c r="D109" s="578" t="s">
        <v>4359</v>
      </c>
      <c r="E109" s="591">
        <v>5.45E-2</v>
      </c>
      <c r="F109" s="579" t="s">
        <v>4593</v>
      </c>
    </row>
    <row r="110" spans="1:6" ht="12" thickBot="1" x14ac:dyDescent="0.25">
      <c r="A110" s="757"/>
      <c r="B110" s="577" t="s">
        <v>4301</v>
      </c>
      <c r="C110" s="578" t="s">
        <v>4594</v>
      </c>
      <c r="D110" s="578" t="s">
        <v>4595</v>
      </c>
      <c r="E110" s="591">
        <v>6.3E-2</v>
      </c>
      <c r="F110" s="579" t="s">
        <v>4596</v>
      </c>
    </row>
    <row r="111" spans="1:6" ht="12" thickBot="1" x14ac:dyDescent="0.25">
      <c r="A111" s="755">
        <v>1963</v>
      </c>
      <c r="B111" s="577" t="s">
        <v>4304</v>
      </c>
      <c r="C111" s="578" t="s">
        <v>4597</v>
      </c>
      <c r="D111" s="578" t="s">
        <v>4598</v>
      </c>
      <c r="E111" s="591">
        <v>3.7400000000000003E-2</v>
      </c>
      <c r="F111" s="579" t="s">
        <v>4599</v>
      </c>
    </row>
    <row r="112" spans="1:6" ht="12" thickBot="1" x14ac:dyDescent="0.25">
      <c r="A112" s="756"/>
      <c r="B112" s="577" t="s">
        <v>4307</v>
      </c>
      <c r="C112" s="578" t="s">
        <v>4600</v>
      </c>
      <c r="D112" s="578" t="s">
        <v>4601</v>
      </c>
      <c r="E112" s="591">
        <v>0.1003</v>
      </c>
      <c r="F112" s="579" t="s">
        <v>4602</v>
      </c>
    </row>
    <row r="113" spans="1:6" ht="12" thickBot="1" x14ac:dyDescent="0.25">
      <c r="A113" s="756"/>
      <c r="B113" s="577" t="s">
        <v>4311</v>
      </c>
      <c r="C113" s="578" t="s">
        <v>4603</v>
      </c>
      <c r="D113" s="578" t="s">
        <v>4604</v>
      </c>
      <c r="E113" s="591">
        <v>0.1573</v>
      </c>
      <c r="F113" s="579" t="s">
        <v>4605</v>
      </c>
    </row>
    <row r="114" spans="1:6" ht="12" thickBot="1" x14ac:dyDescent="0.25">
      <c r="A114" s="756"/>
      <c r="B114" s="577" t="s">
        <v>4315</v>
      </c>
      <c r="C114" s="578" t="s">
        <v>4606</v>
      </c>
      <c r="D114" s="578" t="s">
        <v>4556</v>
      </c>
      <c r="E114" s="591">
        <v>0.20749999999999999</v>
      </c>
      <c r="F114" s="579" t="s">
        <v>4607</v>
      </c>
    </row>
    <row r="115" spans="1:6" ht="12" thickBot="1" x14ac:dyDescent="0.25">
      <c r="A115" s="756"/>
      <c r="B115" s="577" t="s">
        <v>4319</v>
      </c>
      <c r="C115" s="578" t="s">
        <v>4608</v>
      </c>
      <c r="D115" s="578" t="s">
        <v>4609</v>
      </c>
      <c r="E115" s="591">
        <v>0.2225</v>
      </c>
      <c r="F115" s="579" t="s">
        <v>4610</v>
      </c>
    </row>
    <row r="116" spans="1:6" ht="12" thickBot="1" x14ac:dyDescent="0.25">
      <c r="A116" s="756"/>
      <c r="B116" s="577" t="s">
        <v>4323</v>
      </c>
      <c r="C116" s="578" t="s">
        <v>4611</v>
      </c>
      <c r="D116" s="578" t="s">
        <v>4612</v>
      </c>
      <c r="E116" s="591">
        <v>0.24970000000000001</v>
      </c>
      <c r="F116" s="579" t="s">
        <v>4613</v>
      </c>
    </row>
    <row r="117" spans="1:6" ht="12" thickBot="1" x14ac:dyDescent="0.25">
      <c r="A117" s="756"/>
      <c r="B117" s="577" t="s">
        <v>4287</v>
      </c>
      <c r="C117" s="578" t="s">
        <v>4614</v>
      </c>
      <c r="D117" s="578" t="s">
        <v>4339</v>
      </c>
      <c r="E117" s="591">
        <v>0.25929999999999997</v>
      </c>
      <c r="F117" s="579" t="s">
        <v>4615</v>
      </c>
    </row>
    <row r="118" spans="1:6" ht="12" thickBot="1" x14ac:dyDescent="0.25">
      <c r="A118" s="756"/>
      <c r="B118" s="577" t="s">
        <v>4289</v>
      </c>
      <c r="C118" s="578" t="s">
        <v>4616</v>
      </c>
      <c r="D118" s="578" t="s">
        <v>4617</v>
      </c>
      <c r="E118" s="591">
        <v>0.26250000000000001</v>
      </c>
      <c r="F118" s="579" t="s">
        <v>4618</v>
      </c>
    </row>
    <row r="119" spans="1:6" ht="12" thickBot="1" x14ac:dyDescent="0.25">
      <c r="A119" s="756"/>
      <c r="B119" s="577" t="s">
        <v>4292</v>
      </c>
      <c r="C119" s="578" t="s">
        <v>4619</v>
      </c>
      <c r="D119" s="578" t="s">
        <v>4620</v>
      </c>
      <c r="E119" s="591">
        <v>0.27560000000000001</v>
      </c>
      <c r="F119" s="579" t="s">
        <v>4621</v>
      </c>
    </row>
    <row r="120" spans="1:6" ht="12" thickBot="1" x14ac:dyDescent="0.25">
      <c r="A120" s="756"/>
      <c r="B120" s="577" t="s">
        <v>4295</v>
      </c>
      <c r="C120" s="578" t="s">
        <v>4622</v>
      </c>
      <c r="D120" s="578" t="s">
        <v>4623</v>
      </c>
      <c r="E120" s="591">
        <v>0.29649999999999999</v>
      </c>
      <c r="F120" s="579" t="s">
        <v>4625</v>
      </c>
    </row>
    <row r="121" spans="1:6" ht="12" thickBot="1" x14ac:dyDescent="0.25">
      <c r="A121" s="756"/>
      <c r="B121" s="577" t="s">
        <v>4298</v>
      </c>
      <c r="C121" s="578" t="s">
        <v>4626</v>
      </c>
      <c r="D121" s="578" t="s">
        <v>4349</v>
      </c>
      <c r="E121" s="591">
        <v>0.32369999999999999</v>
      </c>
      <c r="F121" s="579" t="s">
        <v>4627</v>
      </c>
    </row>
    <row r="122" spans="1:6" ht="12" thickBot="1" x14ac:dyDescent="0.25">
      <c r="A122" s="757"/>
      <c r="B122" s="577" t="s">
        <v>4301</v>
      </c>
      <c r="C122" s="578" t="s">
        <v>4628</v>
      </c>
      <c r="D122" s="578" t="s">
        <v>4629</v>
      </c>
      <c r="E122" s="591">
        <v>0.33600000000000002</v>
      </c>
      <c r="F122" s="579" t="s">
        <v>551</v>
      </c>
    </row>
    <row r="123" spans="1:6" ht="12" thickBot="1" x14ac:dyDescent="0.25">
      <c r="A123" s="755">
        <v>1964</v>
      </c>
      <c r="B123" s="577" t="s">
        <v>4304</v>
      </c>
      <c r="C123" s="578" t="s">
        <v>4630</v>
      </c>
      <c r="D123" s="578" t="s">
        <v>4631</v>
      </c>
      <c r="E123" s="591">
        <v>1.46E-2</v>
      </c>
      <c r="F123" s="579" t="s">
        <v>4632</v>
      </c>
    </row>
    <row r="124" spans="1:6" ht="12" thickBot="1" x14ac:dyDescent="0.25">
      <c r="A124" s="756"/>
      <c r="B124" s="577" t="s">
        <v>4307</v>
      </c>
      <c r="C124" s="578" t="s">
        <v>4633</v>
      </c>
      <c r="D124" s="578" t="s">
        <v>4634</v>
      </c>
      <c r="E124" s="591">
        <v>2.0199999999999999E-2</v>
      </c>
      <c r="F124" s="579" t="s">
        <v>4636</v>
      </c>
    </row>
    <row r="125" spans="1:6" ht="12" thickBot="1" x14ac:dyDescent="0.25">
      <c r="A125" s="756"/>
      <c r="B125" s="577" t="s">
        <v>4311</v>
      </c>
      <c r="C125" s="578" t="s">
        <v>4637</v>
      </c>
      <c r="D125" s="578" t="s">
        <v>4638</v>
      </c>
      <c r="E125" s="591">
        <v>4.3900000000000002E-2</v>
      </c>
      <c r="F125" s="579" t="s">
        <v>4639</v>
      </c>
    </row>
    <row r="126" spans="1:6" ht="12" thickBot="1" x14ac:dyDescent="0.25">
      <c r="A126" s="756"/>
      <c r="B126" s="577" t="s">
        <v>4315</v>
      </c>
      <c r="C126" s="578" t="s">
        <v>4640</v>
      </c>
      <c r="D126" s="578" t="s">
        <v>4638</v>
      </c>
      <c r="E126" s="591">
        <v>6.8099999999999994E-2</v>
      </c>
      <c r="F126" s="579" t="s">
        <v>4641</v>
      </c>
    </row>
    <row r="127" spans="1:6" ht="12" thickBot="1" x14ac:dyDescent="0.25">
      <c r="A127" s="756"/>
      <c r="B127" s="577" t="s">
        <v>4319</v>
      </c>
      <c r="C127" s="578" t="s">
        <v>4642</v>
      </c>
      <c r="D127" s="578" t="s">
        <v>4512</v>
      </c>
      <c r="E127" s="591">
        <v>0.10199999999999999</v>
      </c>
      <c r="F127" s="579" t="s">
        <v>4643</v>
      </c>
    </row>
    <row r="128" spans="1:6" ht="12" thickBot="1" x14ac:dyDescent="0.25">
      <c r="A128" s="756"/>
      <c r="B128" s="577" t="s">
        <v>4323</v>
      </c>
      <c r="C128" s="578" t="s">
        <v>4644</v>
      </c>
      <c r="D128" s="578" t="s">
        <v>4645</v>
      </c>
      <c r="E128" s="591">
        <v>0.1186</v>
      </c>
      <c r="F128" s="579" t="s">
        <v>4647</v>
      </c>
    </row>
    <row r="129" spans="1:6" ht="12" thickBot="1" x14ac:dyDescent="0.25">
      <c r="A129" s="756"/>
      <c r="B129" s="577" t="s">
        <v>4287</v>
      </c>
      <c r="C129" s="578" t="s">
        <v>4648</v>
      </c>
      <c r="D129" s="578" t="s">
        <v>4649</v>
      </c>
      <c r="E129" s="591">
        <v>0.10920000000000001</v>
      </c>
      <c r="F129" s="579" t="s">
        <v>4650</v>
      </c>
    </row>
    <row r="130" spans="1:6" ht="12" thickBot="1" x14ac:dyDescent="0.25">
      <c r="A130" s="756"/>
      <c r="B130" s="577" t="s">
        <v>4289</v>
      </c>
      <c r="C130" s="578" t="s">
        <v>4651</v>
      </c>
      <c r="D130" s="578" t="s">
        <v>4652</v>
      </c>
      <c r="E130" s="591">
        <v>9.2700000000000005E-2</v>
      </c>
      <c r="F130" s="579" t="s">
        <v>4653</v>
      </c>
    </row>
    <row r="131" spans="1:6" ht="12" thickBot="1" x14ac:dyDescent="0.25">
      <c r="A131" s="756"/>
      <c r="B131" s="577" t="s">
        <v>4292</v>
      </c>
      <c r="C131" s="578" t="s">
        <v>4654</v>
      </c>
      <c r="D131" s="578" t="s">
        <v>4655</v>
      </c>
      <c r="E131" s="591">
        <v>8.5599999999999996E-2</v>
      </c>
      <c r="F131" s="579" t="s">
        <v>4656</v>
      </c>
    </row>
    <row r="132" spans="1:6" ht="12" thickBot="1" x14ac:dyDescent="0.25">
      <c r="A132" s="756"/>
      <c r="B132" s="577" t="s">
        <v>4295</v>
      </c>
      <c r="C132" s="578" t="s">
        <v>4657</v>
      </c>
      <c r="D132" s="578" t="s">
        <v>4658</v>
      </c>
      <c r="E132" s="591">
        <v>7.7299999999999994E-2</v>
      </c>
      <c r="F132" s="579" t="s">
        <v>4660</v>
      </c>
    </row>
    <row r="133" spans="1:6" ht="12" thickBot="1" x14ac:dyDescent="0.25">
      <c r="A133" s="756"/>
      <c r="B133" s="577" t="s">
        <v>4298</v>
      </c>
      <c r="C133" s="578" t="s">
        <v>4661</v>
      </c>
      <c r="D133" s="578" t="s">
        <v>4662</v>
      </c>
      <c r="E133" s="591">
        <v>8.6099999999999996E-2</v>
      </c>
      <c r="F133" s="579" t="s">
        <v>4663</v>
      </c>
    </row>
    <row r="134" spans="1:6" ht="12" thickBot="1" x14ac:dyDescent="0.25">
      <c r="A134" s="757"/>
      <c r="B134" s="577" t="s">
        <v>4301</v>
      </c>
      <c r="C134" s="578" t="s">
        <v>4664</v>
      </c>
      <c r="D134" s="578" t="s">
        <v>4314</v>
      </c>
      <c r="E134" s="591">
        <v>8.7999999999999995E-2</v>
      </c>
      <c r="F134" s="579" t="s">
        <v>4665</v>
      </c>
    </row>
    <row r="135" spans="1:6" ht="12" thickBot="1" x14ac:dyDescent="0.25">
      <c r="A135" s="755">
        <v>1965</v>
      </c>
      <c r="B135" s="577" t="s">
        <v>4304</v>
      </c>
      <c r="C135" s="578" t="s">
        <v>4666</v>
      </c>
      <c r="D135" s="578" t="s">
        <v>4667</v>
      </c>
      <c r="E135" s="591">
        <v>1.41E-2</v>
      </c>
      <c r="F135" s="579" t="s">
        <v>4668</v>
      </c>
    </row>
    <row r="136" spans="1:6" ht="12" thickBot="1" x14ac:dyDescent="0.25">
      <c r="A136" s="756"/>
      <c r="B136" s="577" t="s">
        <v>4307</v>
      </c>
      <c r="C136" s="578" t="s">
        <v>4651</v>
      </c>
      <c r="D136" s="578" t="s">
        <v>4669</v>
      </c>
      <c r="E136" s="591">
        <v>4.3E-3</v>
      </c>
      <c r="F136" s="579" t="s">
        <v>4670</v>
      </c>
    </row>
    <row r="137" spans="1:6" ht="12" thickBot="1" x14ac:dyDescent="0.25">
      <c r="A137" s="756"/>
      <c r="B137" s="577" t="s">
        <v>4311</v>
      </c>
      <c r="C137" s="578" t="s">
        <v>4671</v>
      </c>
      <c r="D137" s="578" t="s">
        <v>4381</v>
      </c>
      <c r="E137" s="591">
        <v>1.8499999999999999E-2</v>
      </c>
      <c r="F137" s="579" t="s">
        <v>4673</v>
      </c>
    </row>
    <row r="138" spans="1:6" ht="12" thickBot="1" x14ac:dyDescent="0.25">
      <c r="A138" s="756"/>
      <c r="B138" s="577" t="s">
        <v>4315</v>
      </c>
      <c r="C138" s="578" t="s">
        <v>4674</v>
      </c>
      <c r="D138" s="578" t="s">
        <v>4675</v>
      </c>
      <c r="E138" s="591">
        <v>3.6400000000000002E-2</v>
      </c>
      <c r="F138" s="579" t="s">
        <v>4519</v>
      </c>
    </row>
    <row r="139" spans="1:6" ht="12" thickBot="1" x14ac:dyDescent="0.25">
      <c r="A139" s="756"/>
      <c r="B139" s="577" t="s">
        <v>4319</v>
      </c>
      <c r="C139" s="578" t="s">
        <v>4676</v>
      </c>
      <c r="D139" s="578" t="s">
        <v>4378</v>
      </c>
      <c r="E139" s="591">
        <v>4.9299999999999997E-2</v>
      </c>
      <c r="F139" s="579" t="s">
        <v>4677</v>
      </c>
    </row>
    <row r="140" spans="1:6" ht="12" thickBot="1" x14ac:dyDescent="0.25">
      <c r="A140" s="756"/>
      <c r="B140" s="577" t="s">
        <v>4323</v>
      </c>
      <c r="C140" s="578" t="s">
        <v>4678</v>
      </c>
      <c r="D140" s="578" t="s">
        <v>4679</v>
      </c>
      <c r="E140" s="591">
        <v>6.5299999999999997E-2</v>
      </c>
      <c r="F140" s="579" t="s">
        <v>4680</v>
      </c>
    </row>
    <row r="141" spans="1:6" ht="12" thickBot="1" x14ac:dyDescent="0.25">
      <c r="A141" s="756"/>
      <c r="B141" s="577" t="s">
        <v>4287</v>
      </c>
      <c r="C141" s="578" t="s">
        <v>4681</v>
      </c>
      <c r="D141" s="578" t="s">
        <v>4682</v>
      </c>
      <c r="E141" s="591">
        <v>6.6100000000000006E-2</v>
      </c>
      <c r="F141" s="579" t="s">
        <v>4683</v>
      </c>
    </row>
    <row r="142" spans="1:6" ht="12" thickBot="1" x14ac:dyDescent="0.25">
      <c r="A142" s="756"/>
      <c r="B142" s="577" t="s">
        <v>4289</v>
      </c>
      <c r="C142" s="578" t="s">
        <v>4684</v>
      </c>
      <c r="D142" s="578" t="s">
        <v>4685</v>
      </c>
      <c r="E142" s="591">
        <v>6.83E-2</v>
      </c>
      <c r="F142" s="579" t="s">
        <v>4686</v>
      </c>
    </row>
    <row r="143" spans="1:6" ht="12" thickBot="1" x14ac:dyDescent="0.25">
      <c r="A143" s="756"/>
      <c r="B143" s="577" t="s">
        <v>4292</v>
      </c>
      <c r="C143" s="578" t="s">
        <v>4687</v>
      </c>
      <c r="D143" s="578" t="s">
        <v>4365</v>
      </c>
      <c r="E143" s="591">
        <v>7.8100000000000003E-2</v>
      </c>
      <c r="F143" s="579" t="s">
        <v>4688</v>
      </c>
    </row>
    <row r="144" spans="1:6" ht="12" thickBot="1" x14ac:dyDescent="0.25">
      <c r="A144" s="756"/>
      <c r="B144" s="577" t="s">
        <v>4295</v>
      </c>
      <c r="C144" s="578" t="s">
        <v>4689</v>
      </c>
      <c r="D144" s="578" t="s">
        <v>4690</v>
      </c>
      <c r="E144" s="591">
        <v>0.1014</v>
      </c>
      <c r="F144" s="579" t="s">
        <v>4691</v>
      </c>
    </row>
    <row r="145" spans="1:6" ht="12" thickBot="1" x14ac:dyDescent="0.25">
      <c r="A145" s="756"/>
      <c r="B145" s="577" t="s">
        <v>4298</v>
      </c>
      <c r="C145" s="578" t="s">
        <v>4692</v>
      </c>
      <c r="D145" s="578" t="s">
        <v>4693</v>
      </c>
      <c r="E145" s="591">
        <v>0.1167</v>
      </c>
      <c r="F145" s="579" t="s">
        <v>4646</v>
      </c>
    </row>
    <row r="146" spans="1:6" ht="12" thickBot="1" x14ac:dyDescent="0.25">
      <c r="A146" s="757"/>
      <c r="B146" s="577" t="s">
        <v>4301</v>
      </c>
      <c r="C146" s="578" t="s">
        <v>4694</v>
      </c>
      <c r="D146" s="578" t="s">
        <v>4695</v>
      </c>
      <c r="E146" s="591">
        <v>0.1444</v>
      </c>
      <c r="F146" s="579" t="s">
        <v>4696</v>
      </c>
    </row>
    <row r="147" spans="1:6" ht="12" thickBot="1" x14ac:dyDescent="0.25">
      <c r="A147" s="755">
        <v>1966</v>
      </c>
      <c r="B147" s="577" t="s">
        <v>4304</v>
      </c>
      <c r="C147" s="578" t="s">
        <v>4697</v>
      </c>
      <c r="D147" s="578" t="s">
        <v>4502</v>
      </c>
      <c r="E147" s="591">
        <v>1.29E-2</v>
      </c>
      <c r="F147" s="579" t="s">
        <v>4698</v>
      </c>
    </row>
    <row r="148" spans="1:6" ht="12" thickBot="1" x14ac:dyDescent="0.25">
      <c r="A148" s="756"/>
      <c r="B148" s="577" t="s">
        <v>4307</v>
      </c>
      <c r="C148" s="578" t="s">
        <v>4699</v>
      </c>
      <c r="D148" s="578" t="s">
        <v>4400</v>
      </c>
      <c r="E148" s="591">
        <v>2.5899999999999999E-2</v>
      </c>
      <c r="F148" s="579" t="s">
        <v>4700</v>
      </c>
    </row>
    <row r="149" spans="1:6" ht="12" thickBot="1" x14ac:dyDescent="0.25">
      <c r="A149" s="756"/>
      <c r="B149" s="577" t="s">
        <v>4311</v>
      </c>
      <c r="C149" s="578" t="s">
        <v>4701</v>
      </c>
      <c r="D149" s="578" t="s">
        <v>4702</v>
      </c>
      <c r="E149" s="591">
        <v>5.0999999999999997E-2</v>
      </c>
      <c r="F149" s="579" t="s">
        <v>4704</v>
      </c>
    </row>
    <row r="150" spans="1:6" ht="12" thickBot="1" x14ac:dyDescent="0.25">
      <c r="A150" s="756"/>
      <c r="B150" s="577" t="s">
        <v>4315</v>
      </c>
      <c r="C150" s="578" t="s">
        <v>4705</v>
      </c>
      <c r="D150" s="578" t="s">
        <v>4706</v>
      </c>
      <c r="E150" s="591">
        <v>8.2299999999999998E-2</v>
      </c>
      <c r="F150" s="579" t="s">
        <v>4418</v>
      </c>
    </row>
    <row r="151" spans="1:6" ht="12" thickBot="1" x14ac:dyDescent="0.25">
      <c r="A151" s="756"/>
      <c r="B151" s="577" t="s">
        <v>4319</v>
      </c>
      <c r="C151" s="578" t="s">
        <v>4707</v>
      </c>
      <c r="D151" s="578" t="s">
        <v>4524</v>
      </c>
      <c r="E151" s="591">
        <v>9.5000000000000001E-2</v>
      </c>
      <c r="F151" s="579" t="s">
        <v>4708</v>
      </c>
    </row>
    <row r="152" spans="1:6" ht="12" thickBot="1" x14ac:dyDescent="0.25">
      <c r="A152" s="756"/>
      <c r="B152" s="577" t="s">
        <v>4323</v>
      </c>
      <c r="C152" s="578" t="s">
        <v>4709</v>
      </c>
      <c r="D152" s="578" t="s">
        <v>4710</v>
      </c>
      <c r="E152" s="591">
        <v>9.4299999999999995E-2</v>
      </c>
      <c r="F152" s="579" t="s">
        <v>4711</v>
      </c>
    </row>
    <row r="153" spans="1:6" ht="12" thickBot="1" x14ac:dyDescent="0.25">
      <c r="A153" s="756"/>
      <c r="B153" s="577" t="s">
        <v>4287</v>
      </c>
      <c r="C153" s="578" t="s">
        <v>4712</v>
      </c>
      <c r="D153" s="578" t="s">
        <v>4330</v>
      </c>
      <c r="E153" s="591">
        <v>9.5399999999999999E-2</v>
      </c>
      <c r="F153" s="579" t="s">
        <v>4713</v>
      </c>
    </row>
    <row r="154" spans="1:6" ht="12" thickBot="1" x14ac:dyDescent="0.25">
      <c r="A154" s="756"/>
      <c r="B154" s="577" t="s">
        <v>4289</v>
      </c>
      <c r="C154" s="578" t="s">
        <v>4714</v>
      </c>
      <c r="D154" s="578" t="s">
        <v>4715</v>
      </c>
      <c r="E154" s="591">
        <v>9.2600000000000002E-2</v>
      </c>
      <c r="F154" s="579" t="s">
        <v>4716</v>
      </c>
    </row>
    <row r="155" spans="1:6" ht="12" thickBot="1" x14ac:dyDescent="0.25">
      <c r="A155" s="756"/>
      <c r="B155" s="577" t="s">
        <v>4292</v>
      </c>
      <c r="C155" s="578" t="s">
        <v>4717</v>
      </c>
      <c r="D155" s="578" t="s">
        <v>4718</v>
      </c>
      <c r="E155" s="591">
        <v>0.1045</v>
      </c>
      <c r="F155" s="579" t="s">
        <v>4435</v>
      </c>
    </row>
    <row r="156" spans="1:6" ht="12" thickBot="1" x14ac:dyDescent="0.25">
      <c r="A156" s="756"/>
      <c r="B156" s="577" t="s">
        <v>4295</v>
      </c>
      <c r="C156" s="578" t="s">
        <v>4719</v>
      </c>
      <c r="D156" s="578" t="s">
        <v>4720</v>
      </c>
      <c r="E156" s="591">
        <v>0.1164</v>
      </c>
      <c r="F156" s="579" t="s">
        <v>521</v>
      </c>
    </row>
    <row r="157" spans="1:6" ht="12" thickBot="1" x14ac:dyDescent="0.25">
      <c r="A157" s="756"/>
      <c r="B157" s="577" t="s">
        <v>4298</v>
      </c>
      <c r="C157" s="578" t="s">
        <v>4721</v>
      </c>
      <c r="D157" s="578" t="s">
        <v>4617</v>
      </c>
      <c r="E157" s="591">
        <v>0.1193</v>
      </c>
      <c r="F157" s="579" t="s">
        <v>4722</v>
      </c>
    </row>
    <row r="158" spans="1:6" ht="12" thickBot="1" x14ac:dyDescent="0.25">
      <c r="A158" s="757"/>
      <c r="B158" s="577" t="s">
        <v>4301</v>
      </c>
      <c r="C158" s="578" t="s">
        <v>4723</v>
      </c>
      <c r="D158" s="578" t="s">
        <v>4336</v>
      </c>
      <c r="E158" s="591">
        <v>0.12859999999999999</v>
      </c>
      <c r="F158" s="579" t="s">
        <v>4724</v>
      </c>
    </row>
    <row r="159" spans="1:6" ht="12" thickBot="1" x14ac:dyDescent="0.25">
      <c r="A159" s="755">
        <v>1967</v>
      </c>
      <c r="B159" s="577" t="s">
        <v>4304</v>
      </c>
      <c r="C159" s="578" t="s">
        <v>4725</v>
      </c>
      <c r="D159" s="578" t="s">
        <v>4560</v>
      </c>
      <c r="E159" s="591">
        <v>5.1999999999999998E-3</v>
      </c>
      <c r="F159" s="579" t="s">
        <v>4726</v>
      </c>
    </row>
    <row r="160" spans="1:6" ht="12" thickBot="1" x14ac:dyDescent="0.25">
      <c r="A160" s="756"/>
      <c r="B160" s="577" t="s">
        <v>4307</v>
      </c>
      <c r="C160" s="578" t="s">
        <v>4727</v>
      </c>
      <c r="D160" s="578" t="s">
        <v>4728</v>
      </c>
      <c r="E160" s="591">
        <v>9.7999999999999997E-3</v>
      </c>
      <c r="F160" s="579" t="s">
        <v>4730</v>
      </c>
    </row>
    <row r="161" spans="1:6" ht="12" thickBot="1" x14ac:dyDescent="0.25">
      <c r="A161" s="756"/>
      <c r="B161" s="577" t="s">
        <v>4311</v>
      </c>
      <c r="C161" s="578" t="s">
        <v>4731</v>
      </c>
      <c r="D161" s="578" t="s">
        <v>4718</v>
      </c>
      <c r="E161" s="591">
        <v>2.0799999999999999E-2</v>
      </c>
      <c r="F161" s="579" t="s">
        <v>4663</v>
      </c>
    </row>
    <row r="162" spans="1:6" ht="12" thickBot="1" x14ac:dyDescent="0.25">
      <c r="A162" s="756"/>
      <c r="B162" s="577" t="s">
        <v>4315</v>
      </c>
      <c r="C162" s="578" t="s">
        <v>4732</v>
      </c>
      <c r="D162" s="578" t="s">
        <v>4351</v>
      </c>
      <c r="E162" s="591">
        <v>2.4799999999999999E-2</v>
      </c>
      <c r="F162" s="579" t="s">
        <v>4733</v>
      </c>
    </row>
    <row r="163" spans="1:6" ht="12" thickBot="1" x14ac:dyDescent="0.25">
      <c r="A163" s="756"/>
      <c r="B163" s="577" t="s">
        <v>4319</v>
      </c>
      <c r="C163" s="578" t="s">
        <v>4734</v>
      </c>
      <c r="D163" s="578" t="s">
        <v>4735</v>
      </c>
      <c r="E163" s="591">
        <v>3.1300000000000001E-2</v>
      </c>
      <c r="F163" s="579" t="s">
        <v>4596</v>
      </c>
    </row>
    <row r="164" spans="1:6" ht="12" thickBot="1" x14ac:dyDescent="0.25">
      <c r="A164" s="756"/>
      <c r="B164" s="577" t="s">
        <v>4323</v>
      </c>
      <c r="C164" s="578" t="s">
        <v>4737</v>
      </c>
      <c r="D164" s="578" t="s">
        <v>4738</v>
      </c>
      <c r="E164" s="591">
        <v>4.9500000000000002E-2</v>
      </c>
      <c r="F164" s="579" t="s">
        <v>4739</v>
      </c>
    </row>
    <row r="165" spans="1:6" ht="12" thickBot="1" x14ac:dyDescent="0.25">
      <c r="A165" s="756"/>
      <c r="B165" s="577" t="s">
        <v>4287</v>
      </c>
      <c r="C165" s="578" t="s">
        <v>4740</v>
      </c>
      <c r="D165" s="578" t="s">
        <v>4424</v>
      </c>
      <c r="E165" s="591">
        <v>5.11E-2</v>
      </c>
      <c r="F165" s="579" t="s">
        <v>4741</v>
      </c>
    </row>
    <row r="166" spans="1:6" ht="12" thickBot="1" x14ac:dyDescent="0.25">
      <c r="A166" s="756"/>
      <c r="B166" s="577" t="s">
        <v>4289</v>
      </c>
      <c r="C166" s="578" t="s">
        <v>4742</v>
      </c>
      <c r="D166" s="578" t="s">
        <v>4743</v>
      </c>
      <c r="E166" s="591">
        <v>4.9399999999999999E-2</v>
      </c>
      <c r="F166" s="579" t="s">
        <v>4553</v>
      </c>
    </row>
    <row r="167" spans="1:6" ht="12" thickBot="1" x14ac:dyDescent="0.25">
      <c r="A167" s="756"/>
      <c r="B167" s="577" t="s">
        <v>4292</v>
      </c>
      <c r="C167" s="578" t="s">
        <v>4744</v>
      </c>
      <c r="D167" s="578" t="s">
        <v>4297</v>
      </c>
      <c r="E167" s="591">
        <v>5.2999999999999999E-2</v>
      </c>
      <c r="F167" s="579" t="s">
        <v>4745</v>
      </c>
    </row>
    <row r="168" spans="1:6" ht="12" thickBot="1" x14ac:dyDescent="0.25">
      <c r="A168" s="756"/>
      <c r="B168" s="577" t="s">
        <v>4295</v>
      </c>
      <c r="C168" s="578" t="s">
        <v>4746</v>
      </c>
      <c r="D168" s="578" t="s">
        <v>4747</v>
      </c>
      <c r="E168" s="591">
        <v>6.1199999999999997E-2</v>
      </c>
      <c r="F168" s="579" t="s">
        <v>4748</v>
      </c>
    </row>
    <row r="169" spans="1:6" ht="12" thickBot="1" x14ac:dyDescent="0.25">
      <c r="A169" s="756"/>
      <c r="B169" s="577" t="s">
        <v>4298</v>
      </c>
      <c r="C169" s="578" t="s">
        <v>4749</v>
      </c>
      <c r="D169" s="578" t="s">
        <v>4750</v>
      </c>
      <c r="E169" s="591">
        <v>6.7100000000000007E-2</v>
      </c>
      <c r="F169" s="579" t="s">
        <v>4745</v>
      </c>
    </row>
    <row r="170" spans="1:6" ht="12" thickBot="1" x14ac:dyDescent="0.25">
      <c r="A170" s="757"/>
      <c r="B170" s="577" t="s">
        <v>4301</v>
      </c>
      <c r="C170" s="578" t="s">
        <v>4752</v>
      </c>
      <c r="D170" s="578" t="s">
        <v>4567</v>
      </c>
      <c r="E170" s="591">
        <v>7.17E-2</v>
      </c>
      <c r="F170" s="579" t="s">
        <v>4753</v>
      </c>
    </row>
    <row r="171" spans="1:6" ht="12" thickBot="1" x14ac:dyDescent="0.25">
      <c r="A171" s="755">
        <v>1968</v>
      </c>
      <c r="B171" s="577" t="s">
        <v>4304</v>
      </c>
      <c r="C171" s="578" t="s">
        <v>4754</v>
      </c>
      <c r="D171" s="578" t="s">
        <v>4421</v>
      </c>
      <c r="E171" s="591">
        <v>9.9000000000000008E-3</v>
      </c>
      <c r="F171" s="579" t="s">
        <v>4755</v>
      </c>
    </row>
    <row r="172" spans="1:6" ht="12" thickBot="1" x14ac:dyDescent="0.25">
      <c r="A172" s="756"/>
      <c r="B172" s="577" t="s">
        <v>4307</v>
      </c>
      <c r="C172" s="578" t="s">
        <v>4756</v>
      </c>
      <c r="D172" s="578" t="s">
        <v>4332</v>
      </c>
      <c r="E172" s="591">
        <v>9.9000000000000008E-3</v>
      </c>
      <c r="F172" s="579" t="s">
        <v>4450</v>
      </c>
    </row>
    <row r="173" spans="1:6" ht="12" thickBot="1" x14ac:dyDescent="0.25">
      <c r="A173" s="756"/>
      <c r="B173" s="577" t="s">
        <v>4311</v>
      </c>
      <c r="C173" s="578" t="s">
        <v>4757</v>
      </c>
      <c r="D173" s="578" t="s">
        <v>4758</v>
      </c>
      <c r="E173" s="591">
        <v>2.0500000000000001E-2</v>
      </c>
      <c r="F173" s="579" t="s">
        <v>4488</v>
      </c>
    </row>
    <row r="174" spans="1:6" ht="12" thickBot="1" x14ac:dyDescent="0.25">
      <c r="A174" s="756"/>
      <c r="B174" s="577" t="s">
        <v>4315</v>
      </c>
      <c r="C174" s="578" t="s">
        <v>4759</v>
      </c>
      <c r="D174" s="578" t="s">
        <v>4623</v>
      </c>
      <c r="E174" s="591">
        <v>3.73E-2</v>
      </c>
      <c r="F174" s="579" t="s">
        <v>4761</v>
      </c>
    </row>
    <row r="175" spans="1:6" ht="12" thickBot="1" x14ac:dyDescent="0.25">
      <c r="A175" s="756"/>
      <c r="B175" s="577" t="s">
        <v>4319</v>
      </c>
      <c r="C175" s="578" t="s">
        <v>4762</v>
      </c>
      <c r="D175" s="578" t="s">
        <v>4564</v>
      </c>
      <c r="E175" s="591">
        <v>4.4200000000000003E-2</v>
      </c>
      <c r="F175" s="579" t="s">
        <v>4764</v>
      </c>
    </row>
    <row r="176" spans="1:6" ht="12" thickBot="1" x14ac:dyDescent="0.25">
      <c r="A176" s="756"/>
      <c r="B176" s="577" t="s">
        <v>4323</v>
      </c>
      <c r="C176" s="578" t="s">
        <v>4765</v>
      </c>
      <c r="D176" s="578" t="s">
        <v>4766</v>
      </c>
      <c r="E176" s="591">
        <v>4.82E-2</v>
      </c>
      <c r="F176" s="579" t="s">
        <v>4767</v>
      </c>
    </row>
    <row r="177" spans="1:6" ht="12" thickBot="1" x14ac:dyDescent="0.25">
      <c r="A177" s="756"/>
      <c r="B177" s="577" t="s">
        <v>4287</v>
      </c>
      <c r="C177" s="578" t="s">
        <v>4768</v>
      </c>
      <c r="D177" s="578" t="s">
        <v>4769</v>
      </c>
      <c r="E177" s="591">
        <v>5.6599999999999998E-2</v>
      </c>
      <c r="F177" s="579" t="s">
        <v>4659</v>
      </c>
    </row>
    <row r="178" spans="1:6" ht="12" thickBot="1" x14ac:dyDescent="0.25">
      <c r="A178" s="756"/>
      <c r="B178" s="577" t="s">
        <v>4289</v>
      </c>
      <c r="C178" s="578" t="s">
        <v>4770</v>
      </c>
      <c r="D178" s="578" t="s">
        <v>4771</v>
      </c>
      <c r="E178" s="591">
        <v>5.4100000000000002E-2</v>
      </c>
      <c r="F178" s="579" t="s">
        <v>4773</v>
      </c>
    </row>
    <row r="179" spans="1:6" ht="12" thickBot="1" x14ac:dyDescent="0.25">
      <c r="A179" s="756"/>
      <c r="B179" s="577" t="s">
        <v>4292</v>
      </c>
      <c r="C179" s="578" t="s">
        <v>4774</v>
      </c>
      <c r="D179" s="578" t="s">
        <v>4327</v>
      </c>
      <c r="E179" s="591">
        <v>5.5500000000000001E-2</v>
      </c>
      <c r="F179" s="579" t="s">
        <v>4775</v>
      </c>
    </row>
    <row r="180" spans="1:6" ht="12" thickBot="1" x14ac:dyDescent="0.25">
      <c r="A180" s="756"/>
      <c r="B180" s="577" t="s">
        <v>4295</v>
      </c>
      <c r="C180" s="578" t="s">
        <v>4776</v>
      </c>
      <c r="D180" s="578" t="s">
        <v>4777</v>
      </c>
      <c r="E180" s="591">
        <v>5.91E-2</v>
      </c>
      <c r="F180" s="579" t="s">
        <v>4778</v>
      </c>
    </row>
    <row r="181" spans="1:6" ht="12" thickBot="1" x14ac:dyDescent="0.25">
      <c r="A181" s="756"/>
      <c r="B181" s="577" t="s">
        <v>4298</v>
      </c>
      <c r="C181" s="578" t="s">
        <v>4779</v>
      </c>
      <c r="D181" s="578" t="s">
        <v>4317</v>
      </c>
      <c r="E181" s="591">
        <v>6.6500000000000004E-2</v>
      </c>
      <c r="F181" s="579" t="s">
        <v>4780</v>
      </c>
    </row>
    <row r="182" spans="1:6" ht="12" thickBot="1" x14ac:dyDescent="0.25">
      <c r="A182" s="757"/>
      <c r="B182" s="577" t="s">
        <v>4301</v>
      </c>
      <c r="C182" s="578" t="s">
        <v>4781</v>
      </c>
      <c r="D182" s="578" t="s">
        <v>4782</v>
      </c>
      <c r="E182" s="591">
        <v>6.5100000000000005E-2</v>
      </c>
      <c r="F182" s="579" t="s">
        <v>4783</v>
      </c>
    </row>
    <row r="183" spans="1:6" ht="12" thickBot="1" x14ac:dyDescent="0.25">
      <c r="A183" s="755">
        <v>1969</v>
      </c>
      <c r="B183" s="577" t="s">
        <v>4304</v>
      </c>
      <c r="C183" s="578" t="s">
        <v>4784</v>
      </c>
      <c r="D183" s="578" t="s">
        <v>4387</v>
      </c>
      <c r="E183" s="591">
        <v>1.18E-2</v>
      </c>
      <c r="F183" s="579" t="s">
        <v>4751</v>
      </c>
    </row>
    <row r="184" spans="1:6" ht="12" thickBot="1" x14ac:dyDescent="0.25">
      <c r="A184" s="756"/>
      <c r="B184" s="577" t="s">
        <v>4307</v>
      </c>
      <c r="C184" s="578" t="s">
        <v>4785</v>
      </c>
      <c r="D184" s="578" t="s">
        <v>4786</v>
      </c>
      <c r="E184" s="591">
        <v>8.8999999999999999E-3</v>
      </c>
      <c r="F184" s="579" t="s">
        <v>4787</v>
      </c>
    </row>
    <row r="185" spans="1:6" ht="12" thickBot="1" x14ac:dyDescent="0.25">
      <c r="A185" s="756"/>
      <c r="B185" s="577" t="s">
        <v>4311</v>
      </c>
      <c r="C185" s="578" t="s">
        <v>4788</v>
      </c>
      <c r="D185" s="578" t="s">
        <v>4493</v>
      </c>
      <c r="E185" s="591">
        <v>1.72E-2</v>
      </c>
      <c r="F185" s="579" t="s">
        <v>4790</v>
      </c>
    </row>
    <row r="186" spans="1:6" ht="12" thickBot="1" x14ac:dyDescent="0.25">
      <c r="A186" s="756"/>
      <c r="B186" s="577" t="s">
        <v>4315</v>
      </c>
      <c r="C186" s="578" t="s">
        <v>4791</v>
      </c>
      <c r="D186" s="578" t="s">
        <v>4792</v>
      </c>
      <c r="E186" s="591">
        <v>3.4099999999999998E-2</v>
      </c>
      <c r="F186" s="579" t="s">
        <v>4794</v>
      </c>
    </row>
    <row r="187" spans="1:6" ht="12" thickBot="1" x14ac:dyDescent="0.25">
      <c r="A187" s="756"/>
      <c r="B187" s="577" t="s">
        <v>4319</v>
      </c>
      <c r="C187" s="578" t="s">
        <v>4795</v>
      </c>
      <c r="D187" s="578" t="s">
        <v>4573</v>
      </c>
      <c r="E187" s="591">
        <v>4.3400000000000001E-2</v>
      </c>
      <c r="F187" s="579" t="s">
        <v>4796</v>
      </c>
    </row>
    <row r="188" spans="1:6" ht="12" thickBot="1" x14ac:dyDescent="0.25">
      <c r="A188" s="756"/>
      <c r="B188" s="577" t="s">
        <v>4323</v>
      </c>
      <c r="C188" s="578" t="s">
        <v>4797</v>
      </c>
      <c r="D188" s="578" t="s">
        <v>4303</v>
      </c>
      <c r="E188" s="591">
        <v>4.8899999999999999E-2</v>
      </c>
      <c r="F188" s="579" t="s">
        <v>4798</v>
      </c>
    </row>
    <row r="189" spans="1:6" ht="12" thickBot="1" x14ac:dyDescent="0.25">
      <c r="A189" s="756"/>
      <c r="B189" s="577" t="s">
        <v>4287</v>
      </c>
      <c r="C189" s="578" t="s">
        <v>4799</v>
      </c>
      <c r="D189" s="578" t="s">
        <v>4313</v>
      </c>
      <c r="E189" s="591">
        <v>5.3100000000000001E-2</v>
      </c>
      <c r="F189" s="579" t="s">
        <v>4673</v>
      </c>
    </row>
    <row r="190" spans="1:6" ht="12" thickBot="1" x14ac:dyDescent="0.25">
      <c r="A190" s="756"/>
      <c r="B190" s="577" t="s">
        <v>4289</v>
      </c>
      <c r="C190" s="578" t="s">
        <v>4800</v>
      </c>
      <c r="D190" s="578" t="s">
        <v>4325</v>
      </c>
      <c r="E190" s="591">
        <v>5.7000000000000002E-2</v>
      </c>
      <c r="F190" s="579" t="s">
        <v>4481</v>
      </c>
    </row>
    <row r="191" spans="1:6" ht="12" thickBot="1" x14ac:dyDescent="0.25">
      <c r="A191" s="756"/>
      <c r="B191" s="577" t="s">
        <v>4292</v>
      </c>
      <c r="C191" s="578" t="s">
        <v>4801</v>
      </c>
      <c r="D191" s="578" t="s">
        <v>4359</v>
      </c>
      <c r="E191" s="591">
        <v>6.3899999999999998E-2</v>
      </c>
      <c r="F191" s="579" t="s">
        <v>4529</v>
      </c>
    </row>
    <row r="192" spans="1:6" ht="12" thickBot="1" x14ac:dyDescent="0.25">
      <c r="A192" s="756"/>
      <c r="B192" s="577" t="s">
        <v>4295</v>
      </c>
      <c r="C192" s="578" t="s">
        <v>4803</v>
      </c>
      <c r="D192" s="578" t="s">
        <v>4502</v>
      </c>
      <c r="E192" s="591">
        <v>7.7600000000000002E-2</v>
      </c>
      <c r="F192" s="579" t="s">
        <v>4804</v>
      </c>
    </row>
    <row r="193" spans="1:6" ht="12" thickBot="1" x14ac:dyDescent="0.25">
      <c r="A193" s="756"/>
      <c r="B193" s="577" t="s">
        <v>4298</v>
      </c>
      <c r="C193" s="578" t="s">
        <v>4805</v>
      </c>
      <c r="D193" s="578" t="s">
        <v>4806</v>
      </c>
      <c r="E193" s="591">
        <v>8.0399999999999999E-2</v>
      </c>
      <c r="F193" s="579" t="s">
        <v>4807</v>
      </c>
    </row>
    <row r="194" spans="1:6" ht="12" thickBot="1" x14ac:dyDescent="0.25">
      <c r="A194" s="757"/>
      <c r="B194" s="577" t="s">
        <v>4301</v>
      </c>
      <c r="C194" s="578" t="s">
        <v>4808</v>
      </c>
      <c r="D194" s="578" t="s">
        <v>4634</v>
      </c>
      <c r="E194" s="591">
        <v>8.6300000000000002E-2</v>
      </c>
      <c r="F194" s="579" t="s">
        <v>4809</v>
      </c>
    </row>
    <row r="195" spans="1:6" ht="12" thickBot="1" x14ac:dyDescent="0.25">
      <c r="A195" s="755">
        <v>1970</v>
      </c>
      <c r="B195" s="577" t="s">
        <v>4304</v>
      </c>
      <c r="C195" s="578" t="s">
        <v>4808</v>
      </c>
      <c r="D195" s="578" t="s">
        <v>4810</v>
      </c>
      <c r="E195" s="591">
        <v>0</v>
      </c>
      <c r="F195" s="579" t="s">
        <v>4811</v>
      </c>
    </row>
    <row r="196" spans="1:6" ht="12" thickBot="1" x14ac:dyDescent="0.25">
      <c r="A196" s="756"/>
      <c r="B196" s="577" t="s">
        <v>4307</v>
      </c>
      <c r="C196" s="578" t="s">
        <v>4812</v>
      </c>
      <c r="D196" s="578" t="s">
        <v>4499</v>
      </c>
      <c r="E196" s="591">
        <v>2.0000000000000001E-4</v>
      </c>
      <c r="F196" s="579" t="s">
        <v>4813</v>
      </c>
    </row>
    <row r="197" spans="1:6" ht="12" thickBot="1" x14ac:dyDescent="0.25">
      <c r="A197" s="756"/>
      <c r="B197" s="577" t="s">
        <v>4311</v>
      </c>
      <c r="C197" s="578" t="s">
        <v>4814</v>
      </c>
      <c r="D197" s="578" t="s">
        <v>4815</v>
      </c>
      <c r="E197" s="591">
        <v>8.6999999999999994E-3</v>
      </c>
      <c r="F197" s="579" t="s">
        <v>4816</v>
      </c>
    </row>
    <row r="198" spans="1:6" ht="12" thickBot="1" x14ac:dyDescent="0.25">
      <c r="A198" s="756"/>
      <c r="B198" s="577" t="s">
        <v>4315</v>
      </c>
      <c r="C198" s="578" t="s">
        <v>4817</v>
      </c>
      <c r="D198" s="578" t="s">
        <v>4818</v>
      </c>
      <c r="E198" s="591">
        <v>2.2700000000000001E-2</v>
      </c>
      <c r="F198" s="579" t="s">
        <v>4775</v>
      </c>
    </row>
    <row r="199" spans="1:6" ht="12" thickBot="1" x14ac:dyDescent="0.25">
      <c r="A199" s="756"/>
      <c r="B199" s="577" t="s">
        <v>4319</v>
      </c>
      <c r="C199" s="578" t="s">
        <v>4820</v>
      </c>
      <c r="D199" s="578" t="s">
        <v>4821</v>
      </c>
      <c r="E199" s="591">
        <v>2.7799999999999998E-2</v>
      </c>
      <c r="F199" s="579" t="s">
        <v>4822</v>
      </c>
    </row>
    <row r="200" spans="1:6" ht="12" thickBot="1" x14ac:dyDescent="0.25">
      <c r="A200" s="756"/>
      <c r="B200" s="577" t="s">
        <v>4323</v>
      </c>
      <c r="C200" s="578" t="s">
        <v>4823</v>
      </c>
      <c r="D200" s="578" t="s">
        <v>4758</v>
      </c>
      <c r="E200" s="591">
        <v>3.8699999999999998E-2</v>
      </c>
      <c r="F200" s="579" t="s">
        <v>4824</v>
      </c>
    </row>
    <row r="201" spans="1:6" ht="12" thickBot="1" x14ac:dyDescent="0.25">
      <c r="A201" s="756"/>
      <c r="B201" s="577" t="s">
        <v>4287</v>
      </c>
      <c r="C201" s="578" t="s">
        <v>4825</v>
      </c>
      <c r="D201" s="578" t="s">
        <v>4428</v>
      </c>
      <c r="E201" s="591">
        <v>4.1599999999999998E-2</v>
      </c>
      <c r="F201" s="579" t="s">
        <v>4826</v>
      </c>
    </row>
    <row r="202" spans="1:6" ht="12" thickBot="1" x14ac:dyDescent="0.25">
      <c r="A202" s="756"/>
      <c r="B202" s="577" t="s">
        <v>4289</v>
      </c>
      <c r="C202" s="578" t="s">
        <v>4827</v>
      </c>
      <c r="D202" s="578" t="s">
        <v>4828</v>
      </c>
      <c r="E202" s="591">
        <v>3.56E-2</v>
      </c>
      <c r="F202" s="579" t="s">
        <v>4829</v>
      </c>
    </row>
    <row r="203" spans="1:6" ht="12" thickBot="1" x14ac:dyDescent="0.25">
      <c r="A203" s="756"/>
      <c r="B203" s="577" t="s">
        <v>4292</v>
      </c>
      <c r="C203" s="578" t="s">
        <v>4830</v>
      </c>
      <c r="D203" s="578" t="s">
        <v>4472</v>
      </c>
      <c r="E203" s="591">
        <v>4.3099999999999999E-2</v>
      </c>
      <c r="F203" s="579" t="s">
        <v>4783</v>
      </c>
    </row>
    <row r="204" spans="1:6" ht="12" thickBot="1" x14ac:dyDescent="0.25">
      <c r="A204" s="756"/>
      <c r="B204" s="577" t="s">
        <v>4295</v>
      </c>
      <c r="C204" s="578" t="s">
        <v>4832</v>
      </c>
      <c r="D204" s="578" t="s">
        <v>4579</v>
      </c>
      <c r="E204" s="591">
        <v>4.3799999999999999E-2</v>
      </c>
      <c r="F204" s="579" t="s">
        <v>4833</v>
      </c>
    </row>
    <row r="205" spans="1:6" ht="12" thickBot="1" x14ac:dyDescent="0.25">
      <c r="A205" s="756"/>
      <c r="B205" s="577" t="s">
        <v>4298</v>
      </c>
      <c r="C205" s="578" t="s">
        <v>4834</v>
      </c>
      <c r="D205" s="578" t="s">
        <v>4345</v>
      </c>
      <c r="E205" s="591">
        <v>5.5500000000000001E-2</v>
      </c>
      <c r="F205" s="579" t="s">
        <v>4522</v>
      </c>
    </row>
    <row r="206" spans="1:6" ht="12" thickBot="1" x14ac:dyDescent="0.25">
      <c r="A206" s="757"/>
      <c r="B206" s="577" t="s">
        <v>4301</v>
      </c>
      <c r="C206" s="578" t="s">
        <v>4835</v>
      </c>
      <c r="D206" s="578" t="s">
        <v>4729</v>
      </c>
      <c r="E206" s="591">
        <v>6.5799999999999997E-2</v>
      </c>
      <c r="F206" s="579" t="s">
        <v>4798</v>
      </c>
    </row>
    <row r="207" spans="1:6" ht="12" thickBot="1" x14ac:dyDescent="0.25">
      <c r="A207" s="755">
        <v>1971</v>
      </c>
      <c r="B207" s="577" t="s">
        <v>4304</v>
      </c>
      <c r="C207" s="578" t="s">
        <v>4836</v>
      </c>
      <c r="D207" s="578" t="s">
        <v>4431</v>
      </c>
      <c r="E207" s="591">
        <v>1.5800000000000002E-2</v>
      </c>
      <c r="F207" s="579" t="s">
        <v>4837</v>
      </c>
    </row>
    <row r="208" spans="1:6" ht="12" thickBot="1" x14ac:dyDescent="0.25">
      <c r="A208" s="756"/>
      <c r="B208" s="577" t="s">
        <v>4307</v>
      </c>
      <c r="C208" s="578" t="s">
        <v>4838</v>
      </c>
      <c r="D208" s="578" t="s">
        <v>4336</v>
      </c>
      <c r="E208" s="591">
        <v>2.4299999999999999E-2</v>
      </c>
      <c r="F208" s="579" t="s">
        <v>4839</v>
      </c>
    </row>
    <row r="209" spans="1:6" ht="12" thickBot="1" x14ac:dyDescent="0.25">
      <c r="A209" s="756"/>
      <c r="B209" s="577" t="s">
        <v>4311</v>
      </c>
      <c r="C209" s="578" t="s">
        <v>4840</v>
      </c>
      <c r="D209" s="578" t="s">
        <v>4421</v>
      </c>
      <c r="E209" s="591">
        <v>3.4500000000000003E-2</v>
      </c>
      <c r="F209" s="579" t="s">
        <v>4388</v>
      </c>
    </row>
    <row r="210" spans="1:6" ht="12" thickBot="1" x14ac:dyDescent="0.25">
      <c r="A210" s="756"/>
      <c r="B210" s="577" t="s">
        <v>4315</v>
      </c>
      <c r="C210" s="578" t="s">
        <v>4841</v>
      </c>
      <c r="D210" s="578" t="s">
        <v>4842</v>
      </c>
      <c r="E210" s="591">
        <v>5.3400000000000003E-2</v>
      </c>
      <c r="F210" s="579" t="s">
        <v>4843</v>
      </c>
    </row>
    <row r="211" spans="1:6" ht="12" thickBot="1" x14ac:dyDescent="0.25">
      <c r="A211" s="756"/>
      <c r="B211" s="577" t="s">
        <v>4319</v>
      </c>
      <c r="C211" s="578" t="s">
        <v>4844</v>
      </c>
      <c r="D211" s="578" t="s">
        <v>4845</v>
      </c>
      <c r="E211" s="591">
        <v>6.6000000000000003E-2</v>
      </c>
      <c r="F211" s="579" t="s">
        <v>4846</v>
      </c>
    </row>
    <row r="212" spans="1:6" ht="12" thickBot="1" x14ac:dyDescent="0.25">
      <c r="A212" s="756"/>
      <c r="B212" s="577" t="s">
        <v>4323</v>
      </c>
      <c r="C212" s="578" t="s">
        <v>4847</v>
      </c>
      <c r="D212" s="578" t="s">
        <v>4750</v>
      </c>
      <c r="E212" s="591">
        <v>7.1999999999999995E-2</v>
      </c>
      <c r="F212" s="579" t="s">
        <v>4848</v>
      </c>
    </row>
    <row r="213" spans="1:6" ht="12" thickBot="1" x14ac:dyDescent="0.25">
      <c r="A213" s="756"/>
      <c r="B213" s="577" t="s">
        <v>4287</v>
      </c>
      <c r="C213" s="578" t="s">
        <v>4849</v>
      </c>
      <c r="D213" s="578" t="s">
        <v>4850</v>
      </c>
      <c r="E213" s="591">
        <v>8.6699999999999999E-2</v>
      </c>
      <c r="F213" s="579" t="s">
        <v>4851</v>
      </c>
    </row>
    <row r="214" spans="1:6" ht="12" thickBot="1" x14ac:dyDescent="0.25">
      <c r="A214" s="756"/>
      <c r="B214" s="577" t="s">
        <v>4289</v>
      </c>
      <c r="C214" s="578" t="s">
        <v>4852</v>
      </c>
      <c r="D214" s="578" t="s">
        <v>4853</v>
      </c>
      <c r="E214" s="591">
        <v>9.8299999999999998E-2</v>
      </c>
      <c r="F214" s="579" t="s">
        <v>4854</v>
      </c>
    </row>
    <row r="215" spans="1:6" ht="12" thickBot="1" x14ac:dyDescent="0.25">
      <c r="A215" s="756"/>
      <c r="B215" s="577" t="s">
        <v>4292</v>
      </c>
      <c r="C215" s="578" t="s">
        <v>4855</v>
      </c>
      <c r="D215" s="578" t="s">
        <v>4662</v>
      </c>
      <c r="E215" s="591">
        <v>0.10730000000000001</v>
      </c>
      <c r="F215" s="579" t="s">
        <v>4856</v>
      </c>
    </row>
    <row r="216" spans="1:6" ht="12" thickBot="1" x14ac:dyDescent="0.25">
      <c r="A216" s="756"/>
      <c r="B216" s="577" t="s">
        <v>4295</v>
      </c>
      <c r="C216" s="578" t="s">
        <v>4857</v>
      </c>
      <c r="D216" s="578" t="s">
        <v>4667</v>
      </c>
      <c r="E216" s="591">
        <v>0.12280000000000001</v>
      </c>
      <c r="F216" s="579" t="s">
        <v>4858</v>
      </c>
    </row>
    <row r="217" spans="1:6" ht="12" thickBot="1" x14ac:dyDescent="0.25">
      <c r="A217" s="756"/>
      <c r="B217" s="577" t="s">
        <v>4298</v>
      </c>
      <c r="C217" s="578" t="s">
        <v>4859</v>
      </c>
      <c r="D217" s="578" t="s">
        <v>4853</v>
      </c>
      <c r="E217" s="591">
        <v>0.13489999999999999</v>
      </c>
      <c r="F217" s="579" t="s">
        <v>4860</v>
      </c>
    </row>
    <row r="218" spans="1:6" ht="12" thickBot="1" x14ac:dyDescent="0.25">
      <c r="A218" s="757"/>
      <c r="B218" s="577" t="s">
        <v>4301</v>
      </c>
      <c r="C218" s="578" t="s">
        <v>4861</v>
      </c>
      <c r="D218" s="578" t="s">
        <v>4862</v>
      </c>
      <c r="E218" s="591">
        <v>0.14030000000000001</v>
      </c>
      <c r="F218" s="579" t="s">
        <v>4863</v>
      </c>
    </row>
    <row r="219" spans="1:6" ht="12" thickBot="1" x14ac:dyDescent="0.25">
      <c r="A219" s="755">
        <v>1972</v>
      </c>
      <c r="B219" s="577" t="s">
        <v>4304</v>
      </c>
      <c r="C219" s="578" t="s">
        <v>4864</v>
      </c>
      <c r="D219" s="578" t="s">
        <v>4543</v>
      </c>
      <c r="E219" s="591">
        <v>1.0999999999999999E-2</v>
      </c>
      <c r="F219" s="579" t="s">
        <v>4865</v>
      </c>
    </row>
    <row r="220" spans="1:6" ht="12" thickBot="1" x14ac:dyDescent="0.25">
      <c r="A220" s="756"/>
      <c r="B220" s="577" t="s">
        <v>4307</v>
      </c>
      <c r="C220" s="578" t="s">
        <v>4866</v>
      </c>
      <c r="D220" s="578" t="s">
        <v>4867</v>
      </c>
      <c r="E220" s="591">
        <v>2.2700000000000001E-2</v>
      </c>
      <c r="F220" s="579" t="s">
        <v>4868</v>
      </c>
    </row>
    <row r="221" spans="1:6" ht="12" thickBot="1" x14ac:dyDescent="0.25">
      <c r="A221" s="756"/>
      <c r="B221" s="577" t="s">
        <v>4311</v>
      </c>
      <c r="C221" s="578" t="s">
        <v>4869</v>
      </c>
      <c r="D221" s="578" t="s">
        <v>4729</v>
      </c>
      <c r="E221" s="591">
        <v>3.27E-2</v>
      </c>
      <c r="F221" s="579" t="s">
        <v>4871</v>
      </c>
    </row>
    <row r="222" spans="1:6" ht="12" thickBot="1" x14ac:dyDescent="0.25">
      <c r="A222" s="756"/>
      <c r="B222" s="577" t="s">
        <v>4315</v>
      </c>
      <c r="C222" s="578" t="s">
        <v>4872</v>
      </c>
      <c r="D222" s="578" t="s">
        <v>4873</v>
      </c>
      <c r="E222" s="591">
        <v>4.8099999999999997E-2</v>
      </c>
      <c r="F222" s="579" t="s">
        <v>4874</v>
      </c>
    </row>
    <row r="223" spans="1:6" ht="12" thickBot="1" x14ac:dyDescent="0.25">
      <c r="A223" s="756"/>
      <c r="B223" s="577" t="s">
        <v>4319</v>
      </c>
      <c r="C223" s="578" t="s">
        <v>4875</v>
      </c>
      <c r="D223" s="578" t="s">
        <v>4769</v>
      </c>
      <c r="E223" s="591">
        <v>5.6500000000000002E-2</v>
      </c>
      <c r="F223" s="579" t="s">
        <v>4876</v>
      </c>
    </row>
    <row r="224" spans="1:6" ht="12" thickBot="1" x14ac:dyDescent="0.25">
      <c r="A224" s="756"/>
      <c r="B224" s="577" t="s">
        <v>4323</v>
      </c>
      <c r="C224" s="578" t="s">
        <v>4877</v>
      </c>
      <c r="D224" s="578" t="s">
        <v>4758</v>
      </c>
      <c r="E224" s="591">
        <v>6.7599999999999993E-2</v>
      </c>
      <c r="F224" s="579" t="s">
        <v>4878</v>
      </c>
    </row>
    <row r="225" spans="1:6" ht="12" thickBot="1" x14ac:dyDescent="0.25">
      <c r="A225" s="756"/>
      <c r="B225" s="577" t="s">
        <v>4287</v>
      </c>
      <c r="C225" s="578" t="s">
        <v>4879</v>
      </c>
      <c r="D225" s="578" t="s">
        <v>4524</v>
      </c>
      <c r="E225" s="591">
        <v>8.0100000000000005E-2</v>
      </c>
      <c r="F225" s="579" t="s">
        <v>4881</v>
      </c>
    </row>
    <row r="226" spans="1:6" ht="12" thickBot="1" x14ac:dyDescent="0.25">
      <c r="A226" s="756"/>
      <c r="B226" s="577" t="s">
        <v>4289</v>
      </c>
      <c r="C226" s="578" t="s">
        <v>4882</v>
      </c>
      <c r="D226" s="578" t="s">
        <v>4883</v>
      </c>
      <c r="E226" s="591">
        <v>8.7400000000000005E-2</v>
      </c>
      <c r="F226" s="579" t="s">
        <v>4884</v>
      </c>
    </row>
    <row r="227" spans="1:6" ht="12" thickBot="1" x14ac:dyDescent="0.25">
      <c r="A227" s="756"/>
      <c r="B227" s="577" t="s">
        <v>4292</v>
      </c>
      <c r="C227" s="578" t="s">
        <v>4885</v>
      </c>
      <c r="D227" s="578" t="s">
        <v>4886</v>
      </c>
      <c r="E227" s="591">
        <v>0.1031</v>
      </c>
      <c r="F227" s="579" t="s">
        <v>4887</v>
      </c>
    </row>
    <row r="228" spans="1:6" ht="12" thickBot="1" x14ac:dyDescent="0.25">
      <c r="A228" s="756"/>
      <c r="B228" s="577" t="s">
        <v>4295</v>
      </c>
      <c r="C228" s="578" t="s">
        <v>4888</v>
      </c>
      <c r="D228" s="578" t="s">
        <v>4889</v>
      </c>
      <c r="E228" s="591">
        <v>0.12479999999999999</v>
      </c>
      <c r="F228" s="579" t="s">
        <v>4890</v>
      </c>
    </row>
    <row r="229" spans="1:6" ht="12" thickBot="1" x14ac:dyDescent="0.25">
      <c r="A229" s="756"/>
      <c r="B229" s="577" t="s">
        <v>4298</v>
      </c>
      <c r="C229" s="578" t="s">
        <v>4891</v>
      </c>
      <c r="D229" s="578" t="s">
        <v>4892</v>
      </c>
      <c r="E229" s="591">
        <v>0.1376</v>
      </c>
      <c r="F229" s="579" t="s">
        <v>4893</v>
      </c>
    </row>
    <row r="230" spans="1:6" ht="12" thickBot="1" x14ac:dyDescent="0.25">
      <c r="A230" s="757"/>
      <c r="B230" s="577" t="s">
        <v>4301</v>
      </c>
      <c r="C230" s="578" t="s">
        <v>4894</v>
      </c>
      <c r="D230" s="578" t="s">
        <v>4895</v>
      </c>
      <c r="E230" s="591">
        <v>0.1399</v>
      </c>
      <c r="F230" s="579" t="s">
        <v>4896</v>
      </c>
    </row>
    <row r="231" spans="1:6" ht="12" thickBot="1" x14ac:dyDescent="0.25">
      <c r="A231" s="755">
        <v>1973</v>
      </c>
      <c r="B231" s="577" t="s">
        <v>4304</v>
      </c>
      <c r="C231" s="578" t="s">
        <v>4897</v>
      </c>
      <c r="D231" s="578" t="s">
        <v>4853</v>
      </c>
      <c r="E231" s="591">
        <v>1.0699999999999999E-2</v>
      </c>
      <c r="F231" s="579" t="s">
        <v>4898</v>
      </c>
    </row>
    <row r="232" spans="1:6" ht="12" thickBot="1" x14ac:dyDescent="0.25">
      <c r="A232" s="756"/>
      <c r="B232" s="577" t="s">
        <v>4307</v>
      </c>
      <c r="C232" s="578" t="s">
        <v>4899</v>
      </c>
      <c r="D232" s="578" t="s">
        <v>4635</v>
      </c>
      <c r="E232" s="591">
        <v>3.1099999999999999E-2</v>
      </c>
      <c r="F232" s="579" t="s">
        <v>4901</v>
      </c>
    </row>
    <row r="233" spans="1:6" ht="12" thickBot="1" x14ac:dyDescent="0.25">
      <c r="A233" s="756"/>
      <c r="B233" s="577" t="s">
        <v>4311</v>
      </c>
      <c r="C233" s="578" t="s">
        <v>4902</v>
      </c>
      <c r="D233" s="578" t="s">
        <v>4903</v>
      </c>
      <c r="E233" s="591">
        <v>6.6799999999999998E-2</v>
      </c>
      <c r="F233" s="579" t="s">
        <v>4904</v>
      </c>
    </row>
    <row r="234" spans="1:6" ht="12" thickBot="1" x14ac:dyDescent="0.25">
      <c r="A234" s="756"/>
      <c r="B234" s="577" t="s">
        <v>4315</v>
      </c>
      <c r="C234" s="578" t="s">
        <v>4905</v>
      </c>
      <c r="D234" s="578" t="s">
        <v>4906</v>
      </c>
      <c r="E234" s="591">
        <v>0.1042</v>
      </c>
      <c r="F234" s="579" t="s">
        <v>4907</v>
      </c>
    </row>
    <row r="235" spans="1:6" ht="12" thickBot="1" x14ac:dyDescent="0.25">
      <c r="A235" s="756"/>
      <c r="B235" s="577" t="s">
        <v>4319</v>
      </c>
      <c r="C235" s="578" t="s">
        <v>4908</v>
      </c>
      <c r="D235" s="578" t="s">
        <v>4909</v>
      </c>
      <c r="E235" s="591">
        <v>0.13719999999999999</v>
      </c>
      <c r="F235" s="579" t="s">
        <v>4910</v>
      </c>
    </row>
    <row r="236" spans="1:6" ht="12" thickBot="1" x14ac:dyDescent="0.25">
      <c r="A236" s="756"/>
      <c r="B236" s="577" t="s">
        <v>4323</v>
      </c>
      <c r="C236" s="578" t="s">
        <v>4911</v>
      </c>
      <c r="D236" s="578" t="s">
        <v>4912</v>
      </c>
      <c r="E236" s="591">
        <v>0.15920000000000001</v>
      </c>
      <c r="F236" s="579" t="s">
        <v>4913</v>
      </c>
    </row>
    <row r="237" spans="1:6" ht="12" thickBot="1" x14ac:dyDescent="0.25">
      <c r="A237" s="756"/>
      <c r="B237" s="577" t="s">
        <v>4287</v>
      </c>
      <c r="C237" s="578" t="s">
        <v>4914</v>
      </c>
      <c r="D237" s="578" t="s">
        <v>4437</v>
      </c>
      <c r="E237" s="591">
        <v>0.18229999999999999</v>
      </c>
      <c r="F237" s="579" t="s">
        <v>4915</v>
      </c>
    </row>
    <row r="238" spans="1:6" ht="12" thickBot="1" x14ac:dyDescent="0.25">
      <c r="A238" s="756"/>
      <c r="B238" s="577" t="s">
        <v>4289</v>
      </c>
      <c r="C238" s="578" t="s">
        <v>4916</v>
      </c>
      <c r="D238" s="578" t="s">
        <v>4917</v>
      </c>
      <c r="E238" s="591">
        <v>0.17749999999999999</v>
      </c>
      <c r="F238" s="579" t="s">
        <v>4918</v>
      </c>
    </row>
    <row r="239" spans="1:6" ht="12" thickBot="1" x14ac:dyDescent="0.25">
      <c r="A239" s="756"/>
      <c r="B239" s="577" t="s">
        <v>4292</v>
      </c>
      <c r="C239" s="578" t="s">
        <v>4919</v>
      </c>
      <c r="D239" s="578" t="s">
        <v>4920</v>
      </c>
      <c r="E239" s="591">
        <v>0.19370000000000001</v>
      </c>
      <c r="F239" s="579" t="s">
        <v>4921</v>
      </c>
    </row>
    <row r="240" spans="1:6" ht="12" thickBot="1" x14ac:dyDescent="0.25">
      <c r="A240" s="756"/>
      <c r="B240" s="577" t="s">
        <v>4295</v>
      </c>
      <c r="C240" s="578" t="s">
        <v>4922</v>
      </c>
      <c r="D240" s="578" t="s">
        <v>4634</v>
      </c>
      <c r="E240" s="591">
        <v>0.20030000000000001</v>
      </c>
      <c r="F240" s="579" t="s">
        <v>4923</v>
      </c>
    </row>
    <row r="241" spans="1:6" ht="12" thickBot="1" x14ac:dyDescent="0.25">
      <c r="A241" s="756"/>
      <c r="B241" s="577" t="s">
        <v>4298</v>
      </c>
      <c r="C241" s="578" t="s">
        <v>4924</v>
      </c>
      <c r="D241" s="578" t="s">
        <v>4925</v>
      </c>
      <c r="E241" s="591">
        <v>0.22639999999999999</v>
      </c>
      <c r="F241" s="579" t="s">
        <v>4926</v>
      </c>
    </row>
    <row r="242" spans="1:6" ht="12" thickBot="1" x14ac:dyDescent="0.25">
      <c r="A242" s="757"/>
      <c r="B242" s="577" t="s">
        <v>4301</v>
      </c>
      <c r="C242" s="578" t="s">
        <v>4927</v>
      </c>
      <c r="D242" s="578" t="s">
        <v>4387</v>
      </c>
      <c r="E242" s="591">
        <v>0.24079999999999999</v>
      </c>
      <c r="F242" s="579" t="s">
        <v>4928</v>
      </c>
    </row>
    <row r="243" spans="1:6" ht="12" thickBot="1" x14ac:dyDescent="0.25">
      <c r="A243" s="755">
        <v>1974</v>
      </c>
      <c r="B243" s="577" t="s">
        <v>4304</v>
      </c>
      <c r="C243" s="578" t="s">
        <v>4929</v>
      </c>
      <c r="D243" s="578" t="s">
        <v>4930</v>
      </c>
      <c r="E243" s="591">
        <v>2.8500000000000001E-2</v>
      </c>
      <c r="F243" s="579" t="s">
        <v>4931</v>
      </c>
    </row>
    <row r="244" spans="1:6" ht="12" thickBot="1" x14ac:dyDescent="0.25">
      <c r="A244" s="756"/>
      <c r="B244" s="577" t="s">
        <v>4307</v>
      </c>
      <c r="C244" s="578" t="s">
        <v>4932</v>
      </c>
      <c r="D244" s="578" t="s">
        <v>4933</v>
      </c>
      <c r="E244" s="591">
        <v>5.4600000000000003E-2</v>
      </c>
      <c r="F244" s="579" t="s">
        <v>4934</v>
      </c>
    </row>
    <row r="245" spans="1:6" ht="12" thickBot="1" x14ac:dyDescent="0.25">
      <c r="A245" s="756"/>
      <c r="B245" s="577" t="s">
        <v>4311</v>
      </c>
      <c r="C245" s="578" t="s">
        <v>4935</v>
      </c>
      <c r="D245" s="578" t="s">
        <v>4936</v>
      </c>
      <c r="E245" s="591">
        <v>8.9300000000000004E-2</v>
      </c>
      <c r="F245" s="579" t="s">
        <v>4937</v>
      </c>
    </row>
    <row r="246" spans="1:6" ht="12" thickBot="1" x14ac:dyDescent="0.25">
      <c r="A246" s="756"/>
      <c r="B246" s="577" t="s">
        <v>4315</v>
      </c>
      <c r="C246" s="578" t="s">
        <v>4938</v>
      </c>
      <c r="D246" s="578" t="s">
        <v>4406</v>
      </c>
      <c r="E246" s="591">
        <v>0.11890000000000001</v>
      </c>
      <c r="F246" s="579" t="s">
        <v>4939</v>
      </c>
    </row>
    <row r="247" spans="1:6" ht="12" thickBot="1" x14ac:dyDescent="0.25">
      <c r="A247" s="756"/>
      <c r="B247" s="577" t="s">
        <v>4319</v>
      </c>
      <c r="C247" s="578" t="s">
        <v>4940</v>
      </c>
      <c r="D247" s="578" t="s">
        <v>4941</v>
      </c>
      <c r="E247" s="591">
        <v>0.1321</v>
      </c>
      <c r="F247" s="579" t="s">
        <v>4943</v>
      </c>
    </row>
    <row r="248" spans="1:6" ht="12" thickBot="1" x14ac:dyDescent="0.25">
      <c r="A248" s="756"/>
      <c r="B248" s="577" t="s">
        <v>4323</v>
      </c>
      <c r="C248" s="578" t="s">
        <v>4944</v>
      </c>
      <c r="D248" s="578" t="s">
        <v>4528</v>
      </c>
      <c r="E248" s="591">
        <v>0.1439</v>
      </c>
      <c r="F248" s="579" t="s">
        <v>4945</v>
      </c>
    </row>
    <row r="249" spans="1:6" ht="12" thickBot="1" x14ac:dyDescent="0.25">
      <c r="A249" s="756"/>
      <c r="B249" s="577" t="s">
        <v>4287</v>
      </c>
      <c r="C249" s="578" t="s">
        <v>4946</v>
      </c>
      <c r="D249" s="578" t="s">
        <v>4947</v>
      </c>
      <c r="E249" s="591">
        <v>0.15479999999999999</v>
      </c>
      <c r="F249" s="579" t="s">
        <v>4948</v>
      </c>
    </row>
    <row r="250" spans="1:6" ht="12" thickBot="1" x14ac:dyDescent="0.25">
      <c r="A250" s="756"/>
      <c r="B250" s="577" t="s">
        <v>4289</v>
      </c>
      <c r="C250" s="578" t="s">
        <v>4949</v>
      </c>
      <c r="D250" s="578" t="s">
        <v>4950</v>
      </c>
      <c r="E250" s="591">
        <v>0.1583</v>
      </c>
      <c r="F250" s="579" t="s">
        <v>4951</v>
      </c>
    </row>
    <row r="251" spans="1:6" ht="12" thickBot="1" x14ac:dyDescent="0.25">
      <c r="A251" s="756"/>
      <c r="B251" s="577" t="s">
        <v>4292</v>
      </c>
      <c r="C251" s="578" t="s">
        <v>4952</v>
      </c>
      <c r="D251" s="578" t="s">
        <v>4953</v>
      </c>
      <c r="E251" s="591">
        <v>0.1762</v>
      </c>
      <c r="F251" s="579" t="s">
        <v>4955</v>
      </c>
    </row>
    <row r="252" spans="1:6" ht="12" thickBot="1" x14ac:dyDescent="0.25">
      <c r="A252" s="756"/>
      <c r="B252" s="577" t="s">
        <v>4295</v>
      </c>
      <c r="C252" s="578" t="s">
        <v>4956</v>
      </c>
      <c r="D252" s="578" t="s">
        <v>4957</v>
      </c>
      <c r="E252" s="591">
        <v>0.22559999999999999</v>
      </c>
      <c r="F252" s="579" t="s">
        <v>4937</v>
      </c>
    </row>
    <row r="253" spans="1:6" ht="12" thickBot="1" x14ac:dyDescent="0.25">
      <c r="A253" s="756"/>
      <c r="B253" s="577" t="s">
        <v>4298</v>
      </c>
      <c r="C253" s="578" t="s">
        <v>4958</v>
      </c>
      <c r="D253" s="578" t="s">
        <v>4959</v>
      </c>
      <c r="E253" s="591">
        <v>0.23960000000000001</v>
      </c>
      <c r="F253" s="579" t="s">
        <v>4960</v>
      </c>
    </row>
    <row r="254" spans="1:6" ht="12" thickBot="1" x14ac:dyDescent="0.25">
      <c r="A254" s="757"/>
      <c r="B254" s="577" t="s">
        <v>4301</v>
      </c>
      <c r="C254" s="578" t="s">
        <v>4961</v>
      </c>
      <c r="D254" s="578" t="s">
        <v>4912</v>
      </c>
      <c r="E254" s="591">
        <v>0.26350000000000001</v>
      </c>
      <c r="F254" s="579" t="s">
        <v>4962</v>
      </c>
    </row>
    <row r="255" spans="1:6" ht="12" thickBot="1" x14ac:dyDescent="0.25">
      <c r="A255" s="755">
        <v>1975</v>
      </c>
      <c r="B255" s="577" t="s">
        <v>4304</v>
      </c>
      <c r="C255" s="578" t="s">
        <v>4963</v>
      </c>
      <c r="D255" s="578" t="s">
        <v>4964</v>
      </c>
      <c r="E255" s="591">
        <v>2.86E-2</v>
      </c>
      <c r="F255" s="579" t="s">
        <v>4965</v>
      </c>
    </row>
    <row r="256" spans="1:6" ht="12" thickBot="1" x14ac:dyDescent="0.25">
      <c r="A256" s="756"/>
      <c r="B256" s="577" t="s">
        <v>4307</v>
      </c>
      <c r="C256" s="578" t="s">
        <v>4966</v>
      </c>
      <c r="D256" s="578" t="s">
        <v>4967</v>
      </c>
      <c r="E256" s="591">
        <v>4.58E-2</v>
      </c>
      <c r="F256" s="579" t="s">
        <v>4969</v>
      </c>
    </row>
    <row r="257" spans="1:6" ht="12" thickBot="1" x14ac:dyDescent="0.25">
      <c r="A257" s="756"/>
      <c r="B257" s="577" t="s">
        <v>4311</v>
      </c>
      <c r="C257" s="578" t="s">
        <v>4970</v>
      </c>
      <c r="D257" s="578" t="s">
        <v>4971</v>
      </c>
      <c r="E257" s="591">
        <v>7.4499999999999997E-2</v>
      </c>
      <c r="F257" s="579" t="s">
        <v>4973</v>
      </c>
    </row>
    <row r="258" spans="1:6" ht="12" thickBot="1" x14ac:dyDescent="0.25">
      <c r="A258" s="756"/>
      <c r="B258" s="577" t="s">
        <v>4315</v>
      </c>
      <c r="C258" s="578" t="s">
        <v>4974</v>
      </c>
      <c r="D258" s="578" t="s">
        <v>4975</v>
      </c>
      <c r="E258" s="591">
        <v>0.10150000000000001</v>
      </c>
      <c r="F258" s="579" t="s">
        <v>4976</v>
      </c>
    </row>
    <row r="259" spans="1:6" ht="12" thickBot="1" x14ac:dyDescent="0.25">
      <c r="A259" s="756"/>
      <c r="B259" s="577" t="s">
        <v>4319</v>
      </c>
      <c r="C259" s="578" t="s">
        <v>4977</v>
      </c>
      <c r="D259" s="578" t="s">
        <v>4842</v>
      </c>
      <c r="E259" s="591">
        <v>0.1216</v>
      </c>
      <c r="F259" s="579" t="s">
        <v>4978</v>
      </c>
    </row>
    <row r="260" spans="1:6" ht="12" thickBot="1" x14ac:dyDescent="0.25">
      <c r="A260" s="756"/>
      <c r="B260" s="577" t="s">
        <v>4323</v>
      </c>
      <c r="C260" s="578" t="s">
        <v>4979</v>
      </c>
      <c r="D260" s="578" t="s">
        <v>4362</v>
      </c>
      <c r="E260" s="591">
        <v>0.12989999999999999</v>
      </c>
      <c r="F260" s="579" t="s">
        <v>4980</v>
      </c>
    </row>
    <row r="261" spans="1:6" ht="12" thickBot="1" x14ac:dyDescent="0.25">
      <c r="A261" s="756"/>
      <c r="B261" s="577" t="s">
        <v>4287</v>
      </c>
      <c r="C261" s="578" t="s">
        <v>4981</v>
      </c>
      <c r="D261" s="578" t="s">
        <v>4588</v>
      </c>
      <c r="E261" s="591">
        <v>0.1366</v>
      </c>
      <c r="F261" s="579" t="s">
        <v>4982</v>
      </c>
    </row>
    <row r="262" spans="1:6" ht="12" thickBot="1" x14ac:dyDescent="0.25">
      <c r="A262" s="756"/>
      <c r="B262" s="577" t="s">
        <v>4289</v>
      </c>
      <c r="C262" s="578" t="s">
        <v>4981</v>
      </c>
      <c r="D262" s="578" t="s">
        <v>4810</v>
      </c>
      <c r="E262" s="591">
        <v>0.1366</v>
      </c>
      <c r="F262" s="579" t="s">
        <v>4983</v>
      </c>
    </row>
    <row r="263" spans="1:6" ht="12" thickBot="1" x14ac:dyDescent="0.25">
      <c r="A263" s="756"/>
      <c r="B263" s="577" t="s">
        <v>4292</v>
      </c>
      <c r="C263" s="578" t="s">
        <v>4984</v>
      </c>
      <c r="D263" s="578" t="s">
        <v>4985</v>
      </c>
      <c r="E263" s="591">
        <v>0.152</v>
      </c>
      <c r="F263" s="579" t="s">
        <v>4986</v>
      </c>
    </row>
    <row r="264" spans="1:6" ht="12" thickBot="1" x14ac:dyDescent="0.25">
      <c r="A264" s="756"/>
      <c r="B264" s="577" t="s">
        <v>4295</v>
      </c>
      <c r="C264" s="578" t="s">
        <v>4987</v>
      </c>
      <c r="D264" s="578" t="s">
        <v>4988</v>
      </c>
      <c r="E264" s="591">
        <v>0.16320000000000001</v>
      </c>
      <c r="F264" s="579" t="s">
        <v>4989</v>
      </c>
    </row>
    <row r="265" spans="1:6" ht="12" thickBot="1" x14ac:dyDescent="0.25">
      <c r="A265" s="756"/>
      <c r="B265" s="577" t="s">
        <v>4298</v>
      </c>
      <c r="C265" s="578" t="s">
        <v>4990</v>
      </c>
      <c r="D265" s="578" t="s">
        <v>4991</v>
      </c>
      <c r="E265" s="591">
        <v>0.17</v>
      </c>
      <c r="F265" s="579" t="s">
        <v>4992</v>
      </c>
    </row>
    <row r="266" spans="1:6" ht="12" thickBot="1" x14ac:dyDescent="0.25">
      <c r="A266" s="757"/>
      <c r="B266" s="577" t="s">
        <v>4301</v>
      </c>
      <c r="C266" s="578" t="s">
        <v>4993</v>
      </c>
      <c r="D266" s="578" t="s">
        <v>4474</v>
      </c>
      <c r="E266" s="591">
        <v>0.1777</v>
      </c>
      <c r="F266" s="579" t="s">
        <v>4994</v>
      </c>
    </row>
    <row r="267" spans="1:6" ht="12" thickBot="1" x14ac:dyDescent="0.25">
      <c r="A267" s="755">
        <v>1976</v>
      </c>
      <c r="B267" s="577" t="s">
        <v>4304</v>
      </c>
      <c r="C267" s="578" t="s">
        <v>4995</v>
      </c>
      <c r="D267" s="578" t="s">
        <v>4506</v>
      </c>
      <c r="E267" s="591">
        <v>2.29E-2</v>
      </c>
      <c r="F267" s="579" t="s">
        <v>4996</v>
      </c>
    </row>
    <row r="268" spans="1:6" ht="12" thickBot="1" x14ac:dyDescent="0.25">
      <c r="A268" s="756"/>
      <c r="B268" s="577" t="s">
        <v>4307</v>
      </c>
      <c r="C268" s="578" t="s">
        <v>4997</v>
      </c>
      <c r="D268" s="578" t="s">
        <v>4998</v>
      </c>
      <c r="E268" s="591">
        <v>4.65E-2</v>
      </c>
      <c r="F268" s="579" t="s">
        <v>4432</v>
      </c>
    </row>
    <row r="269" spans="1:6" ht="12" thickBot="1" x14ac:dyDescent="0.25">
      <c r="A269" s="756"/>
      <c r="B269" s="577" t="s">
        <v>4311</v>
      </c>
      <c r="C269" s="578" t="s">
        <v>4999</v>
      </c>
      <c r="D269" s="578" t="s">
        <v>5000</v>
      </c>
      <c r="E269" s="591">
        <v>6.8599999999999994E-2</v>
      </c>
      <c r="F269" s="579" t="s">
        <v>5001</v>
      </c>
    </row>
    <row r="270" spans="1:6" ht="12" thickBot="1" x14ac:dyDescent="0.25">
      <c r="A270" s="756"/>
      <c r="B270" s="577" t="s">
        <v>4315</v>
      </c>
      <c r="C270" s="578" t="s">
        <v>5002</v>
      </c>
      <c r="D270" s="578" t="s">
        <v>4842</v>
      </c>
      <c r="E270" s="591">
        <v>8.8099999999999998E-2</v>
      </c>
      <c r="F270" s="579" t="s">
        <v>5003</v>
      </c>
    </row>
    <row r="271" spans="1:6" ht="12" thickBot="1" x14ac:dyDescent="0.25">
      <c r="A271" s="756"/>
      <c r="B271" s="577" t="s">
        <v>4319</v>
      </c>
      <c r="C271" s="578" t="s">
        <v>5004</v>
      </c>
      <c r="D271" s="578" t="s">
        <v>4378</v>
      </c>
      <c r="E271" s="591">
        <v>0.1018</v>
      </c>
      <c r="F271" s="579" t="s">
        <v>5005</v>
      </c>
    </row>
    <row r="272" spans="1:6" ht="12" thickBot="1" x14ac:dyDescent="0.25">
      <c r="A272" s="756"/>
      <c r="B272" s="577" t="s">
        <v>4323</v>
      </c>
      <c r="C272" s="578" t="s">
        <v>5006</v>
      </c>
      <c r="D272" s="578" t="s">
        <v>4975</v>
      </c>
      <c r="E272" s="591">
        <v>0.1295</v>
      </c>
      <c r="F272" s="579" t="s">
        <v>5007</v>
      </c>
    </row>
    <row r="273" spans="1:6" ht="12" thickBot="1" x14ac:dyDescent="0.25">
      <c r="A273" s="756"/>
      <c r="B273" s="577" t="s">
        <v>4287</v>
      </c>
      <c r="C273" s="578" t="s">
        <v>5008</v>
      </c>
      <c r="D273" s="578" t="s">
        <v>5009</v>
      </c>
      <c r="E273" s="591">
        <v>0.15890000000000001</v>
      </c>
      <c r="F273" s="579" t="s">
        <v>5010</v>
      </c>
    </row>
    <row r="274" spans="1:6" ht="12" thickBot="1" x14ac:dyDescent="0.25">
      <c r="A274" s="756"/>
      <c r="B274" s="577" t="s">
        <v>4289</v>
      </c>
      <c r="C274" s="578" t="s">
        <v>5011</v>
      </c>
      <c r="D274" s="578" t="s">
        <v>4886</v>
      </c>
      <c r="E274" s="591">
        <v>0.1757</v>
      </c>
      <c r="F274" s="579" t="s">
        <v>5012</v>
      </c>
    </row>
    <row r="275" spans="1:6" ht="12" thickBot="1" x14ac:dyDescent="0.25">
      <c r="A275" s="756"/>
      <c r="B275" s="577" t="s">
        <v>4292</v>
      </c>
      <c r="C275" s="578" t="s">
        <v>5013</v>
      </c>
      <c r="D275" s="578" t="s">
        <v>4789</v>
      </c>
      <c r="E275" s="591">
        <v>0.19600000000000001</v>
      </c>
      <c r="F275" s="579" t="s">
        <v>5014</v>
      </c>
    </row>
    <row r="276" spans="1:6" ht="12" thickBot="1" x14ac:dyDescent="0.25">
      <c r="A276" s="756"/>
      <c r="B276" s="577" t="s">
        <v>4295</v>
      </c>
      <c r="C276" s="578" t="s">
        <v>5015</v>
      </c>
      <c r="D276" s="578" t="s">
        <v>4536</v>
      </c>
      <c r="E276" s="591">
        <v>0.21529999999999999</v>
      </c>
      <c r="F276" s="579" t="s">
        <v>5016</v>
      </c>
    </row>
    <row r="277" spans="1:6" ht="12" thickBot="1" x14ac:dyDescent="0.25">
      <c r="A277" s="756"/>
      <c r="B277" s="577" t="s">
        <v>4298</v>
      </c>
      <c r="C277" s="578" t="s">
        <v>5017</v>
      </c>
      <c r="D277" s="578" t="s">
        <v>5018</v>
      </c>
      <c r="E277" s="591">
        <v>0.24490000000000001</v>
      </c>
      <c r="F277" s="579" t="s">
        <v>5019</v>
      </c>
    </row>
    <row r="278" spans="1:6" ht="12" thickBot="1" x14ac:dyDescent="0.25">
      <c r="A278" s="757"/>
      <c r="B278" s="577" t="s">
        <v>4301</v>
      </c>
      <c r="C278" s="578" t="s">
        <v>5020</v>
      </c>
      <c r="D278" s="578" t="s">
        <v>4620</v>
      </c>
      <c r="E278" s="591">
        <v>0.2576</v>
      </c>
      <c r="F278" s="579" t="s">
        <v>5021</v>
      </c>
    </row>
    <row r="279" spans="1:6" ht="12" thickBot="1" x14ac:dyDescent="0.25">
      <c r="A279" s="755">
        <v>1977</v>
      </c>
      <c r="B279" s="577" t="s">
        <v>4304</v>
      </c>
      <c r="C279" s="578" t="s">
        <v>5022</v>
      </c>
      <c r="D279" s="578" t="s">
        <v>5023</v>
      </c>
      <c r="E279" s="591">
        <v>2.2499999999999999E-2</v>
      </c>
      <c r="F279" s="579" t="s">
        <v>5024</v>
      </c>
    </row>
    <row r="280" spans="1:6" ht="12" thickBot="1" x14ac:dyDescent="0.25">
      <c r="A280" s="756"/>
      <c r="B280" s="577" t="s">
        <v>4307</v>
      </c>
      <c r="C280" s="578" t="s">
        <v>5025</v>
      </c>
      <c r="D280" s="578" t="s">
        <v>5026</v>
      </c>
      <c r="E280" s="591">
        <v>6.13E-2</v>
      </c>
      <c r="F280" s="579" t="s">
        <v>5027</v>
      </c>
    </row>
    <row r="281" spans="1:6" ht="12" thickBot="1" x14ac:dyDescent="0.25">
      <c r="A281" s="756"/>
      <c r="B281" s="577" t="s">
        <v>4311</v>
      </c>
      <c r="C281" s="578" t="s">
        <v>5028</v>
      </c>
      <c r="D281" s="578" t="s">
        <v>5029</v>
      </c>
      <c r="E281" s="591">
        <v>0.1038</v>
      </c>
      <c r="F281" s="579" t="s">
        <v>5030</v>
      </c>
    </row>
    <row r="282" spans="1:6" ht="12" thickBot="1" x14ac:dyDescent="0.25">
      <c r="A282" s="756"/>
      <c r="B282" s="577" t="s">
        <v>4315</v>
      </c>
      <c r="C282" s="578" t="s">
        <v>5031</v>
      </c>
      <c r="D282" s="578" t="s">
        <v>4670</v>
      </c>
      <c r="E282" s="591">
        <v>0.1822</v>
      </c>
      <c r="F282" s="579" t="s">
        <v>5032</v>
      </c>
    </row>
    <row r="283" spans="1:6" ht="12" thickBot="1" x14ac:dyDescent="0.25">
      <c r="A283" s="756"/>
      <c r="B283" s="577" t="s">
        <v>4319</v>
      </c>
      <c r="C283" s="578" t="s">
        <v>5033</v>
      </c>
      <c r="D283" s="578" t="s">
        <v>4369</v>
      </c>
      <c r="E283" s="591">
        <v>0.2339</v>
      </c>
      <c r="F283" s="579" t="s">
        <v>5034</v>
      </c>
    </row>
    <row r="284" spans="1:6" ht="12" thickBot="1" x14ac:dyDescent="0.25">
      <c r="A284" s="756"/>
      <c r="B284" s="577" t="s">
        <v>4323</v>
      </c>
      <c r="C284" s="578" t="s">
        <v>5035</v>
      </c>
      <c r="D284" s="578" t="s">
        <v>5036</v>
      </c>
      <c r="E284" s="591">
        <v>0.27210000000000001</v>
      </c>
      <c r="F284" s="579" t="s">
        <v>5037</v>
      </c>
    </row>
    <row r="285" spans="1:6" ht="12" thickBot="1" x14ac:dyDescent="0.25">
      <c r="A285" s="756"/>
      <c r="B285" s="577" t="s">
        <v>4287</v>
      </c>
      <c r="C285" s="578" t="s">
        <v>5038</v>
      </c>
      <c r="D285" s="578" t="s">
        <v>5039</v>
      </c>
      <c r="E285" s="591">
        <v>0.28499999999999998</v>
      </c>
      <c r="F285" s="579" t="s">
        <v>5040</v>
      </c>
    </row>
    <row r="286" spans="1:6" ht="12" thickBot="1" x14ac:dyDescent="0.25">
      <c r="A286" s="756"/>
      <c r="B286" s="577" t="s">
        <v>4289</v>
      </c>
      <c r="C286" s="578" t="s">
        <v>5041</v>
      </c>
      <c r="D286" s="578" t="s">
        <v>5042</v>
      </c>
      <c r="E286" s="591">
        <v>0.28079999999999999</v>
      </c>
      <c r="F286" s="579" t="s">
        <v>5043</v>
      </c>
    </row>
    <row r="287" spans="1:6" ht="12" thickBot="1" x14ac:dyDescent="0.25">
      <c r="A287" s="756"/>
      <c r="B287" s="577" t="s">
        <v>4292</v>
      </c>
      <c r="C287" s="578" t="s">
        <v>5044</v>
      </c>
      <c r="D287" s="578" t="s">
        <v>5045</v>
      </c>
      <c r="E287" s="591">
        <v>0.28260000000000002</v>
      </c>
      <c r="F287" s="579" t="s">
        <v>5046</v>
      </c>
    </row>
    <row r="288" spans="1:6" ht="12" thickBot="1" x14ac:dyDescent="0.25">
      <c r="A288" s="756"/>
      <c r="B288" s="577" t="s">
        <v>4295</v>
      </c>
      <c r="C288" s="578" t="s">
        <v>5047</v>
      </c>
      <c r="D288" s="578" t="s">
        <v>4771</v>
      </c>
      <c r="E288" s="591">
        <v>0.27939999999999998</v>
      </c>
      <c r="F288" s="579" t="s">
        <v>5048</v>
      </c>
    </row>
    <row r="289" spans="1:6" ht="12" thickBot="1" x14ac:dyDescent="0.25">
      <c r="A289" s="756"/>
      <c r="B289" s="577" t="s">
        <v>4298</v>
      </c>
      <c r="C289" s="578" t="s">
        <v>5049</v>
      </c>
      <c r="D289" s="578" t="s">
        <v>5045</v>
      </c>
      <c r="E289" s="591">
        <v>0.28129999999999999</v>
      </c>
      <c r="F289" s="579" t="s">
        <v>5051</v>
      </c>
    </row>
    <row r="290" spans="1:6" ht="12" thickBot="1" x14ac:dyDescent="0.25">
      <c r="A290" s="757"/>
      <c r="B290" s="577" t="s">
        <v>4301</v>
      </c>
      <c r="C290" s="578" t="s">
        <v>5052</v>
      </c>
      <c r="D290" s="578" t="s">
        <v>4412</v>
      </c>
      <c r="E290" s="591">
        <v>0.28710000000000002</v>
      </c>
      <c r="F290" s="579" t="s">
        <v>5053</v>
      </c>
    </row>
    <row r="291" spans="1:6" ht="12" thickBot="1" x14ac:dyDescent="0.25">
      <c r="A291" s="755">
        <v>1978</v>
      </c>
      <c r="B291" s="577" t="s">
        <v>4304</v>
      </c>
      <c r="C291" s="578" t="s">
        <v>5054</v>
      </c>
      <c r="D291" s="578" t="s">
        <v>4853</v>
      </c>
      <c r="E291" s="591">
        <v>1.0699999999999999E-2</v>
      </c>
      <c r="F291" s="579" t="s">
        <v>5055</v>
      </c>
    </row>
    <row r="292" spans="1:6" ht="12" thickBot="1" x14ac:dyDescent="0.25">
      <c r="A292" s="756"/>
      <c r="B292" s="577" t="s">
        <v>4307</v>
      </c>
      <c r="C292" s="578" t="s">
        <v>5056</v>
      </c>
      <c r="D292" s="578" t="s">
        <v>4631</v>
      </c>
      <c r="E292" s="591">
        <v>2.5399999999999999E-2</v>
      </c>
      <c r="F292" s="579" t="s">
        <v>4982</v>
      </c>
    </row>
    <row r="293" spans="1:6" ht="12" thickBot="1" x14ac:dyDescent="0.25">
      <c r="A293" s="756"/>
      <c r="B293" s="577" t="s">
        <v>4311</v>
      </c>
      <c r="C293" s="578" t="s">
        <v>5057</v>
      </c>
      <c r="D293" s="578" t="s">
        <v>5058</v>
      </c>
      <c r="E293" s="591">
        <v>5.8299999999999998E-2</v>
      </c>
      <c r="F293" s="579" t="s">
        <v>5059</v>
      </c>
    </row>
    <row r="294" spans="1:6" ht="12" thickBot="1" x14ac:dyDescent="0.25">
      <c r="A294" s="756"/>
      <c r="B294" s="577" t="s">
        <v>4315</v>
      </c>
      <c r="C294" s="578" t="s">
        <v>5060</v>
      </c>
      <c r="D294" s="578" t="s">
        <v>5061</v>
      </c>
      <c r="E294" s="591">
        <v>7.5399999999999995E-2</v>
      </c>
      <c r="F294" s="579" t="s">
        <v>5062</v>
      </c>
    </row>
    <row r="295" spans="1:6" ht="12" thickBot="1" x14ac:dyDescent="0.25">
      <c r="A295" s="756"/>
      <c r="B295" s="577" t="s">
        <v>4319</v>
      </c>
      <c r="C295" s="578" t="s">
        <v>5063</v>
      </c>
      <c r="D295" s="578" t="s">
        <v>5064</v>
      </c>
      <c r="E295" s="591">
        <v>0.10009999999999999</v>
      </c>
      <c r="F295" s="579" t="s">
        <v>5065</v>
      </c>
    </row>
    <row r="296" spans="1:6" ht="12" thickBot="1" x14ac:dyDescent="0.25">
      <c r="A296" s="756"/>
      <c r="B296" s="577" t="s">
        <v>4323</v>
      </c>
      <c r="C296" s="578" t="s">
        <v>5066</v>
      </c>
      <c r="D296" s="578" t="s">
        <v>4933</v>
      </c>
      <c r="E296" s="591">
        <v>0.128</v>
      </c>
      <c r="F296" s="579" t="s">
        <v>5067</v>
      </c>
    </row>
    <row r="297" spans="1:6" ht="12" thickBot="1" x14ac:dyDescent="0.25">
      <c r="A297" s="756"/>
      <c r="B297" s="577" t="s">
        <v>4287</v>
      </c>
      <c r="C297" s="578" t="s">
        <v>5068</v>
      </c>
      <c r="D297" s="578" t="s">
        <v>5069</v>
      </c>
      <c r="E297" s="591">
        <v>0.125</v>
      </c>
      <c r="F297" s="579" t="s">
        <v>5070</v>
      </c>
    </row>
    <row r="298" spans="1:6" ht="12" thickBot="1" x14ac:dyDescent="0.25">
      <c r="A298" s="756"/>
      <c r="B298" s="577" t="s">
        <v>4289</v>
      </c>
      <c r="C298" s="578" t="s">
        <v>5071</v>
      </c>
      <c r="D298" s="578" t="s">
        <v>5045</v>
      </c>
      <c r="E298" s="591">
        <v>0.12659999999999999</v>
      </c>
      <c r="F298" s="579" t="s">
        <v>4942</v>
      </c>
    </row>
    <row r="299" spans="1:6" ht="12" thickBot="1" x14ac:dyDescent="0.25">
      <c r="A299" s="756"/>
      <c r="B299" s="577" t="s">
        <v>4292</v>
      </c>
      <c r="C299" s="578" t="s">
        <v>5072</v>
      </c>
      <c r="D299" s="578" t="s">
        <v>4533</v>
      </c>
      <c r="E299" s="591">
        <v>0.1313</v>
      </c>
      <c r="F299" s="579" t="s">
        <v>5073</v>
      </c>
    </row>
    <row r="300" spans="1:6" ht="12" thickBot="1" x14ac:dyDescent="0.25">
      <c r="A300" s="756"/>
      <c r="B300" s="577" t="s">
        <v>4295</v>
      </c>
      <c r="C300" s="578" t="s">
        <v>5074</v>
      </c>
      <c r="D300" s="578" t="s">
        <v>5075</v>
      </c>
      <c r="E300" s="591">
        <v>0.1547</v>
      </c>
      <c r="F300" s="579" t="s">
        <v>5076</v>
      </c>
    </row>
    <row r="301" spans="1:6" ht="12" thickBot="1" x14ac:dyDescent="0.25">
      <c r="A301" s="756"/>
      <c r="B301" s="577" t="s">
        <v>4298</v>
      </c>
      <c r="C301" s="578" t="s">
        <v>5077</v>
      </c>
      <c r="D301" s="578" t="s">
        <v>4693</v>
      </c>
      <c r="E301" s="591">
        <v>0.1709</v>
      </c>
      <c r="F301" s="579" t="s">
        <v>4954</v>
      </c>
    </row>
    <row r="302" spans="1:6" ht="12" thickBot="1" x14ac:dyDescent="0.25">
      <c r="A302" s="757"/>
      <c r="B302" s="577" t="s">
        <v>4301</v>
      </c>
      <c r="C302" s="578" t="s">
        <v>5079</v>
      </c>
      <c r="D302" s="578" t="s">
        <v>4959</v>
      </c>
      <c r="E302" s="591">
        <v>0.1842</v>
      </c>
      <c r="F302" s="579" t="s">
        <v>5080</v>
      </c>
    </row>
    <row r="303" spans="1:6" ht="12" thickBot="1" x14ac:dyDescent="0.25">
      <c r="A303" s="755">
        <v>1979</v>
      </c>
      <c r="B303" s="577" t="s">
        <v>4304</v>
      </c>
      <c r="C303" s="578" t="s">
        <v>5081</v>
      </c>
      <c r="D303" s="578" t="s">
        <v>4582</v>
      </c>
      <c r="E303" s="591">
        <v>3.3000000000000002E-2</v>
      </c>
      <c r="F303" s="579" t="s">
        <v>5082</v>
      </c>
    </row>
    <row r="304" spans="1:6" ht="12" thickBot="1" x14ac:dyDescent="0.25">
      <c r="A304" s="756"/>
      <c r="B304" s="577" t="s">
        <v>4307</v>
      </c>
      <c r="C304" s="578" t="s">
        <v>5083</v>
      </c>
      <c r="D304" s="578" t="s">
        <v>5084</v>
      </c>
      <c r="E304" s="591">
        <v>5.1999999999999998E-2</v>
      </c>
      <c r="F304" s="579" t="s">
        <v>5085</v>
      </c>
    </row>
    <row r="305" spans="1:6" ht="12" thickBot="1" x14ac:dyDescent="0.25">
      <c r="A305" s="756"/>
      <c r="B305" s="577" t="s">
        <v>4311</v>
      </c>
      <c r="C305" s="578" t="s">
        <v>5086</v>
      </c>
      <c r="D305" s="578" t="s">
        <v>5087</v>
      </c>
      <c r="E305" s="591">
        <v>9.5000000000000001E-2</v>
      </c>
      <c r="F305" s="579" t="s">
        <v>5088</v>
      </c>
    </row>
    <row r="306" spans="1:6" ht="12" thickBot="1" x14ac:dyDescent="0.25">
      <c r="A306" s="756"/>
      <c r="B306" s="577" t="s">
        <v>4315</v>
      </c>
      <c r="C306" s="578" t="s">
        <v>5089</v>
      </c>
      <c r="D306" s="578" t="s">
        <v>4842</v>
      </c>
      <c r="E306" s="591">
        <v>0.115</v>
      </c>
      <c r="F306" s="579" t="s">
        <v>5090</v>
      </c>
    </row>
    <row r="307" spans="1:6" ht="12" thickBot="1" x14ac:dyDescent="0.25">
      <c r="A307" s="756"/>
      <c r="B307" s="577" t="s">
        <v>4319</v>
      </c>
      <c r="C307" s="578" t="s">
        <v>5091</v>
      </c>
      <c r="D307" s="578" t="s">
        <v>5092</v>
      </c>
      <c r="E307" s="591">
        <v>0.13900000000000001</v>
      </c>
      <c r="F307" s="579" t="s">
        <v>5093</v>
      </c>
    </row>
    <row r="308" spans="1:6" ht="12" thickBot="1" x14ac:dyDescent="0.25">
      <c r="A308" s="756"/>
      <c r="B308" s="577" t="s">
        <v>4323</v>
      </c>
      <c r="C308" s="578" t="s">
        <v>5094</v>
      </c>
      <c r="D308" s="578" t="s">
        <v>4967</v>
      </c>
      <c r="E308" s="591">
        <v>0.158</v>
      </c>
      <c r="F308" s="579" t="s">
        <v>5095</v>
      </c>
    </row>
    <row r="309" spans="1:6" ht="12" thickBot="1" x14ac:dyDescent="0.25">
      <c r="A309" s="756"/>
      <c r="B309" s="577" t="s">
        <v>4287</v>
      </c>
      <c r="C309" s="578" t="s">
        <v>5096</v>
      </c>
      <c r="D309" s="578" t="s">
        <v>4502</v>
      </c>
      <c r="E309" s="591">
        <v>0.17299999999999999</v>
      </c>
      <c r="F309" s="579" t="s">
        <v>5097</v>
      </c>
    </row>
    <row r="310" spans="1:6" ht="12" thickBot="1" x14ac:dyDescent="0.25">
      <c r="A310" s="756"/>
      <c r="B310" s="577" t="s">
        <v>4289</v>
      </c>
      <c r="C310" s="578" t="s">
        <v>5098</v>
      </c>
      <c r="D310" s="578" t="s">
        <v>5099</v>
      </c>
      <c r="E310" s="591">
        <v>0.19400000000000001</v>
      </c>
      <c r="F310" s="579" t="s">
        <v>5100</v>
      </c>
    </row>
    <row r="311" spans="1:6" ht="12" thickBot="1" x14ac:dyDescent="0.25">
      <c r="A311" s="756"/>
      <c r="B311" s="577" t="s">
        <v>4292</v>
      </c>
      <c r="C311" s="578" t="s">
        <v>5101</v>
      </c>
      <c r="D311" s="578" t="s">
        <v>5102</v>
      </c>
      <c r="E311" s="591">
        <v>0.22</v>
      </c>
      <c r="F311" s="579" t="s">
        <v>5103</v>
      </c>
    </row>
    <row r="312" spans="1:6" ht="12" thickBot="1" x14ac:dyDescent="0.25">
      <c r="A312" s="756"/>
      <c r="B312" s="577" t="s">
        <v>4295</v>
      </c>
      <c r="C312" s="578" t="s">
        <v>5104</v>
      </c>
      <c r="D312" s="578" t="s">
        <v>4818</v>
      </c>
      <c r="E312" s="591">
        <v>0.23699999999999999</v>
      </c>
      <c r="F312" s="579" t="s">
        <v>5106</v>
      </c>
    </row>
    <row r="313" spans="1:6" ht="12" thickBot="1" x14ac:dyDescent="0.25">
      <c r="A313" s="756"/>
      <c r="B313" s="577" t="s">
        <v>4298</v>
      </c>
      <c r="C313" s="580">
        <v>100773</v>
      </c>
      <c r="D313" s="578" t="s">
        <v>5107</v>
      </c>
      <c r="E313" s="591">
        <v>0.26700000000000002</v>
      </c>
      <c r="F313" s="579" t="s">
        <v>5108</v>
      </c>
    </row>
    <row r="314" spans="1:6" ht="12" thickBot="1" x14ac:dyDescent="0.25">
      <c r="A314" s="757"/>
      <c r="B314" s="577" t="s">
        <v>4301</v>
      </c>
      <c r="C314" s="580">
        <v>102443</v>
      </c>
      <c r="D314" s="578" t="s">
        <v>4792</v>
      </c>
      <c r="E314" s="591">
        <v>0.28799999999999998</v>
      </c>
      <c r="F314" s="579" t="s">
        <v>5109</v>
      </c>
    </row>
    <row r="315" spans="1:6" ht="12" thickBot="1" x14ac:dyDescent="0.25">
      <c r="A315" s="755">
        <v>1980</v>
      </c>
      <c r="B315" s="577" t="s">
        <v>4304</v>
      </c>
      <c r="C315" s="580">
        <v>104830</v>
      </c>
      <c r="D315" s="578" t="s">
        <v>5110</v>
      </c>
      <c r="E315" s="591">
        <v>2.3300000000000001E-2</v>
      </c>
      <c r="F315" s="579" t="s">
        <v>5111</v>
      </c>
    </row>
    <row r="316" spans="1:6" ht="12" thickBot="1" x14ac:dyDescent="0.25">
      <c r="A316" s="756"/>
      <c r="B316" s="577" t="s">
        <v>4307</v>
      </c>
      <c r="C316" s="580">
        <v>105943</v>
      </c>
      <c r="D316" s="578" t="s">
        <v>5112</v>
      </c>
      <c r="E316" s="591">
        <v>3.4200000000000001E-2</v>
      </c>
      <c r="F316" s="579" t="s">
        <v>5114</v>
      </c>
    </row>
    <row r="317" spans="1:6" ht="12" thickBot="1" x14ac:dyDescent="0.25">
      <c r="A317" s="756"/>
      <c r="B317" s="577" t="s">
        <v>4311</v>
      </c>
      <c r="C317" s="580">
        <v>108170</v>
      </c>
      <c r="D317" s="578" t="s">
        <v>4349</v>
      </c>
      <c r="E317" s="591">
        <v>5.5899999999999998E-2</v>
      </c>
      <c r="F317" s="579" t="s">
        <v>5115</v>
      </c>
    </row>
    <row r="318" spans="1:6" ht="12" thickBot="1" x14ac:dyDescent="0.25">
      <c r="A318" s="756"/>
      <c r="B318" s="577" t="s">
        <v>4315</v>
      </c>
      <c r="C318" s="580">
        <v>112306</v>
      </c>
      <c r="D318" s="578" t="s">
        <v>4585</v>
      </c>
      <c r="E318" s="591">
        <v>9.6299999999999997E-2</v>
      </c>
      <c r="F318" s="579" t="s">
        <v>5116</v>
      </c>
    </row>
    <row r="319" spans="1:6" ht="12" thickBot="1" x14ac:dyDescent="0.25">
      <c r="A319" s="756"/>
      <c r="B319" s="577" t="s">
        <v>4319</v>
      </c>
      <c r="C319" s="580">
        <v>116203</v>
      </c>
      <c r="D319" s="578" t="s">
        <v>5117</v>
      </c>
      <c r="E319" s="591">
        <v>0.1343</v>
      </c>
      <c r="F319" s="579" t="s">
        <v>5118</v>
      </c>
    </row>
    <row r="320" spans="1:6" ht="12" thickBot="1" x14ac:dyDescent="0.25">
      <c r="A320" s="756"/>
      <c r="B320" s="577" t="s">
        <v>4323</v>
      </c>
      <c r="C320" s="580">
        <v>117635</v>
      </c>
      <c r="D320" s="578" t="s">
        <v>4409</v>
      </c>
      <c r="E320" s="591">
        <v>0.14829999999999999</v>
      </c>
      <c r="F320" s="579" t="s">
        <v>5119</v>
      </c>
    </row>
    <row r="321" spans="1:6" ht="12" thickBot="1" x14ac:dyDescent="0.25">
      <c r="A321" s="756"/>
      <c r="B321" s="577" t="s">
        <v>4287</v>
      </c>
      <c r="C321" s="580">
        <v>118828</v>
      </c>
      <c r="D321" s="578" t="s">
        <v>5039</v>
      </c>
      <c r="E321" s="591">
        <v>0.15989999999999999</v>
      </c>
      <c r="F321" s="579" t="s">
        <v>5120</v>
      </c>
    </row>
    <row r="322" spans="1:6" ht="12" thickBot="1" x14ac:dyDescent="0.25">
      <c r="A322" s="756"/>
      <c r="B322" s="577" t="s">
        <v>4289</v>
      </c>
      <c r="C322" s="580">
        <v>119783</v>
      </c>
      <c r="D322" s="578" t="s">
        <v>4769</v>
      </c>
      <c r="E322" s="591">
        <v>0.16919999999999999</v>
      </c>
      <c r="F322" s="579" t="s">
        <v>5121</v>
      </c>
    </row>
    <row r="323" spans="1:6" ht="12" thickBot="1" x14ac:dyDescent="0.25">
      <c r="A323" s="756"/>
      <c r="B323" s="577" t="s">
        <v>4292</v>
      </c>
      <c r="C323" s="580">
        <v>121771</v>
      </c>
      <c r="D323" s="578" t="s">
        <v>4792</v>
      </c>
      <c r="E323" s="591">
        <v>0.18870000000000001</v>
      </c>
      <c r="F323" s="579" t="s">
        <v>5122</v>
      </c>
    </row>
    <row r="324" spans="1:6" ht="12" thickBot="1" x14ac:dyDescent="0.25">
      <c r="A324" s="756"/>
      <c r="B324" s="577" t="s">
        <v>4295</v>
      </c>
      <c r="C324" s="580">
        <v>124475</v>
      </c>
      <c r="D324" s="578" t="s">
        <v>4612</v>
      </c>
      <c r="E324" s="591">
        <v>0.21510000000000001</v>
      </c>
      <c r="F324" s="579" t="s">
        <v>4610</v>
      </c>
    </row>
    <row r="325" spans="1:6" ht="12" thickBot="1" x14ac:dyDescent="0.25">
      <c r="A325" s="756"/>
      <c r="B325" s="577" t="s">
        <v>4298</v>
      </c>
      <c r="C325" s="580">
        <v>127179</v>
      </c>
      <c r="D325" s="578" t="s">
        <v>4925</v>
      </c>
      <c r="E325" s="591">
        <v>0.24149999999999999</v>
      </c>
      <c r="F325" s="579" t="s">
        <v>5123</v>
      </c>
    </row>
    <row r="326" spans="1:6" ht="12" thickBot="1" x14ac:dyDescent="0.25">
      <c r="A326" s="757"/>
      <c r="B326" s="577" t="s">
        <v>4301</v>
      </c>
      <c r="C326" s="580">
        <v>128929</v>
      </c>
      <c r="D326" s="578" t="s">
        <v>4850</v>
      </c>
      <c r="E326" s="591">
        <v>0.25850000000000001</v>
      </c>
      <c r="F326" s="579" t="s">
        <v>5124</v>
      </c>
    </row>
    <row r="327" spans="1:6" ht="12" thickBot="1" x14ac:dyDescent="0.25">
      <c r="A327" s="755">
        <v>1981</v>
      </c>
      <c r="B327" s="577" t="s">
        <v>4304</v>
      </c>
      <c r="C327" s="580">
        <v>131737</v>
      </c>
      <c r="D327" s="578" t="s">
        <v>5125</v>
      </c>
      <c r="E327" s="591">
        <v>2.0899999999999998E-2</v>
      </c>
      <c r="F327" s="579" t="s">
        <v>5126</v>
      </c>
    </row>
    <row r="328" spans="1:6" ht="12" thickBot="1" x14ac:dyDescent="0.25">
      <c r="A328" s="756"/>
      <c r="B328" s="577" t="s">
        <v>4307</v>
      </c>
      <c r="C328" s="580">
        <v>135602</v>
      </c>
      <c r="D328" s="578" t="s">
        <v>5127</v>
      </c>
      <c r="E328" s="591">
        <v>5.0799999999999998E-2</v>
      </c>
      <c r="F328" s="579" t="s">
        <v>5128</v>
      </c>
    </row>
    <row r="329" spans="1:6" ht="12" thickBot="1" x14ac:dyDescent="0.25">
      <c r="A329" s="756"/>
      <c r="B329" s="577" t="s">
        <v>4311</v>
      </c>
      <c r="C329" s="580">
        <v>139341</v>
      </c>
      <c r="D329" s="578" t="s">
        <v>5129</v>
      </c>
      <c r="E329" s="591">
        <v>7.9799999999999996E-2</v>
      </c>
      <c r="F329" s="579" t="s">
        <v>5130</v>
      </c>
    </row>
    <row r="330" spans="1:6" ht="12" thickBot="1" x14ac:dyDescent="0.25">
      <c r="A330" s="756"/>
      <c r="B330" s="577" t="s">
        <v>4315</v>
      </c>
      <c r="C330" s="580">
        <v>142681</v>
      </c>
      <c r="D330" s="578" t="s">
        <v>5131</v>
      </c>
      <c r="E330" s="591">
        <v>0.1057</v>
      </c>
      <c r="F330" s="579" t="s">
        <v>5132</v>
      </c>
    </row>
    <row r="331" spans="1:6" ht="12" thickBot="1" x14ac:dyDescent="0.25">
      <c r="A331" s="756"/>
      <c r="B331" s="577" t="s">
        <v>4319</v>
      </c>
      <c r="C331" s="580">
        <v>146435</v>
      </c>
      <c r="D331" s="578" t="s">
        <v>4577</v>
      </c>
      <c r="E331" s="591">
        <v>0.1348</v>
      </c>
      <c r="F331" s="579" t="s">
        <v>5133</v>
      </c>
    </row>
    <row r="332" spans="1:6" ht="12" thickBot="1" x14ac:dyDescent="0.25">
      <c r="A332" s="756"/>
      <c r="B332" s="577" t="s">
        <v>4323</v>
      </c>
      <c r="C332" s="580">
        <v>150420</v>
      </c>
      <c r="D332" s="578" t="s">
        <v>4406</v>
      </c>
      <c r="E332" s="591">
        <v>0.1658</v>
      </c>
      <c r="F332" s="579" t="s">
        <v>5134</v>
      </c>
    </row>
    <row r="333" spans="1:6" ht="12" thickBot="1" x14ac:dyDescent="0.25">
      <c r="A333" s="756"/>
      <c r="B333" s="577" t="s">
        <v>4287</v>
      </c>
      <c r="C333" s="580">
        <v>153204</v>
      </c>
      <c r="D333" s="578" t="s">
        <v>4672</v>
      </c>
      <c r="E333" s="591">
        <v>0.18729999999999999</v>
      </c>
      <c r="F333" s="579" t="s">
        <v>5135</v>
      </c>
    </row>
    <row r="334" spans="1:6" ht="12" thickBot="1" x14ac:dyDescent="0.25">
      <c r="A334" s="756"/>
      <c r="B334" s="577" t="s">
        <v>4289</v>
      </c>
      <c r="C334" s="580">
        <v>155145</v>
      </c>
      <c r="D334" s="578" t="s">
        <v>5136</v>
      </c>
      <c r="E334" s="591">
        <v>0.2024</v>
      </c>
      <c r="F334" s="579" t="s">
        <v>5138</v>
      </c>
    </row>
    <row r="335" spans="1:6" ht="12" thickBot="1" x14ac:dyDescent="0.25">
      <c r="A335" s="756"/>
      <c r="B335" s="577" t="s">
        <v>4292</v>
      </c>
      <c r="C335" s="580">
        <v>156266</v>
      </c>
      <c r="D335" s="578" t="s">
        <v>5139</v>
      </c>
      <c r="E335" s="591">
        <v>0.21110000000000001</v>
      </c>
      <c r="F335" s="579" t="s">
        <v>5140</v>
      </c>
    </row>
    <row r="336" spans="1:6" ht="12" thickBot="1" x14ac:dyDescent="0.25">
      <c r="A336" s="756"/>
      <c r="B336" s="577" t="s">
        <v>4295</v>
      </c>
      <c r="C336" s="580">
        <v>158207</v>
      </c>
      <c r="D336" s="578" t="s">
        <v>4609</v>
      </c>
      <c r="E336" s="591">
        <v>0.2261</v>
      </c>
      <c r="F336" s="579" t="s">
        <v>5141</v>
      </c>
    </row>
    <row r="337" spans="1:6" ht="12" thickBot="1" x14ac:dyDescent="0.25">
      <c r="A337" s="756"/>
      <c r="B337" s="577" t="s">
        <v>4298</v>
      </c>
      <c r="C337" s="580">
        <v>160696</v>
      </c>
      <c r="D337" s="578" t="s">
        <v>5142</v>
      </c>
      <c r="E337" s="591">
        <v>0.24540000000000001</v>
      </c>
      <c r="F337" s="579" t="s">
        <v>4962</v>
      </c>
    </row>
    <row r="338" spans="1:6" ht="12" thickBot="1" x14ac:dyDescent="0.25">
      <c r="A338" s="757"/>
      <c r="B338" s="577" t="s">
        <v>4301</v>
      </c>
      <c r="C338" s="580">
        <v>163043</v>
      </c>
      <c r="D338" s="578" t="s">
        <v>4631</v>
      </c>
      <c r="E338" s="591">
        <v>0.2636</v>
      </c>
      <c r="F338" s="579" t="s">
        <v>4965</v>
      </c>
    </row>
    <row r="339" spans="1:6" ht="12" thickBot="1" x14ac:dyDescent="0.25">
      <c r="A339" s="755">
        <v>1982</v>
      </c>
      <c r="B339" s="577" t="s">
        <v>4304</v>
      </c>
      <c r="C339" s="580">
        <v>166033</v>
      </c>
      <c r="D339" s="578" t="s">
        <v>4842</v>
      </c>
      <c r="E339" s="591">
        <v>1.83E-2</v>
      </c>
      <c r="F339" s="579" t="s">
        <v>5143</v>
      </c>
    </row>
    <row r="340" spans="1:6" ht="12" thickBot="1" x14ac:dyDescent="0.25">
      <c r="A340" s="756"/>
      <c r="B340" s="577" t="s">
        <v>4307</v>
      </c>
      <c r="C340" s="580">
        <v>169644</v>
      </c>
      <c r="D340" s="578" t="s">
        <v>4925</v>
      </c>
      <c r="E340" s="591">
        <v>4.0500000000000001E-2</v>
      </c>
      <c r="F340" s="579" t="s">
        <v>5144</v>
      </c>
    </row>
    <row r="341" spans="1:6" ht="12" thickBot="1" x14ac:dyDescent="0.25">
      <c r="A341" s="756"/>
      <c r="B341" s="577" t="s">
        <v>4311</v>
      </c>
      <c r="C341" s="580">
        <v>173549</v>
      </c>
      <c r="D341" s="578" t="s">
        <v>5064</v>
      </c>
      <c r="E341" s="591">
        <v>6.4399999999999999E-2</v>
      </c>
      <c r="F341" s="579" t="s">
        <v>5145</v>
      </c>
    </row>
    <row r="342" spans="1:6" ht="12" thickBot="1" x14ac:dyDescent="0.25">
      <c r="A342" s="756"/>
      <c r="B342" s="577" t="s">
        <v>4315</v>
      </c>
      <c r="C342" s="580">
        <v>178027</v>
      </c>
      <c r="D342" s="578" t="s">
        <v>5146</v>
      </c>
      <c r="E342" s="591">
        <v>9.1899999999999996E-2</v>
      </c>
      <c r="F342" s="579" t="s">
        <v>5147</v>
      </c>
    </row>
    <row r="343" spans="1:6" ht="12" thickBot="1" x14ac:dyDescent="0.25">
      <c r="A343" s="756"/>
      <c r="B343" s="577" t="s">
        <v>4319</v>
      </c>
      <c r="C343" s="580">
        <v>182728</v>
      </c>
      <c r="D343" s="578" t="s">
        <v>5148</v>
      </c>
      <c r="E343" s="591">
        <v>0.1207</v>
      </c>
      <c r="F343" s="579" t="s">
        <v>4915</v>
      </c>
    </row>
    <row r="344" spans="1:6" ht="12" thickBot="1" x14ac:dyDescent="0.25">
      <c r="A344" s="756"/>
      <c r="B344" s="577" t="s">
        <v>4323</v>
      </c>
      <c r="C344" s="580">
        <v>186808</v>
      </c>
      <c r="D344" s="578" t="s">
        <v>5149</v>
      </c>
      <c r="E344" s="591">
        <v>0.14580000000000001</v>
      </c>
      <c r="F344" s="579" t="s">
        <v>5150</v>
      </c>
    </row>
    <row r="345" spans="1:6" ht="12" thickBot="1" x14ac:dyDescent="0.25">
      <c r="A345" s="756"/>
      <c r="B345" s="577" t="s">
        <v>4287</v>
      </c>
      <c r="C345" s="580">
        <v>189266</v>
      </c>
      <c r="D345" s="578" t="s">
        <v>4390</v>
      </c>
      <c r="E345" s="591">
        <v>0.1608</v>
      </c>
      <c r="F345" s="579" t="s">
        <v>5151</v>
      </c>
    </row>
    <row r="346" spans="1:6" ht="12" thickBot="1" x14ac:dyDescent="0.25">
      <c r="A346" s="756"/>
      <c r="B346" s="577" t="s">
        <v>4289</v>
      </c>
      <c r="C346" s="580">
        <v>191541</v>
      </c>
      <c r="D346" s="578" t="s">
        <v>4845</v>
      </c>
      <c r="E346" s="591">
        <v>0.17480000000000001</v>
      </c>
      <c r="F346" s="579" t="s">
        <v>5152</v>
      </c>
    </row>
    <row r="347" spans="1:6" ht="12" thickBot="1" x14ac:dyDescent="0.25">
      <c r="A347" s="756"/>
      <c r="B347" s="577" t="s">
        <v>4292</v>
      </c>
      <c r="C347" s="580">
        <v>194587</v>
      </c>
      <c r="D347" s="578" t="s">
        <v>5153</v>
      </c>
      <c r="E347" s="591">
        <v>0.19350000000000001</v>
      </c>
      <c r="F347" s="579" t="s">
        <v>5154</v>
      </c>
    </row>
    <row r="348" spans="1:6" ht="12" thickBot="1" x14ac:dyDescent="0.25">
      <c r="A348" s="756"/>
      <c r="B348" s="577" t="s">
        <v>4295</v>
      </c>
      <c r="C348" s="580">
        <v>198174</v>
      </c>
      <c r="D348" s="578" t="s">
        <v>5084</v>
      </c>
      <c r="E348" s="591">
        <v>0.2155</v>
      </c>
      <c r="F348" s="579" t="s">
        <v>5156</v>
      </c>
    </row>
    <row r="349" spans="1:6" ht="12" thickBot="1" x14ac:dyDescent="0.25">
      <c r="A349" s="756"/>
      <c r="B349" s="577" t="s">
        <v>4298</v>
      </c>
      <c r="C349" s="580">
        <v>200528</v>
      </c>
      <c r="D349" s="578" t="s">
        <v>4941</v>
      </c>
      <c r="E349" s="591">
        <v>0.22989999999999999</v>
      </c>
      <c r="F349" s="579" t="s">
        <v>5157</v>
      </c>
    </row>
    <row r="350" spans="1:6" ht="12" thickBot="1" x14ac:dyDescent="0.25">
      <c r="A350" s="757"/>
      <c r="B350" s="577" t="s">
        <v>4301</v>
      </c>
      <c r="C350" s="580">
        <v>202222</v>
      </c>
      <c r="D350" s="578" t="s">
        <v>4336</v>
      </c>
      <c r="E350" s="591">
        <v>0.24030000000000001</v>
      </c>
      <c r="F350" s="579" t="s">
        <v>5158</v>
      </c>
    </row>
    <row r="351" spans="1:6" ht="12" thickBot="1" x14ac:dyDescent="0.25">
      <c r="A351" s="755">
        <v>1983</v>
      </c>
      <c r="B351" s="577" t="s">
        <v>4304</v>
      </c>
      <c r="C351" s="580">
        <v>204346</v>
      </c>
      <c r="D351" s="578" t="s">
        <v>4758</v>
      </c>
      <c r="E351" s="591">
        <v>1.0500000000000001E-2</v>
      </c>
      <c r="F351" s="579" t="s">
        <v>5159</v>
      </c>
    </row>
    <row r="352" spans="1:6" ht="12" thickBot="1" x14ac:dyDescent="0.25">
      <c r="A352" s="756"/>
      <c r="B352" s="577" t="s">
        <v>4307</v>
      </c>
      <c r="C352" s="580">
        <v>206764</v>
      </c>
      <c r="D352" s="578" t="s">
        <v>4387</v>
      </c>
      <c r="E352" s="591">
        <v>2.2499999999999999E-2</v>
      </c>
      <c r="F352" s="579" t="s">
        <v>5160</v>
      </c>
    </row>
    <row r="353" spans="1:6" ht="12" thickBot="1" x14ac:dyDescent="0.25">
      <c r="A353" s="756"/>
      <c r="B353" s="577" t="s">
        <v>4311</v>
      </c>
      <c r="C353" s="580">
        <v>211465</v>
      </c>
      <c r="D353" s="578" t="s">
        <v>4819</v>
      </c>
      <c r="E353" s="591">
        <v>4.5699999999999998E-2</v>
      </c>
      <c r="F353" s="579" t="s">
        <v>5161</v>
      </c>
    </row>
    <row r="354" spans="1:6" ht="12" thickBot="1" x14ac:dyDescent="0.25">
      <c r="A354" s="756"/>
      <c r="B354" s="577" t="s">
        <v>4315</v>
      </c>
      <c r="C354" s="580">
        <v>217939</v>
      </c>
      <c r="D354" s="578" t="s">
        <v>4509</v>
      </c>
      <c r="E354" s="591">
        <v>7.7700000000000005E-2</v>
      </c>
      <c r="F354" s="579" t="s">
        <v>5162</v>
      </c>
    </row>
    <row r="355" spans="1:6" ht="12" thickBot="1" x14ac:dyDescent="0.25">
      <c r="A355" s="756"/>
      <c r="B355" s="577" t="s">
        <v>4319</v>
      </c>
      <c r="C355" s="580">
        <v>223435</v>
      </c>
      <c r="D355" s="578" t="s">
        <v>4391</v>
      </c>
      <c r="E355" s="591">
        <v>0.10489999999999999</v>
      </c>
      <c r="F355" s="579" t="s">
        <v>5163</v>
      </c>
    </row>
    <row r="356" spans="1:6" ht="12" thickBot="1" x14ac:dyDescent="0.25">
      <c r="A356" s="756"/>
      <c r="B356" s="577" t="s">
        <v>4323</v>
      </c>
      <c r="C356" s="580">
        <v>225034</v>
      </c>
      <c r="D356" s="578" t="s">
        <v>5139</v>
      </c>
      <c r="E356" s="591">
        <v>0.1128</v>
      </c>
      <c r="F356" s="579" t="s">
        <v>5164</v>
      </c>
    </row>
    <row r="357" spans="1:6" ht="12" thickBot="1" x14ac:dyDescent="0.25">
      <c r="A357" s="756"/>
      <c r="B357" s="577" t="s">
        <v>4287</v>
      </c>
      <c r="C357" s="580">
        <v>226783</v>
      </c>
      <c r="D357" s="578" t="s">
        <v>4368</v>
      </c>
      <c r="E357" s="591">
        <v>0.1215</v>
      </c>
      <c r="F357" s="579" t="s">
        <v>5165</v>
      </c>
    </row>
    <row r="358" spans="1:6" ht="12" thickBot="1" x14ac:dyDescent="0.25">
      <c r="A358" s="756"/>
      <c r="B358" s="577" t="s">
        <v>4289</v>
      </c>
      <c r="C358" s="580">
        <v>226624</v>
      </c>
      <c r="D358" s="578" t="s">
        <v>5166</v>
      </c>
      <c r="E358" s="591">
        <v>0.1207</v>
      </c>
      <c r="F358" s="579" t="s">
        <v>5167</v>
      </c>
    </row>
    <row r="359" spans="1:6" ht="12" thickBot="1" x14ac:dyDescent="0.25">
      <c r="A359" s="756"/>
      <c r="B359" s="577" t="s">
        <v>4292</v>
      </c>
      <c r="C359" s="580">
        <v>228494</v>
      </c>
      <c r="D359" s="578" t="s">
        <v>4662</v>
      </c>
      <c r="E359" s="591">
        <v>0.12089999999999999</v>
      </c>
      <c r="F359" s="579" t="s">
        <v>5168</v>
      </c>
    </row>
    <row r="360" spans="1:6" ht="12" thickBot="1" x14ac:dyDescent="0.25">
      <c r="A360" s="756"/>
      <c r="B360" s="577" t="s">
        <v>4295</v>
      </c>
      <c r="C360" s="580">
        <v>232264</v>
      </c>
      <c r="D360" s="578" t="s">
        <v>5169</v>
      </c>
      <c r="E360" s="591">
        <v>0.14860000000000001</v>
      </c>
      <c r="F360" s="579" t="s">
        <v>5170</v>
      </c>
    </row>
    <row r="361" spans="1:6" ht="12" thickBot="1" x14ac:dyDescent="0.25">
      <c r="A361" s="756"/>
      <c r="B361" s="577" t="s">
        <v>4298</v>
      </c>
      <c r="C361" s="580">
        <v>234705</v>
      </c>
      <c r="D361" s="578" t="s">
        <v>4758</v>
      </c>
      <c r="E361" s="591">
        <v>0.16059999999999999</v>
      </c>
      <c r="F361" s="579" t="s">
        <v>4716</v>
      </c>
    </row>
    <row r="362" spans="1:6" ht="12" thickBot="1" x14ac:dyDescent="0.25">
      <c r="A362" s="757"/>
      <c r="B362" s="577" t="s">
        <v>4301</v>
      </c>
      <c r="C362" s="580">
        <v>235867</v>
      </c>
      <c r="D362" s="578" t="s">
        <v>5171</v>
      </c>
      <c r="E362" s="591">
        <v>0.16639999999999999</v>
      </c>
      <c r="F362" s="579" t="s">
        <v>5172</v>
      </c>
    </row>
    <row r="363" spans="1:6" ht="12" thickBot="1" x14ac:dyDescent="0.25">
      <c r="A363" s="755">
        <v>1984</v>
      </c>
      <c r="B363" s="577" t="s">
        <v>4304</v>
      </c>
      <c r="C363" s="580">
        <v>239136</v>
      </c>
      <c r="D363" s="578" t="s">
        <v>4818</v>
      </c>
      <c r="E363" s="591">
        <v>1.3899999999999999E-2</v>
      </c>
      <c r="F363" s="579" t="s">
        <v>5173</v>
      </c>
    </row>
    <row r="364" spans="1:6" ht="12" thickBot="1" x14ac:dyDescent="0.25">
      <c r="A364" s="756"/>
      <c r="B364" s="577" t="s">
        <v>4307</v>
      </c>
      <c r="C364" s="580">
        <v>242333</v>
      </c>
      <c r="D364" s="578" t="s">
        <v>5174</v>
      </c>
      <c r="E364" s="591">
        <v>2.7400000000000001E-2</v>
      </c>
      <c r="F364" s="579" t="s">
        <v>5170</v>
      </c>
    </row>
    <row r="365" spans="1:6" ht="12" thickBot="1" x14ac:dyDescent="0.25">
      <c r="A365" s="756"/>
      <c r="B365" s="577" t="s">
        <v>4311</v>
      </c>
      <c r="C365" s="580">
        <v>246644</v>
      </c>
      <c r="D365" s="578" t="s">
        <v>5175</v>
      </c>
      <c r="E365" s="591">
        <v>4.5699999999999998E-2</v>
      </c>
      <c r="F365" s="579" t="s">
        <v>5172</v>
      </c>
    </row>
    <row r="366" spans="1:6" ht="12" thickBot="1" x14ac:dyDescent="0.25">
      <c r="A366" s="756"/>
      <c r="B366" s="577" t="s">
        <v>4315</v>
      </c>
      <c r="C366" s="580">
        <v>251543</v>
      </c>
      <c r="D366" s="578" t="s">
        <v>4437</v>
      </c>
      <c r="E366" s="591">
        <v>6.6500000000000004E-2</v>
      </c>
      <c r="F366" s="579" t="s">
        <v>5176</v>
      </c>
    </row>
    <row r="367" spans="1:6" ht="12" thickBot="1" x14ac:dyDescent="0.25">
      <c r="A367" s="756"/>
      <c r="B367" s="577" t="s">
        <v>4319</v>
      </c>
      <c r="C367" s="580">
        <v>255075</v>
      </c>
      <c r="D367" s="578" t="s">
        <v>4693</v>
      </c>
      <c r="E367" s="591">
        <v>8.14E-2</v>
      </c>
      <c r="F367" s="579" t="s">
        <v>5177</v>
      </c>
    </row>
    <row r="368" spans="1:6" ht="12" thickBot="1" x14ac:dyDescent="0.25">
      <c r="A368" s="756"/>
      <c r="B368" s="577" t="s">
        <v>4323</v>
      </c>
      <c r="C368" s="580">
        <v>259171</v>
      </c>
      <c r="D368" s="578" t="s">
        <v>4536</v>
      </c>
      <c r="E368" s="591">
        <v>9.8799999999999999E-2</v>
      </c>
      <c r="F368" s="579" t="s">
        <v>5178</v>
      </c>
    </row>
    <row r="369" spans="1:6" ht="12" thickBot="1" x14ac:dyDescent="0.25">
      <c r="A369" s="756"/>
      <c r="B369" s="577" t="s">
        <v>4287</v>
      </c>
      <c r="C369" s="580">
        <v>262328</v>
      </c>
      <c r="D369" s="578" t="s">
        <v>5179</v>
      </c>
      <c r="E369" s="591">
        <v>0.11219999999999999</v>
      </c>
      <c r="F369" s="579" t="s">
        <v>5180</v>
      </c>
    </row>
    <row r="370" spans="1:6" ht="12" thickBot="1" x14ac:dyDescent="0.25">
      <c r="A370" s="756"/>
      <c r="B370" s="577" t="s">
        <v>4289</v>
      </c>
      <c r="C370" s="580">
        <v>263315</v>
      </c>
      <c r="D370" s="578" t="s">
        <v>4766</v>
      </c>
      <c r="E370" s="591">
        <v>0.1164</v>
      </c>
      <c r="F370" s="579" t="s">
        <v>5181</v>
      </c>
    </row>
    <row r="371" spans="1:6" ht="12" thickBot="1" x14ac:dyDescent="0.25">
      <c r="A371" s="756"/>
      <c r="B371" s="577" t="s">
        <v>4292</v>
      </c>
      <c r="C371" s="580">
        <v>266218</v>
      </c>
      <c r="D371" s="578" t="s">
        <v>4543</v>
      </c>
      <c r="E371" s="591">
        <v>0.12870000000000001</v>
      </c>
      <c r="F371" s="579" t="s">
        <v>5182</v>
      </c>
    </row>
    <row r="372" spans="1:6" ht="12" thickBot="1" x14ac:dyDescent="0.25">
      <c r="A372" s="756"/>
      <c r="B372" s="577" t="s">
        <v>4295</v>
      </c>
      <c r="C372" s="580">
        <v>267729</v>
      </c>
      <c r="D372" s="578" t="s">
        <v>5183</v>
      </c>
      <c r="E372" s="591">
        <v>0.1351</v>
      </c>
      <c r="F372" s="579" t="s">
        <v>5185</v>
      </c>
    </row>
    <row r="373" spans="1:6" ht="12" thickBot="1" x14ac:dyDescent="0.25">
      <c r="A373" s="756"/>
      <c r="B373" s="577" t="s">
        <v>4298</v>
      </c>
      <c r="C373" s="580">
        <v>273185</v>
      </c>
      <c r="D373" s="578" t="s">
        <v>4540</v>
      </c>
      <c r="E373" s="591">
        <v>0.15820000000000001</v>
      </c>
      <c r="F373" s="579" t="s">
        <v>5186</v>
      </c>
    </row>
    <row r="374" spans="1:6" ht="12" thickBot="1" x14ac:dyDescent="0.25">
      <c r="A374" s="757"/>
      <c r="B374" s="577" t="s">
        <v>4301</v>
      </c>
      <c r="C374" s="580">
        <v>278991</v>
      </c>
      <c r="D374" s="578" t="s">
        <v>5187</v>
      </c>
      <c r="E374" s="591">
        <v>0.18279999999999999</v>
      </c>
      <c r="F374" s="579" t="s">
        <v>5188</v>
      </c>
    </row>
    <row r="375" spans="1:6" ht="12" thickBot="1" x14ac:dyDescent="0.25">
      <c r="A375" s="755">
        <v>1985</v>
      </c>
      <c r="B375" s="577" t="s">
        <v>4304</v>
      </c>
      <c r="C375" s="580">
        <v>285227</v>
      </c>
      <c r="D375" s="578" t="s">
        <v>4397</v>
      </c>
      <c r="E375" s="591">
        <v>2.24E-2</v>
      </c>
      <c r="F375" s="579" t="s">
        <v>5189</v>
      </c>
    </row>
    <row r="376" spans="1:6" ht="12" thickBot="1" x14ac:dyDescent="0.25">
      <c r="A376" s="756"/>
      <c r="B376" s="577" t="s">
        <v>4307</v>
      </c>
      <c r="C376" s="580">
        <v>293793</v>
      </c>
      <c r="D376" s="578" t="s">
        <v>5190</v>
      </c>
      <c r="E376" s="591">
        <v>5.3100000000000001E-2</v>
      </c>
      <c r="F376" s="579" t="s">
        <v>5191</v>
      </c>
    </row>
    <row r="377" spans="1:6" ht="12" thickBot="1" x14ac:dyDescent="0.25">
      <c r="A377" s="756"/>
      <c r="B377" s="577" t="s">
        <v>4311</v>
      </c>
      <c r="C377" s="580">
        <v>302916</v>
      </c>
      <c r="D377" s="578" t="s">
        <v>4900</v>
      </c>
      <c r="E377" s="591">
        <v>8.5800000000000001E-2</v>
      </c>
      <c r="F377" s="579" t="s">
        <v>5192</v>
      </c>
    </row>
    <row r="378" spans="1:6" ht="12" thickBot="1" x14ac:dyDescent="0.25">
      <c r="A378" s="756"/>
      <c r="B378" s="577" t="s">
        <v>4315</v>
      </c>
      <c r="C378" s="580">
        <v>311442</v>
      </c>
      <c r="D378" s="578" t="s">
        <v>5193</v>
      </c>
      <c r="E378" s="591">
        <v>0.1163</v>
      </c>
      <c r="F378" s="579" t="s">
        <v>5194</v>
      </c>
    </row>
    <row r="379" spans="1:6" ht="12" thickBot="1" x14ac:dyDescent="0.25">
      <c r="A379" s="756"/>
      <c r="B379" s="577" t="s">
        <v>4319</v>
      </c>
      <c r="C379" s="580">
        <v>325505</v>
      </c>
      <c r="D379" s="578" t="s">
        <v>5195</v>
      </c>
      <c r="E379" s="591">
        <v>0.16669999999999999</v>
      </c>
      <c r="F379" s="579" t="s">
        <v>5196</v>
      </c>
    </row>
    <row r="380" spans="1:6" ht="12" thickBot="1" x14ac:dyDescent="0.25">
      <c r="A380" s="756"/>
      <c r="B380" s="577" t="s">
        <v>4323</v>
      </c>
      <c r="C380" s="580">
        <v>331510</v>
      </c>
      <c r="D380" s="578" t="s">
        <v>5084</v>
      </c>
      <c r="E380" s="591">
        <v>0.18820000000000001</v>
      </c>
      <c r="F380" s="579" t="s">
        <v>5197</v>
      </c>
    </row>
    <row r="381" spans="1:6" ht="12" thickBot="1" x14ac:dyDescent="0.25">
      <c r="A381" s="756"/>
      <c r="B381" s="577" t="s">
        <v>4287</v>
      </c>
      <c r="C381" s="580">
        <v>329577</v>
      </c>
      <c r="D381" s="578" t="s">
        <v>4828</v>
      </c>
      <c r="E381" s="591">
        <v>0.18129999999999999</v>
      </c>
      <c r="F381" s="579" t="s">
        <v>5198</v>
      </c>
    </row>
    <row r="382" spans="1:6" ht="12" thickBot="1" x14ac:dyDescent="0.25">
      <c r="A382" s="756"/>
      <c r="B382" s="577" t="s">
        <v>4289</v>
      </c>
      <c r="C382" s="580">
        <v>328264</v>
      </c>
      <c r="D382" s="578" t="s">
        <v>5199</v>
      </c>
      <c r="E382" s="591">
        <v>0.17660000000000001</v>
      </c>
      <c r="F382" s="579" t="s">
        <v>5200</v>
      </c>
    </row>
    <row r="383" spans="1:6" ht="12" thickBot="1" x14ac:dyDescent="0.25">
      <c r="A383" s="756"/>
      <c r="B383" s="577" t="s">
        <v>4292</v>
      </c>
      <c r="C383" s="580">
        <v>331176</v>
      </c>
      <c r="D383" s="578" t="s">
        <v>4573</v>
      </c>
      <c r="E383" s="591">
        <v>0.187</v>
      </c>
      <c r="F383" s="579" t="s">
        <v>5201</v>
      </c>
    </row>
    <row r="384" spans="1:6" ht="12" thickBot="1" x14ac:dyDescent="0.25">
      <c r="A384" s="756"/>
      <c r="B384" s="577" t="s">
        <v>4295</v>
      </c>
      <c r="C384" s="580">
        <v>334047</v>
      </c>
      <c r="D384" s="578" t="s">
        <v>4318</v>
      </c>
      <c r="E384" s="591">
        <v>0.1973</v>
      </c>
      <c r="F384" s="579" t="s">
        <v>5147</v>
      </c>
    </row>
    <row r="385" spans="1:6" ht="12" thickBot="1" x14ac:dyDescent="0.25">
      <c r="A385" s="756"/>
      <c r="B385" s="577" t="s">
        <v>4298</v>
      </c>
      <c r="C385" s="580">
        <v>337363</v>
      </c>
      <c r="D385" s="578" t="s">
        <v>4421</v>
      </c>
      <c r="E385" s="591">
        <v>0.2092</v>
      </c>
      <c r="F385" s="579" t="s">
        <v>5202</v>
      </c>
    </row>
    <row r="386" spans="1:6" ht="12" thickBot="1" x14ac:dyDescent="0.25">
      <c r="A386" s="757"/>
      <c r="B386" s="577" t="s">
        <v>4301</v>
      </c>
      <c r="C386" s="580">
        <v>341627</v>
      </c>
      <c r="D386" s="578" t="s">
        <v>5203</v>
      </c>
      <c r="E386" s="591">
        <v>0.22450000000000001</v>
      </c>
      <c r="F386" s="579" t="s">
        <v>4945</v>
      </c>
    </row>
    <row r="387" spans="1:6" ht="12" thickBot="1" x14ac:dyDescent="0.25">
      <c r="A387" s="755">
        <v>1986</v>
      </c>
      <c r="B387" s="577" t="s">
        <v>4304</v>
      </c>
      <c r="C387" s="580">
        <v>352388</v>
      </c>
      <c r="D387" s="578" t="s">
        <v>5204</v>
      </c>
      <c r="E387" s="591">
        <v>3.15E-2</v>
      </c>
      <c r="F387" s="579" t="s">
        <v>5205</v>
      </c>
    </row>
    <row r="388" spans="1:6" ht="12" thickBot="1" x14ac:dyDescent="0.25">
      <c r="A388" s="756"/>
      <c r="B388" s="577" t="s">
        <v>4307</v>
      </c>
      <c r="C388" s="580">
        <v>363491</v>
      </c>
      <c r="D388" s="578" t="s">
        <v>5204</v>
      </c>
      <c r="E388" s="591">
        <v>6.4000000000000001E-2</v>
      </c>
      <c r="F388" s="579" t="s">
        <v>5206</v>
      </c>
    </row>
    <row r="389" spans="1:6" ht="12" thickBot="1" x14ac:dyDescent="0.25">
      <c r="A389" s="756"/>
      <c r="B389" s="577" t="s">
        <v>4311</v>
      </c>
      <c r="C389" s="580">
        <v>371525</v>
      </c>
      <c r="D389" s="578" t="s">
        <v>5207</v>
      </c>
      <c r="E389" s="591">
        <v>8.7499999999999994E-2</v>
      </c>
      <c r="F389" s="579" t="s">
        <v>5208</v>
      </c>
    </row>
    <row r="390" spans="1:6" ht="12" thickBot="1" x14ac:dyDescent="0.25">
      <c r="A390" s="756"/>
      <c r="B390" s="577" t="s">
        <v>4315</v>
      </c>
      <c r="C390" s="580">
        <v>381650</v>
      </c>
      <c r="D390" s="578" t="s">
        <v>5209</v>
      </c>
      <c r="E390" s="591">
        <v>0.1172</v>
      </c>
      <c r="F390" s="579" t="s">
        <v>5210</v>
      </c>
    </row>
    <row r="391" spans="1:6" ht="12" thickBot="1" x14ac:dyDescent="0.25">
      <c r="A391" s="756"/>
      <c r="B391" s="577" t="s">
        <v>4319</v>
      </c>
      <c r="C391" s="580">
        <v>378898</v>
      </c>
      <c r="D391" s="578" t="s">
        <v>5211</v>
      </c>
      <c r="E391" s="591">
        <v>0.1091</v>
      </c>
      <c r="F391" s="579" t="s">
        <v>5212</v>
      </c>
    </row>
    <row r="392" spans="1:6" ht="12" thickBot="1" x14ac:dyDescent="0.25">
      <c r="A392" s="756"/>
      <c r="B392" s="577" t="s">
        <v>4323</v>
      </c>
      <c r="C392" s="580">
        <v>376130</v>
      </c>
      <c r="D392" s="578" t="s">
        <v>5213</v>
      </c>
      <c r="E392" s="591">
        <v>0.10100000000000001</v>
      </c>
      <c r="F392" s="579" t="s">
        <v>4874</v>
      </c>
    </row>
    <row r="393" spans="1:6" ht="12" thickBot="1" x14ac:dyDescent="0.25">
      <c r="A393" s="756"/>
      <c r="B393" s="577" t="s">
        <v>4287</v>
      </c>
      <c r="C393" s="580">
        <v>376074</v>
      </c>
      <c r="D393" s="578" t="s">
        <v>4332</v>
      </c>
      <c r="E393" s="591">
        <v>0.1008</v>
      </c>
      <c r="F393" s="579" t="s">
        <v>5214</v>
      </c>
    </row>
    <row r="394" spans="1:6" ht="12" thickBot="1" x14ac:dyDescent="0.25">
      <c r="A394" s="756"/>
      <c r="B394" s="577" t="s">
        <v>4289</v>
      </c>
      <c r="C394" s="580">
        <v>381339</v>
      </c>
      <c r="D394" s="578" t="s">
        <v>4693</v>
      </c>
      <c r="E394" s="591">
        <v>0.1162</v>
      </c>
      <c r="F394" s="579" t="s">
        <v>5215</v>
      </c>
    </row>
    <row r="395" spans="1:6" ht="12" thickBot="1" x14ac:dyDescent="0.25">
      <c r="A395" s="756"/>
      <c r="B395" s="577" t="s">
        <v>4292</v>
      </c>
      <c r="C395" s="580">
        <v>386780</v>
      </c>
      <c r="D395" s="578" t="s">
        <v>5216</v>
      </c>
      <c r="E395" s="591">
        <v>0.13220000000000001</v>
      </c>
      <c r="F395" s="579" t="s">
        <v>5217</v>
      </c>
    </row>
    <row r="396" spans="1:6" ht="12" thickBot="1" x14ac:dyDescent="0.25">
      <c r="A396" s="756"/>
      <c r="B396" s="577" t="s">
        <v>4295</v>
      </c>
      <c r="C396" s="580">
        <v>394741</v>
      </c>
      <c r="D396" s="578" t="s">
        <v>5218</v>
      </c>
      <c r="E396" s="591">
        <v>0.1555</v>
      </c>
      <c r="F396" s="579" t="s">
        <v>5219</v>
      </c>
    </row>
    <row r="397" spans="1:6" ht="12" thickBot="1" x14ac:dyDescent="0.25">
      <c r="A397" s="756"/>
      <c r="B397" s="577" t="s">
        <v>4298</v>
      </c>
      <c r="C397" s="580">
        <v>403292</v>
      </c>
      <c r="D397" s="578" t="s">
        <v>4925</v>
      </c>
      <c r="E397" s="591">
        <v>0.18049999999999999</v>
      </c>
      <c r="F397" s="579" t="s">
        <v>5220</v>
      </c>
    </row>
    <row r="398" spans="1:6" ht="12" thickBot="1" x14ac:dyDescent="0.25">
      <c r="A398" s="757"/>
      <c r="B398" s="577" t="s">
        <v>4301</v>
      </c>
      <c r="C398" s="580">
        <v>413186</v>
      </c>
      <c r="D398" s="578" t="s">
        <v>4702</v>
      </c>
      <c r="E398" s="591">
        <v>0.20949999999999999</v>
      </c>
      <c r="F398" s="579" t="s">
        <v>5221</v>
      </c>
    </row>
    <row r="399" spans="1:6" ht="12" thickBot="1" x14ac:dyDescent="0.25">
      <c r="A399" s="755">
        <v>1987</v>
      </c>
      <c r="B399" s="577" t="s">
        <v>4304</v>
      </c>
      <c r="C399" s="580">
        <v>426691</v>
      </c>
      <c r="D399" s="578" t="s">
        <v>4870</v>
      </c>
      <c r="E399" s="591">
        <v>3.27E-2</v>
      </c>
      <c r="F399" s="579" t="s">
        <v>5222</v>
      </c>
    </row>
    <row r="400" spans="1:6" ht="12" thickBot="1" x14ac:dyDescent="0.25">
      <c r="A400" s="756"/>
      <c r="B400" s="577" t="s">
        <v>4307</v>
      </c>
      <c r="C400" s="580">
        <v>435361</v>
      </c>
      <c r="D400" s="578" t="s">
        <v>4346</v>
      </c>
      <c r="E400" s="591">
        <v>5.3699999999999998E-2</v>
      </c>
      <c r="F400" s="579" t="s">
        <v>5224</v>
      </c>
    </row>
    <row r="401" spans="1:6" ht="12" thickBot="1" x14ac:dyDescent="0.25">
      <c r="A401" s="756"/>
      <c r="B401" s="577" t="s">
        <v>4311</v>
      </c>
      <c r="C401" s="580">
        <v>447156</v>
      </c>
      <c r="D401" s="578" t="s">
        <v>5225</v>
      </c>
      <c r="E401" s="591">
        <v>8.2199999999999995E-2</v>
      </c>
      <c r="F401" s="579" t="s">
        <v>5226</v>
      </c>
    </row>
    <row r="402" spans="1:6" ht="12" thickBot="1" x14ac:dyDescent="0.25">
      <c r="A402" s="756"/>
      <c r="B402" s="577" t="s">
        <v>4315</v>
      </c>
      <c r="C402" s="580">
        <v>457234</v>
      </c>
      <c r="D402" s="578" t="s">
        <v>5023</v>
      </c>
      <c r="E402" s="591">
        <v>0.1066</v>
      </c>
      <c r="F402" s="579" t="s">
        <v>5227</v>
      </c>
    </row>
    <row r="403" spans="1:6" ht="12" thickBot="1" x14ac:dyDescent="0.25">
      <c r="A403" s="756"/>
      <c r="B403" s="577" t="s">
        <v>4319</v>
      </c>
      <c r="C403" s="580">
        <v>465012</v>
      </c>
      <c r="D403" s="578" t="s">
        <v>4434</v>
      </c>
      <c r="E403" s="591">
        <v>0.12540000000000001</v>
      </c>
      <c r="F403" s="579" t="s">
        <v>5228</v>
      </c>
    </row>
    <row r="404" spans="1:6" ht="12" thickBot="1" x14ac:dyDescent="0.25">
      <c r="A404" s="756"/>
      <c r="B404" s="577" t="s">
        <v>4323</v>
      </c>
      <c r="C404" s="580">
        <v>469458</v>
      </c>
      <c r="D404" s="578" t="s">
        <v>4505</v>
      </c>
      <c r="E404" s="591">
        <v>0.13619999999999999</v>
      </c>
      <c r="F404" s="579" t="s">
        <v>5229</v>
      </c>
    </row>
    <row r="405" spans="1:6" ht="12" thickBot="1" x14ac:dyDescent="0.25">
      <c r="A405" s="756"/>
      <c r="B405" s="577" t="s">
        <v>4287</v>
      </c>
      <c r="C405" s="580">
        <v>476314</v>
      </c>
      <c r="D405" s="578" t="s">
        <v>4631</v>
      </c>
      <c r="E405" s="591">
        <v>0.15279999999999999</v>
      </c>
      <c r="F405" s="579" t="s">
        <v>5230</v>
      </c>
    </row>
    <row r="406" spans="1:6" ht="12" thickBot="1" x14ac:dyDescent="0.25">
      <c r="A406" s="756"/>
      <c r="B406" s="577" t="s">
        <v>4289</v>
      </c>
      <c r="C406" s="580">
        <v>477706</v>
      </c>
      <c r="D406" s="578" t="s">
        <v>4352</v>
      </c>
      <c r="E406" s="591">
        <v>0.15620000000000001</v>
      </c>
      <c r="F406" s="579" t="s">
        <v>5231</v>
      </c>
    </row>
    <row r="407" spans="1:6" ht="12" thickBot="1" x14ac:dyDescent="0.25">
      <c r="A407" s="756"/>
      <c r="B407" s="577" t="s">
        <v>4292</v>
      </c>
      <c r="C407" s="580">
        <v>483520</v>
      </c>
      <c r="D407" s="578" t="s">
        <v>5179</v>
      </c>
      <c r="E407" s="591">
        <v>0.17019999999999999</v>
      </c>
      <c r="F407" s="579" t="s">
        <v>5232</v>
      </c>
    </row>
    <row r="408" spans="1:6" ht="12" thickBot="1" x14ac:dyDescent="0.25">
      <c r="A408" s="756"/>
      <c r="B408" s="577" t="s">
        <v>4295</v>
      </c>
      <c r="C408" s="580">
        <v>492627</v>
      </c>
      <c r="D408" s="578" t="s">
        <v>5233</v>
      </c>
      <c r="E408" s="591">
        <v>0.1923</v>
      </c>
      <c r="F408" s="579" t="s">
        <v>4980</v>
      </c>
    </row>
    <row r="409" spans="1:6" ht="12" thickBot="1" x14ac:dyDescent="0.25">
      <c r="A409" s="756"/>
      <c r="B409" s="577" t="s">
        <v>4298</v>
      </c>
      <c r="C409" s="580">
        <v>503023</v>
      </c>
      <c r="D409" s="578" t="s">
        <v>5000</v>
      </c>
      <c r="E409" s="591">
        <v>0.21740000000000001</v>
      </c>
      <c r="F409" s="579" t="s">
        <v>5234</v>
      </c>
    </row>
    <row r="410" spans="1:6" ht="12" thickBot="1" x14ac:dyDescent="0.25">
      <c r="A410" s="757"/>
      <c r="B410" s="577" t="s">
        <v>4301</v>
      </c>
      <c r="C410" s="580">
        <v>512440</v>
      </c>
      <c r="D410" s="578" t="s">
        <v>5235</v>
      </c>
      <c r="E410" s="591">
        <v>0.2402</v>
      </c>
      <c r="F410" s="579" t="s">
        <v>5236</v>
      </c>
    </row>
    <row r="411" spans="1:6" ht="12" thickBot="1" x14ac:dyDescent="0.25">
      <c r="A411" s="755">
        <v>1988</v>
      </c>
      <c r="B411" s="577" t="s">
        <v>4304</v>
      </c>
      <c r="C411" s="580">
        <v>527838</v>
      </c>
      <c r="D411" s="578" t="s">
        <v>5190</v>
      </c>
      <c r="E411" s="591">
        <v>0.03</v>
      </c>
      <c r="F411" s="579" t="s">
        <v>5105</v>
      </c>
    </row>
    <row r="412" spans="1:6" ht="12" thickBot="1" x14ac:dyDescent="0.25">
      <c r="A412" s="756"/>
      <c r="B412" s="577" t="s">
        <v>4307</v>
      </c>
      <c r="C412" s="580">
        <v>549122</v>
      </c>
      <c r="D412" s="578" t="s">
        <v>5237</v>
      </c>
      <c r="E412" s="591">
        <v>7.1599999999999997E-2</v>
      </c>
      <c r="F412" s="579" t="s">
        <v>5121</v>
      </c>
    </row>
    <row r="413" spans="1:6" ht="12" thickBot="1" x14ac:dyDescent="0.25">
      <c r="A413" s="756"/>
      <c r="B413" s="577" t="s">
        <v>4311</v>
      </c>
      <c r="C413" s="580">
        <v>565014</v>
      </c>
      <c r="D413" s="578" t="s">
        <v>5238</v>
      </c>
      <c r="E413" s="591">
        <v>0.1026</v>
      </c>
      <c r="F413" s="579" t="s">
        <v>4965</v>
      </c>
    </row>
    <row r="414" spans="1:6" ht="12" thickBot="1" x14ac:dyDescent="0.25">
      <c r="A414" s="756"/>
      <c r="B414" s="577" t="s">
        <v>4315</v>
      </c>
      <c r="C414" s="580">
        <v>587117</v>
      </c>
      <c r="D414" s="578" t="s">
        <v>5239</v>
      </c>
      <c r="E414" s="591">
        <v>0.1457</v>
      </c>
      <c r="F414" s="579" t="s">
        <v>5240</v>
      </c>
    </row>
    <row r="415" spans="1:6" ht="12" thickBot="1" x14ac:dyDescent="0.25">
      <c r="A415" s="756"/>
      <c r="B415" s="577" t="s">
        <v>4319</v>
      </c>
      <c r="C415" s="580">
        <v>597258</v>
      </c>
      <c r="D415" s="578" t="s">
        <v>5241</v>
      </c>
      <c r="E415" s="591">
        <v>0.16550000000000001</v>
      </c>
      <c r="F415" s="579" t="s">
        <v>5242</v>
      </c>
    </row>
    <row r="416" spans="1:6" ht="12" thickBot="1" x14ac:dyDescent="0.25">
      <c r="A416" s="756"/>
      <c r="B416" s="577" t="s">
        <v>4323</v>
      </c>
      <c r="C416" s="580">
        <v>611575</v>
      </c>
      <c r="D416" s="578" t="s">
        <v>5243</v>
      </c>
      <c r="E416" s="591">
        <v>0.19350000000000001</v>
      </c>
      <c r="F416" s="579" t="s">
        <v>5244</v>
      </c>
    </row>
    <row r="417" spans="1:6" ht="12" thickBot="1" x14ac:dyDescent="0.25">
      <c r="A417" s="756"/>
      <c r="B417" s="577" t="s">
        <v>4287</v>
      </c>
      <c r="C417" s="580">
        <v>620435</v>
      </c>
      <c r="D417" s="578" t="s">
        <v>4886</v>
      </c>
      <c r="E417" s="591">
        <v>0.2107</v>
      </c>
      <c r="F417" s="579" t="s">
        <v>5246</v>
      </c>
    </row>
    <row r="418" spans="1:6" ht="12" thickBot="1" x14ac:dyDescent="0.25">
      <c r="A418" s="756"/>
      <c r="B418" s="577" t="s">
        <v>4289</v>
      </c>
      <c r="C418" s="580">
        <v>619338</v>
      </c>
      <c r="D418" s="578" t="s">
        <v>5247</v>
      </c>
      <c r="E418" s="591">
        <v>0.20860000000000001</v>
      </c>
      <c r="F418" s="579" t="s">
        <v>4624</v>
      </c>
    </row>
    <row r="419" spans="1:6" ht="12" thickBot="1" x14ac:dyDescent="0.25">
      <c r="A419" s="756"/>
      <c r="B419" s="577" t="s">
        <v>4292</v>
      </c>
      <c r="C419" s="580">
        <v>623720</v>
      </c>
      <c r="D419" s="578" t="s">
        <v>5249</v>
      </c>
      <c r="E419" s="591">
        <v>0.2172</v>
      </c>
      <c r="F419" s="579" t="s">
        <v>5250</v>
      </c>
    </row>
    <row r="420" spans="1:6" ht="12" thickBot="1" x14ac:dyDescent="0.25">
      <c r="A420" s="756"/>
      <c r="B420" s="577" t="s">
        <v>4295</v>
      </c>
      <c r="C420" s="580">
        <v>633479</v>
      </c>
      <c r="D420" s="578" t="s">
        <v>5251</v>
      </c>
      <c r="E420" s="591">
        <v>0.23619999999999999</v>
      </c>
      <c r="F420" s="579" t="s">
        <v>5252</v>
      </c>
    </row>
    <row r="421" spans="1:6" ht="12" thickBot="1" x14ac:dyDescent="0.25">
      <c r="A421" s="756"/>
      <c r="B421" s="577" t="s">
        <v>4298</v>
      </c>
      <c r="C421" s="580">
        <v>642260</v>
      </c>
      <c r="D421" s="578" t="s">
        <v>4818</v>
      </c>
      <c r="E421" s="591">
        <v>0.25330000000000003</v>
      </c>
      <c r="F421" s="579" t="s">
        <v>5253</v>
      </c>
    </row>
    <row r="422" spans="1:6" ht="12" thickBot="1" x14ac:dyDescent="0.25">
      <c r="A422" s="757"/>
      <c r="B422" s="577" t="s">
        <v>4301</v>
      </c>
      <c r="C422" s="580">
        <v>656561</v>
      </c>
      <c r="D422" s="578" t="s">
        <v>5149</v>
      </c>
      <c r="E422" s="591">
        <v>0.28120000000000001</v>
      </c>
      <c r="F422" s="579" t="s">
        <v>5254</v>
      </c>
    </row>
    <row r="423" spans="1:6" ht="12" thickBot="1" x14ac:dyDescent="0.25">
      <c r="A423" s="755">
        <v>1989</v>
      </c>
      <c r="B423" s="577" t="s">
        <v>4304</v>
      </c>
      <c r="C423" s="580">
        <v>675162</v>
      </c>
      <c r="D423" s="578" t="s">
        <v>5255</v>
      </c>
      <c r="E423" s="591">
        <v>2.8299999999999999E-2</v>
      </c>
      <c r="F423" s="579" t="s">
        <v>5197</v>
      </c>
    </row>
    <row r="424" spans="1:6" ht="12" thickBot="1" x14ac:dyDescent="0.25">
      <c r="A424" s="756"/>
      <c r="B424" s="577" t="s">
        <v>4307</v>
      </c>
      <c r="C424" s="580">
        <v>697606</v>
      </c>
      <c r="D424" s="578" t="s">
        <v>5256</v>
      </c>
      <c r="E424" s="591">
        <v>6.25E-2</v>
      </c>
      <c r="F424" s="579" t="s">
        <v>5257</v>
      </c>
    </row>
    <row r="425" spans="1:6" ht="12" thickBot="1" x14ac:dyDescent="0.25">
      <c r="A425" s="756"/>
      <c r="B425" s="577" t="s">
        <v>4311</v>
      </c>
      <c r="C425" s="580">
        <v>714929</v>
      </c>
      <c r="D425" s="578" t="s">
        <v>4695</v>
      </c>
      <c r="E425" s="591">
        <v>8.8900000000000007E-2</v>
      </c>
      <c r="F425" s="579" t="s">
        <v>5259</v>
      </c>
    </row>
    <row r="426" spans="1:6" ht="12" thickBot="1" x14ac:dyDescent="0.25">
      <c r="A426" s="756"/>
      <c r="B426" s="577" t="s">
        <v>4315</v>
      </c>
      <c r="C426" s="580">
        <v>733039</v>
      </c>
      <c r="D426" s="578" t="s">
        <v>5260</v>
      </c>
      <c r="E426" s="591">
        <v>0.1164</v>
      </c>
      <c r="F426" s="579" t="s">
        <v>5261</v>
      </c>
    </row>
    <row r="427" spans="1:6" ht="12" thickBot="1" x14ac:dyDescent="0.25">
      <c r="A427" s="756"/>
      <c r="B427" s="577" t="s">
        <v>4319</v>
      </c>
      <c r="C427" s="580">
        <v>745882</v>
      </c>
      <c r="D427" s="578" t="s">
        <v>4675</v>
      </c>
      <c r="E427" s="591">
        <v>0.13600000000000001</v>
      </c>
      <c r="F427" s="579" t="s">
        <v>5262</v>
      </c>
    </row>
    <row r="428" spans="1:6" ht="12" thickBot="1" x14ac:dyDescent="0.25">
      <c r="A428" s="756"/>
      <c r="B428" s="577" t="s">
        <v>4323</v>
      </c>
      <c r="C428" s="580">
        <v>756154</v>
      </c>
      <c r="D428" s="578" t="s">
        <v>4850</v>
      </c>
      <c r="E428" s="591">
        <v>0.15160000000000001</v>
      </c>
      <c r="F428" s="579" t="s">
        <v>5263</v>
      </c>
    </row>
    <row r="429" spans="1:6" ht="12" thickBot="1" x14ac:dyDescent="0.25">
      <c r="A429" s="756"/>
      <c r="B429" s="577" t="s">
        <v>4287</v>
      </c>
      <c r="C429" s="580">
        <v>767871</v>
      </c>
      <c r="D429" s="578" t="s">
        <v>4462</v>
      </c>
      <c r="E429" s="591">
        <v>0.16950000000000001</v>
      </c>
      <c r="F429" s="579" t="s">
        <v>5264</v>
      </c>
    </row>
    <row r="430" spans="1:6" ht="12" thickBot="1" x14ac:dyDescent="0.25">
      <c r="A430" s="756"/>
      <c r="B430" s="577" t="s">
        <v>4289</v>
      </c>
      <c r="C430" s="580">
        <v>778474</v>
      </c>
      <c r="D430" s="578" t="s">
        <v>4920</v>
      </c>
      <c r="E430" s="591">
        <v>0.18559999999999999</v>
      </c>
      <c r="F430" s="579" t="s">
        <v>5265</v>
      </c>
    </row>
    <row r="431" spans="1:6" ht="12" thickBot="1" x14ac:dyDescent="0.25">
      <c r="A431" s="756"/>
      <c r="B431" s="577" t="s">
        <v>4292</v>
      </c>
      <c r="C431" s="580">
        <v>789330</v>
      </c>
      <c r="D431" s="578" t="s">
        <v>4818</v>
      </c>
      <c r="E431" s="591">
        <v>0.20219999999999999</v>
      </c>
      <c r="F431" s="579" t="s">
        <v>5266</v>
      </c>
    </row>
    <row r="432" spans="1:6" ht="12" thickBot="1" x14ac:dyDescent="0.25">
      <c r="A432" s="756"/>
      <c r="B432" s="577" t="s">
        <v>4295</v>
      </c>
      <c r="C432" s="580">
        <v>802000</v>
      </c>
      <c r="D432" s="578" t="s">
        <v>5267</v>
      </c>
      <c r="E432" s="591">
        <v>0.2215</v>
      </c>
      <c r="F432" s="579" t="s">
        <v>5268</v>
      </c>
    </row>
    <row r="433" spans="1:6" ht="12" thickBot="1" x14ac:dyDescent="0.25">
      <c r="A433" s="756"/>
      <c r="B433" s="577" t="s">
        <v>4298</v>
      </c>
      <c r="C433" s="580">
        <v>816289</v>
      </c>
      <c r="D433" s="578" t="s">
        <v>5175</v>
      </c>
      <c r="E433" s="591">
        <v>0.2432</v>
      </c>
      <c r="F433" s="579" t="s">
        <v>5269</v>
      </c>
    </row>
    <row r="434" spans="1:6" ht="12" thickBot="1" x14ac:dyDescent="0.25">
      <c r="A434" s="757"/>
      <c r="B434" s="577" t="s">
        <v>4301</v>
      </c>
      <c r="C434" s="580">
        <v>828074</v>
      </c>
      <c r="D434" s="578" t="s">
        <v>4343</v>
      </c>
      <c r="E434" s="591">
        <v>0.26119999999999999</v>
      </c>
      <c r="F434" s="579" t="s">
        <v>5270</v>
      </c>
    </row>
    <row r="435" spans="1:6" ht="12" thickBot="1" x14ac:dyDescent="0.25">
      <c r="A435" s="755">
        <v>1990</v>
      </c>
      <c r="B435" s="577" t="s">
        <v>4304</v>
      </c>
      <c r="C435" s="580">
        <v>855420</v>
      </c>
      <c r="D435" s="578" t="s">
        <v>4582</v>
      </c>
      <c r="E435" s="591">
        <v>3.3000000000000002E-2</v>
      </c>
      <c r="F435" s="579" t="s">
        <v>5271</v>
      </c>
    </row>
    <row r="436" spans="1:6" ht="12" thickBot="1" x14ac:dyDescent="0.25">
      <c r="A436" s="756"/>
      <c r="B436" s="577" t="s">
        <v>4307</v>
      </c>
      <c r="C436" s="580">
        <v>886809</v>
      </c>
      <c r="D436" s="578" t="s">
        <v>4575</v>
      </c>
      <c r="E436" s="591">
        <v>7.0900000000000005E-2</v>
      </c>
      <c r="F436" s="579" t="s">
        <v>5272</v>
      </c>
    </row>
    <row r="437" spans="1:6" ht="12" thickBot="1" x14ac:dyDescent="0.25">
      <c r="A437" s="756"/>
      <c r="B437" s="577" t="s">
        <v>4311</v>
      </c>
      <c r="C437" s="580">
        <v>912522</v>
      </c>
      <c r="D437" s="578" t="s">
        <v>5238</v>
      </c>
      <c r="E437" s="591">
        <v>0.1019</v>
      </c>
      <c r="F437" s="579" t="s">
        <v>5273</v>
      </c>
    </row>
    <row r="438" spans="1:6" ht="12" thickBot="1" x14ac:dyDescent="0.25">
      <c r="A438" s="756"/>
      <c r="B438" s="577" t="s">
        <v>4315</v>
      </c>
      <c r="C438" s="580">
        <v>938194</v>
      </c>
      <c r="D438" s="578" t="s">
        <v>5193</v>
      </c>
      <c r="E438" s="591">
        <v>0.13289999999999999</v>
      </c>
      <c r="F438" s="579" t="s">
        <v>5274</v>
      </c>
    </row>
    <row r="439" spans="1:6" ht="12" thickBot="1" x14ac:dyDescent="0.25">
      <c r="A439" s="756"/>
      <c r="B439" s="577" t="s">
        <v>4319</v>
      </c>
      <c r="C439" s="580">
        <v>956530</v>
      </c>
      <c r="D439" s="578" t="s">
        <v>5275</v>
      </c>
      <c r="E439" s="591">
        <v>0.15509999999999999</v>
      </c>
      <c r="F439" s="579" t="s">
        <v>5276</v>
      </c>
    </row>
    <row r="440" spans="1:6" ht="12" thickBot="1" x14ac:dyDescent="0.25">
      <c r="A440" s="756"/>
      <c r="B440" s="577" t="s">
        <v>4323</v>
      </c>
      <c r="C440" s="580">
        <v>975235</v>
      </c>
      <c r="D440" s="578" t="s">
        <v>5275</v>
      </c>
      <c r="E440" s="591">
        <v>0.1777</v>
      </c>
      <c r="F440" s="579" t="s">
        <v>5277</v>
      </c>
    </row>
    <row r="441" spans="1:6" ht="12" thickBot="1" x14ac:dyDescent="0.25">
      <c r="A441" s="756"/>
      <c r="B441" s="577" t="s">
        <v>4287</v>
      </c>
      <c r="C441" s="580">
        <v>988464</v>
      </c>
      <c r="D441" s="578" t="s">
        <v>4985</v>
      </c>
      <c r="E441" s="591">
        <v>0.19359999999999999</v>
      </c>
      <c r="F441" s="579" t="s">
        <v>5278</v>
      </c>
    </row>
    <row r="442" spans="1:6" ht="12" thickBot="1" x14ac:dyDescent="0.25">
      <c r="A442" s="756"/>
      <c r="B442" s="577" t="s">
        <v>4289</v>
      </c>
      <c r="C442" s="580">
        <v>1004149</v>
      </c>
      <c r="D442" s="578" t="s">
        <v>4431</v>
      </c>
      <c r="E442" s="591">
        <v>0.21260000000000001</v>
      </c>
      <c r="F442" s="579" t="s">
        <v>5279</v>
      </c>
    </row>
    <row r="443" spans="1:6" ht="12" thickBot="1" x14ac:dyDescent="0.25">
      <c r="A443" s="756"/>
      <c r="B443" s="577" t="s">
        <v>4292</v>
      </c>
      <c r="C443" s="580">
        <v>1028040</v>
      </c>
      <c r="D443" s="578" t="s">
        <v>5280</v>
      </c>
      <c r="E443" s="591">
        <v>0.2414</v>
      </c>
      <c r="F443" s="579" t="s">
        <v>5281</v>
      </c>
    </row>
    <row r="444" spans="1:6" ht="12" thickBot="1" x14ac:dyDescent="0.25">
      <c r="A444" s="756"/>
      <c r="B444" s="577" t="s">
        <v>4295</v>
      </c>
      <c r="C444" s="580">
        <v>1047846</v>
      </c>
      <c r="D444" s="578" t="s">
        <v>5282</v>
      </c>
      <c r="E444" s="591">
        <v>0.26540000000000002</v>
      </c>
      <c r="F444" s="579" t="s">
        <v>5283</v>
      </c>
    </row>
    <row r="445" spans="1:6" ht="12" thickBot="1" x14ac:dyDescent="0.25">
      <c r="A445" s="756"/>
      <c r="B445" s="577" t="s">
        <v>4298</v>
      </c>
      <c r="C445" s="580">
        <v>1069138</v>
      </c>
      <c r="D445" s="578" t="s">
        <v>4346</v>
      </c>
      <c r="E445" s="591">
        <v>0.29110000000000003</v>
      </c>
      <c r="F445" s="579" t="s">
        <v>5284</v>
      </c>
    </row>
    <row r="446" spans="1:6" ht="12" thickBot="1" x14ac:dyDescent="0.25">
      <c r="A446" s="757"/>
      <c r="B446" s="577" t="s">
        <v>4301</v>
      </c>
      <c r="C446" s="580">
        <v>1096102</v>
      </c>
      <c r="D446" s="578" t="s">
        <v>4391</v>
      </c>
      <c r="E446" s="591">
        <v>0.3236</v>
      </c>
      <c r="F446" s="579" t="s">
        <v>5285</v>
      </c>
    </row>
    <row r="447" spans="1:6" ht="12" thickBot="1" x14ac:dyDescent="0.25">
      <c r="A447" s="755">
        <v>1991</v>
      </c>
      <c r="B447" s="577" t="s">
        <v>4304</v>
      </c>
      <c r="C447" s="580">
        <v>1129026</v>
      </c>
      <c r="D447" s="578" t="s">
        <v>5190</v>
      </c>
      <c r="E447" s="591">
        <v>0.03</v>
      </c>
      <c r="F447" s="579" t="s">
        <v>5286</v>
      </c>
    </row>
    <row r="448" spans="1:6" ht="12" thickBot="1" x14ac:dyDescent="0.25">
      <c r="A448" s="756"/>
      <c r="B448" s="577" t="s">
        <v>4307</v>
      </c>
      <c r="C448" s="580">
        <v>1167557</v>
      </c>
      <c r="D448" s="578" t="s">
        <v>4793</v>
      </c>
      <c r="E448" s="591">
        <v>6.5100000000000005E-2</v>
      </c>
      <c r="F448" s="579" t="s">
        <v>5287</v>
      </c>
    </row>
    <row r="449" spans="1:6" ht="12" thickBot="1" x14ac:dyDescent="0.25">
      <c r="A449" s="756"/>
      <c r="B449" s="577" t="s">
        <v>4311</v>
      </c>
      <c r="C449" s="580">
        <v>1197091</v>
      </c>
      <c r="D449" s="578" t="s">
        <v>4391</v>
      </c>
      <c r="E449" s="591">
        <v>9.2100000000000001E-2</v>
      </c>
      <c r="F449" s="579" t="s">
        <v>5288</v>
      </c>
    </row>
    <row r="450" spans="1:6" ht="12" thickBot="1" x14ac:dyDescent="0.25">
      <c r="A450" s="756"/>
      <c r="B450" s="577" t="s">
        <v>4315</v>
      </c>
      <c r="C450" s="580">
        <v>1230614</v>
      </c>
      <c r="D450" s="578" t="s">
        <v>5289</v>
      </c>
      <c r="E450" s="591">
        <v>0.1227</v>
      </c>
      <c r="F450" s="579" t="s">
        <v>5290</v>
      </c>
    </row>
    <row r="451" spans="1:6" ht="12" thickBot="1" x14ac:dyDescent="0.25">
      <c r="A451" s="756"/>
      <c r="B451" s="577" t="s">
        <v>4319</v>
      </c>
      <c r="C451" s="580">
        <v>1257743</v>
      </c>
      <c r="D451" s="578" t="s">
        <v>5291</v>
      </c>
      <c r="E451" s="591">
        <v>0.1474</v>
      </c>
      <c r="F451" s="579" t="s">
        <v>5292</v>
      </c>
    </row>
    <row r="452" spans="1:6" ht="12" thickBot="1" x14ac:dyDescent="0.25">
      <c r="A452" s="756"/>
      <c r="B452" s="577" t="s">
        <v>4323</v>
      </c>
      <c r="C452" s="580">
        <v>1277647</v>
      </c>
      <c r="D452" s="578" t="s">
        <v>4431</v>
      </c>
      <c r="E452" s="591">
        <v>0.1656</v>
      </c>
      <c r="F452" s="579" t="s">
        <v>5293</v>
      </c>
    </row>
    <row r="453" spans="1:6" ht="12" thickBot="1" x14ac:dyDescent="0.25">
      <c r="A453" s="756"/>
      <c r="B453" s="577" t="s">
        <v>4287</v>
      </c>
      <c r="C453" s="580">
        <v>1300867</v>
      </c>
      <c r="D453" s="578" t="s">
        <v>5294</v>
      </c>
      <c r="E453" s="591">
        <v>0.18679999999999999</v>
      </c>
      <c r="F453" s="579" t="s">
        <v>5295</v>
      </c>
    </row>
    <row r="454" spans="1:6" ht="12" thickBot="1" x14ac:dyDescent="0.25">
      <c r="A454" s="756"/>
      <c r="B454" s="577" t="s">
        <v>4289</v>
      </c>
      <c r="C454" s="580">
        <v>1317446</v>
      </c>
      <c r="D454" s="578" t="s">
        <v>5136</v>
      </c>
      <c r="E454" s="591">
        <v>0.2019</v>
      </c>
      <c r="F454" s="579" t="s">
        <v>5296</v>
      </c>
    </row>
    <row r="455" spans="1:6" ht="12" thickBot="1" x14ac:dyDescent="0.25">
      <c r="A455" s="756"/>
      <c r="B455" s="577" t="s">
        <v>4292</v>
      </c>
      <c r="C455" s="580">
        <v>1336596</v>
      </c>
      <c r="D455" s="578" t="s">
        <v>4886</v>
      </c>
      <c r="E455" s="591">
        <v>0.21940000000000001</v>
      </c>
      <c r="F455" s="579" t="s">
        <v>5297</v>
      </c>
    </row>
    <row r="456" spans="1:6" ht="12" thickBot="1" x14ac:dyDescent="0.25">
      <c r="A456" s="756"/>
      <c r="B456" s="577" t="s">
        <v>4295</v>
      </c>
      <c r="C456" s="580">
        <v>1354350</v>
      </c>
      <c r="D456" s="578" t="s">
        <v>4390</v>
      </c>
      <c r="E456" s="591">
        <v>0.2356</v>
      </c>
      <c r="F456" s="579" t="s">
        <v>5298</v>
      </c>
    </row>
    <row r="457" spans="1:6" ht="12" thickBot="1" x14ac:dyDescent="0.25">
      <c r="A457" s="756"/>
      <c r="B457" s="577" t="s">
        <v>4298</v>
      </c>
      <c r="C457" s="580">
        <v>1370884</v>
      </c>
      <c r="D457" s="578" t="s">
        <v>5179</v>
      </c>
      <c r="E457" s="591">
        <v>0.25059999999999999</v>
      </c>
      <c r="F457" s="579" t="s">
        <v>5299</v>
      </c>
    </row>
    <row r="458" spans="1:6" ht="12" thickBot="1" x14ac:dyDescent="0.25">
      <c r="A458" s="757"/>
      <c r="B458" s="577" t="s">
        <v>4301</v>
      </c>
      <c r="C458" s="580">
        <v>1390118</v>
      </c>
      <c r="D458" s="578" t="s">
        <v>4693</v>
      </c>
      <c r="E458" s="591">
        <v>0.26819999999999999</v>
      </c>
      <c r="F458" s="579" t="s">
        <v>5300</v>
      </c>
    </row>
    <row r="459" spans="1:6" ht="12" thickBot="1" x14ac:dyDescent="0.25">
      <c r="A459" s="755">
        <v>1992</v>
      </c>
      <c r="B459" s="577" t="s">
        <v>4304</v>
      </c>
      <c r="C459" s="580">
        <v>1438760</v>
      </c>
      <c r="D459" s="578" t="s">
        <v>5301</v>
      </c>
      <c r="E459" s="591">
        <v>3.49E-2</v>
      </c>
      <c r="F459" s="579" t="s">
        <v>5302</v>
      </c>
    </row>
    <row r="460" spans="1:6" ht="12" thickBot="1" x14ac:dyDescent="0.25">
      <c r="A460" s="756"/>
      <c r="B460" s="577" t="s">
        <v>4307</v>
      </c>
      <c r="C460" s="580">
        <v>1486891</v>
      </c>
      <c r="D460" s="578" t="s">
        <v>5303</v>
      </c>
      <c r="E460" s="591">
        <v>6.9599999999999995E-2</v>
      </c>
      <c r="F460" s="579" t="s">
        <v>5304</v>
      </c>
    </row>
    <row r="461" spans="1:6" ht="12" thickBot="1" x14ac:dyDescent="0.25">
      <c r="A461" s="756"/>
      <c r="B461" s="577" t="s">
        <v>4311</v>
      </c>
      <c r="C461" s="580">
        <v>1521327</v>
      </c>
      <c r="D461" s="578" t="s">
        <v>4998</v>
      </c>
      <c r="E461" s="591">
        <v>9.4299999999999995E-2</v>
      </c>
      <c r="F461" s="579" t="s">
        <v>5305</v>
      </c>
    </row>
    <row r="462" spans="1:6" ht="12" thickBot="1" x14ac:dyDescent="0.25">
      <c r="A462" s="756"/>
      <c r="B462" s="577" t="s">
        <v>4315</v>
      </c>
      <c r="C462" s="580">
        <v>1564749</v>
      </c>
      <c r="D462" s="578" t="s">
        <v>4930</v>
      </c>
      <c r="E462" s="591">
        <v>0.12559999999999999</v>
      </c>
      <c r="F462" s="579" t="s">
        <v>5306</v>
      </c>
    </row>
    <row r="463" spans="1:6" ht="12" thickBot="1" x14ac:dyDescent="0.25">
      <c r="A463" s="756"/>
      <c r="B463" s="577" t="s">
        <v>4319</v>
      </c>
      <c r="C463" s="580">
        <v>1601203</v>
      </c>
      <c r="D463" s="578" t="s">
        <v>4638</v>
      </c>
      <c r="E463" s="591">
        <v>0.15179999999999999</v>
      </c>
      <c r="F463" s="579" t="s">
        <v>5307</v>
      </c>
    </row>
    <row r="464" spans="1:6" ht="12" thickBot="1" x14ac:dyDescent="0.25">
      <c r="A464" s="756"/>
      <c r="B464" s="577" t="s">
        <v>4323</v>
      </c>
      <c r="C464" s="580">
        <v>1637142</v>
      </c>
      <c r="D464" s="578" t="s">
        <v>4397</v>
      </c>
      <c r="E464" s="591">
        <v>0.17760000000000001</v>
      </c>
      <c r="F464" s="579" t="s">
        <v>5050</v>
      </c>
    </row>
    <row r="465" spans="1:6" ht="12" thickBot="1" x14ac:dyDescent="0.25">
      <c r="A465" s="756"/>
      <c r="B465" s="577" t="s">
        <v>4287</v>
      </c>
      <c r="C465" s="580">
        <v>1669878</v>
      </c>
      <c r="D465" s="578" t="s">
        <v>4437</v>
      </c>
      <c r="E465" s="591">
        <v>0.20119999999999999</v>
      </c>
      <c r="F465" s="579" t="s">
        <v>5308</v>
      </c>
    </row>
    <row r="466" spans="1:6" ht="12" thickBot="1" x14ac:dyDescent="0.25">
      <c r="A466" s="756"/>
      <c r="B466" s="577" t="s">
        <v>4289</v>
      </c>
      <c r="C466" s="580">
        <v>1682458</v>
      </c>
      <c r="D466" s="578" t="s">
        <v>5309</v>
      </c>
      <c r="E466" s="591">
        <v>0.2102</v>
      </c>
      <c r="F466" s="579" t="s">
        <v>5310</v>
      </c>
    </row>
    <row r="467" spans="1:6" ht="12" thickBot="1" x14ac:dyDescent="0.25">
      <c r="A467" s="756"/>
      <c r="B467" s="577" t="s">
        <v>4292</v>
      </c>
      <c r="C467" s="580">
        <v>1696424</v>
      </c>
      <c r="D467" s="578" t="s">
        <v>4493</v>
      </c>
      <c r="E467" s="591">
        <v>0.2203</v>
      </c>
      <c r="F467" s="579" t="s">
        <v>5311</v>
      </c>
    </row>
    <row r="468" spans="1:6" ht="12" thickBot="1" x14ac:dyDescent="0.25">
      <c r="A468" s="756"/>
      <c r="B468" s="577" t="s">
        <v>4295</v>
      </c>
      <c r="C468" s="580">
        <v>1710844</v>
      </c>
      <c r="D468" s="578" t="s">
        <v>4815</v>
      </c>
      <c r="E468" s="591">
        <v>0.23069999999999999</v>
      </c>
      <c r="F468" s="579" t="s">
        <v>5312</v>
      </c>
    </row>
    <row r="469" spans="1:6" ht="12" thickBot="1" x14ac:dyDescent="0.25">
      <c r="A469" s="756"/>
      <c r="B469" s="577" t="s">
        <v>4298</v>
      </c>
      <c r="C469" s="580">
        <v>1723304</v>
      </c>
      <c r="D469" s="578" t="s">
        <v>5139</v>
      </c>
      <c r="E469" s="591">
        <v>0.23960000000000001</v>
      </c>
      <c r="F469" s="579" t="s">
        <v>5313</v>
      </c>
    </row>
    <row r="470" spans="1:6" ht="12" thickBot="1" x14ac:dyDescent="0.25">
      <c r="A470" s="757"/>
      <c r="B470" s="577" t="s">
        <v>4301</v>
      </c>
      <c r="C470" s="580">
        <v>1739507</v>
      </c>
      <c r="D470" s="578" t="s">
        <v>4341</v>
      </c>
      <c r="E470" s="591">
        <v>0.25130000000000002</v>
      </c>
      <c r="F470" s="579" t="s">
        <v>5314</v>
      </c>
    </row>
    <row r="471" spans="1:6" ht="12" thickBot="1" x14ac:dyDescent="0.25">
      <c r="A471" s="755">
        <v>1993</v>
      </c>
      <c r="B471" s="577" t="s">
        <v>4304</v>
      </c>
      <c r="C471" s="580">
        <v>1795876</v>
      </c>
      <c r="D471" s="578" t="s">
        <v>5315</v>
      </c>
      <c r="E471" s="591">
        <v>3.2399999999999998E-2</v>
      </c>
      <c r="F471" s="579" t="s">
        <v>5316</v>
      </c>
    </row>
    <row r="472" spans="1:6" ht="12" thickBot="1" x14ac:dyDescent="0.25">
      <c r="A472" s="756"/>
      <c r="B472" s="577" t="s">
        <v>4307</v>
      </c>
      <c r="C472" s="580">
        <v>1854379</v>
      </c>
      <c r="D472" s="578" t="s">
        <v>5317</v>
      </c>
      <c r="E472" s="591">
        <v>6.6000000000000003E-2</v>
      </c>
      <c r="F472" s="579" t="s">
        <v>5318</v>
      </c>
    </row>
    <row r="473" spans="1:6" ht="12" thickBot="1" x14ac:dyDescent="0.25">
      <c r="A473" s="756"/>
      <c r="B473" s="577" t="s">
        <v>4311</v>
      </c>
      <c r="C473" s="580">
        <v>1889219</v>
      </c>
      <c r="D473" s="578" t="s">
        <v>5235</v>
      </c>
      <c r="E473" s="591">
        <v>8.5999999999999993E-2</v>
      </c>
      <c r="F473" s="579" t="s">
        <v>5320</v>
      </c>
    </row>
    <row r="474" spans="1:6" ht="12" thickBot="1" x14ac:dyDescent="0.25">
      <c r="A474" s="756"/>
      <c r="B474" s="577" t="s">
        <v>4315</v>
      </c>
      <c r="C474" s="580">
        <v>1925924</v>
      </c>
      <c r="D474" s="578" t="s">
        <v>5321</v>
      </c>
      <c r="E474" s="591">
        <v>0.1071</v>
      </c>
      <c r="F474" s="579" t="s">
        <v>5159</v>
      </c>
    </row>
    <row r="475" spans="1:6" ht="12" thickBot="1" x14ac:dyDescent="0.25">
      <c r="A475" s="756"/>
      <c r="B475" s="577" t="s">
        <v>4319</v>
      </c>
      <c r="C475" s="580">
        <v>1956896</v>
      </c>
      <c r="D475" s="578" t="s">
        <v>5267</v>
      </c>
      <c r="E475" s="591">
        <v>0.1249</v>
      </c>
      <c r="F475" s="579" t="s">
        <v>5322</v>
      </c>
    </row>
    <row r="476" spans="1:6" ht="12" thickBot="1" x14ac:dyDescent="0.25">
      <c r="A476" s="756"/>
      <c r="B476" s="577" t="s">
        <v>4323</v>
      </c>
      <c r="C476" s="580">
        <v>1987209</v>
      </c>
      <c r="D476" s="578" t="s">
        <v>4462</v>
      </c>
      <c r="E476" s="591">
        <v>0.14230000000000001</v>
      </c>
      <c r="F476" s="579" t="s">
        <v>5323</v>
      </c>
    </row>
    <row r="477" spans="1:6" ht="12" thickBot="1" x14ac:dyDescent="0.25">
      <c r="A477" s="756"/>
      <c r="B477" s="577" t="s">
        <v>4287</v>
      </c>
      <c r="C477" s="580">
        <v>2011685</v>
      </c>
      <c r="D477" s="578" t="s">
        <v>4409</v>
      </c>
      <c r="E477" s="591">
        <v>0.15640000000000001</v>
      </c>
      <c r="F477" s="579" t="s">
        <v>5164</v>
      </c>
    </row>
    <row r="478" spans="1:6" ht="12" thickBot="1" x14ac:dyDescent="0.25">
      <c r="A478" s="756"/>
      <c r="B478" s="577" t="s">
        <v>4289</v>
      </c>
      <c r="C478" s="580">
        <v>2037014</v>
      </c>
      <c r="D478" s="578" t="s">
        <v>4378</v>
      </c>
      <c r="E478" s="591">
        <v>0.17100000000000001</v>
      </c>
      <c r="F478" s="579" t="s">
        <v>5245</v>
      </c>
    </row>
    <row r="479" spans="1:6" ht="12" thickBot="1" x14ac:dyDescent="0.25">
      <c r="A479" s="756"/>
      <c r="B479" s="577" t="s">
        <v>4292</v>
      </c>
      <c r="C479" s="580">
        <v>2059974</v>
      </c>
      <c r="D479" s="578" t="s">
        <v>4345</v>
      </c>
      <c r="E479" s="591">
        <v>0.1842</v>
      </c>
      <c r="F479" s="579" t="s">
        <v>4410</v>
      </c>
    </row>
    <row r="480" spans="1:6" ht="12" thickBot="1" x14ac:dyDescent="0.25">
      <c r="A480" s="756"/>
      <c r="B480" s="577" t="s">
        <v>4295</v>
      </c>
      <c r="C480" s="580">
        <v>2081995</v>
      </c>
      <c r="D480" s="578" t="s">
        <v>5112</v>
      </c>
      <c r="E480" s="591">
        <v>0.1968</v>
      </c>
      <c r="F480" s="579" t="s">
        <v>5324</v>
      </c>
    </row>
    <row r="481" spans="1:6" ht="12" thickBot="1" x14ac:dyDescent="0.25">
      <c r="A481" s="756"/>
      <c r="B481" s="577" t="s">
        <v>4298</v>
      </c>
      <c r="C481" s="580">
        <v>2108857</v>
      </c>
      <c r="D481" s="578" t="s">
        <v>4502</v>
      </c>
      <c r="E481" s="591">
        <v>0.21229999999999999</v>
      </c>
      <c r="F481" s="579" t="s">
        <v>5325</v>
      </c>
    </row>
    <row r="482" spans="1:6" ht="12" thickBot="1" x14ac:dyDescent="0.25">
      <c r="A482" s="757"/>
      <c r="B482" s="577" t="s">
        <v>4301</v>
      </c>
      <c r="C482" s="580">
        <v>2132774</v>
      </c>
      <c r="D482" s="578" t="s">
        <v>4892</v>
      </c>
      <c r="E482" s="591">
        <v>0.22600000000000001</v>
      </c>
      <c r="F482" s="579" t="s">
        <v>5326</v>
      </c>
    </row>
    <row r="483" spans="1:6" ht="12" thickBot="1" x14ac:dyDescent="0.25">
      <c r="A483" s="755">
        <v>1994</v>
      </c>
      <c r="B483" s="577" t="s">
        <v>4304</v>
      </c>
      <c r="C483" s="580">
        <v>2200035</v>
      </c>
      <c r="D483" s="578" t="s">
        <v>5204</v>
      </c>
      <c r="E483" s="591">
        <v>3.15E-2</v>
      </c>
      <c r="F483" s="579" t="s">
        <v>5327</v>
      </c>
    </row>
    <row r="484" spans="1:6" ht="12" thickBot="1" x14ac:dyDescent="0.25">
      <c r="A484" s="756"/>
      <c r="B484" s="577" t="s">
        <v>4307</v>
      </c>
      <c r="C484" s="580">
        <v>2281129</v>
      </c>
      <c r="D484" s="578" t="s">
        <v>5328</v>
      </c>
      <c r="E484" s="591">
        <v>6.9500000000000006E-2</v>
      </c>
      <c r="F484" s="579" t="s">
        <v>5329</v>
      </c>
    </row>
    <row r="485" spans="1:6" ht="12" thickBot="1" x14ac:dyDescent="0.25">
      <c r="A485" s="756"/>
      <c r="B485" s="577" t="s">
        <v>4311</v>
      </c>
      <c r="C485" s="580">
        <v>2331653</v>
      </c>
      <c r="D485" s="578" t="s">
        <v>5207</v>
      </c>
      <c r="E485" s="591">
        <v>9.3200000000000005E-2</v>
      </c>
      <c r="F485" s="579" t="s">
        <v>5331</v>
      </c>
    </row>
    <row r="486" spans="1:6" ht="12" thickBot="1" x14ac:dyDescent="0.25">
      <c r="A486" s="756"/>
      <c r="B486" s="577" t="s">
        <v>4315</v>
      </c>
      <c r="C486" s="580">
        <v>2387024</v>
      </c>
      <c r="D486" s="578" t="s">
        <v>5280</v>
      </c>
      <c r="E486" s="591">
        <v>0.1192</v>
      </c>
      <c r="F486" s="579" t="s">
        <v>5332</v>
      </c>
    </row>
    <row r="487" spans="1:6" ht="12" thickBot="1" x14ac:dyDescent="0.25">
      <c r="A487" s="756"/>
      <c r="B487" s="577" t="s">
        <v>4319</v>
      </c>
      <c r="C487" s="580">
        <v>2423993</v>
      </c>
      <c r="D487" s="578" t="s">
        <v>4462</v>
      </c>
      <c r="E487" s="591">
        <v>0.13650000000000001</v>
      </c>
      <c r="F487" s="579" t="s">
        <v>5333</v>
      </c>
    </row>
    <row r="488" spans="1:6" ht="12" thickBot="1" x14ac:dyDescent="0.25">
      <c r="A488" s="756"/>
      <c r="B488" s="577" t="s">
        <v>4323</v>
      </c>
      <c r="C488" s="580">
        <v>2445975</v>
      </c>
      <c r="D488" s="578" t="s">
        <v>4342</v>
      </c>
      <c r="E488" s="591">
        <v>0.14680000000000001</v>
      </c>
      <c r="F488" s="579" t="s">
        <v>5159</v>
      </c>
    </row>
    <row r="489" spans="1:6" ht="12" thickBot="1" x14ac:dyDescent="0.25">
      <c r="A489" s="756"/>
      <c r="B489" s="577" t="s">
        <v>4287</v>
      </c>
      <c r="C489" s="580">
        <v>2468334</v>
      </c>
      <c r="D489" s="578" t="s">
        <v>4355</v>
      </c>
      <c r="E489" s="591">
        <v>0.1573</v>
      </c>
      <c r="F489" s="579" t="s">
        <v>5334</v>
      </c>
    </row>
    <row r="490" spans="1:6" ht="12" thickBot="1" x14ac:dyDescent="0.25">
      <c r="A490" s="756"/>
      <c r="B490" s="577" t="s">
        <v>4289</v>
      </c>
      <c r="C490" s="580">
        <v>2492484</v>
      </c>
      <c r="D490" s="578" t="s">
        <v>4988</v>
      </c>
      <c r="E490" s="591">
        <v>0.1686</v>
      </c>
      <c r="F490" s="579" t="s">
        <v>5335</v>
      </c>
    </row>
    <row r="491" spans="1:6" ht="12" thickBot="1" x14ac:dyDescent="0.25">
      <c r="A491" s="756"/>
      <c r="B491" s="577" t="s">
        <v>4292</v>
      </c>
      <c r="C491" s="580">
        <v>2519700</v>
      </c>
      <c r="D491" s="578" t="s">
        <v>4718</v>
      </c>
      <c r="E491" s="591">
        <v>0.18140000000000001</v>
      </c>
      <c r="F491" s="579" t="s">
        <v>5336</v>
      </c>
    </row>
    <row r="492" spans="1:6" ht="12" thickBot="1" x14ac:dyDescent="0.25">
      <c r="A492" s="756"/>
      <c r="B492" s="577" t="s">
        <v>4295</v>
      </c>
      <c r="C492" s="580">
        <v>2547853</v>
      </c>
      <c r="D492" s="578" t="s">
        <v>5337</v>
      </c>
      <c r="E492" s="591">
        <v>0.1946</v>
      </c>
      <c r="F492" s="579" t="s">
        <v>5325</v>
      </c>
    </row>
    <row r="493" spans="1:6" ht="12" thickBot="1" x14ac:dyDescent="0.25">
      <c r="A493" s="756"/>
      <c r="B493" s="577" t="s">
        <v>4298</v>
      </c>
      <c r="C493" s="580">
        <v>2576272</v>
      </c>
      <c r="D493" s="578" t="s">
        <v>5337</v>
      </c>
      <c r="E493" s="591">
        <v>0.2079</v>
      </c>
      <c r="F493" s="579" t="s">
        <v>5339</v>
      </c>
    </row>
    <row r="494" spans="1:6" ht="12" thickBot="1" x14ac:dyDescent="0.25">
      <c r="A494" s="757"/>
      <c r="B494" s="577" t="s">
        <v>4301</v>
      </c>
      <c r="C494" s="580">
        <v>2614692</v>
      </c>
      <c r="D494" s="578" t="s">
        <v>4873</v>
      </c>
      <c r="E494" s="591">
        <v>0.22589999999999999</v>
      </c>
      <c r="F494" s="579" t="s">
        <v>5340</v>
      </c>
    </row>
    <row r="495" spans="1:6" ht="12" thickBot="1" x14ac:dyDescent="0.25">
      <c r="A495" s="755">
        <v>1995</v>
      </c>
      <c r="B495" s="577" t="s">
        <v>4304</v>
      </c>
      <c r="C495" s="580">
        <v>2663043</v>
      </c>
      <c r="D495" s="578" t="s">
        <v>5084</v>
      </c>
      <c r="E495" s="591">
        <v>1.84E-2</v>
      </c>
      <c r="F495" s="579" t="s">
        <v>5082</v>
      </c>
    </row>
    <row r="496" spans="1:6" ht="12" thickBot="1" x14ac:dyDescent="0.25">
      <c r="A496" s="756"/>
      <c r="B496" s="577" t="s">
        <v>4307</v>
      </c>
      <c r="C496" s="580">
        <v>2756985</v>
      </c>
      <c r="D496" s="578" t="s">
        <v>5341</v>
      </c>
      <c r="E496" s="591">
        <v>5.4399999999999997E-2</v>
      </c>
      <c r="F496" s="579" t="s">
        <v>5248</v>
      </c>
    </row>
    <row r="497" spans="1:6" ht="12" thickBot="1" x14ac:dyDescent="0.25">
      <c r="A497" s="756"/>
      <c r="B497" s="577" t="s">
        <v>4311</v>
      </c>
      <c r="C497" s="580">
        <v>2829186</v>
      </c>
      <c r="D497" s="578" t="s">
        <v>5009</v>
      </c>
      <c r="E497" s="591">
        <v>8.2000000000000003E-2</v>
      </c>
      <c r="F497" s="579" t="s">
        <v>5343</v>
      </c>
    </row>
    <row r="498" spans="1:6" ht="12" thickBot="1" x14ac:dyDescent="0.25">
      <c r="A498" s="756"/>
      <c r="B498" s="577" t="s">
        <v>4315</v>
      </c>
      <c r="C498" s="580">
        <v>2892475</v>
      </c>
      <c r="D498" s="578" t="s">
        <v>5149</v>
      </c>
      <c r="E498" s="591">
        <v>0.1062</v>
      </c>
      <c r="F498" s="579" t="s">
        <v>4415</v>
      </c>
    </row>
    <row r="499" spans="1:6" ht="12" thickBot="1" x14ac:dyDescent="0.25">
      <c r="A499" s="756"/>
      <c r="B499" s="577" t="s">
        <v>4319</v>
      </c>
      <c r="C499" s="580">
        <v>2940409</v>
      </c>
      <c r="D499" s="578" t="s">
        <v>5169</v>
      </c>
      <c r="E499" s="591">
        <v>0.1245</v>
      </c>
      <c r="F499" s="579" t="s">
        <v>5344</v>
      </c>
    </row>
    <row r="500" spans="1:6" ht="12" thickBot="1" x14ac:dyDescent="0.25">
      <c r="A500" s="756"/>
      <c r="B500" s="577" t="s">
        <v>4323</v>
      </c>
      <c r="C500" s="580">
        <v>2975967</v>
      </c>
      <c r="D500" s="578" t="s">
        <v>4845</v>
      </c>
      <c r="E500" s="591">
        <v>0.1381</v>
      </c>
      <c r="F500" s="579" t="s">
        <v>5345</v>
      </c>
    </row>
    <row r="501" spans="1:6" ht="12" thickBot="1" x14ac:dyDescent="0.25">
      <c r="A501" s="756"/>
      <c r="B501" s="577" t="s">
        <v>4287</v>
      </c>
      <c r="C501" s="580">
        <v>2999151</v>
      </c>
      <c r="D501" s="578" t="s">
        <v>4339</v>
      </c>
      <c r="E501" s="591">
        <v>0.14699999999999999</v>
      </c>
      <c r="F501" s="579" t="s">
        <v>5346</v>
      </c>
    </row>
    <row r="502" spans="1:6" ht="12" thickBot="1" x14ac:dyDescent="0.25">
      <c r="A502" s="756"/>
      <c r="B502" s="577" t="s">
        <v>4289</v>
      </c>
      <c r="C502" s="580">
        <v>3018243</v>
      </c>
      <c r="D502" s="578" t="s">
        <v>4735</v>
      </c>
      <c r="E502" s="591">
        <v>0.15429999999999999</v>
      </c>
      <c r="F502" s="579" t="s">
        <v>5222</v>
      </c>
    </row>
    <row r="503" spans="1:6" ht="12" thickBot="1" x14ac:dyDescent="0.25">
      <c r="A503" s="756"/>
      <c r="B503" s="577" t="s">
        <v>4292</v>
      </c>
      <c r="C503" s="580">
        <v>3043686</v>
      </c>
      <c r="D503" s="578" t="s">
        <v>4336</v>
      </c>
      <c r="E503" s="591">
        <v>0.16400000000000001</v>
      </c>
      <c r="F503" s="579" t="s">
        <v>5338</v>
      </c>
    </row>
    <row r="504" spans="1:6" ht="12" thickBot="1" x14ac:dyDescent="0.25">
      <c r="A504" s="756"/>
      <c r="B504" s="577" t="s">
        <v>4295</v>
      </c>
      <c r="C504" s="580">
        <v>3070715</v>
      </c>
      <c r="D504" s="578" t="s">
        <v>4375</v>
      </c>
      <c r="E504" s="591">
        <v>0.1744</v>
      </c>
      <c r="F504" s="579" t="s">
        <v>5347</v>
      </c>
    </row>
    <row r="505" spans="1:6" ht="12" thickBot="1" x14ac:dyDescent="0.25">
      <c r="A505" s="756"/>
      <c r="B505" s="577" t="s">
        <v>4298</v>
      </c>
      <c r="C505" s="580">
        <v>3095091</v>
      </c>
      <c r="D505" s="578" t="s">
        <v>4368</v>
      </c>
      <c r="E505" s="591">
        <v>0.1837</v>
      </c>
      <c r="F505" s="579" t="s">
        <v>5348</v>
      </c>
    </row>
    <row r="506" spans="1:6" ht="12" thickBot="1" x14ac:dyDescent="0.25">
      <c r="A506" s="757"/>
      <c r="B506" s="577" t="s">
        <v>4301</v>
      </c>
      <c r="C506" s="580">
        <v>3123709</v>
      </c>
      <c r="D506" s="578" t="s">
        <v>4365</v>
      </c>
      <c r="E506" s="591">
        <v>0.1946</v>
      </c>
      <c r="F506" s="579" t="s">
        <v>4425</v>
      </c>
    </row>
    <row r="507" spans="1:6" ht="12" thickBot="1" x14ac:dyDescent="0.25">
      <c r="A507" s="755">
        <v>1996</v>
      </c>
      <c r="B507" s="577" t="s">
        <v>4304</v>
      </c>
      <c r="C507" s="580">
        <v>3202244</v>
      </c>
      <c r="D507" s="578" t="s">
        <v>4975</v>
      </c>
      <c r="E507" s="591">
        <v>2.5100000000000001E-2</v>
      </c>
      <c r="F507" s="579" t="s">
        <v>5137</v>
      </c>
    </row>
    <row r="508" spans="1:6" ht="12" thickBot="1" x14ac:dyDescent="0.25">
      <c r="A508" s="756"/>
      <c r="B508" s="577" t="s">
        <v>4307</v>
      </c>
      <c r="C508" s="580">
        <v>3330729</v>
      </c>
      <c r="D508" s="578" t="s">
        <v>5029</v>
      </c>
      <c r="E508" s="591">
        <v>6.6199999999999995E-2</v>
      </c>
      <c r="F508" s="579" t="s">
        <v>5349</v>
      </c>
    </row>
    <row r="509" spans="1:6" ht="12" thickBot="1" x14ac:dyDescent="0.25">
      <c r="A509" s="756"/>
      <c r="B509" s="577" t="s">
        <v>4311</v>
      </c>
      <c r="C509" s="580">
        <v>3400939</v>
      </c>
      <c r="D509" s="578" t="s">
        <v>4349</v>
      </c>
      <c r="E509" s="591">
        <v>8.8700000000000001E-2</v>
      </c>
      <c r="F509" s="579" t="s">
        <v>5350</v>
      </c>
    </row>
    <row r="510" spans="1:6" ht="12" thickBot="1" x14ac:dyDescent="0.25">
      <c r="A510" s="756"/>
      <c r="B510" s="577" t="s">
        <v>4315</v>
      </c>
      <c r="C510" s="580">
        <v>3468176</v>
      </c>
      <c r="D510" s="578" t="s">
        <v>4889</v>
      </c>
      <c r="E510" s="591">
        <v>0.11020000000000001</v>
      </c>
      <c r="F510" s="579" t="s">
        <v>5351</v>
      </c>
    </row>
    <row r="511" spans="1:6" ht="12" thickBot="1" x14ac:dyDescent="0.25">
      <c r="A511" s="756"/>
      <c r="B511" s="577" t="s">
        <v>4319</v>
      </c>
      <c r="C511" s="580">
        <v>3522039</v>
      </c>
      <c r="D511" s="578" t="s">
        <v>4953</v>
      </c>
      <c r="E511" s="591">
        <v>0.1275</v>
      </c>
      <c r="F511" s="579" t="s">
        <v>5352</v>
      </c>
    </row>
    <row r="512" spans="1:6" ht="12" thickBot="1" x14ac:dyDescent="0.25">
      <c r="A512" s="756"/>
      <c r="B512" s="577" t="s">
        <v>4323</v>
      </c>
      <c r="C512" s="580">
        <v>3562416</v>
      </c>
      <c r="D512" s="578" t="s">
        <v>4959</v>
      </c>
      <c r="E512" s="591">
        <v>0.1404</v>
      </c>
      <c r="F512" s="579" t="s">
        <v>5353</v>
      </c>
    </row>
    <row r="513" spans="1:6" ht="12" thickBot="1" x14ac:dyDescent="0.25">
      <c r="A513" s="756"/>
      <c r="B513" s="577" t="s">
        <v>4287</v>
      </c>
      <c r="C513" s="580">
        <v>3616228</v>
      </c>
      <c r="D513" s="578" t="s">
        <v>4645</v>
      </c>
      <c r="E513" s="591">
        <v>0.15759999999999999</v>
      </c>
      <c r="F513" s="579" t="s">
        <v>5354</v>
      </c>
    </row>
    <row r="514" spans="1:6" ht="12" thickBot="1" x14ac:dyDescent="0.25">
      <c r="A514" s="756"/>
      <c r="B514" s="577" t="s">
        <v>4289</v>
      </c>
      <c r="C514" s="580">
        <v>3656130</v>
      </c>
      <c r="D514" s="578" t="s">
        <v>4543</v>
      </c>
      <c r="E514" s="591">
        <v>0.1704</v>
      </c>
      <c r="F514" s="579" t="s">
        <v>5355</v>
      </c>
    </row>
    <row r="515" spans="1:6" ht="12" thickBot="1" x14ac:dyDescent="0.25">
      <c r="A515" s="756"/>
      <c r="B515" s="577" t="s">
        <v>4292</v>
      </c>
      <c r="C515" s="580">
        <v>3699661</v>
      </c>
      <c r="D515" s="578" t="s">
        <v>4941</v>
      </c>
      <c r="E515" s="591">
        <v>0.18429999999999999</v>
      </c>
      <c r="F515" s="579" t="s">
        <v>5155</v>
      </c>
    </row>
    <row r="516" spans="1:6" ht="12" thickBot="1" x14ac:dyDescent="0.25">
      <c r="A516" s="756"/>
      <c r="B516" s="577" t="s">
        <v>4295</v>
      </c>
      <c r="C516" s="580">
        <v>3742344</v>
      </c>
      <c r="D516" s="578" t="s">
        <v>4867</v>
      </c>
      <c r="E516" s="591">
        <v>0.19800000000000001</v>
      </c>
      <c r="F516" s="579" t="s">
        <v>5356</v>
      </c>
    </row>
    <row r="517" spans="1:6" ht="12" thickBot="1" x14ac:dyDescent="0.25">
      <c r="A517" s="756"/>
      <c r="B517" s="577" t="s">
        <v>4298</v>
      </c>
      <c r="C517" s="580">
        <v>3772398</v>
      </c>
      <c r="D517" s="578" t="s">
        <v>4769</v>
      </c>
      <c r="E517" s="591">
        <v>0.20760000000000001</v>
      </c>
      <c r="F517" s="579" t="s">
        <v>5160</v>
      </c>
    </row>
    <row r="518" spans="1:6" ht="12" thickBot="1" x14ac:dyDescent="0.25">
      <c r="A518" s="757"/>
      <c r="B518" s="577" t="s">
        <v>4301</v>
      </c>
      <c r="C518" s="580">
        <v>3799651</v>
      </c>
      <c r="D518" s="578" t="s">
        <v>5139</v>
      </c>
      <c r="E518" s="591">
        <v>0.21629999999999999</v>
      </c>
      <c r="F518" s="579" t="s">
        <v>5357</v>
      </c>
    </row>
    <row r="519" spans="1:6" ht="12" thickBot="1" x14ac:dyDescent="0.25">
      <c r="A519" s="755">
        <v>1997</v>
      </c>
      <c r="B519" s="577" t="s">
        <v>4304</v>
      </c>
      <c r="C519" s="580">
        <v>3862612</v>
      </c>
      <c r="D519" s="578" t="s">
        <v>5169</v>
      </c>
      <c r="E519" s="591">
        <v>1.6500000000000001E-2</v>
      </c>
      <c r="F519" s="579" t="s">
        <v>5358</v>
      </c>
    </row>
    <row r="520" spans="1:6" ht="12" thickBot="1" x14ac:dyDescent="0.25">
      <c r="A520" s="756"/>
      <c r="B520" s="577" t="s">
        <v>4307</v>
      </c>
      <c r="C520" s="580">
        <v>3983103</v>
      </c>
      <c r="D520" s="578" t="s">
        <v>4900</v>
      </c>
      <c r="E520" s="591">
        <v>4.82E-2</v>
      </c>
      <c r="F520" s="579" t="s">
        <v>4647</v>
      </c>
    </row>
    <row r="521" spans="1:6" ht="12" thickBot="1" x14ac:dyDescent="0.25">
      <c r="A521" s="756"/>
      <c r="B521" s="577" t="s">
        <v>4311</v>
      </c>
      <c r="C521" s="580">
        <v>4045016</v>
      </c>
      <c r="D521" s="578" t="s">
        <v>4953</v>
      </c>
      <c r="E521" s="591">
        <v>6.4500000000000002E-2</v>
      </c>
      <c r="F521" s="579" t="s">
        <v>5359</v>
      </c>
    </row>
    <row r="522" spans="1:6" ht="12" thickBot="1" x14ac:dyDescent="0.25">
      <c r="A522" s="756"/>
      <c r="B522" s="577" t="s">
        <v>4315</v>
      </c>
      <c r="C522" s="580">
        <v>4110718</v>
      </c>
      <c r="D522" s="578" t="s">
        <v>5061</v>
      </c>
      <c r="E522" s="591">
        <v>8.1799999999999998E-2</v>
      </c>
      <c r="F522" s="579" t="s">
        <v>5360</v>
      </c>
    </row>
    <row r="523" spans="1:6" ht="12" thickBot="1" x14ac:dyDescent="0.25">
      <c r="A523" s="756"/>
      <c r="B523" s="577" t="s">
        <v>4319</v>
      </c>
      <c r="C523" s="580">
        <v>4177435</v>
      </c>
      <c r="D523" s="578" t="s">
        <v>5061</v>
      </c>
      <c r="E523" s="591">
        <v>9.9400000000000002E-2</v>
      </c>
      <c r="F523" s="579" t="s">
        <v>5361</v>
      </c>
    </row>
    <row r="524" spans="1:6" ht="12" thickBot="1" x14ac:dyDescent="0.25">
      <c r="A524" s="756"/>
      <c r="B524" s="577" t="s">
        <v>4323</v>
      </c>
      <c r="C524" s="580">
        <v>4227692</v>
      </c>
      <c r="D524" s="578" t="s">
        <v>4845</v>
      </c>
      <c r="E524" s="591">
        <v>0.11260000000000001</v>
      </c>
      <c r="F524" s="579" t="s">
        <v>5362</v>
      </c>
    </row>
    <row r="525" spans="1:6" ht="12" thickBot="1" x14ac:dyDescent="0.25">
      <c r="A525" s="756"/>
      <c r="B525" s="577" t="s">
        <v>4287</v>
      </c>
      <c r="C525" s="580">
        <v>4263010</v>
      </c>
      <c r="D525" s="578" t="s">
        <v>4493</v>
      </c>
      <c r="E525" s="591">
        <v>0.12189999999999999</v>
      </c>
      <c r="F525" s="579" t="s">
        <v>5363</v>
      </c>
    </row>
    <row r="526" spans="1:6" ht="12" thickBot="1" x14ac:dyDescent="0.25">
      <c r="A526" s="756"/>
      <c r="B526" s="577" t="s">
        <v>4289</v>
      </c>
      <c r="C526" s="580">
        <v>4311990</v>
      </c>
      <c r="D526" s="578" t="s">
        <v>4959</v>
      </c>
      <c r="E526" s="591">
        <v>0.1348</v>
      </c>
      <c r="F526" s="579" t="s">
        <v>5364</v>
      </c>
    </row>
    <row r="527" spans="1:6" ht="12" thickBot="1" x14ac:dyDescent="0.25">
      <c r="A527" s="756"/>
      <c r="B527" s="577" t="s">
        <v>4292</v>
      </c>
      <c r="C527" s="580">
        <v>4366319</v>
      </c>
      <c r="D527" s="578" t="s">
        <v>5203</v>
      </c>
      <c r="E527" s="591">
        <v>0.14910000000000001</v>
      </c>
      <c r="F527" s="579" t="s">
        <v>5365</v>
      </c>
    </row>
    <row r="528" spans="1:6" ht="12" thickBot="1" x14ac:dyDescent="0.25">
      <c r="A528" s="756"/>
      <c r="B528" s="577" t="s">
        <v>4295</v>
      </c>
      <c r="C528" s="580">
        <v>4408496</v>
      </c>
      <c r="D528" s="578" t="s">
        <v>4505</v>
      </c>
      <c r="E528" s="591">
        <v>0.16020000000000001</v>
      </c>
      <c r="F528" s="579" t="s">
        <v>5366</v>
      </c>
    </row>
    <row r="529" spans="1:6" ht="12" thickBot="1" x14ac:dyDescent="0.25">
      <c r="A529" s="756"/>
      <c r="B529" s="577" t="s">
        <v>4298</v>
      </c>
      <c r="C529" s="580">
        <v>4444339</v>
      </c>
      <c r="D529" s="578" t="s">
        <v>4595</v>
      </c>
      <c r="E529" s="591">
        <v>0.1696</v>
      </c>
      <c r="F529" s="579" t="s">
        <v>5367</v>
      </c>
    </row>
    <row r="530" spans="1:6" ht="12" thickBot="1" x14ac:dyDescent="0.25">
      <c r="A530" s="757"/>
      <c r="B530" s="577" t="s">
        <v>4301</v>
      </c>
      <c r="C530" s="580">
        <v>4471589</v>
      </c>
      <c r="D530" s="578" t="s">
        <v>5368</v>
      </c>
      <c r="E530" s="591">
        <v>0.17680000000000001</v>
      </c>
      <c r="F530" s="579" t="s">
        <v>5369</v>
      </c>
    </row>
    <row r="531" spans="1:6" ht="12" thickBot="1" x14ac:dyDescent="0.25">
      <c r="A531" s="755">
        <v>1998</v>
      </c>
      <c r="B531" s="577" t="s">
        <v>4304</v>
      </c>
      <c r="C531" s="580">
        <v>4551778</v>
      </c>
      <c r="D531" s="578" t="s">
        <v>5099</v>
      </c>
      <c r="E531" s="591">
        <v>1.7899999999999999E-2</v>
      </c>
      <c r="F531" s="579" t="s">
        <v>5370</v>
      </c>
    </row>
    <row r="532" spans="1:6" ht="12" thickBot="1" x14ac:dyDescent="0.25">
      <c r="A532" s="756"/>
      <c r="B532" s="577" t="s">
        <v>4307</v>
      </c>
      <c r="C532" s="580">
        <v>4701282</v>
      </c>
      <c r="D532" s="578" t="s">
        <v>5371</v>
      </c>
      <c r="E532" s="591">
        <v>5.1299999999999998E-2</v>
      </c>
      <c r="F532" s="579" t="s">
        <v>5372</v>
      </c>
    </row>
    <row r="533" spans="1:6" ht="12" thickBot="1" x14ac:dyDescent="0.25">
      <c r="A533" s="756"/>
      <c r="B533" s="577" t="s">
        <v>4311</v>
      </c>
      <c r="C533" s="580">
        <v>4823588</v>
      </c>
      <c r="D533" s="578" t="s">
        <v>5373</v>
      </c>
      <c r="E533" s="591">
        <v>7.8700000000000006E-2</v>
      </c>
      <c r="F533" s="579" t="s">
        <v>5374</v>
      </c>
    </row>
    <row r="534" spans="1:6" ht="12" thickBot="1" x14ac:dyDescent="0.25">
      <c r="A534" s="756"/>
      <c r="B534" s="577" t="s">
        <v>4315</v>
      </c>
      <c r="C534" s="580">
        <v>4963681</v>
      </c>
      <c r="D534" s="578" t="s">
        <v>5375</v>
      </c>
      <c r="E534" s="591">
        <v>0.11</v>
      </c>
      <c r="F534" s="579" t="s">
        <v>5376</v>
      </c>
    </row>
    <row r="535" spans="1:6" ht="12" thickBot="1" x14ac:dyDescent="0.25">
      <c r="A535" s="756"/>
      <c r="B535" s="577" t="s">
        <v>4319</v>
      </c>
      <c r="C535" s="580">
        <v>5041245</v>
      </c>
      <c r="D535" s="578" t="s">
        <v>5251</v>
      </c>
      <c r="E535" s="591">
        <v>0.1273</v>
      </c>
      <c r="F535" s="579" t="s">
        <v>5377</v>
      </c>
    </row>
    <row r="536" spans="1:6" ht="12" thickBot="1" x14ac:dyDescent="0.25">
      <c r="A536" s="756"/>
      <c r="B536" s="577" t="s">
        <v>4323</v>
      </c>
      <c r="C536" s="580">
        <v>5102799</v>
      </c>
      <c r="D536" s="578" t="s">
        <v>5179</v>
      </c>
      <c r="E536" s="591">
        <v>0.1411</v>
      </c>
      <c r="F536" s="579" t="s">
        <v>4422</v>
      </c>
    </row>
    <row r="537" spans="1:6" ht="12" thickBot="1" x14ac:dyDescent="0.25">
      <c r="A537" s="756"/>
      <c r="B537" s="577" t="s">
        <v>4287</v>
      </c>
      <c r="C537" s="580">
        <v>5127197</v>
      </c>
      <c r="D537" s="578" t="s">
        <v>4459</v>
      </c>
      <c r="E537" s="591">
        <v>0.14660000000000001</v>
      </c>
      <c r="F537" s="579" t="s">
        <v>5378</v>
      </c>
    </row>
    <row r="538" spans="1:6" ht="12" thickBot="1" x14ac:dyDescent="0.25">
      <c r="A538" s="756"/>
      <c r="B538" s="577" t="s">
        <v>4289</v>
      </c>
      <c r="C538" s="580">
        <v>5128861</v>
      </c>
      <c r="D538" s="578" t="s">
        <v>5379</v>
      </c>
      <c r="E538" s="591">
        <v>0.1469</v>
      </c>
      <c r="F538" s="579" t="s">
        <v>5380</v>
      </c>
    </row>
    <row r="539" spans="1:6" ht="12" thickBot="1" x14ac:dyDescent="0.25">
      <c r="A539" s="756"/>
      <c r="B539" s="577" t="s">
        <v>4292</v>
      </c>
      <c r="C539" s="580">
        <v>5143735</v>
      </c>
      <c r="D539" s="578" t="s">
        <v>4352</v>
      </c>
      <c r="E539" s="591">
        <v>0.15029999999999999</v>
      </c>
      <c r="F539" s="579" t="s">
        <v>5366</v>
      </c>
    </row>
    <row r="540" spans="1:6" ht="12" thickBot="1" x14ac:dyDescent="0.25">
      <c r="A540" s="756"/>
      <c r="B540" s="577" t="s">
        <v>4295</v>
      </c>
      <c r="C540" s="580">
        <v>5162089</v>
      </c>
      <c r="D540" s="578" t="s">
        <v>4777</v>
      </c>
      <c r="E540" s="591">
        <v>0.15440000000000001</v>
      </c>
      <c r="F540" s="579" t="s">
        <v>5078</v>
      </c>
    </row>
    <row r="541" spans="1:6" ht="12" thickBot="1" x14ac:dyDescent="0.25">
      <c r="A541" s="756"/>
      <c r="B541" s="577" t="s">
        <v>4298</v>
      </c>
      <c r="C541" s="580">
        <v>5171247</v>
      </c>
      <c r="D541" s="578" t="s">
        <v>4314</v>
      </c>
      <c r="E541" s="591">
        <v>0.15640000000000001</v>
      </c>
      <c r="F541" s="579" t="s">
        <v>5003</v>
      </c>
    </row>
    <row r="542" spans="1:6" ht="12" thickBot="1" x14ac:dyDescent="0.25">
      <c r="A542" s="757"/>
      <c r="B542" s="577" t="s">
        <v>4301</v>
      </c>
      <c r="C542" s="580">
        <v>5218481</v>
      </c>
      <c r="D542" s="578" t="s">
        <v>4355</v>
      </c>
      <c r="E542" s="591">
        <v>0.16700000000000001</v>
      </c>
      <c r="F542" s="579" t="s">
        <v>5381</v>
      </c>
    </row>
    <row r="543" spans="1:6" ht="12" thickBot="1" x14ac:dyDescent="0.25">
      <c r="A543" s="755">
        <v>1999</v>
      </c>
      <c r="B543" s="577" t="s">
        <v>4304</v>
      </c>
      <c r="C543" s="580">
        <v>5333761</v>
      </c>
      <c r="D543" s="578" t="s">
        <v>5207</v>
      </c>
      <c r="E543" s="591">
        <v>2.2100000000000002E-2</v>
      </c>
      <c r="F543" s="579" t="s">
        <v>5382</v>
      </c>
    </row>
    <row r="544" spans="1:6" ht="12" thickBot="1" x14ac:dyDescent="0.25">
      <c r="A544" s="756"/>
      <c r="B544" s="577" t="s">
        <v>4307</v>
      </c>
      <c r="C544" s="580">
        <v>5424344</v>
      </c>
      <c r="D544" s="578" t="s">
        <v>4434</v>
      </c>
      <c r="E544" s="591">
        <v>3.9399999999999998E-2</v>
      </c>
      <c r="F544" s="579" t="s">
        <v>5384</v>
      </c>
    </row>
    <row r="545" spans="1:6" ht="12" thickBot="1" x14ac:dyDescent="0.25">
      <c r="A545" s="756"/>
      <c r="B545" s="577" t="s">
        <v>4311</v>
      </c>
      <c r="C545" s="580">
        <v>5475222</v>
      </c>
      <c r="D545" s="578" t="s">
        <v>4341</v>
      </c>
      <c r="E545" s="591">
        <v>4.9200000000000001E-2</v>
      </c>
      <c r="F545" s="579" t="s">
        <v>5184</v>
      </c>
    </row>
    <row r="546" spans="1:6" ht="12" thickBot="1" x14ac:dyDescent="0.25">
      <c r="A546" s="756"/>
      <c r="B546" s="577" t="s">
        <v>4315</v>
      </c>
      <c r="C546" s="580">
        <v>5518137</v>
      </c>
      <c r="D546" s="578" t="s">
        <v>4747</v>
      </c>
      <c r="E546" s="591">
        <v>5.74E-2</v>
      </c>
      <c r="F546" s="579" t="s">
        <v>5385</v>
      </c>
    </row>
    <row r="547" spans="1:6" ht="12" thickBot="1" x14ac:dyDescent="0.25">
      <c r="A547" s="756"/>
      <c r="B547" s="577" t="s">
        <v>4319</v>
      </c>
      <c r="C547" s="580">
        <v>5544543</v>
      </c>
      <c r="D547" s="578" t="s">
        <v>4862</v>
      </c>
      <c r="E547" s="591">
        <v>6.25E-2</v>
      </c>
      <c r="F547" s="579" t="s">
        <v>5386</v>
      </c>
    </row>
    <row r="548" spans="1:6" ht="12" thickBot="1" x14ac:dyDescent="0.25">
      <c r="A548" s="756"/>
      <c r="B548" s="577" t="s">
        <v>4323</v>
      </c>
      <c r="C548" s="580">
        <v>5560033</v>
      </c>
      <c r="D548" s="578" t="s">
        <v>4428</v>
      </c>
      <c r="E548" s="591">
        <v>6.5500000000000003E-2</v>
      </c>
      <c r="F548" s="579" t="s">
        <v>4470</v>
      </c>
    </row>
    <row r="549" spans="1:6" ht="12" thickBot="1" x14ac:dyDescent="0.25">
      <c r="A549" s="756"/>
      <c r="B549" s="577" t="s">
        <v>4287</v>
      </c>
      <c r="C549" s="580">
        <v>5577382</v>
      </c>
      <c r="D549" s="578" t="s">
        <v>4417</v>
      </c>
      <c r="E549" s="591">
        <v>6.88E-2</v>
      </c>
      <c r="F549" s="579" t="s">
        <v>5387</v>
      </c>
    </row>
    <row r="550" spans="1:6" ht="12" thickBot="1" x14ac:dyDescent="0.25">
      <c r="A550" s="756"/>
      <c r="B550" s="577" t="s">
        <v>4289</v>
      </c>
      <c r="C550" s="580">
        <v>5604996</v>
      </c>
      <c r="D550" s="578" t="s">
        <v>4821</v>
      </c>
      <c r="E550" s="591">
        <v>7.4099999999999999E-2</v>
      </c>
      <c r="F550" s="579" t="s">
        <v>5388</v>
      </c>
    </row>
    <row r="551" spans="1:6" ht="12" thickBot="1" x14ac:dyDescent="0.25">
      <c r="A551" s="756"/>
      <c r="B551" s="577" t="s">
        <v>4292</v>
      </c>
      <c r="C551" s="580">
        <v>5623539</v>
      </c>
      <c r="D551" s="578" t="s">
        <v>4453</v>
      </c>
      <c r="E551" s="591">
        <v>7.7600000000000002E-2</v>
      </c>
      <c r="F551" s="579" t="s">
        <v>5389</v>
      </c>
    </row>
    <row r="552" spans="1:6" ht="12" thickBot="1" x14ac:dyDescent="0.25">
      <c r="A552" s="756"/>
      <c r="B552" s="577" t="s">
        <v>4295</v>
      </c>
      <c r="C552" s="580">
        <v>5643202</v>
      </c>
      <c r="D552" s="578" t="s">
        <v>4777</v>
      </c>
      <c r="E552" s="591">
        <v>8.14E-2</v>
      </c>
      <c r="F552" s="579" t="s">
        <v>5330</v>
      </c>
    </row>
    <row r="553" spans="1:6" ht="12" thickBot="1" x14ac:dyDescent="0.25">
      <c r="A553" s="756"/>
      <c r="B553" s="577" t="s">
        <v>4298</v>
      </c>
      <c r="C553" s="580">
        <v>5670225</v>
      </c>
      <c r="D553" s="578" t="s">
        <v>4862</v>
      </c>
      <c r="E553" s="591">
        <v>8.6599999999999996E-2</v>
      </c>
      <c r="F553" s="579" t="s">
        <v>5390</v>
      </c>
    </row>
    <row r="554" spans="1:6" ht="12" thickBot="1" x14ac:dyDescent="0.25">
      <c r="A554" s="757"/>
      <c r="B554" s="577" t="s">
        <v>4301</v>
      </c>
      <c r="C554" s="580">
        <v>5700236</v>
      </c>
      <c r="D554" s="578" t="s">
        <v>4570</v>
      </c>
      <c r="E554" s="591">
        <v>9.2299999999999993E-2</v>
      </c>
      <c r="F554" s="579" t="s">
        <v>5391</v>
      </c>
    </row>
    <row r="555" spans="1:6" ht="12" thickBot="1" x14ac:dyDescent="0.25">
      <c r="A555" s="755">
        <v>2000</v>
      </c>
      <c r="B555" s="577" t="s">
        <v>4304</v>
      </c>
      <c r="C555" s="580">
        <v>5773729</v>
      </c>
      <c r="D555" s="578" t="s">
        <v>4502</v>
      </c>
      <c r="E555" s="591">
        <v>1.29E-2</v>
      </c>
      <c r="F555" s="579" t="s">
        <v>5392</v>
      </c>
    </row>
    <row r="556" spans="1:6" ht="12" thickBot="1" x14ac:dyDescent="0.25">
      <c r="A556" s="756"/>
      <c r="B556" s="577" t="s">
        <v>4307</v>
      </c>
      <c r="C556" s="580">
        <v>5906643</v>
      </c>
      <c r="D556" s="578" t="s">
        <v>5064</v>
      </c>
      <c r="E556" s="591">
        <v>3.6200000000000003E-2</v>
      </c>
      <c r="F556" s="579" t="s">
        <v>5258</v>
      </c>
    </row>
    <row r="557" spans="1:6" ht="12" thickBot="1" x14ac:dyDescent="0.25">
      <c r="A557" s="756"/>
      <c r="B557" s="577" t="s">
        <v>4311</v>
      </c>
      <c r="C557" s="580">
        <v>6007697</v>
      </c>
      <c r="D557" s="578" t="s">
        <v>5393</v>
      </c>
      <c r="E557" s="591">
        <v>5.3900000000000003E-2</v>
      </c>
      <c r="F557" s="579" t="s">
        <v>5394</v>
      </c>
    </row>
    <row r="558" spans="1:6" ht="12" thickBot="1" x14ac:dyDescent="0.25">
      <c r="A558" s="756"/>
      <c r="B558" s="577" t="s">
        <v>4315</v>
      </c>
      <c r="C558" s="580">
        <v>6067541</v>
      </c>
      <c r="D558" s="578" t="s">
        <v>5395</v>
      </c>
      <c r="E558" s="591">
        <v>6.4399999999999999E-2</v>
      </c>
      <c r="F558" s="579" t="s">
        <v>5396</v>
      </c>
    </row>
    <row r="559" spans="1:6" ht="12" thickBot="1" x14ac:dyDescent="0.25">
      <c r="A559" s="756"/>
      <c r="B559" s="577" t="s">
        <v>4319</v>
      </c>
      <c r="C559" s="580">
        <v>6099170</v>
      </c>
      <c r="D559" s="578" t="s">
        <v>4560</v>
      </c>
      <c r="E559" s="591">
        <v>7.0000000000000007E-2</v>
      </c>
      <c r="F559" s="579" t="s">
        <v>4848</v>
      </c>
    </row>
    <row r="560" spans="1:6" ht="12" thickBot="1" x14ac:dyDescent="0.25">
      <c r="A560" s="756"/>
      <c r="B560" s="577" t="s">
        <v>4323</v>
      </c>
      <c r="C560" s="580">
        <v>6097989</v>
      </c>
      <c r="D560" s="578" t="s">
        <v>5397</v>
      </c>
      <c r="E560" s="591">
        <v>6.9800000000000001E-2</v>
      </c>
      <c r="F560" s="579" t="s">
        <v>5398</v>
      </c>
    </row>
    <row r="561" spans="1:6" ht="12" thickBot="1" x14ac:dyDescent="0.25">
      <c r="A561" s="756"/>
      <c r="B561" s="577" t="s">
        <v>4287</v>
      </c>
      <c r="C561" s="580">
        <v>6095620</v>
      </c>
      <c r="D561" s="578" t="s">
        <v>4338</v>
      </c>
      <c r="E561" s="591">
        <v>6.9400000000000003E-2</v>
      </c>
      <c r="F561" s="579" t="s">
        <v>5399</v>
      </c>
    </row>
    <row r="562" spans="1:6" ht="12" thickBot="1" x14ac:dyDescent="0.25">
      <c r="A562" s="756"/>
      <c r="B562" s="577" t="s">
        <v>4289</v>
      </c>
      <c r="C562" s="580">
        <v>6114860</v>
      </c>
      <c r="D562" s="578" t="s">
        <v>4496</v>
      </c>
      <c r="E562" s="591">
        <v>7.2700000000000001E-2</v>
      </c>
      <c r="F562" s="579" t="s">
        <v>5400</v>
      </c>
    </row>
    <row r="563" spans="1:6" ht="12" thickBot="1" x14ac:dyDescent="0.25">
      <c r="A563" s="756"/>
      <c r="B563" s="577" t="s">
        <v>4292</v>
      </c>
      <c r="C563" s="580">
        <v>6140907</v>
      </c>
      <c r="D563" s="578" t="s">
        <v>4322</v>
      </c>
      <c r="E563" s="591">
        <v>7.7299999999999994E-2</v>
      </c>
      <c r="F563" s="579" t="s">
        <v>5401</v>
      </c>
    </row>
    <row r="564" spans="1:6" ht="12" thickBot="1" x14ac:dyDescent="0.25">
      <c r="A564" s="756"/>
      <c r="B564" s="577" t="s">
        <v>4295</v>
      </c>
      <c r="C564" s="580">
        <v>6150305</v>
      </c>
      <c r="D564" s="578" t="s">
        <v>4424</v>
      </c>
      <c r="E564" s="591">
        <v>7.9000000000000001E-2</v>
      </c>
      <c r="F564" s="579" t="s">
        <v>5402</v>
      </c>
    </row>
    <row r="565" spans="1:6" ht="12" thickBot="1" x14ac:dyDescent="0.25">
      <c r="A565" s="756"/>
      <c r="B565" s="577" t="s">
        <v>4298</v>
      </c>
      <c r="C565" s="580">
        <v>6170503</v>
      </c>
      <c r="D565" s="578" t="s">
        <v>4453</v>
      </c>
      <c r="E565" s="591">
        <v>8.2500000000000004E-2</v>
      </c>
      <c r="F565" s="579" t="s">
        <v>5403</v>
      </c>
    </row>
    <row r="566" spans="1:6" ht="12" thickBot="1" x14ac:dyDescent="0.25">
      <c r="A566" s="757"/>
      <c r="B566" s="577" t="s">
        <v>4301</v>
      </c>
      <c r="C566" s="580">
        <v>6198903</v>
      </c>
      <c r="D566" s="578" t="s">
        <v>4412</v>
      </c>
      <c r="E566" s="591">
        <v>8.7499999999999994E-2</v>
      </c>
      <c r="F566" s="579" t="s">
        <v>4668</v>
      </c>
    </row>
    <row r="567" spans="1:6" ht="12" thickBot="1" x14ac:dyDescent="0.25">
      <c r="A567" s="755">
        <v>2001</v>
      </c>
      <c r="B567" s="577" t="s">
        <v>4304</v>
      </c>
      <c r="C567" s="580">
        <v>6264044</v>
      </c>
      <c r="D567" s="578" t="s">
        <v>4758</v>
      </c>
      <c r="E567" s="591">
        <v>1.0500000000000001E-2</v>
      </c>
      <c r="F567" s="579" t="s">
        <v>5404</v>
      </c>
    </row>
    <row r="568" spans="1:6" ht="12" thickBot="1" x14ac:dyDescent="0.25">
      <c r="A568" s="756"/>
      <c r="B568" s="577" t="s">
        <v>4307</v>
      </c>
      <c r="C568" s="580">
        <v>6382616</v>
      </c>
      <c r="D568" s="578" t="s">
        <v>5405</v>
      </c>
      <c r="E568" s="591">
        <v>2.9600000000000001E-2</v>
      </c>
      <c r="F568" s="579" t="s">
        <v>5406</v>
      </c>
    </row>
    <row r="569" spans="1:6" ht="12" thickBot="1" x14ac:dyDescent="0.25">
      <c r="A569" s="756"/>
      <c r="B569" s="577" t="s">
        <v>4311</v>
      </c>
      <c r="C569" s="580">
        <v>6477157</v>
      </c>
      <c r="D569" s="578" t="s">
        <v>5407</v>
      </c>
      <c r="E569" s="591">
        <v>4.4900000000000002E-2</v>
      </c>
      <c r="F569" s="579" t="s">
        <v>4494</v>
      </c>
    </row>
    <row r="570" spans="1:6" ht="12" thickBot="1" x14ac:dyDescent="0.25">
      <c r="A570" s="756"/>
      <c r="B570" s="577" t="s">
        <v>4315</v>
      </c>
      <c r="C570" s="580">
        <v>6551484</v>
      </c>
      <c r="D570" s="578" t="s">
        <v>4867</v>
      </c>
      <c r="E570" s="591">
        <v>5.6899999999999999E-2</v>
      </c>
      <c r="F570" s="579" t="s">
        <v>4460</v>
      </c>
    </row>
    <row r="571" spans="1:6" ht="12" thickBot="1" x14ac:dyDescent="0.25">
      <c r="A571" s="756"/>
      <c r="B571" s="577" t="s">
        <v>4319</v>
      </c>
      <c r="C571" s="580">
        <v>6578895</v>
      </c>
      <c r="D571" s="578" t="s">
        <v>4533</v>
      </c>
      <c r="E571" s="591">
        <v>6.13E-2</v>
      </c>
      <c r="F571" s="579" t="s">
        <v>4476</v>
      </c>
    </row>
    <row r="572" spans="1:6" ht="12" thickBot="1" x14ac:dyDescent="0.25">
      <c r="A572" s="756"/>
      <c r="B572" s="577" t="s">
        <v>4323</v>
      </c>
      <c r="C572" s="580">
        <v>6581547</v>
      </c>
      <c r="D572" s="578" t="s">
        <v>4584</v>
      </c>
      <c r="E572" s="591">
        <v>6.1699999999999998E-2</v>
      </c>
      <c r="F572" s="579" t="s">
        <v>5409</v>
      </c>
    </row>
    <row r="573" spans="1:6" ht="12" thickBot="1" x14ac:dyDescent="0.25">
      <c r="A573" s="756"/>
      <c r="B573" s="577" t="s">
        <v>4287</v>
      </c>
      <c r="C573" s="580">
        <v>6588726</v>
      </c>
      <c r="D573" s="578" t="s">
        <v>5410</v>
      </c>
      <c r="E573" s="591">
        <v>6.2899999999999998E-2</v>
      </c>
      <c r="F573" s="579" t="s">
        <v>5411</v>
      </c>
    </row>
    <row r="574" spans="1:6" ht="12" thickBot="1" x14ac:dyDescent="0.25">
      <c r="A574" s="756"/>
      <c r="B574" s="577" t="s">
        <v>4289</v>
      </c>
      <c r="C574" s="580">
        <v>6605898</v>
      </c>
      <c r="D574" s="578" t="s">
        <v>4617</v>
      </c>
      <c r="E574" s="591">
        <v>6.5699999999999995E-2</v>
      </c>
      <c r="F574" s="579" t="s">
        <v>5412</v>
      </c>
    </row>
    <row r="575" spans="1:6" ht="12" thickBot="1" x14ac:dyDescent="0.25">
      <c r="A575" s="756"/>
      <c r="B575" s="577" t="s">
        <v>4292</v>
      </c>
      <c r="C575" s="580">
        <v>6630408</v>
      </c>
      <c r="D575" s="578" t="s">
        <v>4325</v>
      </c>
      <c r="E575" s="591">
        <v>6.9599999999999995E-2</v>
      </c>
      <c r="F575" s="579" t="s">
        <v>5413</v>
      </c>
    </row>
    <row r="576" spans="1:6" ht="12" thickBot="1" x14ac:dyDescent="0.25">
      <c r="A576" s="756"/>
      <c r="B576" s="577" t="s">
        <v>4295</v>
      </c>
      <c r="C576" s="580">
        <v>6642691</v>
      </c>
      <c r="D576" s="578" t="s">
        <v>5414</v>
      </c>
      <c r="E576" s="591">
        <v>7.1599999999999997E-2</v>
      </c>
      <c r="F576" s="579" t="s">
        <v>4880</v>
      </c>
    </row>
    <row r="577" spans="1:6" ht="12" thickBot="1" x14ac:dyDescent="0.25">
      <c r="A577" s="756"/>
      <c r="B577" s="577" t="s">
        <v>4298</v>
      </c>
      <c r="C577" s="580">
        <v>6650455</v>
      </c>
      <c r="D577" s="578" t="s">
        <v>4427</v>
      </c>
      <c r="E577" s="591">
        <v>7.2800000000000004E-2</v>
      </c>
      <c r="F577" s="579" t="s">
        <v>4482</v>
      </c>
    </row>
    <row r="578" spans="1:6" ht="12" thickBot="1" x14ac:dyDescent="0.25">
      <c r="A578" s="757"/>
      <c r="B578" s="577" t="s">
        <v>4301</v>
      </c>
      <c r="C578" s="580">
        <v>6672893</v>
      </c>
      <c r="D578" s="578" t="s">
        <v>4297</v>
      </c>
      <c r="E578" s="591">
        <v>7.6499999999999999E-2</v>
      </c>
      <c r="F578" s="579" t="s">
        <v>4773</v>
      </c>
    </row>
    <row r="579" spans="1:6" ht="12" thickBot="1" x14ac:dyDescent="0.25">
      <c r="A579" s="755">
        <v>2002</v>
      </c>
      <c r="B579" s="577" t="s">
        <v>4304</v>
      </c>
      <c r="C579" s="580">
        <v>6726002</v>
      </c>
      <c r="D579" s="578" t="s">
        <v>4769</v>
      </c>
      <c r="E579" s="591">
        <v>8.0000000000000002E-3</v>
      </c>
      <c r="F579" s="579" t="s">
        <v>5415</v>
      </c>
    </row>
    <row r="580" spans="1:6" ht="12" thickBot="1" x14ac:dyDescent="0.25">
      <c r="A580" s="756"/>
      <c r="B580" s="577" t="s">
        <v>4307</v>
      </c>
      <c r="C580" s="580">
        <v>6810520</v>
      </c>
      <c r="D580" s="578" t="s">
        <v>5203</v>
      </c>
      <c r="E580" s="591">
        <v>2.06E-2</v>
      </c>
      <c r="F580" s="579" t="s">
        <v>5416</v>
      </c>
    </row>
    <row r="581" spans="1:6" ht="12" thickBot="1" x14ac:dyDescent="0.25">
      <c r="A581" s="756"/>
      <c r="B581" s="577" t="s">
        <v>4311</v>
      </c>
      <c r="C581" s="580">
        <v>6858761</v>
      </c>
      <c r="D581" s="578" t="s">
        <v>5249</v>
      </c>
      <c r="E581" s="591">
        <v>2.7900000000000001E-2</v>
      </c>
      <c r="F581" s="579" t="s">
        <v>5417</v>
      </c>
    </row>
    <row r="582" spans="1:6" ht="12" thickBot="1" x14ac:dyDescent="0.25">
      <c r="A582" s="756"/>
      <c r="B582" s="577" t="s">
        <v>4315</v>
      </c>
      <c r="C582" s="580">
        <v>6921518</v>
      </c>
      <c r="D582" s="578" t="s">
        <v>4365</v>
      </c>
      <c r="E582" s="591">
        <v>3.73E-2</v>
      </c>
      <c r="F582" s="579" t="s">
        <v>4438</v>
      </c>
    </row>
    <row r="583" spans="1:6" ht="12" thickBot="1" x14ac:dyDescent="0.25">
      <c r="A583" s="756"/>
      <c r="B583" s="577" t="s">
        <v>4319</v>
      </c>
      <c r="C583" s="580">
        <v>6962961</v>
      </c>
      <c r="D583" s="578" t="s">
        <v>4588</v>
      </c>
      <c r="E583" s="591">
        <v>4.3499999999999997E-2</v>
      </c>
      <c r="F583" s="579" t="s">
        <v>5418</v>
      </c>
    </row>
    <row r="584" spans="1:6" ht="12" thickBot="1" x14ac:dyDescent="0.25">
      <c r="A584" s="756"/>
      <c r="B584" s="577" t="s">
        <v>4323</v>
      </c>
      <c r="C584" s="580">
        <v>6992820</v>
      </c>
      <c r="D584" s="578" t="s">
        <v>4322</v>
      </c>
      <c r="E584" s="591">
        <v>4.7899999999999998E-2</v>
      </c>
      <c r="F584" s="579" t="s">
        <v>4525</v>
      </c>
    </row>
    <row r="585" spans="1:6" ht="12" thickBot="1" x14ac:dyDescent="0.25">
      <c r="A585" s="756"/>
      <c r="B585" s="577" t="s">
        <v>4287</v>
      </c>
      <c r="C585" s="580">
        <v>6994400</v>
      </c>
      <c r="D585" s="578" t="s">
        <v>4499</v>
      </c>
      <c r="E585" s="591">
        <v>4.82E-2</v>
      </c>
      <c r="F585" s="579" t="s">
        <v>4673</v>
      </c>
    </row>
    <row r="586" spans="1:6" ht="12" thickBot="1" x14ac:dyDescent="0.25">
      <c r="A586" s="756"/>
      <c r="B586" s="577" t="s">
        <v>4289</v>
      </c>
      <c r="C586" s="580">
        <v>7001001</v>
      </c>
      <c r="D586" s="578" t="s">
        <v>4443</v>
      </c>
      <c r="E586" s="591">
        <v>4.9200000000000001E-2</v>
      </c>
      <c r="F586" s="579" t="s">
        <v>5419</v>
      </c>
    </row>
    <row r="587" spans="1:6" ht="12" thickBot="1" x14ac:dyDescent="0.25">
      <c r="A587" s="756"/>
      <c r="B587" s="577" t="s">
        <v>4292</v>
      </c>
      <c r="C587" s="580">
        <v>7026220</v>
      </c>
      <c r="D587" s="578" t="s">
        <v>5420</v>
      </c>
      <c r="E587" s="591">
        <v>5.2999999999999999E-2</v>
      </c>
      <c r="F587" s="579" t="s">
        <v>4546</v>
      </c>
    </row>
    <row r="588" spans="1:6" ht="12" thickBot="1" x14ac:dyDescent="0.25">
      <c r="A588" s="756"/>
      <c r="B588" s="577" t="s">
        <v>4295</v>
      </c>
      <c r="C588" s="580">
        <v>7065505</v>
      </c>
      <c r="D588" s="578" t="s">
        <v>4750</v>
      </c>
      <c r="E588" s="591">
        <v>5.8799999999999998E-2</v>
      </c>
      <c r="F588" s="579" t="s">
        <v>4686</v>
      </c>
    </row>
    <row r="589" spans="1:6" ht="12" thickBot="1" x14ac:dyDescent="0.25">
      <c r="A589" s="756"/>
      <c r="B589" s="577" t="s">
        <v>4298</v>
      </c>
      <c r="C589" s="580">
        <v>7120492</v>
      </c>
      <c r="D589" s="578" t="s">
        <v>4747</v>
      </c>
      <c r="E589" s="591">
        <v>6.7100000000000007E-2</v>
      </c>
      <c r="F589" s="579" t="s">
        <v>5421</v>
      </c>
    </row>
    <row r="590" spans="1:6" ht="12" thickBot="1" x14ac:dyDescent="0.25">
      <c r="A590" s="757"/>
      <c r="B590" s="577" t="s">
        <v>4301</v>
      </c>
      <c r="C590" s="580">
        <v>7139513</v>
      </c>
      <c r="D590" s="578" t="s">
        <v>4300</v>
      </c>
      <c r="E590" s="591">
        <v>6.9900000000000004E-2</v>
      </c>
      <c r="F590" s="579" t="s">
        <v>5422</v>
      </c>
    </row>
    <row r="591" spans="1:6" ht="12" thickBot="1" x14ac:dyDescent="0.25">
      <c r="A591" s="755">
        <v>2003</v>
      </c>
      <c r="B591" s="577" t="s">
        <v>4304</v>
      </c>
      <c r="C591" s="580">
        <v>7223341</v>
      </c>
      <c r="D591" s="578" t="s">
        <v>4524</v>
      </c>
      <c r="E591" s="591">
        <v>1.17E-2</v>
      </c>
      <c r="F591" s="579" t="s">
        <v>5423</v>
      </c>
    </row>
    <row r="592" spans="1:6" ht="12" thickBot="1" x14ac:dyDescent="0.25">
      <c r="A592" s="756"/>
      <c r="B592" s="577" t="s">
        <v>4307</v>
      </c>
      <c r="C592" s="580">
        <v>7303558</v>
      </c>
      <c r="D592" s="578" t="s">
        <v>5337</v>
      </c>
      <c r="E592" s="591">
        <v>2.3E-2</v>
      </c>
      <c r="F592" s="579" t="s">
        <v>5424</v>
      </c>
    </row>
    <row r="593" spans="1:6" ht="12" thickBot="1" x14ac:dyDescent="0.25">
      <c r="A593" s="756"/>
      <c r="B593" s="577" t="s">
        <v>4311</v>
      </c>
      <c r="C593" s="580">
        <v>7380035</v>
      </c>
      <c r="D593" s="578" t="s">
        <v>4758</v>
      </c>
      <c r="E593" s="591">
        <v>3.3700000000000001E-2</v>
      </c>
      <c r="F593" s="579" t="s">
        <v>4745</v>
      </c>
    </row>
    <row r="594" spans="1:6" ht="12" thickBot="1" x14ac:dyDescent="0.25">
      <c r="A594" s="756"/>
      <c r="B594" s="577" t="s">
        <v>4315</v>
      </c>
      <c r="C594" s="580">
        <v>7464728</v>
      </c>
      <c r="D594" s="578" t="s">
        <v>4867</v>
      </c>
      <c r="E594" s="591">
        <v>4.5600000000000002E-2</v>
      </c>
      <c r="F594" s="579" t="s">
        <v>5426</v>
      </c>
    </row>
    <row r="595" spans="1:6" ht="12" thickBot="1" x14ac:dyDescent="0.25">
      <c r="A595" s="756"/>
      <c r="B595" s="577" t="s">
        <v>4319</v>
      </c>
      <c r="C595" s="580">
        <v>7501296</v>
      </c>
      <c r="D595" s="578" t="s">
        <v>5171</v>
      </c>
      <c r="E595" s="591">
        <v>5.0700000000000002E-2</v>
      </c>
      <c r="F595" s="579" t="s">
        <v>4659</v>
      </c>
    </row>
    <row r="596" spans="1:6" ht="12" thickBot="1" x14ac:dyDescent="0.25">
      <c r="A596" s="756"/>
      <c r="B596" s="577" t="s">
        <v>4323</v>
      </c>
      <c r="C596" s="580">
        <v>7497195</v>
      </c>
      <c r="D596" s="578" t="s">
        <v>4456</v>
      </c>
      <c r="E596" s="591">
        <v>5.0099999999999999E-2</v>
      </c>
      <c r="F596" s="579" t="s">
        <v>5428</v>
      </c>
    </row>
    <row r="597" spans="1:6" ht="12" thickBot="1" x14ac:dyDescent="0.25">
      <c r="A597" s="756"/>
      <c r="B597" s="577" t="s">
        <v>4287</v>
      </c>
      <c r="C597" s="580">
        <v>7486465</v>
      </c>
      <c r="D597" s="578" t="s">
        <v>5429</v>
      </c>
      <c r="E597" s="591">
        <v>4.8599999999999997E-2</v>
      </c>
      <c r="F597" s="579" t="s">
        <v>4767</v>
      </c>
    </row>
    <row r="598" spans="1:6" ht="12" thickBot="1" x14ac:dyDescent="0.25">
      <c r="A598" s="756"/>
      <c r="B598" s="577" t="s">
        <v>4289</v>
      </c>
      <c r="C598" s="580">
        <v>7509591</v>
      </c>
      <c r="D598" s="578" t="s">
        <v>4417</v>
      </c>
      <c r="E598" s="591">
        <v>5.1799999999999999E-2</v>
      </c>
      <c r="F598" s="579" t="s">
        <v>4376</v>
      </c>
    </row>
    <row r="599" spans="1:6" ht="12" thickBot="1" x14ac:dyDescent="0.25">
      <c r="A599" s="756"/>
      <c r="B599" s="577" t="s">
        <v>4292</v>
      </c>
      <c r="C599" s="580">
        <v>7526122</v>
      </c>
      <c r="D599" s="578" t="s">
        <v>4490</v>
      </c>
      <c r="E599" s="591">
        <v>5.4199999999999998E-2</v>
      </c>
      <c r="F599" s="579" t="s">
        <v>5430</v>
      </c>
    </row>
    <row r="600" spans="1:6" ht="12" thickBot="1" x14ac:dyDescent="0.25">
      <c r="A600" s="756"/>
      <c r="B600" s="577" t="s">
        <v>4295</v>
      </c>
      <c r="C600" s="580">
        <v>7530658</v>
      </c>
      <c r="D600" s="578" t="s">
        <v>5431</v>
      </c>
      <c r="E600" s="591">
        <v>5.4800000000000001E-2</v>
      </c>
      <c r="F600" s="579" t="s">
        <v>4798</v>
      </c>
    </row>
    <row r="601" spans="1:6" ht="12" thickBot="1" x14ac:dyDescent="0.25">
      <c r="A601" s="756"/>
      <c r="B601" s="577" t="s">
        <v>4298</v>
      </c>
      <c r="C601" s="580">
        <v>7556889</v>
      </c>
      <c r="D601" s="578" t="s">
        <v>4777</v>
      </c>
      <c r="E601" s="591">
        <v>5.8500000000000003E-2</v>
      </c>
      <c r="F601" s="579" t="s">
        <v>4562</v>
      </c>
    </row>
    <row r="602" spans="1:6" ht="12" thickBot="1" x14ac:dyDescent="0.25">
      <c r="A602" s="757"/>
      <c r="B602" s="577" t="s">
        <v>4301</v>
      </c>
      <c r="C602" s="580">
        <v>7602913</v>
      </c>
      <c r="D602" s="578" t="s">
        <v>5368</v>
      </c>
      <c r="E602" s="591">
        <v>6.4899999999999999E-2</v>
      </c>
      <c r="F602" s="579" t="s">
        <v>5432</v>
      </c>
    </row>
    <row r="603" spans="1:6" ht="12" thickBot="1" x14ac:dyDescent="0.25">
      <c r="A603" s="755">
        <v>2004</v>
      </c>
      <c r="B603" s="577" t="s">
        <v>4304</v>
      </c>
      <c r="C603" s="580">
        <v>7670288</v>
      </c>
      <c r="D603" s="578" t="s">
        <v>4573</v>
      </c>
      <c r="E603" s="591">
        <v>8.8999999999999999E-3</v>
      </c>
      <c r="F603" s="579" t="s">
        <v>5433</v>
      </c>
    </row>
    <row r="604" spans="1:6" ht="12" thickBot="1" x14ac:dyDescent="0.25">
      <c r="A604" s="756"/>
      <c r="B604" s="577" t="s">
        <v>4307</v>
      </c>
      <c r="C604" s="580">
        <v>7762288</v>
      </c>
      <c r="D604" s="578" t="s">
        <v>4845</v>
      </c>
      <c r="E604" s="591">
        <v>2.1000000000000001E-2</v>
      </c>
      <c r="F604" s="579" t="s">
        <v>5434</v>
      </c>
    </row>
    <row r="605" spans="1:6" ht="12" thickBot="1" x14ac:dyDescent="0.25">
      <c r="A605" s="756"/>
      <c r="B605" s="577" t="s">
        <v>4311</v>
      </c>
      <c r="C605" s="580">
        <v>7838691</v>
      </c>
      <c r="D605" s="578" t="s">
        <v>4729</v>
      </c>
      <c r="E605" s="591">
        <v>3.1E-2</v>
      </c>
      <c r="F605" s="579" t="s">
        <v>5435</v>
      </c>
    </row>
    <row r="606" spans="1:6" ht="12" thickBot="1" x14ac:dyDescent="0.25">
      <c r="A606" s="756"/>
      <c r="B606" s="577" t="s">
        <v>4315</v>
      </c>
      <c r="C606" s="580">
        <v>7874445</v>
      </c>
      <c r="D606" s="578" t="s">
        <v>4412</v>
      </c>
      <c r="E606" s="591">
        <v>3.5700000000000003E-2</v>
      </c>
      <c r="F606" s="579" t="s">
        <v>4507</v>
      </c>
    </row>
    <row r="607" spans="1:6" ht="12" thickBot="1" x14ac:dyDescent="0.25">
      <c r="A607" s="756"/>
      <c r="B607" s="577" t="s">
        <v>4319</v>
      </c>
      <c r="C607" s="580">
        <v>7904433</v>
      </c>
      <c r="D607" s="578" t="s">
        <v>4766</v>
      </c>
      <c r="E607" s="591">
        <v>3.9699999999999999E-2</v>
      </c>
      <c r="F607" s="579" t="s">
        <v>5223</v>
      </c>
    </row>
    <row r="608" spans="1:6" ht="12" thickBot="1" x14ac:dyDescent="0.25">
      <c r="A608" s="756"/>
      <c r="B608" s="577" t="s">
        <v>4323</v>
      </c>
      <c r="C608" s="580">
        <v>7952133</v>
      </c>
      <c r="D608" s="578" t="s">
        <v>4588</v>
      </c>
      <c r="E608" s="591">
        <v>4.5900000000000003E-2</v>
      </c>
      <c r="F608" s="579" t="s">
        <v>5436</v>
      </c>
    </row>
    <row r="609" spans="1:6" ht="12" thickBot="1" x14ac:dyDescent="0.25">
      <c r="A609" s="756"/>
      <c r="B609" s="577" t="s">
        <v>4287</v>
      </c>
      <c r="C609" s="580">
        <v>7949675</v>
      </c>
      <c r="D609" s="578" t="s">
        <v>5437</v>
      </c>
      <c r="E609" s="591">
        <v>4.5600000000000002E-2</v>
      </c>
      <c r="F609" s="579" t="s">
        <v>5433</v>
      </c>
    </row>
    <row r="610" spans="1:6" ht="12" thickBot="1" x14ac:dyDescent="0.25">
      <c r="A610" s="756"/>
      <c r="B610" s="577" t="s">
        <v>4289</v>
      </c>
      <c r="C610" s="580">
        <v>7952074</v>
      </c>
      <c r="D610" s="578" t="s">
        <v>5379</v>
      </c>
      <c r="E610" s="591">
        <v>4.5900000000000003E-2</v>
      </c>
      <c r="F610" s="579" t="s">
        <v>5417</v>
      </c>
    </row>
    <row r="611" spans="1:6" ht="12" thickBot="1" x14ac:dyDescent="0.25">
      <c r="A611" s="756"/>
      <c r="B611" s="577" t="s">
        <v>4292</v>
      </c>
      <c r="C611" s="580">
        <v>7975630</v>
      </c>
      <c r="D611" s="578" t="s">
        <v>4950</v>
      </c>
      <c r="E611" s="591">
        <v>4.9000000000000002E-2</v>
      </c>
      <c r="F611" s="579" t="s">
        <v>4546</v>
      </c>
    </row>
    <row r="612" spans="1:6" ht="12" thickBot="1" x14ac:dyDescent="0.25">
      <c r="A612" s="756"/>
      <c r="B612" s="577" t="s">
        <v>4295</v>
      </c>
      <c r="C612" s="580">
        <v>7974837</v>
      </c>
      <c r="D612" s="578" t="s">
        <v>4332</v>
      </c>
      <c r="E612" s="591">
        <v>4.8899999999999999E-2</v>
      </c>
      <c r="F612" s="579" t="s">
        <v>5438</v>
      </c>
    </row>
    <row r="613" spans="1:6" ht="12" thickBot="1" x14ac:dyDescent="0.25">
      <c r="A613" s="756"/>
      <c r="B613" s="577" t="s">
        <v>4298</v>
      </c>
      <c r="C613" s="580">
        <v>7996987</v>
      </c>
      <c r="D613" s="578" t="s">
        <v>4428</v>
      </c>
      <c r="E613" s="591">
        <v>5.1799999999999999E-2</v>
      </c>
      <c r="F613" s="579" t="s">
        <v>5439</v>
      </c>
    </row>
    <row r="614" spans="1:6" ht="12" thickBot="1" x14ac:dyDescent="0.25">
      <c r="A614" s="757"/>
      <c r="B614" s="577" t="s">
        <v>4301</v>
      </c>
      <c r="C614" s="580">
        <v>8020885</v>
      </c>
      <c r="D614" s="578" t="s">
        <v>4950</v>
      </c>
      <c r="E614" s="591">
        <v>5.5E-2</v>
      </c>
      <c r="F614" s="579" t="s">
        <v>5440</v>
      </c>
    </row>
    <row r="615" spans="1:6" ht="12" thickBot="1" x14ac:dyDescent="0.25">
      <c r="A615" s="755">
        <v>2005</v>
      </c>
      <c r="B615" s="577" t="s">
        <v>4304</v>
      </c>
      <c r="C615" s="580">
        <v>8086822</v>
      </c>
      <c r="D615" s="578" t="s">
        <v>4662</v>
      </c>
      <c r="E615" s="591">
        <v>8.2000000000000007E-3</v>
      </c>
      <c r="F615" s="579" t="s">
        <v>5441</v>
      </c>
    </row>
    <row r="616" spans="1:6" ht="12" thickBot="1" x14ac:dyDescent="0.25">
      <c r="A616" s="756"/>
      <c r="B616" s="577" t="s">
        <v>4307</v>
      </c>
      <c r="C616" s="580">
        <v>8169507</v>
      </c>
      <c r="D616" s="578" t="s">
        <v>5442</v>
      </c>
      <c r="E616" s="591">
        <v>1.8499999999999999E-2</v>
      </c>
      <c r="F616" s="579" t="s">
        <v>5443</v>
      </c>
    </row>
    <row r="617" spans="1:6" ht="12" thickBot="1" x14ac:dyDescent="0.25">
      <c r="A617" s="756"/>
      <c r="B617" s="577" t="s">
        <v>4311</v>
      </c>
      <c r="C617" s="580">
        <v>8232699</v>
      </c>
      <c r="D617" s="578" t="s">
        <v>4339</v>
      </c>
      <c r="E617" s="591">
        <v>2.64E-2</v>
      </c>
      <c r="F617" s="579" t="s">
        <v>5444</v>
      </c>
    </row>
    <row r="618" spans="1:6" ht="12" thickBot="1" x14ac:dyDescent="0.25">
      <c r="A618" s="756"/>
      <c r="B618" s="577" t="s">
        <v>4315</v>
      </c>
      <c r="C618" s="580">
        <v>8268815</v>
      </c>
      <c r="D618" s="578" t="s">
        <v>4567</v>
      </c>
      <c r="E618" s="591">
        <v>3.09E-2</v>
      </c>
      <c r="F618" s="579" t="s">
        <v>5427</v>
      </c>
    </row>
    <row r="619" spans="1:6" ht="12" thickBot="1" x14ac:dyDescent="0.25">
      <c r="A619" s="756"/>
      <c r="B619" s="577" t="s">
        <v>4319</v>
      </c>
      <c r="C619" s="580">
        <v>8302540</v>
      </c>
      <c r="D619" s="578" t="s">
        <v>5445</v>
      </c>
      <c r="E619" s="591">
        <v>3.5099999999999999E-2</v>
      </c>
      <c r="F619" s="579" t="s">
        <v>4561</v>
      </c>
    </row>
    <row r="620" spans="1:6" ht="12" thickBot="1" x14ac:dyDescent="0.25">
      <c r="A620" s="756"/>
      <c r="B620" s="577" t="s">
        <v>4323</v>
      </c>
      <c r="C620" s="580">
        <v>8335831</v>
      </c>
      <c r="D620" s="578" t="s">
        <v>4313</v>
      </c>
      <c r="E620" s="591">
        <v>3.9300000000000002E-2</v>
      </c>
      <c r="F620" s="579" t="s">
        <v>5446</v>
      </c>
    </row>
    <row r="621" spans="1:6" ht="12" thickBot="1" x14ac:dyDescent="0.25">
      <c r="A621" s="756"/>
      <c r="B621" s="577" t="s">
        <v>4287</v>
      </c>
      <c r="C621" s="580">
        <v>8339888</v>
      </c>
      <c r="D621" s="578" t="s">
        <v>5447</v>
      </c>
      <c r="E621" s="591">
        <v>3.9800000000000002E-2</v>
      </c>
      <c r="F621" s="579" t="s">
        <v>5448</v>
      </c>
    </row>
    <row r="622" spans="1:6" ht="12" thickBot="1" x14ac:dyDescent="0.25">
      <c r="A622" s="756"/>
      <c r="B622" s="577" t="s">
        <v>4289</v>
      </c>
      <c r="C622" s="580">
        <v>8340016</v>
      </c>
      <c r="D622" s="578" t="s">
        <v>4810</v>
      </c>
      <c r="E622" s="591">
        <v>3.9800000000000002E-2</v>
      </c>
      <c r="F622" s="579" t="s">
        <v>5449</v>
      </c>
    </row>
    <row r="623" spans="1:6" ht="12" thickBot="1" x14ac:dyDescent="0.25">
      <c r="A623" s="756"/>
      <c r="B623" s="577" t="s">
        <v>4292</v>
      </c>
      <c r="C623" s="580">
        <v>8375696</v>
      </c>
      <c r="D623" s="578" t="s">
        <v>4322</v>
      </c>
      <c r="E623" s="591">
        <v>4.4200000000000003E-2</v>
      </c>
      <c r="F623" s="579" t="s">
        <v>4521</v>
      </c>
    </row>
    <row r="624" spans="1:6" ht="12" thickBot="1" x14ac:dyDescent="0.25">
      <c r="A624" s="756"/>
      <c r="B624" s="577" t="s">
        <v>4295</v>
      </c>
      <c r="C624" s="580">
        <v>8394967</v>
      </c>
      <c r="D624" s="578" t="s">
        <v>4331</v>
      </c>
      <c r="E624" s="591">
        <v>4.6600000000000003E-2</v>
      </c>
      <c r="F624" s="579" t="s">
        <v>5450</v>
      </c>
    </row>
    <row r="625" spans="1:6" ht="12" thickBot="1" x14ac:dyDescent="0.25">
      <c r="A625" s="756"/>
      <c r="B625" s="577" t="s">
        <v>4298</v>
      </c>
      <c r="C625" s="580">
        <v>8404563</v>
      </c>
      <c r="D625" s="578" t="s">
        <v>5410</v>
      </c>
      <c r="E625" s="591">
        <v>4.7800000000000002E-2</v>
      </c>
      <c r="F625" s="579" t="s">
        <v>4703</v>
      </c>
    </row>
    <row r="626" spans="1:6" ht="12" thickBot="1" x14ac:dyDescent="0.25">
      <c r="A626" s="757"/>
      <c r="B626" s="577" t="s">
        <v>4301</v>
      </c>
      <c r="C626" s="580">
        <v>8410291</v>
      </c>
      <c r="D626" s="578" t="s">
        <v>4579</v>
      </c>
      <c r="E626" s="591">
        <v>4.8500000000000001E-2</v>
      </c>
      <c r="F626" s="579" t="s">
        <v>5451</v>
      </c>
    </row>
    <row r="627" spans="1:6" ht="12" thickBot="1" x14ac:dyDescent="0.25">
      <c r="A627" s="755">
        <v>2006</v>
      </c>
      <c r="B627" s="577" t="s">
        <v>4304</v>
      </c>
      <c r="C627" s="580">
        <v>8455834</v>
      </c>
      <c r="D627" s="578" t="s">
        <v>4303</v>
      </c>
      <c r="E627" s="591">
        <v>5.4000000000000003E-3</v>
      </c>
      <c r="F627" s="579" t="s">
        <v>5425</v>
      </c>
    </row>
    <row r="628" spans="1:6" ht="12" thickBot="1" x14ac:dyDescent="0.25">
      <c r="A628" s="756"/>
      <c r="B628" s="577" t="s">
        <v>4307</v>
      </c>
      <c r="C628" s="580">
        <v>8511449</v>
      </c>
      <c r="D628" s="578" t="s">
        <v>4474</v>
      </c>
      <c r="E628" s="591">
        <v>1.2E-2</v>
      </c>
      <c r="F628" s="579" t="s">
        <v>5452</v>
      </c>
    </row>
    <row r="629" spans="1:6" ht="12" thickBot="1" x14ac:dyDescent="0.25">
      <c r="A629" s="756"/>
      <c r="B629" s="577" t="s">
        <v>4311</v>
      </c>
      <c r="C629" s="580">
        <v>8571228</v>
      </c>
      <c r="D629" s="578" t="s">
        <v>4317</v>
      </c>
      <c r="E629" s="591">
        <v>1.9099999999999999E-2</v>
      </c>
      <c r="F629" s="579" t="s">
        <v>5454</v>
      </c>
    </row>
    <row r="630" spans="1:6" ht="12" thickBot="1" x14ac:dyDescent="0.25">
      <c r="A630" s="756"/>
      <c r="B630" s="577" t="s">
        <v>4315</v>
      </c>
      <c r="C630" s="580">
        <v>8609607</v>
      </c>
      <c r="D630" s="578" t="s">
        <v>4728</v>
      </c>
      <c r="E630" s="591">
        <v>2.3699999999999999E-2</v>
      </c>
      <c r="F630" s="579" t="s">
        <v>5455</v>
      </c>
    </row>
    <row r="631" spans="1:6" ht="12" thickBot="1" x14ac:dyDescent="0.25">
      <c r="A631" s="756"/>
      <c r="B631" s="577" t="s">
        <v>4319</v>
      </c>
      <c r="C631" s="580">
        <v>8637832</v>
      </c>
      <c r="D631" s="578" t="s">
        <v>4453</v>
      </c>
      <c r="E631" s="591">
        <v>2.7099999999999999E-2</v>
      </c>
      <c r="F631" s="579" t="s">
        <v>5456</v>
      </c>
    </row>
    <row r="632" spans="1:6" ht="12" thickBot="1" x14ac:dyDescent="0.25">
      <c r="A632" s="756"/>
      <c r="B632" s="577" t="s">
        <v>4323</v>
      </c>
      <c r="C632" s="580">
        <v>8664117</v>
      </c>
      <c r="D632" s="578" t="s">
        <v>4950</v>
      </c>
      <c r="E632" s="591">
        <v>3.0200000000000001E-2</v>
      </c>
      <c r="F632" s="579" t="s">
        <v>5383</v>
      </c>
    </row>
    <row r="633" spans="1:6" ht="12" thickBot="1" x14ac:dyDescent="0.25">
      <c r="A633" s="756"/>
      <c r="B633" s="577" t="s">
        <v>4287</v>
      </c>
      <c r="C633" s="580">
        <v>8699909</v>
      </c>
      <c r="D633" s="578" t="s">
        <v>5445</v>
      </c>
      <c r="E633" s="591">
        <v>3.44E-2</v>
      </c>
      <c r="F633" s="579" t="s">
        <v>5459</v>
      </c>
    </row>
    <row r="634" spans="1:6" ht="12" thickBot="1" x14ac:dyDescent="0.25">
      <c r="A634" s="756"/>
      <c r="B634" s="577" t="s">
        <v>4289</v>
      </c>
      <c r="C634" s="580">
        <v>8734044</v>
      </c>
      <c r="D634" s="578" t="s">
        <v>4351</v>
      </c>
      <c r="E634" s="591">
        <v>3.85E-2</v>
      </c>
      <c r="F634" s="579" t="s">
        <v>5460</v>
      </c>
    </row>
    <row r="635" spans="1:6" ht="12" thickBot="1" x14ac:dyDescent="0.25">
      <c r="A635" s="756"/>
      <c r="B635" s="577" t="s">
        <v>4292</v>
      </c>
      <c r="C635" s="580">
        <v>8759040</v>
      </c>
      <c r="D635" s="578" t="s">
        <v>4352</v>
      </c>
      <c r="E635" s="591">
        <v>4.1500000000000002E-2</v>
      </c>
      <c r="F635" s="579" t="s">
        <v>4968</v>
      </c>
    </row>
    <row r="636" spans="1:6" ht="12" thickBot="1" x14ac:dyDescent="0.25">
      <c r="A636" s="756"/>
      <c r="B636" s="577" t="s">
        <v>4295</v>
      </c>
      <c r="C636" s="580">
        <v>8746374</v>
      </c>
      <c r="D636" s="578" t="s">
        <v>5429</v>
      </c>
      <c r="E636" s="591">
        <v>0.04</v>
      </c>
      <c r="F636" s="579" t="s">
        <v>5452</v>
      </c>
    </row>
    <row r="637" spans="1:6" ht="12" thickBot="1" x14ac:dyDescent="0.25">
      <c r="A637" s="756"/>
      <c r="B637" s="577" t="s">
        <v>4298</v>
      </c>
      <c r="C637" s="580">
        <v>8767102</v>
      </c>
      <c r="D637" s="578" t="s">
        <v>4487</v>
      </c>
      <c r="E637" s="591">
        <v>4.24E-2</v>
      </c>
      <c r="F637" s="579" t="s">
        <v>4831</v>
      </c>
    </row>
    <row r="638" spans="1:6" ht="12" thickBot="1" x14ac:dyDescent="0.25">
      <c r="A638" s="757"/>
      <c r="B638" s="577" t="s">
        <v>4301</v>
      </c>
      <c r="C638" s="580">
        <v>8786896</v>
      </c>
      <c r="D638" s="578" t="s">
        <v>4331</v>
      </c>
      <c r="E638" s="591">
        <v>4.48E-2</v>
      </c>
      <c r="F638" s="579" t="s">
        <v>5461</v>
      </c>
    </row>
    <row r="639" spans="1:6" ht="12" thickBot="1" x14ac:dyDescent="0.25">
      <c r="A639" s="755">
        <v>2007</v>
      </c>
      <c r="B639" s="577" t="s">
        <v>4304</v>
      </c>
      <c r="C639" s="580">
        <v>8854252</v>
      </c>
      <c r="D639" s="578" t="s">
        <v>4339</v>
      </c>
      <c r="E639" s="591">
        <v>7.7000000000000002E-3</v>
      </c>
      <c r="F639" s="579" t="s">
        <v>5462</v>
      </c>
    </row>
    <row r="640" spans="1:6" ht="12" thickBot="1" x14ac:dyDescent="0.25">
      <c r="A640" s="756"/>
      <c r="B640" s="577" t="s">
        <v>4307</v>
      </c>
      <c r="C640" s="580">
        <v>8958025</v>
      </c>
      <c r="D640" s="578" t="s">
        <v>4524</v>
      </c>
      <c r="E640" s="591">
        <v>1.95E-2</v>
      </c>
      <c r="F640" s="579" t="s">
        <v>5443</v>
      </c>
    </row>
    <row r="641" spans="1:6" ht="12" thickBot="1" x14ac:dyDescent="0.25">
      <c r="A641" s="756"/>
      <c r="B641" s="577" t="s">
        <v>4311</v>
      </c>
      <c r="C641" s="580">
        <v>9066685</v>
      </c>
      <c r="D641" s="578" t="s">
        <v>4356</v>
      </c>
      <c r="E641" s="591">
        <v>3.1800000000000002E-2</v>
      </c>
      <c r="F641" s="579" t="s">
        <v>5463</v>
      </c>
    </row>
    <row r="642" spans="1:6" ht="12" thickBot="1" x14ac:dyDescent="0.25">
      <c r="A642" s="756"/>
      <c r="B642" s="577" t="s">
        <v>4315</v>
      </c>
      <c r="C642" s="580">
        <v>9148253</v>
      </c>
      <c r="D642" s="578" t="s">
        <v>4342</v>
      </c>
      <c r="E642" s="591">
        <v>4.1099999999999998E-2</v>
      </c>
      <c r="F642" s="579" t="s">
        <v>5464</v>
      </c>
    </row>
    <row r="643" spans="1:6" ht="12" thickBot="1" x14ac:dyDescent="0.25">
      <c r="A643" s="756"/>
      <c r="B643" s="577" t="s">
        <v>4319</v>
      </c>
      <c r="C643" s="580">
        <v>9175661</v>
      </c>
      <c r="D643" s="578" t="s">
        <v>4950</v>
      </c>
      <c r="E643" s="591">
        <v>4.4200000000000003E-2</v>
      </c>
      <c r="F643" s="579" t="s">
        <v>4549</v>
      </c>
    </row>
    <row r="644" spans="1:6" ht="12" thickBot="1" x14ac:dyDescent="0.25">
      <c r="A644" s="756"/>
      <c r="B644" s="577" t="s">
        <v>4323</v>
      </c>
      <c r="C644" s="580">
        <v>9186894</v>
      </c>
      <c r="D644" s="578" t="s">
        <v>4427</v>
      </c>
      <c r="E644" s="591">
        <v>4.5499999999999999E-2</v>
      </c>
      <c r="F644" s="579" t="s">
        <v>5465</v>
      </c>
    </row>
    <row r="645" spans="1:6" ht="12" thickBot="1" x14ac:dyDescent="0.25">
      <c r="A645" s="756"/>
      <c r="B645" s="577" t="s">
        <v>4287</v>
      </c>
      <c r="C645" s="580">
        <v>9202048</v>
      </c>
      <c r="D645" s="578" t="s">
        <v>4314</v>
      </c>
      <c r="E645" s="591">
        <v>4.7199999999999999E-2</v>
      </c>
      <c r="F645" s="579" t="s">
        <v>5466</v>
      </c>
    </row>
    <row r="646" spans="1:6" ht="12" thickBot="1" x14ac:dyDescent="0.25">
      <c r="A646" s="756"/>
      <c r="B646" s="577" t="s">
        <v>4289</v>
      </c>
      <c r="C646" s="580">
        <v>9189765</v>
      </c>
      <c r="D646" s="578" t="s">
        <v>4782</v>
      </c>
      <c r="E646" s="591">
        <v>4.58E-2</v>
      </c>
      <c r="F646" s="579" t="s">
        <v>4833</v>
      </c>
    </row>
    <row r="647" spans="1:6" ht="12" thickBot="1" x14ac:dyDescent="0.25">
      <c r="A647" s="756"/>
      <c r="B647" s="577" t="s">
        <v>4292</v>
      </c>
      <c r="C647" s="580">
        <v>9197430</v>
      </c>
      <c r="D647" s="578" t="s">
        <v>4682</v>
      </c>
      <c r="E647" s="591">
        <v>4.6699999999999998E-2</v>
      </c>
      <c r="F647" s="579" t="s">
        <v>5427</v>
      </c>
    </row>
    <row r="648" spans="1:6" ht="12" thickBot="1" x14ac:dyDescent="0.25">
      <c r="A648" s="756"/>
      <c r="B648" s="577" t="s">
        <v>4295</v>
      </c>
      <c r="C648" s="580">
        <v>9197976</v>
      </c>
      <c r="D648" s="578" t="s">
        <v>5467</v>
      </c>
      <c r="E648" s="591">
        <v>4.6800000000000001E-2</v>
      </c>
      <c r="F648" s="579" t="s">
        <v>5468</v>
      </c>
    </row>
    <row r="649" spans="1:6" ht="12" thickBot="1" x14ac:dyDescent="0.25">
      <c r="A649" s="756"/>
      <c r="B649" s="577" t="s">
        <v>4298</v>
      </c>
      <c r="C649" s="580">
        <v>9241584</v>
      </c>
      <c r="D649" s="578" t="s">
        <v>4459</v>
      </c>
      <c r="E649" s="591">
        <v>5.1700000000000003E-2</v>
      </c>
      <c r="F649" s="579" t="s">
        <v>4772</v>
      </c>
    </row>
    <row r="650" spans="1:6" ht="12" thickBot="1" x14ac:dyDescent="0.25">
      <c r="A650" s="757"/>
      <c r="B650" s="577" t="s">
        <v>4301</v>
      </c>
      <c r="C650" s="580">
        <v>9287228</v>
      </c>
      <c r="D650" s="578" t="s">
        <v>5171</v>
      </c>
      <c r="E650" s="591">
        <v>5.6899999999999999E-2</v>
      </c>
      <c r="F650" s="579" t="s">
        <v>5408</v>
      </c>
    </row>
    <row r="651" spans="1:6" ht="12" thickBot="1" x14ac:dyDescent="0.25">
      <c r="A651" s="755">
        <v>2008</v>
      </c>
      <c r="B651" s="577" t="s">
        <v>4304</v>
      </c>
      <c r="C651" s="580">
        <v>9385245</v>
      </c>
      <c r="D651" s="578" t="s">
        <v>5112</v>
      </c>
      <c r="E651" s="591">
        <v>1.06E-2</v>
      </c>
      <c r="F651" s="579" t="s">
        <v>4475</v>
      </c>
    </row>
    <row r="652" spans="1:6" ht="12" thickBot="1" x14ac:dyDescent="0.25">
      <c r="A652" s="756"/>
      <c r="B652" s="577" t="s">
        <v>4307</v>
      </c>
      <c r="C652" s="580">
        <v>9527039</v>
      </c>
      <c r="D652" s="578" t="s">
        <v>4645</v>
      </c>
      <c r="E652" s="591">
        <v>2.58E-2</v>
      </c>
      <c r="F652" s="579" t="s">
        <v>5469</v>
      </c>
    </row>
    <row r="653" spans="1:6" ht="12" thickBot="1" x14ac:dyDescent="0.25">
      <c r="A653" s="756"/>
      <c r="B653" s="577" t="s">
        <v>4311</v>
      </c>
      <c r="C653" s="580">
        <v>9603972</v>
      </c>
      <c r="D653" s="578" t="s">
        <v>4595</v>
      </c>
      <c r="E653" s="591">
        <v>3.4099999999999998E-2</v>
      </c>
      <c r="F653" s="579" t="s">
        <v>5470</v>
      </c>
    </row>
    <row r="654" spans="1:6" ht="12" thickBot="1" x14ac:dyDescent="0.25">
      <c r="A654" s="756"/>
      <c r="B654" s="577" t="s">
        <v>4315</v>
      </c>
      <c r="C654" s="580">
        <v>9672265</v>
      </c>
      <c r="D654" s="578" t="s">
        <v>5249</v>
      </c>
      <c r="E654" s="591">
        <v>4.1500000000000002E-2</v>
      </c>
      <c r="F654" s="579" t="s">
        <v>5471</v>
      </c>
    </row>
    <row r="655" spans="1:6" ht="12" thickBot="1" x14ac:dyDescent="0.25">
      <c r="A655" s="756"/>
      <c r="B655" s="577" t="s">
        <v>4319</v>
      </c>
      <c r="C655" s="580">
        <v>9762382</v>
      </c>
      <c r="D655" s="578" t="s">
        <v>4629</v>
      </c>
      <c r="E655" s="591">
        <v>5.1200000000000002E-2</v>
      </c>
      <c r="F655" s="579" t="s">
        <v>4802</v>
      </c>
    </row>
    <row r="656" spans="1:6" ht="12" thickBot="1" x14ac:dyDescent="0.25">
      <c r="A656" s="756"/>
      <c r="B656" s="577" t="s">
        <v>4323</v>
      </c>
      <c r="C656" s="580">
        <v>9846550</v>
      </c>
      <c r="D656" s="578" t="s">
        <v>5472</v>
      </c>
      <c r="E656" s="591">
        <v>6.0199999999999997E-2</v>
      </c>
      <c r="F656" s="579" t="s">
        <v>4450</v>
      </c>
    </row>
    <row r="657" spans="1:6" ht="12" thickBot="1" x14ac:dyDescent="0.25">
      <c r="A657" s="756"/>
      <c r="B657" s="577" t="s">
        <v>4287</v>
      </c>
      <c r="C657" s="580">
        <v>9894005</v>
      </c>
      <c r="D657" s="578" t="s">
        <v>4862</v>
      </c>
      <c r="E657" s="591">
        <v>6.5299999999999997E-2</v>
      </c>
      <c r="F657" s="579" t="s">
        <v>5473</v>
      </c>
    </row>
    <row r="658" spans="1:6" ht="12" thickBot="1" x14ac:dyDescent="0.25">
      <c r="A658" s="756"/>
      <c r="B658" s="577" t="s">
        <v>4289</v>
      </c>
      <c r="C658" s="580">
        <v>9912932</v>
      </c>
      <c r="D658" s="578" t="s">
        <v>5414</v>
      </c>
      <c r="E658" s="591">
        <v>6.7400000000000002E-2</v>
      </c>
      <c r="F658" s="579" t="s">
        <v>4476</v>
      </c>
    </row>
    <row r="659" spans="1:6" ht="12" thickBot="1" x14ac:dyDescent="0.25">
      <c r="A659" s="756"/>
      <c r="B659" s="577" t="s">
        <v>4292</v>
      </c>
      <c r="C659" s="580">
        <v>9894017</v>
      </c>
      <c r="D659" s="578" t="s">
        <v>5474</v>
      </c>
      <c r="E659" s="591">
        <v>6.5299999999999997E-2</v>
      </c>
      <c r="F659" s="579" t="s">
        <v>5475</v>
      </c>
    </row>
    <row r="660" spans="1:6" ht="12" thickBot="1" x14ac:dyDescent="0.25">
      <c r="A660" s="756"/>
      <c r="B660" s="577" t="s">
        <v>4295</v>
      </c>
      <c r="C660" s="580">
        <v>9928265</v>
      </c>
      <c r="D660" s="578" t="s">
        <v>4777</v>
      </c>
      <c r="E660" s="591">
        <v>6.9000000000000006E-2</v>
      </c>
      <c r="F660" s="579" t="s">
        <v>5476</v>
      </c>
    </row>
    <row r="661" spans="1:6" ht="12" thickBot="1" x14ac:dyDescent="0.25">
      <c r="A661" s="756"/>
      <c r="B661" s="577" t="s">
        <v>4298</v>
      </c>
      <c r="C661" s="580">
        <v>9955967</v>
      </c>
      <c r="D661" s="578" t="s">
        <v>4428</v>
      </c>
      <c r="E661" s="591">
        <v>7.1999999999999995E-2</v>
      </c>
      <c r="F661" s="579" t="s">
        <v>4659</v>
      </c>
    </row>
    <row r="662" spans="1:6" ht="12" thickBot="1" x14ac:dyDescent="0.25">
      <c r="A662" s="757"/>
      <c r="B662" s="577" t="s">
        <v>4301</v>
      </c>
      <c r="C662" s="580">
        <v>10000000</v>
      </c>
      <c r="D662" s="578" t="s">
        <v>4567</v>
      </c>
      <c r="E662" s="591">
        <v>7.6700000000000004E-2</v>
      </c>
      <c r="F662" s="579" t="s">
        <v>5477</v>
      </c>
    </row>
    <row r="663" spans="1:6" ht="12" thickBot="1" x14ac:dyDescent="0.25">
      <c r="A663" s="755">
        <v>2009</v>
      </c>
      <c r="B663" s="577" t="s">
        <v>4304</v>
      </c>
      <c r="C663" s="580">
        <v>10058933</v>
      </c>
      <c r="D663" s="578" t="s">
        <v>4478</v>
      </c>
      <c r="E663" s="591">
        <v>5.8999999999999999E-3</v>
      </c>
      <c r="F663" s="579" t="s">
        <v>4450</v>
      </c>
    </row>
    <row r="664" spans="1:6" ht="12" thickBot="1" x14ac:dyDescent="0.25">
      <c r="A664" s="756"/>
      <c r="B664" s="577" t="s">
        <v>4307</v>
      </c>
      <c r="C664" s="580">
        <v>10143129</v>
      </c>
      <c r="D664" s="578" t="s">
        <v>4336</v>
      </c>
      <c r="E664" s="591">
        <v>1.43E-2</v>
      </c>
      <c r="F664" s="579" t="s">
        <v>5478</v>
      </c>
    </row>
    <row r="665" spans="1:6" ht="12" thickBot="1" x14ac:dyDescent="0.25">
      <c r="A665" s="756"/>
      <c r="B665" s="577" t="s">
        <v>4311</v>
      </c>
      <c r="C665" s="580">
        <v>10193732</v>
      </c>
      <c r="D665" s="578" t="s">
        <v>4821</v>
      </c>
      <c r="E665" s="591">
        <v>1.9400000000000001E-2</v>
      </c>
      <c r="F665" s="579" t="s">
        <v>4503</v>
      </c>
    </row>
    <row r="666" spans="1:6" ht="12" thickBot="1" x14ac:dyDescent="0.25">
      <c r="A666" s="756"/>
      <c r="B666" s="577" t="s">
        <v>4315</v>
      </c>
      <c r="C666" s="580">
        <v>10226473</v>
      </c>
      <c r="D666" s="578" t="s">
        <v>4496</v>
      </c>
      <c r="E666" s="591">
        <v>2.2599999999999999E-2</v>
      </c>
      <c r="F666" s="579" t="s">
        <v>5471</v>
      </c>
    </row>
    <row r="667" spans="1:6" ht="12" thickBot="1" x14ac:dyDescent="0.25">
      <c r="A667" s="756"/>
      <c r="B667" s="577" t="s">
        <v>4319</v>
      </c>
      <c r="C667" s="580">
        <v>10227913</v>
      </c>
      <c r="D667" s="578" t="s">
        <v>5467</v>
      </c>
      <c r="E667" s="591">
        <v>2.2800000000000001E-2</v>
      </c>
      <c r="F667" s="579" t="s">
        <v>5480</v>
      </c>
    </row>
    <row r="668" spans="1:6" ht="12" thickBot="1" x14ac:dyDescent="0.25">
      <c r="A668" s="756"/>
      <c r="B668" s="577" t="s">
        <v>4323</v>
      </c>
      <c r="C668" s="580">
        <v>10222182</v>
      </c>
      <c r="D668" s="578" t="s">
        <v>4710</v>
      </c>
      <c r="E668" s="591">
        <v>2.2200000000000001E-2</v>
      </c>
      <c r="F668" s="579" t="s">
        <v>5481</v>
      </c>
    </row>
    <row r="669" spans="1:6" ht="12" thickBot="1" x14ac:dyDescent="0.25">
      <c r="A669" s="756"/>
      <c r="B669" s="577" t="s">
        <v>4287</v>
      </c>
      <c r="C669" s="580">
        <v>10218207</v>
      </c>
      <c r="D669" s="578" t="s">
        <v>4338</v>
      </c>
      <c r="E669" s="591">
        <v>2.18E-2</v>
      </c>
      <c r="F669" s="579" t="s">
        <v>5371</v>
      </c>
    </row>
    <row r="670" spans="1:6" ht="12" thickBot="1" x14ac:dyDescent="0.25">
      <c r="A670" s="756"/>
      <c r="B670" s="577" t="s">
        <v>4289</v>
      </c>
      <c r="C670" s="580">
        <v>10222713</v>
      </c>
      <c r="D670" s="578" t="s">
        <v>4584</v>
      </c>
      <c r="E670" s="591">
        <v>2.23E-2</v>
      </c>
      <c r="F670" s="579" t="s">
        <v>4736</v>
      </c>
    </row>
    <row r="671" spans="1:6" ht="12" thickBot="1" x14ac:dyDescent="0.25">
      <c r="A671" s="756"/>
      <c r="B671" s="577" t="s">
        <v>4292</v>
      </c>
      <c r="C671" s="580">
        <v>10211512</v>
      </c>
      <c r="D671" s="578" t="s">
        <v>5482</v>
      </c>
      <c r="E671" s="591">
        <v>2.12E-2</v>
      </c>
      <c r="F671" s="579" t="s">
        <v>5483</v>
      </c>
    </row>
    <row r="672" spans="1:6" ht="12" thickBot="1" x14ac:dyDescent="0.25">
      <c r="A672" s="756"/>
      <c r="B672" s="577" t="s">
        <v>4295</v>
      </c>
      <c r="C672" s="580">
        <v>10198473</v>
      </c>
      <c r="D672" s="578" t="s">
        <v>4782</v>
      </c>
      <c r="E672" s="591">
        <v>1.9800000000000002E-2</v>
      </c>
      <c r="F672" s="579" t="s">
        <v>4406</v>
      </c>
    </row>
    <row r="673" spans="1:6" ht="12" thickBot="1" x14ac:dyDescent="0.25">
      <c r="A673" s="756"/>
      <c r="B673" s="577" t="s">
        <v>4298</v>
      </c>
      <c r="C673" s="580">
        <v>10191776</v>
      </c>
      <c r="D673" s="578" t="s">
        <v>4309</v>
      </c>
      <c r="E673" s="591">
        <v>1.9199999999999998E-2</v>
      </c>
      <c r="F673" s="579" t="s">
        <v>5280</v>
      </c>
    </row>
    <row r="674" spans="1:6" ht="12" thickBot="1" x14ac:dyDescent="0.25">
      <c r="A674" s="757"/>
      <c r="B674" s="577" t="s">
        <v>4301</v>
      </c>
      <c r="C674" s="580">
        <v>10200181</v>
      </c>
      <c r="D674" s="578" t="s">
        <v>4682</v>
      </c>
      <c r="E674" s="591">
        <v>0.02</v>
      </c>
      <c r="F674" s="579" t="s">
        <v>5485</v>
      </c>
    </row>
    <row r="675" spans="1:6" ht="12" thickBot="1" x14ac:dyDescent="0.25">
      <c r="A675" s="755">
        <v>2010</v>
      </c>
      <c r="B675" s="577" t="s">
        <v>4304</v>
      </c>
      <c r="C675" s="580">
        <v>10270133</v>
      </c>
      <c r="D675" s="578" t="s">
        <v>5486</v>
      </c>
      <c r="E675" s="591">
        <v>6.8999999999999999E-3</v>
      </c>
      <c r="F675" s="579" t="s">
        <v>4349</v>
      </c>
    </row>
    <row r="676" spans="1:6" ht="12" thickBot="1" x14ac:dyDescent="0.25">
      <c r="A676" s="756"/>
      <c r="B676" s="577" t="s">
        <v>4307</v>
      </c>
      <c r="C676" s="580">
        <v>10355215</v>
      </c>
      <c r="D676" s="578" t="s">
        <v>4493</v>
      </c>
      <c r="E676" s="591">
        <v>1.52E-2</v>
      </c>
      <c r="F676" s="579" t="s">
        <v>5125</v>
      </c>
    </row>
    <row r="677" spans="1:6" ht="12" thickBot="1" x14ac:dyDescent="0.25">
      <c r="A677" s="756"/>
      <c r="B677" s="577" t="s">
        <v>4311</v>
      </c>
      <c r="C677" s="580">
        <v>10381247</v>
      </c>
      <c r="D677" s="578" t="s">
        <v>4806</v>
      </c>
      <c r="E677" s="591">
        <v>1.78E-2</v>
      </c>
      <c r="F677" s="579" t="s">
        <v>5084</v>
      </c>
    </row>
    <row r="678" spans="1:6" ht="12" thickBot="1" x14ac:dyDescent="0.25">
      <c r="A678" s="756"/>
      <c r="B678" s="577" t="s">
        <v>4315</v>
      </c>
      <c r="C678" s="580">
        <v>10429044</v>
      </c>
      <c r="D678" s="578" t="s">
        <v>4412</v>
      </c>
      <c r="E678" s="591">
        <v>2.24E-2</v>
      </c>
      <c r="F678" s="579" t="s">
        <v>5484</v>
      </c>
    </row>
    <row r="679" spans="1:6" ht="12" thickBot="1" x14ac:dyDescent="0.25">
      <c r="A679" s="756"/>
      <c r="B679" s="577" t="s">
        <v>4319</v>
      </c>
      <c r="C679" s="580">
        <v>10439815</v>
      </c>
      <c r="D679" s="578" t="s">
        <v>4330</v>
      </c>
      <c r="E679" s="591">
        <v>2.35E-2</v>
      </c>
      <c r="F679" s="579" t="s">
        <v>5075</v>
      </c>
    </row>
    <row r="680" spans="1:6" ht="12" thickBot="1" x14ac:dyDescent="0.25">
      <c r="A680" s="756"/>
      <c r="B680" s="577" t="s">
        <v>4323</v>
      </c>
      <c r="C680" s="580">
        <v>10451684</v>
      </c>
      <c r="D680" s="578" t="s">
        <v>5410</v>
      </c>
      <c r="E680" s="591">
        <v>2.47E-2</v>
      </c>
      <c r="F680" s="579" t="s">
        <v>5023</v>
      </c>
    </row>
    <row r="681" spans="1:6" ht="12" thickBot="1" x14ac:dyDescent="0.25">
      <c r="A681" s="756"/>
      <c r="B681" s="577" t="s">
        <v>4287</v>
      </c>
      <c r="C681" s="580">
        <v>10447279</v>
      </c>
      <c r="D681" s="578" t="s">
        <v>4338</v>
      </c>
      <c r="E681" s="591">
        <v>2.4199999999999999E-2</v>
      </c>
      <c r="F681" s="579" t="s">
        <v>4397</v>
      </c>
    </row>
    <row r="682" spans="1:6" ht="12" thickBot="1" x14ac:dyDescent="0.25">
      <c r="A682" s="756"/>
      <c r="B682" s="577" t="s">
        <v>4289</v>
      </c>
      <c r="C682" s="580">
        <v>10459005</v>
      </c>
      <c r="D682" s="578" t="s">
        <v>5410</v>
      </c>
      <c r="E682" s="591">
        <v>2.5399999999999999E-2</v>
      </c>
      <c r="F682" s="579" t="s">
        <v>4998</v>
      </c>
    </row>
    <row r="683" spans="1:6" ht="12" thickBot="1" x14ac:dyDescent="0.25">
      <c r="A683" s="756"/>
      <c r="B683" s="577" t="s">
        <v>4292</v>
      </c>
      <c r="C683" s="580">
        <v>10444808</v>
      </c>
      <c r="D683" s="578" t="s">
        <v>5429</v>
      </c>
      <c r="E683" s="591">
        <v>2.4E-2</v>
      </c>
      <c r="F683" s="579" t="s">
        <v>5479</v>
      </c>
    </row>
    <row r="684" spans="1:6" ht="12" thickBot="1" x14ac:dyDescent="0.25">
      <c r="A684" s="756"/>
      <c r="B684" s="577" t="s">
        <v>4295</v>
      </c>
      <c r="C684" s="580">
        <v>10435595</v>
      </c>
      <c r="D684" s="578" t="s">
        <v>5487</v>
      </c>
      <c r="E684" s="591">
        <v>2.3099999999999999E-2</v>
      </c>
      <c r="F684" s="579" t="s">
        <v>5110</v>
      </c>
    </row>
    <row r="685" spans="1:6" ht="12" thickBot="1" x14ac:dyDescent="0.25">
      <c r="A685" s="756"/>
      <c r="B685" s="577" t="s">
        <v>4298</v>
      </c>
      <c r="C685" s="580">
        <v>10455843</v>
      </c>
      <c r="D685" s="578" t="s">
        <v>5414</v>
      </c>
      <c r="E685" s="591">
        <v>2.5100000000000001E-2</v>
      </c>
      <c r="F685" s="579" t="s">
        <v>4537</v>
      </c>
    </row>
    <row r="686" spans="1:6" ht="12" thickBot="1" x14ac:dyDescent="0.25">
      <c r="A686" s="757"/>
      <c r="B686" s="577" t="s">
        <v>4301</v>
      </c>
      <c r="C686" s="580">
        <v>10523651</v>
      </c>
      <c r="D686" s="578" t="s">
        <v>4359</v>
      </c>
      <c r="E686" s="591">
        <v>3.1699999999999999E-2</v>
      </c>
      <c r="F686" s="579" t="s">
        <v>4512</v>
      </c>
    </row>
    <row r="687" spans="1:6" ht="12" thickBot="1" x14ac:dyDescent="0.25">
      <c r="A687" s="755">
        <v>2011</v>
      </c>
      <c r="B687" s="577" t="s">
        <v>4304</v>
      </c>
      <c r="C687" s="580">
        <v>10619253</v>
      </c>
      <c r="D687" s="578" t="s">
        <v>4355</v>
      </c>
      <c r="E687" s="591">
        <v>9.1000000000000004E-3</v>
      </c>
      <c r="F687" s="579" t="s">
        <v>5488</v>
      </c>
    </row>
    <row r="688" spans="1:6" ht="12" thickBot="1" x14ac:dyDescent="0.25">
      <c r="A688" s="756"/>
      <c r="B688" s="577" t="s">
        <v>4307</v>
      </c>
      <c r="C688" s="580">
        <v>10683242</v>
      </c>
      <c r="D688" s="578" t="s">
        <v>4588</v>
      </c>
      <c r="E688" s="591">
        <v>1.52E-2</v>
      </c>
      <c r="F688" s="579" t="s">
        <v>4512</v>
      </c>
    </row>
    <row r="689" spans="1:6" ht="12" thickBot="1" x14ac:dyDescent="0.25">
      <c r="A689" s="756"/>
      <c r="B689" s="577" t="s">
        <v>4311</v>
      </c>
      <c r="C689" s="580">
        <v>10712039</v>
      </c>
      <c r="D689" s="578" t="s">
        <v>4300</v>
      </c>
      <c r="E689" s="591">
        <v>1.7899999999999999E-2</v>
      </c>
      <c r="F689" s="579" t="s">
        <v>5489</v>
      </c>
    </row>
    <row r="690" spans="1:6" ht="12" thickBot="1" x14ac:dyDescent="0.25">
      <c r="A690" s="756"/>
      <c r="B690" s="577" t="s">
        <v>4315</v>
      </c>
      <c r="C690" s="580">
        <v>10724806</v>
      </c>
      <c r="D690" s="578" t="s">
        <v>4427</v>
      </c>
      <c r="E690" s="591">
        <v>1.9099999999999999E-2</v>
      </c>
      <c r="F690" s="579" t="s">
        <v>5490</v>
      </c>
    </row>
    <row r="691" spans="1:6" ht="12" thickBot="1" x14ac:dyDescent="0.25">
      <c r="A691" s="756"/>
      <c r="B691" s="577" t="s">
        <v>4319</v>
      </c>
      <c r="C691" s="580">
        <v>10755352</v>
      </c>
      <c r="D691" s="578" t="s">
        <v>4428</v>
      </c>
      <c r="E691" s="591">
        <v>2.1999999999999999E-2</v>
      </c>
      <c r="F691" s="579" t="s">
        <v>5457</v>
      </c>
    </row>
    <row r="692" spans="1:6" ht="12" thickBot="1" x14ac:dyDescent="0.25">
      <c r="A692" s="756"/>
      <c r="B692" s="577" t="s">
        <v>4323</v>
      </c>
      <c r="C692" s="580">
        <v>10789544</v>
      </c>
      <c r="D692" s="578" t="s">
        <v>4496</v>
      </c>
      <c r="E692" s="591">
        <v>2.53E-2</v>
      </c>
      <c r="F692" s="579" t="s">
        <v>5491</v>
      </c>
    </row>
    <row r="693" spans="1:6" ht="12" thickBot="1" x14ac:dyDescent="0.25">
      <c r="A693" s="756"/>
      <c r="B693" s="577" t="s">
        <v>4287</v>
      </c>
      <c r="C693" s="580">
        <v>10804537</v>
      </c>
      <c r="D693" s="578" t="s">
        <v>5045</v>
      </c>
      <c r="E693" s="591">
        <v>2.6700000000000002E-2</v>
      </c>
      <c r="F693" s="579" t="s">
        <v>5113</v>
      </c>
    </row>
    <row r="694" spans="1:6" ht="12" thickBot="1" x14ac:dyDescent="0.25">
      <c r="A694" s="756"/>
      <c r="B694" s="577" t="s">
        <v>4289</v>
      </c>
      <c r="C694" s="580">
        <v>10801191</v>
      </c>
      <c r="D694" s="578" t="s">
        <v>5437</v>
      </c>
      <c r="E694" s="591">
        <v>2.64E-2</v>
      </c>
      <c r="F694" s="579" t="s">
        <v>4870</v>
      </c>
    </row>
    <row r="695" spans="1:6" ht="12" thickBot="1" x14ac:dyDescent="0.25">
      <c r="A695" s="756"/>
      <c r="B695" s="577" t="s">
        <v>4292</v>
      </c>
      <c r="C695" s="580">
        <v>10834540</v>
      </c>
      <c r="D695" s="578" t="s">
        <v>4417</v>
      </c>
      <c r="E695" s="591">
        <v>2.9499999999999998E-2</v>
      </c>
      <c r="F695" s="579" t="s">
        <v>4760</v>
      </c>
    </row>
    <row r="696" spans="1:6" ht="12" thickBot="1" x14ac:dyDescent="0.25">
      <c r="A696" s="756"/>
      <c r="B696" s="577" t="s">
        <v>4295</v>
      </c>
      <c r="C696" s="580">
        <v>10855100</v>
      </c>
      <c r="D696" s="578" t="s">
        <v>5414</v>
      </c>
      <c r="E696" s="591">
        <v>3.15E-2</v>
      </c>
      <c r="F696" s="579" t="s">
        <v>5492</v>
      </c>
    </row>
    <row r="697" spans="1:6" ht="12" thickBot="1" x14ac:dyDescent="0.25">
      <c r="A697" s="756"/>
      <c r="B697" s="577" t="s">
        <v>4298</v>
      </c>
      <c r="C697" s="580">
        <v>10870205</v>
      </c>
      <c r="D697" s="578" t="s">
        <v>5045</v>
      </c>
      <c r="E697" s="591">
        <v>3.2899999999999999E-2</v>
      </c>
      <c r="F697" s="579" t="s">
        <v>5493</v>
      </c>
    </row>
    <row r="698" spans="1:6" ht="12" thickBot="1" x14ac:dyDescent="0.25">
      <c r="A698" s="757"/>
      <c r="B698" s="577" t="s">
        <v>4301</v>
      </c>
      <c r="C698" s="580">
        <v>10915740</v>
      </c>
      <c r="D698" s="578" t="s">
        <v>4533</v>
      </c>
      <c r="E698" s="591">
        <v>3.73E-2</v>
      </c>
      <c r="F698" s="579" t="s">
        <v>4760</v>
      </c>
    </row>
    <row r="699" spans="1:6" ht="12" thickBot="1" x14ac:dyDescent="0.25">
      <c r="A699" s="755">
        <v>2012</v>
      </c>
      <c r="B699" s="577" t="s">
        <v>4304</v>
      </c>
      <c r="C699" s="580">
        <v>10995503</v>
      </c>
      <c r="D699" s="578" t="s">
        <v>4472</v>
      </c>
      <c r="E699" s="591">
        <v>7.3000000000000001E-3</v>
      </c>
      <c r="F699" s="579" t="s">
        <v>5494</v>
      </c>
    </row>
    <row r="700" spans="1:6" ht="12" thickBot="1" x14ac:dyDescent="0.25">
      <c r="A700" s="756"/>
      <c r="B700" s="577" t="s">
        <v>4307</v>
      </c>
      <c r="C700" s="580">
        <v>11062660</v>
      </c>
      <c r="D700" s="578" t="s">
        <v>5368</v>
      </c>
      <c r="E700" s="591">
        <v>1.35E-2</v>
      </c>
      <c r="F700" s="579" t="s">
        <v>5495</v>
      </c>
    </row>
    <row r="701" spans="1:6" ht="12" thickBot="1" x14ac:dyDescent="0.25">
      <c r="A701" s="756"/>
      <c r="B701" s="577" t="s">
        <v>4311</v>
      </c>
      <c r="C701" s="580">
        <v>11076164</v>
      </c>
      <c r="D701" s="578" t="s">
        <v>4427</v>
      </c>
      <c r="E701" s="591">
        <v>1.47E-2</v>
      </c>
      <c r="F701" s="579" t="s">
        <v>5488</v>
      </c>
    </row>
    <row r="702" spans="1:6" ht="12" thickBot="1" x14ac:dyDescent="0.25">
      <c r="A702" s="756"/>
      <c r="B702" s="577" t="s">
        <v>4315</v>
      </c>
      <c r="C702" s="580">
        <v>11092154</v>
      </c>
      <c r="D702" s="578" t="s">
        <v>5045</v>
      </c>
      <c r="E702" s="591">
        <v>1.6199999999999999E-2</v>
      </c>
      <c r="F702" s="579" t="s">
        <v>5496</v>
      </c>
    </row>
    <row r="703" spans="1:6" ht="12" thickBot="1" x14ac:dyDescent="0.25">
      <c r="A703" s="756"/>
      <c r="B703" s="577" t="s">
        <v>4319</v>
      </c>
      <c r="C703" s="580">
        <v>11125436</v>
      </c>
      <c r="D703" s="578" t="s">
        <v>4950</v>
      </c>
      <c r="E703" s="591">
        <v>1.9199999999999998E-2</v>
      </c>
      <c r="F703" s="579" t="s">
        <v>5458</v>
      </c>
    </row>
    <row r="704" spans="1:6" ht="12" thickBot="1" x14ac:dyDescent="0.25">
      <c r="A704" s="756"/>
      <c r="B704" s="577" t="s">
        <v>4323</v>
      </c>
      <c r="C704" s="580">
        <v>11134646</v>
      </c>
      <c r="D704" s="578" t="s">
        <v>4682</v>
      </c>
      <c r="E704" s="591">
        <v>2.01E-2</v>
      </c>
      <c r="F704" s="579" t="s">
        <v>5058</v>
      </c>
    </row>
    <row r="705" spans="1:6" ht="12" thickBot="1" x14ac:dyDescent="0.25">
      <c r="A705" s="756"/>
      <c r="B705" s="577" t="s">
        <v>4287</v>
      </c>
      <c r="C705" s="580">
        <v>11132241</v>
      </c>
      <c r="D705" s="578" t="s">
        <v>5397</v>
      </c>
      <c r="E705" s="591">
        <v>1.9800000000000002E-2</v>
      </c>
      <c r="F705" s="579" t="s">
        <v>5497</v>
      </c>
    </row>
    <row r="706" spans="1:6" ht="12" thickBot="1" x14ac:dyDescent="0.25">
      <c r="A706" s="756"/>
      <c r="B706" s="577" t="s">
        <v>4289</v>
      </c>
      <c r="C706" s="580">
        <v>11136807</v>
      </c>
      <c r="D706" s="578" t="s">
        <v>4584</v>
      </c>
      <c r="E706" s="591">
        <v>2.0299999999999999E-2</v>
      </c>
      <c r="F706" s="579" t="s">
        <v>4900</v>
      </c>
    </row>
    <row r="707" spans="1:6" ht="12" thickBot="1" x14ac:dyDescent="0.25">
      <c r="A707" s="756"/>
      <c r="B707" s="577" t="s">
        <v>4292</v>
      </c>
      <c r="C707" s="580">
        <v>11168694</v>
      </c>
      <c r="D707" s="578" t="s">
        <v>4352</v>
      </c>
      <c r="E707" s="591">
        <v>2.3199999999999998E-2</v>
      </c>
      <c r="F707" s="579" t="s">
        <v>5498</v>
      </c>
    </row>
    <row r="708" spans="1:6" ht="12" thickBot="1" x14ac:dyDescent="0.25">
      <c r="A708" s="756"/>
      <c r="B708" s="577" t="s">
        <v>4295</v>
      </c>
      <c r="C708" s="580">
        <v>11186942</v>
      </c>
      <c r="D708" s="578" t="s">
        <v>4449</v>
      </c>
      <c r="E708" s="591">
        <v>2.4799999999999999E-2</v>
      </c>
      <c r="F708" s="579" t="s">
        <v>4509</v>
      </c>
    </row>
    <row r="709" spans="1:6" ht="12" thickBot="1" x14ac:dyDescent="0.25">
      <c r="A709" s="756"/>
      <c r="B709" s="577" t="s">
        <v>4298</v>
      </c>
      <c r="C709" s="580">
        <v>11171648</v>
      </c>
      <c r="D709" s="578" t="s">
        <v>5429</v>
      </c>
      <c r="E709" s="591">
        <v>2.3400000000000001E-2</v>
      </c>
      <c r="F709" s="579" t="s">
        <v>5499</v>
      </c>
    </row>
    <row r="710" spans="1:6" ht="12" thickBot="1" x14ac:dyDescent="0.25">
      <c r="A710" s="757"/>
      <c r="B710" s="577" t="s">
        <v>4301</v>
      </c>
      <c r="C710" s="580">
        <v>11181576</v>
      </c>
      <c r="D710" s="578" t="s">
        <v>4443</v>
      </c>
      <c r="E710" s="591">
        <v>2.4400000000000002E-2</v>
      </c>
      <c r="F710" s="579" t="s">
        <v>5018</v>
      </c>
    </row>
    <row r="711" spans="1:6" ht="12" thickBot="1" x14ac:dyDescent="0.25">
      <c r="A711" s="755">
        <v>2013</v>
      </c>
      <c r="B711" s="577" t="s">
        <v>4304</v>
      </c>
      <c r="C711" s="580">
        <v>11214896</v>
      </c>
      <c r="D711" s="578" t="s">
        <v>4950</v>
      </c>
      <c r="E711" s="591">
        <v>3.0000000000000001E-3</v>
      </c>
      <c r="F711" s="579" t="s">
        <v>5485</v>
      </c>
    </row>
    <row r="712" spans="1:6" ht="12" thickBot="1" x14ac:dyDescent="0.25">
      <c r="A712" s="756"/>
      <c r="B712" s="577" t="s">
        <v>4307</v>
      </c>
      <c r="C712" s="580">
        <v>11264705</v>
      </c>
      <c r="D712" s="578" t="s">
        <v>4567</v>
      </c>
      <c r="E712" s="591">
        <v>7.4000000000000003E-3</v>
      </c>
      <c r="F712" s="579" t="s">
        <v>4842</v>
      </c>
    </row>
    <row r="713" spans="1:6" ht="12" thickBot="1" x14ac:dyDescent="0.25">
      <c r="A713" s="756"/>
      <c r="B713" s="577" t="s">
        <v>4311</v>
      </c>
      <c r="C713" s="580">
        <v>11287881</v>
      </c>
      <c r="D713" s="578" t="s">
        <v>4685</v>
      </c>
      <c r="E713" s="591">
        <v>9.4999999999999998E-3</v>
      </c>
      <c r="F713" s="579" t="s">
        <v>5453</v>
      </c>
    </row>
    <row r="714" spans="1:6" ht="12" thickBot="1" x14ac:dyDescent="0.25">
      <c r="A714" s="756"/>
      <c r="B714" s="577" t="s">
        <v>4315</v>
      </c>
      <c r="C714" s="580">
        <v>11316432</v>
      </c>
      <c r="D714" s="578" t="s">
        <v>4806</v>
      </c>
      <c r="E714" s="591">
        <v>1.21E-2</v>
      </c>
      <c r="F714" s="579" t="s">
        <v>4635</v>
      </c>
    </row>
    <row r="715" spans="1:6" ht="12" thickBot="1" x14ac:dyDescent="0.25">
      <c r="A715" s="756"/>
      <c r="B715" s="577" t="s">
        <v>4319</v>
      </c>
      <c r="C715" s="580">
        <v>11347973</v>
      </c>
      <c r="D715" s="578" t="s">
        <v>4428</v>
      </c>
      <c r="E715" s="591">
        <v>1.49E-2</v>
      </c>
      <c r="F715" s="579" t="s">
        <v>5485</v>
      </c>
    </row>
    <row r="716" spans="1:6" ht="12" thickBot="1" x14ac:dyDescent="0.25">
      <c r="A716" s="756"/>
      <c r="B716" s="577" t="s">
        <v>4323</v>
      </c>
      <c r="C716" s="580">
        <v>11374622</v>
      </c>
      <c r="D716" s="578" t="s">
        <v>4331</v>
      </c>
      <c r="E716" s="591">
        <v>1.7299999999999999E-2</v>
      </c>
      <c r="F716" s="579" t="s">
        <v>4690</v>
      </c>
    </row>
    <row r="717" spans="1:6" ht="12" thickBot="1" x14ac:dyDescent="0.25">
      <c r="A717" s="756"/>
      <c r="B717" s="577" t="s">
        <v>4287</v>
      </c>
      <c r="C717" s="580">
        <v>11379727</v>
      </c>
      <c r="D717" s="578" t="s">
        <v>4584</v>
      </c>
      <c r="E717" s="591">
        <v>1.77E-2</v>
      </c>
      <c r="F717" s="579" t="s">
        <v>4612</v>
      </c>
    </row>
    <row r="718" spans="1:6" ht="12" thickBot="1" x14ac:dyDescent="0.25">
      <c r="A718" s="756"/>
      <c r="B718" s="577" t="s">
        <v>4289</v>
      </c>
      <c r="C718" s="580">
        <v>11389218</v>
      </c>
      <c r="D718" s="578" t="s">
        <v>4682</v>
      </c>
      <c r="E718" s="591">
        <v>1.8599999999999998E-2</v>
      </c>
      <c r="F718" s="579" t="s">
        <v>4819</v>
      </c>
    </row>
    <row r="719" spans="1:6" ht="12" thickBot="1" x14ac:dyDescent="0.25">
      <c r="A719" s="756"/>
      <c r="B719" s="577" t="s">
        <v>4292</v>
      </c>
      <c r="C719" s="580">
        <v>11422579</v>
      </c>
      <c r="D719" s="578" t="s">
        <v>4352</v>
      </c>
      <c r="E719" s="591">
        <v>2.1600000000000001E-2</v>
      </c>
      <c r="F719" s="579" t="s">
        <v>4819</v>
      </c>
    </row>
    <row r="720" spans="1:6" ht="12" thickBot="1" x14ac:dyDescent="0.25">
      <c r="A720" s="756"/>
      <c r="B720" s="577" t="s">
        <v>4295</v>
      </c>
      <c r="C720" s="580">
        <v>11392928</v>
      </c>
      <c r="D720" s="578" t="s">
        <v>4715</v>
      </c>
      <c r="E720" s="591">
        <v>1.89E-2</v>
      </c>
      <c r="F720" s="579" t="s">
        <v>5084</v>
      </c>
    </row>
    <row r="721" spans="1:6" ht="12" thickBot="1" x14ac:dyDescent="0.25">
      <c r="A721" s="756"/>
      <c r="B721" s="577" t="s">
        <v>4298</v>
      </c>
      <c r="C721" s="580">
        <v>11368292</v>
      </c>
      <c r="D721" s="578" t="s">
        <v>5500</v>
      </c>
      <c r="E721" s="591">
        <v>1.67E-2</v>
      </c>
      <c r="F721" s="579" t="s">
        <v>4738</v>
      </c>
    </row>
    <row r="722" spans="1:6" ht="12" thickBot="1" x14ac:dyDescent="0.25">
      <c r="A722" s="757"/>
      <c r="B722" s="577" t="s">
        <v>4301</v>
      </c>
      <c r="C722" s="580">
        <v>11398254</v>
      </c>
      <c r="D722" s="578" t="s">
        <v>4617</v>
      </c>
      <c r="E722" s="591">
        <v>1.9400000000000001E-2</v>
      </c>
      <c r="F722" s="579" t="s">
        <v>5321</v>
      </c>
    </row>
    <row r="723" spans="1:6" ht="12" thickBot="1" x14ac:dyDescent="0.25">
      <c r="A723" s="755">
        <v>2014</v>
      </c>
      <c r="B723" s="577" t="s">
        <v>4304</v>
      </c>
      <c r="C723" s="580">
        <v>11453678</v>
      </c>
      <c r="D723" s="578" t="s">
        <v>5171</v>
      </c>
      <c r="E723" s="591">
        <v>4.8999999999999998E-3</v>
      </c>
      <c r="F723" s="579" t="s">
        <v>5187</v>
      </c>
    </row>
    <row r="724" spans="1:6" ht="12" thickBot="1" x14ac:dyDescent="0.25">
      <c r="A724" s="756"/>
      <c r="B724" s="577" t="s">
        <v>4307</v>
      </c>
      <c r="C724" s="580">
        <v>11525924</v>
      </c>
      <c r="D724" s="578" t="s">
        <v>4735</v>
      </c>
      <c r="E724" s="591">
        <v>1.12E-2</v>
      </c>
      <c r="F724" s="579" t="s">
        <v>4638</v>
      </c>
    </row>
    <row r="725" spans="1:6" ht="12" thickBot="1" x14ac:dyDescent="0.25">
      <c r="A725" s="756"/>
      <c r="B725" s="577" t="s">
        <v>4311</v>
      </c>
      <c r="C725" s="580">
        <v>11571358</v>
      </c>
      <c r="D725" s="578" t="s">
        <v>4351</v>
      </c>
      <c r="E725" s="591">
        <v>1.52E-2</v>
      </c>
      <c r="F725" s="579" t="s">
        <v>4975</v>
      </c>
    </row>
    <row r="726" spans="1:6" ht="12" thickBot="1" x14ac:dyDescent="0.25">
      <c r="A726" s="756"/>
      <c r="B726" s="577" t="s">
        <v>4315</v>
      </c>
      <c r="C726" s="580">
        <v>11624321</v>
      </c>
      <c r="D726" s="578" t="s">
        <v>4412</v>
      </c>
      <c r="E726" s="591">
        <v>1.9800000000000002E-2</v>
      </c>
      <c r="F726" s="579" t="s">
        <v>4406</v>
      </c>
    </row>
    <row r="727" spans="1:6" ht="12" thickBot="1" x14ac:dyDescent="0.25">
      <c r="A727" s="756"/>
      <c r="B727" s="577" t="s">
        <v>4319</v>
      </c>
      <c r="C727" s="580">
        <v>11680555</v>
      </c>
      <c r="D727" s="578" t="s">
        <v>4862</v>
      </c>
      <c r="E727" s="591">
        <v>2.4799999999999999E-2</v>
      </c>
      <c r="F727" s="579" t="s">
        <v>5127</v>
      </c>
    </row>
    <row r="728" spans="1:6" ht="12" thickBot="1" x14ac:dyDescent="0.25">
      <c r="A728" s="756"/>
      <c r="B728" s="577" t="s">
        <v>4323</v>
      </c>
      <c r="C728" s="580">
        <v>11691441</v>
      </c>
      <c r="D728" s="578" t="s">
        <v>4443</v>
      </c>
      <c r="E728" s="591">
        <v>2.5700000000000001E-2</v>
      </c>
      <c r="F728" s="579" t="s">
        <v>4580</v>
      </c>
    </row>
    <row r="729" spans="1:6" ht="12" thickBot="1" x14ac:dyDescent="0.25">
      <c r="A729" s="756"/>
      <c r="B729" s="577" t="s">
        <v>4287</v>
      </c>
      <c r="C729" s="580">
        <v>11709130</v>
      </c>
      <c r="D729" s="578" t="s">
        <v>4424</v>
      </c>
      <c r="E729" s="591">
        <v>2.7300000000000001E-2</v>
      </c>
      <c r="F729" s="579" t="s">
        <v>5238</v>
      </c>
    </row>
    <row r="730" spans="1:6" ht="12" thickBot="1" x14ac:dyDescent="0.25">
      <c r="A730" s="756"/>
      <c r="B730" s="577" t="s">
        <v>4289</v>
      </c>
      <c r="C730" s="580">
        <v>11732919</v>
      </c>
      <c r="D730" s="578" t="s">
        <v>4895</v>
      </c>
      <c r="E730" s="591">
        <v>2.9399999999999999E-2</v>
      </c>
      <c r="F730" s="579" t="s">
        <v>5457</v>
      </c>
    </row>
    <row r="731" spans="1:6" ht="12" thickBot="1" x14ac:dyDescent="0.25">
      <c r="A731" s="756"/>
      <c r="B731" s="577" t="s">
        <v>4292</v>
      </c>
      <c r="C731" s="580">
        <v>11748858</v>
      </c>
      <c r="D731" s="578" t="s">
        <v>5045</v>
      </c>
      <c r="E731" s="591">
        <v>3.0800000000000001E-2</v>
      </c>
      <c r="F731" s="579" t="s">
        <v>4964</v>
      </c>
    </row>
    <row r="732" spans="1:6" ht="12" thickBot="1" x14ac:dyDescent="0.25">
      <c r="A732" s="756"/>
      <c r="B732" s="577" t="s">
        <v>4295</v>
      </c>
      <c r="C732" s="580">
        <v>11768219</v>
      </c>
      <c r="D732" s="578" t="s">
        <v>4449</v>
      </c>
      <c r="E732" s="591">
        <v>3.2500000000000001E-2</v>
      </c>
      <c r="F732" s="579" t="s">
        <v>4936</v>
      </c>
    </row>
    <row r="733" spans="1:6" ht="12" thickBot="1" x14ac:dyDescent="0.25">
      <c r="A733" s="756"/>
      <c r="B733" s="577" t="s">
        <v>4298</v>
      </c>
      <c r="C733" s="580">
        <v>11783730</v>
      </c>
      <c r="D733" s="578" t="s">
        <v>4327</v>
      </c>
      <c r="E733" s="591">
        <v>3.3799999999999997E-2</v>
      </c>
      <c r="F733" s="579" t="s">
        <v>5501</v>
      </c>
    </row>
    <row r="734" spans="1:6" ht="12" thickBot="1" x14ac:dyDescent="0.25">
      <c r="A734" s="757"/>
      <c r="B734" s="577" t="s">
        <v>4301</v>
      </c>
      <c r="C734" s="580">
        <v>11815166</v>
      </c>
      <c r="D734" s="578" t="s">
        <v>4300</v>
      </c>
      <c r="E734" s="591">
        <v>3.6600000000000001E-2</v>
      </c>
      <c r="F734" s="579" t="s">
        <v>4575</v>
      </c>
    </row>
    <row r="735" spans="1:6" ht="12" thickBot="1" x14ac:dyDescent="0.25">
      <c r="A735" s="755">
        <v>2015</v>
      </c>
      <c r="B735" s="577" t="s">
        <v>4304</v>
      </c>
      <c r="C735" s="580">
        <v>11891289</v>
      </c>
      <c r="D735" s="578" t="s">
        <v>5502</v>
      </c>
      <c r="E735" s="591">
        <v>6.4000000000000003E-3</v>
      </c>
      <c r="F735" s="579" t="s">
        <v>4585</v>
      </c>
    </row>
    <row r="736" spans="1:6" ht="12" thickBot="1" x14ac:dyDescent="0.25">
      <c r="A736" s="756"/>
      <c r="B736" s="577" t="s">
        <v>4307</v>
      </c>
      <c r="C736" s="580">
        <v>12027993</v>
      </c>
      <c r="D736" s="578" t="s">
        <v>4867</v>
      </c>
      <c r="E736" s="591">
        <v>1.7999999999999999E-2</v>
      </c>
      <c r="F736" s="579" t="s">
        <v>5503</v>
      </c>
    </row>
    <row r="737" spans="1:6" ht="12" thickBot="1" x14ac:dyDescent="0.25">
      <c r="A737" s="756"/>
      <c r="B737" s="577" t="s">
        <v>4311</v>
      </c>
      <c r="C737" s="580">
        <v>12098456</v>
      </c>
      <c r="D737" s="578" t="s">
        <v>4478</v>
      </c>
      <c r="E737" s="591">
        <v>2.4E-2</v>
      </c>
      <c r="F737" s="579" t="s">
        <v>5425</v>
      </c>
    </row>
    <row r="738" spans="1:6" ht="12" thickBot="1" x14ac:dyDescent="0.25">
      <c r="A738" s="756"/>
      <c r="B738" s="577" t="s">
        <v>4315</v>
      </c>
      <c r="C738" s="580">
        <v>12163437</v>
      </c>
      <c r="D738" s="578" t="s">
        <v>4303</v>
      </c>
      <c r="E738" s="591">
        <v>2.9499999999999998E-2</v>
      </c>
      <c r="F738" s="579" t="s">
        <v>5504</v>
      </c>
    </row>
    <row r="739" spans="1:6" ht="12" thickBot="1" x14ac:dyDescent="0.25">
      <c r="A739" s="756"/>
      <c r="B739" s="577" t="s">
        <v>4319</v>
      </c>
      <c r="C739" s="580">
        <v>12195433</v>
      </c>
      <c r="D739" s="578" t="s">
        <v>4617</v>
      </c>
      <c r="E739" s="591">
        <v>3.2199999999999999E-2</v>
      </c>
      <c r="F739" s="579" t="s">
        <v>5505</v>
      </c>
    </row>
    <row r="740" spans="1:6" ht="12" thickBot="1" x14ac:dyDescent="0.25">
      <c r="A740" s="756"/>
      <c r="B740" s="577" t="s">
        <v>4323</v>
      </c>
      <c r="C740" s="580">
        <v>12208236</v>
      </c>
      <c r="D740" s="578" t="s">
        <v>4330</v>
      </c>
      <c r="E740" s="591">
        <v>3.3300000000000003E-2</v>
      </c>
      <c r="F740" s="579" t="s">
        <v>4763</v>
      </c>
    </row>
    <row r="741" spans="1:6" ht="12" thickBot="1" x14ac:dyDescent="0.25">
      <c r="A741" s="756"/>
      <c r="B741" s="577" t="s">
        <v>4287</v>
      </c>
      <c r="C741" s="580">
        <v>12230851</v>
      </c>
      <c r="D741" s="578" t="s">
        <v>5414</v>
      </c>
      <c r="E741" s="591">
        <v>3.5200000000000002E-2</v>
      </c>
      <c r="F741" s="579" t="s">
        <v>5506</v>
      </c>
    </row>
    <row r="742" spans="1:6" ht="12" thickBot="1" x14ac:dyDescent="0.25">
      <c r="A742" s="756"/>
      <c r="B742" s="577" t="s">
        <v>4289</v>
      </c>
      <c r="C742" s="580">
        <v>12289561</v>
      </c>
      <c r="D742" s="578" t="s">
        <v>4862</v>
      </c>
      <c r="E742" s="591">
        <v>4.02E-2</v>
      </c>
      <c r="F742" s="579" t="s">
        <v>5507</v>
      </c>
    </row>
    <row r="743" spans="1:6" ht="12" thickBot="1" x14ac:dyDescent="0.25">
      <c r="A743" s="756"/>
      <c r="B743" s="577" t="s">
        <v>4292</v>
      </c>
      <c r="C743" s="580">
        <v>12377501</v>
      </c>
      <c r="D743" s="578" t="s">
        <v>5139</v>
      </c>
      <c r="E743" s="591">
        <v>4.7600000000000003E-2</v>
      </c>
      <c r="F743" s="579" t="s">
        <v>5508</v>
      </c>
    </row>
    <row r="744" spans="1:6" ht="12" thickBot="1" x14ac:dyDescent="0.25">
      <c r="A744" s="756"/>
      <c r="B744" s="577" t="s">
        <v>4295</v>
      </c>
      <c r="C744" s="580">
        <v>12461929</v>
      </c>
      <c r="D744" s="578" t="s">
        <v>4883</v>
      </c>
      <c r="E744" s="591">
        <v>5.4699999999999999E-2</v>
      </c>
      <c r="F744" s="579" t="s">
        <v>5417</v>
      </c>
    </row>
    <row r="745" spans="1:6" ht="12" thickBot="1" x14ac:dyDescent="0.25">
      <c r="A745" s="756"/>
      <c r="B745" s="577" t="s">
        <v>4298</v>
      </c>
      <c r="C745" s="580">
        <v>12537075</v>
      </c>
      <c r="D745" s="578" t="s">
        <v>4588</v>
      </c>
      <c r="E745" s="591">
        <v>6.1100000000000002E-2</v>
      </c>
      <c r="F745" s="579" t="s">
        <v>4802</v>
      </c>
    </row>
    <row r="746" spans="1:6" ht="12" thickBot="1" x14ac:dyDescent="0.25">
      <c r="A746" s="757"/>
      <c r="B746" s="577" t="s">
        <v>4301</v>
      </c>
      <c r="C746" s="580">
        <v>12614945</v>
      </c>
      <c r="D746" s="578" t="s">
        <v>5509</v>
      </c>
      <c r="E746" s="591">
        <v>6.7699999999999996E-2</v>
      </c>
      <c r="F746" s="579" t="s">
        <v>5510</v>
      </c>
    </row>
    <row r="747" spans="1:6" ht="12" thickBot="1" x14ac:dyDescent="0.25">
      <c r="A747" s="755">
        <v>2016</v>
      </c>
      <c r="B747" s="577" t="s">
        <v>4304</v>
      </c>
      <c r="C747" s="580">
        <v>12777754</v>
      </c>
      <c r="D747" s="578" t="s">
        <v>4502</v>
      </c>
      <c r="E747" s="591">
        <v>1.29E-2</v>
      </c>
      <c r="F747" s="579" t="s">
        <v>4972</v>
      </c>
    </row>
    <row r="748" spans="1:6" ht="12" thickBot="1" x14ac:dyDescent="0.25">
      <c r="A748" s="756"/>
      <c r="B748" s="577" t="s">
        <v>4307</v>
      </c>
      <c r="C748" s="580">
        <v>12941261</v>
      </c>
      <c r="D748" s="578" t="s">
        <v>4400</v>
      </c>
      <c r="E748" s="591">
        <v>2.5899999999999999E-2</v>
      </c>
      <c r="F748" s="579" t="s">
        <v>4531</v>
      </c>
    </row>
    <row r="749" spans="1:6" ht="12" thickBot="1" x14ac:dyDescent="0.25">
      <c r="A749" s="756"/>
      <c r="B749" s="577" t="s">
        <v>4311</v>
      </c>
      <c r="C749" s="580">
        <v>13063385</v>
      </c>
      <c r="D749" s="578" t="s">
        <v>4341</v>
      </c>
      <c r="E749" s="591">
        <v>3.5499999999999997E-2</v>
      </c>
      <c r="F749" s="579" t="s">
        <v>4460</v>
      </c>
    </row>
    <row r="750" spans="1:6" ht="12" thickBot="1" x14ac:dyDescent="0.25">
      <c r="A750" s="756"/>
      <c r="B750" s="577" t="s">
        <v>4315</v>
      </c>
      <c r="C750" s="580">
        <v>13128192</v>
      </c>
      <c r="D750" s="578" t="s">
        <v>4821</v>
      </c>
      <c r="E750" s="591">
        <v>4.07E-2</v>
      </c>
      <c r="F750" s="579" t="s">
        <v>5409</v>
      </c>
    </row>
    <row r="751" spans="1:6" ht="12" thickBot="1" x14ac:dyDescent="0.25">
      <c r="A751" s="756"/>
      <c r="B751" s="577" t="s">
        <v>4319</v>
      </c>
      <c r="C751" s="580">
        <v>13195119</v>
      </c>
      <c r="D751" s="578" t="s">
        <v>5511</v>
      </c>
      <c r="E751" s="591">
        <v>4.5999999999999999E-2</v>
      </c>
      <c r="F751" s="579" t="s">
        <v>5342</v>
      </c>
    </row>
    <row r="752" spans="1:6" ht="12" thickBot="1" x14ac:dyDescent="0.25">
      <c r="A752" s="756"/>
      <c r="B752" s="577" t="s">
        <v>4323</v>
      </c>
      <c r="C752" s="580">
        <v>13258412</v>
      </c>
      <c r="D752" s="578" t="s">
        <v>4862</v>
      </c>
      <c r="E752" s="591">
        <v>5.0999999999999997E-2</v>
      </c>
      <c r="F752" s="579" t="s">
        <v>5319</v>
      </c>
    </row>
    <row r="753" spans="1:7" ht="12" thickBot="1" x14ac:dyDescent="0.25">
      <c r="A753" s="756"/>
      <c r="B753" s="577" t="s">
        <v>4287</v>
      </c>
      <c r="C753" s="580">
        <v>13327352</v>
      </c>
      <c r="D753" s="578" t="s">
        <v>4560</v>
      </c>
      <c r="E753" s="591">
        <v>5.6500000000000002E-2</v>
      </c>
      <c r="F753" s="579" t="s">
        <v>5512</v>
      </c>
    </row>
    <row r="754" spans="1:7" x14ac:dyDescent="0.2">
      <c r="A754" s="758"/>
      <c r="B754" s="581" t="s">
        <v>4289</v>
      </c>
      <c r="C754" s="582">
        <v>13284716</v>
      </c>
      <c r="D754" s="583" t="s">
        <v>5042</v>
      </c>
      <c r="E754" s="592">
        <v>5.3100000000000001E-2</v>
      </c>
      <c r="F754" s="584" t="s">
        <v>5513</v>
      </c>
    </row>
    <row r="755" spans="1:7" ht="11.25" customHeight="1" x14ac:dyDescent="0.2">
      <c r="A755" s="754" t="s">
        <v>5514</v>
      </c>
      <c r="B755" s="754"/>
      <c r="C755" s="754"/>
      <c r="D755" s="754"/>
      <c r="E755" s="754"/>
      <c r="F755" s="754"/>
      <c r="G755" s="754"/>
    </row>
    <row r="756" spans="1:7" x14ac:dyDescent="0.2">
      <c r="A756" s="753"/>
      <c r="B756" s="753"/>
      <c r="C756" s="753"/>
      <c r="D756" s="753"/>
      <c r="E756" s="753"/>
      <c r="F756" s="753"/>
      <c r="G756" s="753"/>
    </row>
    <row r="757" spans="1:7" ht="22.5" customHeight="1" x14ac:dyDescent="0.2">
      <c r="A757" s="753" t="s">
        <v>5515</v>
      </c>
      <c r="B757" s="753"/>
      <c r="C757" s="753"/>
      <c r="D757" s="753"/>
      <c r="E757" s="753"/>
      <c r="F757" s="753"/>
      <c r="G757" s="753"/>
    </row>
    <row r="758" spans="1:7" x14ac:dyDescent="0.2">
      <c r="A758" s="753"/>
      <c r="B758" s="753"/>
      <c r="C758" s="753"/>
      <c r="D758" s="753"/>
      <c r="E758" s="753"/>
      <c r="F758" s="753"/>
      <c r="G758" s="753"/>
    </row>
    <row r="759" spans="1:7" ht="11.25" customHeight="1" x14ac:dyDescent="0.2">
      <c r="A759" s="754" t="s">
        <v>5516</v>
      </c>
      <c r="B759" s="754"/>
      <c r="C759" s="754"/>
      <c r="D759" s="754"/>
      <c r="E759" s="754"/>
      <c r="F759" s="754"/>
      <c r="G759" s="754"/>
    </row>
  </sheetData>
  <mergeCells count="75">
    <mergeCell ref="A6:G6"/>
    <mergeCell ref="A1:F1"/>
    <mergeCell ref="G1:G4"/>
    <mergeCell ref="A2:F2"/>
    <mergeCell ref="A3:F3"/>
    <mergeCell ref="A5:G5"/>
    <mergeCell ref="A123:A134"/>
    <mergeCell ref="A7:G7"/>
    <mergeCell ref="A9:A14"/>
    <mergeCell ref="A15:A26"/>
    <mergeCell ref="A27:A38"/>
    <mergeCell ref="A39:A50"/>
    <mergeCell ref="A51:A62"/>
    <mergeCell ref="A63:A74"/>
    <mergeCell ref="A75:A86"/>
    <mergeCell ref="A87:A98"/>
    <mergeCell ref="A99:A110"/>
    <mergeCell ref="A111:A122"/>
    <mergeCell ref="A267:A278"/>
    <mergeCell ref="A135:A146"/>
    <mergeCell ref="A147:A158"/>
    <mergeCell ref="A159:A170"/>
    <mergeCell ref="A171:A182"/>
    <mergeCell ref="A183:A194"/>
    <mergeCell ref="A195:A206"/>
    <mergeCell ref="A207:A218"/>
    <mergeCell ref="A219:A230"/>
    <mergeCell ref="A231:A242"/>
    <mergeCell ref="A243:A254"/>
    <mergeCell ref="A255:A266"/>
    <mergeCell ref="A411:A422"/>
    <mergeCell ref="A279:A290"/>
    <mergeCell ref="A291:A302"/>
    <mergeCell ref="A303:A314"/>
    <mergeCell ref="A315:A326"/>
    <mergeCell ref="A327:A338"/>
    <mergeCell ref="A339:A350"/>
    <mergeCell ref="A351:A362"/>
    <mergeCell ref="A363:A374"/>
    <mergeCell ref="A375:A386"/>
    <mergeCell ref="A387:A398"/>
    <mergeCell ref="A399:A410"/>
    <mergeCell ref="A555:A566"/>
    <mergeCell ref="A423:A434"/>
    <mergeCell ref="A435:A446"/>
    <mergeCell ref="A447:A458"/>
    <mergeCell ref="A459:A470"/>
    <mergeCell ref="A471:A482"/>
    <mergeCell ref="A483:A494"/>
    <mergeCell ref="A495:A506"/>
    <mergeCell ref="A507:A518"/>
    <mergeCell ref="A519:A530"/>
    <mergeCell ref="A531:A542"/>
    <mergeCell ref="A543:A554"/>
    <mergeCell ref="A699:A710"/>
    <mergeCell ref="A567:A578"/>
    <mergeCell ref="A579:A590"/>
    <mergeCell ref="A591:A602"/>
    <mergeCell ref="A603:A614"/>
    <mergeCell ref="A615:A626"/>
    <mergeCell ref="A627:A638"/>
    <mergeCell ref="A639:A650"/>
    <mergeCell ref="A651:A662"/>
    <mergeCell ref="A663:A674"/>
    <mergeCell ref="A675:A686"/>
    <mergeCell ref="A687:A698"/>
    <mergeCell ref="A757:G757"/>
    <mergeCell ref="A758:G758"/>
    <mergeCell ref="A759:G759"/>
    <mergeCell ref="A711:A722"/>
    <mergeCell ref="A723:A734"/>
    <mergeCell ref="A735:A746"/>
    <mergeCell ref="A747:A754"/>
    <mergeCell ref="A755:G755"/>
    <mergeCell ref="A756:G756"/>
  </mergeCells>
  <hyperlinks>
    <hyperlink ref="A755" r:id="rId1" display="http://www.dane.gov.co/"/>
    <hyperlink ref="A759" r:id="rId2" display="http://www.dane.gov.co/files/investigaciones/fichas/IPC.pdf"/>
  </hyperlinks>
  <pageMargins left="0.75" right="0.75" top="1" bottom="1" header="0.5" footer="0.5"/>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2:P173"/>
  <sheetViews>
    <sheetView topLeftCell="A130" zoomScaleNormal="100" workbookViewId="0">
      <selection activeCell="D148" sqref="D148"/>
    </sheetView>
  </sheetViews>
  <sheetFormatPr baseColWidth="10" defaultRowHeight="15" outlineLevelRow="1" x14ac:dyDescent="0.25"/>
  <cols>
    <col min="1" max="1" width="3.625" customWidth="1"/>
    <col min="2" max="2" width="35.25" bestFit="1" customWidth="1"/>
    <col min="3" max="8" width="12.625" customWidth="1"/>
    <col min="10" max="12" width="11.625" bestFit="1" customWidth="1"/>
    <col min="13" max="13" width="11.75" bestFit="1" customWidth="1"/>
    <col min="14" max="15" width="11.625" bestFit="1" customWidth="1"/>
  </cols>
  <sheetData>
    <row r="2" spans="2:15" x14ac:dyDescent="0.25">
      <c r="C2" s="26">
        <v>2015</v>
      </c>
      <c r="D2" s="26">
        <f>C2+1</f>
        <v>2016</v>
      </c>
      <c r="E2" s="26">
        <f t="shared" ref="E2:H2" si="0">D2+1</f>
        <v>2017</v>
      </c>
      <c r="F2" s="26">
        <f t="shared" si="0"/>
        <v>2018</v>
      </c>
      <c r="G2" s="26">
        <f t="shared" si="0"/>
        <v>2019</v>
      </c>
      <c r="H2" s="26">
        <f t="shared" si="0"/>
        <v>2020</v>
      </c>
    </row>
    <row r="4" spans="2:15" x14ac:dyDescent="0.25">
      <c r="B4" s="26" t="s">
        <v>4191</v>
      </c>
      <c r="C4" s="26"/>
      <c r="D4" s="155">
        <f>Supuestos!E95</f>
        <v>0.20595303553937205</v>
      </c>
      <c r="E4" s="155">
        <f>Supuestos!F95</f>
        <v>0.20010609070549784</v>
      </c>
      <c r="F4" s="155">
        <f>Supuestos!G95</f>
        <v>0.22903806840883895</v>
      </c>
      <c r="G4" s="155">
        <f>Supuestos!H95</f>
        <v>0.21123820351167305</v>
      </c>
      <c r="H4" s="155">
        <f>Supuestos!I95</f>
        <v>0.21158384954134546</v>
      </c>
      <c r="I4" t="s">
        <v>5524</v>
      </c>
    </row>
    <row r="5" spans="2:15" x14ac:dyDescent="0.25">
      <c r="B5" s="26" t="s">
        <v>5549</v>
      </c>
      <c r="C5" s="26"/>
      <c r="D5" s="155">
        <f>Supuestos!E99</f>
        <v>-0.05</v>
      </c>
      <c r="E5" s="155">
        <f>Supuestos!F99</f>
        <v>-0.05</v>
      </c>
      <c r="F5" s="155">
        <f>Supuestos!G99</f>
        <v>-0.05</v>
      </c>
      <c r="G5" s="155">
        <f>Supuestos!H99</f>
        <v>-0.05</v>
      </c>
      <c r="H5" s="155">
        <f>Supuestos!I99</f>
        <v>-0.05</v>
      </c>
    </row>
    <row r="6" spans="2:15" x14ac:dyDescent="0.25">
      <c r="B6" s="26" t="s">
        <v>4207</v>
      </c>
      <c r="C6" s="155">
        <f>CERTIFICADO1!E330</f>
        <v>0.19209999999999999</v>
      </c>
      <c r="D6" s="155">
        <f>C6</f>
        <v>0.19209999999999999</v>
      </c>
      <c r="E6" s="155">
        <f t="shared" ref="E6:H9" si="1">D6</f>
        <v>0.19209999999999999</v>
      </c>
      <c r="F6" s="155">
        <f t="shared" si="1"/>
        <v>0.19209999999999999</v>
      </c>
      <c r="G6" s="155">
        <f t="shared" si="1"/>
        <v>0.19209999999999999</v>
      </c>
      <c r="H6" s="155">
        <f t="shared" si="1"/>
        <v>0.19209999999999999</v>
      </c>
    </row>
    <row r="7" spans="2:15" x14ac:dyDescent="0.25">
      <c r="B7" s="26" t="s">
        <v>396</v>
      </c>
      <c r="C7" s="155">
        <f>Supuestos!D97</f>
        <v>0.39993543457368314</v>
      </c>
      <c r="D7" s="155">
        <f>Supuestos!E97</f>
        <v>0.39993543457368314</v>
      </c>
      <c r="E7" s="155">
        <f>Supuestos!F97</f>
        <v>0.35993543457368316</v>
      </c>
      <c r="F7" s="155">
        <f>Supuestos!G97</f>
        <v>0.35993543457368316</v>
      </c>
      <c r="G7" s="155">
        <f>Supuestos!H97</f>
        <v>0.35993543457368316</v>
      </c>
      <c r="H7" s="155">
        <f>Supuestos!I97</f>
        <v>0.35993543457368316</v>
      </c>
    </row>
    <row r="8" spans="2:15" x14ac:dyDescent="0.25">
      <c r="B8" s="26" t="s">
        <v>4209</v>
      </c>
      <c r="C8" s="155">
        <f>C65/C63</f>
        <v>0.45848091445837758</v>
      </c>
      <c r="D8" s="155">
        <f>C8</f>
        <v>0.45848091445837758</v>
      </c>
      <c r="E8" s="155">
        <f t="shared" si="1"/>
        <v>0.45848091445837758</v>
      </c>
      <c r="F8" s="155">
        <f t="shared" si="1"/>
        <v>0.45848091445837758</v>
      </c>
      <c r="G8" s="155">
        <f t="shared" si="1"/>
        <v>0.45848091445837758</v>
      </c>
      <c r="H8" s="155">
        <f t="shared" si="1"/>
        <v>0.45848091445837758</v>
      </c>
    </row>
    <row r="9" spans="2:15" x14ac:dyDescent="0.25">
      <c r="B9" s="26" t="s">
        <v>4210</v>
      </c>
      <c r="C9" s="532">
        <f>Supuestos!I26</f>
        <v>8.7940209281263254E-2</v>
      </c>
      <c r="D9" s="155">
        <f>C9</f>
        <v>8.7940209281263254E-2</v>
      </c>
      <c r="E9" s="155">
        <f t="shared" si="1"/>
        <v>8.7940209281263254E-2</v>
      </c>
      <c r="F9" s="155">
        <f t="shared" si="1"/>
        <v>8.7940209281263254E-2</v>
      </c>
      <c r="G9" s="155">
        <f t="shared" si="1"/>
        <v>8.7940209281263254E-2</v>
      </c>
      <c r="H9" s="155">
        <f t="shared" si="1"/>
        <v>8.7940209281263254E-2</v>
      </c>
    </row>
    <row r="10" spans="2:15" x14ac:dyDescent="0.25">
      <c r="D10" s="64"/>
      <c r="E10" s="64"/>
      <c r="F10" s="64"/>
      <c r="G10" s="64"/>
      <c r="H10" s="64"/>
    </row>
    <row r="12" spans="2:15" x14ac:dyDescent="0.25">
      <c r="B12" s="482" t="s">
        <v>4205</v>
      </c>
      <c r="C12" s="482"/>
      <c r="D12" s="482"/>
      <c r="E12" s="482"/>
      <c r="F12" s="482"/>
      <c r="G12" s="482"/>
      <c r="H12" s="482"/>
    </row>
    <row r="14" spans="2:15" x14ac:dyDescent="0.25">
      <c r="B14" s="78" t="s">
        <v>4124</v>
      </c>
      <c r="C14" s="87">
        <f>'EF Sempertex 2015 I'!B27</f>
        <v>9879131</v>
      </c>
      <c r="D14" s="87">
        <f>C14</f>
        <v>9879131</v>
      </c>
      <c r="E14" s="87">
        <f t="shared" ref="E14:H14" si="2">D14</f>
        <v>9879131</v>
      </c>
      <c r="F14" s="87">
        <f t="shared" si="2"/>
        <v>9879131</v>
      </c>
      <c r="G14" s="87">
        <f t="shared" si="2"/>
        <v>9879131</v>
      </c>
      <c r="H14" s="87">
        <f t="shared" si="2"/>
        <v>9879131</v>
      </c>
    </row>
    <row r="15" spans="2:15" s="521" customFormat="1" ht="5.0999999999999996" customHeight="1" x14ac:dyDescent="0.25">
      <c r="B15" s="519"/>
      <c r="C15" s="520"/>
    </row>
    <row r="16" spans="2:15" x14ac:dyDescent="0.25">
      <c r="B16" s="78" t="s">
        <v>379</v>
      </c>
      <c r="C16" s="87">
        <f t="shared" ref="C16:H16" si="3">C17+C22</f>
        <v>41006006</v>
      </c>
      <c r="D16" s="87">
        <f t="shared" si="3"/>
        <v>49451317.4110457</v>
      </c>
      <c r="E16" s="87">
        <f t="shared" si="3"/>
        <v>59346827.218406782</v>
      </c>
      <c r="F16" s="87">
        <f t="shared" si="3"/>
        <v>72939509.890703768</v>
      </c>
      <c r="G16" s="87">
        <f t="shared" si="3"/>
        <v>88347120.92503795</v>
      </c>
      <c r="H16" s="87">
        <f t="shared" si="3"/>
        <v>107039944.86625221</v>
      </c>
      <c r="J16" s="92">
        <f t="shared" ref="J16:O16" si="4">C48/C16</f>
        <v>2.3548257784481619</v>
      </c>
      <c r="K16" s="92">
        <f t="shared" si="4"/>
        <v>2.3548257784481619</v>
      </c>
      <c r="L16" s="92">
        <f t="shared" si="4"/>
        <v>2.3548257784481619</v>
      </c>
      <c r="M16" s="92">
        <f t="shared" si="4"/>
        <v>2.3548257784481623</v>
      </c>
      <c r="N16" s="92">
        <f t="shared" si="4"/>
        <v>2.3548257784481619</v>
      </c>
      <c r="O16" s="92">
        <f t="shared" si="4"/>
        <v>2.3548257784481623</v>
      </c>
    </row>
    <row r="17" spans="2:15" x14ac:dyDescent="0.25">
      <c r="B17" s="143" t="s">
        <v>338</v>
      </c>
      <c r="C17" s="609">
        <f>C18+C19-C21-C20</f>
        <v>26070389</v>
      </c>
      <c r="D17" s="609">
        <f>D48/C99</f>
        <v>31439664.752242252</v>
      </c>
      <c r="E17" s="609">
        <f>E48/D99</f>
        <v>37730933.158904888</v>
      </c>
      <c r="F17" s="609">
        <f>F48/E99</f>
        <v>46372753.208883472</v>
      </c>
      <c r="G17" s="609">
        <f>G48/F99</f>
        <v>56168450.288618192</v>
      </c>
      <c r="H17" s="609">
        <f>H48/G99</f>
        <v>68052787.223455712</v>
      </c>
      <c r="K17" s="165" t="b">
        <f>K16=J16</f>
        <v>1</v>
      </c>
      <c r="L17" s="165" t="b">
        <f>L16=K16</f>
        <v>1</v>
      </c>
      <c r="M17" s="165" t="b">
        <f t="shared" ref="M17:O17" si="5">M16=L16</f>
        <v>1</v>
      </c>
      <c r="N17" s="165" t="b">
        <f t="shared" si="5"/>
        <v>1</v>
      </c>
      <c r="O17" s="165" t="b">
        <f t="shared" si="5"/>
        <v>1</v>
      </c>
    </row>
    <row r="18" spans="2:15" x14ac:dyDescent="0.25">
      <c r="B18" s="146" t="s">
        <v>4196</v>
      </c>
      <c r="C18" s="67">
        <f>'EF Sempertex 2015 I'!B28</f>
        <v>18926109</v>
      </c>
      <c r="D18" s="67">
        <f>D48/D92</f>
        <v>38816412.339250945</v>
      </c>
      <c r="E18" s="67">
        <f t="shared" ref="E18:H19" si="6">E48/E92</f>
        <v>39172178.997853145</v>
      </c>
      <c r="F18" s="67">
        <f t="shared" si="6"/>
        <v>40484218.785106465</v>
      </c>
      <c r="G18" s="67">
        <f t="shared" si="6"/>
        <v>41234242.573086075</v>
      </c>
      <c r="H18" s="67">
        <f t="shared" si="6"/>
        <v>42010146.386817813</v>
      </c>
      <c r="I18" s="68"/>
      <c r="J18" s="68"/>
      <c r="K18" s="68"/>
      <c r="L18" s="68"/>
      <c r="M18" s="68"/>
      <c r="N18" s="68"/>
      <c r="O18" s="68"/>
    </row>
    <row r="19" spans="2:15" x14ac:dyDescent="0.25">
      <c r="B19" s="146" t="s">
        <v>4197</v>
      </c>
      <c r="C19" s="67">
        <f>'EF Sempertex 2015 I'!B29</f>
        <v>29464218</v>
      </c>
      <c r="D19" s="67">
        <f>D49/D93</f>
        <v>58060375.905916594</v>
      </c>
      <c r="E19" s="67">
        <f t="shared" si="6"/>
        <v>55664588.821681485</v>
      </c>
      <c r="F19" s="67">
        <f t="shared" si="6"/>
        <v>54654240.390212744</v>
      </c>
      <c r="G19" s="67">
        <f t="shared" si="6"/>
        <v>52885053.167875253</v>
      </c>
      <c r="H19" s="67">
        <f t="shared" si="6"/>
        <v>51187738.555326261</v>
      </c>
    </row>
    <row r="20" spans="2:15" x14ac:dyDescent="0.25">
      <c r="B20" s="146" t="s">
        <v>4198</v>
      </c>
      <c r="C20" s="67">
        <f>'EF Sempertex 2015 I'!B38</f>
        <v>17889996</v>
      </c>
      <c r="D20" s="67">
        <f>D96/D94</f>
        <v>29259824.647108022</v>
      </c>
      <c r="E20" s="67">
        <f t="shared" ref="E20:H20" si="7">E96/E94</f>
        <v>23763393.64622809</v>
      </c>
      <c r="F20" s="67">
        <f t="shared" si="7"/>
        <v>31341335.870274898</v>
      </c>
      <c r="G20" s="67">
        <f t="shared" si="7"/>
        <v>39507874.020375766</v>
      </c>
      <c r="H20" s="67">
        <f t="shared" si="7"/>
        <v>50332762.672466077</v>
      </c>
    </row>
    <row r="21" spans="2:15" x14ac:dyDescent="0.25">
      <c r="B21" s="146" t="s">
        <v>4251</v>
      </c>
      <c r="C21" s="67">
        <f>'EF Sempertex 2015 I'!B36+'EF Sempertex 2015 I'!B39+'EF Sempertex 2015 I'!B41</f>
        <v>4429942</v>
      </c>
      <c r="D21" s="529">
        <f>D18+D19-D20-D17</f>
        <v>36177298.845817268</v>
      </c>
      <c r="E21" s="529">
        <f t="shared" ref="E21:H21" si="8">E18+E19-E20-E17</f>
        <v>33342441.014401652</v>
      </c>
      <c r="F21" s="529">
        <f t="shared" si="8"/>
        <v>17424370.096160837</v>
      </c>
      <c r="G21" s="529">
        <f t="shared" si="8"/>
        <v>-1557028.5680326298</v>
      </c>
      <c r="H21" s="529">
        <f t="shared" si="8"/>
        <v>-25187664.953777723</v>
      </c>
      <c r="I21" t="s">
        <v>4243</v>
      </c>
    </row>
    <row r="22" spans="2:15" x14ac:dyDescent="0.25">
      <c r="B22" s="143" t="s">
        <v>4085</v>
      </c>
      <c r="C22" s="165">
        <f>C23-C24+C25</f>
        <v>14935617</v>
      </c>
      <c r="D22" s="165">
        <f>D48/C100</f>
        <v>18011652.658803444</v>
      </c>
      <c r="E22" s="165">
        <f>E48/D100</f>
        <v>21615894.05950189</v>
      </c>
      <c r="F22" s="165">
        <f>F48/E100</f>
        <v>26566756.681820299</v>
      </c>
      <c r="G22" s="165">
        <f>G48/F100</f>
        <v>32178670.636419754</v>
      </c>
      <c r="H22" s="165">
        <f>H48/G100</f>
        <v>38987157.642796502</v>
      </c>
    </row>
    <row r="23" spans="2:15" x14ac:dyDescent="0.25">
      <c r="B23" s="115" t="s">
        <v>4193</v>
      </c>
      <c r="C23" s="132">
        <f>'EF Sempertex 2015 I'!B31+C24</f>
        <v>18797249</v>
      </c>
      <c r="D23" s="132">
        <f>D22+D24-D25</f>
        <v>23217523.410262603</v>
      </c>
      <c r="E23" s="132">
        <f t="shared" ref="E23:H23" si="9">E22+E24-E25</f>
        <v>28434993.92394954</v>
      </c>
      <c r="F23" s="132">
        <f t="shared" si="9"/>
        <v>35368576.53919623</v>
      </c>
      <c r="G23" s="132">
        <f t="shared" si="9"/>
        <v>43382036.696096808</v>
      </c>
      <c r="H23" s="132">
        <f t="shared" si="9"/>
        <v>53100198.295108952</v>
      </c>
      <c r="J23" s="68"/>
      <c r="K23" s="68"/>
      <c r="L23" s="68"/>
      <c r="M23" s="68"/>
      <c r="N23" s="68"/>
      <c r="O23" s="68"/>
    </row>
    <row r="24" spans="2:15" x14ac:dyDescent="0.25">
      <c r="B24" s="115" t="s">
        <v>4194</v>
      </c>
      <c r="C24" s="132">
        <f>'Flujo de Caja'!H7</f>
        <v>3863094</v>
      </c>
      <c r="D24" s="414">
        <f>C24+D54</f>
        <v>5207332.751459159</v>
      </c>
      <c r="E24" s="414">
        <f>D24+E54</f>
        <v>6820561.8644476496</v>
      </c>
      <c r="F24" s="414">
        <f>E24+F54</f>
        <v>8803281.8573759291</v>
      </c>
      <c r="G24" s="414">
        <f>F24+G54</f>
        <v>11204828.059677055</v>
      </c>
      <c r="H24" s="414">
        <f>G24+H54</f>
        <v>14114502.652312452</v>
      </c>
    </row>
    <row r="25" spans="2:15" x14ac:dyDescent="0.25">
      <c r="B25" s="115" t="s">
        <v>4195</v>
      </c>
      <c r="C25">
        <f>'EF Sempertex 2015 I'!B32</f>
        <v>1462</v>
      </c>
      <c r="D25" s="530">
        <f>C25</f>
        <v>1462</v>
      </c>
      <c r="E25" s="530">
        <f t="shared" ref="E25:H25" si="10">D25</f>
        <v>1462</v>
      </c>
      <c r="F25" s="530">
        <f t="shared" si="10"/>
        <v>1462</v>
      </c>
      <c r="G25" s="530">
        <f t="shared" si="10"/>
        <v>1462</v>
      </c>
      <c r="H25" s="530">
        <f t="shared" si="10"/>
        <v>1462</v>
      </c>
    </row>
    <row r="26" spans="2:15" ht="5.0999999999999996" customHeight="1" x14ac:dyDescent="0.25"/>
    <row r="27" spans="2:15" x14ac:dyDescent="0.25">
      <c r="B27" s="517" t="s">
        <v>4117</v>
      </c>
      <c r="C27" s="518">
        <f>SUM(C28:C30)</f>
        <v>21576342</v>
      </c>
      <c r="D27" s="518">
        <f t="shared" ref="D27:H27" si="11">SUM(D28:D30)</f>
        <v>24961766.864372849</v>
      </c>
      <c r="E27" s="518">
        <f t="shared" si="11"/>
        <v>26903080.72280398</v>
      </c>
      <c r="F27" s="518">
        <f t="shared" si="11"/>
        <v>28821040.634180523</v>
      </c>
      <c r="G27" s="518">
        <f t="shared" si="11"/>
        <v>27995798.639078476</v>
      </c>
      <c r="H27" s="518">
        <f t="shared" si="11"/>
        <v>24473543.461797245</v>
      </c>
    </row>
    <row r="28" spans="2:15" x14ac:dyDescent="0.25">
      <c r="B28" s="119" t="s">
        <v>4199</v>
      </c>
      <c r="C28" s="67">
        <f>'EF Sempertex 2015 I'!B40</f>
        <v>13403251</v>
      </c>
      <c r="D28" s="529">
        <f>C28</f>
        <v>13403251</v>
      </c>
      <c r="E28" s="529">
        <f t="shared" ref="E28:H28" si="12">D28</f>
        <v>13403251</v>
      </c>
      <c r="F28" s="529">
        <f t="shared" si="12"/>
        <v>13403251</v>
      </c>
      <c r="G28" s="529">
        <f t="shared" si="12"/>
        <v>13403251</v>
      </c>
      <c r="H28" s="529">
        <f t="shared" si="12"/>
        <v>13403251</v>
      </c>
      <c r="I28" t="s">
        <v>485</v>
      </c>
      <c r="J28" s="68"/>
      <c r="K28" s="68"/>
    </row>
    <row r="29" spans="2:15" x14ac:dyDescent="0.25">
      <c r="B29" s="119" t="s">
        <v>4200</v>
      </c>
      <c r="C29" s="67">
        <f>'EF Sempertex 2015 I'!B44</f>
        <v>8173091</v>
      </c>
      <c r="D29" s="529">
        <f>C29+C30</f>
        <v>8173091</v>
      </c>
      <c r="E29" s="529">
        <f>D29+D30</f>
        <v>11558515.864372849</v>
      </c>
      <c r="F29" s="529">
        <f>E29+E30</f>
        <v>13499829.72280398</v>
      </c>
      <c r="G29" s="529">
        <f>F29+F30</f>
        <v>15417789.634180523</v>
      </c>
      <c r="H29" s="529">
        <f>G29+G30</f>
        <v>14592547.639078476</v>
      </c>
      <c r="I29" t="s">
        <v>4241</v>
      </c>
      <c r="K29" s="167"/>
    </row>
    <row r="30" spans="2:15" x14ac:dyDescent="0.25">
      <c r="B30" s="115" t="s">
        <v>4218</v>
      </c>
      <c r="C30" s="67"/>
      <c r="D30" s="527">
        <f>D14+D16-D28-D29-D33-D35</f>
        <v>3385424.8643728495</v>
      </c>
      <c r="E30" s="527">
        <f t="shared" ref="E30:H30" si="13">E14+E16-E28-E29-E33-E35</f>
        <v>1941313.8584311306</v>
      </c>
      <c r="F30" s="527">
        <f t="shared" si="13"/>
        <v>1917959.9113765433</v>
      </c>
      <c r="G30" s="527">
        <f t="shared" si="13"/>
        <v>-825241.99510204792</v>
      </c>
      <c r="H30" s="527">
        <f t="shared" si="13"/>
        <v>-3522255.1772812307</v>
      </c>
      <c r="I30" t="s">
        <v>4234</v>
      </c>
    </row>
    <row r="31" spans="2:15" ht="5.0999999999999996" customHeight="1" x14ac:dyDescent="0.25"/>
    <row r="32" spans="2:15" x14ac:dyDescent="0.25">
      <c r="B32" s="517" t="s">
        <v>4250</v>
      </c>
      <c r="C32" s="518">
        <f>C33</f>
        <v>1813821</v>
      </c>
      <c r="D32" s="518">
        <f t="shared" ref="D32:H32" si="14">D33</f>
        <v>1813821</v>
      </c>
      <c r="E32" s="518">
        <f t="shared" si="14"/>
        <v>1813821</v>
      </c>
      <c r="F32" s="518">
        <f t="shared" si="14"/>
        <v>1813821</v>
      </c>
      <c r="G32" s="518">
        <f t="shared" si="14"/>
        <v>1813821</v>
      </c>
      <c r="H32" s="518">
        <f t="shared" si="14"/>
        <v>1813821</v>
      </c>
    </row>
    <row r="33" spans="2:11" x14ac:dyDescent="0.25">
      <c r="B33" s="65" t="s">
        <v>4242</v>
      </c>
      <c r="C33" s="67">
        <f>'EF Sempertex 2015 I'!B43</f>
        <v>1813821</v>
      </c>
      <c r="D33" s="529">
        <f>C33</f>
        <v>1813821</v>
      </c>
      <c r="E33" s="529">
        <f t="shared" ref="E33:H33" si="15">D33</f>
        <v>1813821</v>
      </c>
      <c r="F33" s="529">
        <f t="shared" si="15"/>
        <v>1813821</v>
      </c>
      <c r="G33" s="529">
        <f t="shared" si="15"/>
        <v>1813821</v>
      </c>
      <c r="H33" s="529">
        <f t="shared" si="15"/>
        <v>1813821</v>
      </c>
    </row>
    <row r="34" spans="2:11" ht="5.0999999999999996" customHeight="1" x14ac:dyDescent="0.25"/>
    <row r="35" spans="2:11" x14ac:dyDescent="0.25">
      <c r="B35" s="517" t="s">
        <v>4119</v>
      </c>
      <c r="C35" s="518">
        <f>SUM(C36:C40)</f>
        <v>27494974</v>
      </c>
      <c r="D35" s="518">
        <f t="shared" ref="D35:H35" si="16">SUM(D36:D40)</f>
        <v>32554860.546672851</v>
      </c>
      <c r="E35" s="518">
        <f t="shared" si="16"/>
        <v>40509056.495602801</v>
      </c>
      <c r="F35" s="518">
        <f t="shared" si="16"/>
        <v>52183779.256523244</v>
      </c>
      <c r="G35" s="518">
        <f t="shared" si="16"/>
        <v>68416632.285959482</v>
      </c>
      <c r="H35" s="518">
        <f t="shared" si="16"/>
        <v>90631711.404454976</v>
      </c>
    </row>
    <row r="36" spans="2:11" x14ac:dyDescent="0.25">
      <c r="B36" s="65" t="s">
        <v>4121</v>
      </c>
      <c r="C36" s="67">
        <f>'EF Sempertex 2015 I'!B47</f>
        <v>755566</v>
      </c>
      <c r="D36" s="68">
        <f>C36</f>
        <v>755566</v>
      </c>
      <c r="E36" s="68">
        <f t="shared" ref="E36:H36" si="17">D36</f>
        <v>755566</v>
      </c>
      <c r="F36" s="68">
        <f t="shared" si="17"/>
        <v>755566</v>
      </c>
      <c r="G36" s="68">
        <f t="shared" si="17"/>
        <v>755566</v>
      </c>
      <c r="H36" s="68">
        <f t="shared" si="17"/>
        <v>755566</v>
      </c>
      <c r="J36" s="68"/>
      <c r="K36" s="68"/>
    </row>
    <row r="37" spans="2:11" x14ac:dyDescent="0.25">
      <c r="B37" s="65" t="s">
        <v>4122</v>
      </c>
      <c r="C37" s="67">
        <f>'EF Sempertex 2015 I'!B48</f>
        <v>23105605</v>
      </c>
      <c r="D37" s="68">
        <f>C37+C38</f>
        <v>23105605</v>
      </c>
      <c r="E37" s="68">
        <f t="shared" ref="E37:H37" si="18">D37+D38</f>
        <v>28165491.546672851</v>
      </c>
      <c r="F37" s="68">
        <f t="shared" si="18"/>
        <v>36119687.495602801</v>
      </c>
      <c r="G37" s="68">
        <f t="shared" si="18"/>
        <v>47794410.256523244</v>
      </c>
      <c r="H37" s="68">
        <f t="shared" si="18"/>
        <v>64027263.285959475</v>
      </c>
      <c r="K37" s="528"/>
    </row>
    <row r="38" spans="2:11" x14ac:dyDescent="0.25">
      <c r="B38" s="146" t="s">
        <v>4201</v>
      </c>
      <c r="C38" s="67"/>
      <c r="D38" s="68">
        <f>D66</f>
        <v>5059886.5466728499</v>
      </c>
      <c r="E38" s="68">
        <f t="shared" ref="E38:H38" si="19">E66</f>
        <v>7954195.9489299469</v>
      </c>
      <c r="F38" s="68">
        <f t="shared" si="19"/>
        <v>11674722.760920441</v>
      </c>
      <c r="G38" s="68">
        <f t="shared" si="19"/>
        <v>16232853.029436229</v>
      </c>
      <c r="H38" s="68">
        <f t="shared" si="19"/>
        <v>22215079.118495494</v>
      </c>
      <c r="J38" s="68"/>
    </row>
    <row r="39" spans="2:11" x14ac:dyDescent="0.25">
      <c r="B39" s="65" t="s">
        <v>4202</v>
      </c>
      <c r="C39" s="67">
        <f>'EF Sempertex 2015 I'!B49</f>
        <v>3256020</v>
      </c>
      <c r="D39" s="67">
        <f>C39</f>
        <v>3256020</v>
      </c>
      <c r="E39" s="67">
        <f t="shared" ref="E39:H40" si="20">D39</f>
        <v>3256020</v>
      </c>
      <c r="F39" s="67">
        <f t="shared" si="20"/>
        <v>3256020</v>
      </c>
      <c r="G39" s="67">
        <f t="shared" si="20"/>
        <v>3256020</v>
      </c>
      <c r="H39" s="67">
        <f t="shared" si="20"/>
        <v>3256020</v>
      </c>
    </row>
    <row r="40" spans="2:11" x14ac:dyDescent="0.25">
      <c r="B40" s="65" t="s">
        <v>4203</v>
      </c>
      <c r="C40" s="67">
        <f>'EF Sempertex 2015 I'!B50</f>
        <v>377783</v>
      </c>
      <c r="D40" s="67">
        <f>C40</f>
        <v>377783</v>
      </c>
      <c r="E40" s="67">
        <f t="shared" si="20"/>
        <v>377783</v>
      </c>
      <c r="F40" s="67">
        <f t="shared" si="20"/>
        <v>377783</v>
      </c>
      <c r="G40" s="67">
        <f t="shared" si="20"/>
        <v>377783</v>
      </c>
      <c r="H40" s="67">
        <f t="shared" si="20"/>
        <v>377783</v>
      </c>
    </row>
    <row r="41" spans="2:11" ht="5.0999999999999996" customHeight="1" x14ac:dyDescent="0.25"/>
    <row r="42" spans="2:11" x14ac:dyDescent="0.25">
      <c r="B42" s="523" t="s">
        <v>4204</v>
      </c>
      <c r="C42" s="522">
        <f>C14+C16-C27-C35-C32</f>
        <v>0</v>
      </c>
      <c r="D42" s="522">
        <f t="shared" ref="D42:H42" si="21">D14+D16-D27-D35-D32</f>
        <v>0</v>
      </c>
      <c r="E42" s="522">
        <f t="shared" si="21"/>
        <v>0</v>
      </c>
      <c r="F42" s="522">
        <f t="shared" si="21"/>
        <v>0</v>
      </c>
      <c r="G42" s="522">
        <f t="shared" si="21"/>
        <v>0</v>
      </c>
      <c r="H42" s="522">
        <f t="shared" si="21"/>
        <v>0</v>
      </c>
    </row>
    <row r="43" spans="2:11" x14ac:dyDescent="0.25">
      <c r="B43" t="s">
        <v>4232</v>
      </c>
      <c r="C43" s="524">
        <f>(C27/C35)</f>
        <v>0.78473767605672218</v>
      </c>
      <c r="D43" s="524">
        <f t="shared" ref="D43:H43" si="22">(D27/D35)</f>
        <v>0.7667600611769162</v>
      </c>
      <c r="E43" s="524">
        <f t="shared" si="22"/>
        <v>0.66412508831757833</v>
      </c>
      <c r="F43" s="524">
        <f t="shared" si="22"/>
        <v>0.55229883777683164</v>
      </c>
      <c r="G43" s="524">
        <f t="shared" si="22"/>
        <v>0.40919580084072327</v>
      </c>
      <c r="H43" s="524">
        <f t="shared" si="22"/>
        <v>0.27003289557869098</v>
      </c>
    </row>
    <row r="44" spans="2:11" x14ac:dyDescent="0.25">
      <c r="D44" s="525">
        <f>D43-C43</f>
        <v>-1.7977614879805981E-2</v>
      </c>
      <c r="E44" s="525">
        <f t="shared" ref="E44:H44" si="23">E43-D43</f>
        <v>-0.10263497285933787</v>
      </c>
      <c r="F44" s="525">
        <f t="shared" si="23"/>
        <v>-0.11182625054074669</v>
      </c>
      <c r="G44" s="525">
        <f t="shared" si="23"/>
        <v>-0.14310303693610837</v>
      </c>
      <c r="H44" s="525">
        <f t="shared" si="23"/>
        <v>-0.13916290526203229</v>
      </c>
    </row>
    <row r="46" spans="2:11" x14ac:dyDescent="0.25">
      <c r="B46" s="482" t="s">
        <v>174</v>
      </c>
      <c r="C46" s="482"/>
      <c r="D46" s="482"/>
      <c r="E46" s="482"/>
      <c r="F46" s="482"/>
      <c r="G46" s="482"/>
      <c r="H46" s="482"/>
    </row>
    <row r="48" spans="2:11" x14ac:dyDescent="0.25">
      <c r="B48" t="s">
        <v>299</v>
      </c>
      <c r="C48" s="67">
        <f>'EF Sempertex 2015 I'!B57</f>
        <v>96562000</v>
      </c>
      <c r="D48" s="67">
        <f>C48*(1+D4)</f>
        <v>116449237.01775283</v>
      </c>
      <c r="E48" s="67">
        <f t="shared" ref="E48:H48" si="24">D48*(1+E4)</f>
        <v>139751438.60301331</v>
      </c>
      <c r="F48" s="67">
        <f t="shared" si="24"/>
        <v>171759838.15800393</v>
      </c>
      <c r="G48" s="67">
        <f t="shared" si="24"/>
        <v>208042077.80595639</v>
      </c>
      <c r="H48" s="67">
        <f t="shared" si="24"/>
        <v>252060421.49472073</v>
      </c>
    </row>
    <row r="49" spans="2:16" x14ac:dyDescent="0.25">
      <c r="B49" t="s">
        <v>300</v>
      </c>
      <c r="C49" s="67">
        <f>'EF Sempertex 2015 I'!B58</f>
        <v>50678744</v>
      </c>
      <c r="D49" s="68">
        <f>C49/C48*D48*(1+D5)</f>
        <v>58060375.905916594</v>
      </c>
      <c r="E49" s="68">
        <f t="shared" ref="E49:H49" si="25">D49/D48*E48*(1+E5)</f>
        <v>66194680.215674177</v>
      </c>
      <c r="F49" s="68">
        <f t="shared" si="25"/>
        <v>77287992.815652326</v>
      </c>
      <c r="G49" s="68">
        <f t="shared" si="25"/>
        <v>88933461.092501119</v>
      </c>
      <c r="H49" s="68">
        <f t="shared" si="25"/>
        <v>102362827.88631356</v>
      </c>
      <c r="I49" t="s">
        <v>4228</v>
      </c>
      <c r="L49" s="156"/>
      <c r="M49" s="156"/>
      <c r="N49" s="156"/>
      <c r="O49" s="156"/>
      <c r="P49" s="156"/>
    </row>
    <row r="50" spans="2:16" x14ac:dyDescent="0.25">
      <c r="B50" s="78" t="s">
        <v>177</v>
      </c>
      <c r="C50" s="87">
        <f>C48-C49</f>
        <v>45883256</v>
      </c>
      <c r="D50" s="87">
        <f t="shared" ref="D50:H50" si="26">D48-D49</f>
        <v>58388861.111836232</v>
      </c>
      <c r="E50" s="87">
        <f t="shared" si="26"/>
        <v>73556758.38733913</v>
      </c>
      <c r="F50" s="87">
        <f t="shared" si="26"/>
        <v>94471845.342351601</v>
      </c>
      <c r="G50" s="87">
        <f t="shared" si="26"/>
        <v>119108616.71345527</v>
      </c>
      <c r="H50" s="87">
        <f t="shared" si="26"/>
        <v>149697593.60840717</v>
      </c>
      <c r="K50" s="98">
        <f>C50/C$48</f>
        <v>0.47516886559930405</v>
      </c>
      <c r="L50" s="98">
        <f t="shared" ref="L50:P50" si="27">D50/D$48</f>
        <v>0.50141042231933886</v>
      </c>
      <c r="M50" s="98">
        <f t="shared" si="27"/>
        <v>0.52633990120337204</v>
      </c>
      <c r="N50" s="98">
        <f t="shared" si="27"/>
        <v>0.55002290614320337</v>
      </c>
      <c r="O50" s="98">
        <f t="shared" si="27"/>
        <v>0.57252176083604334</v>
      </c>
      <c r="P50" s="98">
        <f t="shared" si="27"/>
        <v>0.59389567279424116</v>
      </c>
    </row>
    <row r="51" spans="2:16" x14ac:dyDescent="0.25">
      <c r="B51" t="s">
        <v>302</v>
      </c>
      <c r="C51" s="67">
        <f>'EF Sempertex 2015 I'!B60</f>
        <v>1497597</v>
      </c>
      <c r="D51" s="68">
        <f>$C51/$C$48*D$48</f>
        <v>1806031.6481646567</v>
      </c>
      <c r="E51" s="68">
        <f t="shared" ref="E51:H55" si="28">$C51/$C$48*E$48</f>
        <v>2167429.5809692936</v>
      </c>
      <c r="F51" s="68">
        <f t="shared" si="28"/>
        <v>2663853.4656066797</v>
      </c>
      <c r="G51" s="68">
        <f t="shared" si="28"/>
        <v>3226561.0860997792</v>
      </c>
      <c r="H51" s="68">
        <f t="shared" si="28"/>
        <v>3909249.3014770746</v>
      </c>
      <c r="I51" t="s">
        <v>4228</v>
      </c>
      <c r="L51" t="b">
        <f>L50=K50</f>
        <v>0</v>
      </c>
      <c r="M51" t="b">
        <f t="shared" ref="M51:P51" si="29">M50=L50</f>
        <v>0</v>
      </c>
      <c r="N51" t="b">
        <f t="shared" si="29"/>
        <v>0</v>
      </c>
      <c r="O51" t="b">
        <f t="shared" si="29"/>
        <v>0</v>
      </c>
      <c r="P51" t="b">
        <f t="shared" si="29"/>
        <v>0</v>
      </c>
    </row>
    <row r="52" spans="2:16" x14ac:dyDescent="0.25">
      <c r="B52" t="s">
        <v>303</v>
      </c>
      <c r="C52" s="67">
        <f>'EF Sempertex 2015 I'!B61</f>
        <v>18133089</v>
      </c>
      <c r="D52" s="68">
        <f>$C52/$C$48*D$48</f>
        <v>21867653.723255593</v>
      </c>
      <c r="E52" s="68">
        <f t="shared" si="28"/>
        <v>26243504.422717799</v>
      </c>
      <c r="F52" s="68">
        <f t="shared" si="28"/>
        <v>32254265.983975902</v>
      </c>
      <c r="G52" s="68">
        <f t="shared" si="28"/>
        <v>39067599.186018638</v>
      </c>
      <c r="H52" s="68">
        <f t="shared" si="28"/>
        <v>47333672.21413479</v>
      </c>
      <c r="I52" t="s">
        <v>4228</v>
      </c>
    </row>
    <row r="53" spans="2:16" x14ac:dyDescent="0.25">
      <c r="B53" t="s">
        <v>304</v>
      </c>
      <c r="C53" s="67">
        <f>'EF Sempertex 2015 I'!B62</f>
        <v>12675308</v>
      </c>
      <c r="D53" s="68">
        <f>$C53/$C$48*D$48</f>
        <v>15285826.158996483</v>
      </c>
      <c r="E53" s="68">
        <f t="shared" si="28"/>
        <v>18344613.074877106</v>
      </c>
      <c r="F53" s="68">
        <f t="shared" si="28"/>
        <v>22546227.819254491</v>
      </c>
      <c r="G53" s="68">
        <f t="shared" si="28"/>
        <v>27308852.479758717</v>
      </c>
      <c r="H53" s="68">
        <f t="shared" si="28"/>
        <v>33086964.613982782</v>
      </c>
      <c r="I53" t="s">
        <v>4228</v>
      </c>
    </row>
    <row r="54" spans="2:16" x14ac:dyDescent="0.25">
      <c r="B54" s="71" t="s">
        <v>4140</v>
      </c>
      <c r="C54" s="173">
        <f>'EF Sempertex 2015 I'!B84</f>
        <v>1221805</v>
      </c>
      <c r="D54" s="529">
        <f>D53*D9</f>
        <v>1344238.7514591592</v>
      </c>
      <c r="E54" s="529">
        <f t="shared" ref="E54:H54" si="30">E53*E9</f>
        <v>1613229.1129884908</v>
      </c>
      <c r="F54" s="529">
        <f t="shared" si="30"/>
        <v>1982719.9929282796</v>
      </c>
      <c r="G54" s="529">
        <f t="shared" si="30"/>
        <v>2401546.2023011264</v>
      </c>
      <c r="H54" s="529">
        <f t="shared" si="30"/>
        <v>2909674.5926353973</v>
      </c>
      <c r="I54" s="488" t="s">
        <v>4249</v>
      </c>
      <c r="J54" s="488"/>
    </row>
    <row r="55" spans="2:16" x14ac:dyDescent="0.25">
      <c r="B55" t="s">
        <v>305</v>
      </c>
      <c r="C55" s="67">
        <f>'EF Sempertex 2015 I'!B63</f>
        <v>277776</v>
      </c>
      <c r="D55" s="68">
        <f>$C55/$C$48*D$48</f>
        <v>334984.81039998453</v>
      </c>
      <c r="E55" s="68">
        <f t="shared" si="28"/>
        <v>402017.31125484791</v>
      </c>
      <c r="F55" s="68">
        <f t="shared" si="28"/>
        <v>494094.57969157328</v>
      </c>
      <c r="G55" s="68">
        <f t="shared" si="28"/>
        <v>598466.23107047635</v>
      </c>
      <c r="H55" s="68">
        <f t="shared" si="28"/>
        <v>725092.02006086812</v>
      </c>
      <c r="I55" t="s">
        <v>4228</v>
      </c>
    </row>
    <row r="56" spans="2:16" x14ac:dyDescent="0.25">
      <c r="B56" s="78" t="s">
        <v>180</v>
      </c>
      <c r="C56" s="87">
        <f t="shared" ref="C56:H56" si="31">C50+C51-C52-C53-C55</f>
        <v>16294680</v>
      </c>
      <c r="D56" s="87">
        <f t="shared" si="31"/>
        <v>22706428.067348827</v>
      </c>
      <c r="E56" s="87">
        <f t="shared" si="31"/>
        <v>30734053.159458671</v>
      </c>
      <c r="F56" s="87">
        <f t="shared" si="31"/>
        <v>41841110.425036311</v>
      </c>
      <c r="G56" s="87">
        <f t="shared" si="31"/>
        <v>55360259.902707227</v>
      </c>
      <c r="H56" s="87">
        <f t="shared" si="31"/>
        <v>72461114.061705813</v>
      </c>
      <c r="K56" s="98">
        <f>C56/C$48</f>
        <v>0.16874836892359313</v>
      </c>
      <c r="L56" s="98">
        <f t="shared" ref="L56:P56" si="32">D56/D$48</f>
        <v>0.19498992564362791</v>
      </c>
      <c r="M56" s="98">
        <f t="shared" si="32"/>
        <v>0.21991940452766107</v>
      </c>
      <c r="N56" s="98">
        <f t="shared" si="32"/>
        <v>0.24360240946749248</v>
      </c>
      <c r="O56" s="98">
        <f t="shared" si="32"/>
        <v>0.26610126416033236</v>
      </c>
      <c r="P56" s="98">
        <f t="shared" si="32"/>
        <v>0.28747517611853024</v>
      </c>
    </row>
    <row r="57" spans="2:16" x14ac:dyDescent="0.25">
      <c r="B57" t="s">
        <v>307</v>
      </c>
      <c r="C57" s="67">
        <f>'EF Sempertex 2015 I'!B65</f>
        <v>53962906</v>
      </c>
      <c r="D57" s="414">
        <f>C57</f>
        <v>53962906</v>
      </c>
      <c r="E57" s="414">
        <f t="shared" ref="E57:H57" si="33">D57</f>
        <v>53962906</v>
      </c>
      <c r="F57" s="414">
        <f t="shared" si="33"/>
        <v>53962906</v>
      </c>
      <c r="G57" s="414">
        <f t="shared" si="33"/>
        <v>53962906</v>
      </c>
      <c r="H57" s="414">
        <f t="shared" si="33"/>
        <v>53962906</v>
      </c>
      <c r="I57" t="s">
        <v>4233</v>
      </c>
      <c r="L57" t="b">
        <f>L56=K56</f>
        <v>0</v>
      </c>
      <c r="M57" t="b">
        <f t="shared" ref="M57:P57" si="34">M56=L56</f>
        <v>0</v>
      </c>
      <c r="N57" t="b">
        <f t="shared" si="34"/>
        <v>0</v>
      </c>
      <c r="O57" t="b">
        <f t="shared" si="34"/>
        <v>0</v>
      </c>
      <c r="P57" t="b">
        <f t="shared" si="34"/>
        <v>0</v>
      </c>
    </row>
    <row r="58" spans="2:16" x14ac:dyDescent="0.25">
      <c r="B58" t="s">
        <v>4229</v>
      </c>
      <c r="C58" s="67">
        <f>C59+C60</f>
        <v>61097885</v>
      </c>
      <c r="D58" s="67">
        <f t="shared" ref="D58:H58" si="35">D59+D60</f>
        <v>61097885</v>
      </c>
      <c r="E58" s="67">
        <f t="shared" si="35"/>
        <v>61748225.116446026</v>
      </c>
      <c r="F58" s="67">
        <f t="shared" si="35"/>
        <v>62121151.508650646</v>
      </c>
      <c r="G58" s="67">
        <f t="shared" si="35"/>
        <v>62489591.607626081</v>
      </c>
      <c r="H58" s="67">
        <f t="shared" si="35"/>
        <v>62331062.620366976</v>
      </c>
      <c r="K58" s="68"/>
    </row>
    <row r="59" spans="2:16" x14ac:dyDescent="0.25">
      <c r="B59" s="65" t="s">
        <v>4230</v>
      </c>
      <c r="C59" s="67">
        <f>'EF Sempertex 2015 I'!B66-C60</f>
        <v>56953069.701800004</v>
      </c>
      <c r="D59" s="414">
        <f>C59</f>
        <v>56953069.701800004</v>
      </c>
      <c r="E59" s="414">
        <f t="shared" ref="E59:H59" si="36">D59</f>
        <v>56953069.701800004</v>
      </c>
      <c r="F59" s="414">
        <f t="shared" si="36"/>
        <v>56953069.701800004</v>
      </c>
      <c r="G59" s="414">
        <f t="shared" si="36"/>
        <v>56953069.701800004</v>
      </c>
      <c r="H59" s="414">
        <f t="shared" si="36"/>
        <v>56953069.701800004</v>
      </c>
      <c r="I59" t="s">
        <v>4233</v>
      </c>
    </row>
    <row r="60" spans="2:16" x14ac:dyDescent="0.25">
      <c r="B60" s="65" t="s">
        <v>4065</v>
      </c>
      <c r="C60" s="67">
        <f>(C28+C29)*C6</f>
        <v>4144815.2982000001</v>
      </c>
      <c r="D60" s="67">
        <f t="shared" ref="D60:H60" si="37">(D28+D29)*D6</f>
        <v>4144815.2982000001</v>
      </c>
      <c r="E60" s="67">
        <f t="shared" si="37"/>
        <v>4795155.4146460239</v>
      </c>
      <c r="F60" s="67">
        <f t="shared" si="37"/>
        <v>5168081.8068506448</v>
      </c>
      <c r="G60" s="67">
        <f t="shared" si="37"/>
        <v>5536521.9058260787</v>
      </c>
      <c r="H60" s="67">
        <f t="shared" si="37"/>
        <v>5377992.9185669748</v>
      </c>
      <c r="L60" s="526"/>
    </row>
    <row r="61" spans="2:16" x14ac:dyDescent="0.25">
      <c r="B61" s="78" t="s">
        <v>185</v>
      </c>
      <c r="C61" s="87">
        <f>C56+C57-C58</f>
        <v>9159701</v>
      </c>
      <c r="D61" s="87">
        <f t="shared" ref="D61:H61" si="38">D56+D57-D58</f>
        <v>15571449.067348823</v>
      </c>
      <c r="E61" s="87">
        <f t="shared" si="38"/>
        <v>22948734.043012641</v>
      </c>
      <c r="F61" s="87">
        <f t="shared" si="38"/>
        <v>33682864.916385666</v>
      </c>
      <c r="G61" s="87">
        <f t="shared" si="38"/>
        <v>46833574.295081139</v>
      </c>
      <c r="H61" s="87">
        <f t="shared" si="38"/>
        <v>64092957.441338837</v>
      </c>
      <c r="K61" s="98">
        <f>C61/C$48</f>
        <v>9.4858236159151635E-2</v>
      </c>
      <c r="L61" s="98">
        <f t="shared" ref="L61:P61" si="39">D61/D$48</f>
        <v>0.13371877279861386</v>
      </c>
      <c r="M61" s="98">
        <f t="shared" si="39"/>
        <v>0.16421107555251901</v>
      </c>
      <c r="N61" s="98">
        <f t="shared" si="39"/>
        <v>0.19610442858825003</v>
      </c>
      <c r="O61" s="98">
        <f t="shared" si="39"/>
        <v>0.22511587458169607</v>
      </c>
      <c r="P61" s="98">
        <f t="shared" si="39"/>
        <v>0.25427616545773818</v>
      </c>
    </row>
    <row r="62" spans="2:16" x14ac:dyDescent="0.25">
      <c r="B62" t="s">
        <v>4132</v>
      </c>
      <c r="C62" s="67">
        <f>'EF Sempertex 2015 I'!B68</f>
        <v>3663289</v>
      </c>
      <c r="D62" s="67">
        <f>D61*D7</f>
        <v>6227574.2496921243</v>
      </c>
      <c r="E62" s="67">
        <f>E61*E7</f>
        <v>8260062.5606876323</v>
      </c>
      <c r="F62" s="67">
        <f>F61*F7</f>
        <v>12123656.62136594</v>
      </c>
      <c r="G62" s="67">
        <f>G61*G7</f>
        <v>16857062.916538905</v>
      </c>
      <c r="H62" s="67">
        <f>H61*H7</f>
        <v>23069326.489760876</v>
      </c>
    </row>
    <row r="63" spans="2:16" x14ac:dyDescent="0.25">
      <c r="B63" s="78" t="s">
        <v>4206</v>
      </c>
      <c r="C63" s="87">
        <f>C61-C62</f>
        <v>5496412</v>
      </c>
      <c r="D63" s="87">
        <f t="shared" ref="D63:H63" si="40">D61-D62</f>
        <v>9343874.8176566996</v>
      </c>
      <c r="E63" s="87">
        <f t="shared" si="40"/>
        <v>14688671.48232501</v>
      </c>
      <c r="F63" s="87">
        <f t="shared" si="40"/>
        <v>21559208.295019723</v>
      </c>
      <c r="G63" s="87">
        <f t="shared" si="40"/>
        <v>29976511.378542233</v>
      </c>
      <c r="H63" s="87">
        <f t="shared" si="40"/>
        <v>41023630.951577961</v>
      </c>
      <c r="K63" s="98">
        <f>C63/C$48</f>
        <v>5.6921066257948259E-2</v>
      </c>
      <c r="L63" s="98">
        <f t="shared" ref="L63:P63" si="41">D63/D$48</f>
        <v>8.0239897288740633E-2</v>
      </c>
      <c r="M63" s="98">
        <f t="shared" si="41"/>
        <v>0.10510569071171118</v>
      </c>
      <c r="N63" s="98">
        <f t="shared" si="41"/>
        <v>0.12551949586251443</v>
      </c>
      <c r="O63" s="98">
        <f t="shared" si="41"/>
        <v>0.14408869443469854</v>
      </c>
      <c r="P63" s="98">
        <f t="shared" si="41"/>
        <v>0.16275316334197742</v>
      </c>
    </row>
    <row r="64" spans="2:16" s="488" customFormat="1" ht="5.0999999999999996" customHeight="1" x14ac:dyDescent="0.25">
      <c r="B64" s="172"/>
      <c r="C64" s="165"/>
    </row>
    <row r="65" spans="2:16" x14ac:dyDescent="0.25">
      <c r="B65" t="s">
        <v>4147</v>
      </c>
      <c r="C65" s="67">
        <f>'EF Sempertex 2015 I'!B90</f>
        <v>2520000</v>
      </c>
      <c r="D65" s="67">
        <f>D63*D8</f>
        <v>4283988.2709838497</v>
      </c>
      <c r="E65" s="67">
        <f>E63*E8</f>
        <v>6734475.5333950631</v>
      </c>
      <c r="F65" s="67">
        <f>F63*F8</f>
        <v>9884485.5340992827</v>
      </c>
      <c r="G65" s="67">
        <f>G63*G8</f>
        <v>13743658.349106004</v>
      </c>
      <c r="H65" s="67">
        <f>H63*H8</f>
        <v>18808551.833082467</v>
      </c>
      <c r="L65" s="156"/>
    </row>
    <row r="66" spans="2:16" x14ac:dyDescent="0.25">
      <c r="B66" s="78" t="s">
        <v>4208</v>
      </c>
      <c r="C66" s="518">
        <f>C63-C65</f>
        <v>2976412</v>
      </c>
      <c r="D66" s="518">
        <f t="shared" ref="D66:H66" si="42">D63-D65</f>
        <v>5059886.5466728499</v>
      </c>
      <c r="E66" s="518">
        <f t="shared" si="42"/>
        <v>7954195.9489299469</v>
      </c>
      <c r="F66" s="518">
        <f t="shared" si="42"/>
        <v>11674722.760920441</v>
      </c>
      <c r="G66" s="518">
        <f t="shared" si="42"/>
        <v>16232853.029436229</v>
      </c>
      <c r="H66" s="518">
        <f t="shared" si="42"/>
        <v>22215079.118495494</v>
      </c>
      <c r="K66" s="98">
        <f>C66/C$48</f>
        <v>3.0823843748058244E-2</v>
      </c>
      <c r="L66" s="98">
        <f t="shared" ref="L66:P66" si="43">D66/D$48</f>
        <v>4.3451435803752533E-2</v>
      </c>
      <c r="M66" s="98">
        <f t="shared" si="43"/>
        <v>5.6916737519426434E-2</v>
      </c>
      <c r="N66" s="98">
        <f t="shared" si="43"/>
        <v>6.7971202617114271E-2</v>
      </c>
      <c r="O66" s="98">
        <f t="shared" si="43"/>
        <v>7.8026778047164222E-2</v>
      </c>
      <c r="P66" s="98">
        <f t="shared" si="43"/>
        <v>8.8133944181953916E-2</v>
      </c>
    </row>
    <row r="69" spans="2:16" x14ac:dyDescent="0.25">
      <c r="B69" s="482" t="s">
        <v>4143</v>
      </c>
      <c r="C69" s="482"/>
      <c r="D69" s="482"/>
      <c r="E69" s="482"/>
      <c r="F69" s="482"/>
      <c r="G69" s="482"/>
      <c r="H69" s="482"/>
    </row>
    <row r="71" spans="2:16" x14ac:dyDescent="0.25">
      <c r="B71" s="446" t="s">
        <v>394</v>
      </c>
      <c r="C71" s="67">
        <f t="shared" ref="C71:H71" si="44">C56*(1-C7)</f>
        <v>9777860.0729608964</v>
      </c>
      <c r="D71" s="67">
        <f t="shared" si="44"/>
        <v>13625322.890617596</v>
      </c>
      <c r="E71" s="67">
        <f t="shared" si="44"/>
        <v>19671778.379298232</v>
      </c>
      <c r="F71" s="67">
        <f t="shared" si="44"/>
        <v>26781012.161155403</v>
      </c>
      <c r="G71" s="67">
        <f t="shared" si="44"/>
        <v>35434140.696514256</v>
      </c>
      <c r="H71" s="67">
        <f t="shared" si="44"/>
        <v>46379791.482212506</v>
      </c>
    </row>
    <row r="72" spans="2:16" x14ac:dyDescent="0.25">
      <c r="B72" s="451" t="s">
        <v>4074</v>
      </c>
      <c r="C72" s="67">
        <f t="shared" ref="C72:H72" si="45">C54</f>
        <v>1221805</v>
      </c>
      <c r="D72" s="67">
        <f t="shared" si="45"/>
        <v>1344238.7514591592</v>
      </c>
      <c r="E72" s="67">
        <f t="shared" si="45"/>
        <v>1613229.1129884908</v>
      </c>
      <c r="F72" s="67">
        <f t="shared" si="45"/>
        <v>1982719.9929282796</v>
      </c>
      <c r="G72" s="67">
        <f t="shared" si="45"/>
        <v>2401546.2023011264</v>
      </c>
      <c r="H72" s="67">
        <f t="shared" si="45"/>
        <v>2909674.5926353973</v>
      </c>
    </row>
    <row r="73" spans="2:16" x14ac:dyDescent="0.25">
      <c r="B73" s="454" t="s">
        <v>4075</v>
      </c>
      <c r="C73" s="87">
        <f>C71+C72</f>
        <v>10999665.072960896</v>
      </c>
      <c r="D73" s="87">
        <f t="shared" ref="D73:H73" si="46">D71+D72</f>
        <v>14969561.642076755</v>
      </c>
      <c r="E73" s="87">
        <f t="shared" si="46"/>
        <v>21285007.492286723</v>
      </c>
      <c r="F73" s="87">
        <f t="shared" si="46"/>
        <v>28763732.154083684</v>
      </c>
      <c r="G73" s="87">
        <f t="shared" si="46"/>
        <v>37835686.898815386</v>
      </c>
      <c r="H73" s="87">
        <f t="shared" si="46"/>
        <v>49289466.074847907</v>
      </c>
    </row>
    <row r="74" spans="2:16" x14ac:dyDescent="0.25">
      <c r="B74" s="451" t="s">
        <v>4077</v>
      </c>
      <c r="C74" s="67">
        <f>-('Flujo de Caja'!H13-'Flujo de Caja'!G13)</f>
        <v>-2855923</v>
      </c>
      <c r="D74" s="68">
        <f>-(D17-C17)</f>
        <v>-5369275.7522422522</v>
      </c>
      <c r="E74" s="68">
        <f>-(E17-D17)</f>
        <v>-6291268.4066626355</v>
      </c>
      <c r="F74" s="68">
        <f>-(F17-E17)</f>
        <v>-8641820.0499785841</v>
      </c>
      <c r="G74" s="68">
        <f>-(G17-F17)</f>
        <v>-9795697.0797347203</v>
      </c>
      <c r="H74" s="68">
        <f>-(H17-G17)</f>
        <v>-11884336.93483752</v>
      </c>
    </row>
    <row r="75" spans="2:16" x14ac:dyDescent="0.25">
      <c r="B75" s="483" t="s">
        <v>4078</v>
      </c>
      <c r="C75" s="67">
        <f>-('Flujo de Caja'!H15-'Flujo de Caja'!G15)</f>
        <v>-5390232</v>
      </c>
      <c r="D75" s="68">
        <f>-(D23-C23)</f>
        <v>-4420274.4102626033</v>
      </c>
      <c r="E75" s="68">
        <f>-(E23-D23)</f>
        <v>-5217470.5136869363</v>
      </c>
      <c r="F75" s="68">
        <f>-(F23-E23)</f>
        <v>-6933582.6152466908</v>
      </c>
      <c r="G75" s="68">
        <f>-(G23-F23)</f>
        <v>-8013460.1569005772</v>
      </c>
      <c r="H75" s="68">
        <f>-(H23-G23)</f>
        <v>-9718161.5990121439</v>
      </c>
    </row>
    <row r="76" spans="2:16" x14ac:dyDescent="0.25">
      <c r="B76" s="456" t="s">
        <v>4079</v>
      </c>
      <c r="C76" s="518">
        <f>C73+C74+C75</f>
        <v>2753510.0729608964</v>
      </c>
      <c r="D76" s="518">
        <f t="shared" ref="D76:H76" si="47">D73+D74+D75</f>
        <v>5180011.4795718994</v>
      </c>
      <c r="E76" s="518">
        <f t="shared" si="47"/>
        <v>9776268.5719371513</v>
      </c>
      <c r="F76" s="518">
        <f t="shared" si="47"/>
        <v>13188329.488858409</v>
      </c>
      <c r="G76" s="518">
        <f t="shared" si="47"/>
        <v>20026529.662180088</v>
      </c>
      <c r="H76" s="518">
        <f t="shared" si="47"/>
        <v>27686967.540998243</v>
      </c>
    </row>
    <row r="77" spans="2:16" x14ac:dyDescent="0.25">
      <c r="B77" s="451" t="s">
        <v>4080</v>
      </c>
      <c r="C77" s="67">
        <f t="shared" ref="C77:H77" si="48">-C60*(1-C7)</f>
        <v>-2487156.7906867326</v>
      </c>
      <c r="D77" s="67">
        <f t="shared" si="48"/>
        <v>-2487156.7906867326</v>
      </c>
      <c r="E77" s="67">
        <f t="shared" si="48"/>
        <v>-3069209.0666270573</v>
      </c>
      <c r="F77" s="67">
        <f t="shared" si="48"/>
        <v>-3307906.0357895121</v>
      </c>
      <c r="G77" s="67">
        <f t="shared" si="48"/>
        <v>-3543731.4876258527</v>
      </c>
      <c r="H77" s="67">
        <f t="shared" si="48"/>
        <v>-3442262.70028838</v>
      </c>
    </row>
    <row r="78" spans="2:16" x14ac:dyDescent="0.25">
      <c r="B78" s="451" t="s">
        <v>4081</v>
      </c>
      <c r="C78" s="67">
        <f>('Flujo de Caja'!H17-'Flujo de Caja'!G17)</f>
        <v>6392896</v>
      </c>
      <c r="D78" s="67">
        <f>D27-C27</f>
        <v>3385424.8643728495</v>
      </c>
      <c r="E78" s="67">
        <f t="shared" ref="E78:H78" si="49">E27-D27</f>
        <v>1941313.8584311306</v>
      </c>
      <c r="F78" s="67">
        <f t="shared" si="49"/>
        <v>1917959.9113765433</v>
      </c>
      <c r="G78" s="67">
        <f t="shared" si="49"/>
        <v>-825241.99510204792</v>
      </c>
      <c r="H78" s="67">
        <f t="shared" si="49"/>
        <v>-3522255.1772812307</v>
      </c>
    </row>
    <row r="79" spans="2:16" x14ac:dyDescent="0.25">
      <c r="B79" s="456" t="s">
        <v>4082</v>
      </c>
      <c r="C79" s="518">
        <f>C76+C77+C78</f>
        <v>6659249.2822741643</v>
      </c>
      <c r="D79" s="518">
        <f t="shared" ref="D79:H79" si="50">D76+D77+D78</f>
        <v>6078279.5532580167</v>
      </c>
      <c r="E79" s="518">
        <f t="shared" si="50"/>
        <v>8648373.3637412246</v>
      </c>
      <c r="F79" s="518">
        <f t="shared" si="50"/>
        <v>11798383.36444544</v>
      </c>
      <c r="G79" s="518">
        <f t="shared" si="50"/>
        <v>15657556.179452188</v>
      </c>
      <c r="H79" s="518">
        <f t="shared" si="50"/>
        <v>20722449.663428631</v>
      </c>
    </row>
    <row r="80" spans="2:16" x14ac:dyDescent="0.25">
      <c r="B80" s="451" t="s">
        <v>4149</v>
      </c>
      <c r="C80" s="68">
        <f>-C65</f>
        <v>-2520000</v>
      </c>
      <c r="D80" s="68">
        <f t="shared" ref="D80:H80" si="51">-D65</f>
        <v>-4283988.2709838497</v>
      </c>
      <c r="E80" s="68">
        <f t="shared" si="51"/>
        <v>-6734475.5333950631</v>
      </c>
      <c r="F80" s="68">
        <f t="shared" si="51"/>
        <v>-9884485.5340992827</v>
      </c>
      <c r="G80" s="68">
        <f t="shared" si="51"/>
        <v>-13743658.349106004</v>
      </c>
      <c r="H80" s="68">
        <f t="shared" si="51"/>
        <v>-18808551.833082467</v>
      </c>
    </row>
    <row r="81" spans="2:10" x14ac:dyDescent="0.25">
      <c r="B81" s="451" t="s">
        <v>4150</v>
      </c>
      <c r="C81" s="67">
        <f>('Flujo de Caja'!H18-'Flujo de Caja'!G18)</f>
        <v>0</v>
      </c>
      <c r="D81" s="68">
        <f>(D36-C36)</f>
        <v>0</v>
      </c>
      <c r="E81" s="68">
        <f>(E36-D36)</f>
        <v>0</v>
      </c>
      <c r="F81" s="68">
        <f>(F36-E36)</f>
        <v>0</v>
      </c>
      <c r="G81" s="68">
        <f>(G36-F36)</f>
        <v>0</v>
      </c>
      <c r="H81" s="68">
        <f>(H36-G36)</f>
        <v>0</v>
      </c>
    </row>
    <row r="82" spans="2:10" x14ac:dyDescent="0.25">
      <c r="B82" s="456" t="s">
        <v>4151</v>
      </c>
      <c r="C82" s="518">
        <f>C79+C80+C81</f>
        <v>4139249.2822741643</v>
      </c>
      <c r="D82" s="518">
        <f t="shared" ref="D82:H82" si="52">D79+D80+D81</f>
        <v>1794291.2822741671</v>
      </c>
      <c r="E82" s="518">
        <f t="shared" si="52"/>
        <v>1913897.8303461615</v>
      </c>
      <c r="F82" s="518">
        <f t="shared" si="52"/>
        <v>1913897.8303461578</v>
      </c>
      <c r="G82" s="518">
        <f t="shared" si="52"/>
        <v>1913897.8303461839</v>
      </c>
      <c r="H82" s="518">
        <f t="shared" si="52"/>
        <v>1913897.8303461634</v>
      </c>
    </row>
    <row r="85" spans="2:10" x14ac:dyDescent="0.25">
      <c r="B85" s="482" t="s">
        <v>335</v>
      </c>
      <c r="C85" s="482"/>
      <c r="D85" s="482"/>
      <c r="E85" s="482"/>
      <c r="F85" s="482"/>
      <c r="G85" s="482"/>
      <c r="H85" s="482"/>
    </row>
    <row r="87" spans="2:10" x14ac:dyDescent="0.25">
      <c r="B87" s="488" t="s">
        <v>336</v>
      </c>
      <c r="C87" s="171">
        <f>(C18+C19+C14)/(C21+C20+C28)</f>
        <v>1.6311381942972671</v>
      </c>
      <c r="D87" s="171">
        <f t="shared" ref="D87:H87" si="53">(D18+D19+D14)/(D21+D20+D28)</f>
        <v>1.3540767650050578</v>
      </c>
      <c r="E87" s="171">
        <f t="shared" si="53"/>
        <v>1.4851405012333749</v>
      </c>
      <c r="F87" s="171">
        <f t="shared" si="53"/>
        <v>1.6892287614221506</v>
      </c>
      <c r="G87" s="171">
        <f t="shared" si="53"/>
        <v>2.0251242632118434</v>
      </c>
      <c r="H87" s="171">
        <f t="shared" si="53"/>
        <v>2.6739670924521866</v>
      </c>
      <c r="J87" s="64"/>
    </row>
    <row r="88" spans="2:10" x14ac:dyDescent="0.25">
      <c r="B88" s="488" t="s">
        <v>337</v>
      </c>
      <c r="C88" s="171">
        <f>(C18+C14)/(C21+C20+C28)</f>
        <v>0.80634570446664211</v>
      </c>
      <c r="D88" s="171">
        <f t="shared" ref="D88:H88" si="54">(D18+D14)/(D21+D20+D28)</f>
        <v>0.61764728608209007</v>
      </c>
      <c r="E88" s="171">
        <f t="shared" si="54"/>
        <v>0.69567360770984998</v>
      </c>
      <c r="F88" s="171">
        <f t="shared" si="54"/>
        <v>0.81010446760908394</v>
      </c>
      <c r="G88" s="171">
        <f t="shared" si="54"/>
        <v>0.99531248924843896</v>
      </c>
      <c r="H88" s="171">
        <f t="shared" si="54"/>
        <v>1.3460830129323214</v>
      </c>
      <c r="J88" s="64"/>
    </row>
    <row r="90" spans="2:10" x14ac:dyDescent="0.25">
      <c r="B90" s="482" t="s">
        <v>416</v>
      </c>
      <c r="C90" s="482"/>
      <c r="D90" s="482"/>
      <c r="E90" s="482"/>
      <c r="F90" s="482"/>
      <c r="G90" s="482"/>
      <c r="H90" s="482"/>
    </row>
    <row r="91" spans="2:10" x14ac:dyDescent="0.25">
      <c r="C91" s="149">
        <f>360/C92</f>
        <v>70.5598396884903</v>
      </c>
      <c r="D91" s="149">
        <f t="shared" ref="D91:H91" si="55">360/D92</f>
        <v>120</v>
      </c>
      <c r="E91" s="149">
        <f t="shared" si="55"/>
        <v>100.90761555082172</v>
      </c>
      <c r="F91" s="149">
        <f t="shared" si="55"/>
        <v>84.852890634603625</v>
      </c>
      <c r="G91" s="149">
        <f t="shared" si="55"/>
        <v>71.352523887770857</v>
      </c>
      <c r="H91" s="149">
        <f t="shared" si="55"/>
        <v>60.000108742066708</v>
      </c>
    </row>
    <row r="92" spans="2:10" x14ac:dyDescent="0.25">
      <c r="B92" t="s">
        <v>4211</v>
      </c>
      <c r="C92" s="64">
        <f t="shared" ref="C92:C93" si="56">C48/C18</f>
        <v>5.1020524081310112</v>
      </c>
      <c r="D92" s="613">
        <f>Supuestos!E88</f>
        <v>3</v>
      </c>
      <c r="E92" s="613">
        <f>Supuestos!F88</f>
        <v>3.5676197285495013</v>
      </c>
      <c r="F92" s="613">
        <f>Supuestos!G88</f>
        <v>4.2426368425118728</v>
      </c>
      <c r="G92" s="613">
        <f>Supuestos!H88</f>
        <v>5.045371633472107</v>
      </c>
      <c r="H92" s="613">
        <f>Supuestos!I88</f>
        <v>5.9999891258130376</v>
      </c>
    </row>
    <row r="93" spans="2:10" x14ac:dyDescent="0.25">
      <c r="B93" t="s">
        <v>4212</v>
      </c>
      <c r="C93" s="64">
        <f t="shared" si="56"/>
        <v>1.720009809864969</v>
      </c>
      <c r="D93" s="613">
        <f>Supuestos!E90</f>
        <v>1</v>
      </c>
      <c r="E93" s="613">
        <f>Supuestos!F90</f>
        <v>1.1891703795338411</v>
      </c>
      <c r="F93" s="613">
        <f>Supuestos!G90</f>
        <v>1.4141261915606596</v>
      </c>
      <c r="G93" s="613">
        <f>Supuestos!H90</f>
        <v>1.6816369799269348</v>
      </c>
      <c r="H93" s="613">
        <f>Supuestos!I90</f>
        <v>1.9997528856578555</v>
      </c>
    </row>
    <row r="94" spans="2:10" x14ac:dyDescent="0.25">
      <c r="B94" t="s">
        <v>4213</v>
      </c>
      <c r="C94" s="64">
        <f t="shared" ref="C94" si="57">C96/C20</f>
        <v>3.2670404174489476</v>
      </c>
      <c r="D94" s="613">
        <f>Supuestos!E92</f>
        <v>2.9616217751461518</v>
      </c>
      <c r="E94" s="613">
        <f>Supuestos!F92</f>
        <v>2.6847551356186754</v>
      </c>
      <c r="F94" s="613">
        <f>Supuestos!G92</f>
        <v>2.4337713204027045</v>
      </c>
      <c r="G94" s="613">
        <f>Supuestos!H92</f>
        <v>2.2062506786674874</v>
      </c>
      <c r="H94" s="613">
        <f>Supuestos!I92</f>
        <v>1.999999760172759</v>
      </c>
    </row>
    <row r="95" spans="2:10" outlineLevel="1" x14ac:dyDescent="0.25">
      <c r="B95" s="65" t="s">
        <v>373</v>
      </c>
      <c r="C95" s="67">
        <f>'EF Sempertex 2011-2014 I'!E38</f>
        <v>21695622</v>
      </c>
      <c r="D95" s="68">
        <f>C98</f>
        <v>29464218</v>
      </c>
      <c r="E95" s="68">
        <f t="shared" ref="E95:H95" si="58">D98</f>
        <v>58060375.905916594</v>
      </c>
      <c r="F95" s="68">
        <f t="shared" si="58"/>
        <v>55664588.821681485</v>
      </c>
      <c r="G95" s="68">
        <f t="shared" si="58"/>
        <v>54654240.390212744</v>
      </c>
      <c r="H95" s="68">
        <f t="shared" si="58"/>
        <v>52885053.167875253</v>
      </c>
    </row>
    <row r="96" spans="2:10" outlineLevel="1" x14ac:dyDescent="0.25">
      <c r="B96" s="65" t="s">
        <v>375</v>
      </c>
      <c r="C96" s="67">
        <f>C98+C97-C95</f>
        <v>58447340</v>
      </c>
      <c r="D96" s="67">
        <f>D98+D97-D95</f>
        <v>86656533.811833188</v>
      </c>
      <c r="E96" s="67">
        <f t="shared" ref="E96:H96" si="59">E98+E97-E95</f>
        <v>63798893.131439067</v>
      </c>
      <c r="F96" s="67">
        <f t="shared" si="59"/>
        <v>76277644.384183586</v>
      </c>
      <c r="G96" s="67">
        <f t="shared" si="59"/>
        <v>87164273.87016362</v>
      </c>
      <c r="H96" s="67">
        <f t="shared" si="59"/>
        <v>100665513.27376455</v>
      </c>
    </row>
    <row r="97" spans="2:8" outlineLevel="1" x14ac:dyDescent="0.25">
      <c r="B97" s="65" t="s">
        <v>374</v>
      </c>
      <c r="C97" s="67">
        <f t="shared" ref="C97:H97" si="60">C49</f>
        <v>50678744</v>
      </c>
      <c r="D97" s="67">
        <f t="shared" si="60"/>
        <v>58060375.905916594</v>
      </c>
      <c r="E97" s="67">
        <f t="shared" si="60"/>
        <v>66194680.215674177</v>
      </c>
      <c r="F97" s="67">
        <f t="shared" si="60"/>
        <v>77287992.815652326</v>
      </c>
      <c r="G97" s="67">
        <f t="shared" si="60"/>
        <v>88933461.092501119</v>
      </c>
      <c r="H97" s="67">
        <f t="shared" si="60"/>
        <v>102362827.88631356</v>
      </c>
    </row>
    <row r="98" spans="2:8" outlineLevel="1" x14ac:dyDescent="0.25">
      <c r="B98" s="65" t="s">
        <v>372</v>
      </c>
      <c r="C98" s="67">
        <f t="shared" ref="C98:H98" si="61">C19</f>
        <v>29464218</v>
      </c>
      <c r="D98" s="67">
        <f t="shared" si="61"/>
        <v>58060375.905916594</v>
      </c>
      <c r="E98" s="67">
        <f t="shared" si="61"/>
        <v>55664588.821681485</v>
      </c>
      <c r="F98" s="67">
        <f t="shared" si="61"/>
        <v>54654240.390212744</v>
      </c>
      <c r="G98" s="67">
        <f t="shared" si="61"/>
        <v>52885053.167875253</v>
      </c>
      <c r="H98" s="67">
        <f t="shared" si="61"/>
        <v>51187738.555326261</v>
      </c>
    </row>
    <row r="99" spans="2:8" x14ac:dyDescent="0.25">
      <c r="B99" t="s">
        <v>4219</v>
      </c>
      <c r="C99" s="64">
        <f t="shared" ref="C99:H99" si="62">C48/C17</f>
        <v>3.7038956342385223</v>
      </c>
      <c r="D99" s="64">
        <f t="shared" si="62"/>
        <v>3.7038956342385223</v>
      </c>
      <c r="E99" s="64">
        <f t="shared" si="62"/>
        <v>3.7038956342385223</v>
      </c>
      <c r="F99" s="64">
        <f t="shared" si="62"/>
        <v>3.7038956342385223</v>
      </c>
      <c r="G99" s="64">
        <f t="shared" si="62"/>
        <v>3.7038956342385223</v>
      </c>
      <c r="H99" s="64">
        <f t="shared" si="62"/>
        <v>3.7038956342385227</v>
      </c>
    </row>
    <row r="100" spans="2:8" x14ac:dyDescent="0.25">
      <c r="B100" t="s">
        <v>4220</v>
      </c>
      <c r="C100" s="64">
        <f t="shared" ref="C100:H100" si="63">C48/C22</f>
        <v>6.465216669656165</v>
      </c>
      <c r="D100" s="64">
        <f t="shared" si="63"/>
        <v>6.4652166696561659</v>
      </c>
      <c r="E100" s="64">
        <f t="shared" si="63"/>
        <v>6.4652166696561659</v>
      </c>
      <c r="F100" s="64">
        <f t="shared" si="63"/>
        <v>6.4652166696561659</v>
      </c>
      <c r="G100" s="64">
        <f t="shared" si="63"/>
        <v>6.4652166696561659</v>
      </c>
      <c r="H100" s="64">
        <f t="shared" si="63"/>
        <v>6.4652166696561659</v>
      </c>
    </row>
    <row r="101" spans="2:8" x14ac:dyDescent="0.25">
      <c r="B101" s="426" t="s">
        <v>4221</v>
      </c>
      <c r="C101" s="64">
        <f t="shared" ref="C101:H101" si="64">C48/C23</f>
        <v>5.1370282960022502</v>
      </c>
      <c r="D101" s="64">
        <f t="shared" si="64"/>
        <v>5.0155753031901744</v>
      </c>
      <c r="E101" s="64">
        <f t="shared" si="64"/>
        <v>4.9147694202708037</v>
      </c>
      <c r="F101" s="64">
        <f t="shared" si="64"/>
        <v>4.8562835987378774</v>
      </c>
      <c r="G101" s="64">
        <f t="shared" si="64"/>
        <v>4.7955811587028245</v>
      </c>
      <c r="H101" s="64">
        <f t="shared" si="64"/>
        <v>4.7468828664984093</v>
      </c>
    </row>
    <row r="102" spans="2:8" x14ac:dyDescent="0.25">
      <c r="B102" t="s">
        <v>4222</v>
      </c>
      <c r="C102" s="64">
        <f t="shared" ref="C102:H102" si="65">C48/C16</f>
        <v>2.3548257784481619</v>
      </c>
      <c r="D102" s="64">
        <f t="shared" si="65"/>
        <v>2.3548257784481619</v>
      </c>
      <c r="E102" s="64">
        <f t="shared" si="65"/>
        <v>2.3548257784481619</v>
      </c>
      <c r="F102" s="64">
        <f t="shared" si="65"/>
        <v>2.3548257784481623</v>
      </c>
      <c r="G102" s="64">
        <f t="shared" si="65"/>
        <v>2.3548257784481619</v>
      </c>
      <c r="H102" s="64">
        <f t="shared" si="65"/>
        <v>2.3548257784481623</v>
      </c>
    </row>
    <row r="104" spans="2:8" x14ac:dyDescent="0.25">
      <c r="B104" s="482" t="s">
        <v>4214</v>
      </c>
      <c r="C104" s="482"/>
      <c r="D104" s="482"/>
      <c r="E104" s="482"/>
      <c r="F104" s="482"/>
      <c r="G104" s="482"/>
      <c r="H104" s="482"/>
    </row>
    <row r="106" spans="2:8" x14ac:dyDescent="0.25">
      <c r="B106" t="s">
        <v>384</v>
      </c>
      <c r="C106" s="149">
        <f>360/C92+360/C93-360/C94</f>
        <v>169.66949729985691</v>
      </c>
      <c r="D106" s="149">
        <f t="shared" ref="D106:H106" si="66">360/D92+360/D93-360/D94</f>
        <v>358.44497801133485</v>
      </c>
      <c r="E106" s="149">
        <f t="shared" si="66"/>
        <v>269.54923569649577</v>
      </c>
      <c r="F106" s="149">
        <f t="shared" si="66"/>
        <v>191.50847865874601</v>
      </c>
      <c r="G106" s="149">
        <f t="shared" si="66"/>
        <v>122.25688862829637</v>
      </c>
      <c r="H106" s="149">
        <f t="shared" si="66"/>
        <v>60.022330196692423</v>
      </c>
    </row>
    <row r="107" spans="2:8" x14ac:dyDescent="0.25">
      <c r="B107" t="s">
        <v>392</v>
      </c>
      <c r="C107" s="149">
        <f>360/C92+360/C93</f>
        <v>279.86097153974532</v>
      </c>
      <c r="D107" s="149">
        <f t="shared" ref="D107:H107" si="67">360/D92+360/D93</f>
        <v>480</v>
      </c>
      <c r="E107" s="149">
        <f t="shared" si="67"/>
        <v>403.63967665473291</v>
      </c>
      <c r="F107" s="149">
        <f t="shared" si="67"/>
        <v>339.4270595796653</v>
      </c>
      <c r="G107" s="149">
        <f t="shared" si="67"/>
        <v>285.42964296708698</v>
      </c>
      <c r="H107" s="149">
        <f t="shared" si="67"/>
        <v>240.02235178114671</v>
      </c>
    </row>
    <row r="109" spans="2:8" x14ac:dyDescent="0.25">
      <c r="B109" s="482" t="s">
        <v>4215</v>
      </c>
      <c r="C109" s="482"/>
      <c r="D109" s="482"/>
      <c r="E109" s="482"/>
      <c r="F109" s="482"/>
      <c r="G109" s="482"/>
      <c r="H109" s="482"/>
    </row>
    <row r="111" spans="2:8" x14ac:dyDescent="0.25">
      <c r="B111" s="488" t="s">
        <v>4216</v>
      </c>
      <c r="C111" s="171">
        <f t="shared" ref="C111:H111" si="68">C17/C48</f>
        <v>0.26998600898904329</v>
      </c>
      <c r="D111" s="171">
        <f t="shared" si="68"/>
        <v>0.26998600898904335</v>
      </c>
      <c r="E111" s="171">
        <f t="shared" si="68"/>
        <v>0.26998600898904335</v>
      </c>
      <c r="F111" s="171">
        <f t="shared" si="68"/>
        <v>0.26998600898904329</v>
      </c>
      <c r="G111" s="171">
        <f t="shared" si="68"/>
        <v>0.26998600898904329</v>
      </c>
      <c r="H111" s="171">
        <f t="shared" si="68"/>
        <v>0.26998600898904329</v>
      </c>
    </row>
    <row r="112" spans="2:8" x14ac:dyDescent="0.25">
      <c r="B112" s="488" t="s">
        <v>4105</v>
      </c>
      <c r="C112" s="171">
        <f>(C56+C54)/C17</f>
        <v>0.67189196908415905</v>
      </c>
      <c r="D112" s="171">
        <f t="shared" ref="D112:H112" si="69">(D56+D54)/D17</f>
        <v>0.7649784757037752</v>
      </c>
      <c r="E112" s="171">
        <f t="shared" si="69"/>
        <v>0.85731466370618692</v>
      </c>
      <c r="F112" s="171">
        <f t="shared" si="69"/>
        <v>0.94503404230847798</v>
      </c>
      <c r="G112" s="171">
        <f t="shared" si="69"/>
        <v>1.0283674519806547</v>
      </c>
      <c r="H112" s="171">
        <f t="shared" si="69"/>
        <v>1.1075341911692222</v>
      </c>
    </row>
    <row r="114" spans="2:14" x14ac:dyDescent="0.25">
      <c r="B114" s="482" t="s">
        <v>411</v>
      </c>
      <c r="C114" s="482"/>
      <c r="D114" s="482"/>
      <c r="E114" s="482"/>
      <c r="F114" s="482"/>
      <c r="G114" s="482"/>
      <c r="H114" s="482"/>
    </row>
    <row r="116" spans="2:14" x14ac:dyDescent="0.25">
      <c r="B116" t="s">
        <v>412</v>
      </c>
      <c r="C116" s="81">
        <f t="shared" ref="C116:H116" si="70">C50/C48</f>
        <v>0.47516886559930405</v>
      </c>
      <c r="D116" s="81">
        <f t="shared" si="70"/>
        <v>0.50141042231933886</v>
      </c>
      <c r="E116" s="81">
        <f t="shared" si="70"/>
        <v>0.52633990120337204</v>
      </c>
      <c r="F116" s="81">
        <f t="shared" si="70"/>
        <v>0.55002290614320337</v>
      </c>
      <c r="G116" s="81">
        <f t="shared" si="70"/>
        <v>0.57252176083604334</v>
      </c>
      <c r="H116" s="81">
        <f t="shared" si="70"/>
        <v>0.59389567279424116</v>
      </c>
    </row>
    <row r="117" spans="2:14" x14ac:dyDescent="0.25">
      <c r="B117" t="s">
        <v>452</v>
      </c>
      <c r="C117" s="81">
        <f t="shared" ref="C117:H117" si="71">C56/C48</f>
        <v>0.16874836892359313</v>
      </c>
      <c r="D117" s="81">
        <f t="shared" si="71"/>
        <v>0.19498992564362791</v>
      </c>
      <c r="E117" s="81">
        <f t="shared" si="71"/>
        <v>0.21991940452766107</v>
      </c>
      <c r="F117" s="81">
        <f t="shared" si="71"/>
        <v>0.24360240946749248</v>
      </c>
      <c r="G117" s="81">
        <f t="shared" si="71"/>
        <v>0.26610126416033236</v>
      </c>
      <c r="H117" s="81">
        <f t="shared" si="71"/>
        <v>0.28747517611853024</v>
      </c>
    </row>
    <row r="118" spans="2:14" x14ac:dyDescent="0.25">
      <c r="B118" t="s">
        <v>404</v>
      </c>
      <c r="C118" s="81">
        <f t="shared" ref="C118:H118" si="72">C63/C48</f>
        <v>5.6921066257948259E-2</v>
      </c>
      <c r="D118" s="81">
        <f t="shared" si="72"/>
        <v>8.0239897288740633E-2</v>
      </c>
      <c r="E118" s="81">
        <f t="shared" si="72"/>
        <v>0.10510569071171118</v>
      </c>
      <c r="F118" s="81">
        <f t="shared" si="72"/>
        <v>0.12551949586251443</v>
      </c>
      <c r="G118" s="81">
        <f t="shared" si="72"/>
        <v>0.14408869443469854</v>
      </c>
      <c r="H118" s="81">
        <f t="shared" si="72"/>
        <v>0.16275316334197742</v>
      </c>
    </row>
    <row r="119" spans="2:14" x14ac:dyDescent="0.25">
      <c r="E119" s="156"/>
      <c r="F119" s="156"/>
      <c r="G119" s="156"/>
      <c r="H119" s="156"/>
    </row>
    <row r="120" spans="2:14" x14ac:dyDescent="0.25">
      <c r="B120" s="26" t="s">
        <v>393</v>
      </c>
      <c r="C120" s="154">
        <f t="shared" ref="C120:H120" si="73">C71/C16</f>
        <v>0.2384494620851613</v>
      </c>
      <c r="D120" s="154">
        <f t="shared" si="73"/>
        <v>0.27553002839868074</v>
      </c>
      <c r="E120" s="154">
        <f t="shared" si="73"/>
        <v>0.33147144171503257</v>
      </c>
      <c r="F120" s="154">
        <f t="shared" si="73"/>
        <v>0.36716742683472126</v>
      </c>
      <c r="G120" s="154">
        <f t="shared" si="73"/>
        <v>0.40107861269842549</v>
      </c>
      <c r="H120" s="154">
        <f t="shared" si="73"/>
        <v>0.43329423926894445</v>
      </c>
    </row>
    <row r="121" spans="2:14" x14ac:dyDescent="0.25">
      <c r="B121" s="65" t="s">
        <v>398</v>
      </c>
      <c r="C121" s="81">
        <f t="shared" ref="C121:H121" si="74">C71/C48</f>
        <v>0.1012599166645357</v>
      </c>
      <c r="D121" s="81">
        <f t="shared" si="74"/>
        <v>0.11700654499385341</v>
      </c>
      <c r="E121" s="81">
        <f t="shared" si="74"/>
        <v>0.14076261808781174</v>
      </c>
      <c r="F121" s="81">
        <f t="shared" si="74"/>
        <v>0.15592127035261427</v>
      </c>
      <c r="G121" s="81">
        <f t="shared" si="74"/>
        <v>0.17032199000417669</v>
      </c>
      <c r="H121" s="81">
        <f t="shared" si="74"/>
        <v>0.18400267367316098</v>
      </c>
    </row>
    <row r="122" spans="2:14" x14ac:dyDescent="0.25">
      <c r="B122" s="65" t="s">
        <v>4217</v>
      </c>
      <c r="C122" s="64">
        <f>C102</f>
        <v>2.3548257784481619</v>
      </c>
      <c r="D122" s="64">
        <f t="shared" ref="D122:H122" si="75">D102</f>
        <v>2.3548257784481619</v>
      </c>
      <c r="E122" s="64">
        <f t="shared" si="75"/>
        <v>2.3548257784481619</v>
      </c>
      <c r="F122" s="64">
        <f t="shared" si="75"/>
        <v>2.3548257784481623</v>
      </c>
      <c r="G122" s="64">
        <f t="shared" si="75"/>
        <v>2.3548257784481619</v>
      </c>
      <c r="H122" s="64">
        <f t="shared" si="75"/>
        <v>2.3548257784481623</v>
      </c>
    </row>
    <row r="123" spans="2:14" x14ac:dyDescent="0.25">
      <c r="E123" s="156"/>
      <c r="F123" s="156"/>
      <c r="G123" s="156"/>
      <c r="H123" s="156"/>
    </row>
    <row r="124" spans="2:14" x14ac:dyDescent="0.25">
      <c r="B124" s="26" t="s">
        <v>400</v>
      </c>
      <c r="C124" s="154">
        <f t="shared" ref="C124:H124" si="76">C63/C35</f>
        <v>0.19990606283170154</v>
      </c>
      <c r="D124" s="154">
        <f t="shared" si="76"/>
        <v>0.28701934705758264</v>
      </c>
      <c r="E124" s="154">
        <f t="shared" si="76"/>
        <v>0.36260216240581766</v>
      </c>
      <c r="F124" s="154">
        <f t="shared" si="76"/>
        <v>0.41314003320916454</v>
      </c>
      <c r="G124" s="154">
        <f t="shared" si="76"/>
        <v>0.43814654970519556</v>
      </c>
      <c r="H124" s="154">
        <f t="shared" si="76"/>
        <v>0.45264102725044048</v>
      </c>
    </row>
    <row r="125" spans="2:14" x14ac:dyDescent="0.25">
      <c r="B125" s="65" t="s">
        <v>404</v>
      </c>
      <c r="C125" s="156">
        <f>C118</f>
        <v>5.6921066257948259E-2</v>
      </c>
      <c r="D125" s="156">
        <f t="shared" ref="D125:H125" si="77">D118</f>
        <v>8.0239897288740633E-2</v>
      </c>
      <c r="E125" s="156">
        <f t="shared" si="77"/>
        <v>0.10510569071171118</v>
      </c>
      <c r="F125" s="156">
        <f t="shared" si="77"/>
        <v>0.12551949586251443</v>
      </c>
      <c r="G125" s="156">
        <f t="shared" si="77"/>
        <v>0.14408869443469854</v>
      </c>
      <c r="H125" s="156">
        <f t="shared" si="77"/>
        <v>0.16275316334197742</v>
      </c>
      <c r="J125" s="156">
        <f>D125/C125-1</f>
        <v>0.40966961028310345</v>
      </c>
      <c r="K125" s="156">
        <f t="shared" ref="K125:N125" si="78">E125/D125-1</f>
        <v>0.30989313624731851</v>
      </c>
      <c r="L125" s="156">
        <f t="shared" si="78"/>
        <v>0.19422169258936894</v>
      </c>
      <c r="M125" s="156">
        <f t="shared" si="78"/>
        <v>0.14793875998771977</v>
      </c>
      <c r="N125" s="156">
        <f t="shared" si="78"/>
        <v>0.12953458271313356</v>
      </c>
    </row>
    <row r="126" spans="2:14" x14ac:dyDescent="0.25">
      <c r="B126" s="65" t="s">
        <v>399</v>
      </c>
      <c r="C126" s="64">
        <f>C102</f>
        <v>2.3548257784481619</v>
      </c>
      <c r="D126" s="64">
        <f t="shared" ref="D126:H126" si="79">D102</f>
        <v>2.3548257784481619</v>
      </c>
      <c r="E126" s="64">
        <f t="shared" si="79"/>
        <v>2.3548257784481619</v>
      </c>
      <c r="F126" s="64">
        <f t="shared" si="79"/>
        <v>2.3548257784481623</v>
      </c>
      <c r="G126" s="64">
        <f t="shared" si="79"/>
        <v>2.3548257784481619</v>
      </c>
      <c r="H126" s="64">
        <f t="shared" si="79"/>
        <v>2.3548257784481623</v>
      </c>
      <c r="J126" s="156">
        <f t="shared" ref="J126:J127" si="80">D126/C126-1</f>
        <v>0</v>
      </c>
      <c r="K126" s="156">
        <f t="shared" ref="K126:K127" si="81">E126/D126-1</f>
        <v>0</v>
      </c>
      <c r="L126" s="156">
        <f t="shared" ref="L126:L127" si="82">F126/E126-1</f>
        <v>0</v>
      </c>
      <c r="M126" s="156">
        <f t="shared" ref="M126:M127" si="83">G126/F126-1</f>
        <v>0</v>
      </c>
      <c r="N126" s="156">
        <f t="shared" ref="N126:N127" si="84">H126/G126-1</f>
        <v>0</v>
      </c>
    </row>
    <row r="127" spans="2:14" x14ac:dyDescent="0.25">
      <c r="B127" s="65" t="s">
        <v>405</v>
      </c>
      <c r="C127" s="64">
        <f t="shared" ref="C127:H127" si="85">C16/C35</f>
        <v>1.4914000646081718</v>
      </c>
      <c r="D127" s="64">
        <f t="shared" si="85"/>
        <v>1.5190148746037153</v>
      </c>
      <c r="E127" s="64">
        <f t="shared" si="85"/>
        <v>1.4650261534688864</v>
      </c>
      <c r="F127" s="64">
        <f t="shared" si="85"/>
        <v>1.3977429563341937</v>
      </c>
      <c r="G127" s="64">
        <f t="shared" si="85"/>
        <v>1.2913105771674853</v>
      </c>
      <c r="H127" s="64">
        <f t="shared" si="85"/>
        <v>1.1810429617573204</v>
      </c>
      <c r="J127" s="156">
        <f t="shared" si="80"/>
        <v>1.8516031111208697E-2</v>
      </c>
      <c r="K127" s="156">
        <f t="shared" si="81"/>
        <v>-3.5541930521854614E-2</v>
      </c>
      <c r="L127" s="156">
        <f t="shared" si="82"/>
        <v>-4.5926277135312388E-2</v>
      </c>
      <c r="M127" s="156">
        <f t="shared" si="83"/>
        <v>-7.6145888401286888E-2</v>
      </c>
      <c r="N127" s="156">
        <f t="shared" si="84"/>
        <v>-8.5392017505222517E-2</v>
      </c>
    </row>
    <row r="129" spans="2:9" x14ac:dyDescent="0.25">
      <c r="B129" s="426" t="s">
        <v>406</v>
      </c>
      <c r="C129" s="156">
        <f>C124-C120</f>
        <v>-3.8543399253459759E-2</v>
      </c>
      <c r="D129" s="156">
        <f t="shared" ref="D129:H129" si="86">D124-D120</f>
        <v>1.1489318658901904E-2</v>
      </c>
      <c r="E129" s="156">
        <f t="shared" si="86"/>
        <v>3.1130720690785096E-2</v>
      </c>
      <c r="F129" s="156">
        <f t="shared" si="86"/>
        <v>4.5972606374443281E-2</v>
      </c>
      <c r="G129" s="156">
        <f t="shared" si="86"/>
        <v>3.706793700677008E-2</v>
      </c>
      <c r="H129" s="156">
        <f t="shared" si="86"/>
        <v>1.9346787981496028E-2</v>
      </c>
    </row>
    <row r="131" spans="2:9" x14ac:dyDescent="0.25">
      <c r="B131" s="26" t="s">
        <v>4070</v>
      </c>
      <c r="C131" s="73">
        <f>C132-C133*C134</f>
        <v>5125828.0714746974</v>
      </c>
      <c r="D131" s="73">
        <f t="shared" ref="D131:H131" si="87">D132-D133*D134</f>
        <v>8016109.0122380201</v>
      </c>
      <c r="E131" s="73">
        <f t="shared" si="87"/>
        <v>12764883.340578962</v>
      </c>
      <c r="F131" s="73">
        <f t="shared" si="87"/>
        <v>18326721.070605807</v>
      </c>
      <c r="G131" s="73">
        <f t="shared" si="87"/>
        <v>25257213.537341908</v>
      </c>
      <c r="H131" s="73">
        <f t="shared" si="87"/>
        <v>34140652.1442516</v>
      </c>
    </row>
    <row r="132" spans="2:9" x14ac:dyDescent="0.25">
      <c r="B132" s="119" t="s">
        <v>394</v>
      </c>
      <c r="C132" s="67">
        <f>C71</f>
        <v>9777860.0729608964</v>
      </c>
      <c r="D132" s="67">
        <f t="shared" ref="D132:H132" si="88">D71</f>
        <v>13625322.890617596</v>
      </c>
      <c r="E132" s="67">
        <f t="shared" si="88"/>
        <v>19671778.379298232</v>
      </c>
      <c r="F132" s="67">
        <f t="shared" si="88"/>
        <v>26781012.161155403</v>
      </c>
      <c r="G132" s="67">
        <f t="shared" si="88"/>
        <v>35434140.696514256</v>
      </c>
      <c r="H132" s="67">
        <f t="shared" si="88"/>
        <v>46379791.482212506</v>
      </c>
    </row>
    <row r="133" spans="2:9" x14ac:dyDescent="0.25">
      <c r="B133" s="119" t="s">
        <v>379</v>
      </c>
      <c r="C133" s="67">
        <f t="shared" ref="C133:H133" si="89">C16</f>
        <v>41006006</v>
      </c>
      <c r="D133" s="67">
        <f t="shared" si="89"/>
        <v>49451317.4110457</v>
      </c>
      <c r="E133" s="67">
        <f t="shared" si="89"/>
        <v>59346827.218406782</v>
      </c>
      <c r="F133" s="67">
        <f t="shared" si="89"/>
        <v>72939509.890703768</v>
      </c>
      <c r="G133" s="67">
        <f t="shared" si="89"/>
        <v>88347120.92503795</v>
      </c>
      <c r="H133" s="67">
        <f t="shared" si="89"/>
        <v>107039944.86625221</v>
      </c>
    </row>
    <row r="134" spans="2:9" x14ac:dyDescent="0.25">
      <c r="B134" s="119" t="s">
        <v>4071</v>
      </c>
      <c r="C134" s="156">
        <f>C135*C137+C136*C138</f>
        <v>0.11344757647175389</v>
      </c>
      <c r="D134" s="156">
        <f t="shared" ref="D134:H134" si="90">D135*D137+D136*D138</f>
        <v>0.1134290080030643</v>
      </c>
      <c r="E134" s="156">
        <f t="shared" si="90"/>
        <v>0.11638187519782109</v>
      </c>
      <c r="F134" s="156">
        <f t="shared" si="90"/>
        <v>0.11590825196409918</v>
      </c>
      <c r="G134" s="156">
        <f t="shared" si="90"/>
        <v>0.11519251620895962</v>
      </c>
      <c r="H134" s="156">
        <f t="shared" si="90"/>
        <v>0.11434179411484066</v>
      </c>
    </row>
    <row r="135" spans="2:9" x14ac:dyDescent="0.25">
      <c r="B135" s="115" t="s">
        <v>4102</v>
      </c>
      <c r="C135" s="81">
        <f>C6*(1-C7)</f>
        <v>0.11527240301839546</v>
      </c>
      <c r="D135" s="81">
        <f t="shared" ref="D135:H135" si="91">D6*(1-D7)</f>
        <v>0.11527240301839546</v>
      </c>
      <c r="E135" s="81">
        <f t="shared" si="91"/>
        <v>0.12295640301839546</v>
      </c>
      <c r="F135" s="81">
        <f t="shared" si="91"/>
        <v>0.12295640301839546</v>
      </c>
      <c r="G135" s="81">
        <f t="shared" si="91"/>
        <v>0.12295640301839546</v>
      </c>
      <c r="H135" s="81">
        <f t="shared" si="91"/>
        <v>0.12295640301839546</v>
      </c>
    </row>
    <row r="136" spans="2:9" x14ac:dyDescent="0.25">
      <c r="B136" s="115" t="s">
        <v>4103</v>
      </c>
      <c r="C136" s="531">
        <f>'Analisis Sectorial'!$H$203</f>
        <v>0.11201556632833577</v>
      </c>
      <c r="D136" s="531">
        <f>'Analisis Sectorial'!$H$203</f>
        <v>0.11201556632833577</v>
      </c>
      <c r="E136" s="531">
        <f>'Analisis Sectorial'!$H$203</f>
        <v>0.11201556632833577</v>
      </c>
      <c r="F136" s="531">
        <f>'Analisis Sectorial'!$H$203</f>
        <v>0.11201556632833577</v>
      </c>
      <c r="G136" s="531">
        <f>'Analisis Sectorial'!$H$203</f>
        <v>0.11201556632833577</v>
      </c>
      <c r="H136" s="531">
        <f>'Analisis Sectorial'!$H$203</f>
        <v>0.11201556632833577</v>
      </c>
      <c r="I136" t="s">
        <v>4244</v>
      </c>
    </row>
    <row r="137" spans="2:9" x14ac:dyDescent="0.25">
      <c r="B137" s="115" t="s">
        <v>4129</v>
      </c>
      <c r="C137" s="81">
        <f t="shared" ref="C137:H137" si="92">(C28+C29+C30)/(C28+C29+C30+C35)</f>
        <v>0.43969356762308964</v>
      </c>
      <c r="D137" s="81">
        <f t="shared" si="92"/>
        <v>0.43399218605051765</v>
      </c>
      <c r="E137" s="81">
        <f t="shared" si="92"/>
        <v>0.39908363438532451</v>
      </c>
      <c r="F137" s="81">
        <f t="shared" si="92"/>
        <v>0.35579414500356255</v>
      </c>
      <c r="G137" s="81">
        <f t="shared" si="92"/>
        <v>0.29037540460778977</v>
      </c>
      <c r="H137" s="81">
        <f t="shared" si="92"/>
        <v>0.21261881996816342</v>
      </c>
    </row>
    <row r="138" spans="2:9" x14ac:dyDescent="0.25">
      <c r="B138" s="115" t="s">
        <v>4130</v>
      </c>
      <c r="C138" s="81">
        <f t="shared" ref="C138:H138" si="93">(C35)/(C28+C29+C30+C35)</f>
        <v>0.56030643237691036</v>
      </c>
      <c r="D138" s="81">
        <f t="shared" si="93"/>
        <v>0.5660078139494823</v>
      </c>
      <c r="E138" s="81">
        <f t="shared" si="93"/>
        <v>0.60091636561467543</v>
      </c>
      <c r="F138" s="81">
        <f t="shared" si="93"/>
        <v>0.64420585499643745</v>
      </c>
      <c r="G138" s="81">
        <f t="shared" si="93"/>
        <v>0.70962459539221034</v>
      </c>
      <c r="H138" s="81">
        <f t="shared" si="93"/>
        <v>0.78738118003183666</v>
      </c>
    </row>
    <row r="140" spans="2:9" x14ac:dyDescent="0.25">
      <c r="B140" s="482" t="s">
        <v>453</v>
      </c>
      <c r="C140" s="482"/>
      <c r="D140" s="482"/>
      <c r="E140" s="482"/>
      <c r="F140" s="482"/>
      <c r="G140" s="482"/>
      <c r="H140" s="482"/>
    </row>
    <row r="142" spans="2:9" x14ac:dyDescent="0.25">
      <c r="B142" t="s">
        <v>456</v>
      </c>
      <c r="C142" s="64">
        <f>C27/C35</f>
        <v>0.78473767605672218</v>
      </c>
      <c r="D142" s="64">
        <f t="shared" ref="D142:H142" si="94">D27/D35</f>
        <v>0.7667600611769162</v>
      </c>
      <c r="E142" s="64">
        <f t="shared" si="94"/>
        <v>0.66412508831757833</v>
      </c>
      <c r="F142" s="64">
        <f t="shared" si="94"/>
        <v>0.55229883777683164</v>
      </c>
      <c r="G142" s="64">
        <f t="shared" si="94"/>
        <v>0.40919580084072327</v>
      </c>
      <c r="H142" s="64">
        <f t="shared" si="94"/>
        <v>0.27003289557869098</v>
      </c>
    </row>
    <row r="143" spans="2:9" x14ac:dyDescent="0.25">
      <c r="B143" t="s">
        <v>455</v>
      </c>
      <c r="C143" s="81">
        <f>C27/C16</f>
        <v>0.52617516565744049</v>
      </c>
      <c r="D143" s="81">
        <f t="shared" ref="D143:H143" si="95">D27/D16</f>
        <v>0.50477455750849742</v>
      </c>
      <c r="E143" s="81">
        <f t="shared" si="95"/>
        <v>0.45331961258511599</v>
      </c>
      <c r="F143" s="81">
        <f t="shared" si="95"/>
        <v>0.39513619816430656</v>
      </c>
      <c r="G143" s="81">
        <f t="shared" si="95"/>
        <v>0.31688410834386732</v>
      </c>
      <c r="H143" s="81">
        <f t="shared" si="95"/>
        <v>0.22863935040677807</v>
      </c>
    </row>
    <row r="144" spans="2:9" x14ac:dyDescent="0.25">
      <c r="B144" t="s">
        <v>405</v>
      </c>
      <c r="C144" s="64">
        <f>C16/C35</f>
        <v>1.4914000646081718</v>
      </c>
      <c r="D144" s="64">
        <f t="shared" ref="D144:H144" si="96">D16/D35</f>
        <v>1.5190148746037153</v>
      </c>
      <c r="E144" s="64">
        <f t="shared" si="96"/>
        <v>1.4650261534688864</v>
      </c>
      <c r="F144" s="64">
        <f t="shared" si="96"/>
        <v>1.3977429563341937</v>
      </c>
      <c r="G144" s="64">
        <f t="shared" si="96"/>
        <v>1.2913105771674853</v>
      </c>
      <c r="H144" s="64">
        <f t="shared" si="96"/>
        <v>1.1810429617573204</v>
      </c>
    </row>
    <row r="146" spans="2:8" x14ac:dyDescent="0.25">
      <c r="B146" s="482" t="s">
        <v>4190</v>
      </c>
      <c r="C146" s="482"/>
      <c r="D146" s="482"/>
      <c r="E146" s="482"/>
      <c r="F146" s="482"/>
      <c r="G146" s="482"/>
      <c r="H146" s="482"/>
    </row>
    <row r="147" spans="2:8" outlineLevel="1" x14ac:dyDescent="0.25"/>
    <row r="148" spans="2:8" outlineLevel="1" x14ac:dyDescent="0.25">
      <c r="B148" t="s">
        <v>4063</v>
      </c>
      <c r="C148" s="64">
        <f>C56/C60</f>
        <v>3.9313404404477112</v>
      </c>
      <c r="D148" s="64">
        <f t="shared" ref="D148:H148" si="97">D56/D60</f>
        <v>5.4782725969018973</v>
      </c>
      <c r="E148" s="64">
        <f t="shared" si="97"/>
        <v>6.40939667264725</v>
      </c>
      <c r="F148" s="64">
        <f t="shared" si="97"/>
        <v>8.0960619411196362</v>
      </c>
      <c r="G148" s="64">
        <f t="shared" si="97"/>
        <v>9.9991042832236712</v>
      </c>
      <c r="H148" s="64">
        <f t="shared" si="97"/>
        <v>13.4736350826237</v>
      </c>
    </row>
    <row r="149" spans="2:8" outlineLevel="1" x14ac:dyDescent="0.25">
      <c r="B149" t="s">
        <v>4066</v>
      </c>
      <c r="C149" s="81">
        <f t="shared" ref="C149:H149" si="98">C28/(C28+C29+C30)</f>
        <v>0.62120126757353034</v>
      </c>
      <c r="D149" s="81">
        <f t="shared" si="98"/>
        <v>0.53695121314228933</v>
      </c>
      <c r="E149" s="81">
        <f t="shared" si="98"/>
        <v>0.4982050620187502</v>
      </c>
      <c r="F149" s="81">
        <f t="shared" si="98"/>
        <v>0.46505090396022403</v>
      </c>
      <c r="G149" s="81">
        <f t="shared" si="98"/>
        <v>0.47875937289000264</v>
      </c>
      <c r="H149" s="81">
        <f t="shared" si="98"/>
        <v>0.54766286790150476</v>
      </c>
    </row>
    <row r="150" spans="2:8" outlineLevel="1" x14ac:dyDescent="0.25"/>
    <row r="151" spans="2:8" outlineLevel="1" x14ac:dyDescent="0.25"/>
    <row r="152" spans="2:8" x14ac:dyDescent="0.25">
      <c r="B152" s="482" t="s">
        <v>4231</v>
      </c>
      <c r="C152" s="482"/>
      <c r="D152" s="482"/>
      <c r="E152" s="482"/>
      <c r="F152" s="482"/>
      <c r="G152" s="482"/>
      <c r="H152" s="482"/>
    </row>
    <row r="154" spans="2:8" x14ac:dyDescent="0.25">
      <c r="B154" t="s">
        <v>4223</v>
      </c>
      <c r="C154" s="81">
        <f t="shared" ref="C154:H154" si="99">1-C8</f>
        <v>0.54151908554162242</v>
      </c>
      <c r="D154" s="81">
        <f t="shared" si="99"/>
        <v>0.54151908554162242</v>
      </c>
      <c r="E154" s="81">
        <f t="shared" si="99"/>
        <v>0.54151908554162242</v>
      </c>
      <c r="F154" s="81">
        <f t="shared" si="99"/>
        <v>0.54151908554162242</v>
      </c>
      <c r="G154" s="81">
        <f t="shared" si="99"/>
        <v>0.54151908554162242</v>
      </c>
      <c r="H154" s="81">
        <f t="shared" si="99"/>
        <v>0.54151908554162242</v>
      </c>
    </row>
    <row r="156" spans="2:8" x14ac:dyDescent="0.25">
      <c r="B156" s="26" t="s">
        <v>4224</v>
      </c>
      <c r="C156" s="154">
        <f>(C157*C154)/(1-C158*C154)</f>
        <v>8.33469515172479E-2</v>
      </c>
      <c r="D156" s="154">
        <f t="shared" ref="D156:H156" si="100">(D157*D154)/(1-D158*D154)</f>
        <v>0.12026461528601572</v>
      </c>
      <c r="E156" s="154">
        <f t="shared" si="100"/>
        <v>0.16335002112271238</v>
      </c>
      <c r="F156" s="154">
        <f t="shared" si="100"/>
        <v>0.1997827856217998</v>
      </c>
      <c r="G156" s="154">
        <f t="shared" si="100"/>
        <v>0.23471835172044259</v>
      </c>
      <c r="H156" s="154">
        <f t="shared" si="100"/>
        <v>0.27116559187212047</v>
      </c>
    </row>
    <row r="157" spans="2:8" x14ac:dyDescent="0.25">
      <c r="B157" s="65" t="s">
        <v>4225</v>
      </c>
      <c r="C157" s="81">
        <f t="shared" ref="C157:H157" si="101">C63/C16</f>
        <v>0.13403919416097243</v>
      </c>
      <c r="D157" s="81">
        <f t="shared" si="101"/>
        <v>0.18895097859555918</v>
      </c>
      <c r="E157" s="81">
        <f t="shared" si="101"/>
        <v>0.247505589949537</v>
      </c>
      <c r="F157" s="81">
        <f t="shared" si="101"/>
        <v>0.29557654455486643</v>
      </c>
      <c r="G157" s="81">
        <f t="shared" si="101"/>
        <v>0.3393037720377684</v>
      </c>
      <c r="H157" s="81">
        <f t="shared" si="101"/>
        <v>0.38325534456167287</v>
      </c>
    </row>
    <row r="158" spans="2:8" x14ac:dyDescent="0.25">
      <c r="B158" s="65" t="s">
        <v>393</v>
      </c>
      <c r="C158" s="156">
        <f>C120</f>
        <v>0.2384494620851613</v>
      </c>
      <c r="D158" s="156">
        <f t="shared" ref="D158:H158" si="102">D120</f>
        <v>0.27553002839868074</v>
      </c>
      <c r="E158" s="156">
        <f t="shared" si="102"/>
        <v>0.33147144171503257</v>
      </c>
      <c r="F158" s="156">
        <f t="shared" si="102"/>
        <v>0.36716742683472126</v>
      </c>
      <c r="G158" s="156">
        <f t="shared" si="102"/>
        <v>0.40107861269842549</v>
      </c>
      <c r="H158" s="156">
        <f t="shared" si="102"/>
        <v>0.43329423926894445</v>
      </c>
    </row>
    <row r="160" spans="2:8" x14ac:dyDescent="0.25">
      <c r="B160" s="26" t="s">
        <v>4226</v>
      </c>
      <c r="C160" s="154">
        <f>(C161*C154)/(1-C162*C154)</f>
        <v>0.13407215269236802</v>
      </c>
      <c r="D160" s="154">
        <f t="shared" ref="D160:H160" si="103">(D161*D154)/(1-D162*D154)</f>
        <v>0.20097666185905158</v>
      </c>
      <c r="E160" s="154">
        <f t="shared" si="103"/>
        <v>0.26641498876080005</v>
      </c>
      <c r="F160" s="154">
        <f t="shared" si="103"/>
        <v>0.30982761361192185</v>
      </c>
      <c r="G160" s="154">
        <f t="shared" si="103"/>
        <v>0.32974590503110884</v>
      </c>
      <c r="H160" s="154">
        <f t="shared" si="103"/>
        <v>0.33907780952918398</v>
      </c>
    </row>
    <row r="161" spans="2:8" x14ac:dyDescent="0.25">
      <c r="B161" s="65" t="s">
        <v>400</v>
      </c>
      <c r="C161" s="156">
        <f>C124</f>
        <v>0.19990606283170154</v>
      </c>
      <c r="D161" s="156">
        <f t="shared" ref="D161:H161" si="104">D124</f>
        <v>0.28701934705758264</v>
      </c>
      <c r="E161" s="156">
        <f t="shared" si="104"/>
        <v>0.36260216240581766</v>
      </c>
      <c r="F161" s="156">
        <f t="shared" si="104"/>
        <v>0.41314003320916454</v>
      </c>
      <c r="G161" s="156">
        <f t="shared" si="104"/>
        <v>0.43814654970519556</v>
      </c>
      <c r="H161" s="156">
        <f t="shared" si="104"/>
        <v>0.45264102725044048</v>
      </c>
    </row>
    <row r="162" spans="2:8" x14ac:dyDescent="0.25">
      <c r="B162" s="65" t="s">
        <v>4227</v>
      </c>
      <c r="C162" s="81">
        <f t="shared" ref="C162:H162" si="105">C71/C35</f>
        <v>0.35562354315959332</v>
      </c>
      <c r="D162" s="81">
        <f t="shared" si="105"/>
        <v>0.41853421153758014</v>
      </c>
      <c r="E162" s="81">
        <f t="shared" si="105"/>
        <v>0.48561433124056036</v>
      </c>
      <c r="F162" s="81">
        <f t="shared" si="105"/>
        <v>0.51320568465358207</v>
      </c>
      <c r="G162" s="81">
        <f t="shared" si="105"/>
        <v>0.5179170548531381</v>
      </c>
      <c r="H162" s="81">
        <f t="shared" si="105"/>
        <v>0.5117391116585791</v>
      </c>
    </row>
    <row r="163" spans="2:8" x14ac:dyDescent="0.25">
      <c r="B163" s="65"/>
      <c r="C163" s="156"/>
      <c r="D163" s="156"/>
      <c r="E163" s="156"/>
      <c r="F163" s="156"/>
      <c r="G163" s="156"/>
      <c r="H163" s="156"/>
    </row>
    <row r="164" spans="2:8" x14ac:dyDescent="0.25">
      <c r="B164" s="65"/>
      <c r="D164" s="149"/>
      <c r="E164" s="149"/>
      <c r="F164" s="149"/>
      <c r="G164" s="149"/>
      <c r="H164" s="149"/>
    </row>
    <row r="165" spans="2:8" x14ac:dyDescent="0.25">
      <c r="B165" s="65"/>
      <c r="C165" s="156"/>
      <c r="D165" s="156"/>
      <c r="E165" s="156"/>
      <c r="F165" s="156"/>
      <c r="G165" s="156"/>
      <c r="H165" s="156"/>
    </row>
    <row r="166" spans="2:8" x14ac:dyDescent="0.25">
      <c r="B166" s="65"/>
      <c r="C166" s="142"/>
      <c r="D166" s="142"/>
      <c r="E166" s="142"/>
      <c r="F166" s="142"/>
      <c r="G166" s="142"/>
      <c r="H166" s="142"/>
    </row>
    <row r="167" spans="2:8" x14ac:dyDescent="0.25">
      <c r="B167" s="65"/>
      <c r="C167" s="142"/>
      <c r="D167" s="142"/>
      <c r="E167" s="142"/>
      <c r="F167" s="142"/>
      <c r="G167" s="142"/>
      <c r="H167" s="142"/>
    </row>
    <row r="168" spans="2:8" x14ac:dyDescent="0.25">
      <c r="D168" s="64"/>
      <c r="E168" s="64"/>
      <c r="F168" s="64"/>
      <c r="G168" s="64"/>
      <c r="H168" s="64"/>
    </row>
    <row r="173" spans="2:8" x14ac:dyDescent="0.25">
      <c r="D173" s="149"/>
      <c r="E173" s="149"/>
      <c r="F173" s="149"/>
      <c r="G173" s="149"/>
      <c r="H173" s="149"/>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2:P173"/>
  <sheetViews>
    <sheetView topLeftCell="A88" zoomScaleNormal="100" workbookViewId="0">
      <selection activeCell="B4" sqref="B4"/>
    </sheetView>
  </sheetViews>
  <sheetFormatPr baseColWidth="10" defaultRowHeight="15" outlineLevelRow="1" x14ac:dyDescent="0.25"/>
  <cols>
    <col min="1" max="1" width="3.625" customWidth="1"/>
    <col min="2" max="2" width="35.25" bestFit="1" customWidth="1"/>
    <col min="3" max="8" width="12.625" customWidth="1"/>
    <col min="10" max="12" width="11.625" bestFit="1" customWidth="1"/>
    <col min="13" max="13" width="11.75" bestFit="1" customWidth="1"/>
    <col min="14" max="15" width="11.625" bestFit="1" customWidth="1"/>
  </cols>
  <sheetData>
    <row r="2" spans="2:15" x14ac:dyDescent="0.25">
      <c r="C2" s="26">
        <v>2015</v>
      </c>
      <c r="D2" s="26">
        <f>C2+1</f>
        <v>2016</v>
      </c>
      <c r="E2" s="26">
        <f t="shared" ref="E2:H2" si="0">D2+1</f>
        <v>2017</v>
      </c>
      <c r="F2" s="26">
        <f t="shared" si="0"/>
        <v>2018</v>
      </c>
      <c r="G2" s="26">
        <f t="shared" si="0"/>
        <v>2019</v>
      </c>
      <c r="H2" s="26">
        <f t="shared" si="0"/>
        <v>2020</v>
      </c>
    </row>
    <row r="4" spans="2:15" x14ac:dyDescent="0.25">
      <c r="B4" s="26" t="s">
        <v>5548</v>
      </c>
      <c r="C4" s="26"/>
      <c r="D4" s="155">
        <f>Supuestos!E78</f>
        <v>-0.11404696446062794</v>
      </c>
      <c r="E4" s="155">
        <f>Supuestos!F78</f>
        <v>-0.10820001962675373</v>
      </c>
      <c r="F4" s="155">
        <f>Supuestos!G78</f>
        <v>-0.13713199733009479</v>
      </c>
      <c r="G4" s="155">
        <f>Supuestos!H78</f>
        <v>-0.11933213243292891</v>
      </c>
      <c r="H4" s="155">
        <f>Supuestos!I78</f>
        <v>-0.11967777846260134</v>
      </c>
      <c r="I4" t="s">
        <v>5524</v>
      </c>
    </row>
    <row r="5" spans="2:15" x14ac:dyDescent="0.25">
      <c r="B5" s="26" t="s">
        <v>5534</v>
      </c>
      <c r="C5" s="26"/>
      <c r="D5" s="155">
        <f>Supuestos!E82</f>
        <v>0.05</v>
      </c>
      <c r="E5" s="155">
        <f>Supuestos!F82</f>
        <v>0.05</v>
      </c>
      <c r="F5" s="155">
        <f>Supuestos!G82</f>
        <v>0.05</v>
      </c>
      <c r="G5" s="155">
        <f>Supuestos!H82</f>
        <v>0.05</v>
      </c>
      <c r="H5" s="155">
        <f>Supuestos!I82</f>
        <v>0.05</v>
      </c>
    </row>
    <row r="6" spans="2:15" x14ac:dyDescent="0.25">
      <c r="B6" s="26" t="s">
        <v>4207</v>
      </c>
      <c r="C6" s="155">
        <f>CERTIFICADO1!E330</f>
        <v>0.19209999999999999</v>
      </c>
      <c r="D6" s="155">
        <f>C6</f>
        <v>0.19209999999999999</v>
      </c>
      <c r="E6" s="155">
        <f t="shared" ref="E6:H9" si="1">D6</f>
        <v>0.19209999999999999</v>
      </c>
      <c r="F6" s="155">
        <f t="shared" si="1"/>
        <v>0.19209999999999999</v>
      </c>
      <c r="G6" s="155">
        <f t="shared" si="1"/>
        <v>0.19209999999999999</v>
      </c>
      <c r="H6" s="155">
        <f t="shared" si="1"/>
        <v>0.19209999999999999</v>
      </c>
    </row>
    <row r="7" spans="2:15" x14ac:dyDescent="0.25">
      <c r="B7" s="26" t="s">
        <v>396</v>
      </c>
      <c r="C7" s="155">
        <f>Supuestos!D80</f>
        <v>0.39993543457368314</v>
      </c>
      <c r="D7" s="155">
        <f>Supuestos!E80</f>
        <v>0.39993543457368314</v>
      </c>
      <c r="E7" s="155">
        <f>Supuestos!F80</f>
        <v>0.43993543457368312</v>
      </c>
      <c r="F7" s="155">
        <f>Supuestos!G80</f>
        <v>0.43993543457368312</v>
      </c>
      <c r="G7" s="155">
        <f>Supuestos!H80</f>
        <v>0.43993543457368312</v>
      </c>
      <c r="H7" s="155">
        <f>Supuestos!I80</f>
        <v>0.43993543457368312</v>
      </c>
    </row>
    <row r="8" spans="2:15" x14ac:dyDescent="0.25">
      <c r="B8" s="26" t="s">
        <v>4209</v>
      </c>
      <c r="C8" s="155">
        <f>C65/C63</f>
        <v>0.45848091445837758</v>
      </c>
      <c r="D8" s="155">
        <f>C8</f>
        <v>0.45848091445837758</v>
      </c>
      <c r="E8" s="155">
        <f t="shared" si="1"/>
        <v>0.45848091445837758</v>
      </c>
      <c r="F8" s="155">
        <f t="shared" si="1"/>
        <v>0.45848091445837758</v>
      </c>
      <c r="G8" s="155">
        <f t="shared" si="1"/>
        <v>0.45848091445837758</v>
      </c>
      <c r="H8" s="155">
        <f t="shared" si="1"/>
        <v>0.45848091445837758</v>
      </c>
    </row>
    <row r="9" spans="2:15" x14ac:dyDescent="0.25">
      <c r="B9" s="26" t="s">
        <v>4210</v>
      </c>
      <c r="C9" s="532">
        <f>Supuestos!I26</f>
        <v>8.7940209281263254E-2</v>
      </c>
      <c r="D9" s="155">
        <f>C9</f>
        <v>8.7940209281263254E-2</v>
      </c>
      <c r="E9" s="155">
        <f t="shared" si="1"/>
        <v>8.7940209281263254E-2</v>
      </c>
      <c r="F9" s="155">
        <f t="shared" si="1"/>
        <v>8.7940209281263254E-2</v>
      </c>
      <c r="G9" s="155">
        <f t="shared" si="1"/>
        <v>8.7940209281263254E-2</v>
      </c>
      <c r="H9" s="155">
        <f t="shared" si="1"/>
        <v>8.7940209281263254E-2</v>
      </c>
    </row>
    <row r="10" spans="2:15" x14ac:dyDescent="0.25">
      <c r="D10" s="64"/>
      <c r="E10" s="64"/>
      <c r="F10" s="64"/>
      <c r="G10" s="64"/>
      <c r="H10" s="64"/>
    </row>
    <row r="12" spans="2:15" x14ac:dyDescent="0.25">
      <c r="B12" s="482" t="s">
        <v>4205</v>
      </c>
      <c r="C12" s="482"/>
      <c r="D12" s="482"/>
      <c r="E12" s="482"/>
      <c r="F12" s="482"/>
      <c r="G12" s="482"/>
      <c r="H12" s="482"/>
    </row>
    <row r="14" spans="2:15" x14ac:dyDescent="0.25">
      <c r="B14" s="78" t="s">
        <v>4124</v>
      </c>
      <c r="C14" s="87">
        <f>'EF Sempertex 2015 I'!B27</f>
        <v>9879131</v>
      </c>
      <c r="D14" s="87">
        <f>C14</f>
        <v>9879131</v>
      </c>
      <c r="E14" s="87">
        <f t="shared" ref="E14:H14" si="2">D14</f>
        <v>9879131</v>
      </c>
      <c r="F14" s="87">
        <f t="shared" si="2"/>
        <v>9879131</v>
      </c>
      <c r="G14" s="87">
        <f t="shared" si="2"/>
        <v>9879131</v>
      </c>
      <c r="H14" s="87">
        <f t="shared" si="2"/>
        <v>9879131</v>
      </c>
    </row>
    <row r="15" spans="2:15" s="521" customFormat="1" ht="5.0999999999999996" customHeight="1" x14ac:dyDescent="0.25">
      <c r="B15" s="519"/>
      <c r="C15" s="520"/>
    </row>
    <row r="16" spans="2:15" x14ac:dyDescent="0.25">
      <c r="B16" s="78" t="s">
        <v>379</v>
      </c>
      <c r="C16" s="87">
        <f t="shared" ref="C16:H16" si="3">C17+C22</f>
        <v>41006006</v>
      </c>
      <c r="D16" s="87">
        <f t="shared" si="3"/>
        <v>36329395.491045713</v>
      </c>
      <c r="E16" s="87">
        <f t="shared" si="3"/>
        <v>32398554.185886465</v>
      </c>
      <c r="F16" s="87">
        <f t="shared" si="3"/>
        <v>27955675.73976855</v>
      </c>
      <c r="G16" s="87">
        <f t="shared" si="3"/>
        <v>24619665.340138465</v>
      </c>
      <c r="H16" s="87">
        <f t="shared" si="3"/>
        <v>21673238.485737991</v>
      </c>
      <c r="J16" s="92">
        <f t="shared" ref="J16:O16" si="4">C48/C16</f>
        <v>2.3548257784481619</v>
      </c>
      <c r="K16" s="92">
        <f t="shared" si="4"/>
        <v>2.3548257784481614</v>
      </c>
      <c r="L16" s="92">
        <f t="shared" si="4"/>
        <v>2.3548257784481619</v>
      </c>
      <c r="M16" s="92">
        <f t="shared" si="4"/>
        <v>2.3548257784481619</v>
      </c>
      <c r="N16" s="92">
        <f t="shared" si="4"/>
        <v>2.3548257784481623</v>
      </c>
      <c r="O16" s="92">
        <f t="shared" si="4"/>
        <v>2.3548257784481619</v>
      </c>
    </row>
    <row r="17" spans="2:15" x14ac:dyDescent="0.25">
      <c r="B17" s="143" t="s">
        <v>338</v>
      </c>
      <c r="C17" s="609">
        <f>C18+C19-C21-C20</f>
        <v>26070389</v>
      </c>
      <c r="D17" s="609">
        <f>D48/C99</f>
        <v>23097140.272242259</v>
      </c>
      <c r="E17" s="609">
        <f>E48/D99</f>
        <v>20598029.241463762</v>
      </c>
      <c r="F17" s="609">
        <f>F48/E99</f>
        <v>17773380.350518137</v>
      </c>
      <c r="G17" s="609">
        <f>G48/F99</f>
        <v>15652444.972749289</v>
      </c>
      <c r="H17" s="609">
        <f>H48/G99</f>
        <v>13779195.130902542</v>
      </c>
      <c r="K17" s="165" t="b">
        <f>K16=J16</f>
        <v>1</v>
      </c>
      <c r="L17" s="165" t="b">
        <f>L16=K16</f>
        <v>1</v>
      </c>
      <c r="M17" s="165" t="b">
        <f t="shared" ref="M17:O17" si="5">M16=L16</f>
        <v>1</v>
      </c>
      <c r="N17" s="165" t="b">
        <f t="shared" si="5"/>
        <v>1</v>
      </c>
      <c r="O17" s="165" t="b">
        <f t="shared" si="5"/>
        <v>1</v>
      </c>
    </row>
    <row r="18" spans="2:15" x14ac:dyDescent="0.25">
      <c r="B18" s="146" t="s">
        <v>4196</v>
      </c>
      <c r="C18" s="67">
        <f>'EF Sempertex 2015 I'!B28</f>
        <v>18926109</v>
      </c>
      <c r="D18" s="67">
        <f>D48/D92</f>
        <v>28516465.672584284</v>
      </c>
      <c r="E18" s="67">
        <f t="shared" ref="E18:H19" si="6">E48/E92</f>
        <v>23665070.793689068</v>
      </c>
      <c r="F18" s="67">
        <f t="shared" si="6"/>
        <v>19001891.062817488</v>
      </c>
      <c r="G18" s="67">
        <f t="shared" si="6"/>
        <v>15572330.993318988</v>
      </c>
      <c r="H18" s="67">
        <f t="shared" si="6"/>
        <v>12756746.996066876</v>
      </c>
      <c r="I18" s="68"/>
      <c r="J18" s="68"/>
      <c r="K18" s="68"/>
      <c r="L18" s="68"/>
      <c r="M18" s="68"/>
      <c r="N18" s="68"/>
      <c r="O18" s="68"/>
    </row>
    <row r="19" spans="2:15" x14ac:dyDescent="0.25">
      <c r="B19" s="146" t="s">
        <v>4197</v>
      </c>
      <c r="C19" s="67">
        <f>'EF Sempertex 2015 I'!B29</f>
        <v>29464218</v>
      </c>
      <c r="D19" s="67">
        <f>D49/D93</f>
        <v>47143936.438328885</v>
      </c>
      <c r="E19" s="67">
        <f t="shared" si="6"/>
        <v>42177989.382016182</v>
      </c>
      <c r="F19" s="67">
        <f t="shared" si="6"/>
        <v>36510922.81002707</v>
      </c>
      <c r="G19" s="67">
        <f t="shared" si="6"/>
        <v>32257264.310086362</v>
      </c>
      <c r="H19" s="67">
        <f t="shared" si="6"/>
        <v>28487987.464958932</v>
      </c>
    </row>
    <row r="20" spans="2:15" x14ac:dyDescent="0.25">
      <c r="B20" s="146" t="s">
        <v>4198</v>
      </c>
      <c r="C20" s="67">
        <f>'EF Sempertex 2015 I'!B38</f>
        <v>17889996</v>
      </c>
      <c r="D20" s="67">
        <f>D96/D94</f>
        <v>17570296.844826732</v>
      </c>
      <c r="E20" s="67">
        <f t="shared" ref="E20:H20" si="7">E96/E94</f>
        <v>9403744.6338549871</v>
      </c>
      <c r="F20" s="67">
        <f t="shared" si="7"/>
        <v>7296351.2927427478</v>
      </c>
      <c r="G20" s="67">
        <f t="shared" si="7"/>
        <v>6160283.9416806735</v>
      </c>
      <c r="H20" s="67">
        <f t="shared" si="7"/>
        <v>5069426.3385881633</v>
      </c>
    </row>
    <row r="21" spans="2:15" x14ac:dyDescent="0.25">
      <c r="B21" s="146" t="s">
        <v>4251</v>
      </c>
      <c r="C21" s="67">
        <f>'EF Sempertex 2015 I'!B36+'EF Sempertex 2015 I'!B39+'EF Sempertex 2015 I'!B41</f>
        <v>4429942</v>
      </c>
      <c r="D21" s="529">
        <f>D18+D19-D20-D17</f>
        <v>34992964.993844181</v>
      </c>
      <c r="E21" s="529">
        <f t="shared" ref="E21:H21" si="8">E18+E19-E20-E17</f>
        <v>35841286.300386503</v>
      </c>
      <c r="F21" s="529">
        <f t="shared" si="8"/>
        <v>30443082.229583681</v>
      </c>
      <c r="G21" s="529">
        <f t="shared" si="8"/>
        <v>26016866.388975386</v>
      </c>
      <c r="H21" s="529">
        <f t="shared" si="8"/>
        <v>22396112.991535097</v>
      </c>
      <c r="I21" t="s">
        <v>4243</v>
      </c>
    </row>
    <row r="22" spans="2:15" x14ac:dyDescent="0.25">
      <c r="B22" s="143" t="s">
        <v>4085</v>
      </c>
      <c r="C22" s="165">
        <f>C23-C24+C25</f>
        <v>14935617</v>
      </c>
      <c r="D22" s="165">
        <f>D48/C100</f>
        <v>13232255.21880345</v>
      </c>
      <c r="E22" s="165">
        <f>E48/D100</f>
        <v>11800524.944422703</v>
      </c>
      <c r="F22" s="165">
        <f>F48/E100</f>
        <v>10182295.389250411</v>
      </c>
      <c r="G22" s="165">
        <f>G48/F100</f>
        <v>8967220.3673891779</v>
      </c>
      <c r="H22" s="165">
        <f>H48/G100</f>
        <v>7894043.3548354488</v>
      </c>
    </row>
    <row r="23" spans="2:15" x14ac:dyDescent="0.25">
      <c r="B23" s="115" t="s">
        <v>4193</v>
      </c>
      <c r="C23" s="132">
        <f>'EF Sempertex 2015 I'!B31+C24</f>
        <v>18797249</v>
      </c>
      <c r="D23" s="132">
        <f>D22+D24-D25</f>
        <v>18081431.814030781</v>
      </c>
      <c r="E23" s="132">
        <f t="shared" ref="E23:H23" si="9">E22+E24-E25</f>
        <v>17530393.79029147</v>
      </c>
      <c r="F23" s="132">
        <f t="shared" si="9"/>
        <v>16672085.398397017</v>
      </c>
      <c r="G23" s="132">
        <f t="shared" si="9"/>
        <v>16126248.526918769</v>
      </c>
      <c r="H23" s="132">
        <f t="shared" si="9"/>
        <v>15642216.729647767</v>
      </c>
      <c r="J23" s="68"/>
      <c r="K23" s="68"/>
      <c r="L23" s="68"/>
      <c r="M23" s="68"/>
      <c r="N23" s="68"/>
      <c r="O23" s="68"/>
    </row>
    <row r="24" spans="2:15" x14ac:dyDescent="0.25">
      <c r="B24" s="115" t="s">
        <v>4194</v>
      </c>
      <c r="C24" s="132">
        <f>'Flujo de Caja'!H7</f>
        <v>3863094</v>
      </c>
      <c r="D24" s="414">
        <f>C24+D54</f>
        <v>4850638.5952273291</v>
      </c>
      <c r="E24" s="414">
        <f>D24+E54</f>
        <v>5731330.8458687663</v>
      </c>
      <c r="F24" s="414">
        <f>E24+F54</f>
        <v>6491252.0091466065</v>
      </c>
      <c r="G24" s="414">
        <f>F24+G54</f>
        <v>7160490.15952959</v>
      </c>
      <c r="H24" s="414">
        <f>G24+H54</f>
        <v>7749635.374812318</v>
      </c>
    </row>
    <row r="25" spans="2:15" x14ac:dyDescent="0.25">
      <c r="B25" s="115" t="s">
        <v>4195</v>
      </c>
      <c r="C25">
        <f>'EF Sempertex 2015 I'!B32</f>
        <v>1462</v>
      </c>
      <c r="D25" s="530">
        <f>C25</f>
        <v>1462</v>
      </c>
      <c r="E25" s="530">
        <f t="shared" ref="E25:H25" si="10">D25</f>
        <v>1462</v>
      </c>
      <c r="F25" s="530">
        <f t="shared" si="10"/>
        <v>1462</v>
      </c>
      <c r="G25" s="530">
        <f t="shared" si="10"/>
        <v>1462</v>
      </c>
      <c r="H25" s="530">
        <f t="shared" si="10"/>
        <v>1462</v>
      </c>
    </row>
    <row r="26" spans="2:15" ht="5.0999999999999996" customHeight="1" x14ac:dyDescent="0.25"/>
    <row r="27" spans="2:15" x14ac:dyDescent="0.25">
      <c r="B27" s="517" t="s">
        <v>4117</v>
      </c>
      <c r="C27" s="518">
        <f>SUM(C28:C30)</f>
        <v>21576342</v>
      </c>
      <c r="D27" s="518">
        <f t="shared" ref="D27:H27" si="11">SUM(D28:D30)</f>
        <v>15256674.761339422</v>
      </c>
      <c r="E27" s="518">
        <f t="shared" si="11"/>
        <v>10461728.301902596</v>
      </c>
      <c r="F27" s="518">
        <f t="shared" si="11"/>
        <v>5817764.9217927009</v>
      </c>
      <c r="G27" s="518">
        <f t="shared" si="11"/>
        <v>2749190.4106806517</v>
      </c>
      <c r="H27" s="518">
        <f t="shared" si="11"/>
        <v>502232.55341976881</v>
      </c>
    </row>
    <row r="28" spans="2:15" x14ac:dyDescent="0.25">
      <c r="B28" s="119" t="s">
        <v>4199</v>
      </c>
      <c r="C28" s="67">
        <f>'EF Sempertex 2015 I'!B40</f>
        <v>13403251</v>
      </c>
      <c r="D28" s="529">
        <f>C28</f>
        <v>13403251</v>
      </c>
      <c r="E28" s="529">
        <f t="shared" ref="E28:H28" si="12">D28</f>
        <v>13403251</v>
      </c>
      <c r="F28" s="529">
        <f t="shared" si="12"/>
        <v>13403251</v>
      </c>
      <c r="G28" s="529">
        <f t="shared" si="12"/>
        <v>13403251</v>
      </c>
      <c r="H28" s="529">
        <f t="shared" si="12"/>
        <v>13403251</v>
      </c>
      <c r="I28" t="s">
        <v>485</v>
      </c>
      <c r="J28" s="68"/>
      <c r="K28" s="68"/>
    </row>
    <row r="29" spans="2:15" x14ac:dyDescent="0.25">
      <c r="B29" s="119" t="s">
        <v>4200</v>
      </c>
      <c r="C29" s="67">
        <f>'EF Sempertex 2015 I'!B44</f>
        <v>8173091</v>
      </c>
      <c r="D29" s="529">
        <f>C29+C30</f>
        <v>8173091</v>
      </c>
      <c r="E29" s="529">
        <f>D29+D30</f>
        <v>1853423.7613394223</v>
      </c>
      <c r="F29" s="529">
        <f>E29+E30</f>
        <v>-2941522.6980974041</v>
      </c>
      <c r="G29" s="529">
        <f>F29+F30</f>
        <v>-7585486.0782072991</v>
      </c>
      <c r="H29" s="529">
        <f>G29+G30</f>
        <v>-10654060.589319348</v>
      </c>
      <c r="I29" t="s">
        <v>4241</v>
      </c>
      <c r="K29" s="167"/>
    </row>
    <row r="30" spans="2:15" x14ac:dyDescent="0.25">
      <c r="B30" s="115" t="s">
        <v>4218</v>
      </c>
      <c r="C30" s="67"/>
      <c r="D30" s="527">
        <f>D14+D16-D28-D29-D33-D35</f>
        <v>-6319667.2386605777</v>
      </c>
      <c r="E30" s="527">
        <f t="shared" ref="E30:H30" si="13">E14+E16-E28-E29-E33-E35</f>
        <v>-4794946.4594368264</v>
      </c>
      <c r="F30" s="527">
        <f t="shared" si="13"/>
        <v>-4643963.380109895</v>
      </c>
      <c r="G30" s="527">
        <f t="shared" si="13"/>
        <v>-3068574.5111120492</v>
      </c>
      <c r="H30" s="527">
        <f t="shared" si="13"/>
        <v>-2246957.8572608829</v>
      </c>
      <c r="I30" t="s">
        <v>4234</v>
      </c>
    </row>
    <row r="31" spans="2:15" ht="5.0999999999999996" customHeight="1" x14ac:dyDescent="0.25"/>
    <row r="32" spans="2:15" x14ac:dyDescent="0.25">
      <c r="B32" s="517" t="s">
        <v>4250</v>
      </c>
      <c r="C32" s="518">
        <f>C33</f>
        <v>1813821</v>
      </c>
      <c r="D32" s="518">
        <f t="shared" ref="D32:H32" si="14">D33</f>
        <v>1813821</v>
      </c>
      <c r="E32" s="518">
        <f t="shared" si="14"/>
        <v>1813821</v>
      </c>
      <c r="F32" s="518">
        <f t="shared" si="14"/>
        <v>1813821</v>
      </c>
      <c r="G32" s="518">
        <f t="shared" si="14"/>
        <v>1813821</v>
      </c>
      <c r="H32" s="518">
        <f t="shared" si="14"/>
        <v>1813821</v>
      </c>
    </row>
    <row r="33" spans="2:11" x14ac:dyDescent="0.25">
      <c r="B33" s="65" t="s">
        <v>4242</v>
      </c>
      <c r="C33" s="67">
        <f>'EF Sempertex 2015 I'!B43</f>
        <v>1813821</v>
      </c>
      <c r="D33" s="529">
        <f>C33</f>
        <v>1813821</v>
      </c>
      <c r="E33" s="529">
        <f t="shared" ref="E33:H33" si="15">D33</f>
        <v>1813821</v>
      </c>
      <c r="F33" s="529">
        <f t="shared" si="15"/>
        <v>1813821</v>
      </c>
      <c r="G33" s="529">
        <f t="shared" si="15"/>
        <v>1813821</v>
      </c>
      <c r="H33" s="529">
        <f t="shared" si="15"/>
        <v>1813821</v>
      </c>
    </row>
    <row r="34" spans="2:11" ht="5.0999999999999996" customHeight="1" x14ac:dyDescent="0.25"/>
    <row r="35" spans="2:11" x14ac:dyDescent="0.25">
      <c r="B35" s="517" t="s">
        <v>4119</v>
      </c>
      <c r="C35" s="518">
        <f>SUM(C36:C40)</f>
        <v>27494974</v>
      </c>
      <c r="D35" s="518">
        <f t="shared" ref="D35:H35" si="16">SUM(D36:D40)</f>
        <v>29138030.729706291</v>
      </c>
      <c r="E35" s="518">
        <f t="shared" si="16"/>
        <v>30002135.883983869</v>
      </c>
      <c r="F35" s="518">
        <f t="shared" si="16"/>
        <v>30203220.817975849</v>
      </c>
      <c r="G35" s="518">
        <f t="shared" si="16"/>
        <v>29935784.929457814</v>
      </c>
      <c r="H35" s="518">
        <f t="shared" si="16"/>
        <v>29236315.932318222</v>
      </c>
    </row>
    <row r="36" spans="2:11" x14ac:dyDescent="0.25">
      <c r="B36" s="65" t="s">
        <v>4121</v>
      </c>
      <c r="C36" s="67">
        <f>'EF Sempertex 2015 I'!B47</f>
        <v>755566</v>
      </c>
      <c r="D36" s="68">
        <f>C36</f>
        <v>755566</v>
      </c>
      <c r="E36" s="68">
        <f t="shared" ref="E36:H36" si="17">D36</f>
        <v>755566</v>
      </c>
      <c r="F36" s="68">
        <f t="shared" si="17"/>
        <v>755566</v>
      </c>
      <c r="G36" s="68">
        <f t="shared" si="17"/>
        <v>755566</v>
      </c>
      <c r="H36" s="68">
        <f t="shared" si="17"/>
        <v>755566</v>
      </c>
      <c r="J36" s="68"/>
      <c r="K36" s="68"/>
    </row>
    <row r="37" spans="2:11" x14ac:dyDescent="0.25">
      <c r="B37" s="65" t="s">
        <v>4122</v>
      </c>
      <c r="C37" s="67">
        <f>'EF Sempertex 2015 I'!B48</f>
        <v>23105605</v>
      </c>
      <c r="D37" s="68">
        <f>C37+C38</f>
        <v>23105605</v>
      </c>
      <c r="E37" s="68">
        <f t="shared" ref="E37:H37" si="18">D37+D38</f>
        <v>24748661.729706291</v>
      </c>
      <c r="F37" s="68">
        <f t="shared" si="18"/>
        <v>25612766.883983869</v>
      </c>
      <c r="G37" s="68">
        <f t="shared" si="18"/>
        <v>25813851.817975849</v>
      </c>
      <c r="H37" s="68">
        <f t="shared" si="18"/>
        <v>25546415.929457814</v>
      </c>
      <c r="K37" s="528"/>
    </row>
    <row r="38" spans="2:11" x14ac:dyDescent="0.25">
      <c r="B38" s="146" t="s">
        <v>4201</v>
      </c>
      <c r="C38" s="67"/>
      <c r="D38" s="68">
        <f>D66</f>
        <v>1643056.7297062911</v>
      </c>
      <c r="E38" s="68">
        <f t="shared" ref="E38:H38" si="19">E66</f>
        <v>864105.15427757683</v>
      </c>
      <c r="F38" s="68">
        <f t="shared" si="19"/>
        <v>201084.93399197917</v>
      </c>
      <c r="G38" s="68">
        <f t="shared" si="19"/>
        <v>-267435.88851803419</v>
      </c>
      <c r="H38" s="68">
        <f t="shared" si="19"/>
        <v>-699468.99713959289</v>
      </c>
      <c r="J38" s="68"/>
    </row>
    <row r="39" spans="2:11" x14ac:dyDescent="0.25">
      <c r="B39" s="65" t="s">
        <v>4202</v>
      </c>
      <c r="C39" s="67">
        <f>'EF Sempertex 2015 I'!B49</f>
        <v>3256020</v>
      </c>
      <c r="D39" s="67">
        <f>C39</f>
        <v>3256020</v>
      </c>
      <c r="E39" s="67">
        <f t="shared" ref="E39:H40" si="20">D39</f>
        <v>3256020</v>
      </c>
      <c r="F39" s="67">
        <f t="shared" si="20"/>
        <v>3256020</v>
      </c>
      <c r="G39" s="67">
        <f t="shared" si="20"/>
        <v>3256020</v>
      </c>
      <c r="H39" s="67">
        <f t="shared" si="20"/>
        <v>3256020</v>
      </c>
    </row>
    <row r="40" spans="2:11" x14ac:dyDescent="0.25">
      <c r="B40" s="65" t="s">
        <v>4203</v>
      </c>
      <c r="C40" s="67">
        <f>'EF Sempertex 2015 I'!B50</f>
        <v>377783</v>
      </c>
      <c r="D40" s="67">
        <f>C40</f>
        <v>377783</v>
      </c>
      <c r="E40" s="67">
        <f t="shared" si="20"/>
        <v>377783</v>
      </c>
      <c r="F40" s="67">
        <f t="shared" si="20"/>
        <v>377783</v>
      </c>
      <c r="G40" s="67">
        <f t="shared" si="20"/>
        <v>377783</v>
      </c>
      <c r="H40" s="67">
        <f t="shared" si="20"/>
        <v>377783</v>
      </c>
    </row>
    <row r="41" spans="2:11" ht="5.0999999999999996" customHeight="1" x14ac:dyDescent="0.25"/>
    <row r="42" spans="2:11" x14ac:dyDescent="0.25">
      <c r="B42" s="523" t="s">
        <v>4204</v>
      </c>
      <c r="C42" s="522">
        <f>C14+C16-C27-C35-C32</f>
        <v>0</v>
      </c>
      <c r="D42" s="522">
        <f t="shared" ref="D42:H42" si="21">D14+D16-D27-D35-D32</f>
        <v>0</v>
      </c>
      <c r="E42" s="522">
        <f t="shared" si="21"/>
        <v>0</v>
      </c>
      <c r="F42" s="522">
        <f t="shared" si="21"/>
        <v>0</v>
      </c>
      <c r="G42" s="522">
        <f t="shared" si="21"/>
        <v>0</v>
      </c>
      <c r="H42" s="522">
        <f t="shared" si="21"/>
        <v>0</v>
      </c>
    </row>
    <row r="43" spans="2:11" x14ac:dyDescent="0.25">
      <c r="B43" t="s">
        <v>4232</v>
      </c>
      <c r="C43" s="524">
        <f>(C27/C35)</f>
        <v>0.78473767605672218</v>
      </c>
      <c r="D43" s="524">
        <f t="shared" ref="D43:H43" si="22">(D27/D35)</f>
        <v>0.52360006422071637</v>
      </c>
      <c r="E43" s="524">
        <f t="shared" si="22"/>
        <v>0.34869945067769031</v>
      </c>
      <c r="F43" s="524">
        <f t="shared" si="22"/>
        <v>0.19262067965712387</v>
      </c>
      <c r="G43" s="524">
        <f t="shared" si="22"/>
        <v>9.1836256078101239E-2</v>
      </c>
      <c r="H43" s="524">
        <f t="shared" si="22"/>
        <v>1.7178380291909285E-2</v>
      </c>
    </row>
    <row r="44" spans="2:11" x14ac:dyDescent="0.25">
      <c r="D44" s="525">
        <f>D43-C43</f>
        <v>-0.26113761183600581</v>
      </c>
      <c r="E44" s="525">
        <f t="shared" ref="E44:H44" si="23">E43-D43</f>
        <v>-0.17490061354302605</v>
      </c>
      <c r="F44" s="525">
        <f t="shared" si="23"/>
        <v>-0.15607877102056644</v>
      </c>
      <c r="G44" s="525">
        <f t="shared" si="23"/>
        <v>-0.10078442357902263</v>
      </c>
      <c r="H44" s="525">
        <f t="shared" si="23"/>
        <v>-7.4657875786191957E-2</v>
      </c>
    </row>
    <row r="46" spans="2:11" x14ac:dyDescent="0.25">
      <c r="B46" s="482" t="s">
        <v>174</v>
      </c>
      <c r="C46" s="482"/>
      <c r="D46" s="482"/>
      <c r="E46" s="482"/>
      <c r="F46" s="482"/>
      <c r="G46" s="482"/>
      <c r="H46" s="482"/>
    </row>
    <row r="48" spans="2:11" x14ac:dyDescent="0.25">
      <c r="B48" t="s">
        <v>299</v>
      </c>
      <c r="C48" s="67">
        <f>'EF Sempertex 2015 I'!B57</f>
        <v>96562000</v>
      </c>
      <c r="D48" s="67">
        <f>C48*(1+D4)</f>
        <v>85549397.017752856</v>
      </c>
      <c r="E48" s="67">
        <f t="shared" ref="E48:H48" si="24">D48*(1+E4)</f>
        <v>76292950.581375048</v>
      </c>
      <c r="F48" s="67">
        <f t="shared" si="24"/>
        <v>65830745.885944866</v>
      </c>
      <c r="G48" s="67">
        <f t="shared" si="24"/>
        <v>57975022.599724799</v>
      </c>
      <c r="H48" s="67">
        <f t="shared" si="24"/>
        <v>51036700.688670628</v>
      </c>
    </row>
    <row r="49" spans="2:16" x14ac:dyDescent="0.25">
      <c r="B49" t="s">
        <v>300</v>
      </c>
      <c r="C49" s="67">
        <f>'EF Sempertex 2015 I'!B58</f>
        <v>50678744</v>
      </c>
      <c r="D49" s="68">
        <f>C49/C48*D48*(1+D5)</f>
        <v>47143936.438328885</v>
      </c>
      <c r="E49" s="68">
        <f t="shared" ref="E49:H49" si="25">D49/D48*E48*(1+E5)</f>
        <v>44145109.669940233</v>
      </c>
      <c r="F49" s="68">
        <f t="shared" si="25"/>
        <v>39995972.738972507</v>
      </c>
      <c r="G49" s="68">
        <f t="shared" si="25"/>
        <v>36984326.424466707</v>
      </c>
      <c r="H49" s="68">
        <f t="shared" si="25"/>
        <v>34186030.620053396</v>
      </c>
      <c r="I49" t="s">
        <v>4228</v>
      </c>
      <c r="L49" s="156"/>
      <c r="M49" s="156"/>
      <c r="N49" s="156"/>
      <c r="O49" s="156"/>
      <c r="P49" s="156"/>
    </row>
    <row r="50" spans="2:16" x14ac:dyDescent="0.25">
      <c r="B50" s="78" t="s">
        <v>177</v>
      </c>
      <c r="C50" s="87">
        <f>C48-C49</f>
        <v>45883256</v>
      </c>
      <c r="D50" s="87">
        <f t="shared" ref="D50:H50" si="26">D48-D49</f>
        <v>38405460.579423971</v>
      </c>
      <c r="E50" s="87">
        <f t="shared" si="26"/>
        <v>32147840.911434814</v>
      </c>
      <c r="F50" s="87">
        <f t="shared" si="26"/>
        <v>25834773.146972358</v>
      </c>
      <c r="G50" s="87">
        <f t="shared" si="26"/>
        <v>20990696.175258093</v>
      </c>
      <c r="H50" s="87">
        <f t="shared" si="26"/>
        <v>16850670.068617232</v>
      </c>
      <c r="K50" s="98">
        <f>C50/C$48</f>
        <v>0.47516886559930405</v>
      </c>
      <c r="L50" s="98">
        <f t="shared" ref="L50:P50" si="27">D50/D$48</f>
        <v>0.44892730887926924</v>
      </c>
      <c r="M50" s="98">
        <f t="shared" si="27"/>
        <v>0.42137367432323269</v>
      </c>
      <c r="N50" s="98">
        <f t="shared" si="27"/>
        <v>0.39244235803939431</v>
      </c>
      <c r="O50" s="98">
        <f t="shared" si="27"/>
        <v>0.36206447594136398</v>
      </c>
      <c r="P50" s="98">
        <f t="shared" si="27"/>
        <v>0.33016769973843207</v>
      </c>
    </row>
    <row r="51" spans="2:16" x14ac:dyDescent="0.25">
      <c r="B51" t="s">
        <v>302</v>
      </c>
      <c r="C51" s="67">
        <f>'EF Sempertex 2015 I'!B60</f>
        <v>1497597</v>
      </c>
      <c r="D51" s="68">
        <f>$C51/$C$48*D$48</f>
        <v>1326800.6081646571</v>
      </c>
      <c r="E51" s="68">
        <f t="shared" ref="E51:H55" si="28">$C51/$C$48*E$48</f>
        <v>1183240.7563204523</v>
      </c>
      <c r="F51" s="68">
        <f t="shared" si="28"/>
        <v>1020980.5880838567</v>
      </c>
      <c r="G51" s="68">
        <f t="shared" si="28"/>
        <v>899144.79733518418</v>
      </c>
      <c r="H51" s="68">
        <f t="shared" si="28"/>
        <v>791537.14547390339</v>
      </c>
      <c r="I51" t="s">
        <v>4228</v>
      </c>
      <c r="L51" t="b">
        <f>L50=K50</f>
        <v>0</v>
      </c>
      <c r="M51" t="b">
        <f t="shared" ref="M51:P51" si="29">M50=L50</f>
        <v>0</v>
      </c>
      <c r="N51" t="b">
        <f t="shared" si="29"/>
        <v>0</v>
      </c>
      <c r="O51" t="b">
        <f t="shared" si="29"/>
        <v>0</v>
      </c>
      <c r="P51" t="b">
        <f t="shared" si="29"/>
        <v>0</v>
      </c>
    </row>
    <row r="52" spans="2:16" x14ac:dyDescent="0.25">
      <c r="B52" t="s">
        <v>303</v>
      </c>
      <c r="C52" s="67">
        <f>'EF Sempertex 2015 I'!B61</f>
        <v>18133089</v>
      </c>
      <c r="D52" s="68">
        <f>$C52/$C$48*D$48</f>
        <v>16065065.243255598</v>
      </c>
      <c r="E52" s="68">
        <f t="shared" si="28"/>
        <v>14326824.868630264</v>
      </c>
      <c r="F52" s="68">
        <f t="shared" si="28"/>
        <v>12362158.758996522</v>
      </c>
      <c r="G52" s="68">
        <f t="shared" si="28"/>
        <v>10886955.992811056</v>
      </c>
      <c r="H52" s="68">
        <f t="shared" si="28"/>
        <v>9584029.285371324</v>
      </c>
      <c r="I52" t="s">
        <v>4228</v>
      </c>
    </row>
    <row r="53" spans="2:16" x14ac:dyDescent="0.25">
      <c r="B53" t="s">
        <v>304</v>
      </c>
      <c r="C53" s="67">
        <f>'EF Sempertex 2015 I'!B62</f>
        <v>12675308</v>
      </c>
      <c r="D53" s="68">
        <f>$C53/$C$48*D$48</f>
        <v>11229727.598996487</v>
      </c>
      <c r="E53" s="68">
        <f t="shared" si="28"/>
        <v>10014670.852381969</v>
      </c>
      <c r="F53" s="68">
        <f t="shared" si="28"/>
        <v>8641339.0357913468</v>
      </c>
      <c r="G53" s="68">
        <f t="shared" si="28"/>
        <v>7610149.621574454</v>
      </c>
      <c r="H53" s="68">
        <f t="shared" si="28"/>
        <v>6699383.8210964175</v>
      </c>
      <c r="I53" t="s">
        <v>4228</v>
      </c>
    </row>
    <row r="54" spans="2:16" x14ac:dyDescent="0.25">
      <c r="B54" s="71" t="s">
        <v>4140</v>
      </c>
      <c r="C54" s="173">
        <f>'EF Sempertex 2015 I'!B84</f>
        <v>1221805</v>
      </c>
      <c r="D54" s="529">
        <f>D53*D9</f>
        <v>987544.59522732894</v>
      </c>
      <c r="E54" s="529">
        <f t="shared" ref="E54:H54" si="30">E53*E9</f>
        <v>880692.25064143736</v>
      </c>
      <c r="F54" s="529">
        <f t="shared" si="30"/>
        <v>759921.16327784071</v>
      </c>
      <c r="G54" s="529">
        <f t="shared" si="30"/>
        <v>669238.15038298385</v>
      </c>
      <c r="H54" s="529">
        <f t="shared" si="30"/>
        <v>589145.21528272808</v>
      </c>
      <c r="I54" s="488" t="s">
        <v>4249</v>
      </c>
      <c r="J54" s="488"/>
    </row>
    <row r="55" spans="2:16" x14ac:dyDescent="0.25">
      <c r="B55" t="s">
        <v>305</v>
      </c>
      <c r="C55" s="67">
        <f>'EF Sempertex 2015 I'!B63</f>
        <v>277776</v>
      </c>
      <c r="D55" s="68">
        <f>$C55/$C$48*D$48</f>
        <v>246096.49039998464</v>
      </c>
      <c r="E55" s="68">
        <f t="shared" si="28"/>
        <v>219468.84530863108</v>
      </c>
      <c r="F55" s="68">
        <f t="shared" si="28"/>
        <v>189372.64419972888</v>
      </c>
      <c r="G55" s="68">
        <f t="shared" si="28"/>
        <v>166774.40274291291</v>
      </c>
      <c r="H55" s="68">
        <f t="shared" si="28"/>
        <v>146815.21271821391</v>
      </c>
      <c r="I55" t="s">
        <v>4228</v>
      </c>
    </row>
    <row r="56" spans="2:16" x14ac:dyDescent="0.25">
      <c r="B56" s="78" t="s">
        <v>180</v>
      </c>
      <c r="C56" s="87">
        <f t="shared" ref="C56:H56" si="31">C50+C51-C52-C53-C55</f>
        <v>16294680</v>
      </c>
      <c r="D56" s="87">
        <f t="shared" si="31"/>
        <v>12191371.854936561</v>
      </c>
      <c r="E56" s="87">
        <f t="shared" si="31"/>
        <v>8770117.101434404</v>
      </c>
      <c r="F56" s="87">
        <f t="shared" si="31"/>
        <v>5662883.2960686162</v>
      </c>
      <c r="G56" s="87">
        <f t="shared" si="31"/>
        <v>3225960.9554648548</v>
      </c>
      <c r="H56" s="87">
        <f t="shared" si="31"/>
        <v>1211978.8949051816</v>
      </c>
      <c r="K56" s="98">
        <f>C56/C$48</f>
        <v>0.16874836892359313</v>
      </c>
      <c r="L56" s="98">
        <f t="shared" ref="L56:P56" si="32">D56/D$48</f>
        <v>0.14250681220355835</v>
      </c>
      <c r="M56" s="98">
        <f t="shared" si="32"/>
        <v>0.11495317764752176</v>
      </c>
      <c r="N56" s="98">
        <f t="shared" si="32"/>
        <v>8.6021861363683338E-2</v>
      </c>
      <c r="O56" s="98">
        <f t="shared" si="32"/>
        <v>5.5643979265653072E-2</v>
      </c>
      <c r="P56" s="98">
        <f t="shared" si="32"/>
        <v>2.3747203062721146E-2</v>
      </c>
    </row>
    <row r="57" spans="2:16" x14ac:dyDescent="0.25">
      <c r="B57" t="s">
        <v>307</v>
      </c>
      <c r="C57" s="67">
        <f>'EF Sempertex 2015 I'!B65</f>
        <v>53962906</v>
      </c>
      <c r="D57" s="414">
        <f>C57</f>
        <v>53962906</v>
      </c>
      <c r="E57" s="414">
        <f t="shared" ref="E57:H57" si="33">D57</f>
        <v>53962906</v>
      </c>
      <c r="F57" s="414">
        <f t="shared" si="33"/>
        <v>53962906</v>
      </c>
      <c r="G57" s="414">
        <f t="shared" si="33"/>
        <v>53962906</v>
      </c>
      <c r="H57" s="414">
        <f t="shared" si="33"/>
        <v>53962906</v>
      </c>
      <c r="I57" t="s">
        <v>4233</v>
      </c>
      <c r="L57" t="b">
        <f>L56=K56</f>
        <v>0</v>
      </c>
      <c r="M57" t="b">
        <f t="shared" ref="M57:P57" si="34">M56=L56</f>
        <v>0</v>
      </c>
      <c r="N57" t="b">
        <f t="shared" si="34"/>
        <v>0</v>
      </c>
      <c r="O57" t="b">
        <f t="shared" si="34"/>
        <v>0</v>
      </c>
      <c r="P57" t="b">
        <f t="shared" si="34"/>
        <v>0</v>
      </c>
    </row>
    <row r="58" spans="2:16" x14ac:dyDescent="0.25">
      <c r="B58" t="s">
        <v>4229</v>
      </c>
      <c r="C58" s="67">
        <f>C59+C60</f>
        <v>61097885</v>
      </c>
      <c r="D58" s="67">
        <f t="shared" ref="D58:H58" si="35">D59+D60</f>
        <v>61097885</v>
      </c>
      <c r="E58" s="67">
        <f t="shared" si="35"/>
        <v>59883876.923453309</v>
      </c>
      <c r="F58" s="67">
        <f t="shared" si="35"/>
        <v>58962767.708595492</v>
      </c>
      <c r="G58" s="67">
        <f t="shared" si="35"/>
        <v>58070662.343276381</v>
      </c>
      <c r="H58" s="67">
        <f t="shared" si="35"/>
        <v>57481189.179691754</v>
      </c>
      <c r="K58" s="68"/>
    </row>
    <row r="59" spans="2:16" x14ac:dyDescent="0.25">
      <c r="B59" s="65" t="s">
        <v>4230</v>
      </c>
      <c r="C59" s="67">
        <f>'EF Sempertex 2015 I'!B66-C60</f>
        <v>56953069.701800004</v>
      </c>
      <c r="D59" s="414">
        <f>C59</f>
        <v>56953069.701800004</v>
      </c>
      <c r="E59" s="414">
        <f t="shared" ref="E59:H59" si="36">D59</f>
        <v>56953069.701800004</v>
      </c>
      <c r="F59" s="414">
        <f t="shared" si="36"/>
        <v>56953069.701800004</v>
      </c>
      <c r="G59" s="414">
        <f t="shared" si="36"/>
        <v>56953069.701800004</v>
      </c>
      <c r="H59" s="414">
        <f t="shared" si="36"/>
        <v>56953069.701800004</v>
      </c>
      <c r="I59" t="s">
        <v>4233</v>
      </c>
    </row>
    <row r="60" spans="2:16" x14ac:dyDescent="0.25">
      <c r="B60" s="65" t="s">
        <v>4065</v>
      </c>
      <c r="C60" s="67">
        <f>(C28+C29)*C6</f>
        <v>4144815.2982000001</v>
      </c>
      <c r="D60" s="67">
        <f t="shared" ref="D60:H60" si="37">(D28+D29)*D6</f>
        <v>4144815.2982000001</v>
      </c>
      <c r="E60" s="67">
        <f t="shared" si="37"/>
        <v>2930807.2216533031</v>
      </c>
      <c r="F60" s="67">
        <f t="shared" si="37"/>
        <v>2009698.0067954885</v>
      </c>
      <c r="G60" s="67">
        <f t="shared" si="37"/>
        <v>1117592.6414763778</v>
      </c>
      <c r="H60" s="67">
        <f t="shared" si="37"/>
        <v>528119.47789175319</v>
      </c>
      <c r="L60" s="526"/>
    </row>
    <row r="61" spans="2:16" x14ac:dyDescent="0.25">
      <c r="B61" s="78" t="s">
        <v>185</v>
      </c>
      <c r="C61" s="87">
        <f>C56+C57-C58</f>
        <v>9159701</v>
      </c>
      <c r="D61" s="87">
        <f t="shared" ref="D61:H61" si="38">D56+D57-D58</f>
        <v>5056392.8549365625</v>
      </c>
      <c r="E61" s="87">
        <f t="shared" si="38"/>
        <v>2849146.1779810935</v>
      </c>
      <c r="F61" s="87">
        <f t="shared" si="38"/>
        <v>663021.58747312427</v>
      </c>
      <c r="G61" s="87">
        <f t="shared" si="38"/>
        <v>-881795.38781152666</v>
      </c>
      <c r="H61" s="87">
        <f t="shared" si="38"/>
        <v>-2306304.2847865745</v>
      </c>
      <c r="K61" s="98">
        <f>C61/C$48</f>
        <v>9.4858236159151635E-2</v>
      </c>
      <c r="L61" s="98">
        <f t="shared" ref="L61:P61" si="39">D61/D$48</f>
        <v>5.9104950253328854E-2</v>
      </c>
      <c r="M61" s="98">
        <f t="shared" si="39"/>
        <v>3.7344815690961611E-2</v>
      </c>
      <c r="N61" s="98">
        <f t="shared" si="39"/>
        <v>1.0071609831397673E-2</v>
      </c>
      <c r="O61" s="98">
        <f t="shared" si="39"/>
        <v>-1.5209918828314737E-2</v>
      </c>
      <c r="P61" s="98">
        <f t="shared" si="39"/>
        <v>-4.5189133577722418E-2</v>
      </c>
    </row>
    <row r="62" spans="2:16" x14ac:dyDescent="0.25">
      <c r="B62" t="s">
        <v>4132</v>
      </c>
      <c r="C62" s="67">
        <f>'EF Sempertex 2015 I'!B68</f>
        <v>3663289</v>
      </c>
      <c r="D62" s="67">
        <f>D61*D7</f>
        <v>2022230.6738143205</v>
      </c>
      <c r="E62" s="67">
        <f>E61*E7</f>
        <v>1253440.3619740608</v>
      </c>
      <c r="F62" s="67">
        <f>F61*F7</f>
        <v>291686.6902167222</v>
      </c>
      <c r="G62" s="67">
        <f>G61*G7</f>
        <v>-387933.0371419334</v>
      </c>
      <c r="H62" s="67">
        <f>H61*H7</f>
        <v>-1014624.9777867291</v>
      </c>
    </row>
    <row r="63" spans="2:16" x14ac:dyDescent="0.25">
      <c r="B63" s="78" t="s">
        <v>4206</v>
      </c>
      <c r="C63" s="87">
        <f>C61-C62</f>
        <v>5496412</v>
      </c>
      <c r="D63" s="87">
        <f t="shared" ref="D63:H63" si="40">D61-D62</f>
        <v>3034162.181122242</v>
      </c>
      <c r="E63" s="87">
        <f t="shared" si="40"/>
        <v>1595705.8160070328</v>
      </c>
      <c r="F63" s="87">
        <f t="shared" si="40"/>
        <v>371334.89725640207</v>
      </c>
      <c r="G63" s="87">
        <f t="shared" si="40"/>
        <v>-493862.35066959326</v>
      </c>
      <c r="H63" s="87">
        <f t="shared" si="40"/>
        <v>-1291679.3069998454</v>
      </c>
      <c r="K63" s="98">
        <f>C63/C$48</f>
        <v>5.6921066257948259E-2</v>
      </c>
      <c r="L63" s="98">
        <f t="shared" ref="L63:P63" si="41">D63/D$48</f>
        <v>3.5466786288307857E-2</v>
      </c>
      <c r="M63" s="98">
        <f t="shared" si="41"/>
        <v>2.0915507970884314E-2</v>
      </c>
      <c r="N63" s="98">
        <f t="shared" si="41"/>
        <v>5.6407517833651586E-3</v>
      </c>
      <c r="O63" s="98">
        <f t="shared" si="41"/>
        <v>-8.5185365787496491E-3</v>
      </c>
      <c r="P63" s="98">
        <f t="shared" si="41"/>
        <v>-2.5308832459198887E-2</v>
      </c>
    </row>
    <row r="64" spans="2:16" s="488" customFormat="1" ht="5.0999999999999996" customHeight="1" x14ac:dyDescent="0.25">
      <c r="B64" s="172"/>
      <c r="C64" s="165"/>
    </row>
    <row r="65" spans="2:16" x14ac:dyDescent="0.25">
      <c r="B65" t="s">
        <v>4147</v>
      </c>
      <c r="C65" s="67">
        <f>'EF Sempertex 2015 I'!B90</f>
        <v>2520000</v>
      </c>
      <c r="D65" s="67">
        <f>D63*D8</f>
        <v>1391105.4514159509</v>
      </c>
      <c r="E65" s="67">
        <f>E63*E8</f>
        <v>731600.66172945593</v>
      </c>
      <c r="F65" s="67">
        <f>F63*F8</f>
        <v>170249.9632644229</v>
      </c>
      <c r="G65" s="67">
        <f>G63*G8</f>
        <v>-226426.46215155907</v>
      </c>
      <c r="H65" s="67">
        <f>H63*H8</f>
        <v>-592210.30986025254</v>
      </c>
      <c r="L65" s="156"/>
    </row>
    <row r="66" spans="2:16" x14ac:dyDescent="0.25">
      <c r="B66" s="78" t="s">
        <v>4208</v>
      </c>
      <c r="C66" s="518">
        <f>C63-C65</f>
        <v>2976412</v>
      </c>
      <c r="D66" s="518">
        <f t="shared" ref="D66:H66" si="42">D63-D65</f>
        <v>1643056.7297062911</v>
      </c>
      <c r="E66" s="518">
        <f t="shared" si="42"/>
        <v>864105.15427757683</v>
      </c>
      <c r="F66" s="518">
        <f t="shared" si="42"/>
        <v>201084.93399197917</v>
      </c>
      <c r="G66" s="518">
        <f t="shared" si="42"/>
        <v>-267435.88851803419</v>
      </c>
      <c r="H66" s="518">
        <f t="shared" si="42"/>
        <v>-699468.99713959289</v>
      </c>
      <c r="K66" s="98">
        <f>C66/C$48</f>
        <v>3.0823843748058244E-2</v>
      </c>
      <c r="L66" s="98">
        <f t="shared" ref="L66:P66" si="43">D66/D$48</f>
        <v>1.9205941677944625E-2</v>
      </c>
      <c r="M66" s="98">
        <f t="shared" si="43"/>
        <v>1.1326146750031789E-2</v>
      </c>
      <c r="N66" s="98">
        <f t="shared" si="43"/>
        <v>3.0545747474951764E-3</v>
      </c>
      <c r="O66" s="98">
        <f t="shared" si="43"/>
        <v>-4.6129501382773707E-3</v>
      </c>
      <c r="P66" s="98">
        <f t="shared" si="43"/>
        <v>-1.3705215809431513E-2</v>
      </c>
    </row>
    <row r="69" spans="2:16" x14ac:dyDescent="0.25">
      <c r="B69" s="482" t="s">
        <v>4143</v>
      </c>
      <c r="C69" s="482"/>
      <c r="D69" s="482"/>
      <c r="E69" s="482"/>
      <c r="F69" s="482"/>
      <c r="G69" s="482"/>
      <c r="H69" s="482"/>
    </row>
    <row r="71" spans="2:16" x14ac:dyDescent="0.25">
      <c r="B71" s="446" t="s">
        <v>394</v>
      </c>
      <c r="C71" s="67">
        <f t="shared" ref="C71:H71" si="44">C56*(1-C7)</f>
        <v>9777860.0729608964</v>
      </c>
      <c r="D71" s="67">
        <f t="shared" si="44"/>
        <v>7315610.254083137</v>
      </c>
      <c r="E71" s="67">
        <f t="shared" si="44"/>
        <v>4911831.8231527694</v>
      </c>
      <c r="F71" s="67">
        <f t="shared" si="44"/>
        <v>3171580.2722726185</v>
      </c>
      <c r="G71" s="67">
        <f t="shared" si="44"/>
        <v>1806746.42060469</v>
      </c>
      <c r="H71" s="67">
        <f t="shared" si="44"/>
        <v>678786.4330809383</v>
      </c>
    </row>
    <row r="72" spans="2:16" x14ac:dyDescent="0.25">
      <c r="B72" s="451" t="s">
        <v>4074</v>
      </c>
      <c r="C72" s="67">
        <f t="shared" ref="C72:H72" si="45">C54</f>
        <v>1221805</v>
      </c>
      <c r="D72" s="67">
        <f t="shared" si="45"/>
        <v>987544.59522732894</v>
      </c>
      <c r="E72" s="67">
        <f t="shared" si="45"/>
        <v>880692.25064143736</v>
      </c>
      <c r="F72" s="67">
        <f t="shared" si="45"/>
        <v>759921.16327784071</v>
      </c>
      <c r="G72" s="67">
        <f t="shared" si="45"/>
        <v>669238.15038298385</v>
      </c>
      <c r="H72" s="67">
        <f t="shared" si="45"/>
        <v>589145.21528272808</v>
      </c>
    </row>
    <row r="73" spans="2:16" x14ac:dyDescent="0.25">
      <c r="B73" s="454" t="s">
        <v>4075</v>
      </c>
      <c r="C73" s="87">
        <f>C71+C72</f>
        <v>10999665.072960896</v>
      </c>
      <c r="D73" s="87">
        <f t="shared" ref="D73:H73" si="46">D71+D72</f>
        <v>8303154.8493104661</v>
      </c>
      <c r="E73" s="87">
        <f t="shared" si="46"/>
        <v>5792524.0737942066</v>
      </c>
      <c r="F73" s="87">
        <f t="shared" si="46"/>
        <v>3931501.4355504592</v>
      </c>
      <c r="G73" s="87">
        <f t="shared" si="46"/>
        <v>2475984.5709876739</v>
      </c>
      <c r="H73" s="87">
        <f t="shared" si="46"/>
        <v>1267931.6483636664</v>
      </c>
    </row>
    <row r="74" spans="2:16" x14ac:dyDescent="0.25">
      <c r="B74" s="451" t="s">
        <v>4077</v>
      </c>
      <c r="C74" s="67">
        <f>-('Flujo de Caja'!H13-'Flujo de Caja'!G13)</f>
        <v>-2855923</v>
      </c>
      <c r="D74" s="68">
        <f>-(D17-C17)</f>
        <v>2973248.7277577408</v>
      </c>
      <c r="E74" s="68">
        <f>-(E17-D17)</f>
        <v>2499111.0307784975</v>
      </c>
      <c r="F74" s="68">
        <f>-(F17-E17)</f>
        <v>2824648.8909456246</v>
      </c>
      <c r="G74" s="68">
        <f>-(G17-F17)</f>
        <v>2120935.3777688481</v>
      </c>
      <c r="H74" s="68">
        <f>-(H17-G17)</f>
        <v>1873249.8418467473</v>
      </c>
    </row>
    <row r="75" spans="2:16" x14ac:dyDescent="0.25">
      <c r="B75" s="483" t="s">
        <v>4078</v>
      </c>
      <c r="C75" s="67">
        <f>-('Flujo de Caja'!H15-'Flujo de Caja'!G15)</f>
        <v>-5390232</v>
      </c>
      <c r="D75" s="68">
        <f>-(D23-C23)</f>
        <v>715817.18596921861</v>
      </c>
      <c r="E75" s="68">
        <f>-(E23-D23)</f>
        <v>551038.02373931184</v>
      </c>
      <c r="F75" s="68">
        <f>-(F23-E23)</f>
        <v>858308.39189445227</v>
      </c>
      <c r="G75" s="68">
        <f>-(G23-F23)</f>
        <v>545836.87147824839</v>
      </c>
      <c r="H75" s="68">
        <f>-(H23-G23)</f>
        <v>484031.79727100208</v>
      </c>
    </row>
    <row r="76" spans="2:16" x14ac:dyDescent="0.25">
      <c r="B76" s="456" t="s">
        <v>4079</v>
      </c>
      <c r="C76" s="518">
        <f>C73+C74+C75</f>
        <v>2753510.0729608964</v>
      </c>
      <c r="D76" s="518">
        <f t="shared" ref="D76:H76" si="47">D73+D74+D75</f>
        <v>11992220.763037425</v>
      </c>
      <c r="E76" s="518">
        <f t="shared" si="47"/>
        <v>8842673.1283120159</v>
      </c>
      <c r="F76" s="518">
        <f t="shared" si="47"/>
        <v>7614458.7183905356</v>
      </c>
      <c r="G76" s="518">
        <f t="shared" si="47"/>
        <v>5142756.82023477</v>
      </c>
      <c r="H76" s="518">
        <f t="shared" si="47"/>
        <v>3625213.287481416</v>
      </c>
    </row>
    <row r="77" spans="2:16" x14ac:dyDescent="0.25">
      <c r="B77" s="451" t="s">
        <v>4080</v>
      </c>
      <c r="C77" s="67">
        <f t="shared" ref="C77:H77" si="48">-C60*(1-C7)</f>
        <v>-2487156.7906867326</v>
      </c>
      <c r="D77" s="67">
        <f t="shared" si="48"/>
        <v>-2487156.7906867326</v>
      </c>
      <c r="E77" s="67">
        <f t="shared" si="48"/>
        <v>-1641441.2729435684</v>
      </c>
      <c r="F77" s="67">
        <f t="shared" si="48"/>
        <v>-1125560.6408140506</v>
      </c>
      <c r="G77" s="67">
        <f t="shared" si="48"/>
        <v>-625924.03707211709</v>
      </c>
      <c r="H77" s="67">
        <f t="shared" si="48"/>
        <v>-295781.0058786181</v>
      </c>
    </row>
    <row r="78" spans="2:16" x14ac:dyDescent="0.25">
      <c r="B78" s="451" t="s">
        <v>4081</v>
      </c>
      <c r="C78" s="67">
        <f>('Flujo de Caja'!H17-'Flujo de Caja'!G17)</f>
        <v>6392896</v>
      </c>
      <c r="D78" s="67">
        <f>D27-C27</f>
        <v>-6319667.2386605777</v>
      </c>
      <c r="E78" s="67">
        <f t="shared" ref="E78:H78" si="49">E27-D27</f>
        <v>-4794946.4594368264</v>
      </c>
      <c r="F78" s="67">
        <f t="shared" si="49"/>
        <v>-4643963.380109895</v>
      </c>
      <c r="G78" s="67">
        <f t="shared" si="49"/>
        <v>-3068574.5111120492</v>
      </c>
      <c r="H78" s="67">
        <f t="shared" si="49"/>
        <v>-2246957.8572608829</v>
      </c>
    </row>
    <row r="79" spans="2:16" x14ac:dyDescent="0.25">
      <c r="B79" s="456" t="s">
        <v>4082</v>
      </c>
      <c r="C79" s="518">
        <f>C76+C77+C78</f>
        <v>6659249.2822741643</v>
      </c>
      <c r="D79" s="518">
        <f t="shared" ref="D79:H79" si="50">D76+D77+D78</f>
        <v>3185396.7336901147</v>
      </c>
      <c r="E79" s="518">
        <f t="shared" si="50"/>
        <v>2406285.3959316211</v>
      </c>
      <c r="F79" s="518">
        <f t="shared" si="50"/>
        <v>1844934.6974665895</v>
      </c>
      <c r="G79" s="518">
        <f t="shared" si="50"/>
        <v>1448258.2720506033</v>
      </c>
      <c r="H79" s="518">
        <f t="shared" si="50"/>
        <v>1082474.4243419152</v>
      </c>
    </row>
    <row r="80" spans="2:16" x14ac:dyDescent="0.25">
      <c r="B80" s="451" t="s">
        <v>4149</v>
      </c>
      <c r="C80" s="68">
        <f>-C65</f>
        <v>-2520000</v>
      </c>
      <c r="D80" s="68">
        <f t="shared" ref="D80:H80" si="51">-D65</f>
        <v>-1391105.4514159509</v>
      </c>
      <c r="E80" s="68">
        <f t="shared" si="51"/>
        <v>-731600.66172945593</v>
      </c>
      <c r="F80" s="68">
        <f t="shared" si="51"/>
        <v>-170249.9632644229</v>
      </c>
      <c r="G80" s="68">
        <f t="shared" si="51"/>
        <v>226426.46215155907</v>
      </c>
      <c r="H80" s="68">
        <f t="shared" si="51"/>
        <v>592210.30986025254</v>
      </c>
    </row>
    <row r="81" spans="2:10" x14ac:dyDescent="0.25">
      <c r="B81" s="451" t="s">
        <v>4150</v>
      </c>
      <c r="C81" s="67">
        <f>('Flujo de Caja'!H18-'Flujo de Caja'!G18)</f>
        <v>0</v>
      </c>
      <c r="D81" s="68">
        <f>(D36-C36)</f>
        <v>0</v>
      </c>
      <c r="E81" s="68">
        <f>(E36-D36)</f>
        <v>0</v>
      </c>
      <c r="F81" s="68">
        <f>(F36-E36)</f>
        <v>0</v>
      </c>
      <c r="G81" s="68">
        <f>(G36-F36)</f>
        <v>0</v>
      </c>
      <c r="H81" s="68">
        <f>(H36-G36)</f>
        <v>0</v>
      </c>
    </row>
    <row r="82" spans="2:10" x14ac:dyDescent="0.25">
      <c r="B82" s="456" t="s">
        <v>4151</v>
      </c>
      <c r="C82" s="518">
        <f>C79+C80+C81</f>
        <v>4139249.2822741643</v>
      </c>
      <c r="D82" s="518">
        <f t="shared" ref="D82:H82" si="52">D79+D80+D81</f>
        <v>1794291.2822741638</v>
      </c>
      <c r="E82" s="518">
        <f t="shared" si="52"/>
        <v>1674684.7342021652</v>
      </c>
      <c r="F82" s="518">
        <f t="shared" si="52"/>
        <v>1674684.7342021666</v>
      </c>
      <c r="G82" s="518">
        <f t="shared" si="52"/>
        <v>1674684.7342021624</v>
      </c>
      <c r="H82" s="518">
        <f t="shared" si="52"/>
        <v>1674684.7342021677</v>
      </c>
    </row>
    <row r="85" spans="2:10" x14ac:dyDescent="0.25">
      <c r="B85" s="482" t="s">
        <v>335</v>
      </c>
      <c r="C85" s="482"/>
      <c r="D85" s="482"/>
      <c r="E85" s="482"/>
      <c r="F85" s="482"/>
      <c r="G85" s="482"/>
      <c r="H85" s="482"/>
    </row>
    <row r="87" spans="2:10" x14ac:dyDescent="0.25">
      <c r="B87" s="488" t="s">
        <v>336</v>
      </c>
      <c r="C87" s="171">
        <f>(C18+C19+C14)/(C21+C20+C28)</f>
        <v>1.6311381942972671</v>
      </c>
      <c r="D87" s="171">
        <f t="shared" ref="D87:H87" si="53">(D18+D19+D14)/(D21+D20+D28)</f>
        <v>1.2967114590415056</v>
      </c>
      <c r="E87" s="171">
        <f t="shared" si="53"/>
        <v>1.2911237751279336</v>
      </c>
      <c r="F87" s="171">
        <f t="shared" si="53"/>
        <v>1.2786177629040494</v>
      </c>
      <c r="G87" s="171">
        <f t="shared" si="53"/>
        <v>1.2660864015822548</v>
      </c>
      <c r="H87" s="171">
        <f t="shared" si="53"/>
        <v>1.2509268086494796</v>
      </c>
      <c r="J87" s="64"/>
    </row>
    <row r="88" spans="2:10" x14ac:dyDescent="0.25">
      <c r="B88" s="488" t="s">
        <v>337</v>
      </c>
      <c r="C88" s="171">
        <f>(C18+C14)/(C21+C20+C28)</f>
        <v>0.80634570446664211</v>
      </c>
      <c r="D88" s="171">
        <f t="shared" ref="D88:H88" si="54">(D18+D14)/(D21+D20+D28)</f>
        <v>0.5820467843508017</v>
      </c>
      <c r="E88" s="171">
        <f t="shared" si="54"/>
        <v>0.57195540410373835</v>
      </c>
      <c r="F88" s="171">
        <f t="shared" si="54"/>
        <v>0.5647146279583628</v>
      </c>
      <c r="G88" s="171">
        <f t="shared" si="54"/>
        <v>0.55838608810583401</v>
      </c>
      <c r="H88" s="171">
        <f t="shared" si="54"/>
        <v>0.5538670905897255</v>
      </c>
      <c r="J88" s="64"/>
    </row>
    <row r="90" spans="2:10" x14ac:dyDescent="0.25">
      <c r="B90" s="482" t="s">
        <v>416</v>
      </c>
      <c r="C90" s="482"/>
      <c r="D90" s="482"/>
      <c r="E90" s="482"/>
      <c r="F90" s="482"/>
      <c r="G90" s="482"/>
      <c r="H90" s="482"/>
    </row>
    <row r="91" spans="2:10" x14ac:dyDescent="0.25">
      <c r="C91" s="149">
        <f>360/C92</f>
        <v>70.5598396884903</v>
      </c>
      <c r="D91" s="149">
        <f t="shared" ref="D91:H91" si="55">360/D92</f>
        <v>120</v>
      </c>
      <c r="E91" s="149">
        <f t="shared" si="55"/>
        <v>111.66726966000792</v>
      </c>
      <c r="F91" s="149">
        <f t="shared" si="55"/>
        <v>103.91315927767438</v>
      </c>
      <c r="G91" s="149">
        <f t="shared" si="55"/>
        <v>96.69748981902849</v>
      </c>
      <c r="H91" s="149">
        <f t="shared" si="55"/>
        <v>89.982872258894375</v>
      </c>
    </row>
    <row r="92" spans="2:10" x14ac:dyDescent="0.25">
      <c r="B92" t="s">
        <v>4211</v>
      </c>
      <c r="C92" s="64">
        <f t="shared" ref="C92:C93" si="56">C48/C18</f>
        <v>5.1020524081310112</v>
      </c>
      <c r="D92" s="613">
        <f>Supuestos!E71</f>
        <v>3</v>
      </c>
      <c r="E92" s="613">
        <f>Supuestos!F71</f>
        <v>3.2238631883459492</v>
      </c>
      <c r="F92" s="613">
        <f>Supuestos!G71</f>
        <v>3.4644312857240362</v>
      </c>
      <c r="G92" s="613">
        <f>Supuestos!H71</f>
        <v>3.7229508301999155</v>
      </c>
      <c r="H92" s="613">
        <f>Supuestos!I71</f>
        <v>4.0007613778344995</v>
      </c>
    </row>
    <row r="93" spans="2:10" x14ac:dyDescent="0.25">
      <c r="B93" t="s">
        <v>4212</v>
      </c>
      <c r="C93" s="64">
        <f t="shared" si="56"/>
        <v>1.720009809864969</v>
      </c>
      <c r="D93" s="613">
        <f>Supuestos!E73</f>
        <v>1</v>
      </c>
      <c r="E93" s="613">
        <f>Supuestos!F73</f>
        <v>1.0466385505033768</v>
      </c>
      <c r="F93" s="613">
        <f>Supuestos!G73</f>
        <v>1.0954522553998096</v>
      </c>
      <c r="G93" s="613">
        <f>Supuestos!H73</f>
        <v>1.1465425607373116</v>
      </c>
      <c r="H93" s="613">
        <f>Supuestos!I73</f>
        <v>1.2000156438605298</v>
      </c>
    </row>
    <row r="94" spans="2:10" x14ac:dyDescent="0.25">
      <c r="B94" t="s">
        <v>4213</v>
      </c>
      <c r="C94" s="64">
        <f t="shared" ref="C94" si="57">C96/C20</f>
        <v>3.2670404174489476</v>
      </c>
      <c r="D94" s="613">
        <f>Supuestos!E75</f>
        <v>3.6893887137566468</v>
      </c>
      <c r="E94" s="613">
        <f>Supuestos!F75</f>
        <v>4.1663362989012134</v>
      </c>
      <c r="F94" s="613">
        <f>Supuestos!G75</f>
        <v>4.704941523460958</v>
      </c>
      <c r="G94" s="613">
        <f>Supuestos!H75</f>
        <v>5.3131752098420781</v>
      </c>
      <c r="H94" s="613">
        <f>Supuestos!I75</f>
        <v>6.0000386125340253</v>
      </c>
    </row>
    <row r="95" spans="2:10" outlineLevel="1" x14ac:dyDescent="0.25">
      <c r="B95" s="65" t="s">
        <v>373</v>
      </c>
      <c r="C95" s="67">
        <f>'EF Sempertex 2011-2014 I'!E38</f>
        <v>21695622</v>
      </c>
      <c r="D95" s="68">
        <f>C98</f>
        <v>29464218</v>
      </c>
      <c r="E95" s="68">
        <f t="shared" ref="E95:H95" si="58">D98</f>
        <v>47143936.438328885</v>
      </c>
      <c r="F95" s="68">
        <f t="shared" si="58"/>
        <v>42177989.382016182</v>
      </c>
      <c r="G95" s="68">
        <f t="shared" si="58"/>
        <v>36510922.81002707</v>
      </c>
      <c r="H95" s="68">
        <f t="shared" si="58"/>
        <v>32257264.310086362</v>
      </c>
    </row>
    <row r="96" spans="2:10" outlineLevel="1" x14ac:dyDescent="0.25">
      <c r="B96" s="65" t="s">
        <v>375</v>
      </c>
      <c r="C96" s="67">
        <f>C98+C97-C95</f>
        <v>58447340</v>
      </c>
      <c r="D96" s="67">
        <f>D98+D97-D95</f>
        <v>64823654.876657769</v>
      </c>
      <c r="E96" s="67">
        <f t="shared" ref="E96:H96" si="59">E98+E97-E95</f>
        <v>39179162.613627531</v>
      </c>
      <c r="F96" s="67">
        <f t="shared" si="59"/>
        <v>34328906.166983396</v>
      </c>
      <c r="G96" s="67">
        <f t="shared" si="59"/>
        <v>32730667.924525999</v>
      </c>
      <c r="H96" s="67">
        <f t="shared" si="59"/>
        <v>30416753.77492597</v>
      </c>
    </row>
    <row r="97" spans="2:8" outlineLevel="1" x14ac:dyDescent="0.25">
      <c r="B97" s="65" t="s">
        <v>374</v>
      </c>
      <c r="C97" s="67">
        <f t="shared" ref="C97:H97" si="60">C49</f>
        <v>50678744</v>
      </c>
      <c r="D97" s="67">
        <f t="shared" si="60"/>
        <v>47143936.438328885</v>
      </c>
      <c r="E97" s="67">
        <f t="shared" si="60"/>
        <v>44145109.669940233</v>
      </c>
      <c r="F97" s="67">
        <f t="shared" si="60"/>
        <v>39995972.738972507</v>
      </c>
      <c r="G97" s="67">
        <f t="shared" si="60"/>
        <v>36984326.424466707</v>
      </c>
      <c r="H97" s="67">
        <f t="shared" si="60"/>
        <v>34186030.620053396</v>
      </c>
    </row>
    <row r="98" spans="2:8" outlineLevel="1" x14ac:dyDescent="0.25">
      <c r="B98" s="65" t="s">
        <v>372</v>
      </c>
      <c r="C98" s="67">
        <f t="shared" ref="C98:H98" si="61">C19</f>
        <v>29464218</v>
      </c>
      <c r="D98" s="67">
        <f t="shared" si="61"/>
        <v>47143936.438328885</v>
      </c>
      <c r="E98" s="67">
        <f t="shared" si="61"/>
        <v>42177989.382016182</v>
      </c>
      <c r="F98" s="67">
        <f t="shared" si="61"/>
        <v>36510922.81002707</v>
      </c>
      <c r="G98" s="67">
        <f t="shared" si="61"/>
        <v>32257264.310086362</v>
      </c>
      <c r="H98" s="67">
        <f t="shared" si="61"/>
        <v>28487987.464958932</v>
      </c>
    </row>
    <row r="99" spans="2:8" x14ac:dyDescent="0.25">
      <c r="B99" t="s">
        <v>4219</v>
      </c>
      <c r="C99" s="64">
        <f t="shared" ref="C99:H99" si="62">C48/C17</f>
        <v>3.7038956342385223</v>
      </c>
      <c r="D99" s="64">
        <f t="shared" si="62"/>
        <v>3.7038956342385223</v>
      </c>
      <c r="E99" s="64">
        <f t="shared" si="62"/>
        <v>3.7038956342385223</v>
      </c>
      <c r="F99" s="64">
        <f t="shared" si="62"/>
        <v>3.7038956342385223</v>
      </c>
      <c r="G99" s="64">
        <f t="shared" si="62"/>
        <v>3.7038956342385223</v>
      </c>
      <c r="H99" s="64">
        <f t="shared" si="62"/>
        <v>3.7038956342385223</v>
      </c>
    </row>
    <row r="100" spans="2:8" x14ac:dyDescent="0.25">
      <c r="B100" t="s">
        <v>4220</v>
      </c>
      <c r="C100" s="64">
        <f t="shared" ref="C100:H100" si="63">C48/C22</f>
        <v>6.465216669656165</v>
      </c>
      <c r="D100" s="64">
        <f t="shared" si="63"/>
        <v>6.465216669656165</v>
      </c>
      <c r="E100" s="64">
        <f t="shared" si="63"/>
        <v>6.465216669656165</v>
      </c>
      <c r="F100" s="64">
        <f t="shared" si="63"/>
        <v>6.465216669656165</v>
      </c>
      <c r="G100" s="64">
        <f t="shared" si="63"/>
        <v>6.4652166696561659</v>
      </c>
      <c r="H100" s="64">
        <f t="shared" si="63"/>
        <v>6.4652166696561659</v>
      </c>
    </row>
    <row r="101" spans="2:8" x14ac:dyDescent="0.25">
      <c r="B101" s="426" t="s">
        <v>4221</v>
      </c>
      <c r="C101" s="64">
        <f t="shared" ref="C101:H101" si="64">C48/C23</f>
        <v>5.1370282960022502</v>
      </c>
      <c r="D101" s="64">
        <f t="shared" si="64"/>
        <v>4.7313397466327007</v>
      </c>
      <c r="E101" s="64">
        <f t="shared" si="64"/>
        <v>4.3520386075769126</v>
      </c>
      <c r="F101" s="64">
        <f t="shared" si="64"/>
        <v>3.9485609815958802</v>
      </c>
      <c r="G101" s="64">
        <f t="shared" si="64"/>
        <v>3.5950718794237786</v>
      </c>
      <c r="H101" s="64">
        <f t="shared" si="64"/>
        <v>3.262753711367345</v>
      </c>
    </row>
    <row r="102" spans="2:8" x14ac:dyDescent="0.25">
      <c r="B102" t="s">
        <v>4222</v>
      </c>
      <c r="C102" s="64">
        <f t="shared" ref="C102:H102" si="65">C48/C16</f>
        <v>2.3548257784481619</v>
      </c>
      <c r="D102" s="64">
        <f t="shared" si="65"/>
        <v>2.3548257784481614</v>
      </c>
      <c r="E102" s="64">
        <f t="shared" si="65"/>
        <v>2.3548257784481619</v>
      </c>
      <c r="F102" s="64">
        <f t="shared" si="65"/>
        <v>2.3548257784481619</v>
      </c>
      <c r="G102" s="64">
        <f t="shared" si="65"/>
        <v>2.3548257784481623</v>
      </c>
      <c r="H102" s="64">
        <f t="shared" si="65"/>
        <v>2.3548257784481619</v>
      </c>
    </row>
    <row r="104" spans="2:8" x14ac:dyDescent="0.25">
      <c r="B104" s="482" t="s">
        <v>4214</v>
      </c>
      <c r="C104" s="482"/>
      <c r="D104" s="482"/>
      <c r="E104" s="482"/>
      <c r="F104" s="482"/>
      <c r="G104" s="482"/>
      <c r="H104" s="482"/>
    </row>
    <row r="106" spans="2:8" x14ac:dyDescent="0.25">
      <c r="B106" t="s">
        <v>384</v>
      </c>
      <c r="C106" s="149">
        <f>360/C92+360/C93-360/C94</f>
        <v>169.66949729985691</v>
      </c>
      <c r="D106" s="149">
        <f t="shared" ref="D106:H106" si="66">360/D92+360/D93-360/D94</f>
        <v>382.42285973888693</v>
      </c>
      <c r="E106" s="149">
        <f t="shared" si="66"/>
        <v>369.21870280248754</v>
      </c>
      <c r="F106" s="149">
        <f t="shared" si="66"/>
        <v>356.02925426030026</v>
      </c>
      <c r="G106" s="149">
        <f t="shared" si="66"/>
        <v>342.92886746013392</v>
      </c>
      <c r="H106" s="149">
        <f t="shared" si="66"/>
        <v>329.97934746760211</v>
      </c>
    </row>
    <row r="107" spans="2:8" x14ac:dyDescent="0.25">
      <c r="B107" t="s">
        <v>392</v>
      </c>
      <c r="C107" s="149">
        <f>360/C92+360/C93</f>
        <v>279.86097153974532</v>
      </c>
      <c r="D107" s="149">
        <f t="shared" ref="D107:H107" si="67">360/D92+360/D93</f>
        <v>480</v>
      </c>
      <c r="E107" s="149">
        <f t="shared" si="67"/>
        <v>455.6255538516798</v>
      </c>
      <c r="F107" s="149">
        <f t="shared" si="67"/>
        <v>432.54455167789359</v>
      </c>
      <c r="G107" s="149">
        <f t="shared" si="67"/>
        <v>410.68496165652692</v>
      </c>
      <c r="H107" s="149">
        <f t="shared" si="67"/>
        <v>389.97896134474672</v>
      </c>
    </row>
    <row r="109" spans="2:8" x14ac:dyDescent="0.25">
      <c r="B109" s="482" t="s">
        <v>4215</v>
      </c>
      <c r="C109" s="482"/>
      <c r="D109" s="482"/>
      <c r="E109" s="482"/>
      <c r="F109" s="482"/>
      <c r="G109" s="482"/>
      <c r="H109" s="482"/>
    </row>
    <row r="111" spans="2:8" x14ac:dyDescent="0.25">
      <c r="B111" s="488" t="s">
        <v>4216</v>
      </c>
      <c r="C111" s="171">
        <f t="shared" ref="C111:H111" si="68">C17/C48</f>
        <v>0.26998600898904329</v>
      </c>
      <c r="D111" s="171">
        <f t="shared" si="68"/>
        <v>0.26998600898904335</v>
      </c>
      <c r="E111" s="171">
        <f t="shared" si="68"/>
        <v>0.26998600898904335</v>
      </c>
      <c r="F111" s="171">
        <f t="shared" si="68"/>
        <v>0.26998600898904335</v>
      </c>
      <c r="G111" s="171">
        <f t="shared" si="68"/>
        <v>0.26998600898904329</v>
      </c>
      <c r="H111" s="171">
        <f t="shared" si="68"/>
        <v>0.26998600898904335</v>
      </c>
    </row>
    <row r="112" spans="2:8" x14ac:dyDescent="0.25">
      <c r="B112" s="488" t="s">
        <v>4105</v>
      </c>
      <c r="C112" s="171">
        <f>(C56+C54)/C17</f>
        <v>0.67189196908415905</v>
      </c>
      <c r="D112" s="171">
        <f t="shared" ref="D112:H112" si="69">(D56+D54)/D17</f>
        <v>0.57058650096185637</v>
      </c>
      <c r="E112" s="171">
        <f t="shared" si="69"/>
        <v>0.46853071422234877</v>
      </c>
      <c r="F112" s="171">
        <f t="shared" si="69"/>
        <v>0.36137213814586577</v>
      </c>
      <c r="G112" s="171">
        <f t="shared" si="69"/>
        <v>0.24885563326555893</v>
      </c>
      <c r="H112" s="171">
        <f t="shared" si="69"/>
        <v>0.13071330314123619</v>
      </c>
    </row>
    <row r="114" spans="2:8" x14ac:dyDescent="0.25">
      <c r="B114" s="482" t="s">
        <v>411</v>
      </c>
      <c r="C114" s="482"/>
      <c r="D114" s="482"/>
      <c r="E114" s="482"/>
      <c r="F114" s="482"/>
      <c r="G114" s="482"/>
      <c r="H114" s="482"/>
    </row>
    <row r="116" spans="2:8" x14ac:dyDescent="0.25">
      <c r="B116" t="s">
        <v>412</v>
      </c>
      <c r="C116" s="81">
        <f t="shared" ref="C116:H116" si="70">C50/C48</f>
        <v>0.47516886559930405</v>
      </c>
      <c r="D116" s="81">
        <f t="shared" si="70"/>
        <v>0.44892730887926924</v>
      </c>
      <c r="E116" s="81">
        <f t="shared" si="70"/>
        <v>0.42137367432323269</v>
      </c>
      <c r="F116" s="81">
        <f t="shared" si="70"/>
        <v>0.39244235803939431</v>
      </c>
      <c r="G116" s="81">
        <f t="shared" si="70"/>
        <v>0.36206447594136398</v>
      </c>
      <c r="H116" s="81">
        <f t="shared" si="70"/>
        <v>0.33016769973843207</v>
      </c>
    </row>
    <row r="117" spans="2:8" x14ac:dyDescent="0.25">
      <c r="B117" t="s">
        <v>452</v>
      </c>
      <c r="C117" s="81">
        <f t="shared" ref="C117:H117" si="71">C56/C48</f>
        <v>0.16874836892359313</v>
      </c>
      <c r="D117" s="81">
        <f t="shared" si="71"/>
        <v>0.14250681220355835</v>
      </c>
      <c r="E117" s="81">
        <f t="shared" si="71"/>
        <v>0.11495317764752176</v>
      </c>
      <c r="F117" s="81">
        <f t="shared" si="71"/>
        <v>8.6021861363683338E-2</v>
      </c>
      <c r="G117" s="81">
        <f t="shared" si="71"/>
        <v>5.5643979265653072E-2</v>
      </c>
      <c r="H117" s="81">
        <f t="shared" si="71"/>
        <v>2.3747203062721146E-2</v>
      </c>
    </row>
    <row r="118" spans="2:8" x14ac:dyDescent="0.25">
      <c r="B118" t="s">
        <v>404</v>
      </c>
      <c r="C118" s="81">
        <f t="shared" ref="C118:H118" si="72">C63/C48</f>
        <v>5.6921066257948259E-2</v>
      </c>
      <c r="D118" s="81">
        <f t="shared" si="72"/>
        <v>3.5466786288307857E-2</v>
      </c>
      <c r="E118" s="81">
        <f t="shared" si="72"/>
        <v>2.0915507970884314E-2</v>
      </c>
      <c r="F118" s="81">
        <f t="shared" si="72"/>
        <v>5.6407517833651586E-3</v>
      </c>
      <c r="G118" s="81">
        <f t="shared" si="72"/>
        <v>-8.5185365787496491E-3</v>
      </c>
      <c r="H118" s="81">
        <f t="shared" si="72"/>
        <v>-2.5308832459198887E-2</v>
      </c>
    </row>
    <row r="120" spans="2:8" x14ac:dyDescent="0.25">
      <c r="B120" s="26" t="s">
        <v>393</v>
      </c>
      <c r="C120" s="154">
        <f t="shared" ref="C120:H120" si="73">C71/C16</f>
        <v>0.2384494620851613</v>
      </c>
      <c r="D120" s="154">
        <f t="shared" si="73"/>
        <v>0.20136889577164177</v>
      </c>
      <c r="E120" s="154">
        <f t="shared" si="73"/>
        <v>0.15160651290088967</v>
      </c>
      <c r="F120" s="154">
        <f t="shared" si="73"/>
        <v>0.11345031691581914</v>
      </c>
      <c r="G120" s="154">
        <f t="shared" si="73"/>
        <v>7.3386311131495199E-2</v>
      </c>
      <c r="H120" s="154">
        <f t="shared" si="73"/>
        <v>3.1319105057954842E-2</v>
      </c>
    </row>
    <row r="121" spans="2:8" x14ac:dyDescent="0.25">
      <c r="B121" s="65" t="s">
        <v>398</v>
      </c>
      <c r="C121" s="81">
        <f t="shared" ref="C121:H121" si="74">C71/C48</f>
        <v>0.1012599166645357</v>
      </c>
      <c r="D121" s="81">
        <f t="shared" si="74"/>
        <v>8.5513288335217985E-2</v>
      </c>
      <c r="E121" s="81">
        <f t="shared" si="74"/>
        <v>6.4381201483533476E-2</v>
      </c>
      <c r="F121" s="81">
        <f t="shared" si="74"/>
        <v>4.8177796401814188E-2</v>
      </c>
      <c r="G121" s="81">
        <f t="shared" si="74"/>
        <v>3.1164221066008975E-2</v>
      </c>
      <c r="H121" s="81">
        <f t="shared" si="74"/>
        <v>1.329996696341342E-2</v>
      </c>
    </row>
    <row r="122" spans="2:8" x14ac:dyDescent="0.25">
      <c r="B122" s="65" t="s">
        <v>4217</v>
      </c>
      <c r="C122" s="64">
        <f>C102</f>
        <v>2.3548257784481619</v>
      </c>
      <c r="D122" s="64">
        <f t="shared" ref="D122:H122" si="75">D102</f>
        <v>2.3548257784481614</v>
      </c>
      <c r="E122" s="64">
        <f t="shared" si="75"/>
        <v>2.3548257784481619</v>
      </c>
      <c r="F122" s="64">
        <f t="shared" si="75"/>
        <v>2.3548257784481619</v>
      </c>
      <c r="G122" s="64">
        <f t="shared" si="75"/>
        <v>2.3548257784481623</v>
      </c>
      <c r="H122" s="64">
        <f t="shared" si="75"/>
        <v>2.3548257784481619</v>
      </c>
    </row>
    <row r="124" spans="2:8" x14ac:dyDescent="0.25">
      <c r="B124" s="26" t="s">
        <v>400</v>
      </c>
      <c r="C124" s="154">
        <f t="shared" ref="C124:H124" si="76">C63/C35</f>
        <v>0.19990606283170154</v>
      </c>
      <c r="D124" s="154">
        <f t="shared" si="76"/>
        <v>0.10413065348403612</v>
      </c>
      <c r="E124" s="154">
        <f t="shared" si="76"/>
        <v>5.3186407200391132E-2</v>
      </c>
      <c r="F124" s="154">
        <f t="shared" si="76"/>
        <v>1.2294546316576845E-2</v>
      </c>
      <c r="G124" s="154">
        <f t="shared" si="76"/>
        <v>-1.6497391060009126E-2</v>
      </c>
      <c r="H124" s="154">
        <f t="shared" si="76"/>
        <v>-4.4180645399716917E-2</v>
      </c>
    </row>
    <row r="125" spans="2:8" x14ac:dyDescent="0.25">
      <c r="B125" s="65" t="s">
        <v>404</v>
      </c>
      <c r="C125" s="156">
        <f>C118</f>
        <v>5.6921066257948259E-2</v>
      </c>
      <c r="D125" s="156">
        <f t="shared" ref="D125:H125" si="77">D118</f>
        <v>3.5466786288307857E-2</v>
      </c>
      <c r="E125" s="156">
        <f t="shared" si="77"/>
        <v>2.0915507970884314E-2</v>
      </c>
      <c r="F125" s="156">
        <f t="shared" si="77"/>
        <v>5.6407517833651586E-3</v>
      </c>
      <c r="G125" s="156">
        <f t="shared" si="77"/>
        <v>-8.5185365787496491E-3</v>
      </c>
      <c r="H125" s="156">
        <f t="shared" si="77"/>
        <v>-2.5308832459198887E-2</v>
      </c>
    </row>
    <row r="126" spans="2:8" x14ac:dyDescent="0.25">
      <c r="B126" s="65" t="s">
        <v>399</v>
      </c>
      <c r="C126" s="64">
        <f>C102</f>
        <v>2.3548257784481619</v>
      </c>
      <c r="D126" s="64">
        <f t="shared" ref="D126:H126" si="78">D102</f>
        <v>2.3548257784481614</v>
      </c>
      <c r="E126" s="64">
        <f t="shared" si="78"/>
        <v>2.3548257784481619</v>
      </c>
      <c r="F126" s="64">
        <f t="shared" si="78"/>
        <v>2.3548257784481619</v>
      </c>
      <c r="G126" s="64">
        <f t="shared" si="78"/>
        <v>2.3548257784481623</v>
      </c>
      <c r="H126" s="64">
        <f t="shared" si="78"/>
        <v>2.3548257784481619</v>
      </c>
    </row>
    <row r="127" spans="2:8" x14ac:dyDescent="0.25">
      <c r="B127" s="65" t="s">
        <v>405</v>
      </c>
      <c r="C127" s="64">
        <f t="shared" ref="C127:H127" si="79">C16/C35</f>
        <v>1.4914000646081718</v>
      </c>
      <c r="D127" s="64">
        <f t="shared" si="79"/>
        <v>1.246803389976791</v>
      </c>
      <c r="E127" s="64">
        <f t="shared" si="79"/>
        <v>1.0798749232777751</v>
      </c>
      <c r="F127" s="64">
        <f t="shared" si="79"/>
        <v>0.9255859137754725</v>
      </c>
      <c r="G127" s="64">
        <f t="shared" si="79"/>
        <v>0.82241589449394703</v>
      </c>
      <c r="H127" s="64">
        <f t="shared" si="79"/>
        <v>0.74131222743355629</v>
      </c>
    </row>
    <row r="129" spans="2:9" x14ac:dyDescent="0.25">
      <c r="B129" s="426" t="s">
        <v>406</v>
      </c>
      <c r="C129" s="156">
        <f>C124-C120</f>
        <v>-3.8543399253459759E-2</v>
      </c>
      <c r="D129" s="156">
        <f t="shared" ref="D129:H129" si="80">D124-D120</f>
        <v>-9.723824228760565E-2</v>
      </c>
      <c r="E129" s="156">
        <f t="shared" si="80"/>
        <v>-9.8420105700498528E-2</v>
      </c>
      <c r="F129" s="156">
        <f t="shared" si="80"/>
        <v>-0.1011557705992423</v>
      </c>
      <c r="G129" s="156">
        <f t="shared" si="80"/>
        <v>-8.9883702191504322E-2</v>
      </c>
      <c r="H129" s="156">
        <f t="shared" si="80"/>
        <v>-7.5499750457671766E-2</v>
      </c>
    </row>
    <row r="131" spans="2:9" x14ac:dyDescent="0.25">
      <c r="B131" s="26" t="s">
        <v>4070</v>
      </c>
      <c r="C131" s="73">
        <f>C132-C133*C134</f>
        <v>5125828.0714746974</v>
      </c>
      <c r="D131" s="73">
        <f t="shared" ref="D131:H131" si="81">D132-D133*D134</f>
        <v>3205490.993734186</v>
      </c>
      <c r="E131" s="73">
        <f t="shared" si="81"/>
        <v>1319773.4860928715</v>
      </c>
      <c r="F131" s="73">
        <f t="shared" si="81"/>
        <v>60098.654365596827</v>
      </c>
      <c r="G131" s="73">
        <f t="shared" si="81"/>
        <v>-941871.55183148291</v>
      </c>
      <c r="H131" s="73">
        <f t="shared" si="81"/>
        <v>-1747333.2045108071</v>
      </c>
    </row>
    <row r="132" spans="2:9" x14ac:dyDescent="0.25">
      <c r="B132" s="119" t="s">
        <v>394</v>
      </c>
      <c r="C132" s="67">
        <f>C71</f>
        <v>9777860.0729608964</v>
      </c>
      <c r="D132" s="67">
        <f t="shared" ref="D132:H132" si="82">D71</f>
        <v>7315610.254083137</v>
      </c>
      <c r="E132" s="67">
        <f t="shared" si="82"/>
        <v>4911831.8231527694</v>
      </c>
      <c r="F132" s="67">
        <f t="shared" si="82"/>
        <v>3171580.2722726185</v>
      </c>
      <c r="G132" s="67">
        <f t="shared" si="82"/>
        <v>1806746.42060469</v>
      </c>
      <c r="H132" s="67">
        <f t="shared" si="82"/>
        <v>678786.4330809383</v>
      </c>
    </row>
    <row r="133" spans="2:9" x14ac:dyDescent="0.25">
      <c r="B133" s="119" t="s">
        <v>379</v>
      </c>
      <c r="C133" s="67">
        <f t="shared" ref="C133:H133" si="83">C16</f>
        <v>41006006</v>
      </c>
      <c r="D133" s="67">
        <f t="shared" si="83"/>
        <v>36329395.491045713</v>
      </c>
      <c r="E133" s="67">
        <f t="shared" si="83"/>
        <v>32398554.185886465</v>
      </c>
      <c r="F133" s="67">
        <f t="shared" si="83"/>
        <v>27955675.73976855</v>
      </c>
      <c r="G133" s="67">
        <f t="shared" si="83"/>
        <v>24619665.340138465</v>
      </c>
      <c r="H133" s="67">
        <f t="shared" si="83"/>
        <v>21673238.485737991</v>
      </c>
    </row>
    <row r="134" spans="2:9" x14ac:dyDescent="0.25">
      <c r="B134" s="119" t="s">
        <v>4071</v>
      </c>
      <c r="C134" s="156">
        <f>C135*C137+C136*C138</f>
        <v>0.11344757647175389</v>
      </c>
      <c r="D134" s="156">
        <f t="shared" ref="D134:H134" si="84">D135*D137+D136*D138</f>
        <v>0.11313481011160763</v>
      </c>
      <c r="E134" s="156">
        <f t="shared" si="84"/>
        <v>0.11087094555054802</v>
      </c>
      <c r="F134" s="156">
        <f t="shared" si="84"/>
        <v>0.11130053327527908</v>
      </c>
      <c r="G134" s="156">
        <f t="shared" si="84"/>
        <v>0.11164318988345412</v>
      </c>
      <c r="H134" s="156">
        <f t="shared" si="84"/>
        <v>0.1119407992113521</v>
      </c>
    </row>
    <row r="135" spans="2:9" x14ac:dyDescent="0.25">
      <c r="B135" s="115" t="s">
        <v>4102</v>
      </c>
      <c r="C135" s="81">
        <f>C6*(1-C7)</f>
        <v>0.11527240301839546</v>
      </c>
      <c r="D135" s="81">
        <f t="shared" ref="D135:H135" si="85">D6*(1-D7)</f>
        <v>0.11527240301839546</v>
      </c>
      <c r="E135" s="81">
        <f t="shared" si="85"/>
        <v>0.10758840301839546</v>
      </c>
      <c r="F135" s="81">
        <f t="shared" si="85"/>
        <v>0.10758840301839546</v>
      </c>
      <c r="G135" s="81">
        <f t="shared" si="85"/>
        <v>0.10758840301839546</v>
      </c>
      <c r="H135" s="81">
        <f t="shared" si="85"/>
        <v>0.10758840301839546</v>
      </c>
    </row>
    <row r="136" spans="2:9" x14ac:dyDescent="0.25">
      <c r="B136" s="115" t="s">
        <v>4103</v>
      </c>
      <c r="C136" s="531">
        <f>'Analisis Sectorial'!$H$203</f>
        <v>0.11201556632833577</v>
      </c>
      <c r="D136" s="531">
        <f>'Analisis Sectorial'!$H$203</f>
        <v>0.11201556632833577</v>
      </c>
      <c r="E136" s="531">
        <f>'Analisis Sectorial'!$H$203</f>
        <v>0.11201556632833577</v>
      </c>
      <c r="F136" s="531">
        <f>'Analisis Sectorial'!$H$203</f>
        <v>0.11201556632833577</v>
      </c>
      <c r="G136" s="531">
        <f>'Analisis Sectorial'!$H$203</f>
        <v>0.11201556632833577</v>
      </c>
      <c r="H136" s="531">
        <f>'Analisis Sectorial'!$H$203</f>
        <v>0.11201556632833577</v>
      </c>
      <c r="I136" t="s">
        <v>4244</v>
      </c>
    </row>
    <row r="137" spans="2:9" x14ac:dyDescent="0.25">
      <c r="B137" s="115" t="s">
        <v>4129</v>
      </c>
      <c r="C137" s="81">
        <f t="shared" ref="C137:H137" si="86">(C28+C29+C30)/(C28+C29+C30+C35)</f>
        <v>0.43969356762308964</v>
      </c>
      <c r="D137" s="81">
        <f t="shared" si="86"/>
        <v>0.34365978088122806</v>
      </c>
      <c r="E137" s="81">
        <f t="shared" si="86"/>
        <v>0.25854496381864533</v>
      </c>
      <c r="F137" s="81">
        <f t="shared" si="86"/>
        <v>0.16151043072010285</v>
      </c>
      <c r="G137" s="81">
        <f t="shared" si="86"/>
        <v>8.4111748045424872E-2</v>
      </c>
      <c r="H137" s="81">
        <f t="shared" si="86"/>
        <v>1.6888267215214942E-2</v>
      </c>
    </row>
    <row r="138" spans="2:9" x14ac:dyDescent="0.25">
      <c r="B138" s="115" t="s">
        <v>4130</v>
      </c>
      <c r="C138" s="81">
        <f t="shared" ref="C138:H138" si="87">(C35)/(C28+C29+C30+C35)</f>
        <v>0.56030643237691036</v>
      </c>
      <c r="D138" s="81">
        <f t="shared" si="87"/>
        <v>0.65634021911877194</v>
      </c>
      <c r="E138" s="81">
        <f t="shared" si="87"/>
        <v>0.74145503618135467</v>
      </c>
      <c r="F138" s="81">
        <f t="shared" si="87"/>
        <v>0.83848956927989715</v>
      </c>
      <c r="G138" s="81">
        <f t="shared" si="87"/>
        <v>0.91588825195457513</v>
      </c>
      <c r="H138" s="81">
        <f t="shared" si="87"/>
        <v>0.98311173278478503</v>
      </c>
    </row>
    <row r="140" spans="2:9" x14ac:dyDescent="0.25">
      <c r="B140" s="482" t="s">
        <v>453</v>
      </c>
      <c r="C140" s="482"/>
      <c r="D140" s="482"/>
      <c r="E140" s="482"/>
      <c r="F140" s="482"/>
      <c r="G140" s="482"/>
      <c r="H140" s="482"/>
    </row>
    <row r="142" spans="2:9" x14ac:dyDescent="0.25">
      <c r="B142" t="s">
        <v>456</v>
      </c>
      <c r="C142" s="64">
        <f>C27/C35</f>
        <v>0.78473767605672218</v>
      </c>
      <c r="D142" s="64">
        <f t="shared" ref="D142:H142" si="88">D27/D35</f>
        <v>0.52360006422071637</v>
      </c>
      <c r="E142" s="64">
        <f t="shared" si="88"/>
        <v>0.34869945067769031</v>
      </c>
      <c r="F142" s="64">
        <f t="shared" si="88"/>
        <v>0.19262067965712387</v>
      </c>
      <c r="G142" s="64">
        <f t="shared" si="88"/>
        <v>9.1836256078101239E-2</v>
      </c>
      <c r="H142" s="64">
        <f t="shared" si="88"/>
        <v>1.7178380291909285E-2</v>
      </c>
    </row>
    <row r="143" spans="2:9" x14ac:dyDescent="0.25">
      <c r="B143" t="s">
        <v>455</v>
      </c>
      <c r="C143" s="81">
        <f>C27/C16</f>
        <v>0.52617516565744049</v>
      </c>
      <c r="D143" s="81">
        <f t="shared" ref="D143:H143" si="89">D27/D16</f>
        <v>0.4199539946955575</v>
      </c>
      <c r="E143" s="81">
        <f t="shared" si="89"/>
        <v>0.32290725820289717</v>
      </c>
      <c r="F143" s="81">
        <f t="shared" si="89"/>
        <v>0.20810675356047992</v>
      </c>
      <c r="G143" s="81">
        <f t="shared" si="89"/>
        <v>0.11166644114363862</v>
      </c>
      <c r="H143" s="81">
        <f t="shared" si="89"/>
        <v>2.3172935311456172E-2</v>
      </c>
    </row>
    <row r="144" spans="2:9" x14ac:dyDescent="0.25">
      <c r="B144" t="s">
        <v>405</v>
      </c>
      <c r="C144" s="64">
        <f>C16/C35</f>
        <v>1.4914000646081718</v>
      </c>
      <c r="D144" s="64">
        <f t="shared" ref="D144:H144" si="90">D16/D35</f>
        <v>1.246803389976791</v>
      </c>
      <c r="E144" s="64">
        <f t="shared" si="90"/>
        <v>1.0798749232777751</v>
      </c>
      <c r="F144" s="64">
        <f t="shared" si="90"/>
        <v>0.9255859137754725</v>
      </c>
      <c r="G144" s="64">
        <f t="shared" si="90"/>
        <v>0.82241589449394703</v>
      </c>
      <c r="H144" s="64">
        <f t="shared" si="90"/>
        <v>0.74131222743355629</v>
      </c>
    </row>
    <row r="146" spans="2:8" x14ac:dyDescent="0.25">
      <c r="B146" s="482" t="s">
        <v>4190</v>
      </c>
      <c r="C146" s="482"/>
      <c r="D146" s="482"/>
      <c r="E146" s="482"/>
      <c r="F146" s="482"/>
      <c r="G146" s="482"/>
      <c r="H146" s="482"/>
    </row>
    <row r="147" spans="2:8" outlineLevel="1" x14ac:dyDescent="0.25"/>
    <row r="148" spans="2:8" outlineLevel="1" x14ac:dyDescent="0.25">
      <c r="B148" t="s">
        <v>4063</v>
      </c>
      <c r="C148" s="64">
        <f>C56/C60</f>
        <v>3.9313404404477112</v>
      </c>
      <c r="D148" s="64">
        <f t="shared" ref="D148:H148" si="91">D56/D60</f>
        <v>2.9413546751361874</v>
      </c>
      <c r="E148" s="64">
        <f t="shared" si="91"/>
        <v>2.9923896176586724</v>
      </c>
      <c r="F148" s="64">
        <f t="shared" si="91"/>
        <v>2.8177782318141515</v>
      </c>
      <c r="G148" s="64">
        <f t="shared" si="91"/>
        <v>2.8865266607368234</v>
      </c>
      <c r="H148" s="64">
        <f t="shared" si="91"/>
        <v>2.294895275863309</v>
      </c>
    </row>
    <row r="149" spans="2:8" outlineLevel="1" x14ac:dyDescent="0.25">
      <c r="B149" t="s">
        <v>4066</v>
      </c>
      <c r="C149" s="81">
        <f t="shared" ref="C149:H149" si="92">C28/(C28+C29+C30)</f>
        <v>0.62120126757353034</v>
      </c>
      <c r="D149" s="81">
        <f t="shared" si="92"/>
        <v>0.87851718737322648</v>
      </c>
      <c r="E149" s="81">
        <f t="shared" si="92"/>
        <v>1.2811698615383131</v>
      </c>
      <c r="F149" s="81">
        <f t="shared" si="92"/>
        <v>2.303848845764275</v>
      </c>
      <c r="G149" s="81">
        <f t="shared" si="92"/>
        <v>4.8753447371008356</v>
      </c>
      <c r="H149" s="81">
        <f t="shared" si="92"/>
        <v>26.687340174856182</v>
      </c>
    </row>
    <row r="150" spans="2:8" outlineLevel="1" x14ac:dyDescent="0.25"/>
    <row r="151" spans="2:8" outlineLevel="1" x14ac:dyDescent="0.25"/>
    <row r="152" spans="2:8" x14ac:dyDescent="0.25">
      <c r="B152" s="482" t="s">
        <v>4231</v>
      </c>
      <c r="C152" s="482"/>
      <c r="D152" s="482"/>
      <c r="E152" s="482"/>
      <c r="F152" s="482"/>
      <c r="G152" s="482"/>
      <c r="H152" s="482"/>
    </row>
    <row r="154" spans="2:8" x14ac:dyDescent="0.25">
      <c r="B154" t="s">
        <v>4223</v>
      </c>
      <c r="C154" s="81">
        <f t="shared" ref="C154:H154" si="93">1-C8</f>
        <v>0.54151908554162242</v>
      </c>
      <c r="D154" s="81">
        <f t="shared" si="93"/>
        <v>0.54151908554162242</v>
      </c>
      <c r="E154" s="81">
        <f t="shared" si="93"/>
        <v>0.54151908554162242</v>
      </c>
      <c r="F154" s="81">
        <f t="shared" si="93"/>
        <v>0.54151908554162242</v>
      </c>
      <c r="G154" s="81">
        <f t="shared" si="93"/>
        <v>0.54151908554162242</v>
      </c>
      <c r="H154" s="81">
        <f t="shared" si="93"/>
        <v>0.54151908554162242</v>
      </c>
    </row>
    <row r="156" spans="2:8" x14ac:dyDescent="0.25">
      <c r="B156" s="26" t="s">
        <v>4224</v>
      </c>
      <c r="C156" s="154">
        <f>(C157*C154)/(1-C158*C154)</f>
        <v>8.33469515172479E-2</v>
      </c>
      <c r="D156" s="154">
        <f t="shared" ref="D156:H156" si="94">(D157*D154)/(1-D158*D154)</f>
        <v>5.0761993202528936E-2</v>
      </c>
      <c r="E156" s="154">
        <f t="shared" si="94"/>
        <v>2.9056584596077236E-2</v>
      </c>
      <c r="F156" s="154">
        <f t="shared" si="94"/>
        <v>7.6638221971671271E-3</v>
      </c>
      <c r="G156" s="154">
        <f t="shared" si="94"/>
        <v>-1.131224345163385E-2</v>
      </c>
      <c r="H156" s="154">
        <f t="shared" si="94"/>
        <v>-3.2830192035638119E-2</v>
      </c>
    </row>
    <row r="157" spans="2:8" x14ac:dyDescent="0.25">
      <c r="B157" s="65" t="s">
        <v>4225</v>
      </c>
      <c r="C157" s="81">
        <f t="shared" ref="C157:H157" si="95">C63/C16</f>
        <v>0.13403919416097243</v>
      </c>
      <c r="D157" s="81">
        <f t="shared" si="95"/>
        <v>8.351810263041913E-2</v>
      </c>
      <c r="E157" s="81">
        <f t="shared" si="95"/>
        <v>4.9252377339176388E-2</v>
      </c>
      <c r="F157" s="81">
        <f t="shared" si="95"/>
        <v>1.3282987709295715E-2</v>
      </c>
      <c r="G157" s="81">
        <f t="shared" si="95"/>
        <v>-2.0059669530293287E-2</v>
      </c>
      <c r="H157" s="81">
        <f t="shared" si="95"/>
        <v>-5.959789109734713E-2</v>
      </c>
    </row>
    <row r="158" spans="2:8" x14ac:dyDescent="0.25">
      <c r="B158" s="65" t="s">
        <v>393</v>
      </c>
      <c r="C158" s="156">
        <f>C120</f>
        <v>0.2384494620851613</v>
      </c>
      <c r="D158" s="156">
        <f t="shared" ref="D158:H158" si="96">D120</f>
        <v>0.20136889577164177</v>
      </c>
      <c r="E158" s="156">
        <f t="shared" si="96"/>
        <v>0.15160651290088967</v>
      </c>
      <c r="F158" s="156">
        <f t="shared" si="96"/>
        <v>0.11345031691581914</v>
      </c>
      <c r="G158" s="156">
        <f t="shared" si="96"/>
        <v>7.3386311131495199E-2</v>
      </c>
      <c r="H158" s="156">
        <f t="shared" si="96"/>
        <v>3.1319105057954842E-2</v>
      </c>
    </row>
    <row r="160" spans="2:8" x14ac:dyDescent="0.25">
      <c r="B160" s="26" t="s">
        <v>4226</v>
      </c>
      <c r="C160" s="154">
        <f>(C161*C154)/(1-C162*C154)</f>
        <v>0.13407215269236802</v>
      </c>
      <c r="D160" s="154">
        <f t="shared" ref="D160:H160" si="97">(D161*D154)/(1-D162*D154)</f>
        <v>6.5261553541858641E-2</v>
      </c>
      <c r="E160" s="154">
        <f t="shared" si="97"/>
        <v>3.1603252900874394E-2</v>
      </c>
      <c r="F160" s="154">
        <f t="shared" si="97"/>
        <v>7.0591413964163135E-3</v>
      </c>
      <c r="G160" s="154">
        <f t="shared" si="97"/>
        <v>-9.235494686111333E-3</v>
      </c>
      <c r="H160" s="154">
        <f t="shared" si="97"/>
        <v>-2.4229287254658546E-2</v>
      </c>
    </row>
    <row r="161" spans="2:8" x14ac:dyDescent="0.25">
      <c r="B161" s="65" t="s">
        <v>400</v>
      </c>
      <c r="C161" s="156">
        <f>C124</f>
        <v>0.19990606283170154</v>
      </c>
      <c r="D161" s="156">
        <f t="shared" ref="D161:H161" si="98">D124</f>
        <v>0.10413065348403612</v>
      </c>
      <c r="E161" s="156">
        <f t="shared" si="98"/>
        <v>5.3186407200391132E-2</v>
      </c>
      <c r="F161" s="156">
        <f t="shared" si="98"/>
        <v>1.2294546316576845E-2</v>
      </c>
      <c r="G161" s="156">
        <f t="shared" si="98"/>
        <v>-1.6497391060009126E-2</v>
      </c>
      <c r="H161" s="156">
        <f t="shared" si="98"/>
        <v>-4.4180645399716917E-2</v>
      </c>
    </row>
    <row r="162" spans="2:8" x14ac:dyDescent="0.25">
      <c r="B162" s="65" t="s">
        <v>4227</v>
      </c>
      <c r="C162" s="81">
        <f t="shared" ref="C162:H162" si="99">C71/C35</f>
        <v>0.35562354315959332</v>
      </c>
      <c r="D162" s="81">
        <f t="shared" si="99"/>
        <v>0.25106742188396608</v>
      </c>
      <c r="E162" s="81">
        <f t="shared" si="99"/>
        <v>0.16371607148725925</v>
      </c>
      <c r="F162" s="81">
        <f t="shared" si="99"/>
        <v>0.1050080152506454</v>
      </c>
      <c r="G162" s="81">
        <f t="shared" si="99"/>
        <v>6.0354068712819724E-2</v>
      </c>
      <c r="H162" s="81">
        <f t="shared" si="99"/>
        <v>2.3217235531738066E-2</v>
      </c>
    </row>
    <row r="163" spans="2:8" x14ac:dyDescent="0.25">
      <c r="B163" s="65"/>
      <c r="C163" s="156"/>
      <c r="D163" s="156"/>
      <c r="E163" s="156"/>
      <c r="F163" s="156"/>
      <c r="G163" s="156"/>
      <c r="H163" s="156"/>
    </row>
    <row r="164" spans="2:8" x14ac:dyDescent="0.25">
      <c r="B164" s="65"/>
      <c r="D164" s="149"/>
      <c r="E164" s="149"/>
      <c r="F164" s="149"/>
      <c r="G164" s="149"/>
      <c r="H164" s="149"/>
    </row>
    <row r="165" spans="2:8" x14ac:dyDescent="0.25">
      <c r="B165" s="65"/>
      <c r="C165" s="156"/>
      <c r="D165" s="156"/>
      <c r="E165" s="156"/>
      <c r="F165" s="156"/>
      <c r="G165" s="156"/>
      <c r="H165" s="156"/>
    </row>
    <row r="166" spans="2:8" x14ac:dyDescent="0.25">
      <c r="B166" s="65"/>
      <c r="C166" s="142"/>
      <c r="D166" s="142"/>
      <c r="E166" s="142"/>
      <c r="F166" s="142"/>
      <c r="G166" s="142"/>
      <c r="H166" s="142"/>
    </row>
    <row r="167" spans="2:8" x14ac:dyDescent="0.25">
      <c r="B167" s="65"/>
      <c r="C167" s="142"/>
      <c r="D167" s="142"/>
      <c r="E167" s="142"/>
      <c r="F167" s="142"/>
      <c r="G167" s="142"/>
      <c r="H167" s="142"/>
    </row>
    <row r="168" spans="2:8" x14ac:dyDescent="0.25">
      <c r="D168" s="64"/>
      <c r="E168" s="64"/>
      <c r="F168" s="64"/>
      <c r="G168" s="64"/>
      <c r="H168" s="64"/>
    </row>
    <row r="173" spans="2:8" x14ac:dyDescent="0.25">
      <c r="D173" s="149"/>
      <c r="E173" s="149"/>
      <c r="F173" s="149"/>
      <c r="G173" s="149"/>
      <c r="H173" s="14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2:P172"/>
  <sheetViews>
    <sheetView topLeftCell="A97" zoomScaleNormal="100" workbookViewId="0">
      <selection activeCell="D97" sqref="D97"/>
    </sheetView>
  </sheetViews>
  <sheetFormatPr baseColWidth="10" defaultRowHeight="15" outlineLevelRow="1" x14ac:dyDescent="0.25"/>
  <cols>
    <col min="1" max="1" width="3.625" customWidth="1"/>
    <col min="2" max="2" width="35.25" bestFit="1" customWidth="1"/>
    <col min="3" max="8" width="12.625" customWidth="1"/>
    <col min="10" max="12" width="11.625" bestFit="1" customWidth="1"/>
    <col min="13" max="13" width="11.75" bestFit="1" customWidth="1"/>
    <col min="14" max="15" width="11.625" bestFit="1" customWidth="1"/>
  </cols>
  <sheetData>
    <row r="2" spans="2:15" x14ac:dyDescent="0.25">
      <c r="C2" s="26">
        <v>2015</v>
      </c>
      <c r="D2" s="26">
        <f>C2+1</f>
        <v>2016</v>
      </c>
      <c r="E2" s="26">
        <f t="shared" ref="E2:H2" si="0">D2+1</f>
        <v>2017</v>
      </c>
      <c r="F2" s="26">
        <f t="shared" si="0"/>
        <v>2018</v>
      </c>
      <c r="G2" s="26">
        <f t="shared" si="0"/>
        <v>2019</v>
      </c>
      <c r="H2" s="26">
        <f t="shared" si="0"/>
        <v>2020</v>
      </c>
    </row>
    <row r="4" spans="2:15" x14ac:dyDescent="0.25">
      <c r="B4" s="26" t="s">
        <v>4191</v>
      </c>
      <c r="C4" s="26"/>
      <c r="D4" s="155">
        <f>Supuestos!I65</f>
        <v>0.16</v>
      </c>
      <c r="E4" s="155">
        <f>Supuestos!J65</f>
        <v>0.15415305516612579</v>
      </c>
      <c r="F4" s="155">
        <f>Supuestos!K65</f>
        <v>0.18308503286946687</v>
      </c>
      <c r="G4" s="155">
        <f>Supuestos!L65</f>
        <v>0.16528516797230097</v>
      </c>
      <c r="H4" s="155">
        <f>Supuestos!M65</f>
        <v>0.16563081400197341</v>
      </c>
      <c r="I4" t="s">
        <v>5524</v>
      </c>
    </row>
    <row r="5" spans="2:15" x14ac:dyDescent="0.25">
      <c r="B5" s="26" t="s">
        <v>4207</v>
      </c>
      <c r="C5" s="155">
        <f>CERTIFICADO1!E330</f>
        <v>0.19209999999999999</v>
      </c>
      <c r="D5" s="155">
        <f>C5</f>
        <v>0.19209999999999999</v>
      </c>
      <c r="E5" s="155">
        <f t="shared" ref="E5:H8" si="1">D5</f>
        <v>0.19209999999999999</v>
      </c>
      <c r="F5" s="155">
        <f t="shared" si="1"/>
        <v>0.19209999999999999</v>
      </c>
      <c r="G5" s="155">
        <f t="shared" si="1"/>
        <v>0.19209999999999999</v>
      </c>
      <c r="H5" s="155">
        <f t="shared" si="1"/>
        <v>0.19209999999999999</v>
      </c>
    </row>
    <row r="6" spans="2:15" x14ac:dyDescent="0.25">
      <c r="B6" s="26" t="s">
        <v>396</v>
      </c>
      <c r="C6" s="155">
        <f>C61/C60</f>
        <v>0.39993543457368314</v>
      </c>
      <c r="D6" s="155">
        <f>C6</f>
        <v>0.39993543457368314</v>
      </c>
      <c r="E6" s="155">
        <f t="shared" si="1"/>
        <v>0.39993543457368314</v>
      </c>
      <c r="F6" s="155">
        <f t="shared" si="1"/>
        <v>0.39993543457368314</v>
      </c>
      <c r="G6" s="155">
        <f t="shared" si="1"/>
        <v>0.39993543457368314</v>
      </c>
      <c r="H6" s="155">
        <f t="shared" si="1"/>
        <v>0.39993543457368314</v>
      </c>
    </row>
    <row r="7" spans="2:15" x14ac:dyDescent="0.25">
      <c r="B7" s="26" t="s">
        <v>4209</v>
      </c>
      <c r="C7" s="155">
        <f>C64/C62</f>
        <v>0.45848091445837758</v>
      </c>
      <c r="D7" s="155">
        <f>C7</f>
        <v>0.45848091445837758</v>
      </c>
      <c r="E7" s="155">
        <f t="shared" si="1"/>
        <v>0.45848091445837758</v>
      </c>
      <c r="F7" s="155">
        <f t="shared" si="1"/>
        <v>0.45848091445837758</v>
      </c>
      <c r="G7" s="155">
        <f t="shared" si="1"/>
        <v>0.45848091445837758</v>
      </c>
      <c r="H7" s="155">
        <f t="shared" si="1"/>
        <v>0.45848091445837758</v>
      </c>
    </row>
    <row r="8" spans="2:15" x14ac:dyDescent="0.25">
      <c r="B8" s="26" t="s">
        <v>4210</v>
      </c>
      <c r="C8" s="532">
        <f>Supuestos!I26</f>
        <v>8.7940209281263254E-2</v>
      </c>
      <c r="D8" s="155">
        <f>C8</f>
        <v>8.7940209281263254E-2</v>
      </c>
      <c r="E8" s="155">
        <f t="shared" si="1"/>
        <v>8.7940209281263254E-2</v>
      </c>
      <c r="F8" s="155">
        <f t="shared" si="1"/>
        <v>8.7940209281263254E-2</v>
      </c>
      <c r="G8" s="155">
        <f t="shared" si="1"/>
        <v>8.7940209281263254E-2</v>
      </c>
      <c r="H8" s="155">
        <f t="shared" si="1"/>
        <v>8.7940209281263254E-2</v>
      </c>
    </row>
    <row r="9" spans="2:15" x14ac:dyDescent="0.25">
      <c r="D9" s="64"/>
      <c r="E9" s="64"/>
      <c r="F9" s="64"/>
      <c r="G9" s="64"/>
      <c r="H9" s="64"/>
    </row>
    <row r="11" spans="2:15" x14ac:dyDescent="0.25">
      <c r="B11" s="482" t="s">
        <v>4205</v>
      </c>
      <c r="C11" s="482"/>
      <c r="D11" s="482"/>
      <c r="E11" s="482"/>
      <c r="F11" s="482"/>
      <c r="G11" s="482"/>
      <c r="H11" s="482"/>
    </row>
    <row r="13" spans="2:15" x14ac:dyDescent="0.25">
      <c r="B13" s="78" t="s">
        <v>4124</v>
      </c>
      <c r="C13" s="87">
        <f>'EF Sempertex 2015 I'!B27</f>
        <v>9879131</v>
      </c>
      <c r="D13" s="87">
        <f>C13</f>
        <v>9879131</v>
      </c>
      <c r="E13" s="87">
        <f t="shared" ref="E13:H13" si="2">D13</f>
        <v>9879131</v>
      </c>
      <c r="F13" s="87">
        <f t="shared" si="2"/>
        <v>9879131</v>
      </c>
      <c r="G13" s="87">
        <f t="shared" si="2"/>
        <v>9879131</v>
      </c>
      <c r="H13" s="87">
        <f t="shared" si="2"/>
        <v>9879131</v>
      </c>
    </row>
    <row r="14" spans="2:15" s="521" customFormat="1" ht="5.0999999999999996" customHeight="1" x14ac:dyDescent="0.25">
      <c r="B14" s="519"/>
      <c r="C14" s="520"/>
    </row>
    <row r="15" spans="2:15" x14ac:dyDescent="0.25">
      <c r="B15" s="78" t="s">
        <v>379</v>
      </c>
      <c r="C15" s="87">
        <f t="shared" ref="C15:H15" si="3">C16+C21</f>
        <v>41006006</v>
      </c>
      <c r="D15" s="87">
        <f t="shared" si="3"/>
        <v>47566966.959999993</v>
      </c>
      <c r="E15" s="87">
        <f t="shared" si="3"/>
        <v>54899560.241870165</v>
      </c>
      <c r="F15" s="87">
        <f t="shared" si="3"/>
        <v>64950848.033272244</v>
      </c>
      <c r="G15" s="87">
        <f t="shared" si="3"/>
        <v>75686259.860395044</v>
      </c>
      <c r="H15" s="87">
        <f t="shared" si="3"/>
        <v>88222236.689837158</v>
      </c>
      <c r="J15" s="92">
        <f t="shared" ref="J15:O15" si="4">C47/C15</f>
        <v>2.3548257784481619</v>
      </c>
      <c r="K15" s="92">
        <f t="shared" si="4"/>
        <v>2.3548257784481619</v>
      </c>
      <c r="L15" s="92">
        <f t="shared" si="4"/>
        <v>2.3548257784481619</v>
      </c>
      <c r="M15" s="92">
        <f t="shared" si="4"/>
        <v>2.3548257784481614</v>
      </c>
      <c r="N15" s="92">
        <f t="shared" si="4"/>
        <v>2.3548257784481614</v>
      </c>
      <c r="O15" s="92">
        <f t="shared" si="4"/>
        <v>2.3548257784481614</v>
      </c>
    </row>
    <row r="16" spans="2:15" x14ac:dyDescent="0.25">
      <c r="B16" s="143" t="s">
        <v>338</v>
      </c>
      <c r="C16" s="609">
        <f>C17+C18-C20-C19</f>
        <v>26070389</v>
      </c>
      <c r="D16" s="609">
        <f>D47/C98</f>
        <v>30241651.239999998</v>
      </c>
      <c r="E16" s="609">
        <f>E47/D98</f>
        <v>34903494.171914458</v>
      </c>
      <c r="F16" s="609">
        <f>F47/E98</f>
        <v>41293801.549638666</v>
      </c>
      <c r="G16" s="609">
        <f>G47/F98</f>
        <v>48119054.474985555</v>
      </c>
      <c r="H16" s="609">
        <f>H47/G98</f>
        <v>56089052.636682712</v>
      </c>
      <c r="K16" s="165" t="b">
        <f>K15=J15</f>
        <v>1</v>
      </c>
      <c r="L16" s="165" t="b">
        <f>L15=K15</f>
        <v>1</v>
      </c>
      <c r="M16" s="165" t="b">
        <f t="shared" ref="M16:O16" si="5">M15=L15</f>
        <v>1</v>
      </c>
      <c r="N16" s="165" t="b">
        <f t="shared" si="5"/>
        <v>1</v>
      </c>
      <c r="O16" s="165" t="b">
        <f t="shared" si="5"/>
        <v>1</v>
      </c>
    </row>
    <row r="17" spans="2:15" x14ac:dyDescent="0.25">
      <c r="B17" s="146" t="s">
        <v>4196</v>
      </c>
      <c r="C17" s="67">
        <f>'EF Sempertex 2015 I'!B28</f>
        <v>18926109</v>
      </c>
      <c r="D17" s="67">
        <f t="shared" ref="D17:H18" si="6">D47/C91</f>
        <v>21954286.439999998</v>
      </c>
      <c r="E17" s="67">
        <f t="shared" si="6"/>
        <v>25338606.768718246</v>
      </c>
      <c r="F17" s="67">
        <f t="shared" si="6"/>
        <v>29977726.421835519</v>
      </c>
      <c r="G17" s="67">
        <f t="shared" si="6"/>
        <v>34932599.968896285</v>
      </c>
      <c r="H17" s="67">
        <f t="shared" si="6"/>
        <v>40718514.936949886</v>
      </c>
      <c r="I17" s="68"/>
      <c r="J17" s="68"/>
      <c r="K17" s="68"/>
      <c r="L17" s="68"/>
      <c r="M17" s="68"/>
      <c r="N17" s="68"/>
      <c r="O17" s="68"/>
    </row>
    <row r="18" spans="2:15" x14ac:dyDescent="0.25">
      <c r="B18" s="146" t="s">
        <v>4197</v>
      </c>
      <c r="C18" s="67">
        <f>'EF Sempertex 2015 I'!B29</f>
        <v>29464218</v>
      </c>
      <c r="D18" s="67">
        <f t="shared" si="6"/>
        <v>34178492.879999995</v>
      </c>
      <c r="E18" s="67">
        <f t="shared" si="6"/>
        <v>39447211.978425682</v>
      </c>
      <c r="F18" s="67">
        <f t="shared" si="6"/>
        <v>46669406.080104582</v>
      </c>
      <c r="G18" s="67">
        <f t="shared" si="6"/>
        <v>54383166.703222185</v>
      </c>
      <c r="H18" s="67">
        <f t="shared" si="6"/>
        <v>63390694.872281887</v>
      </c>
    </row>
    <row r="19" spans="2:15" x14ac:dyDescent="0.25">
      <c r="B19" s="146" t="s">
        <v>4198</v>
      </c>
      <c r="C19" s="67">
        <f>'EF Sempertex 2015 I'!B38</f>
        <v>17889996</v>
      </c>
      <c r="D19" s="67">
        <f>D95/C93</f>
        <v>19437046.931174763</v>
      </c>
      <c r="E19" s="67">
        <f>E95/D93</f>
        <v>22380595.686120965</v>
      </c>
      <c r="F19" s="67">
        <f>F95/E93</f>
        <v>26780822.763236541</v>
      </c>
      <c r="G19" s="67">
        <f>G95/F93</f>
        <v>30992374.720373016</v>
      </c>
      <c r="H19" s="67">
        <f>H95/G93</f>
        <v>36130604.498524256</v>
      </c>
    </row>
    <row r="20" spans="2:15" x14ac:dyDescent="0.25">
      <c r="B20" s="146" t="s">
        <v>4251</v>
      </c>
      <c r="C20" s="67">
        <f>'EF Sempertex 2015 I'!B36+'EF Sempertex 2015 I'!B39+'EF Sempertex 2015 I'!B41</f>
        <v>4429942</v>
      </c>
      <c r="D20" s="529">
        <f>D17+D18-D19-D16</f>
        <v>6454081.1488252319</v>
      </c>
      <c r="E20" s="529">
        <f t="shared" ref="E20:H20" si="7">E17+E18-E19-E16</f>
        <v>7501728.8891085014</v>
      </c>
      <c r="F20" s="529">
        <f t="shared" si="7"/>
        <v>8572508.1890648976</v>
      </c>
      <c r="G20" s="529">
        <f t="shared" si="7"/>
        <v>10204337.476759896</v>
      </c>
      <c r="H20" s="529">
        <f t="shared" si="7"/>
        <v>11889552.674024798</v>
      </c>
      <c r="I20" t="s">
        <v>4243</v>
      </c>
    </row>
    <row r="21" spans="2:15" x14ac:dyDescent="0.25">
      <c r="B21" s="143" t="s">
        <v>4085</v>
      </c>
      <c r="C21" s="165">
        <f>C22-C23+C24</f>
        <v>14935617</v>
      </c>
      <c r="D21" s="165">
        <f>D47/C99</f>
        <v>17325315.719999999</v>
      </c>
      <c r="E21" s="165">
        <f>E47/D99</f>
        <v>19996066.069955707</v>
      </c>
      <c r="F21" s="165">
        <f>F47/E99</f>
        <v>23657046.483633578</v>
      </c>
      <c r="G21" s="165">
        <f>G47/F99</f>
        <v>27567205.385409486</v>
      </c>
      <c r="H21" s="165">
        <f>H47/G99</f>
        <v>32133184.053154442</v>
      </c>
    </row>
    <row r="22" spans="2:15" x14ac:dyDescent="0.25">
      <c r="B22" s="115" t="s">
        <v>4193</v>
      </c>
      <c r="C22" s="132">
        <f>'EF Sempertex 2015 I'!B31+C23</f>
        <v>18797249</v>
      </c>
      <c r="D22" s="132">
        <f>D21+D23-D24</f>
        <v>22479964.036340386</v>
      </c>
      <c r="E22" s="132">
        <f t="shared" ref="E22:H22" si="8">E21+E23-E24</f>
        <v>26643053.118179999</v>
      </c>
      <c r="F22" s="132">
        <f t="shared" si="8"/>
        <v>32069597.14952112</v>
      </c>
      <c r="G22" s="132">
        <f t="shared" si="8"/>
        <v>38037141.148071527</v>
      </c>
      <c r="H22" s="132">
        <f t="shared" si="8"/>
        <v>45001271.280885279</v>
      </c>
      <c r="J22" s="68"/>
      <c r="K22" s="68"/>
      <c r="L22" s="68"/>
      <c r="M22" s="68"/>
      <c r="N22" s="68"/>
      <c r="O22" s="68"/>
    </row>
    <row r="23" spans="2:15" x14ac:dyDescent="0.25">
      <c r="B23" s="115" t="s">
        <v>4194</v>
      </c>
      <c r="C23" s="132">
        <f>'Flujo de Caja'!H7</f>
        <v>3863094</v>
      </c>
      <c r="D23" s="414">
        <f>C23+D53</f>
        <v>5156110.316340385</v>
      </c>
      <c r="E23" s="414">
        <f>D23+E53</f>
        <v>6648449.0482242908</v>
      </c>
      <c r="F23" s="414">
        <f>E23+F53</f>
        <v>8414012.6658875402</v>
      </c>
      <c r="G23" s="414">
        <f>F23+G53</f>
        <v>10471397.762662042</v>
      </c>
      <c r="H23" s="414">
        <f>G23+H53</f>
        <v>12869549.227730833</v>
      </c>
    </row>
    <row r="24" spans="2:15" x14ac:dyDescent="0.25">
      <c r="B24" s="115" t="s">
        <v>4195</v>
      </c>
      <c r="C24">
        <f>'EF Sempertex 2015 I'!B32</f>
        <v>1462</v>
      </c>
      <c r="D24" s="530">
        <f>C24</f>
        <v>1462</v>
      </c>
      <c r="E24" s="530">
        <f t="shared" ref="E24:H24" si="9">D24</f>
        <v>1462</v>
      </c>
      <c r="F24" s="530">
        <f t="shared" si="9"/>
        <v>1462</v>
      </c>
      <c r="G24" s="530">
        <f t="shared" si="9"/>
        <v>1462</v>
      </c>
      <c r="H24" s="530">
        <f t="shared" si="9"/>
        <v>1462</v>
      </c>
    </row>
    <row r="25" spans="2:15" ht="5.0999999999999996" customHeight="1" x14ac:dyDescent="0.25"/>
    <row r="26" spans="2:15" x14ac:dyDescent="0.25">
      <c r="B26" s="517" t="s">
        <v>4117</v>
      </c>
      <c r="C26" s="518">
        <f>SUM(C27:C29)</f>
        <v>21576342</v>
      </c>
      <c r="D26" s="518">
        <f t="shared" ref="D26:H26" si="10">SUM(D27:D29)</f>
        <v>24313707.304757796</v>
      </c>
      <c r="E26" s="518">
        <f t="shared" si="10"/>
        <v>27046756.684695303</v>
      </c>
      <c r="F26" s="518">
        <f t="shared" si="10"/>
        <v>31371231.667031273</v>
      </c>
      <c r="G26" s="518">
        <f t="shared" si="10"/>
        <v>35263564.603762716</v>
      </c>
      <c r="H26" s="518">
        <f t="shared" si="10"/>
        <v>39580723.363310426</v>
      </c>
    </row>
    <row r="27" spans="2:15" x14ac:dyDescent="0.25">
      <c r="B27" s="119" t="s">
        <v>4199</v>
      </c>
      <c r="C27" s="67">
        <f>'EF Sempertex 2015 I'!B40</f>
        <v>13403251</v>
      </c>
      <c r="D27" s="529">
        <f>C27</f>
        <v>13403251</v>
      </c>
      <c r="E27" s="529">
        <f t="shared" ref="E27:H27" si="11">D27</f>
        <v>13403251</v>
      </c>
      <c r="F27" s="529">
        <f t="shared" si="11"/>
        <v>13403251</v>
      </c>
      <c r="G27" s="529">
        <f t="shared" si="11"/>
        <v>13403251</v>
      </c>
      <c r="H27" s="529">
        <f t="shared" si="11"/>
        <v>13403251</v>
      </c>
      <c r="I27" t="s">
        <v>485</v>
      </c>
      <c r="J27" s="68"/>
      <c r="K27" s="68"/>
    </row>
    <row r="28" spans="2:15" x14ac:dyDescent="0.25">
      <c r="B28" s="119" t="s">
        <v>4200</v>
      </c>
      <c r="C28" s="67">
        <f>'EF Sempertex 2015 I'!B44</f>
        <v>8173091</v>
      </c>
      <c r="D28" s="529">
        <f>C28+C29</f>
        <v>8173091</v>
      </c>
      <c r="E28" s="529">
        <f>D28+D29</f>
        <v>10910456.304757796</v>
      </c>
      <c r="F28" s="529">
        <f>E28+E29</f>
        <v>13643505.684695303</v>
      </c>
      <c r="G28" s="529">
        <f>F28+F29</f>
        <v>17967980.667031273</v>
      </c>
      <c r="H28" s="529">
        <f>G28+G29</f>
        <v>21860313.603762716</v>
      </c>
      <c r="I28" t="s">
        <v>4241</v>
      </c>
      <c r="K28" s="167"/>
    </row>
    <row r="29" spans="2:15" x14ac:dyDescent="0.25">
      <c r="B29" s="115" t="s">
        <v>4218</v>
      </c>
      <c r="C29" s="67"/>
      <c r="D29" s="527">
        <f>D13+D15-D27-D28-D32-D34</f>
        <v>2737365.3047577962</v>
      </c>
      <c r="E29" s="527">
        <f t="shared" ref="E29:H29" si="12">E13+E15-E27-E28-E32-E34</f>
        <v>2733049.3799375072</v>
      </c>
      <c r="F29" s="527">
        <f t="shared" si="12"/>
        <v>4324474.9823359698</v>
      </c>
      <c r="G29" s="527">
        <f t="shared" si="12"/>
        <v>3892332.9367314428</v>
      </c>
      <c r="H29" s="527">
        <f t="shared" si="12"/>
        <v>4317158.7595477104</v>
      </c>
      <c r="I29" t="s">
        <v>4234</v>
      </c>
    </row>
    <row r="30" spans="2:15" ht="5.0999999999999996" customHeight="1" x14ac:dyDescent="0.25"/>
    <row r="31" spans="2:15" x14ac:dyDescent="0.25">
      <c r="B31" s="517" t="s">
        <v>4250</v>
      </c>
      <c r="C31" s="518">
        <f>C32</f>
        <v>1813821</v>
      </c>
      <c r="D31" s="518">
        <f t="shared" ref="D31:H31" si="13">D32</f>
        <v>1813821</v>
      </c>
      <c r="E31" s="518">
        <f t="shared" si="13"/>
        <v>1813821</v>
      </c>
      <c r="F31" s="518">
        <f t="shared" si="13"/>
        <v>1813821</v>
      </c>
      <c r="G31" s="518">
        <f t="shared" si="13"/>
        <v>1813821</v>
      </c>
      <c r="H31" s="518">
        <f t="shared" si="13"/>
        <v>1813821</v>
      </c>
    </row>
    <row r="32" spans="2:15" x14ac:dyDescent="0.25">
      <c r="B32" s="65" t="s">
        <v>4242</v>
      </c>
      <c r="C32" s="67">
        <f>'EF Sempertex 2015 I'!B43</f>
        <v>1813821</v>
      </c>
      <c r="D32" s="529">
        <f>C32</f>
        <v>1813821</v>
      </c>
      <c r="E32" s="529">
        <f t="shared" ref="E32:H32" si="14">D32</f>
        <v>1813821</v>
      </c>
      <c r="F32" s="529">
        <f t="shared" si="14"/>
        <v>1813821</v>
      </c>
      <c r="G32" s="529">
        <f t="shared" si="14"/>
        <v>1813821</v>
      </c>
      <c r="H32" s="529">
        <f t="shared" si="14"/>
        <v>1813821</v>
      </c>
    </row>
    <row r="33" spans="2:11" ht="5.0999999999999996" customHeight="1" x14ac:dyDescent="0.25"/>
    <row r="34" spans="2:11" x14ac:dyDescent="0.25">
      <c r="B34" s="517" t="s">
        <v>4119</v>
      </c>
      <c r="C34" s="518">
        <f>SUM(C35:C39)</f>
        <v>27494974</v>
      </c>
      <c r="D34" s="518">
        <f t="shared" ref="D34:H34" si="15">SUM(D35:D39)</f>
        <v>31318569.655242197</v>
      </c>
      <c r="E34" s="518">
        <f t="shared" si="15"/>
        <v>35918113.557174861</v>
      </c>
      <c r="F34" s="518">
        <f t="shared" si="15"/>
        <v>41644926.366240963</v>
      </c>
      <c r="G34" s="518">
        <f t="shared" si="15"/>
        <v>48488005.256632328</v>
      </c>
      <c r="H34" s="518">
        <f t="shared" si="15"/>
        <v>56706823.326526731</v>
      </c>
    </row>
    <row r="35" spans="2:11" x14ac:dyDescent="0.25">
      <c r="B35" s="65" t="s">
        <v>4121</v>
      </c>
      <c r="C35" s="67">
        <f>'EF Sempertex 2015 I'!B47</f>
        <v>755566</v>
      </c>
      <c r="D35" s="68">
        <f>C35</f>
        <v>755566</v>
      </c>
      <c r="E35" s="68">
        <f t="shared" ref="E35:H35" si="16">D35</f>
        <v>755566</v>
      </c>
      <c r="F35" s="68">
        <f t="shared" si="16"/>
        <v>755566</v>
      </c>
      <c r="G35" s="68">
        <f t="shared" si="16"/>
        <v>755566</v>
      </c>
      <c r="H35" s="68">
        <f t="shared" si="16"/>
        <v>755566</v>
      </c>
      <c r="J35" s="68"/>
      <c r="K35" s="68"/>
    </row>
    <row r="36" spans="2:11" x14ac:dyDescent="0.25">
      <c r="B36" s="65" t="s">
        <v>4122</v>
      </c>
      <c r="C36" s="67">
        <f>'EF Sempertex 2015 I'!B48</f>
        <v>23105605</v>
      </c>
      <c r="D36" s="68">
        <f>C36+C37</f>
        <v>23105605</v>
      </c>
      <c r="E36" s="68">
        <f t="shared" ref="E36:H36" si="17">D36+D37</f>
        <v>26929200.655242197</v>
      </c>
      <c r="F36" s="68">
        <f t="shared" si="17"/>
        <v>31528744.557174858</v>
      </c>
      <c r="G36" s="68">
        <f t="shared" si="17"/>
        <v>37255557.366240963</v>
      </c>
      <c r="H36" s="68">
        <f t="shared" si="17"/>
        <v>44098636.256632328</v>
      </c>
      <c r="K36" s="528"/>
    </row>
    <row r="37" spans="2:11" x14ac:dyDescent="0.25">
      <c r="B37" s="146" t="s">
        <v>4201</v>
      </c>
      <c r="C37" s="67"/>
      <c r="D37" s="68">
        <f>D65</f>
        <v>3823595.6552421954</v>
      </c>
      <c r="E37" s="68">
        <f t="shared" ref="E37:H37" si="18">E65</f>
        <v>4599543.9019326605</v>
      </c>
      <c r="F37" s="68">
        <f t="shared" si="18"/>
        <v>5726812.8090661038</v>
      </c>
      <c r="G37" s="68">
        <f t="shared" si="18"/>
        <v>6843078.8903913666</v>
      </c>
      <c r="H37" s="68">
        <f t="shared" si="18"/>
        <v>8218818.0698944032</v>
      </c>
      <c r="J37" s="68"/>
    </row>
    <row r="38" spans="2:11" x14ac:dyDescent="0.25">
      <c r="B38" s="65" t="s">
        <v>4202</v>
      </c>
      <c r="C38" s="67">
        <f>'EF Sempertex 2015 I'!B49</f>
        <v>3256020</v>
      </c>
      <c r="D38" s="67">
        <f>C38</f>
        <v>3256020</v>
      </c>
      <c r="E38" s="67">
        <f t="shared" ref="E38:H39" si="19">D38</f>
        <v>3256020</v>
      </c>
      <c r="F38" s="67">
        <f t="shared" si="19"/>
        <v>3256020</v>
      </c>
      <c r="G38" s="67">
        <f t="shared" si="19"/>
        <v>3256020</v>
      </c>
      <c r="H38" s="67">
        <f t="shared" si="19"/>
        <v>3256020</v>
      </c>
    </row>
    <row r="39" spans="2:11" x14ac:dyDescent="0.25">
      <c r="B39" s="65" t="s">
        <v>4203</v>
      </c>
      <c r="C39" s="67">
        <f>'EF Sempertex 2015 I'!B50</f>
        <v>377783</v>
      </c>
      <c r="D39" s="67">
        <f>C39</f>
        <v>377783</v>
      </c>
      <c r="E39" s="67">
        <f t="shared" si="19"/>
        <v>377783</v>
      </c>
      <c r="F39" s="67">
        <f t="shared" si="19"/>
        <v>377783</v>
      </c>
      <c r="G39" s="67">
        <f t="shared" si="19"/>
        <v>377783</v>
      </c>
      <c r="H39" s="67">
        <f t="shared" si="19"/>
        <v>377783</v>
      </c>
    </row>
    <row r="40" spans="2:11" ht="5.0999999999999996" customHeight="1" x14ac:dyDescent="0.25"/>
    <row r="41" spans="2:11" x14ac:dyDescent="0.25">
      <c r="B41" s="523" t="s">
        <v>4204</v>
      </c>
      <c r="C41" s="522">
        <f>C13+C15-C26-C34-C31</f>
        <v>0</v>
      </c>
      <c r="D41" s="522">
        <f t="shared" ref="D41:H41" si="20">D13+D15-D26-D34-D31</f>
        <v>0</v>
      </c>
      <c r="E41" s="522">
        <f t="shared" si="20"/>
        <v>0</v>
      </c>
      <c r="F41" s="522">
        <f t="shared" si="20"/>
        <v>0</v>
      </c>
      <c r="G41" s="522">
        <f t="shared" si="20"/>
        <v>0</v>
      </c>
      <c r="H41" s="522">
        <f t="shared" si="20"/>
        <v>0</v>
      </c>
    </row>
    <row r="42" spans="2:11" x14ac:dyDescent="0.25">
      <c r="B42" t="s">
        <v>4232</v>
      </c>
      <c r="C42" s="524">
        <f>(C26/C34)</f>
        <v>0.78473767605672218</v>
      </c>
      <c r="D42" s="524">
        <f t="shared" ref="D42:H42" si="21">(D26/D34)</f>
        <v>0.7763351766190284</v>
      </c>
      <c r="E42" s="524">
        <f t="shared" si="21"/>
        <v>0.753011614645128</v>
      </c>
      <c r="F42" s="524">
        <f t="shared" si="21"/>
        <v>0.75330260860929377</v>
      </c>
      <c r="G42" s="524">
        <f t="shared" si="21"/>
        <v>0.72726366896562045</v>
      </c>
      <c r="H42" s="524">
        <f t="shared" si="21"/>
        <v>0.69798872589632555</v>
      </c>
    </row>
    <row r="43" spans="2:11" x14ac:dyDescent="0.25">
      <c r="D43" s="525">
        <f>D42-C42</f>
        <v>-8.4024994376937778E-3</v>
      </c>
      <c r="E43" s="525">
        <f t="shared" ref="E43:H43" si="22">E42-D42</f>
        <v>-2.3323561973900397E-2</v>
      </c>
      <c r="F43" s="525">
        <f t="shared" si="22"/>
        <v>2.909939641657644E-4</v>
      </c>
      <c r="G43" s="525">
        <f t="shared" si="22"/>
        <v>-2.603893964367332E-2</v>
      </c>
      <c r="H43" s="525">
        <f t="shared" si="22"/>
        <v>-2.9274943069294901E-2</v>
      </c>
    </row>
    <row r="45" spans="2:11" x14ac:dyDescent="0.25">
      <c r="B45" s="482" t="s">
        <v>174</v>
      </c>
      <c r="C45" s="482"/>
      <c r="D45" s="482"/>
      <c r="E45" s="482"/>
      <c r="F45" s="482"/>
      <c r="G45" s="482"/>
      <c r="H45" s="482"/>
    </row>
    <row r="47" spans="2:11" x14ac:dyDescent="0.25">
      <c r="B47" t="s">
        <v>299</v>
      </c>
      <c r="C47" s="67">
        <f>'EF Sempertex 2015 I'!B57</f>
        <v>96562000</v>
      </c>
      <c r="D47" s="67">
        <f>C47*(1+D4)</f>
        <v>112011919.99999999</v>
      </c>
      <c r="E47" s="67">
        <f t="shared" ref="E47:H47" si="23">D47*(1+E4)</f>
        <v>129278899.68302366</v>
      </c>
      <c r="F47" s="67">
        <f t="shared" si="23"/>
        <v>152947931.28081855</v>
      </c>
      <c r="G47" s="67">
        <f t="shared" si="23"/>
        <v>178227955.79358459</v>
      </c>
      <c r="H47" s="67">
        <f t="shared" si="23"/>
        <v>207747997.18958372</v>
      </c>
    </row>
    <row r="48" spans="2:11" x14ac:dyDescent="0.25">
      <c r="B48" t="s">
        <v>300</v>
      </c>
      <c r="C48" s="67">
        <f>'EF Sempertex 2015 I'!B58</f>
        <v>50678744</v>
      </c>
      <c r="D48" s="68">
        <f>$C48/$C$47*D$47</f>
        <v>58787343.039999992</v>
      </c>
      <c r="E48" s="68">
        <f t="shared" ref="E48:H54" si="24">$C48/$C$47*E$47</f>
        <v>67849591.574715078</v>
      </c>
      <c r="F48" s="68">
        <f t="shared" si="24"/>
        <v>80271836.278351694</v>
      </c>
      <c r="G48" s="68">
        <f t="shared" si="24"/>
        <v>93539580.221064091</v>
      </c>
      <c r="H48" s="68">
        <f t="shared" si="24"/>
        <v>109032617.03448182</v>
      </c>
      <c r="I48" t="s">
        <v>4228</v>
      </c>
    </row>
    <row r="49" spans="2:16" x14ac:dyDescent="0.25">
      <c r="B49" s="78" t="s">
        <v>177</v>
      </c>
      <c r="C49" s="87">
        <f>C47-C48</f>
        <v>45883256</v>
      </c>
      <c r="D49" s="87">
        <f t="shared" ref="D49:H49" si="25">D47-D48</f>
        <v>53224576.959999993</v>
      </c>
      <c r="E49" s="87">
        <f t="shared" si="25"/>
        <v>61429308.108308583</v>
      </c>
      <c r="F49" s="87">
        <f t="shared" si="25"/>
        <v>72676095.002466857</v>
      </c>
      <c r="G49" s="87">
        <f t="shared" si="25"/>
        <v>84688375.572520494</v>
      </c>
      <c r="H49" s="87">
        <f t="shared" si="25"/>
        <v>98715380.155101895</v>
      </c>
      <c r="K49" s="98">
        <f>C49/C$47</f>
        <v>0.47516886559930405</v>
      </c>
      <c r="L49" s="98">
        <f t="shared" ref="L49:P49" si="26">D49/D$47</f>
        <v>0.4751688655993041</v>
      </c>
      <c r="M49" s="98">
        <f t="shared" si="26"/>
        <v>0.47516886559930405</v>
      </c>
      <c r="N49" s="98">
        <f t="shared" si="26"/>
        <v>0.47516886559930405</v>
      </c>
      <c r="O49" s="98">
        <f t="shared" si="26"/>
        <v>0.47516886559930405</v>
      </c>
      <c r="P49" s="98">
        <f t="shared" si="26"/>
        <v>0.47516886559930405</v>
      </c>
    </row>
    <row r="50" spans="2:16" x14ac:dyDescent="0.25">
      <c r="B50" t="s">
        <v>302</v>
      </c>
      <c r="C50" s="67">
        <f>'EF Sempertex 2015 I'!B60</f>
        <v>1497597</v>
      </c>
      <c r="D50" s="68">
        <f>$C50/$C$47*D$47</f>
        <v>1737212.5199999998</v>
      </c>
      <c r="E50" s="68">
        <f t="shared" si="24"/>
        <v>2005009.1374308444</v>
      </c>
      <c r="F50" s="68">
        <f t="shared" si="24"/>
        <v>2372096.3012609519</v>
      </c>
      <c r="G50" s="68">
        <f t="shared" si="24"/>
        <v>2764168.636861342</v>
      </c>
      <c r="H50" s="68">
        <f t="shared" si="24"/>
        <v>3222000.138223411</v>
      </c>
      <c r="I50" t="s">
        <v>4228</v>
      </c>
      <c r="L50" t="b">
        <f>L49=K49</f>
        <v>1</v>
      </c>
      <c r="M50" t="b">
        <f t="shared" ref="M50:P50" si="27">M49=L49</f>
        <v>1</v>
      </c>
      <c r="N50" t="b">
        <f t="shared" si="27"/>
        <v>1</v>
      </c>
      <c r="O50" t="b">
        <f t="shared" si="27"/>
        <v>1</v>
      </c>
      <c r="P50" t="b">
        <f t="shared" si="27"/>
        <v>1</v>
      </c>
    </row>
    <row r="51" spans="2:16" x14ac:dyDescent="0.25">
      <c r="B51" t="s">
        <v>303</v>
      </c>
      <c r="C51" s="67">
        <f>'EF Sempertex 2015 I'!B61</f>
        <v>18133089</v>
      </c>
      <c r="D51" s="68">
        <f>$C51/$C$47*D$47</f>
        <v>21034383.239999998</v>
      </c>
      <c r="E51" s="68">
        <f t="shared" si="24"/>
        <v>24276897.67998115</v>
      </c>
      <c r="F51" s="68">
        <f t="shared" si="24"/>
        <v>28721634.289689183</v>
      </c>
      <c r="G51" s="68">
        <f t="shared" si="24"/>
        <v>33468894.437699456</v>
      </c>
      <c r="H51" s="68">
        <f t="shared" si="24"/>
        <v>39012374.667161733</v>
      </c>
      <c r="I51" t="s">
        <v>4228</v>
      </c>
    </row>
    <row r="52" spans="2:16" x14ac:dyDescent="0.25">
      <c r="B52" t="s">
        <v>304</v>
      </c>
      <c r="C52" s="67">
        <f>'EF Sempertex 2015 I'!B62</f>
        <v>12675308</v>
      </c>
      <c r="D52" s="68">
        <f>$C52/$C$47*D$47</f>
        <v>14703357.279999996</v>
      </c>
      <c r="E52" s="68">
        <f t="shared" si="24"/>
        <v>16969924.725911096</v>
      </c>
      <c r="F52" s="68">
        <f t="shared" si="24"/>
        <v>20076863.952146906</v>
      </c>
      <c r="G52" s="68">
        <f t="shared" si="24"/>
        <v>23395271.782834541</v>
      </c>
      <c r="H52" s="68">
        <f t="shared" si="24"/>
        <v>27270249.692022823</v>
      </c>
      <c r="I52" t="s">
        <v>4228</v>
      </c>
    </row>
    <row r="53" spans="2:16" x14ac:dyDescent="0.25">
      <c r="B53" s="71" t="s">
        <v>4140</v>
      </c>
      <c r="C53" s="173">
        <f>'EF Sempertex 2015 I'!B84</f>
        <v>1221805</v>
      </c>
      <c r="D53" s="529">
        <f>D52*D8</f>
        <v>1293016.3163403852</v>
      </c>
      <c r="E53" s="529">
        <f t="shared" ref="E53:H53" si="28">E52*E8</f>
        <v>1492338.7318839058</v>
      </c>
      <c r="F53" s="529">
        <f t="shared" si="28"/>
        <v>1765563.6176632491</v>
      </c>
      <c r="G53" s="529">
        <f t="shared" si="28"/>
        <v>2057385.0967745024</v>
      </c>
      <c r="H53" s="529">
        <f t="shared" si="28"/>
        <v>2398151.465068792</v>
      </c>
      <c r="I53" s="488" t="s">
        <v>4249</v>
      </c>
      <c r="J53" s="488"/>
    </row>
    <row r="54" spans="2:16" x14ac:dyDescent="0.25">
      <c r="B54" t="s">
        <v>305</v>
      </c>
      <c r="C54" s="67">
        <f>'EF Sempertex 2015 I'!B63</f>
        <v>277776</v>
      </c>
      <c r="D54" s="68">
        <f>$C54/$C$47*D$47</f>
        <v>322220.15999999997</v>
      </c>
      <c r="E54" s="68">
        <f t="shared" si="24"/>
        <v>371891.38210011786</v>
      </c>
      <c r="F54" s="68">
        <f t="shared" si="24"/>
        <v>439979.12801578938</v>
      </c>
      <c r="G54" s="68">
        <f t="shared" si="24"/>
        <v>512701.15209418559</v>
      </c>
      <c r="H54" s="68">
        <f t="shared" si="24"/>
        <v>597620.26125529513</v>
      </c>
      <c r="I54" t="s">
        <v>4228</v>
      </c>
    </row>
    <row r="55" spans="2:16" x14ac:dyDescent="0.25">
      <c r="B55" s="78" t="s">
        <v>180</v>
      </c>
      <c r="C55" s="87">
        <f t="shared" ref="C55:H55" si="29">C49+C50-C51-C52-C54</f>
        <v>16294680</v>
      </c>
      <c r="D55" s="87">
        <f t="shared" si="29"/>
        <v>18901828.800000001</v>
      </c>
      <c r="E55" s="87">
        <f t="shared" si="29"/>
        <v>21815603.457747068</v>
      </c>
      <c r="F55" s="87">
        <f t="shared" si="29"/>
        <v>25809713.933875926</v>
      </c>
      <c r="G55" s="87">
        <f t="shared" si="29"/>
        <v>30075676.836753655</v>
      </c>
      <c r="H55" s="87">
        <f t="shared" si="29"/>
        <v>35057135.672885455</v>
      </c>
      <c r="K55" s="98">
        <f>C55/C$47</f>
        <v>0.16874836892359313</v>
      </c>
      <c r="L55" s="98">
        <f t="shared" ref="L55:P55" si="30">D55/D$47</f>
        <v>0.16874836892359316</v>
      </c>
      <c r="M55" s="98">
        <f t="shared" si="30"/>
        <v>0.16874836892359316</v>
      </c>
      <c r="N55" s="98">
        <f t="shared" si="30"/>
        <v>0.16874836892359305</v>
      </c>
      <c r="O55" s="98">
        <f t="shared" si="30"/>
        <v>0.1687483689235931</v>
      </c>
      <c r="P55" s="98">
        <f t="shared" si="30"/>
        <v>0.1687483689235931</v>
      </c>
    </row>
    <row r="56" spans="2:16" x14ac:dyDescent="0.25">
      <c r="B56" t="s">
        <v>307</v>
      </c>
      <c r="C56" s="67">
        <f>'EF Sempertex 2015 I'!B65</f>
        <v>53962906</v>
      </c>
      <c r="D56" s="414">
        <f>C56</f>
        <v>53962906</v>
      </c>
      <c r="E56" s="414">
        <f t="shared" ref="E56:H56" si="31">D56</f>
        <v>53962906</v>
      </c>
      <c r="F56" s="414">
        <f t="shared" si="31"/>
        <v>53962906</v>
      </c>
      <c r="G56" s="414">
        <f t="shared" si="31"/>
        <v>53962906</v>
      </c>
      <c r="H56" s="414">
        <f t="shared" si="31"/>
        <v>53962906</v>
      </c>
      <c r="I56" t="s">
        <v>4233</v>
      </c>
      <c r="L56" t="b">
        <f>L55=K55</f>
        <v>1</v>
      </c>
      <c r="M56" t="b">
        <f t="shared" ref="M56" si="32">M55=L55</f>
        <v>1</v>
      </c>
      <c r="N56" t="b">
        <f t="shared" ref="N56" si="33">N55=M55</f>
        <v>1</v>
      </c>
      <c r="O56" t="b">
        <f t="shared" ref="O56" si="34">O55=N55</f>
        <v>1</v>
      </c>
      <c r="P56" t="b">
        <f t="shared" ref="P56" si="35">P55=O55</f>
        <v>1</v>
      </c>
    </row>
    <row r="57" spans="2:16" x14ac:dyDescent="0.25">
      <c r="B57" t="s">
        <v>4229</v>
      </c>
      <c r="C57" s="67">
        <f>C58+C59</f>
        <v>61097885</v>
      </c>
      <c r="D57" s="67">
        <f t="shared" ref="D57:H57" si="36">D58+D59</f>
        <v>61097885</v>
      </c>
      <c r="E57" s="67">
        <f t="shared" si="36"/>
        <v>61623732.875043973</v>
      </c>
      <c r="F57" s="67">
        <f t="shared" si="36"/>
        <v>62148751.66092997</v>
      </c>
      <c r="G57" s="67">
        <f t="shared" si="36"/>
        <v>62979483.305036709</v>
      </c>
      <c r="H57" s="67">
        <f t="shared" si="36"/>
        <v>63727200.46218282</v>
      </c>
      <c r="K57" s="68"/>
    </row>
    <row r="58" spans="2:16" x14ac:dyDescent="0.25">
      <c r="B58" s="65" t="s">
        <v>4230</v>
      </c>
      <c r="C58" s="67">
        <f>'EF Sempertex 2015 I'!B66-C59</f>
        <v>56953069.701800004</v>
      </c>
      <c r="D58" s="414">
        <f>C58</f>
        <v>56953069.701800004</v>
      </c>
      <c r="E58" s="414">
        <f t="shared" ref="E58:H58" si="37">D58</f>
        <v>56953069.701800004</v>
      </c>
      <c r="F58" s="414">
        <f t="shared" si="37"/>
        <v>56953069.701800004</v>
      </c>
      <c r="G58" s="414">
        <f t="shared" si="37"/>
        <v>56953069.701800004</v>
      </c>
      <c r="H58" s="414">
        <f t="shared" si="37"/>
        <v>56953069.701800004</v>
      </c>
      <c r="I58" t="s">
        <v>4233</v>
      </c>
    </row>
    <row r="59" spans="2:16" x14ac:dyDescent="0.25">
      <c r="B59" s="65" t="s">
        <v>4065</v>
      </c>
      <c r="C59" s="67">
        <f>(C27+C28)*C5</f>
        <v>4144815.2982000001</v>
      </c>
      <c r="D59" s="67">
        <f t="shared" ref="D59:H59" si="38">(D27+D28)*D5</f>
        <v>4144815.2982000001</v>
      </c>
      <c r="E59" s="67">
        <f t="shared" si="38"/>
        <v>4670663.1732439725</v>
      </c>
      <c r="F59" s="67">
        <f t="shared" si="38"/>
        <v>5195681.9591299677</v>
      </c>
      <c r="G59" s="67">
        <f t="shared" si="38"/>
        <v>6026413.6032367069</v>
      </c>
      <c r="H59" s="67">
        <f t="shared" si="38"/>
        <v>6774130.7603828171</v>
      </c>
      <c r="L59" s="526"/>
    </row>
    <row r="60" spans="2:16" x14ac:dyDescent="0.25">
      <c r="B60" s="78" t="s">
        <v>185</v>
      </c>
      <c r="C60" s="87">
        <f>C55+C56-C57</f>
        <v>9159701</v>
      </c>
      <c r="D60" s="87">
        <f t="shared" ref="D60:H60" si="39">D55+D56-D57</f>
        <v>11766849.799999997</v>
      </c>
      <c r="E60" s="87">
        <f t="shared" si="39"/>
        <v>14154776.582703099</v>
      </c>
      <c r="F60" s="87">
        <f t="shared" si="39"/>
        <v>17623868.272945948</v>
      </c>
      <c r="G60" s="87">
        <f t="shared" si="39"/>
        <v>21059099.531716943</v>
      </c>
      <c r="H60" s="87">
        <f t="shared" si="39"/>
        <v>25292841.210702628</v>
      </c>
      <c r="K60" s="98">
        <f>C60/C$47</f>
        <v>9.4858236159151635E-2</v>
      </c>
      <c r="L60" s="98">
        <f t="shared" ref="L60:P60" si="40">D60/D$47</f>
        <v>0.10504997860941942</v>
      </c>
      <c r="M60" s="98">
        <f t="shared" si="40"/>
        <v>0.10949023094572209</v>
      </c>
      <c r="N60" s="98">
        <f t="shared" si="40"/>
        <v>0.11522789569862057</v>
      </c>
      <c r="O60" s="98">
        <f t="shared" si="40"/>
        <v>0.11815822853350022</v>
      </c>
      <c r="P60" s="98">
        <f t="shared" si="40"/>
        <v>0.12174770179671694</v>
      </c>
    </row>
    <row r="61" spans="2:16" x14ac:dyDescent="0.25">
      <c r="B61" t="s">
        <v>4132</v>
      </c>
      <c r="C61" s="67">
        <f>'EF Sempertex 2015 I'!B68</f>
        <v>3663289</v>
      </c>
      <c r="D61" s="67">
        <f>D60*D6</f>
        <v>4705980.1883262554</v>
      </c>
      <c r="E61" s="67">
        <f>E60*E6</f>
        <v>5660996.7238967577</v>
      </c>
      <c r="F61" s="67">
        <f>F60*F6</f>
        <v>7048409.4166099839</v>
      </c>
      <c r="G61" s="67">
        <f>G60*G6</f>
        <v>8422280.1229476631</v>
      </c>
      <c r="H61" s="67">
        <f>H60*H6</f>
        <v>10115503.441205516</v>
      </c>
    </row>
    <row r="62" spans="2:16" x14ac:dyDescent="0.25">
      <c r="B62" s="78" t="s">
        <v>4206</v>
      </c>
      <c r="C62" s="87">
        <f>C60-C61</f>
        <v>5496412</v>
      </c>
      <c r="D62" s="87">
        <f t="shared" ref="D62:H62" si="41">D60-D61</f>
        <v>7060869.6116737416</v>
      </c>
      <c r="E62" s="87">
        <f t="shared" si="41"/>
        <v>8493779.8588063419</v>
      </c>
      <c r="F62" s="87">
        <f t="shared" si="41"/>
        <v>10575458.856335964</v>
      </c>
      <c r="G62" s="87">
        <f t="shared" si="41"/>
        <v>12636819.40876928</v>
      </c>
      <c r="H62" s="87">
        <f t="shared" si="41"/>
        <v>15177337.769497111</v>
      </c>
      <c r="K62" s="98">
        <f>C62/C$47</f>
        <v>5.6921066257948259E-2</v>
      </c>
      <c r="L62" s="98">
        <f t="shared" ref="L62:P62" si="42">D62/D$47</f>
        <v>6.3036769762305142E-2</v>
      </c>
      <c r="M62" s="98">
        <f t="shared" si="42"/>
        <v>6.5701207850871801E-2</v>
      </c>
      <c r="N62" s="98">
        <f t="shared" si="42"/>
        <v>6.914417715738172E-2</v>
      </c>
      <c r="O62" s="98">
        <f t="shared" si="42"/>
        <v>7.0902566056498237E-2</v>
      </c>
      <c r="P62" s="98">
        <f t="shared" si="42"/>
        <v>7.3056481770299775E-2</v>
      </c>
    </row>
    <row r="63" spans="2:16" s="488" customFormat="1" ht="5.0999999999999996" customHeight="1" x14ac:dyDescent="0.25">
      <c r="B63" s="172"/>
      <c r="C63" s="165"/>
    </row>
    <row r="64" spans="2:16" x14ac:dyDescent="0.25">
      <c r="B64" t="s">
        <v>4147</v>
      </c>
      <c r="C64" s="67">
        <f>'EF Sempertex 2015 I'!B90</f>
        <v>2520000</v>
      </c>
      <c r="D64" s="67">
        <f>D62*D7</f>
        <v>3237273.9564315462</v>
      </c>
      <c r="E64" s="67">
        <f>E62*E7</f>
        <v>3894235.9568736809</v>
      </c>
      <c r="F64" s="67">
        <f>F62*F7</f>
        <v>4848646.0472698603</v>
      </c>
      <c r="G64" s="67">
        <f>G62*G7</f>
        <v>5793740.5183779132</v>
      </c>
      <c r="H64" s="67">
        <f>H62*H7</f>
        <v>6958519.6996027082</v>
      </c>
      <c r="L64" s="156"/>
    </row>
    <row r="65" spans="2:16" x14ac:dyDescent="0.25">
      <c r="B65" s="78" t="s">
        <v>4208</v>
      </c>
      <c r="C65" s="518">
        <f>C62-C64</f>
        <v>2976412</v>
      </c>
      <c r="D65" s="518">
        <f t="shared" ref="D65:H65" si="43">D62-D64</f>
        <v>3823595.6552421954</v>
      </c>
      <c r="E65" s="518">
        <f t="shared" si="43"/>
        <v>4599543.9019326605</v>
      </c>
      <c r="F65" s="518">
        <f t="shared" si="43"/>
        <v>5726812.8090661038</v>
      </c>
      <c r="G65" s="518">
        <f t="shared" si="43"/>
        <v>6843078.8903913666</v>
      </c>
      <c r="H65" s="518">
        <f t="shared" si="43"/>
        <v>8218818.0698944032</v>
      </c>
      <c r="K65" s="98">
        <f>C65/C$47</f>
        <v>3.0823843748058244E-2</v>
      </c>
      <c r="L65" s="98">
        <f t="shared" ref="L65:P65" si="44">D65/D$47</f>
        <v>3.4135613917181278E-2</v>
      </c>
      <c r="M65" s="98">
        <f t="shared" si="44"/>
        <v>3.5578457994384159E-2</v>
      </c>
      <c r="N65" s="98">
        <f t="shared" si="44"/>
        <v>3.7442891584793296E-2</v>
      </c>
      <c r="O65" s="98">
        <f t="shared" si="44"/>
        <v>3.8395092733469409E-2</v>
      </c>
      <c r="P65" s="98">
        <f t="shared" si="44"/>
        <v>3.9561479201140941E-2</v>
      </c>
    </row>
    <row r="68" spans="2:16" x14ac:dyDescent="0.25">
      <c r="B68" s="482" t="s">
        <v>4143</v>
      </c>
      <c r="C68" s="482"/>
      <c r="D68" s="482"/>
      <c r="E68" s="482"/>
      <c r="F68" s="482"/>
      <c r="G68" s="482"/>
      <c r="H68" s="482"/>
    </row>
    <row r="70" spans="2:16" x14ac:dyDescent="0.25">
      <c r="B70" s="446" t="s">
        <v>394</v>
      </c>
      <c r="C70" s="67">
        <f t="shared" ref="C70:H70" si="45">C55*(1-C6)</f>
        <v>9777860.0729608964</v>
      </c>
      <c r="D70" s="67">
        <f t="shared" si="45"/>
        <v>11342317.684634639</v>
      </c>
      <c r="E70" s="67">
        <f t="shared" si="45"/>
        <v>13090770.60838585</v>
      </c>
      <c r="F70" s="67">
        <f t="shared" si="45"/>
        <v>15487494.775508812</v>
      </c>
      <c r="G70" s="67">
        <f t="shared" si="45"/>
        <v>18047347.950948924</v>
      </c>
      <c r="H70" s="67">
        <f t="shared" si="45"/>
        <v>21036544.882641438</v>
      </c>
    </row>
    <row r="71" spans="2:16" x14ac:dyDescent="0.25">
      <c r="B71" s="451" t="s">
        <v>4074</v>
      </c>
      <c r="C71" s="67">
        <f t="shared" ref="C71:H71" si="46">C53</f>
        <v>1221805</v>
      </c>
      <c r="D71" s="67">
        <f t="shared" si="46"/>
        <v>1293016.3163403852</v>
      </c>
      <c r="E71" s="67">
        <f t="shared" si="46"/>
        <v>1492338.7318839058</v>
      </c>
      <c r="F71" s="67">
        <f t="shared" si="46"/>
        <v>1765563.6176632491</v>
      </c>
      <c r="G71" s="67">
        <f t="shared" si="46"/>
        <v>2057385.0967745024</v>
      </c>
      <c r="H71" s="67">
        <f t="shared" si="46"/>
        <v>2398151.465068792</v>
      </c>
    </row>
    <row r="72" spans="2:16" x14ac:dyDescent="0.25">
      <c r="B72" s="454" t="s">
        <v>4075</v>
      </c>
      <c r="C72" s="87">
        <f>C70+C71</f>
        <v>10999665.072960896</v>
      </c>
      <c r="D72" s="87">
        <f t="shared" ref="D72:H72" si="47">D70+D71</f>
        <v>12635334.000975024</v>
      </c>
      <c r="E72" s="87">
        <f t="shared" si="47"/>
        <v>14583109.340269756</v>
      </c>
      <c r="F72" s="87">
        <f t="shared" si="47"/>
        <v>17253058.393172059</v>
      </c>
      <c r="G72" s="87">
        <f t="shared" si="47"/>
        <v>20104733.047723427</v>
      </c>
      <c r="H72" s="87">
        <f t="shared" si="47"/>
        <v>23434696.347710229</v>
      </c>
    </row>
    <row r="73" spans="2:16" x14ac:dyDescent="0.25">
      <c r="B73" s="451" t="s">
        <v>4077</v>
      </c>
      <c r="C73" s="67">
        <f>-('Flujo de Caja'!H13-'Flujo de Caja'!G13)</f>
        <v>-2855923</v>
      </c>
      <c r="D73" s="68">
        <f>-(D16-C16)</f>
        <v>-4171262.2399999984</v>
      </c>
      <c r="E73" s="68">
        <f>-(E16-D16)</f>
        <v>-4661842.9319144599</v>
      </c>
      <c r="F73" s="68">
        <f>-(F16-E16)</f>
        <v>-6390307.3777242079</v>
      </c>
      <c r="G73" s="68">
        <f>-(G16-F16)</f>
        <v>-6825252.9253468886</v>
      </c>
      <c r="H73" s="68">
        <f>-(H16-G16)</f>
        <v>-7969998.1616971567</v>
      </c>
    </row>
    <row r="74" spans="2:16" x14ac:dyDescent="0.25">
      <c r="B74" s="483" t="s">
        <v>4078</v>
      </c>
      <c r="C74" s="67">
        <f>-('Flujo de Caja'!H15-'Flujo de Caja'!G15)</f>
        <v>-5390232</v>
      </c>
      <c r="D74" s="68">
        <f>-(D22-C22)</f>
        <v>-3682715.0363403857</v>
      </c>
      <c r="E74" s="68">
        <f>-(E22-D22)</f>
        <v>-4163089.0818396136</v>
      </c>
      <c r="F74" s="68">
        <f>-(F22-E22)</f>
        <v>-5426544.0313411206</v>
      </c>
      <c r="G74" s="68">
        <f>-(G22-F22)</f>
        <v>-5967543.9985504076</v>
      </c>
      <c r="H74" s="68">
        <f>-(H22-G22)</f>
        <v>-6964130.1328137517</v>
      </c>
    </row>
    <row r="75" spans="2:16" x14ac:dyDescent="0.25">
      <c r="B75" s="456" t="s">
        <v>4079</v>
      </c>
      <c r="C75" s="518">
        <f>C72+C73+C74</f>
        <v>2753510.0729608964</v>
      </c>
      <c r="D75" s="518">
        <f t="shared" ref="D75:H75" si="48">D72+D73+D74</f>
        <v>4781356.7246346399</v>
      </c>
      <c r="E75" s="518">
        <f t="shared" si="48"/>
        <v>5758177.326515682</v>
      </c>
      <c r="F75" s="518">
        <f t="shared" si="48"/>
        <v>5436206.9841067307</v>
      </c>
      <c r="G75" s="518">
        <f t="shared" si="48"/>
        <v>7311936.1238261312</v>
      </c>
      <c r="H75" s="518">
        <f t="shared" si="48"/>
        <v>8500568.053199321</v>
      </c>
    </row>
    <row r="76" spans="2:16" x14ac:dyDescent="0.25">
      <c r="B76" s="451" t="s">
        <v>4080</v>
      </c>
      <c r="C76" s="67">
        <f t="shared" ref="C76:H76" si="49">-C59*(1-C6)</f>
        <v>-2487156.7906867326</v>
      </c>
      <c r="D76" s="67">
        <f t="shared" si="49"/>
        <v>-2487156.7906867326</v>
      </c>
      <c r="E76" s="67">
        <f t="shared" si="49"/>
        <v>-2802699.4673053464</v>
      </c>
      <c r="F76" s="67">
        <f t="shared" si="49"/>
        <v>-3117744.6368986783</v>
      </c>
      <c r="G76" s="67">
        <f t="shared" si="49"/>
        <v>-3616237.2599054785</v>
      </c>
      <c r="H76" s="67">
        <f t="shared" si="49"/>
        <v>-4064915.8308701604</v>
      </c>
    </row>
    <row r="77" spans="2:16" x14ac:dyDescent="0.25">
      <c r="B77" s="451" t="s">
        <v>4081</v>
      </c>
      <c r="C77" s="67">
        <f>('Flujo de Caja'!H17-'Flujo de Caja'!G17)</f>
        <v>6392896</v>
      </c>
      <c r="D77" s="67">
        <f>D26-C26</f>
        <v>2737365.3047577962</v>
      </c>
      <c r="E77" s="67">
        <f t="shared" ref="E77:H77" si="50">E26-D26</f>
        <v>2733049.3799375072</v>
      </c>
      <c r="F77" s="67">
        <f t="shared" si="50"/>
        <v>4324474.9823359698</v>
      </c>
      <c r="G77" s="67">
        <f t="shared" si="50"/>
        <v>3892332.9367314428</v>
      </c>
      <c r="H77" s="67">
        <f t="shared" si="50"/>
        <v>4317158.7595477104</v>
      </c>
    </row>
    <row r="78" spans="2:16" x14ac:dyDescent="0.25">
      <c r="B78" s="456" t="s">
        <v>4082</v>
      </c>
      <c r="C78" s="518">
        <f>C75+C76+C77</f>
        <v>6659249.2822741643</v>
      </c>
      <c r="D78" s="518">
        <f t="shared" ref="D78:H78" si="51">D75+D76+D77</f>
        <v>5031565.238705704</v>
      </c>
      <c r="E78" s="518">
        <f t="shared" si="51"/>
        <v>5688527.2391478429</v>
      </c>
      <c r="F78" s="518">
        <f t="shared" si="51"/>
        <v>6642937.3295440227</v>
      </c>
      <c r="G78" s="518">
        <f t="shared" si="51"/>
        <v>7588031.800652096</v>
      </c>
      <c r="H78" s="518">
        <f t="shared" si="51"/>
        <v>8752810.9818768706</v>
      </c>
    </row>
    <row r="79" spans="2:16" x14ac:dyDescent="0.25">
      <c r="B79" s="451" t="s">
        <v>4149</v>
      </c>
      <c r="C79" s="68">
        <f>-C64</f>
        <v>-2520000</v>
      </c>
      <c r="D79" s="68">
        <f t="shared" ref="D79:H79" si="52">-D64</f>
        <v>-3237273.9564315462</v>
      </c>
      <c r="E79" s="68">
        <f t="shared" si="52"/>
        <v>-3894235.9568736809</v>
      </c>
      <c r="F79" s="68">
        <f t="shared" si="52"/>
        <v>-4848646.0472698603</v>
      </c>
      <c r="G79" s="68">
        <f t="shared" si="52"/>
        <v>-5793740.5183779132</v>
      </c>
      <c r="H79" s="68">
        <f t="shared" si="52"/>
        <v>-6958519.6996027082</v>
      </c>
    </row>
    <row r="80" spans="2:16" x14ac:dyDescent="0.25">
      <c r="B80" s="451" t="s">
        <v>4150</v>
      </c>
      <c r="C80" s="67">
        <f>('Flujo de Caja'!H18-'Flujo de Caja'!G18)</f>
        <v>0</v>
      </c>
      <c r="D80" s="68">
        <f>(D35-C35)</f>
        <v>0</v>
      </c>
      <c r="E80" s="68">
        <f>(E35-D35)</f>
        <v>0</v>
      </c>
      <c r="F80" s="68">
        <f>(F35-E35)</f>
        <v>0</v>
      </c>
      <c r="G80" s="68">
        <f>(G35-F35)</f>
        <v>0</v>
      </c>
      <c r="H80" s="68">
        <f>(H35-G35)</f>
        <v>0</v>
      </c>
    </row>
    <row r="81" spans="2:10" x14ac:dyDescent="0.25">
      <c r="B81" s="456" t="s">
        <v>4151</v>
      </c>
      <c r="C81" s="518">
        <f>C78+C79+C80</f>
        <v>4139249.2822741643</v>
      </c>
      <c r="D81" s="518">
        <f t="shared" ref="D81:H81" si="53">D78+D79+D80</f>
        <v>1794291.2822741577</v>
      </c>
      <c r="E81" s="518">
        <f t="shared" si="53"/>
        <v>1794291.2822741619</v>
      </c>
      <c r="F81" s="518">
        <f t="shared" si="53"/>
        <v>1794291.2822741624</v>
      </c>
      <c r="G81" s="518">
        <f t="shared" si="53"/>
        <v>1794291.2822741829</v>
      </c>
      <c r="H81" s="518">
        <f t="shared" si="53"/>
        <v>1794291.2822741624</v>
      </c>
    </row>
    <row r="84" spans="2:10" x14ac:dyDescent="0.25">
      <c r="B84" s="482" t="s">
        <v>335</v>
      </c>
      <c r="C84" s="482"/>
      <c r="D84" s="482"/>
      <c r="E84" s="482"/>
      <c r="F84" s="482"/>
      <c r="G84" s="482"/>
      <c r="H84" s="482"/>
    </row>
    <row r="86" spans="2:10" x14ac:dyDescent="0.25">
      <c r="B86" s="488" t="s">
        <v>336</v>
      </c>
      <c r="C86" s="171">
        <f>(C17+C18+C13)/(C20+C19+C27)</f>
        <v>1.6311381942972671</v>
      </c>
      <c r="D86" s="171">
        <f t="shared" ref="D86:H86" si="54">(D17+D18+D13)/(D20+D19+D27)</f>
        <v>1.6799326485247517</v>
      </c>
      <c r="E86" s="171">
        <f t="shared" si="54"/>
        <v>1.7249383600635675</v>
      </c>
      <c r="F86" s="171">
        <f t="shared" si="54"/>
        <v>1.7746581084496189</v>
      </c>
      <c r="G86" s="171">
        <f t="shared" si="54"/>
        <v>1.8167575921979242</v>
      </c>
      <c r="H86" s="171">
        <f t="shared" si="54"/>
        <v>1.8557801366055537</v>
      </c>
      <c r="J86" s="64"/>
    </row>
    <row r="87" spans="2:10" x14ac:dyDescent="0.25">
      <c r="B87" s="488" t="s">
        <v>337</v>
      </c>
      <c r="C87" s="171">
        <f>(C17+C13)/(C20+C19+C27)</f>
        <v>0.80634570446664211</v>
      </c>
      <c r="D87" s="171">
        <f t="shared" ref="D87:H87" si="55">(D17+D13)/(D20+D19+D27)</f>
        <v>0.81012649099734801</v>
      </c>
      <c r="E87" s="171">
        <f t="shared" si="55"/>
        <v>0.81361371081945111</v>
      </c>
      <c r="F87" s="171">
        <f t="shared" si="55"/>
        <v>0.81746619278659605</v>
      </c>
      <c r="G87" s="171">
        <f t="shared" si="55"/>
        <v>0.82072822663091793</v>
      </c>
      <c r="H87" s="171">
        <f t="shared" si="55"/>
        <v>0.82375184709406357</v>
      </c>
      <c r="J87" s="64"/>
    </row>
    <row r="89" spans="2:10" x14ac:dyDescent="0.25">
      <c r="B89" s="482" t="s">
        <v>416</v>
      </c>
      <c r="C89" s="482"/>
      <c r="D89" s="482"/>
      <c r="E89" s="482"/>
      <c r="F89" s="482"/>
      <c r="G89" s="482"/>
      <c r="H89" s="482"/>
    </row>
    <row r="90" spans="2:10" x14ac:dyDescent="0.25">
      <c r="C90" s="149">
        <f>360/C91</f>
        <v>70.5598396884903</v>
      </c>
      <c r="D90" s="149">
        <f t="shared" ref="D90:H90" si="56">360/D91</f>
        <v>70.5598396884903</v>
      </c>
      <c r="E90" s="149">
        <f t="shared" si="56"/>
        <v>70.5598396884903</v>
      </c>
      <c r="F90" s="149">
        <f t="shared" si="56"/>
        <v>70.5598396884903</v>
      </c>
      <c r="G90" s="149">
        <f t="shared" si="56"/>
        <v>70.5598396884903</v>
      </c>
      <c r="H90" s="149">
        <f t="shared" si="56"/>
        <v>70.5598396884903</v>
      </c>
    </row>
    <row r="91" spans="2:10" x14ac:dyDescent="0.25">
      <c r="B91" t="s">
        <v>4211</v>
      </c>
      <c r="C91" s="64">
        <f t="shared" ref="C91:H92" si="57">C47/C17</f>
        <v>5.1020524081310112</v>
      </c>
      <c r="D91" s="64">
        <f t="shared" si="57"/>
        <v>5.1020524081310112</v>
      </c>
      <c r="E91" s="64">
        <f t="shared" si="57"/>
        <v>5.1020524081310112</v>
      </c>
      <c r="F91" s="64">
        <f t="shared" si="57"/>
        <v>5.1020524081310112</v>
      </c>
      <c r="G91" s="64">
        <f t="shared" si="57"/>
        <v>5.1020524081310112</v>
      </c>
      <c r="H91" s="64">
        <f t="shared" si="57"/>
        <v>5.1020524081310112</v>
      </c>
    </row>
    <row r="92" spans="2:10" x14ac:dyDescent="0.25">
      <c r="B92" t="s">
        <v>4212</v>
      </c>
      <c r="C92" s="64">
        <f t="shared" si="57"/>
        <v>1.720009809864969</v>
      </c>
      <c r="D92" s="64">
        <f t="shared" si="57"/>
        <v>1.720009809864969</v>
      </c>
      <c r="E92" s="64">
        <f t="shared" si="57"/>
        <v>1.7200098098649688</v>
      </c>
      <c r="F92" s="64">
        <f t="shared" si="57"/>
        <v>1.7200098098649688</v>
      </c>
      <c r="G92" s="64">
        <f t="shared" si="57"/>
        <v>1.7200098098649688</v>
      </c>
      <c r="H92" s="64">
        <f t="shared" si="57"/>
        <v>1.7200098098649688</v>
      </c>
    </row>
    <row r="93" spans="2:10" x14ac:dyDescent="0.25">
      <c r="B93" t="s">
        <v>4213</v>
      </c>
      <c r="C93" s="64">
        <f t="shared" ref="C93:H93" si="58">C95/C19</f>
        <v>3.2670404174489476</v>
      </c>
      <c r="D93" s="64">
        <f t="shared" si="58"/>
        <v>3.267040417448948</v>
      </c>
      <c r="E93" s="64">
        <f t="shared" si="58"/>
        <v>3.267040417448948</v>
      </c>
      <c r="F93" s="64">
        <f t="shared" si="58"/>
        <v>3.267040417448948</v>
      </c>
      <c r="G93" s="64">
        <f t="shared" si="58"/>
        <v>3.267040417448948</v>
      </c>
      <c r="H93" s="64">
        <f t="shared" si="58"/>
        <v>3.267040417448948</v>
      </c>
    </row>
    <row r="94" spans="2:10" outlineLevel="1" x14ac:dyDescent="0.25">
      <c r="B94" s="65" t="s">
        <v>373</v>
      </c>
      <c r="C94" s="67">
        <f>'EF Sempertex 2011-2014 I'!E38</f>
        <v>21695622</v>
      </c>
      <c r="D94" s="68">
        <f>C97</f>
        <v>29464218</v>
      </c>
      <c r="E94" s="68">
        <f t="shared" ref="E94:H94" si="59">D97</f>
        <v>34178492.879999995</v>
      </c>
      <c r="F94" s="68">
        <f t="shared" si="59"/>
        <v>39447211.978425682</v>
      </c>
      <c r="G94" s="68">
        <f t="shared" si="59"/>
        <v>46669406.080104582</v>
      </c>
      <c r="H94" s="68">
        <f t="shared" si="59"/>
        <v>54383166.703222185</v>
      </c>
    </row>
    <row r="95" spans="2:10" outlineLevel="1" x14ac:dyDescent="0.25">
      <c r="B95" s="65" t="s">
        <v>375</v>
      </c>
      <c r="C95" s="67">
        <f>C97+C96-C94</f>
        <v>58447340</v>
      </c>
      <c r="D95" s="67">
        <f>D97+D96-D94</f>
        <v>63501617.919999987</v>
      </c>
      <c r="E95" s="67">
        <f t="shared" ref="E95:H95" si="60">E97+E96-E94</f>
        <v>73118310.673140764</v>
      </c>
      <c r="F95" s="67">
        <f t="shared" si="60"/>
        <v>87494030.380030602</v>
      </c>
      <c r="G95" s="67">
        <f t="shared" si="60"/>
        <v>101253340.84418169</v>
      </c>
      <c r="H95" s="67">
        <f t="shared" si="60"/>
        <v>118040145.20354152</v>
      </c>
    </row>
    <row r="96" spans="2:10" outlineLevel="1" x14ac:dyDescent="0.25">
      <c r="B96" s="65" t="s">
        <v>374</v>
      </c>
      <c r="C96" s="67">
        <f t="shared" ref="C96:H96" si="61">C48</f>
        <v>50678744</v>
      </c>
      <c r="D96" s="67">
        <f t="shared" si="61"/>
        <v>58787343.039999992</v>
      </c>
      <c r="E96" s="67">
        <f t="shared" si="61"/>
        <v>67849591.574715078</v>
      </c>
      <c r="F96" s="67">
        <f t="shared" si="61"/>
        <v>80271836.278351694</v>
      </c>
      <c r="G96" s="67">
        <f t="shared" si="61"/>
        <v>93539580.221064091</v>
      </c>
      <c r="H96" s="67">
        <f t="shared" si="61"/>
        <v>109032617.03448182</v>
      </c>
    </row>
    <row r="97" spans="2:8" outlineLevel="1" x14ac:dyDescent="0.25">
      <c r="B97" s="65" t="s">
        <v>372</v>
      </c>
      <c r="C97" s="67">
        <f t="shared" ref="C97:H97" si="62">C18</f>
        <v>29464218</v>
      </c>
      <c r="D97" s="67">
        <f t="shared" si="62"/>
        <v>34178492.879999995</v>
      </c>
      <c r="E97" s="67">
        <f t="shared" si="62"/>
        <v>39447211.978425682</v>
      </c>
      <c r="F97" s="67">
        <f t="shared" si="62"/>
        <v>46669406.080104582</v>
      </c>
      <c r="G97" s="67">
        <f t="shared" si="62"/>
        <v>54383166.703222185</v>
      </c>
      <c r="H97" s="67">
        <f t="shared" si="62"/>
        <v>63390694.872281887</v>
      </c>
    </row>
    <row r="98" spans="2:8" x14ac:dyDescent="0.25">
      <c r="B98" t="s">
        <v>4219</v>
      </c>
      <c r="C98" s="64">
        <f t="shared" ref="C98:H98" si="63">C47/C16</f>
        <v>3.7038956342385223</v>
      </c>
      <c r="D98" s="64">
        <f t="shared" si="63"/>
        <v>3.7038956342385223</v>
      </c>
      <c r="E98" s="64">
        <f t="shared" si="63"/>
        <v>3.7038956342385219</v>
      </c>
      <c r="F98" s="64">
        <f t="shared" si="63"/>
        <v>3.7038956342385214</v>
      </c>
      <c r="G98" s="64">
        <f t="shared" si="63"/>
        <v>3.7038956342385214</v>
      </c>
      <c r="H98" s="64">
        <f t="shared" si="63"/>
        <v>3.7038956342385214</v>
      </c>
    </row>
    <row r="99" spans="2:8" x14ac:dyDescent="0.25">
      <c r="B99" t="s">
        <v>4220</v>
      </c>
      <c r="C99" s="64">
        <f t="shared" ref="C99:H99" si="64">C47/C21</f>
        <v>6.465216669656165</v>
      </c>
      <c r="D99" s="64">
        <f t="shared" si="64"/>
        <v>6.4652166696561642</v>
      </c>
      <c r="E99" s="64">
        <f t="shared" si="64"/>
        <v>6.4652166696561642</v>
      </c>
      <c r="F99" s="64">
        <f t="shared" si="64"/>
        <v>6.4652166696561642</v>
      </c>
      <c r="G99" s="64">
        <f t="shared" si="64"/>
        <v>6.4652166696561642</v>
      </c>
      <c r="H99" s="64">
        <f t="shared" si="64"/>
        <v>6.4652166696561642</v>
      </c>
    </row>
    <row r="100" spans="2:8" x14ac:dyDescent="0.25">
      <c r="B100" s="426" t="s">
        <v>4221</v>
      </c>
      <c r="C100" s="64">
        <f t="shared" ref="C100:H100" si="65">C47/C22</f>
        <v>5.1370282960022502</v>
      </c>
      <c r="D100" s="64">
        <f t="shared" si="65"/>
        <v>4.9827446262336155</v>
      </c>
      <c r="E100" s="64">
        <f t="shared" si="65"/>
        <v>4.8522554494630974</v>
      </c>
      <c r="F100" s="64">
        <f t="shared" si="65"/>
        <v>4.7692501582640698</v>
      </c>
      <c r="G100" s="64">
        <f t="shared" si="65"/>
        <v>4.6856296349869266</v>
      </c>
      <c r="H100" s="64">
        <f t="shared" si="65"/>
        <v>4.616491740708371</v>
      </c>
    </row>
    <row r="101" spans="2:8" x14ac:dyDescent="0.25">
      <c r="B101" t="s">
        <v>4222</v>
      </c>
      <c r="C101" s="64">
        <f t="shared" ref="C101:H101" si="66">C47/C15</f>
        <v>2.3548257784481619</v>
      </c>
      <c r="D101" s="64">
        <f t="shared" si="66"/>
        <v>2.3548257784481619</v>
      </c>
      <c r="E101" s="64">
        <f t="shared" si="66"/>
        <v>2.3548257784481619</v>
      </c>
      <c r="F101" s="64">
        <f t="shared" si="66"/>
        <v>2.3548257784481614</v>
      </c>
      <c r="G101" s="64">
        <f t="shared" si="66"/>
        <v>2.3548257784481614</v>
      </c>
      <c r="H101" s="64">
        <f t="shared" si="66"/>
        <v>2.3548257784481614</v>
      </c>
    </row>
    <row r="103" spans="2:8" x14ac:dyDescent="0.25">
      <c r="B103" s="482" t="s">
        <v>4214</v>
      </c>
      <c r="C103" s="482"/>
      <c r="D103" s="482"/>
      <c r="E103" s="482"/>
      <c r="F103" s="482"/>
      <c r="G103" s="482"/>
      <c r="H103" s="482"/>
    </row>
    <row r="105" spans="2:8" x14ac:dyDescent="0.25">
      <c r="B105" t="s">
        <v>384</v>
      </c>
      <c r="C105" s="149">
        <f>360/C91+360/C92-360/C93</f>
        <v>169.66949729985691</v>
      </c>
      <c r="D105" s="149">
        <f t="shared" ref="D105:H105" si="67">360/D91+360/D92-360/D93</f>
        <v>169.66949729985691</v>
      </c>
      <c r="E105" s="149">
        <f t="shared" si="67"/>
        <v>169.66949729985697</v>
      </c>
      <c r="F105" s="149">
        <f t="shared" si="67"/>
        <v>169.66949729985697</v>
      </c>
      <c r="G105" s="149">
        <f t="shared" si="67"/>
        <v>169.66949729985697</v>
      </c>
      <c r="H105" s="149">
        <f t="shared" si="67"/>
        <v>169.66949729985697</v>
      </c>
    </row>
    <row r="106" spans="2:8" x14ac:dyDescent="0.25">
      <c r="B106" t="s">
        <v>392</v>
      </c>
      <c r="C106" s="149">
        <f>360/C91+360/C92</f>
        <v>279.86097153974532</v>
      </c>
      <c r="D106" s="149">
        <f t="shared" ref="D106:H106" si="68">360/D91+360/D92</f>
        <v>279.86097153974532</v>
      </c>
      <c r="E106" s="149">
        <f t="shared" si="68"/>
        <v>279.86097153974538</v>
      </c>
      <c r="F106" s="149">
        <f t="shared" si="68"/>
        <v>279.86097153974538</v>
      </c>
      <c r="G106" s="149">
        <f t="shared" si="68"/>
        <v>279.86097153974538</v>
      </c>
      <c r="H106" s="149">
        <f t="shared" si="68"/>
        <v>279.86097153974538</v>
      </c>
    </row>
    <row r="108" spans="2:8" x14ac:dyDescent="0.25">
      <c r="B108" s="482" t="s">
        <v>4215</v>
      </c>
      <c r="C108" s="482"/>
      <c r="D108" s="482"/>
      <c r="E108" s="482"/>
      <c r="F108" s="482"/>
      <c r="G108" s="482"/>
      <c r="H108" s="482"/>
    </row>
    <row r="110" spans="2:8" x14ac:dyDescent="0.25">
      <c r="B110" s="488" t="s">
        <v>4216</v>
      </c>
      <c r="C110" s="171">
        <f t="shared" ref="C110:H110" si="69">C16/C47</f>
        <v>0.26998600898904329</v>
      </c>
      <c r="D110" s="171">
        <f t="shared" si="69"/>
        <v>0.26998600898904335</v>
      </c>
      <c r="E110" s="171">
        <f t="shared" si="69"/>
        <v>0.26998600898904335</v>
      </c>
      <c r="F110" s="171">
        <f t="shared" si="69"/>
        <v>0.2699860089890434</v>
      </c>
      <c r="G110" s="171">
        <f t="shared" si="69"/>
        <v>0.2699860089890434</v>
      </c>
      <c r="H110" s="171">
        <f t="shared" si="69"/>
        <v>0.2699860089890434</v>
      </c>
    </row>
    <row r="111" spans="2:8" x14ac:dyDescent="0.25">
      <c r="B111" s="488" t="s">
        <v>4105</v>
      </c>
      <c r="C111" s="171">
        <f>(C55+C53)/C16</f>
        <v>0.67189196908415905</v>
      </c>
      <c r="D111" s="171">
        <f t="shared" ref="D111:H111" si="70">(D55+D53)/D16</f>
        <v>0.66778248833281595</v>
      </c>
      <c r="E111" s="171">
        <f t="shared" si="70"/>
        <v>0.66778248833281584</v>
      </c>
      <c r="F111" s="171">
        <f t="shared" si="70"/>
        <v>0.66778248833281539</v>
      </c>
      <c r="G111" s="171">
        <f t="shared" si="70"/>
        <v>0.66778248833281562</v>
      </c>
      <c r="H111" s="171">
        <f t="shared" si="70"/>
        <v>0.6677824883328155</v>
      </c>
    </row>
    <row r="113" spans="2:8" x14ac:dyDescent="0.25">
      <c r="B113" s="482" t="s">
        <v>411</v>
      </c>
      <c r="C113" s="482"/>
      <c r="D113" s="482"/>
      <c r="E113" s="482"/>
      <c r="F113" s="482"/>
      <c r="G113" s="482"/>
      <c r="H113" s="482"/>
    </row>
    <row r="115" spans="2:8" x14ac:dyDescent="0.25">
      <c r="B115" t="s">
        <v>412</v>
      </c>
      <c r="C115" s="81">
        <f t="shared" ref="C115:H115" si="71">C49/C47</f>
        <v>0.47516886559930405</v>
      </c>
      <c r="D115" s="81">
        <f t="shared" si="71"/>
        <v>0.4751688655993041</v>
      </c>
      <c r="E115" s="81">
        <f t="shared" si="71"/>
        <v>0.47516886559930405</v>
      </c>
      <c r="F115" s="81">
        <f t="shared" si="71"/>
        <v>0.47516886559930405</v>
      </c>
      <c r="G115" s="81">
        <f t="shared" si="71"/>
        <v>0.47516886559930405</v>
      </c>
      <c r="H115" s="81">
        <f t="shared" si="71"/>
        <v>0.47516886559930405</v>
      </c>
    </row>
    <row r="116" spans="2:8" x14ac:dyDescent="0.25">
      <c r="B116" t="s">
        <v>452</v>
      </c>
      <c r="C116" s="81">
        <f t="shared" ref="C116:H116" si="72">C55/C47</f>
        <v>0.16874836892359313</v>
      </c>
      <c r="D116" s="81">
        <f t="shared" si="72"/>
        <v>0.16874836892359316</v>
      </c>
      <c r="E116" s="81">
        <f t="shared" si="72"/>
        <v>0.16874836892359316</v>
      </c>
      <c r="F116" s="81">
        <f t="shared" si="72"/>
        <v>0.16874836892359305</v>
      </c>
      <c r="G116" s="81">
        <f t="shared" si="72"/>
        <v>0.1687483689235931</v>
      </c>
      <c r="H116" s="81">
        <f t="shared" si="72"/>
        <v>0.1687483689235931</v>
      </c>
    </row>
    <row r="117" spans="2:8" x14ac:dyDescent="0.25">
      <c r="B117" t="s">
        <v>404</v>
      </c>
      <c r="C117" s="81">
        <f t="shared" ref="C117:H117" si="73">C62/C47</f>
        <v>5.6921066257948259E-2</v>
      </c>
      <c r="D117" s="81">
        <f t="shared" si="73"/>
        <v>6.3036769762305142E-2</v>
      </c>
      <c r="E117" s="81">
        <f t="shared" si="73"/>
        <v>6.5701207850871801E-2</v>
      </c>
      <c r="F117" s="81">
        <f t="shared" si="73"/>
        <v>6.914417715738172E-2</v>
      </c>
      <c r="G117" s="81">
        <f t="shared" si="73"/>
        <v>7.0902566056498237E-2</v>
      </c>
      <c r="H117" s="81">
        <f t="shared" si="73"/>
        <v>7.3056481770299775E-2</v>
      </c>
    </row>
    <row r="119" spans="2:8" x14ac:dyDescent="0.25">
      <c r="B119" s="26" t="s">
        <v>393</v>
      </c>
      <c r="C119" s="154">
        <f t="shared" ref="C119:H119" si="74">C70/C15</f>
        <v>0.2384494620851613</v>
      </c>
      <c r="D119" s="154">
        <f t="shared" si="74"/>
        <v>0.2384494620851613</v>
      </c>
      <c r="E119" s="154">
        <f t="shared" si="74"/>
        <v>0.23844946208516132</v>
      </c>
      <c r="F119" s="154">
        <f t="shared" si="74"/>
        <v>0.23844946208516113</v>
      </c>
      <c r="G119" s="154">
        <f t="shared" si="74"/>
        <v>0.23844946208516116</v>
      </c>
      <c r="H119" s="154">
        <f t="shared" si="74"/>
        <v>0.23844946208516116</v>
      </c>
    </row>
    <row r="120" spans="2:8" x14ac:dyDescent="0.25">
      <c r="B120" s="65" t="s">
        <v>398</v>
      </c>
      <c r="C120" s="81">
        <f t="shared" ref="C120:H120" si="75">C70/C47</f>
        <v>0.1012599166645357</v>
      </c>
      <c r="D120" s="81">
        <f t="shared" si="75"/>
        <v>0.10125991666453571</v>
      </c>
      <c r="E120" s="81">
        <f t="shared" si="75"/>
        <v>0.10125991666453572</v>
      </c>
      <c r="F120" s="81">
        <f t="shared" si="75"/>
        <v>0.10125991666453565</v>
      </c>
      <c r="G120" s="81">
        <f t="shared" si="75"/>
        <v>0.10125991666453568</v>
      </c>
      <c r="H120" s="81">
        <f t="shared" si="75"/>
        <v>0.10125991666453567</v>
      </c>
    </row>
    <row r="121" spans="2:8" x14ac:dyDescent="0.25">
      <c r="B121" s="65" t="s">
        <v>4217</v>
      </c>
      <c r="C121" s="64">
        <f>C101</f>
        <v>2.3548257784481619</v>
      </c>
      <c r="D121" s="64">
        <f t="shared" ref="D121:H121" si="76">D101</f>
        <v>2.3548257784481619</v>
      </c>
      <c r="E121" s="64">
        <f t="shared" si="76"/>
        <v>2.3548257784481619</v>
      </c>
      <c r="F121" s="64">
        <f t="shared" si="76"/>
        <v>2.3548257784481614</v>
      </c>
      <c r="G121" s="64">
        <f t="shared" si="76"/>
        <v>2.3548257784481614</v>
      </c>
      <c r="H121" s="64">
        <f t="shared" si="76"/>
        <v>2.3548257784481614</v>
      </c>
    </row>
    <row r="123" spans="2:8" x14ac:dyDescent="0.25">
      <c r="B123" s="26" t="s">
        <v>400</v>
      </c>
      <c r="C123" s="154">
        <f t="shared" ref="C123:H123" si="77">C62/C34</f>
        <v>0.19990606283170154</v>
      </c>
      <c r="D123" s="154">
        <f t="shared" si="77"/>
        <v>0.22545313178093598</v>
      </c>
      <c r="E123" s="154">
        <f t="shared" si="77"/>
        <v>0.23647622376620217</v>
      </c>
      <c r="F123" s="154">
        <f t="shared" si="77"/>
        <v>0.25394351194984588</v>
      </c>
      <c r="G123" s="154">
        <f t="shared" si="77"/>
        <v>0.26061743191716014</v>
      </c>
      <c r="H123" s="154">
        <f t="shared" si="77"/>
        <v>0.26764570609260957</v>
      </c>
    </row>
    <row r="124" spans="2:8" x14ac:dyDescent="0.25">
      <c r="B124" s="65" t="s">
        <v>404</v>
      </c>
      <c r="C124" s="156">
        <f>C117</f>
        <v>5.6921066257948259E-2</v>
      </c>
      <c r="D124" s="156">
        <f t="shared" ref="D124:H124" si="78">D117</f>
        <v>6.3036769762305142E-2</v>
      </c>
      <c r="E124" s="156">
        <f t="shared" si="78"/>
        <v>6.5701207850871801E-2</v>
      </c>
      <c r="F124" s="156">
        <f t="shared" si="78"/>
        <v>6.914417715738172E-2</v>
      </c>
      <c r="G124" s="156">
        <f t="shared" si="78"/>
        <v>7.0902566056498237E-2</v>
      </c>
      <c r="H124" s="156">
        <f t="shared" si="78"/>
        <v>7.3056481770299775E-2</v>
      </c>
    </row>
    <row r="125" spans="2:8" x14ac:dyDescent="0.25">
      <c r="B125" s="65" t="s">
        <v>399</v>
      </c>
      <c r="C125" s="64">
        <f>C101</f>
        <v>2.3548257784481619</v>
      </c>
      <c r="D125" s="64">
        <f t="shared" ref="D125:H125" si="79">D101</f>
        <v>2.3548257784481619</v>
      </c>
      <c r="E125" s="64">
        <f t="shared" si="79"/>
        <v>2.3548257784481619</v>
      </c>
      <c r="F125" s="64">
        <f t="shared" si="79"/>
        <v>2.3548257784481614</v>
      </c>
      <c r="G125" s="64">
        <f t="shared" si="79"/>
        <v>2.3548257784481614</v>
      </c>
      <c r="H125" s="64">
        <f t="shared" si="79"/>
        <v>2.3548257784481614</v>
      </c>
    </row>
    <row r="126" spans="2:8" x14ac:dyDescent="0.25">
      <c r="B126" s="65" t="s">
        <v>405</v>
      </c>
      <c r="C126" s="64">
        <f t="shared" ref="C126:H126" si="80">C15/C34</f>
        <v>1.4914000646081718</v>
      </c>
      <c r="D126" s="64">
        <f t="shared" si="80"/>
        <v>1.5188103251081293</v>
      </c>
      <c r="E126" s="64">
        <f t="shared" si="80"/>
        <v>1.5284644655538611</v>
      </c>
      <c r="F126" s="64">
        <f t="shared" si="80"/>
        <v>1.5596341187416287</v>
      </c>
      <c r="G126" s="64">
        <f t="shared" si="80"/>
        <v>1.5609274801017405</v>
      </c>
      <c r="H126" s="64">
        <f t="shared" si="80"/>
        <v>1.5557605154822334</v>
      </c>
    </row>
    <row r="128" spans="2:8" x14ac:dyDescent="0.25">
      <c r="B128" s="426" t="s">
        <v>406</v>
      </c>
      <c r="C128" s="156">
        <f>C123-C119</f>
        <v>-3.8543399253459759E-2</v>
      </c>
      <c r="D128" s="156">
        <f t="shared" ref="D128:H128" si="81">D123-D119</f>
        <v>-1.2996330304225312E-2</v>
      </c>
      <c r="E128" s="156">
        <f t="shared" si="81"/>
        <v>-1.9732383189591529E-3</v>
      </c>
      <c r="F128" s="156">
        <f t="shared" si="81"/>
        <v>1.549404986468475E-2</v>
      </c>
      <c r="G128" s="156">
        <f t="shared" si="81"/>
        <v>2.2167969831998979E-2</v>
      </c>
      <c r="H128" s="156">
        <f t="shared" si="81"/>
        <v>2.9196244007448413E-2</v>
      </c>
    </row>
    <row r="130" spans="2:9" x14ac:dyDescent="0.25">
      <c r="B130" s="26" t="s">
        <v>4070</v>
      </c>
      <c r="C130" s="73">
        <f>C131-C132*C133</f>
        <v>5125828.0714746974</v>
      </c>
      <c r="D130" s="73">
        <f t="shared" ref="D130:H130" si="82">D131-D132*D133</f>
        <v>5946371.1550457859</v>
      </c>
      <c r="E130" s="73">
        <f t="shared" si="82"/>
        <v>6864361.649851935</v>
      </c>
      <c r="F130" s="73">
        <f t="shared" si="82"/>
        <v>8121103.5008101016</v>
      </c>
      <c r="G130" s="73">
        <f t="shared" si="82"/>
        <v>9465520.8954893257</v>
      </c>
      <c r="H130" s="73">
        <f t="shared" si="82"/>
        <v>11036170.809969893</v>
      </c>
    </row>
    <row r="131" spans="2:9" x14ac:dyDescent="0.25">
      <c r="B131" s="119" t="s">
        <v>394</v>
      </c>
      <c r="C131" s="67">
        <f>C70</f>
        <v>9777860.0729608964</v>
      </c>
      <c r="D131" s="67">
        <f t="shared" ref="D131:H131" si="83">D70</f>
        <v>11342317.684634639</v>
      </c>
      <c r="E131" s="67">
        <f t="shared" si="83"/>
        <v>13090770.60838585</v>
      </c>
      <c r="F131" s="67">
        <f t="shared" si="83"/>
        <v>15487494.775508812</v>
      </c>
      <c r="G131" s="67">
        <f t="shared" si="83"/>
        <v>18047347.950948924</v>
      </c>
      <c r="H131" s="67">
        <f t="shared" si="83"/>
        <v>21036544.882641438</v>
      </c>
    </row>
    <row r="132" spans="2:9" x14ac:dyDescent="0.25">
      <c r="B132" s="119" t="s">
        <v>379</v>
      </c>
      <c r="C132" s="67">
        <f t="shared" ref="C132:H132" si="84">C15</f>
        <v>41006006</v>
      </c>
      <c r="D132" s="67">
        <f t="shared" si="84"/>
        <v>47566966.959999993</v>
      </c>
      <c r="E132" s="67">
        <f t="shared" si="84"/>
        <v>54899560.241870165</v>
      </c>
      <c r="F132" s="67">
        <f t="shared" si="84"/>
        <v>64950848.033272244</v>
      </c>
      <c r="G132" s="67">
        <f t="shared" si="84"/>
        <v>75686259.860395044</v>
      </c>
      <c r="H132" s="67">
        <f t="shared" si="84"/>
        <v>88222236.689837158</v>
      </c>
    </row>
    <row r="133" spans="2:9" x14ac:dyDescent="0.25">
      <c r="B133" s="119" t="s">
        <v>4071</v>
      </c>
      <c r="C133" s="156">
        <f>C134*C136+C135*C137</f>
        <v>0.11344757647175389</v>
      </c>
      <c r="D133" s="156">
        <f t="shared" ref="D133:H133" si="85">D134*D136+D135*D137</f>
        <v>0.11343894459628699</v>
      </c>
      <c r="E133" s="156">
        <f t="shared" si="85"/>
        <v>0.11341455070135933</v>
      </c>
      <c r="F133" s="156">
        <f t="shared" si="85"/>
        <v>0.11341485904733904</v>
      </c>
      <c r="G133" s="156">
        <f t="shared" si="85"/>
        <v>0.11338685609896651</v>
      </c>
      <c r="H133" s="156">
        <f t="shared" si="85"/>
        <v>0.11335434747398042</v>
      </c>
    </row>
    <row r="134" spans="2:9" x14ac:dyDescent="0.25">
      <c r="B134" s="115" t="s">
        <v>4102</v>
      </c>
      <c r="C134" s="81">
        <f>C5*(1-C6)</f>
        <v>0.11527240301839546</v>
      </c>
      <c r="D134" s="81">
        <f t="shared" ref="D134:H134" si="86">D5*(1-D6)</f>
        <v>0.11527240301839546</v>
      </c>
      <c r="E134" s="81">
        <f t="shared" si="86"/>
        <v>0.11527240301839546</v>
      </c>
      <c r="F134" s="81">
        <f t="shared" si="86"/>
        <v>0.11527240301839546</v>
      </c>
      <c r="G134" s="81">
        <f t="shared" si="86"/>
        <v>0.11527240301839546</v>
      </c>
      <c r="H134" s="81">
        <f t="shared" si="86"/>
        <v>0.11527240301839546</v>
      </c>
    </row>
    <row r="135" spans="2:9" x14ac:dyDescent="0.25">
      <c r="B135" s="115" t="s">
        <v>4103</v>
      </c>
      <c r="C135" s="531">
        <f>'Analisis Sectorial'!$H$203</f>
        <v>0.11201556632833577</v>
      </c>
      <c r="D135" s="531">
        <f>'Analisis Sectorial'!$H$203</f>
        <v>0.11201556632833577</v>
      </c>
      <c r="E135" s="531">
        <f>'Analisis Sectorial'!$H$203</f>
        <v>0.11201556632833577</v>
      </c>
      <c r="F135" s="531">
        <f>'Analisis Sectorial'!$H$203</f>
        <v>0.11201556632833577</v>
      </c>
      <c r="G135" s="531">
        <f>'Analisis Sectorial'!$H$203</f>
        <v>0.11201556632833577</v>
      </c>
      <c r="H135" s="531">
        <f>'Analisis Sectorial'!$H$203</f>
        <v>0.11201556632833577</v>
      </c>
      <c r="I135" t="s">
        <v>4244</v>
      </c>
    </row>
    <row r="136" spans="2:9" x14ac:dyDescent="0.25">
      <c r="B136" s="115" t="s">
        <v>4129</v>
      </c>
      <c r="C136" s="81">
        <f t="shared" ref="C136:H136" si="87">(C27+C28+C29)/(C27+C28+C29+C34)</f>
        <v>0.43969356762308964</v>
      </c>
      <c r="D136" s="81">
        <f t="shared" si="87"/>
        <v>0.43704318128556063</v>
      </c>
      <c r="E136" s="81">
        <f t="shared" si="87"/>
        <v>0.42955312352426389</v>
      </c>
      <c r="F136" s="81">
        <f t="shared" si="87"/>
        <v>0.4296478000490786</v>
      </c>
      <c r="G136" s="81">
        <f t="shared" si="87"/>
        <v>0.42104959539914688</v>
      </c>
      <c r="H136" s="81">
        <f t="shared" si="87"/>
        <v>0.41106793893927351</v>
      </c>
    </row>
    <row r="137" spans="2:9" x14ac:dyDescent="0.25">
      <c r="B137" s="115" t="s">
        <v>4130</v>
      </c>
      <c r="C137" s="81">
        <f t="shared" ref="C137:H137" si="88">(C34)/(C27+C28+C29+C34)</f>
        <v>0.56030643237691036</v>
      </c>
      <c r="D137" s="81">
        <f t="shared" si="88"/>
        <v>0.56295681871443937</v>
      </c>
      <c r="E137" s="81">
        <f t="shared" si="88"/>
        <v>0.57044687647573611</v>
      </c>
      <c r="F137" s="81">
        <f t="shared" si="88"/>
        <v>0.57035219995092146</v>
      </c>
      <c r="G137" s="81">
        <f t="shared" si="88"/>
        <v>0.57895040460085312</v>
      </c>
      <c r="H137" s="81">
        <f t="shared" si="88"/>
        <v>0.58893206106072649</v>
      </c>
    </row>
    <row r="139" spans="2:9" x14ac:dyDescent="0.25">
      <c r="B139" s="482" t="s">
        <v>453</v>
      </c>
      <c r="C139" s="482"/>
      <c r="D139" s="482"/>
      <c r="E139" s="482"/>
      <c r="F139" s="482"/>
      <c r="G139" s="482"/>
      <c r="H139" s="482"/>
    </row>
    <row r="141" spans="2:9" x14ac:dyDescent="0.25">
      <c r="B141" t="s">
        <v>456</v>
      </c>
      <c r="C141" s="64">
        <f>C26/C34</f>
        <v>0.78473767605672218</v>
      </c>
      <c r="D141" s="64">
        <f t="shared" ref="D141:H141" si="89">D26/D34</f>
        <v>0.7763351766190284</v>
      </c>
      <c r="E141" s="64">
        <f t="shared" si="89"/>
        <v>0.753011614645128</v>
      </c>
      <c r="F141" s="64">
        <f t="shared" si="89"/>
        <v>0.75330260860929377</v>
      </c>
      <c r="G141" s="64">
        <f t="shared" si="89"/>
        <v>0.72726366896562045</v>
      </c>
      <c r="H141" s="64">
        <f t="shared" si="89"/>
        <v>0.69798872589632555</v>
      </c>
    </row>
    <row r="142" spans="2:9" x14ac:dyDescent="0.25">
      <c r="B142" t="s">
        <v>455</v>
      </c>
      <c r="C142" s="81">
        <f>C26/C15</f>
        <v>0.52617516565744049</v>
      </c>
      <c r="D142" s="81">
        <f t="shared" ref="D142:H142" si="90">D26/D15</f>
        <v>0.5111468916065991</v>
      </c>
      <c r="E142" s="81">
        <f t="shared" si="90"/>
        <v>0.49265889499908222</v>
      </c>
      <c r="F142" s="81">
        <f t="shared" si="90"/>
        <v>0.48299956993572729</v>
      </c>
      <c r="G142" s="81">
        <f t="shared" si="90"/>
        <v>0.46591765359798631</v>
      </c>
      <c r="H142" s="81">
        <f t="shared" si="90"/>
        <v>0.4486479242468579</v>
      </c>
    </row>
    <row r="143" spans="2:9" x14ac:dyDescent="0.25">
      <c r="B143" t="s">
        <v>405</v>
      </c>
      <c r="C143" s="64">
        <f>C15/C34</f>
        <v>1.4914000646081718</v>
      </c>
      <c r="D143" s="64">
        <f t="shared" ref="D143:H143" si="91">D15/D34</f>
        <v>1.5188103251081293</v>
      </c>
      <c r="E143" s="64">
        <f t="shared" si="91"/>
        <v>1.5284644655538611</v>
      </c>
      <c r="F143" s="64">
        <f t="shared" si="91"/>
        <v>1.5596341187416287</v>
      </c>
      <c r="G143" s="64">
        <f t="shared" si="91"/>
        <v>1.5609274801017405</v>
      </c>
      <c r="H143" s="64">
        <f t="shared" si="91"/>
        <v>1.5557605154822334</v>
      </c>
    </row>
    <row r="145" spans="2:8" x14ac:dyDescent="0.25">
      <c r="B145" s="482" t="s">
        <v>4190</v>
      </c>
      <c r="C145" s="482"/>
      <c r="D145" s="482"/>
      <c r="E145" s="482"/>
      <c r="F145" s="482"/>
      <c r="G145" s="482"/>
      <c r="H145" s="482"/>
    </row>
    <row r="146" spans="2:8" outlineLevel="1" x14ac:dyDescent="0.25"/>
    <row r="147" spans="2:8" outlineLevel="1" x14ac:dyDescent="0.25">
      <c r="B147" t="s">
        <v>4063</v>
      </c>
      <c r="C147" s="64">
        <f>C55/C59</f>
        <v>3.9313404404477112</v>
      </c>
      <c r="D147" s="64">
        <f t="shared" ref="D147:H147" si="92">D55/D59</f>
        <v>4.5603549109193455</v>
      </c>
      <c r="E147" s="64">
        <f t="shared" si="92"/>
        <v>4.6707721470300783</v>
      </c>
      <c r="F147" s="64">
        <f t="shared" si="92"/>
        <v>4.9675315265443691</v>
      </c>
      <c r="G147" s="64">
        <f t="shared" si="92"/>
        <v>4.9906426635902337</v>
      </c>
      <c r="H147" s="64">
        <f t="shared" si="92"/>
        <v>5.1751489472140513</v>
      </c>
    </row>
    <row r="148" spans="2:8" outlineLevel="1" x14ac:dyDescent="0.25">
      <c r="B148" t="s">
        <v>4066</v>
      </c>
      <c r="C148" s="81">
        <f t="shared" ref="C148:H148" si="93">C27/(C27+C28+C29)</f>
        <v>0.62120126757353034</v>
      </c>
      <c r="D148" s="81">
        <f t="shared" si="93"/>
        <v>0.55126315505892443</v>
      </c>
      <c r="E148" s="81">
        <f t="shared" si="93"/>
        <v>0.4955585305939611</v>
      </c>
      <c r="F148" s="81">
        <f t="shared" si="93"/>
        <v>0.42724656597036881</v>
      </c>
      <c r="G148" s="81">
        <f t="shared" si="93"/>
        <v>0.38008780877954229</v>
      </c>
      <c r="H148" s="81">
        <f t="shared" si="93"/>
        <v>0.33863077430323618</v>
      </c>
    </row>
    <row r="149" spans="2:8" outlineLevel="1" x14ac:dyDescent="0.25"/>
    <row r="150" spans="2:8" outlineLevel="1" x14ac:dyDescent="0.25"/>
    <row r="151" spans="2:8" x14ac:dyDescent="0.25">
      <c r="B151" s="482" t="s">
        <v>4231</v>
      </c>
      <c r="C151" s="482"/>
      <c r="D151" s="482"/>
      <c r="E151" s="482"/>
      <c r="F151" s="482"/>
      <c r="G151" s="482"/>
      <c r="H151" s="482"/>
    </row>
    <row r="153" spans="2:8" x14ac:dyDescent="0.25">
      <c r="B153" t="s">
        <v>4223</v>
      </c>
      <c r="C153" s="81">
        <f t="shared" ref="C153:H153" si="94">1-C7</f>
        <v>0.54151908554162242</v>
      </c>
      <c r="D153" s="81">
        <f t="shared" si="94"/>
        <v>0.54151908554162242</v>
      </c>
      <c r="E153" s="81">
        <f t="shared" si="94"/>
        <v>0.54151908554162242</v>
      </c>
      <c r="F153" s="81">
        <f t="shared" si="94"/>
        <v>0.54151908554162242</v>
      </c>
      <c r="G153" s="81">
        <f t="shared" si="94"/>
        <v>0.54151908554162242</v>
      </c>
      <c r="H153" s="81">
        <f t="shared" si="94"/>
        <v>0.54151908554162242</v>
      </c>
    </row>
    <row r="155" spans="2:8" x14ac:dyDescent="0.25">
      <c r="B155" s="26" t="s">
        <v>4224</v>
      </c>
      <c r="C155" s="154">
        <f>(C156*C153)/(1-C157*C153)</f>
        <v>8.33469515172479E-2</v>
      </c>
      <c r="D155" s="154">
        <f t="shared" ref="D155:H155" si="95">(D156*D153)/(1-D157*D153)</f>
        <v>9.230190048397284E-2</v>
      </c>
      <c r="E155" s="154">
        <f t="shared" si="95"/>
        <v>9.620331707343216E-2</v>
      </c>
      <c r="F155" s="154">
        <f t="shared" si="95"/>
        <v>0.10124470183183845</v>
      </c>
      <c r="G155" s="154">
        <f t="shared" si="95"/>
        <v>0.10381943143474125</v>
      </c>
      <c r="H155" s="154">
        <f t="shared" si="95"/>
        <v>0.10697331312341017</v>
      </c>
    </row>
    <row r="156" spans="2:8" x14ac:dyDescent="0.25">
      <c r="B156" s="65" t="s">
        <v>4225</v>
      </c>
      <c r="C156" s="81">
        <f t="shared" ref="C156:H156" si="96">C62/C15</f>
        <v>0.13403919416097243</v>
      </c>
      <c r="D156" s="81">
        <f t="shared" si="96"/>
        <v>0.14844061042637777</v>
      </c>
      <c r="E156" s="81">
        <f t="shared" si="96"/>
        <v>0.15471489792241366</v>
      </c>
      <c r="F156" s="81">
        <f t="shared" si="96"/>
        <v>0.162822490799789</v>
      </c>
      <c r="G156" s="81">
        <f t="shared" si="96"/>
        <v>0.16696319030796566</v>
      </c>
      <c r="H156" s="81">
        <f t="shared" si="96"/>
        <v>0.17203528655543007</v>
      </c>
    </row>
    <row r="157" spans="2:8" x14ac:dyDescent="0.25">
      <c r="B157" s="65" t="s">
        <v>393</v>
      </c>
      <c r="C157" s="156">
        <f>C119</f>
        <v>0.2384494620851613</v>
      </c>
      <c r="D157" s="156">
        <f t="shared" ref="D157:H157" si="97">D119</f>
        <v>0.2384494620851613</v>
      </c>
      <c r="E157" s="156">
        <f t="shared" si="97"/>
        <v>0.23844946208516132</v>
      </c>
      <c r="F157" s="156">
        <f t="shared" si="97"/>
        <v>0.23844946208516113</v>
      </c>
      <c r="G157" s="156">
        <f t="shared" si="97"/>
        <v>0.23844946208516116</v>
      </c>
      <c r="H157" s="156">
        <f t="shared" si="97"/>
        <v>0.23844946208516116</v>
      </c>
    </row>
    <row r="159" spans="2:8" x14ac:dyDescent="0.25">
      <c r="B159" s="26" t="s">
        <v>4226</v>
      </c>
      <c r="C159" s="154">
        <f>(C160*C153)/(1-C161*C153)</f>
        <v>0.13407215269236802</v>
      </c>
      <c r="D159" s="154">
        <f t="shared" ref="D159:H159" si="98">(D160*D153)/(1-D161*D153)</f>
        <v>0.15187168407849963</v>
      </c>
      <c r="E159" s="154">
        <f t="shared" si="98"/>
        <v>0.15954456171561068</v>
      </c>
      <c r="F159" s="154">
        <f t="shared" si="98"/>
        <v>0.17219275284471242</v>
      </c>
      <c r="G159" s="154">
        <f t="shared" si="98"/>
        <v>0.17675513418173303</v>
      </c>
      <c r="H159" s="154">
        <f t="shared" si="98"/>
        <v>0.18137027447381412</v>
      </c>
    </row>
    <row r="160" spans="2:8" x14ac:dyDescent="0.25">
      <c r="B160" s="65" t="s">
        <v>400</v>
      </c>
      <c r="C160" s="156">
        <f>C123</f>
        <v>0.19990606283170154</v>
      </c>
      <c r="D160" s="156">
        <f t="shared" ref="D160:H160" si="99">D123</f>
        <v>0.22545313178093598</v>
      </c>
      <c r="E160" s="156">
        <f t="shared" si="99"/>
        <v>0.23647622376620217</v>
      </c>
      <c r="F160" s="156">
        <f t="shared" si="99"/>
        <v>0.25394351194984588</v>
      </c>
      <c r="G160" s="156">
        <f t="shared" si="99"/>
        <v>0.26061743191716014</v>
      </c>
      <c r="H160" s="156">
        <f t="shared" si="99"/>
        <v>0.26764570609260957</v>
      </c>
    </row>
    <row r="161" spans="2:8" x14ac:dyDescent="0.25">
      <c r="B161" s="65" t="s">
        <v>4227</v>
      </c>
      <c r="C161" s="81">
        <f t="shared" ref="C161:H161" si="100">C70/C34</f>
        <v>0.35562354315959332</v>
      </c>
      <c r="D161" s="81">
        <f t="shared" si="100"/>
        <v>0.36215950503142236</v>
      </c>
      <c r="E161" s="81">
        <f t="shared" si="100"/>
        <v>0.36446152962760175</v>
      </c>
      <c r="F161" s="81">
        <f t="shared" si="100"/>
        <v>0.37189391666360566</v>
      </c>
      <c r="G161" s="81">
        <f t="shared" si="100"/>
        <v>0.37220231798420611</v>
      </c>
      <c r="H161" s="81">
        <f t="shared" si="100"/>
        <v>0.37097025805007156</v>
      </c>
    </row>
    <row r="162" spans="2:8" x14ac:dyDescent="0.25">
      <c r="B162" s="65"/>
      <c r="C162" s="156"/>
      <c r="D162" s="156"/>
      <c r="E162" s="156"/>
      <c r="F162" s="156"/>
      <c r="G162" s="156"/>
      <c r="H162" s="156"/>
    </row>
    <row r="163" spans="2:8" x14ac:dyDescent="0.25">
      <c r="B163" s="65"/>
      <c r="D163" s="149"/>
      <c r="E163" s="149"/>
      <c r="F163" s="149"/>
      <c r="G163" s="149"/>
      <c r="H163" s="149"/>
    </row>
    <row r="164" spans="2:8" x14ac:dyDescent="0.25">
      <c r="B164" s="65"/>
      <c r="C164" s="156"/>
      <c r="D164" s="156"/>
      <c r="E164" s="156"/>
      <c r="F164" s="156"/>
      <c r="G164" s="156"/>
      <c r="H164" s="156"/>
    </row>
    <row r="165" spans="2:8" x14ac:dyDescent="0.25">
      <c r="B165" s="65"/>
      <c r="C165" s="142"/>
      <c r="D165" s="142"/>
      <c r="E165" s="142"/>
      <c r="F165" s="142"/>
      <c r="G165" s="142"/>
      <c r="H165" s="142"/>
    </row>
    <row r="166" spans="2:8" x14ac:dyDescent="0.25">
      <c r="B166" s="65"/>
      <c r="C166" s="142"/>
      <c r="D166" s="142"/>
      <c r="E166" s="142"/>
      <c r="F166" s="142"/>
      <c r="G166" s="142"/>
      <c r="H166" s="142"/>
    </row>
    <row r="167" spans="2:8" x14ac:dyDescent="0.25">
      <c r="D167" s="64"/>
      <c r="E167" s="64"/>
      <c r="F167" s="64"/>
      <c r="G167" s="64"/>
      <c r="H167" s="64"/>
    </row>
    <row r="172" spans="2:8" x14ac:dyDescent="0.25">
      <c r="D172" s="149"/>
      <c r="E172" s="149"/>
      <c r="F172" s="149"/>
      <c r="G172" s="149"/>
      <c r="H172" s="149"/>
    </row>
  </sheetData>
  <pageMargins left="0.7" right="0.7" top="0.75" bottom="0.75" header="0.3" footer="0.3"/>
  <pageSetup paperSize="9" orientation="portrait" r:id="rId1"/>
  <ignoredErrors>
    <ignoredError sqref="D49:H53 D57:H5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2:O327"/>
  <sheetViews>
    <sheetView showGridLines="0" topLeftCell="A162" zoomScale="90" zoomScaleNormal="90" zoomScalePageLayoutView="90" workbookViewId="0">
      <selection activeCell="H177" sqref="H177"/>
    </sheetView>
  </sheetViews>
  <sheetFormatPr baseColWidth="10" defaultColWidth="11.375" defaultRowHeight="15" outlineLevelRow="1" x14ac:dyDescent="0.25"/>
  <cols>
    <col min="1" max="2" width="3.625" customWidth="1"/>
    <col min="3" max="3" width="21.375" bestFit="1" customWidth="1"/>
    <col min="4" max="8" width="12.125" bestFit="1" customWidth="1"/>
  </cols>
  <sheetData>
    <row r="2" spans="2:9" x14ac:dyDescent="0.25">
      <c r="B2" s="26" t="s">
        <v>259</v>
      </c>
    </row>
    <row r="4" spans="2:9" x14ac:dyDescent="0.25">
      <c r="D4" s="26">
        <v>2011</v>
      </c>
      <c r="E4" s="26">
        <v>2012</v>
      </c>
      <c r="F4" s="26">
        <v>2013</v>
      </c>
      <c r="G4" s="26">
        <v>2014</v>
      </c>
      <c r="H4" s="26">
        <v>2015</v>
      </c>
    </row>
    <row r="5" spans="2:9" x14ac:dyDescent="0.25">
      <c r="B5" s="26" t="s">
        <v>335</v>
      </c>
    </row>
    <row r="6" spans="2:9" x14ac:dyDescent="0.25">
      <c r="B6" s="26"/>
    </row>
    <row r="7" spans="2:9" x14ac:dyDescent="0.25">
      <c r="C7" s="26" t="s">
        <v>336</v>
      </c>
    </row>
    <row r="8" spans="2:9" x14ac:dyDescent="0.25">
      <c r="C8" s="119" t="s">
        <v>418</v>
      </c>
      <c r="D8" s="142">
        <f>AVERAGE(D9,D10,D11)</f>
        <v>1.3804040331156855</v>
      </c>
      <c r="E8" s="142">
        <f t="shared" ref="E8:H8" si="0">AVERAGE(E9,E10,E11)</f>
        <v>1.6201851791221566</v>
      </c>
      <c r="F8" s="142">
        <f t="shared" si="0"/>
        <v>1.6184757418420082</v>
      </c>
      <c r="G8" s="142">
        <f t="shared" si="0"/>
        <v>1.4971402007128816</v>
      </c>
      <c r="H8" s="142">
        <f t="shared" si="0"/>
        <v>1.6570460647657557</v>
      </c>
    </row>
    <row r="9" spans="2:9" x14ac:dyDescent="0.25">
      <c r="C9" s="412" t="s">
        <v>451</v>
      </c>
      <c r="D9" s="171">
        <f>'EF Sempertex 2011-2014 I'!B25/'EF Sempertex 2011-2014 I'!B58</f>
        <v>2.0612120993470566</v>
      </c>
      <c r="E9" s="171">
        <f>'EF Sempertex 2011-2014 I'!C25/'EF Sempertex 2011-2014 I'!C58</f>
        <v>2.8105555373664703</v>
      </c>
      <c r="F9" s="171">
        <f>'EF Sempertex 2011-2014 I'!D25/'EF Sempertex 2011-2014 I'!D58</f>
        <v>2.885427225526024</v>
      </c>
      <c r="G9" s="171">
        <f>'EF Sempertex 2011-2014 I'!E25/'EF Sempertex 2011-2014 I'!E58</f>
        <v>1.8414206021386439</v>
      </c>
      <c r="H9" s="171">
        <f>'EF Sempertex 2015 I'!B25/'EF Sempertex 2015 I'!B34</f>
        <v>1.6311381942972671</v>
      </c>
    </row>
    <row r="10" spans="2:9" x14ac:dyDescent="0.25">
      <c r="C10" s="65" t="s">
        <v>333</v>
      </c>
      <c r="D10" s="64">
        <f>'Ratios Latex de C.'!B55</f>
        <v>1.03</v>
      </c>
      <c r="E10" s="64">
        <f>'Ratios Latex de C.'!C55</f>
        <v>1.08</v>
      </c>
      <c r="F10" s="64">
        <f>'Ratios Latex de C.'!D55</f>
        <v>1.1100000000000001</v>
      </c>
      <c r="G10" s="64">
        <f>'Ratios Latex de C.'!E55</f>
        <v>1.96</v>
      </c>
      <c r="H10" s="64">
        <f>'Ratios Latex de C.'!F55</f>
        <v>2.17</v>
      </c>
      <c r="I10" s="64"/>
    </row>
    <row r="11" spans="2:9" x14ac:dyDescent="0.25">
      <c r="C11" s="65" t="s">
        <v>334</v>
      </c>
      <c r="D11" s="64">
        <f>'Ratios Bombatex'!B55</f>
        <v>1.05</v>
      </c>
      <c r="E11" s="64">
        <f>'Ratios Bombatex'!C55</f>
        <v>0.97</v>
      </c>
      <c r="F11" s="64">
        <f>'Ratios Bombatex'!D55</f>
        <v>0.86</v>
      </c>
      <c r="G11" s="64">
        <f>'Ratios Bombatex'!E55</f>
        <v>0.69</v>
      </c>
      <c r="H11" s="64">
        <f>'Ratios Bombatex'!F55</f>
        <v>1.17</v>
      </c>
      <c r="I11" s="64"/>
    </row>
    <row r="12" spans="2:9" x14ac:dyDescent="0.25">
      <c r="C12" s="65"/>
    </row>
    <row r="13" spans="2:9" x14ac:dyDescent="0.25">
      <c r="C13" s="144" t="s">
        <v>337</v>
      </c>
      <c r="D13" s="488"/>
      <c r="E13" s="488"/>
      <c r="F13" s="488"/>
      <c r="G13" s="488"/>
      <c r="H13" s="488"/>
    </row>
    <row r="14" spans="2:9" x14ac:dyDescent="0.25">
      <c r="C14" s="71" t="s">
        <v>418</v>
      </c>
      <c r="D14" s="599">
        <f>AVERAGE(D15,D16,D17)</f>
        <v>0.71571348639586807</v>
      </c>
      <c r="E14" s="599">
        <f t="shared" ref="E14:G14" si="1">AVERAGE(E15,E16,E17)</f>
        <v>0.88777403550288314</v>
      </c>
      <c r="F14" s="599">
        <f t="shared" si="1"/>
        <v>0.83113241874093424</v>
      </c>
      <c r="G14" s="599">
        <f t="shared" si="1"/>
        <v>0.774867107298571</v>
      </c>
      <c r="H14" s="599">
        <f t="shared" ref="H14" si="2">AVERAGE(H15,H16,H17)</f>
        <v>0.74805815687703181</v>
      </c>
    </row>
    <row r="15" spans="2:9" x14ac:dyDescent="0.25">
      <c r="C15" s="412" t="s">
        <v>451</v>
      </c>
      <c r="D15" s="171">
        <f>('EF Sempertex 2011-2014 I'!B26+'EF Sempertex 2011-2014 I'!B30+'EF Sempertex 2011-2014 I'!B31)/'EF Sempertex 2011-2014 I'!B58</f>
        <v>1.3056091326992114</v>
      </c>
      <c r="E15" s="171">
        <f>('EF Sempertex 2011-2014 I'!C26+'EF Sempertex 2011-2014 I'!C30+'EF Sempertex 2011-2014 I'!C31)/'EF Sempertex 2011-2014 I'!C58</f>
        <v>1.8466108119402012</v>
      </c>
      <c r="F15" s="171">
        <f>('EF Sempertex 2011-2014 I'!D26+'EF Sempertex 2011-2014 I'!D30+'EF Sempertex 2011-2014 I'!D31)/'EF Sempertex 2011-2014 I'!D58</f>
        <v>1.7223829082703652</v>
      </c>
      <c r="G15" s="171">
        <f>('EF Sempertex 2011-2014 I'!E26+'EF Sempertex 2011-2014 I'!E30+'EF Sempertex 2011-2014 I'!E31)/'EF Sempertex 2011-2014 I'!E58</f>
        <v>1.0524201456101043</v>
      </c>
      <c r="H15" s="171">
        <f>('EF Sempertex 2015 I'!B27+'EF Sempertex 2015 I'!B28)/'EF Sempertex 2015 I'!B34</f>
        <v>0.80634570446664211</v>
      </c>
    </row>
    <row r="16" spans="2:9" x14ac:dyDescent="0.25">
      <c r="C16" s="412" t="s">
        <v>333</v>
      </c>
      <c r="D16" s="171">
        <f>('EF Latex de C 2011-2015'!B26+'EF Latex de C 2011-2015'!B29+'EF Latex de C 2011-2015'!B30)/'EF Latex de C 2011-2015'!B59</f>
        <v>0.60346509712557783</v>
      </c>
      <c r="E16" s="171">
        <f>('EF Latex de C 2011-2015'!C26+'EF Latex de C 2011-2015'!C29+'EF Latex de C 2011-2015'!C30)/'EF Latex de C 2011-2015'!C59</f>
        <v>0.5999926189526843</v>
      </c>
      <c r="F16" s="171">
        <f>('EF Latex de C 2011-2015'!D26+'EF Latex de C 2011-2015'!D29+'EF Latex de C 2011-2015'!D30)/'EF Latex de C 2011-2015'!D59</f>
        <v>0.58252905521026976</v>
      </c>
      <c r="G16" s="171">
        <f>('EF Latex de C 2011-2015'!E26+'EF Latex de C 2011-2015'!E29+'EF Latex de C 2011-2015'!E30)/'EF Latex de C 2011-2015'!E59</f>
        <v>1.1231603292129921</v>
      </c>
      <c r="H16" s="171">
        <f>('EF Latex de C 2011-2015'!F26+'EF Latex de C 2011-2015'!F29+'EF Latex de C 2011-2015'!F30)/'EF Latex de C 2011-2015'!F59</f>
        <v>1.1499568844433201</v>
      </c>
    </row>
    <row r="17" spans="3:12" x14ac:dyDescent="0.25">
      <c r="C17" s="412" t="s">
        <v>334</v>
      </c>
      <c r="D17" s="171">
        <f>('EF Bombatex 2011-2015'!B26+'EF Bombatex 2011-2015'!B30)/'EF Bombatex 2011-2015'!B57</f>
        <v>0.23806622936281469</v>
      </c>
      <c r="E17" s="171">
        <f>('EF Bombatex 2011-2015'!C26+'EF Bombatex 2011-2015'!C30)/'EF Bombatex 2011-2015'!C57</f>
        <v>0.21671867561576377</v>
      </c>
      <c r="F17" s="171">
        <f>('EF Bombatex 2011-2015'!D26+'EF Bombatex 2011-2015'!D30)/'EF Bombatex 2011-2015'!D57</f>
        <v>0.18848529274216791</v>
      </c>
      <c r="G17" s="171">
        <f>('EF Bombatex 2011-2015'!E26+'EF Bombatex 2011-2015'!E30)/'EF Bombatex 2011-2015'!E57</f>
        <v>0.14902084707261667</v>
      </c>
      <c r="H17" s="171">
        <f>('EF Bombatex 2011-2015'!F26+'EF Bombatex 2011-2015'!F30)/'EF Bombatex 2011-2015'!F57</f>
        <v>0.28787188172113359</v>
      </c>
    </row>
    <row r="19" spans="3:12" x14ac:dyDescent="0.25">
      <c r="C19" s="26" t="s">
        <v>343</v>
      </c>
      <c r="E19" s="64"/>
      <c r="F19" s="64"/>
      <c r="G19" s="64"/>
      <c r="I19" s="64"/>
    </row>
    <row r="20" spans="3:12" x14ac:dyDescent="0.25">
      <c r="C20" s="143" t="s">
        <v>418</v>
      </c>
      <c r="D20" s="69">
        <f>AVERAGE(D21,D26,D31)</f>
        <v>10860568.164081894</v>
      </c>
      <c r="E20" s="69">
        <f t="shared" ref="E20:H20" si="3">AVERAGE(E21,E26,E31)</f>
        <v>14620450.709538328</v>
      </c>
      <c r="F20" s="69">
        <f t="shared" si="3"/>
        <v>11778064.346679596</v>
      </c>
      <c r="G20" s="69">
        <f t="shared" si="3"/>
        <v>14731899.816407481</v>
      </c>
      <c r="H20" s="69">
        <f t="shared" si="3"/>
        <v>25282529.561321031</v>
      </c>
      <c r="I20" s="64"/>
      <c r="J20" s="637" t="s">
        <v>953</v>
      </c>
      <c r="K20" s="637"/>
      <c r="L20" s="413">
        <f>AVERAGE(D20:H20)</f>
        <v>15454702.519605666</v>
      </c>
    </row>
    <row r="21" spans="3:12" x14ac:dyDescent="0.25">
      <c r="C21" s="144" t="s">
        <v>332</v>
      </c>
      <c r="D21" s="69">
        <f>(D22-D23)-(D24-D25)</f>
        <v>14303283</v>
      </c>
      <c r="E21" s="69">
        <f t="shared" ref="E21:H21" si="4">(E22-E23)-(E24-E25)</f>
        <v>16536055</v>
      </c>
      <c r="F21" s="69">
        <f t="shared" si="4"/>
        <v>22212886</v>
      </c>
      <c r="G21" s="69">
        <f t="shared" si="4"/>
        <v>23214466</v>
      </c>
      <c r="H21" s="69">
        <f t="shared" si="4"/>
        <v>26070389</v>
      </c>
    </row>
    <row r="22" spans="3:12" outlineLevel="1" x14ac:dyDescent="0.25">
      <c r="C22" s="145" t="s">
        <v>339</v>
      </c>
      <c r="D22" s="67">
        <f>'EF Sempertex 2011-2014 I'!B25</f>
        <v>36336667</v>
      </c>
      <c r="E22" s="67">
        <f>'EF Sempertex 2011-2014 I'!C25</f>
        <v>35539323</v>
      </c>
      <c r="F22" s="67">
        <f>'EF Sempertex 2011-2014 I'!D25</f>
        <v>38989471</v>
      </c>
      <c r="G22" s="67">
        <f>'EF Sempertex 2011-2014 I'!E25</f>
        <v>50741781</v>
      </c>
      <c r="H22" s="67">
        <f>'EF Sempertex 2015 I'!B26</f>
        <v>58269458</v>
      </c>
    </row>
    <row r="23" spans="3:12" outlineLevel="1" x14ac:dyDescent="0.25">
      <c r="C23" s="145" t="s">
        <v>340</v>
      </c>
      <c r="D23" s="67">
        <f>'EF Sempertex 2011-2014 I'!B26</f>
        <v>4432784</v>
      </c>
      <c r="E23" s="67">
        <f>'EF Sempertex 2011-2014 I'!C26</f>
        <v>6663305</v>
      </c>
      <c r="F23" s="67">
        <f>'EF Sempertex 2011-2014 I'!D26</f>
        <v>3478684</v>
      </c>
      <c r="G23" s="67">
        <f>'EF Sempertex 2011-2014 I'!E26</f>
        <v>5081529</v>
      </c>
      <c r="H23" s="67">
        <f>'EF Sempertex 2015 I'!B27</f>
        <v>9879131</v>
      </c>
    </row>
    <row r="24" spans="3:12" outlineLevel="1" x14ac:dyDescent="0.25">
      <c r="C24" s="145" t="s">
        <v>341</v>
      </c>
      <c r="D24" s="67">
        <f>'EF Sempertex 2011-2014 I'!B58</f>
        <v>17628786</v>
      </c>
      <c r="E24" s="67">
        <f>'EF Sempertex 2011-2014 I'!C58</f>
        <v>12644946</v>
      </c>
      <c r="F24" s="67">
        <f>'EF Sempertex 2011-2014 I'!D58</f>
        <v>13512547</v>
      </c>
      <c r="G24" s="67">
        <f>'EF Sempertex 2011-2014 I'!E58</f>
        <v>27555780</v>
      </c>
      <c r="H24" s="67">
        <f>'EF Sempertex 2015 I'!B34</f>
        <v>35723189</v>
      </c>
    </row>
    <row r="25" spans="3:12" outlineLevel="1" x14ac:dyDescent="0.25">
      <c r="C25" s="145" t="s">
        <v>342</v>
      </c>
      <c r="D25" s="67">
        <f>'EF Sempertex 2011-2014 I'!B59</f>
        <v>28186</v>
      </c>
      <c r="E25" s="67">
        <f>'EF Sempertex 2011-2014 I'!C59</f>
        <v>304983</v>
      </c>
      <c r="F25" s="67">
        <f>'EF Sempertex 2011-2014 I'!D59</f>
        <v>214646</v>
      </c>
      <c r="G25" s="67">
        <f>'EF Sempertex 2011-2014 I'!E59</f>
        <v>5109994</v>
      </c>
      <c r="H25" s="67">
        <f>'EF Sempertex 2015 I'!B40</f>
        <v>13403251</v>
      </c>
    </row>
    <row r="26" spans="3:12" x14ac:dyDescent="0.25">
      <c r="C26" s="143" t="s">
        <v>333</v>
      </c>
      <c r="D26" s="69">
        <f>(D27-D28)-(D29-D30)</f>
        <v>1618498</v>
      </c>
      <c r="E26" s="69">
        <f t="shared" ref="E26" si="5">(E27-E28)-(E29-E30)</f>
        <v>1705751</v>
      </c>
      <c r="F26" s="69">
        <f t="shared" ref="F26" si="6">(F27-F28)-(F29-F30)</f>
        <v>2738645</v>
      </c>
      <c r="G26" s="69">
        <f t="shared" ref="G26" si="7">(G27-G28)-(G29-G30)</f>
        <v>4080046</v>
      </c>
      <c r="H26" s="69">
        <f t="shared" ref="H26" si="8">(H27-H28)-(H29-H30)</f>
        <v>3945845</v>
      </c>
    </row>
    <row r="27" spans="3:12" outlineLevel="1" x14ac:dyDescent="0.25">
      <c r="C27" s="146" t="s">
        <v>339</v>
      </c>
      <c r="D27" s="67">
        <f>'EF Latex de C 2011-2015'!B25</f>
        <v>3922297</v>
      </c>
      <c r="E27" s="67">
        <f>'EF Latex de C 2011-2015'!C25</f>
        <v>4324551</v>
      </c>
      <c r="F27" s="67">
        <f>'EF Latex de C 2011-2015'!D25</f>
        <v>5617873</v>
      </c>
      <c r="G27" s="67">
        <f>'EF Latex de C 2011-2015'!E25</f>
        <v>5802900</v>
      </c>
      <c r="H27" s="67">
        <f>'EF Latex de C 2011-2015'!F25</f>
        <v>6208084</v>
      </c>
    </row>
    <row r="28" spans="3:12" outlineLevel="1" x14ac:dyDescent="0.25">
      <c r="C28" s="146" t="s">
        <v>340</v>
      </c>
      <c r="D28" s="67">
        <f>'EF Latex de C 2011-2015'!B26</f>
        <v>46345</v>
      </c>
      <c r="E28" s="67">
        <f>'EF Latex de C 2011-2015'!C26</f>
        <v>29137</v>
      </c>
      <c r="F28" s="67">
        <f>'EF Latex de C 2011-2015'!D26</f>
        <v>48483</v>
      </c>
      <c r="G28" s="67">
        <f>'EF Latex de C 2011-2015'!E26</f>
        <v>11771</v>
      </c>
      <c r="H28" s="67">
        <f>'EF Latex de C 2011-2015'!F26</f>
        <v>235177</v>
      </c>
    </row>
    <row r="29" spans="3:12" outlineLevel="1" x14ac:dyDescent="0.25">
      <c r="C29" s="146" t="s">
        <v>341</v>
      </c>
      <c r="D29" s="67">
        <f>'EF Latex de C 2011-2015'!B59</f>
        <v>3814958</v>
      </c>
      <c r="E29" s="67">
        <f>'EF Latex de C 2011-2015'!C59</f>
        <v>4010271</v>
      </c>
      <c r="F29" s="67">
        <f>'EF Latex de C 2011-2015'!D59</f>
        <v>5074219</v>
      </c>
      <c r="G29" s="67">
        <f>'EF Latex de C 2011-2015'!E59</f>
        <v>2960758</v>
      </c>
      <c r="H29" s="67">
        <f>'EF Latex de C 2011-2015'!F59</f>
        <v>2862076</v>
      </c>
    </row>
    <row r="30" spans="3:12" outlineLevel="1" x14ac:dyDescent="0.25">
      <c r="C30" s="146" t="s">
        <v>342</v>
      </c>
      <c r="D30" s="67">
        <f>'EF Latex de C 2011-2015'!B60</f>
        <v>1557504</v>
      </c>
      <c r="E30" s="67">
        <f>'EF Latex de C 2011-2015'!C60</f>
        <v>1420608</v>
      </c>
      <c r="F30" s="67">
        <f>'EF Latex de C 2011-2015'!D60</f>
        <v>2243474</v>
      </c>
      <c r="G30" s="67">
        <f>'EF Latex de C 2011-2015'!E60</f>
        <v>1249675</v>
      </c>
      <c r="H30" s="67">
        <f>'EF Latex de C 2011-2015'!F60</f>
        <v>835014</v>
      </c>
    </row>
    <row r="31" spans="3:12" x14ac:dyDescent="0.25">
      <c r="C31" s="143" t="s">
        <v>334</v>
      </c>
      <c r="D31" s="69">
        <f>(D32-D33)-(D34-D35)</f>
        <v>16659923.492245682</v>
      </c>
      <c r="E31" s="69">
        <f t="shared" ref="E31" si="9">(E32-E33)-(E34-E35)</f>
        <v>25619546.128614984</v>
      </c>
      <c r="F31" s="69">
        <f t="shared" ref="F31" si="10">(F32-F33)-(F34-F35)</f>
        <v>10382662.040038787</v>
      </c>
      <c r="G31" s="69">
        <f t="shared" ref="G31" si="11">(G32-G33)-(G34-G35)</f>
        <v>16901187.449222445</v>
      </c>
      <c r="H31" s="69">
        <f t="shared" ref="H31" si="12">(H32-H33)-(H34-H35)</f>
        <v>45831354.68396309</v>
      </c>
    </row>
    <row r="32" spans="3:12" outlineLevel="1" x14ac:dyDescent="0.25">
      <c r="C32" s="146" t="s">
        <v>339</v>
      </c>
      <c r="D32" s="67">
        <f>'EF Bombatex 2011-2015'!B25</f>
        <v>56215738.584461696</v>
      </c>
      <c r="E32" s="67">
        <f>'EF Bombatex 2011-2015'!C25</f>
        <v>57274119.24929183</v>
      </c>
      <c r="F32" s="67">
        <f>'EF Bombatex 2011-2015'!D25</f>
        <v>63268682.520547561</v>
      </c>
      <c r="G32" s="67">
        <f>'EF Bombatex 2011-2015'!E25</f>
        <v>63980906.61984314</v>
      </c>
      <c r="H32" s="67">
        <f>'EF Bombatex 2011-2015'!F25</f>
        <v>85060673.726440474</v>
      </c>
    </row>
    <row r="33" spans="3:8" outlineLevel="1" x14ac:dyDescent="0.25">
      <c r="C33" s="146" t="s">
        <v>340</v>
      </c>
      <c r="D33" s="67">
        <f>'EF Bombatex 2011-2015'!B26</f>
        <v>2633804.7191950511</v>
      </c>
      <c r="E33" s="67">
        <f>'EF Bombatex 2011-2015'!C26</f>
        <v>1547576.8747463012</v>
      </c>
      <c r="F33" s="67">
        <f>'EF Bombatex 2011-2015'!D26</f>
        <v>4252150.0588405896</v>
      </c>
      <c r="G33" s="67">
        <f>'EF Bombatex 2011-2015'!E26</f>
        <v>1369974.7949527269</v>
      </c>
      <c r="H33" s="67">
        <f>'EF Bombatex 2011-2015'!F26</f>
        <v>5369434.0046740081</v>
      </c>
    </row>
    <row r="34" spans="3:8" outlineLevel="1" x14ac:dyDescent="0.25">
      <c r="C34" s="146" t="s">
        <v>341</v>
      </c>
      <c r="D34" s="67">
        <f>'EF Bombatex 2011-2015'!B57</f>
        <v>53446658.246231206</v>
      </c>
      <c r="E34" s="67">
        <f>'EF Bombatex 2011-2015'!C57</f>
        <v>58955547.294874981</v>
      </c>
      <c r="F34" s="67">
        <f>'EF Bombatex 2011-2015'!D57</f>
        <v>73971532.339731202</v>
      </c>
      <c r="G34" s="67">
        <f>'EF Bombatex 2011-2015'!E57</f>
        <v>92283956.621834785</v>
      </c>
      <c r="H34" s="67">
        <f>'EF Bombatex 2011-2015'!F57</f>
        <v>72976625.712761357</v>
      </c>
    </row>
    <row r="35" spans="3:8" outlineLevel="1" x14ac:dyDescent="0.25">
      <c r="C35" s="146" t="s">
        <v>342</v>
      </c>
      <c r="D35" s="67">
        <f>'EF Bombatex 2011-2015'!B58</f>
        <v>16524647.87321024</v>
      </c>
      <c r="E35" s="67">
        <f>'EF Bombatex 2011-2015'!C58</f>
        <v>28848551.048944436</v>
      </c>
      <c r="F35" s="67">
        <f>'EF Bombatex 2011-2015'!D58</f>
        <v>25337661.918063011</v>
      </c>
      <c r="G35" s="67">
        <f>'EF Bombatex 2011-2015'!E58</f>
        <v>46574212.246166818</v>
      </c>
      <c r="H35" s="67">
        <f>'EF Bombatex 2011-2015'!F58</f>
        <v>39116740.674957976</v>
      </c>
    </row>
    <row r="36" spans="3:8" outlineLevel="1" x14ac:dyDescent="0.25">
      <c r="C36" s="146"/>
      <c r="D36" s="67"/>
      <c r="E36" s="67"/>
      <c r="F36" s="67"/>
      <c r="G36" s="67"/>
      <c r="H36" s="67"/>
    </row>
    <row r="38" spans="3:8" x14ac:dyDescent="0.25">
      <c r="C38" s="26" t="s">
        <v>344</v>
      </c>
    </row>
    <row r="39" spans="3:8" x14ac:dyDescent="0.25">
      <c r="C39" s="143" t="s">
        <v>418</v>
      </c>
      <c r="D39" s="69">
        <f>AVERAGE(D40,D43,D46)</f>
        <v>20979601.38847404</v>
      </c>
      <c r="E39" s="69">
        <f t="shared" ref="E39:H39" si="13">AVERAGE(E40,E43,E46)</f>
        <v>27319143.167505648</v>
      </c>
      <c r="F39" s="69">
        <f t="shared" si="13"/>
        <v>28002616.240303013</v>
      </c>
      <c r="G39" s="69">
        <f t="shared" si="13"/>
        <v>38458189.126466967</v>
      </c>
      <c r="H39" s="69">
        <f t="shared" si="13"/>
        <v>50675475.892462082</v>
      </c>
    </row>
    <row r="40" spans="3:8" x14ac:dyDescent="0.25">
      <c r="C40" s="144" t="s">
        <v>332</v>
      </c>
      <c r="D40" s="69">
        <f>D41+D42</f>
        <v>20235032</v>
      </c>
      <c r="E40" s="69">
        <f t="shared" ref="E40:H40" si="14">E41+E42</f>
        <v>23054246</v>
      </c>
      <c r="F40" s="69">
        <f t="shared" si="14"/>
        <v>29143033</v>
      </c>
      <c r="G40" s="69">
        <f t="shared" si="14"/>
        <v>33981656</v>
      </c>
      <c r="H40" s="69">
        <f t="shared" si="14"/>
        <v>41006006</v>
      </c>
    </row>
    <row r="41" spans="3:8" outlineLevel="1" x14ac:dyDescent="0.25">
      <c r="C41" s="147" t="s">
        <v>338</v>
      </c>
      <c r="D41" s="67">
        <f>D21</f>
        <v>14303283</v>
      </c>
      <c r="E41" s="67">
        <f>E21</f>
        <v>16536055</v>
      </c>
      <c r="F41" s="67">
        <f>F21</f>
        <v>22212886</v>
      </c>
      <c r="G41" s="67">
        <f>G21</f>
        <v>23214466</v>
      </c>
      <c r="H41" s="67">
        <f>H21</f>
        <v>26070389</v>
      </c>
    </row>
    <row r="42" spans="3:8" outlineLevel="1" x14ac:dyDescent="0.25">
      <c r="C42" s="147" t="s">
        <v>345</v>
      </c>
      <c r="D42" s="67">
        <f>'EF Sempertex 2011-2014 I'!B49</f>
        <v>5931749</v>
      </c>
      <c r="E42" s="67">
        <f>'EF Sempertex 2011-2014 I'!C49</f>
        <v>6518191</v>
      </c>
      <c r="F42" s="67">
        <f>'EF Sempertex 2011-2014 I'!D49</f>
        <v>6930147</v>
      </c>
      <c r="G42" s="67">
        <f>'EF Sempertex 2011-2014 I'!E49</f>
        <v>10767190</v>
      </c>
      <c r="H42" s="67">
        <f>'EF Sempertex 2015 I'!B30</f>
        <v>14935617</v>
      </c>
    </row>
    <row r="43" spans="3:8" x14ac:dyDescent="0.25">
      <c r="C43" s="143" t="s">
        <v>333</v>
      </c>
      <c r="D43" s="69">
        <f>D44+D45</f>
        <v>4958509</v>
      </c>
      <c r="E43" s="69">
        <f t="shared" ref="E43" si="15">E44+E45</f>
        <v>4921011</v>
      </c>
      <c r="F43" s="69">
        <f t="shared" ref="F43" si="16">F44+F45</f>
        <v>5914483</v>
      </c>
      <c r="G43" s="69">
        <f t="shared" ref="G43" si="17">G44+G45</f>
        <v>7258538</v>
      </c>
      <c r="H43" s="69">
        <f t="shared" ref="H43" si="18">H44+H45</f>
        <v>7207764</v>
      </c>
    </row>
    <row r="44" spans="3:8" outlineLevel="1" x14ac:dyDescent="0.25">
      <c r="C44" s="147" t="s">
        <v>338</v>
      </c>
      <c r="D44" s="68">
        <f>D26</f>
        <v>1618498</v>
      </c>
      <c r="E44" s="68">
        <f>E26</f>
        <v>1705751</v>
      </c>
      <c r="F44" s="68">
        <f>F26</f>
        <v>2738645</v>
      </c>
      <c r="G44" s="68">
        <f>G26</f>
        <v>4080046</v>
      </c>
      <c r="H44" s="68">
        <f>H26</f>
        <v>3945845</v>
      </c>
    </row>
    <row r="45" spans="3:8" outlineLevel="1" x14ac:dyDescent="0.25">
      <c r="C45" s="147" t="s">
        <v>345</v>
      </c>
      <c r="D45" s="67">
        <f>'EF Latex de C 2011-2015'!B51</f>
        <v>3340011</v>
      </c>
      <c r="E45" s="67">
        <f>'EF Latex de C 2011-2015'!C51</f>
        <v>3215260</v>
      </c>
      <c r="F45" s="67">
        <f>'EF Latex de C 2011-2015'!D51</f>
        <v>3175838</v>
      </c>
      <c r="G45" s="67">
        <f>'EF Latex de C 2011-2015'!E51</f>
        <v>3178492</v>
      </c>
      <c r="H45" s="67">
        <f>'EF Latex de C 2011-2015'!F51</f>
        <v>3261919</v>
      </c>
    </row>
    <row r="46" spans="3:8" x14ac:dyDescent="0.25">
      <c r="C46" s="143" t="s">
        <v>334</v>
      </c>
      <c r="D46" s="69">
        <f>D47+D48</f>
        <v>37745263.165422119</v>
      </c>
      <c r="E46" s="69">
        <f t="shared" ref="E46" si="19">E47+E48</f>
        <v>53982172.50251694</v>
      </c>
      <c r="F46" s="69">
        <f t="shared" ref="F46" si="20">F47+F48</f>
        <v>48950332.720909044</v>
      </c>
      <c r="G46" s="69">
        <f t="shared" ref="G46" si="21">G47+G48</f>
        <v>74134373.379400909</v>
      </c>
      <c r="H46" s="69">
        <f t="shared" ref="H46" si="22">H47+H48</f>
        <v>103812657.67738625</v>
      </c>
    </row>
    <row r="47" spans="3:8" outlineLevel="1" x14ac:dyDescent="0.25">
      <c r="C47" s="147" t="s">
        <v>338</v>
      </c>
      <c r="D47" s="68">
        <f>D31</f>
        <v>16659923.492245682</v>
      </c>
      <c r="E47" s="68">
        <f>E31</f>
        <v>25619546.128614984</v>
      </c>
      <c r="F47" s="68">
        <f>F31</f>
        <v>10382662.040038787</v>
      </c>
      <c r="G47" s="68">
        <f>G31</f>
        <v>16901187.449222445</v>
      </c>
      <c r="H47" s="68">
        <f>H31</f>
        <v>45831354.68396309</v>
      </c>
    </row>
    <row r="48" spans="3:8" outlineLevel="1" x14ac:dyDescent="0.25">
      <c r="C48" s="147" t="s">
        <v>345</v>
      </c>
      <c r="D48" s="67">
        <f>'EF Bombatex 2011-2015'!B48</f>
        <v>21085339.673176438</v>
      </c>
      <c r="E48" s="67">
        <f>'EF Bombatex 2011-2015'!C48</f>
        <v>28362626.37390196</v>
      </c>
      <c r="F48" s="67">
        <f>'EF Bombatex 2011-2015'!D48</f>
        <v>38567670.680870257</v>
      </c>
      <c r="G48" s="67">
        <f>'EF Bombatex 2011-2015'!E48</f>
        <v>57233185.930178471</v>
      </c>
      <c r="H48" s="67">
        <f>'EF Bombatex 2011-2015'!F48</f>
        <v>57981302.993423164</v>
      </c>
    </row>
    <row r="51" spans="2:8" x14ac:dyDescent="0.25">
      <c r="B51" s="26" t="s">
        <v>416</v>
      </c>
    </row>
    <row r="53" spans="2:8" x14ac:dyDescent="0.25">
      <c r="C53" s="26" t="s">
        <v>388</v>
      </c>
    </row>
    <row r="54" spans="2:8" x14ac:dyDescent="0.25">
      <c r="C54" s="26" t="s">
        <v>419</v>
      </c>
      <c r="D54" s="151">
        <f>AVERAGE(D55,D59,D63)</f>
        <v>6.5484424857846335</v>
      </c>
      <c r="E54" s="151">
        <f t="shared" ref="E54:H54" si="23">AVERAGE(E55,E59,E63)</f>
        <v>6.6781093214405827</v>
      </c>
      <c r="F54" s="151">
        <f t="shared" si="23"/>
        <v>7.2817162039274272</v>
      </c>
      <c r="G54" s="151">
        <f t="shared" si="23"/>
        <v>7.3227962657676668</v>
      </c>
      <c r="H54" s="151">
        <f t="shared" si="23"/>
        <v>9.7260237233129185</v>
      </c>
    </row>
    <row r="55" spans="2:8" x14ac:dyDescent="0.25">
      <c r="C55" s="135" t="s">
        <v>420</v>
      </c>
      <c r="D55" s="150">
        <f>D57/D58</f>
        <v>4.4051784839927226</v>
      </c>
      <c r="E55" s="150">
        <f t="shared" ref="E55:H55" si="24">E57/E58</f>
        <v>5.3080409720636004</v>
      </c>
      <c r="F55" s="150">
        <f t="shared" si="24"/>
        <v>4.6065788137615264</v>
      </c>
      <c r="G55" s="150">
        <f t="shared" si="24"/>
        <v>5.22159678522193</v>
      </c>
      <c r="H55" s="150">
        <f t="shared" si="24"/>
        <v>5.1020524081310112</v>
      </c>
    </row>
    <row r="56" spans="2:8" outlineLevel="1" x14ac:dyDescent="0.25">
      <c r="C56" s="148" t="s">
        <v>421</v>
      </c>
      <c r="D56" s="64">
        <f>360/D55</f>
        <v>81.72200089239216</v>
      </c>
      <c r="E56" s="64">
        <f t="shared" ref="E56:H56" si="25">360/E55</f>
        <v>67.821631727164913</v>
      </c>
      <c r="F56" s="64">
        <f t="shared" si="25"/>
        <v>78.149102523666599</v>
      </c>
      <c r="G56" s="64">
        <f t="shared" si="25"/>
        <v>68.944427309834722</v>
      </c>
      <c r="H56" s="64">
        <f t="shared" si="25"/>
        <v>70.5598396884903</v>
      </c>
    </row>
    <row r="57" spans="2:8" outlineLevel="1" x14ac:dyDescent="0.25">
      <c r="C57" s="85" t="s">
        <v>346</v>
      </c>
      <c r="D57" s="67">
        <f>'EF Sempertex 2011-2014 I'!B96</f>
        <v>60953023</v>
      </c>
      <c r="E57" s="67">
        <f>'EF Sempertex 2011-2014 I'!C96</f>
        <v>63696911</v>
      </c>
      <c r="F57" s="67">
        <f>'EF Sempertex 2011-2014 I'!D96</f>
        <v>66144474</v>
      </c>
      <c r="G57" s="67">
        <f>'EF Sempertex 2011-2014 I'!E96</f>
        <v>82963988</v>
      </c>
      <c r="H57" s="67">
        <f>'EF Sempertex 2015 I'!B57</f>
        <v>96562000</v>
      </c>
    </row>
    <row r="58" spans="2:8" outlineLevel="1" x14ac:dyDescent="0.25">
      <c r="C58" s="85" t="s">
        <v>417</v>
      </c>
      <c r="D58" s="67">
        <f>'EF Sempertex 2011-2014 I'!B32</f>
        <v>13836675</v>
      </c>
      <c r="E58" s="67">
        <f>'EF Sempertex 2011-2014 I'!C32</f>
        <v>12000079</v>
      </c>
      <c r="F58" s="67">
        <f>'EF Sempertex 2011-2014 I'!D32</f>
        <v>14358698</v>
      </c>
      <c r="G58" s="67">
        <f>'EF Sempertex 2011-2014 I'!E32</f>
        <v>15888624</v>
      </c>
      <c r="H58" s="67">
        <f>'EF Sempertex 2015 I'!B28</f>
        <v>18926109</v>
      </c>
    </row>
    <row r="59" spans="2:8" x14ac:dyDescent="0.25">
      <c r="C59" s="135" t="s">
        <v>422</v>
      </c>
      <c r="D59" s="150">
        <f>D61/D62</f>
        <v>3.0340822131625371</v>
      </c>
      <c r="E59" s="150">
        <f t="shared" ref="E59:H59" si="26">E61/E62</f>
        <v>3.7589324949036476</v>
      </c>
      <c r="F59" s="150">
        <f t="shared" si="26"/>
        <v>3.2427126381768479</v>
      </c>
      <c r="G59" s="150">
        <f t="shared" si="26"/>
        <v>2.995071310104894</v>
      </c>
      <c r="H59" s="150">
        <f t="shared" si="26"/>
        <v>3.6409051771736083</v>
      </c>
    </row>
    <row r="60" spans="2:8" outlineLevel="1" x14ac:dyDescent="0.25">
      <c r="C60" s="148" t="s">
        <v>423</v>
      </c>
      <c r="D60" s="64">
        <f>360/D59</f>
        <v>118.65202545871641</v>
      </c>
      <c r="E60" s="64">
        <f t="shared" ref="E60:H60" si="27">360/E59</f>
        <v>95.771871532166969</v>
      </c>
      <c r="F60" s="64">
        <f t="shared" si="27"/>
        <v>111.01816292991136</v>
      </c>
      <c r="G60" s="64">
        <f t="shared" si="27"/>
        <v>120.19747202192391</v>
      </c>
      <c r="H60" s="64">
        <f t="shared" si="27"/>
        <v>98.876510780064791</v>
      </c>
    </row>
    <row r="61" spans="2:8" outlineLevel="1" x14ac:dyDescent="0.25">
      <c r="C61" s="85" t="s">
        <v>346</v>
      </c>
      <c r="D61" s="67">
        <f>'EF Latex de C 2011-2015'!B95</f>
        <v>6391367</v>
      </c>
      <c r="E61" s="67">
        <f>'EF Latex de C 2011-2015'!C95</f>
        <v>8057986</v>
      </c>
      <c r="F61" s="67">
        <f>'EF Latex de C 2011-2015'!D95</f>
        <v>8455464</v>
      </c>
      <c r="G61" s="67">
        <f>'EF Latex de C 2011-2015'!E95</f>
        <v>8875789</v>
      </c>
      <c r="H61" s="67">
        <f>'EF Latex de C 2011-2015'!F95</f>
        <v>9264833</v>
      </c>
    </row>
    <row r="62" spans="2:8" outlineLevel="1" x14ac:dyDescent="0.25">
      <c r="C62" s="85" t="s">
        <v>417</v>
      </c>
      <c r="D62" s="67">
        <f>'EF Latex de C 2011-2015'!B31</f>
        <v>2106524</v>
      </c>
      <c r="E62" s="67">
        <f>'EF Latex de C 2011-2015'!C31</f>
        <v>2143690</v>
      </c>
      <c r="F62" s="67">
        <f>'EF Latex de C 2011-2015'!D31</f>
        <v>2607528</v>
      </c>
      <c r="G62" s="67">
        <f>'EF Latex de C 2011-2015'!E31</f>
        <v>2963465</v>
      </c>
      <c r="H62" s="67">
        <f>'EF Latex de C 2011-2015'!F31</f>
        <v>2544651</v>
      </c>
    </row>
    <row r="63" spans="2:8" x14ac:dyDescent="0.25">
      <c r="C63" s="135" t="s">
        <v>424</v>
      </c>
      <c r="D63" s="150">
        <f>D65/D66</f>
        <v>12.20606676019864</v>
      </c>
      <c r="E63" s="150">
        <f t="shared" ref="E63:H63" si="28">E65/E66</f>
        <v>10.967354497354497</v>
      </c>
      <c r="F63" s="150">
        <f t="shared" si="28"/>
        <v>13.995857159843908</v>
      </c>
      <c r="G63" s="150">
        <f t="shared" si="28"/>
        <v>13.751720701976174</v>
      </c>
      <c r="H63" s="150">
        <f t="shared" si="28"/>
        <v>20.435113584634138</v>
      </c>
    </row>
    <row r="64" spans="2:8" outlineLevel="1" x14ac:dyDescent="0.25">
      <c r="C64" s="148" t="s">
        <v>425</v>
      </c>
      <c r="D64" s="64">
        <f>360/D63</f>
        <v>29.493530313457125</v>
      </c>
      <c r="E64" s="64">
        <f t="shared" ref="E64" si="29">360/E63</f>
        <v>32.824688951819496</v>
      </c>
      <c r="F64" s="64">
        <f t="shared" ref="F64" si="30">360/F63</f>
        <v>25.721897264919999</v>
      </c>
      <c r="G64" s="64">
        <f t="shared" ref="G64" si="31">360/G63</f>
        <v>26.178542147694046</v>
      </c>
      <c r="H64" s="64">
        <f t="shared" ref="H64" si="32">360/H63</f>
        <v>17.616735943699197</v>
      </c>
    </row>
    <row r="65" spans="3:8" outlineLevel="1" x14ac:dyDescent="0.25">
      <c r="C65" s="85" t="s">
        <v>346</v>
      </c>
      <c r="D65" s="67">
        <f>'EF Bombatex 2011-2015'!B94</f>
        <v>63598450.105159864</v>
      </c>
      <c r="E65" s="67">
        <f>'EF Bombatex 2011-2015'!C94</f>
        <v>74627138.53645201</v>
      </c>
      <c r="F65" s="67">
        <f>'EF Bombatex 2011-2015'!D94</f>
        <v>81067867.159404919</v>
      </c>
      <c r="G65" s="67">
        <f>'EF Bombatex 2011-2015'!E94</f>
        <v>98078251.86833474</v>
      </c>
      <c r="H65" s="67">
        <f>'EF Bombatex 2011-2015'!F94</f>
        <v>108916346.00000001</v>
      </c>
    </row>
    <row r="66" spans="3:8" outlineLevel="1" x14ac:dyDescent="0.25">
      <c r="C66" s="85" t="s">
        <v>417</v>
      </c>
      <c r="D66" s="67">
        <f>'EF Bombatex 2011-2015'!B31</f>
        <v>5210396.7112928415</v>
      </c>
      <c r="E66" s="67">
        <f>'EF Bombatex 2011-2015'!C31</f>
        <v>6804479.4717316087</v>
      </c>
      <c r="F66" s="67">
        <f>'EF Bombatex 2011-2015'!D31</f>
        <v>5792275.9737788755</v>
      </c>
      <c r="G66" s="67">
        <f>'EF Bombatex 2011-2015'!E31</f>
        <v>7132071.2508537592</v>
      </c>
      <c r="H66" s="67">
        <f>'EF Bombatex 2011-2015'!F31</f>
        <v>5329862.5206516078</v>
      </c>
    </row>
    <row r="68" spans="3:8" x14ac:dyDescent="0.25">
      <c r="C68" s="26" t="s">
        <v>408</v>
      </c>
      <c r="D68" s="152"/>
      <c r="E68" s="152"/>
      <c r="F68" s="152"/>
      <c r="G68" s="152"/>
      <c r="H68" s="152"/>
    </row>
    <row r="69" spans="3:8" x14ac:dyDescent="0.25">
      <c r="C69" s="26" t="s">
        <v>426</v>
      </c>
      <c r="D69" s="150">
        <f>AVERAGE(D70,D74,D78)</f>
        <v>2.2269829754983683</v>
      </c>
      <c r="E69" s="150">
        <f t="shared" ref="E69:H69" si="33">AVERAGE(E70,E74,E78)</f>
        <v>2.4273636463737356</v>
      </c>
      <c r="F69" s="150">
        <f t="shared" si="33"/>
        <v>1.7875908034826111</v>
      </c>
      <c r="G69" s="150">
        <f t="shared" si="33"/>
        <v>1.801005035145969</v>
      </c>
      <c r="H69" s="150">
        <f t="shared" si="33"/>
        <v>1.6372693670757086</v>
      </c>
    </row>
    <row r="70" spans="3:8" x14ac:dyDescent="0.25">
      <c r="C70" s="26" t="s">
        <v>428</v>
      </c>
      <c r="D70" s="150">
        <f>D72/D73</f>
        <v>3.2796779589998382</v>
      </c>
      <c r="E70" s="150">
        <f t="shared" ref="E70:H70" si="34">E72/E73</f>
        <v>3.6076019914242763</v>
      </c>
      <c r="F70" s="150">
        <f t="shared" si="34"/>
        <v>2.6438527978144624</v>
      </c>
      <c r="G70" s="150">
        <f t="shared" si="34"/>
        <v>2.0470550694513392</v>
      </c>
      <c r="H70" s="150">
        <f t="shared" si="34"/>
        <v>1.720009809864969</v>
      </c>
    </row>
    <row r="71" spans="3:8" outlineLevel="1" x14ac:dyDescent="0.25">
      <c r="C71" t="s">
        <v>427</v>
      </c>
      <c r="D71" s="149">
        <f>360/D70</f>
        <v>109.76687482748601</v>
      </c>
      <c r="E71" s="149">
        <f t="shared" ref="E71:H71" si="35">360/E70</f>
        <v>99.789278544519405</v>
      </c>
      <c r="F71" s="149">
        <f t="shared" si="35"/>
        <v>136.16491821995294</v>
      </c>
      <c r="G71" s="149">
        <f t="shared" si="35"/>
        <v>175.86239147757212</v>
      </c>
      <c r="H71" s="149">
        <f t="shared" si="35"/>
        <v>209.30113185125504</v>
      </c>
    </row>
    <row r="72" spans="3:8" outlineLevel="1" x14ac:dyDescent="0.25">
      <c r="C72" s="65" t="s">
        <v>374</v>
      </c>
      <c r="D72" s="67">
        <f>'EF Sempertex 2011-2014 I'!B97</f>
        <v>41797331</v>
      </c>
      <c r="E72" s="67">
        <f>'EF Sempertex 2011-2014 I'!C97</f>
        <v>42411723</v>
      </c>
      <c r="F72" s="67">
        <f>'EF Sempertex 2011-2014 I'!D97</f>
        <v>40940243</v>
      </c>
      <c r="G72" s="67">
        <f>'EF Sempertex 2011-2014 I'!E97</f>
        <v>44412133</v>
      </c>
      <c r="H72" s="67">
        <f>'EF Sempertex 2015 I'!B58</f>
        <v>50678744</v>
      </c>
    </row>
    <row r="73" spans="3:8" outlineLevel="1" x14ac:dyDescent="0.25">
      <c r="C73" s="65" t="s">
        <v>390</v>
      </c>
      <c r="D73" s="67">
        <f>'EF Sempertex 2011-2014 I'!B38</f>
        <v>12744340</v>
      </c>
      <c r="E73" s="67">
        <f>'EF Sempertex 2011-2014 I'!C38</f>
        <v>11756209</v>
      </c>
      <c r="F73" s="67">
        <f>'EF Sempertex 2011-2014 I'!D38</f>
        <v>15485069</v>
      </c>
      <c r="G73" s="67">
        <f>'EF Sempertex 2011-2014 I'!E38</f>
        <v>21695622</v>
      </c>
      <c r="H73" s="67">
        <f>'EF Sempertex 2015 I'!B29</f>
        <v>29464218</v>
      </c>
    </row>
    <row r="74" spans="3:8" x14ac:dyDescent="0.25">
      <c r="C74" s="26" t="s">
        <v>429</v>
      </c>
      <c r="D74" s="150">
        <f>D76/D77</f>
        <v>2.6900696238494826</v>
      </c>
      <c r="E74" s="150">
        <f t="shared" ref="E74:H74" si="36">E76/E77</f>
        <v>2.7907456120843208</v>
      </c>
      <c r="F74" s="150">
        <f t="shared" si="36"/>
        <v>1.9282094954388058</v>
      </c>
      <c r="G74" s="150">
        <f t="shared" si="36"/>
        <v>2.1748144588474996</v>
      </c>
      <c r="H74" s="150">
        <f t="shared" si="36"/>
        <v>2.1421791713830562</v>
      </c>
    </row>
    <row r="75" spans="3:8" outlineLevel="1" x14ac:dyDescent="0.25">
      <c r="C75" t="s">
        <v>430</v>
      </c>
      <c r="D75" s="149">
        <f>360/D74</f>
        <v>133.82553254693866</v>
      </c>
      <c r="E75" s="149">
        <f t="shared" ref="E75" si="37">360/E74</f>
        <v>128.99778411946593</v>
      </c>
      <c r="F75" s="149">
        <f t="shared" ref="F75" si="38">360/F74</f>
        <v>186.70170479482792</v>
      </c>
      <c r="G75" s="149">
        <f t="shared" ref="G75" si="39">360/G74</f>
        <v>165.53136224355202</v>
      </c>
      <c r="H75" s="149">
        <f t="shared" ref="H75" si="40">360/H74</f>
        <v>168.05316978578082</v>
      </c>
    </row>
    <row r="76" spans="3:8" outlineLevel="1" x14ac:dyDescent="0.25">
      <c r="C76" s="65" t="s">
        <v>374</v>
      </c>
      <c r="D76" s="67">
        <f>'EF Latex de C 2011-2015'!B96</f>
        <v>4322342</v>
      </c>
      <c r="E76" s="67">
        <f>'EF Latex de C 2011-2015'!C96</f>
        <v>5270591</v>
      </c>
      <c r="F76" s="67">
        <f>'EF Latex de C 2011-2015'!D96</f>
        <v>5069525</v>
      </c>
      <c r="G76" s="67">
        <f>'EF Latex de C 2011-2015'!E96</f>
        <v>5322132</v>
      </c>
      <c r="H76" s="67">
        <f>'EF Latex de C 2011-2015'!F96</f>
        <v>6178998</v>
      </c>
    </row>
    <row r="77" spans="3:8" outlineLevel="1" x14ac:dyDescent="0.25">
      <c r="C77" s="65" t="s">
        <v>390</v>
      </c>
      <c r="D77" s="67">
        <f>'EF Latex de C 2011-2015'!B40</f>
        <v>1606777</v>
      </c>
      <c r="E77" s="67">
        <f>'EF Latex de C 2011-2015'!C40</f>
        <v>1888596</v>
      </c>
      <c r="F77" s="67">
        <f>'EF Latex de C 2011-2015'!D40</f>
        <v>2629136</v>
      </c>
      <c r="G77" s="67">
        <f>'EF Latex de C 2011-2015'!E40</f>
        <v>2447166</v>
      </c>
      <c r="H77" s="67">
        <f>'EF Latex de C 2011-2015'!F40</f>
        <v>2884445</v>
      </c>
    </row>
    <row r="78" spans="3:8" x14ac:dyDescent="0.25">
      <c r="C78" s="26" t="s">
        <v>431</v>
      </c>
      <c r="D78" s="150">
        <f>D80/D81</f>
        <v>0.71120134364578347</v>
      </c>
      <c r="E78" s="150">
        <f t="shared" ref="E78:H78" si="41">E80/E81</f>
        <v>0.88374333561260998</v>
      </c>
      <c r="F78" s="150">
        <f t="shared" si="41"/>
        <v>0.79071011719456585</v>
      </c>
      <c r="G78" s="150">
        <f t="shared" si="41"/>
        <v>1.1811455771390678</v>
      </c>
      <c r="H78" s="150">
        <f t="shared" si="41"/>
        <v>1.0496191199791005</v>
      </c>
    </row>
    <row r="79" spans="3:8" outlineLevel="1" x14ac:dyDescent="0.25">
      <c r="C79" t="s">
        <v>432</v>
      </c>
      <c r="D79" s="149">
        <f>360/D78</f>
        <v>506.18577033974134</v>
      </c>
      <c r="E79" s="149">
        <f t="shared" ref="E79" si="42">360/E78</f>
        <v>407.35809311698898</v>
      </c>
      <c r="F79" s="149">
        <f t="shared" ref="F79" si="43">360/F78</f>
        <v>455.28695304579833</v>
      </c>
      <c r="G79" s="149">
        <f t="shared" ref="G79" si="44">360/G78</f>
        <v>304.78884818921324</v>
      </c>
      <c r="H79" s="149">
        <f t="shared" ref="H79" si="45">360/H78</f>
        <v>342.98155697389365</v>
      </c>
    </row>
    <row r="80" spans="3:8" outlineLevel="1" x14ac:dyDescent="0.25">
      <c r="C80" s="65" t="s">
        <v>374</v>
      </c>
      <c r="D80" s="67">
        <f>'EF Bombatex 2011-2015'!B95</f>
        <v>30841541.918096356</v>
      </c>
      <c r="E80" s="67">
        <f>'EF Bombatex 2011-2015'!C95</f>
        <v>38782449.293319374</v>
      </c>
      <c r="F80" s="67">
        <f>'EF Bombatex 2011-2015'!D95</f>
        <v>39002675.246132329</v>
      </c>
      <c r="G80" s="67">
        <f>'EF Bombatex 2011-2015'!E95</f>
        <v>59327375.234537996</v>
      </c>
      <c r="H80" s="67">
        <f>'EF Bombatex 2011-2015'!F95</f>
        <v>67230996.504167125</v>
      </c>
    </row>
    <row r="81" spans="3:8" outlineLevel="1" x14ac:dyDescent="0.25">
      <c r="C81" s="65" t="s">
        <v>390</v>
      </c>
      <c r="D81" s="67">
        <f>'EF Bombatex 2011-2015'!B39</f>
        <v>43365415.706325077</v>
      </c>
      <c r="E81" s="67">
        <f>'EF Bombatex 2011-2015'!C39</f>
        <v>43884290.529258043</v>
      </c>
      <c r="F81" s="67">
        <f>'EF Bombatex 2011-2015'!D39</f>
        <v>49326136.592906587</v>
      </c>
      <c r="G81" s="67">
        <f>'EF Bombatex 2011-2015'!E39</f>
        <v>50228673.232844703</v>
      </c>
      <c r="H81" s="67">
        <f>'EF Bombatex 2011-2015'!F39</f>
        <v>64052755.160849005</v>
      </c>
    </row>
    <row r="83" spans="3:8" x14ac:dyDescent="0.25">
      <c r="C83" s="26" t="s">
        <v>433</v>
      </c>
    </row>
    <row r="84" spans="3:8" x14ac:dyDescent="0.25">
      <c r="C84" s="26" t="s">
        <v>434</v>
      </c>
      <c r="D84" s="150">
        <f>AVERAGE(D85,D89,D93)</f>
        <v>7.0943567761443163</v>
      </c>
      <c r="E84" s="150">
        <f t="shared" ref="E84" si="46">AVERAGE(E85,E89,E93)</f>
        <v>7.2977947019085923</v>
      </c>
      <c r="F84" s="150">
        <f t="shared" ref="F84" si="47">AVERAGE(F85,F89,F93)</f>
        <v>15.382728599657876</v>
      </c>
      <c r="G84" s="150">
        <f t="shared" ref="G84" si="48">AVERAGE(G85,G89,G93)</f>
        <v>6.7099742207409321</v>
      </c>
      <c r="H84" s="150">
        <f t="shared" ref="H84" si="49">AVERAGE(H85,H89,H93)</f>
        <v>6.8877909987097938</v>
      </c>
    </row>
    <row r="85" spans="3:8" x14ac:dyDescent="0.25">
      <c r="C85" s="26" t="s">
        <v>435</v>
      </c>
      <c r="D85" s="150">
        <f>D87/D88</f>
        <v>5.5434284943009322</v>
      </c>
      <c r="E85" s="150">
        <f t="shared" ref="E85:H85" si="50">E87/E88</f>
        <v>8.1744693321177291</v>
      </c>
      <c r="F85" s="150">
        <f t="shared" si="50"/>
        <v>7.1700591770494428</v>
      </c>
      <c r="G85" s="150">
        <f t="shared" si="50"/>
        <v>3.6897117097378658</v>
      </c>
      <c r="H85" s="150">
        <f t="shared" si="50"/>
        <v>3.2670404174489476</v>
      </c>
    </row>
    <row r="86" spans="3:8" outlineLevel="1" x14ac:dyDescent="0.25">
      <c r="C86" t="s">
        <v>436</v>
      </c>
      <c r="D86" s="64">
        <f>360/D85</f>
        <v>64.94175948514669</v>
      </c>
      <c r="E86" s="64">
        <f t="shared" ref="E86:H86" si="51">360/E85</f>
        <v>44.039556009531957</v>
      </c>
      <c r="F86" s="64">
        <f t="shared" si="51"/>
        <v>50.208790626487399</v>
      </c>
      <c r="G86" s="64">
        <f t="shared" si="51"/>
        <v>97.568598394798727</v>
      </c>
      <c r="H86" s="64">
        <f t="shared" si="51"/>
        <v>110.19147423988842</v>
      </c>
    </row>
    <row r="87" spans="3:8" outlineLevel="1" x14ac:dyDescent="0.25">
      <c r="C87" s="119" t="s">
        <v>375</v>
      </c>
      <c r="D87" s="68">
        <f>D73+D72</f>
        <v>54541671</v>
      </c>
      <c r="E87" s="68">
        <f>E73-D73+E72</f>
        <v>41423592</v>
      </c>
      <c r="F87" s="68">
        <f t="shared" ref="F87:H87" si="52">F73-E73+F72</f>
        <v>44669103</v>
      </c>
      <c r="G87" s="68">
        <f t="shared" si="52"/>
        <v>50622686</v>
      </c>
      <c r="H87" s="68">
        <f t="shared" si="52"/>
        <v>58447340</v>
      </c>
    </row>
    <row r="88" spans="3:8" outlineLevel="1" x14ac:dyDescent="0.25">
      <c r="C88" s="119" t="s">
        <v>391</v>
      </c>
      <c r="D88" s="67">
        <f>'EF Sempertex 2011-2014 I'!B60</f>
        <v>9838978</v>
      </c>
      <c r="E88" s="67">
        <f>'EF Sempertex 2011-2014 I'!C60</f>
        <v>5067435</v>
      </c>
      <c r="F88" s="67">
        <f>'EF Sempertex 2011-2014 I'!D60</f>
        <v>6229949</v>
      </c>
      <c r="G88" s="67">
        <f>'EF Sempertex 2011-2014 I'!E60</f>
        <v>13719957</v>
      </c>
      <c r="H88" s="67">
        <f>'EF Sempertex 2015 I'!B38</f>
        <v>17889996</v>
      </c>
    </row>
    <row r="89" spans="3:8" x14ac:dyDescent="0.25">
      <c r="C89" s="26" t="s">
        <v>437</v>
      </c>
      <c r="D89" s="150">
        <f>D91/D92</f>
        <v>10.562908527297507</v>
      </c>
      <c r="E89" s="150">
        <f t="shared" ref="E89:H89" si="53">E91/E92</f>
        <v>5.592987121566968</v>
      </c>
      <c r="F89" s="150">
        <f t="shared" si="53"/>
        <v>5.0633521979582978</v>
      </c>
      <c r="G89" s="150">
        <f t="shared" si="53"/>
        <v>9.9352143928499643</v>
      </c>
      <c r="H89" s="150">
        <f t="shared" si="53"/>
        <v>10.314612119161833</v>
      </c>
    </row>
    <row r="90" spans="3:8" outlineLevel="1" x14ac:dyDescent="0.25">
      <c r="C90" t="s">
        <v>438</v>
      </c>
      <c r="D90" s="64">
        <f>360/D89</f>
        <v>34.081522060866043</v>
      </c>
      <c r="E90" s="64">
        <f t="shared" ref="E90" si="54">360/E89</f>
        <v>64.36632021050319</v>
      </c>
      <c r="F90" s="64">
        <f t="shared" ref="F90" si="55">360/F89</f>
        <v>71.099142608559461</v>
      </c>
      <c r="G90" s="64">
        <f t="shared" ref="G90" si="56">360/G89</f>
        <v>36.234749021528891</v>
      </c>
      <c r="H90" s="64">
        <f t="shared" ref="H90" si="57">360/H89</f>
        <v>34.901942587953918</v>
      </c>
    </row>
    <row r="91" spans="3:8" outlineLevel="1" x14ac:dyDescent="0.25">
      <c r="C91" s="119" t="s">
        <v>375</v>
      </c>
      <c r="D91" s="67">
        <f>D77+D76</f>
        <v>5929119</v>
      </c>
      <c r="E91" s="67">
        <f>E77-D77+E76</f>
        <v>5552410</v>
      </c>
      <c r="F91" s="67">
        <f t="shared" ref="F91:H91" si="58">F77-E77+F76</f>
        <v>5810065</v>
      </c>
      <c r="G91" s="67">
        <f t="shared" si="58"/>
        <v>5140162</v>
      </c>
      <c r="H91" s="67">
        <f t="shared" si="58"/>
        <v>6616277</v>
      </c>
    </row>
    <row r="92" spans="3:8" outlineLevel="1" x14ac:dyDescent="0.25">
      <c r="C92" s="119" t="s">
        <v>391</v>
      </c>
      <c r="D92" s="67">
        <f>'EF Latex de C 2011-2015'!B61</f>
        <v>561315</v>
      </c>
      <c r="E92" s="67">
        <f>'EF Latex de C 2011-2015'!C61</f>
        <v>992745</v>
      </c>
      <c r="F92" s="67">
        <f>'EF Latex de C 2011-2015'!D61</f>
        <v>1147474</v>
      </c>
      <c r="G92" s="67">
        <f>'EF Latex de C 2011-2015'!E61</f>
        <v>517368</v>
      </c>
      <c r="H92" s="67">
        <f>'EF Latex de C 2011-2015'!F61</f>
        <v>641447</v>
      </c>
    </row>
    <row r="93" spans="3:8" x14ac:dyDescent="0.25">
      <c r="C93" s="26" t="s">
        <v>439</v>
      </c>
      <c r="D93" s="150">
        <f>D95/D96</f>
        <v>5.176733306834512</v>
      </c>
      <c r="E93" s="150">
        <f t="shared" ref="E93:H93" si="59">E95/E96</f>
        <v>8.1259276520410779</v>
      </c>
      <c r="F93" s="150">
        <f t="shared" si="59"/>
        <v>33.914774423965888</v>
      </c>
      <c r="G93" s="150">
        <f t="shared" si="59"/>
        <v>6.5049965596349653</v>
      </c>
      <c r="H93" s="150">
        <f t="shared" si="59"/>
        <v>7.0817204595186007</v>
      </c>
    </row>
    <row r="94" spans="3:8" outlineLevel="1" x14ac:dyDescent="0.25">
      <c r="C94" t="s">
        <v>440</v>
      </c>
      <c r="D94" s="64">
        <f>360/D93</f>
        <v>69.541925121913252</v>
      </c>
      <c r="E94" s="64">
        <f t="shared" ref="E94" si="60">360/E93</f>
        <v>44.302634162583871</v>
      </c>
      <c r="F94" s="64">
        <f t="shared" ref="F94" si="61">360/F93</f>
        <v>10.614842826305395</v>
      </c>
      <c r="G94" s="64">
        <f t="shared" ref="G94" si="62">360/G93</f>
        <v>55.342073850412888</v>
      </c>
      <c r="H94" s="64">
        <f t="shared" ref="H94" si="63">360/H93</f>
        <v>50.835104556565902</v>
      </c>
    </row>
    <row r="95" spans="3:8" outlineLevel="1" x14ac:dyDescent="0.25">
      <c r="C95" s="119" t="s">
        <v>375</v>
      </c>
      <c r="D95" s="67">
        <f>D81+D80</f>
        <v>74206957.624421433</v>
      </c>
      <c r="E95" s="67">
        <f>E81-D81+E80</f>
        <v>39301324.11625234</v>
      </c>
      <c r="F95" s="67">
        <f t="shared" ref="F95:H95" si="64">F81-E81+F80</f>
        <v>44444521.309780873</v>
      </c>
      <c r="G95" s="67">
        <f t="shared" si="64"/>
        <v>60229911.874476112</v>
      </c>
      <c r="H95" s="67">
        <f t="shared" si="64"/>
        <v>81055078.432171434</v>
      </c>
    </row>
    <row r="96" spans="3:8" outlineLevel="1" x14ac:dyDescent="0.25">
      <c r="C96" s="119" t="s">
        <v>391</v>
      </c>
      <c r="D96" s="67">
        <f>'EF Bombatex 2011-2015'!B59</f>
        <v>14334707.474006958</v>
      </c>
      <c r="E96" s="67">
        <f>'EF Bombatex 2011-2015'!C59</f>
        <v>4836533.8456318397</v>
      </c>
      <c r="F96" s="67">
        <f>'EF Bombatex 2011-2015'!D59</f>
        <v>1310476.6894269576</v>
      </c>
      <c r="G96" s="67">
        <f>'EF Bombatex 2011-2015'!E59</f>
        <v>9259022.8637808803</v>
      </c>
      <c r="H96" s="67">
        <f>'EF Bombatex 2011-2015'!F59</f>
        <v>11445676.074833568</v>
      </c>
    </row>
    <row r="98" spans="3:8" x14ac:dyDescent="0.25">
      <c r="C98" s="26" t="s">
        <v>441</v>
      </c>
    </row>
    <row r="99" spans="3:8" x14ac:dyDescent="0.25">
      <c r="C99" t="s">
        <v>442</v>
      </c>
      <c r="D99" s="142">
        <f>AVERAGE(D100,D101,D102)</f>
        <v>4.0092906343413484</v>
      </c>
      <c r="E99" s="142">
        <f t="shared" ref="E99:H99" si="65">AVERAGE(E100,E101,E102)</f>
        <v>3.8296369654999993</v>
      </c>
      <c r="F99" s="142">
        <f t="shared" si="65"/>
        <v>4.6244063363743679</v>
      </c>
      <c r="G99" s="142">
        <f t="shared" si="65"/>
        <v>3.8507528812657585</v>
      </c>
      <c r="H99" s="142">
        <f t="shared" si="65"/>
        <v>2.8094506880995969</v>
      </c>
    </row>
    <row r="100" spans="3:8" x14ac:dyDescent="0.25">
      <c r="C100" t="s">
        <v>443</v>
      </c>
      <c r="D100" s="64">
        <f>D57/D21</f>
        <v>4.2614708105824377</v>
      </c>
      <c r="E100" s="64">
        <f>E57/E21</f>
        <v>3.8520016412620786</v>
      </c>
      <c r="F100" s="64">
        <f>F57/F21</f>
        <v>2.9777523731045124</v>
      </c>
      <c r="G100" s="64">
        <f>G57/G21</f>
        <v>3.5738055745068613</v>
      </c>
      <c r="H100" s="64">
        <f>H57/H21</f>
        <v>3.7038956342385223</v>
      </c>
    </row>
    <row r="101" spans="3:8" x14ac:dyDescent="0.25">
      <c r="C101" t="s">
        <v>444</v>
      </c>
      <c r="D101" s="64">
        <f>D61/D26</f>
        <v>3.9489495816491589</v>
      </c>
      <c r="E101" s="64">
        <f>E61/E26</f>
        <v>4.7240107143422456</v>
      </c>
      <c r="F101" s="64">
        <f>F61/F26</f>
        <v>3.0874625955536406</v>
      </c>
      <c r="G101" s="64">
        <f>G61/G26</f>
        <v>2.1754139536662085</v>
      </c>
      <c r="H101" s="64">
        <f>H61/H26</f>
        <v>2.3479971970515821</v>
      </c>
    </row>
    <row r="102" spans="3:8" x14ac:dyDescent="0.25">
      <c r="C102" t="s">
        <v>445</v>
      </c>
      <c r="D102" s="64">
        <f>D65/D31</f>
        <v>3.8174515107924476</v>
      </c>
      <c r="E102" s="64">
        <f>E65/E31</f>
        <v>2.9128985408956742</v>
      </c>
      <c r="F102" s="64">
        <f>F65/F31</f>
        <v>7.8080040404649509</v>
      </c>
      <c r="G102" s="64">
        <f>G65/G31</f>
        <v>5.8030391156242054</v>
      </c>
      <c r="H102" s="64">
        <f>H65/H31</f>
        <v>2.3764592330086871</v>
      </c>
    </row>
    <row r="104" spans="3:8" x14ac:dyDescent="0.25">
      <c r="C104" s="26" t="s">
        <v>4164</v>
      </c>
    </row>
    <row r="105" spans="3:8" x14ac:dyDescent="0.25">
      <c r="C105" t="s">
        <v>4165</v>
      </c>
      <c r="D105" s="142">
        <f>AVERAGE(D106,D107,D108)</f>
        <v>5.0685140437161023</v>
      </c>
      <c r="E105" s="142">
        <f t="shared" ref="E105:H105" si="66">AVERAGE(E106,E107,E108)</f>
        <v>4.9698414138971048</v>
      </c>
      <c r="F105" s="142">
        <f t="shared" si="66"/>
        <v>4.769618181252663</v>
      </c>
      <c r="G105" s="142">
        <f t="shared" si="66"/>
        <v>4.07045746692022</v>
      </c>
      <c r="H105" s="142">
        <f t="shared" si="66"/>
        <v>3.7279972071980985</v>
      </c>
    </row>
    <row r="106" spans="3:8" x14ac:dyDescent="0.25">
      <c r="C106" t="s">
        <v>4166</v>
      </c>
      <c r="D106" s="142">
        <f>D57/D42</f>
        <v>10.275725254052388</v>
      </c>
      <c r="E106" s="142">
        <f>E57/E42</f>
        <v>9.7721762065579245</v>
      </c>
      <c r="F106" s="142">
        <f>F57/F42</f>
        <v>9.5444546847274676</v>
      </c>
      <c r="G106" s="142">
        <f>G57/G42</f>
        <v>7.7052590323009067</v>
      </c>
      <c r="H106" s="142">
        <f>H57/H42</f>
        <v>6.465216669656165</v>
      </c>
    </row>
    <row r="107" spans="3:8" x14ac:dyDescent="0.25">
      <c r="C107" t="s">
        <v>4167</v>
      </c>
      <c r="D107" s="64">
        <f>D61/D45</f>
        <v>1.9135766319332481</v>
      </c>
      <c r="E107" s="64">
        <f>E61/E45</f>
        <v>2.5061693300075265</v>
      </c>
      <c r="F107" s="64">
        <f>F61/F45</f>
        <v>2.6624355524431662</v>
      </c>
      <c r="G107" s="64">
        <f>G61/G45</f>
        <v>2.792452836124804</v>
      </c>
      <c r="H107" s="64">
        <f>H61/H45</f>
        <v>2.8403013686115441</v>
      </c>
    </row>
    <row r="108" spans="3:8" x14ac:dyDescent="0.25">
      <c r="C108" t="s">
        <v>4168</v>
      </c>
      <c r="D108" s="64">
        <f>D65/D48</f>
        <v>3.0162402451626695</v>
      </c>
      <c r="E108" s="64">
        <f t="shared" ref="E108:H108" si="67">E65/E48</f>
        <v>2.6311787051258633</v>
      </c>
      <c r="F108" s="64">
        <f t="shared" si="67"/>
        <v>2.1019643065873552</v>
      </c>
      <c r="G108" s="64">
        <f t="shared" si="67"/>
        <v>1.7136605323349487</v>
      </c>
      <c r="H108" s="64">
        <f t="shared" si="67"/>
        <v>1.8784735833265842</v>
      </c>
    </row>
    <row r="110" spans="3:8" x14ac:dyDescent="0.25">
      <c r="C110" s="26" t="s">
        <v>446</v>
      </c>
    </row>
    <row r="111" spans="3:8" x14ac:dyDescent="0.25">
      <c r="C111" t="s">
        <v>447</v>
      </c>
      <c r="D111" s="142">
        <f>AVERAGE(D112,D113,D114)</f>
        <v>1.9953868238833607</v>
      </c>
      <c r="E111" s="142">
        <f t="shared" ref="E111:H111" si="68">AVERAGE(E112,E113,E114)</f>
        <v>1.9276068388880614</v>
      </c>
      <c r="F111" s="142">
        <f t="shared" si="68"/>
        <v>1.7851315706063324</v>
      </c>
      <c r="G111" s="142">
        <f t="shared" si="68"/>
        <v>1.662406891677513</v>
      </c>
      <c r="H111" s="142">
        <f t="shared" si="68"/>
        <v>1.5631281799469212</v>
      </c>
    </row>
    <row r="112" spans="3:8" x14ac:dyDescent="0.25">
      <c r="C112" t="s">
        <v>448</v>
      </c>
      <c r="D112" s="64">
        <f>D57/D40</f>
        <v>3.0122523651062179</v>
      </c>
      <c r="E112" s="64">
        <f t="shared" ref="E112:H112" si="69">E57/E40</f>
        <v>2.7629145190868529</v>
      </c>
      <c r="F112" s="64">
        <f t="shared" si="69"/>
        <v>2.269649627751511</v>
      </c>
      <c r="G112" s="64">
        <f t="shared" si="69"/>
        <v>2.4414345198480025</v>
      </c>
      <c r="H112" s="64">
        <f t="shared" si="69"/>
        <v>2.3548257784481619</v>
      </c>
    </row>
    <row r="113" spans="2:8" x14ac:dyDescent="0.25">
      <c r="C113" t="s">
        <v>449</v>
      </c>
      <c r="D113" s="64">
        <f>D61/D43</f>
        <v>1.288969526928357</v>
      </c>
      <c r="E113" s="64">
        <f t="shared" ref="E113:H113" si="70">E61/E43</f>
        <v>1.6374655533182105</v>
      </c>
      <c r="F113" s="64">
        <f t="shared" si="70"/>
        <v>1.4296201375504842</v>
      </c>
      <c r="G113" s="64">
        <f t="shared" si="70"/>
        <v>1.2228067139691217</v>
      </c>
      <c r="H113" s="64">
        <f t="shared" si="70"/>
        <v>1.2853962754607393</v>
      </c>
    </row>
    <row r="114" spans="2:8" x14ac:dyDescent="0.25">
      <c r="C114" t="s">
        <v>450</v>
      </c>
      <c r="D114" s="64">
        <f>D65/D46</f>
        <v>1.684938579615507</v>
      </c>
      <c r="E114" s="64">
        <f t="shared" ref="E114:H114" si="71">E65/E46</f>
        <v>1.3824404442591207</v>
      </c>
      <c r="F114" s="64">
        <f t="shared" si="71"/>
        <v>1.6561249465170016</v>
      </c>
      <c r="G114" s="64">
        <f t="shared" si="71"/>
        <v>1.3229794412154148</v>
      </c>
      <c r="H114" s="64">
        <f t="shared" si="71"/>
        <v>1.0491624859318625</v>
      </c>
    </row>
    <row r="117" spans="2:8" x14ac:dyDescent="0.25">
      <c r="B117" s="26" t="s">
        <v>384</v>
      </c>
    </row>
    <row r="118" spans="2:8" x14ac:dyDescent="0.25">
      <c r="B118" s="26"/>
    </row>
    <row r="119" spans="2:8" x14ac:dyDescent="0.25">
      <c r="C119" t="s">
        <v>418</v>
      </c>
      <c r="D119" s="142">
        <f t="shared" ref="D119:E119" si="72">AVERAGE(D120,D121,D122)</f>
        <v>270.36017590360188</v>
      </c>
      <c r="E119" s="142">
        <f t="shared" si="72"/>
        <v>226.61827920316887</v>
      </c>
      <c r="F119" s="142">
        <f t="shared" ref="F119" si="73">AVERAGE(F120,F121,F122)</f>
        <v>287.039987572575</v>
      </c>
      <c r="G119" s="142">
        <f t="shared" ref="G119" si="74">AVERAGE(G120,G121,G122)</f>
        <v>224.11920737434983</v>
      </c>
      <c r="H119" s="142">
        <f t="shared" ref="H119" si="75">AVERAGE(H120,H121,H122)</f>
        <v>237.15347454625854</v>
      </c>
    </row>
    <row r="120" spans="2:8" x14ac:dyDescent="0.25">
      <c r="C120" t="s">
        <v>451</v>
      </c>
      <c r="D120" s="149">
        <f>D56+D71-D86</f>
        <v>126.54711623473148</v>
      </c>
      <c r="E120" s="149">
        <f t="shared" ref="E120:H120" si="76">E56+E71-E86</f>
        <v>123.57135426215234</v>
      </c>
      <c r="F120" s="149">
        <f t="shared" si="76"/>
        <v>164.10523011713215</v>
      </c>
      <c r="G120" s="149">
        <f t="shared" si="76"/>
        <v>147.2382203926081</v>
      </c>
      <c r="H120" s="149">
        <f t="shared" si="76"/>
        <v>169.66949729985691</v>
      </c>
    </row>
    <row r="121" spans="2:8" x14ac:dyDescent="0.25">
      <c r="C121" t="s">
        <v>333</v>
      </c>
      <c r="D121" s="149">
        <f>D60+D75-D90</f>
        <v>218.39603594478902</v>
      </c>
      <c r="E121" s="149">
        <f t="shared" ref="E121:H121" si="77">E60+E75-E90</f>
        <v>160.40333544112968</v>
      </c>
      <c r="F121" s="149">
        <f t="shared" si="77"/>
        <v>226.62072511617981</v>
      </c>
      <c r="G121" s="149">
        <f t="shared" si="77"/>
        <v>249.49408524394704</v>
      </c>
      <c r="H121" s="149">
        <f t="shared" si="77"/>
        <v>232.02773797789169</v>
      </c>
    </row>
    <row r="122" spans="2:8" x14ac:dyDescent="0.25">
      <c r="C122" t="s">
        <v>334</v>
      </c>
      <c r="D122" s="149">
        <f>D64+D79-D94</f>
        <v>466.13737553128516</v>
      </c>
      <c r="E122" s="149">
        <f t="shared" ref="E122:H122" si="78">E64+E79-E94</f>
        <v>395.88014790622458</v>
      </c>
      <c r="F122" s="149">
        <f t="shared" si="78"/>
        <v>470.39400748441295</v>
      </c>
      <c r="G122" s="149">
        <f t="shared" si="78"/>
        <v>275.6253164864944</v>
      </c>
      <c r="H122" s="149">
        <f t="shared" si="78"/>
        <v>309.76318836102695</v>
      </c>
    </row>
    <row r="125" spans="2:8" x14ac:dyDescent="0.25">
      <c r="B125" s="26" t="s">
        <v>392</v>
      </c>
    </row>
    <row r="127" spans="2:8" x14ac:dyDescent="0.25">
      <c r="C127" t="s">
        <v>418</v>
      </c>
      <c r="D127" s="142">
        <f t="shared" ref="D127" si="79">AVERAGE(D128,D129,D130)</f>
        <v>326.54857812624385</v>
      </c>
      <c r="E127" s="142">
        <f t="shared" ref="E127" si="80">AVERAGE(E128,E129,E130)</f>
        <v>277.52111599737526</v>
      </c>
      <c r="F127" s="142">
        <f t="shared" ref="F127" si="81">AVERAGE(F128,F129,F130)</f>
        <v>331.01424625969236</v>
      </c>
      <c r="G127" s="142">
        <f t="shared" ref="G127" si="82">AVERAGE(G128,G129,G130)</f>
        <v>287.16768112993003</v>
      </c>
      <c r="H127" s="142">
        <f t="shared" ref="H127" si="83">AVERAGE(H128,H129,H130)</f>
        <v>302.4629816743946</v>
      </c>
    </row>
    <row r="128" spans="2:8" x14ac:dyDescent="0.25">
      <c r="C128" t="s">
        <v>451</v>
      </c>
      <c r="D128" s="149">
        <f>D56+D71</f>
        <v>191.48887571987817</v>
      </c>
      <c r="E128" s="149">
        <f t="shared" ref="E128:H128" si="84">E56+E71</f>
        <v>167.6109102716843</v>
      </c>
      <c r="F128" s="149">
        <f t="shared" si="84"/>
        <v>214.31402074361955</v>
      </c>
      <c r="G128" s="149">
        <f t="shared" si="84"/>
        <v>244.80681878740683</v>
      </c>
      <c r="H128" s="149">
        <f t="shared" si="84"/>
        <v>279.86097153974532</v>
      </c>
    </row>
    <row r="129" spans="2:8" x14ac:dyDescent="0.25">
      <c r="C129" t="s">
        <v>333</v>
      </c>
      <c r="D129" s="149">
        <f>D60+D75</f>
        <v>252.47755800565506</v>
      </c>
      <c r="E129" s="149">
        <f t="shared" ref="E129:H129" si="85">E60+E75</f>
        <v>224.76965565163289</v>
      </c>
      <c r="F129" s="149">
        <f t="shared" si="85"/>
        <v>297.71986772473929</v>
      </c>
      <c r="G129" s="149">
        <f t="shared" si="85"/>
        <v>285.72883426547594</v>
      </c>
      <c r="H129" s="149">
        <f t="shared" si="85"/>
        <v>266.92968056584562</v>
      </c>
    </row>
    <row r="130" spans="2:8" x14ac:dyDescent="0.25">
      <c r="C130" t="s">
        <v>334</v>
      </c>
      <c r="D130" s="149">
        <f>D64+D79</f>
        <v>535.67930065319842</v>
      </c>
      <c r="E130" s="149">
        <f t="shared" ref="E130:H130" si="86">E64+E79</f>
        <v>440.18278206880848</v>
      </c>
      <c r="F130" s="149">
        <f t="shared" si="86"/>
        <v>481.00885031071834</v>
      </c>
      <c r="G130" s="149">
        <f t="shared" si="86"/>
        <v>330.96739033690727</v>
      </c>
      <c r="H130" s="149">
        <f t="shared" si="86"/>
        <v>360.59829291759286</v>
      </c>
    </row>
    <row r="131" spans="2:8" x14ac:dyDescent="0.25">
      <c r="D131" s="149"/>
      <c r="E131" s="149"/>
      <c r="F131" s="149"/>
      <c r="G131" s="149"/>
      <c r="H131" s="149"/>
    </row>
    <row r="132" spans="2:8" x14ac:dyDescent="0.25">
      <c r="B132" s="26" t="s">
        <v>4061</v>
      </c>
    </row>
    <row r="133" spans="2:8" x14ac:dyDescent="0.25">
      <c r="C133" s="107" t="s">
        <v>418</v>
      </c>
      <c r="D133" s="64">
        <f>AVERAGE(D134:D136)</f>
        <v>0.24994917658593618</v>
      </c>
      <c r="E133" s="64">
        <f t="shared" ref="E133:H133" si="87">AVERAGE(E134:E136)</f>
        <v>0.27153016154970105</v>
      </c>
      <c r="F133" s="64">
        <f t="shared" si="87"/>
        <v>0.26259600944605527</v>
      </c>
      <c r="G133" s="64">
        <f t="shared" si="87"/>
        <v>0.30393996384341909</v>
      </c>
      <c r="H133" s="64">
        <f t="shared" si="87"/>
        <v>0.372224995147102</v>
      </c>
    </row>
    <row r="134" spans="2:8" x14ac:dyDescent="0.25">
      <c r="C134" t="s">
        <v>451</v>
      </c>
      <c r="D134" s="64">
        <f>D21/D57</f>
        <v>0.2346607648975835</v>
      </c>
      <c r="E134" s="64">
        <f>E21/E57</f>
        <v>0.25960528917956477</v>
      </c>
      <c r="F134" s="64">
        <f>F21/F57</f>
        <v>0.33582376057597796</v>
      </c>
      <c r="G134" s="64">
        <f>G21/G57</f>
        <v>0.27981376690811921</v>
      </c>
      <c r="H134" s="64">
        <f>H21/H57</f>
        <v>0.26998600898904329</v>
      </c>
    </row>
    <row r="135" spans="2:8" x14ac:dyDescent="0.25">
      <c r="C135" t="s">
        <v>333</v>
      </c>
      <c r="D135" s="64">
        <f>D26/D61</f>
        <v>0.25323189859070838</v>
      </c>
      <c r="E135" s="64">
        <f>E26/E61</f>
        <v>0.2116845325866786</v>
      </c>
      <c r="F135" s="64">
        <f>F26/F61</f>
        <v>0.32389056354565521</v>
      </c>
      <c r="G135" s="64">
        <f>G26/G61</f>
        <v>0.45968262652480812</v>
      </c>
      <c r="H135" s="64">
        <f>H26/H61</f>
        <v>0.42589488661047642</v>
      </c>
    </row>
    <row r="136" spans="2:8" x14ac:dyDescent="0.25">
      <c r="C136" t="s">
        <v>334</v>
      </c>
      <c r="D136" s="64">
        <f>D31/D65</f>
        <v>0.2619548662695167</v>
      </c>
      <c r="E136" s="64">
        <f>E31/E65</f>
        <v>0.34330066288285976</v>
      </c>
      <c r="F136" s="64">
        <f>F31/F65</f>
        <v>0.12807370421653266</v>
      </c>
      <c r="G136" s="64">
        <f>G31/G65</f>
        <v>0.17232349809733011</v>
      </c>
      <c r="H136" s="64">
        <f>H31/H65</f>
        <v>0.42079408984178635</v>
      </c>
    </row>
    <row r="138" spans="2:8" x14ac:dyDescent="0.25">
      <c r="B138" s="172" t="s">
        <v>4105</v>
      </c>
      <c r="C138" s="488"/>
      <c r="D138" s="488"/>
      <c r="E138" s="488"/>
      <c r="F138" s="488"/>
      <c r="G138" s="488"/>
      <c r="H138" s="488"/>
    </row>
    <row r="139" spans="2:8" x14ac:dyDescent="0.25">
      <c r="B139" s="488"/>
      <c r="C139" s="475" t="s">
        <v>418</v>
      </c>
      <c r="D139" s="602">
        <f>AVERAGE(D140,D143,D146)</f>
        <v>0.47539280158354419</v>
      </c>
      <c r="E139" s="602">
        <f t="shared" ref="E139:H139" si="88">AVERAGE(E140,E143,E146)</f>
        <v>0.48030030034867216</v>
      </c>
      <c r="F139" s="602">
        <f t="shared" si="88"/>
        <v>0.75722595927312586</v>
      </c>
      <c r="G139" s="602">
        <f t="shared" si="88"/>
        <v>0.63852640752522072</v>
      </c>
      <c r="H139" s="602">
        <f t="shared" si="88"/>
        <v>0.4604002143662016</v>
      </c>
    </row>
    <row r="140" spans="2:8" x14ac:dyDescent="0.25">
      <c r="B140" s="488"/>
      <c r="C140" s="475" t="s">
        <v>451</v>
      </c>
      <c r="D140" s="602">
        <f>D141/D142</f>
        <v>0.35480071253571643</v>
      </c>
      <c r="E140" s="602">
        <f t="shared" ref="E140:H140" si="89">E141/E142</f>
        <v>0.2780745468009147</v>
      </c>
      <c r="F140" s="602">
        <f t="shared" si="89"/>
        <v>0.2454402818256034</v>
      </c>
      <c r="G140" s="602">
        <f t="shared" si="89"/>
        <v>0.58340519226244536</v>
      </c>
      <c r="H140" s="602">
        <f t="shared" si="89"/>
        <v>0.67189196908415905</v>
      </c>
    </row>
    <row r="141" spans="2:8" x14ac:dyDescent="0.25">
      <c r="B141" s="488"/>
      <c r="C141" s="412" t="s">
        <v>55</v>
      </c>
      <c r="D141" s="414">
        <f>'EF Sempertex 2011-2014 I'!B101+'Flujo de Caja'!D6</f>
        <v>5074815</v>
      </c>
      <c r="E141" s="414">
        <f>'EF Sempertex 2011-2014 I'!C101+'Flujo de Caja'!E6</f>
        <v>4598256</v>
      </c>
      <c r="F141" s="414">
        <f>'EF Sempertex 2011-2014 I'!D101+'Flujo de Caja'!F6</f>
        <v>5451937</v>
      </c>
      <c r="G141" s="414">
        <f>'EF Sempertex 2011-2014 I'!E101+'Flujo de Caja'!G6</f>
        <v>13543440</v>
      </c>
      <c r="H141" s="414">
        <f>'EF Sempertex 2015 I'!B64+'Flujo de Caja'!H6</f>
        <v>17516485</v>
      </c>
    </row>
    <row r="142" spans="2:8" x14ac:dyDescent="0.25">
      <c r="B142" s="488"/>
      <c r="C142" s="412" t="s">
        <v>338</v>
      </c>
      <c r="D142" s="414">
        <f>D21</f>
        <v>14303283</v>
      </c>
      <c r="E142" s="414">
        <f>E21</f>
        <v>16536055</v>
      </c>
      <c r="F142" s="414">
        <f>F21</f>
        <v>22212886</v>
      </c>
      <c r="G142" s="414">
        <f>G21</f>
        <v>23214466</v>
      </c>
      <c r="H142" s="414">
        <f>H21</f>
        <v>26070389</v>
      </c>
    </row>
    <row r="143" spans="2:8" x14ac:dyDescent="0.25">
      <c r="B143" s="488"/>
      <c r="C143" s="475" t="s">
        <v>333</v>
      </c>
      <c r="D143" s="602">
        <f>D144/D145</f>
        <v>0.32333929359195995</v>
      </c>
      <c r="E143" s="602">
        <f t="shared" ref="E143" si="90">E144/E145</f>
        <v>0.67361062663894089</v>
      </c>
      <c r="F143" s="602">
        <f t="shared" ref="F143" si="91">F144/F145</f>
        <v>0.50697151328485435</v>
      </c>
      <c r="G143" s="602">
        <f t="shared" ref="G143" si="92">G144/G145</f>
        <v>0.33714938508046233</v>
      </c>
      <c r="H143" s="602">
        <f t="shared" ref="H143" si="93">H144/H145</f>
        <v>0.22708621347265287</v>
      </c>
    </row>
    <row r="144" spans="2:8" x14ac:dyDescent="0.25">
      <c r="B144" s="488"/>
      <c r="C144" s="412" t="s">
        <v>55</v>
      </c>
      <c r="D144" s="414">
        <f>'EF Latex de C 2011-2015'!B100+'Flujo de Caja'!D41</f>
        <v>523324</v>
      </c>
      <c r="E144" s="414">
        <f>'EF Latex de C 2011-2015'!C100+'Flujo de Caja'!E41</f>
        <v>1149012</v>
      </c>
      <c r="F144" s="414">
        <f>'EF Latex de C 2011-2015'!D100+'Flujo de Caja'!F41</f>
        <v>1388415</v>
      </c>
      <c r="G144" s="414">
        <f>'EF Latex de C 2011-2015'!E100+'Flujo de Caja'!G41</f>
        <v>1375585</v>
      </c>
      <c r="H144" s="414">
        <f>'EF Latex de C 2011-2015'!F100+'Flujo de Caja'!H41</f>
        <v>896047</v>
      </c>
    </row>
    <row r="145" spans="2:8" x14ac:dyDescent="0.25">
      <c r="B145" s="488"/>
      <c r="C145" s="412" t="s">
        <v>338</v>
      </c>
      <c r="D145" s="414">
        <f>D26</f>
        <v>1618498</v>
      </c>
      <c r="E145" s="414">
        <f>E26</f>
        <v>1705751</v>
      </c>
      <c r="F145" s="414">
        <f>F26</f>
        <v>2738645</v>
      </c>
      <c r="G145" s="414">
        <f>G26</f>
        <v>4080046</v>
      </c>
      <c r="H145" s="414">
        <f>H26</f>
        <v>3945845</v>
      </c>
    </row>
    <row r="146" spans="2:8" x14ac:dyDescent="0.25">
      <c r="B146" s="488"/>
      <c r="C146" s="475" t="s">
        <v>334</v>
      </c>
      <c r="D146" s="602">
        <f>D147/D148</f>
        <v>0.74803839862295618</v>
      </c>
      <c r="E146" s="602">
        <f t="shared" ref="E146" si="94">E147/E148</f>
        <v>0.489215727606161</v>
      </c>
      <c r="F146" s="602">
        <f t="shared" ref="F146" si="95">F147/F148</f>
        <v>1.5192660827089199</v>
      </c>
      <c r="G146" s="602">
        <f t="shared" ref="G146" si="96">G147/G148</f>
        <v>0.99502464523275425</v>
      </c>
      <c r="H146" s="602">
        <f t="shared" ref="H146" si="97">H147/H148</f>
        <v>0.4822224605417928</v>
      </c>
    </row>
    <row r="147" spans="2:8" x14ac:dyDescent="0.25">
      <c r="B147" s="488"/>
      <c r="C147" s="412" t="s">
        <v>55</v>
      </c>
      <c r="D147" s="414">
        <f>'EF Bombatex 2011-2015'!B99+'Flujo de Caja'!D76</f>
        <v>12462262.490320427</v>
      </c>
      <c r="E147" s="414">
        <f>'EF Bombatex 2011-2015'!C99+'Flujo de Caja'!E76</f>
        <v>12533484.900249984</v>
      </c>
      <c r="F147" s="414">
        <f>'EF Bombatex 2011-2015'!D99+'Flujo de Caja'!F76</f>
        <v>15774026.285660332</v>
      </c>
      <c r="G147" s="414">
        <f>'EF Bombatex 2011-2015'!E99+'Flujo de Caja'!G76</f>
        <v>16817098.045674842</v>
      </c>
      <c r="H147" s="414">
        <f>'EF Bombatex 2011-2015'!F99+'Flujo de Caja'!H76</f>
        <v>22100908.625664301</v>
      </c>
    </row>
    <row r="148" spans="2:8" x14ac:dyDescent="0.25">
      <c r="B148" s="488"/>
      <c r="C148" s="412" t="s">
        <v>338</v>
      </c>
      <c r="D148" s="414">
        <f>D31</f>
        <v>16659923.492245682</v>
      </c>
      <c r="E148" s="414">
        <f>E31</f>
        <v>25619546.128614984</v>
      </c>
      <c r="F148" s="414">
        <f>F31</f>
        <v>10382662.040038787</v>
      </c>
      <c r="G148" s="414">
        <f>G31</f>
        <v>16901187.449222445</v>
      </c>
      <c r="H148" s="414">
        <f>H31</f>
        <v>45831354.68396309</v>
      </c>
    </row>
    <row r="150" spans="2:8" x14ac:dyDescent="0.25">
      <c r="D150" s="149"/>
      <c r="E150" s="149"/>
      <c r="F150" s="149"/>
      <c r="G150" s="149"/>
      <c r="H150" s="149"/>
    </row>
    <row r="151" spans="2:8" x14ac:dyDescent="0.25">
      <c r="B151" s="26" t="s">
        <v>411</v>
      </c>
    </row>
    <row r="153" spans="2:8" x14ac:dyDescent="0.25">
      <c r="C153" s="26" t="s">
        <v>412</v>
      </c>
    </row>
    <row r="154" spans="2:8" x14ac:dyDescent="0.25">
      <c r="C154" t="s">
        <v>418</v>
      </c>
      <c r="D154" s="81">
        <f t="shared" ref="D154:H154" si="98">AVERAGE(D155,D156,D157)</f>
        <v>0.38434995533707156</v>
      </c>
      <c r="E154" s="81">
        <f t="shared" si="98"/>
        <v>0.38679924801837867</v>
      </c>
      <c r="F154" s="81">
        <f t="shared" si="98"/>
        <v>0.43346022449707222</v>
      </c>
      <c r="G154" s="81">
        <f t="shared" si="98"/>
        <v>0.42005329445566569</v>
      </c>
      <c r="H154" s="81">
        <f t="shared" si="98"/>
        <v>0.39698889341171828</v>
      </c>
    </row>
    <row r="155" spans="2:8" x14ac:dyDescent="0.25">
      <c r="C155" t="s">
        <v>451</v>
      </c>
      <c r="D155" s="81">
        <f>'EF Sempertex 2011-2014 I'!B98/'EF Sempertex 2011-2014 I'!B96</f>
        <v>0.31426976148500463</v>
      </c>
      <c r="E155" s="81">
        <f>'EF Sempertex 2011-2014 I'!C98/'EF Sempertex 2011-2014 I'!C96</f>
        <v>0.33416358290906761</v>
      </c>
      <c r="F155" s="81">
        <f>'EF Sempertex 2011-2014 I'!D98/'EF Sempertex 2011-2014 I'!D96</f>
        <v>0.38104817342715586</v>
      </c>
      <c r="G155" s="81">
        <f>'EF Sempertex 2011-2014 I'!E98/'EF Sempertex 2011-2014 I'!E96</f>
        <v>0.46468179663687331</v>
      </c>
      <c r="H155" s="81">
        <f>'EF Sempertex 2015 I'!B59/'EF Sempertex 2015 I'!B57</f>
        <v>0.47516886559930405</v>
      </c>
    </row>
    <row r="156" spans="2:8" x14ac:dyDescent="0.25">
      <c r="C156" t="s">
        <v>333</v>
      </c>
      <c r="D156" s="81">
        <f>'EF Latex de C 2011-2015'!B97/'EF Latex de C 2011-2015'!B95</f>
        <v>0.32372182664522314</v>
      </c>
      <c r="E156" s="81">
        <f>'EF Latex de C 2011-2015'!C97/'EF Latex de C 2011-2015'!C95</f>
        <v>0.34591708151391676</v>
      </c>
      <c r="F156" s="81">
        <f>'EF Latex de C 2011-2015'!D97/'EF Latex de C 2011-2015'!D95</f>
        <v>0.40044390230979637</v>
      </c>
      <c r="G156" s="81">
        <f>'EF Latex de C 2011-2015'!E97/'EF Latex de C 2011-2015'!E95</f>
        <v>0.40037646230661861</v>
      </c>
      <c r="H156" s="81">
        <f>'EF Latex de C 2011-2015'!F97/'EF Latex de C 2011-2015'!F95</f>
        <v>0.33306968404071613</v>
      </c>
    </row>
    <row r="157" spans="2:8" x14ac:dyDescent="0.25">
      <c r="C157" t="s">
        <v>334</v>
      </c>
      <c r="D157" s="81">
        <f>'EF Bombatex 2011-2015'!B96/'EF Bombatex 2011-2015'!B94</f>
        <v>0.5150582778809869</v>
      </c>
      <c r="E157" s="81">
        <f>'EF Bombatex 2011-2015'!C96/'EF Bombatex 2011-2015'!C94</f>
        <v>0.4803170796321517</v>
      </c>
      <c r="F157" s="81">
        <f>'EF Bombatex 2011-2015'!D96/'EF Bombatex 2011-2015'!D94</f>
        <v>0.51888859775426432</v>
      </c>
      <c r="G157" s="81">
        <f>'EF Bombatex 2011-2015'!E96/'EF Bombatex 2011-2015'!E94</f>
        <v>0.39510162442350533</v>
      </c>
      <c r="H157" s="81">
        <f>'EF Bombatex 2011-2015'!F96/'EF Bombatex 2011-2015'!F94</f>
        <v>0.38272813059513477</v>
      </c>
    </row>
    <row r="159" spans="2:8" x14ac:dyDescent="0.25">
      <c r="C159" s="26" t="s">
        <v>452</v>
      </c>
    </row>
    <row r="160" spans="2:8" x14ac:dyDescent="0.25">
      <c r="C160" t="s">
        <v>418</v>
      </c>
      <c r="D160" s="81">
        <f t="shared" ref="D160:H160" si="99">AVERAGE(D161,D162,D163)</f>
        <v>0.10619334830086163</v>
      </c>
      <c r="E160" s="81">
        <f t="shared" si="99"/>
        <v>0.10406027676605441</v>
      </c>
      <c r="F160" s="81">
        <f t="shared" si="99"/>
        <v>0.12225606229301338</v>
      </c>
      <c r="G160" s="81">
        <f t="shared" si="99"/>
        <v>0.1415575068633064</v>
      </c>
      <c r="H160" s="81">
        <f t="shared" si="99"/>
        <v>0.13809042489431336</v>
      </c>
    </row>
    <row r="161" spans="2:8" x14ac:dyDescent="0.25">
      <c r="C161" t="s">
        <v>451</v>
      </c>
      <c r="D161" s="81">
        <f>'EF Sempertex 2011-2014 I'!B101/'EF Sempertex 2011-2014 I'!B96</f>
        <v>7.4135502680482315E-2</v>
      </c>
      <c r="E161" s="81">
        <f>'EF Sempertex 2011-2014 I'!C101/'EF Sempertex 2011-2014 I'!C96</f>
        <v>6.2097877870404106E-2</v>
      </c>
      <c r="F161" s="81">
        <f>'EF Sempertex 2011-2014 I'!D101/'EF Sempertex 2011-2014 I'!D96</f>
        <v>7.277915612421379E-2</v>
      </c>
      <c r="G161" s="81">
        <f>'EF Sempertex 2011-2014 I'!E101/'EF Sempertex 2011-2014 I'!E96</f>
        <v>0.15354847696087126</v>
      </c>
      <c r="H161" s="81">
        <f>'EF Sempertex 2015 I'!B64/'EF Sempertex 2015 I'!B57</f>
        <v>0.16874836892359313</v>
      </c>
    </row>
    <row r="162" spans="2:8" x14ac:dyDescent="0.25">
      <c r="C162" t="s">
        <v>333</v>
      </c>
      <c r="D162" s="81">
        <f>'EF Latex de C 2011-2015'!B100/'EF Latex de C 2011-2015'!B95</f>
        <v>8.1879823205270486E-2</v>
      </c>
      <c r="E162" s="81">
        <f>'EF Latex de C 2011-2015'!C100/'EF Latex de C 2011-2015'!C95</f>
        <v>0.11439322431188141</v>
      </c>
      <c r="F162" s="81">
        <f>'EF Latex de C 2011-2015'!D100/'EF Latex de C 2011-2015'!D95</f>
        <v>0.13986092306702505</v>
      </c>
      <c r="G162" s="81">
        <f>'EF Latex de C 2011-2015'!E100/'EF Latex de C 2011-2015'!E95</f>
        <v>0.13436067486507397</v>
      </c>
      <c r="H162" s="81">
        <f>'EF Latex de C 2011-2015'!F100/'EF Latex de C 2011-2015'!F95</f>
        <v>7.7963412832157908E-2</v>
      </c>
    </row>
    <row r="163" spans="2:8" x14ac:dyDescent="0.25">
      <c r="C163" t="s">
        <v>334</v>
      </c>
      <c r="D163" s="81">
        <f>'EF Bombatex 2011-2015'!B99/'EF Bombatex 2011-2015'!B94</f>
        <v>0.16256471901683212</v>
      </c>
      <c r="E163" s="81">
        <f>'EF Bombatex 2011-2015'!C99/'EF Bombatex 2011-2015'!C94</f>
        <v>0.13568972811587768</v>
      </c>
      <c r="F163" s="81">
        <f>'EF Bombatex 2011-2015'!D99/'EF Bombatex 2011-2015'!D94</f>
        <v>0.1541281076878013</v>
      </c>
      <c r="G163" s="81">
        <f>'EF Bombatex 2011-2015'!E99/'EF Bombatex 2011-2015'!E94</f>
        <v>0.13676336876397399</v>
      </c>
      <c r="H163" s="81">
        <f>'EF Bombatex 2011-2015'!F99/'EF Bombatex 2011-2015'!F94</f>
        <v>0.16755949292718911</v>
      </c>
    </row>
    <row r="165" spans="2:8" x14ac:dyDescent="0.25">
      <c r="C165" s="26" t="s">
        <v>404</v>
      </c>
    </row>
    <row r="166" spans="2:8" x14ac:dyDescent="0.25">
      <c r="C166" t="s">
        <v>418</v>
      </c>
      <c r="D166" s="81">
        <f t="shared" ref="D166:H166" si="100">AVERAGE(D167,D168,D169)</f>
        <v>2.9430622817049459E-2</v>
      </c>
      <c r="E166" s="81">
        <f t="shared" si="100"/>
        <v>5.0881125465167799E-2</v>
      </c>
      <c r="F166" s="81">
        <f t="shared" si="100"/>
        <v>5.8049609292300609E-2</v>
      </c>
      <c r="G166" s="81">
        <f t="shared" si="100"/>
        <v>3.910328483809989E-2</v>
      </c>
      <c r="H166" s="81">
        <f t="shared" si="100"/>
        <v>3.0769251910582249E-2</v>
      </c>
    </row>
    <row r="167" spans="2:8" x14ac:dyDescent="0.25">
      <c r="C167" t="s">
        <v>451</v>
      </c>
      <c r="D167" s="81">
        <f>'EF Sempertex 2011-2014 I'!B108/'EF Sempertex 2011-2014 I'!B96</f>
        <v>3.7610636637332981E-2</v>
      </c>
      <c r="E167" s="81">
        <f>'EF Sempertex 2011-2014 I'!C108/'EF Sempertex 2011-2014 I'!C96</f>
        <v>4.492512988581189E-2</v>
      </c>
      <c r="F167" s="81">
        <f>'EF Sempertex 2011-2014 I'!D108/'EF Sempertex 2011-2014 I'!D96</f>
        <v>5.1171107657459032E-2</v>
      </c>
      <c r="G167" s="81">
        <f>'EF Sempertex 2011-2014 I'!E108/'EF Sempertex 2011-2014 I'!E96</f>
        <v>6.9861419872921243E-2</v>
      </c>
      <c r="H167" s="81">
        <f>'EF Sempertex 2015 I'!B69/'EF Sempertex 2015 I'!B57</f>
        <v>5.6921066257948259E-2</v>
      </c>
    </row>
    <row r="168" spans="2:8" x14ac:dyDescent="0.25">
      <c r="C168" t="s">
        <v>333</v>
      </c>
      <c r="D168" s="81">
        <f>'EF Latex de C 2011-2015'!B107/'EF Latex de C 2011-2015'!B95</f>
        <v>-7.8515597680433619E-2</v>
      </c>
      <c r="E168" s="81">
        <f>'EF Latex de C 2011-2015'!C107/'EF Latex de C 2011-2015'!C95</f>
        <v>2.9940732088638525E-2</v>
      </c>
      <c r="F168" s="81">
        <f>'EF Latex de C 2011-2015'!D107/'EF Latex de C 2011-2015'!D95</f>
        <v>4.0481988924558135E-2</v>
      </c>
      <c r="G168" s="81">
        <f>'EF Latex de C 2011-2015'!E107/'EF Latex de C 2011-2015'!E95</f>
        <v>1.262310314046447E-2</v>
      </c>
      <c r="H168" s="81">
        <f>'EF Latex de C 2011-2015'!F107/'EF Latex de C 2011-2015'!F95</f>
        <v>-2.9721744579745798E-2</v>
      </c>
    </row>
    <row r="169" spans="2:8" x14ac:dyDescent="0.25">
      <c r="C169" t="s">
        <v>334</v>
      </c>
      <c r="D169" s="81">
        <f>'EF Bombatex 2011-2015'!B106/'EF Bombatex 2011-2015'!B94</f>
        <v>0.12919682949424902</v>
      </c>
      <c r="E169" s="81">
        <f>'EF Bombatex 2011-2015'!C106/'EF Bombatex 2011-2015'!C94</f>
        <v>7.7777514421053004E-2</v>
      </c>
      <c r="F169" s="81">
        <f>'EF Bombatex 2011-2015'!D106/'EF Bombatex 2011-2015'!D94</f>
        <v>8.2495731294884647E-2</v>
      </c>
      <c r="G169" s="81">
        <f>'EF Bombatex 2011-2015'!E106/'EF Bombatex 2011-2015'!E94</f>
        <v>3.482533150091395E-2</v>
      </c>
      <c r="H169" s="81">
        <f>'EF Bombatex 2011-2015'!F106/'EF Bombatex 2011-2015'!F94</f>
        <v>6.5108434053544287E-2</v>
      </c>
    </row>
    <row r="172" spans="2:8" x14ac:dyDescent="0.25">
      <c r="B172" s="26" t="s">
        <v>393</v>
      </c>
    </row>
    <row r="173" spans="2:8" x14ac:dyDescent="0.25">
      <c r="C173" s="26" t="s">
        <v>418</v>
      </c>
      <c r="D173" s="155">
        <f>AVERAGE(D174,D179,D184)</f>
        <v>0.13165142862709631</v>
      </c>
      <c r="E173" s="155">
        <f t="shared" ref="E173:H173" si="101">AVERAGE(E174,E179,E184)</f>
        <v>0.11256792080766838</v>
      </c>
      <c r="F173" s="155">
        <f t="shared" si="101"/>
        <v>0.13508333256127111</v>
      </c>
      <c r="G173" s="155">
        <f t="shared" si="101"/>
        <v>0.15714630494981421</v>
      </c>
      <c r="H173" s="155">
        <f t="shared" si="101"/>
        <v>0.13383523248746335</v>
      </c>
    </row>
    <row r="174" spans="2:8" x14ac:dyDescent="0.25">
      <c r="C174" s="26" t="s">
        <v>451</v>
      </c>
      <c r="D174" s="154">
        <f>D175/D178</f>
        <v>0.14451585781441345</v>
      </c>
      <c r="E174" s="154">
        <f t="shared" ref="E174:H174" si="102">E175/E178</f>
        <v>0.10958228859602967</v>
      </c>
      <c r="F174" s="154">
        <f t="shared" si="102"/>
        <v>0.1049961008375343</v>
      </c>
      <c r="G174" s="154">
        <f t="shared" si="102"/>
        <v>0.2435858939092625</v>
      </c>
      <c r="H174" s="154">
        <f t="shared" si="102"/>
        <v>0.2384494620851613</v>
      </c>
    </row>
    <row r="175" spans="2:8" outlineLevel="1" x14ac:dyDescent="0.25">
      <c r="C175" s="65" t="s">
        <v>394</v>
      </c>
      <c r="D175" s="67">
        <f>D176*(1-D177)</f>
        <v>2924283.007382106</v>
      </c>
      <c r="E175" s="67">
        <f t="shared" ref="E175:H175" si="103">E176*(1-E177)</f>
        <v>2526337.0385358627</v>
      </c>
      <c r="F175" s="67">
        <f t="shared" si="103"/>
        <v>3059904.8315795898</v>
      </c>
      <c r="G175" s="67">
        <f t="shared" si="103"/>
        <v>8277452.0532770529</v>
      </c>
      <c r="H175" s="67">
        <f t="shared" si="103"/>
        <v>9777860.0729608964</v>
      </c>
    </row>
    <row r="176" spans="2:8" outlineLevel="1" x14ac:dyDescent="0.25">
      <c r="C176" s="86" t="s">
        <v>395</v>
      </c>
      <c r="D176" s="67">
        <f>'EF Sempertex 2011-2014 I'!B101</f>
        <v>4518783</v>
      </c>
      <c r="E176" s="67">
        <f>'EF Sempertex 2011-2014 I'!C101</f>
        <v>3955443</v>
      </c>
      <c r="F176" s="67">
        <f>'EF Sempertex 2011-2014 I'!D101</f>
        <v>4813939</v>
      </c>
      <c r="G176" s="67">
        <f>'EF Sempertex 2011-2014 I'!E101</f>
        <v>12738994</v>
      </c>
      <c r="H176" s="67">
        <f>'EF Sempertex 2015 I'!B64</f>
        <v>16294680</v>
      </c>
    </row>
    <row r="177" spans="3:9" outlineLevel="1" x14ac:dyDescent="0.25">
      <c r="C177" s="86" t="s">
        <v>396</v>
      </c>
      <c r="D177" s="81">
        <f>'EF Sempertex 2011-2014 I'!B107/'EF Sempertex 2011-2014 I'!B106</f>
        <v>0.35286049199926039</v>
      </c>
      <c r="E177" s="81">
        <f>'EF Sempertex 2011-2014 I'!C107/'EF Sempertex 2011-2014 I'!C106</f>
        <v>0.36130111379790758</v>
      </c>
      <c r="F177" s="81">
        <f>'EF Sempertex 2011-2014 I'!D107/'EF Sempertex 2011-2014 I'!D106</f>
        <v>0.36436568232800837</v>
      </c>
      <c r="G177" s="81">
        <f>'EF Sempertex 2011-2014 I'!E107/'EF Sempertex 2011-2014 I'!E106</f>
        <v>0.35022718016218135</v>
      </c>
      <c r="H177" s="81">
        <f>'EF Sempertex 2015 I'!B68/'EF Sempertex 2015 I'!B67</f>
        <v>0.39993543457368314</v>
      </c>
    </row>
    <row r="178" spans="3:9" outlineLevel="1" x14ac:dyDescent="0.25">
      <c r="C178" s="65" t="s">
        <v>379</v>
      </c>
      <c r="D178" s="68">
        <f>D40</f>
        <v>20235032</v>
      </c>
      <c r="E178" s="68">
        <f>E40</f>
        <v>23054246</v>
      </c>
      <c r="F178" s="68">
        <f>F40</f>
        <v>29143033</v>
      </c>
      <c r="G178" s="68">
        <f>G40</f>
        <v>33981656</v>
      </c>
      <c r="H178" s="68">
        <f>H40</f>
        <v>41006006</v>
      </c>
    </row>
    <row r="179" spans="3:9" x14ac:dyDescent="0.25">
      <c r="C179" s="26" t="s">
        <v>333</v>
      </c>
      <c r="D179" s="154">
        <f>D180/D183</f>
        <v>6.9656794008037495E-2</v>
      </c>
      <c r="E179" s="154">
        <f t="shared" ref="E179" si="104">E180/E183</f>
        <v>0.10431671493515272</v>
      </c>
      <c r="F179" s="154">
        <f t="shared" ref="F179" si="105">F180/F183</f>
        <v>0.13178533013946947</v>
      </c>
      <c r="G179" s="154">
        <f t="shared" ref="G179" si="106">G180/G183</f>
        <v>0.10843583831735423</v>
      </c>
      <c r="H179" s="154">
        <f t="shared" ref="H179" si="107">H180/H183</f>
        <v>6.1130467090764903E-2</v>
      </c>
    </row>
    <row r="180" spans="3:9" outlineLevel="1" x14ac:dyDescent="0.25">
      <c r="C180" s="65" t="s">
        <v>394</v>
      </c>
      <c r="D180" s="67">
        <f>D181*(1-D182)</f>
        <v>345393.83999999997</v>
      </c>
      <c r="E180" s="67">
        <f t="shared" ref="E180" si="108">E181*(1-E182)</f>
        <v>513343.70167975087</v>
      </c>
      <c r="F180" s="67">
        <f t="shared" ref="F180" si="109">F181*(1-F182)</f>
        <v>779442.09475927975</v>
      </c>
      <c r="G180" s="67">
        <f t="shared" ref="G180" si="110">G181*(1-G182)</f>
        <v>787085.65298837179</v>
      </c>
      <c r="H180" s="67">
        <f t="shared" ref="H180" si="111">H181*(1-H182)</f>
        <v>440613.98</v>
      </c>
    </row>
    <row r="181" spans="3:9" outlineLevel="1" x14ac:dyDescent="0.25">
      <c r="C181" s="86" t="s">
        <v>395</v>
      </c>
      <c r="D181" s="67">
        <f>'EF Latex de C 2011-2015'!B100</f>
        <v>523324</v>
      </c>
      <c r="E181" s="67">
        <f>'EF Latex de C 2011-2015'!C100</f>
        <v>921779</v>
      </c>
      <c r="F181" s="67">
        <f>'EF Latex de C 2011-2015'!D100</f>
        <v>1182589</v>
      </c>
      <c r="G181" s="67">
        <f>'EF Latex de C 2011-2015'!E100</f>
        <v>1192557</v>
      </c>
      <c r="H181" s="67">
        <f>'EF Latex de C 2011-2015'!F100</f>
        <v>722318</v>
      </c>
    </row>
    <row r="182" spans="3:9" outlineLevel="1" x14ac:dyDescent="0.25">
      <c r="C182" s="86" t="s">
        <v>396</v>
      </c>
      <c r="D182" s="466">
        <v>0.34</v>
      </c>
      <c r="E182" s="101">
        <f>'EF Latex de C 2011-2015'!C106/'EF Latex de C 2011-2015'!C105</f>
        <v>0.44309460111398624</v>
      </c>
      <c r="F182" s="101">
        <f>'EF Latex de C 2011-2015'!D106/'EF Latex de C 2011-2015'!D105</f>
        <v>0.34090195768836035</v>
      </c>
      <c r="G182" s="101">
        <f>'EF Latex de C 2011-2015'!E106/'EF Latex de C 2011-2015'!E105</f>
        <v>0.34000164940680261</v>
      </c>
      <c r="H182" s="466">
        <v>0.39</v>
      </c>
      <c r="I182" t="s">
        <v>457</v>
      </c>
    </row>
    <row r="183" spans="3:9" outlineLevel="1" x14ac:dyDescent="0.25">
      <c r="C183" s="65" t="s">
        <v>379</v>
      </c>
      <c r="D183" s="68">
        <f>D43</f>
        <v>4958509</v>
      </c>
      <c r="E183" s="68">
        <f>E43</f>
        <v>4921011</v>
      </c>
      <c r="F183" s="68">
        <f>F43</f>
        <v>5914483</v>
      </c>
      <c r="G183" s="68">
        <f>G43</f>
        <v>7258538</v>
      </c>
      <c r="H183" s="68">
        <f>H43</f>
        <v>7207764</v>
      </c>
    </row>
    <row r="184" spans="3:9" x14ac:dyDescent="0.25">
      <c r="C184" s="26" t="s">
        <v>334</v>
      </c>
      <c r="D184" s="154">
        <f t="shared" ref="D184:E184" si="112">D185/D188</f>
        <v>0.18078163405883796</v>
      </c>
      <c r="E184" s="154">
        <f t="shared" si="112"/>
        <v>0.12380475889182274</v>
      </c>
      <c r="F184" s="154">
        <f t="shared" ref="F184" si="113">F185/F188</f>
        <v>0.16846856670680954</v>
      </c>
      <c r="G184" s="154">
        <f t="shared" ref="G184" si="114">G185/G188</f>
        <v>0.119417182622826</v>
      </c>
      <c r="H184" s="154">
        <f t="shared" ref="H184" si="115">H185/H188</f>
        <v>0.10192576828646388</v>
      </c>
    </row>
    <row r="185" spans="3:9" outlineLevel="1" x14ac:dyDescent="0.25">
      <c r="C185" s="65" t="s">
        <v>394</v>
      </c>
      <c r="D185" s="67">
        <f>D186*(1-D187)</f>
        <v>6823650.3530258769</v>
      </c>
      <c r="E185" s="67">
        <f t="shared" ref="E185" si="116">E186*(1-E187)</f>
        <v>6683249.8511308935</v>
      </c>
      <c r="F185" s="67">
        <f t="shared" ref="F185" si="117">F186*(1-F187)</f>
        <v>8246592.3933129869</v>
      </c>
      <c r="G185" s="67">
        <f t="shared" ref="G185" si="118">G186*(1-G187)</f>
        <v>8852918.0044766888</v>
      </c>
      <c r="H185" s="67">
        <f t="shared" ref="H185" si="119">H186*(1-H187)</f>
        <v>10581184.891627267</v>
      </c>
    </row>
    <row r="186" spans="3:9" outlineLevel="1" x14ac:dyDescent="0.25">
      <c r="C186" s="86" t="s">
        <v>395</v>
      </c>
      <c r="D186" s="67">
        <f>'EF Bombatex 2011-2015'!B99</f>
        <v>10338864.171251331</v>
      </c>
      <c r="E186" s="67">
        <f>'EF Bombatex 2011-2015'!C99</f>
        <v>10126136.138077112</v>
      </c>
      <c r="F186" s="67">
        <f>'EF Bombatex 2011-2015'!D99</f>
        <v>12494836.959565133</v>
      </c>
      <c r="G186" s="67">
        <f>'EF Bombatex 2011-2015'!E99</f>
        <v>13413512.127994984</v>
      </c>
      <c r="H186" s="67">
        <f>'EF Bombatex 2011-2015'!F99</f>
        <v>18249967.707242284</v>
      </c>
    </row>
    <row r="187" spans="3:9" outlineLevel="1" x14ac:dyDescent="0.25">
      <c r="C187" s="86" t="s">
        <v>396</v>
      </c>
      <c r="D187" s="466">
        <v>0.34</v>
      </c>
      <c r="E187" s="466">
        <v>0.34</v>
      </c>
      <c r="F187" s="466">
        <v>0.34</v>
      </c>
      <c r="G187" s="466">
        <v>0.34</v>
      </c>
      <c r="H187" s="101">
        <f>'EF Bombatex 2011-2015'!F105/'EF Bombatex 2011-2015'!F104</f>
        <v>0.42020802111182637</v>
      </c>
      <c r="I187" t="s">
        <v>458</v>
      </c>
    </row>
    <row r="188" spans="3:9" outlineLevel="1" x14ac:dyDescent="0.25">
      <c r="C188" s="65" t="s">
        <v>379</v>
      </c>
      <c r="D188" s="68">
        <f>D46</f>
        <v>37745263.165422119</v>
      </c>
      <c r="E188" s="68">
        <f>E46</f>
        <v>53982172.50251694</v>
      </c>
      <c r="F188" s="68">
        <f>F46</f>
        <v>48950332.720909044</v>
      </c>
      <c r="G188" s="68">
        <f>G46</f>
        <v>74134373.379400909</v>
      </c>
      <c r="H188" s="68">
        <f>H46</f>
        <v>103812657.67738625</v>
      </c>
    </row>
    <row r="190" spans="3:9" x14ac:dyDescent="0.25">
      <c r="C190" s="26" t="s">
        <v>459</v>
      </c>
    </row>
    <row r="191" spans="3:9" outlineLevel="1" x14ac:dyDescent="0.25">
      <c r="C191" s="143" t="s">
        <v>451</v>
      </c>
      <c r="D191" s="67"/>
      <c r="E191" s="67"/>
      <c r="F191" s="67"/>
      <c r="G191" s="67"/>
      <c r="H191" s="67"/>
    </row>
    <row r="192" spans="3:9" outlineLevel="1" x14ac:dyDescent="0.25">
      <c r="C192" s="146" t="s">
        <v>398</v>
      </c>
      <c r="D192" s="81">
        <f>D175/D57</f>
        <v>4.7976012730034837E-2</v>
      </c>
      <c r="E192" s="81">
        <f>E175/E57</f>
        <v>3.9661845431340659E-2</v>
      </c>
      <c r="F192" s="81">
        <f>F175/F57</f>
        <v>4.6260929243757985E-2</v>
      </c>
      <c r="G192" s="81">
        <f>G175/G57</f>
        <v>9.9771626856667656E-2</v>
      </c>
      <c r="H192" s="81">
        <f>H175/H57</f>
        <v>0.1012599166645357</v>
      </c>
    </row>
    <row r="193" spans="2:8" outlineLevel="1" x14ac:dyDescent="0.25">
      <c r="C193" s="146" t="s">
        <v>399</v>
      </c>
      <c r="D193" s="64">
        <f>D112</f>
        <v>3.0122523651062179</v>
      </c>
      <c r="E193" s="64">
        <f>E112</f>
        <v>2.7629145190868529</v>
      </c>
      <c r="F193" s="64">
        <f>F112</f>
        <v>2.269649627751511</v>
      </c>
      <c r="G193" s="64">
        <f>G112</f>
        <v>2.4414345198480025</v>
      </c>
      <c r="H193" s="64">
        <f>H112</f>
        <v>2.3548257784481619</v>
      </c>
    </row>
    <row r="194" spans="2:8" outlineLevel="1" x14ac:dyDescent="0.25">
      <c r="C194" s="143" t="s">
        <v>333</v>
      </c>
      <c r="D194" s="67"/>
      <c r="E194" s="67"/>
      <c r="F194" s="67"/>
      <c r="G194" s="67"/>
      <c r="H194" s="67"/>
    </row>
    <row r="195" spans="2:8" outlineLevel="1" x14ac:dyDescent="0.25">
      <c r="C195" s="146" t="s">
        <v>398</v>
      </c>
      <c r="D195" s="81">
        <f>D180/D61</f>
        <v>5.4040683315478517E-2</v>
      </c>
      <c r="E195" s="81">
        <f>E180/E61</f>
        <v>6.3706204215265558E-2</v>
      </c>
      <c r="F195" s="81">
        <f>F180/F61</f>
        <v>9.2182060589375073E-2</v>
      </c>
      <c r="G195" s="81">
        <f>G180/G61</f>
        <v>8.8677823795537708E-2</v>
      </c>
      <c r="H195" s="81">
        <f>H180/H61</f>
        <v>4.755768182761632E-2</v>
      </c>
    </row>
    <row r="196" spans="2:8" outlineLevel="1" x14ac:dyDescent="0.25">
      <c r="C196" s="146" t="s">
        <v>399</v>
      </c>
      <c r="D196" s="64">
        <f>D113</f>
        <v>1.288969526928357</v>
      </c>
      <c r="E196" s="64">
        <f>E113</f>
        <v>1.6374655533182105</v>
      </c>
      <c r="F196" s="64">
        <f>F113</f>
        <v>1.4296201375504842</v>
      </c>
      <c r="G196" s="64">
        <f>G113</f>
        <v>1.2228067139691217</v>
      </c>
      <c r="H196" s="64">
        <f>H113</f>
        <v>1.2853962754607393</v>
      </c>
    </row>
    <row r="197" spans="2:8" outlineLevel="1" x14ac:dyDescent="0.25">
      <c r="C197" s="143" t="s">
        <v>334</v>
      </c>
      <c r="D197" s="67"/>
      <c r="E197" s="67"/>
      <c r="F197" s="67"/>
      <c r="G197" s="67"/>
      <c r="H197" s="67"/>
    </row>
    <row r="198" spans="2:8" outlineLevel="1" x14ac:dyDescent="0.25">
      <c r="C198" s="146" t="s">
        <v>398</v>
      </c>
      <c r="D198" s="81">
        <f>D185/D65</f>
        <v>0.10729271455110918</v>
      </c>
      <c r="E198" s="81">
        <f>E185/E65</f>
        <v>8.955522055647927E-2</v>
      </c>
      <c r="F198" s="81">
        <f>F185/F65</f>
        <v>0.10172455107394886</v>
      </c>
      <c r="G198" s="81">
        <f>G185/G65</f>
        <v>9.0263823384222813E-2</v>
      </c>
      <c r="H198" s="81">
        <f>H185/H65</f>
        <v>9.7149649985753886E-2</v>
      </c>
    </row>
    <row r="199" spans="2:8" outlineLevel="1" x14ac:dyDescent="0.25">
      <c r="C199" s="146" t="s">
        <v>399</v>
      </c>
      <c r="D199" s="64">
        <f>D114</f>
        <v>1.684938579615507</v>
      </c>
      <c r="E199" s="64">
        <f>E114</f>
        <v>1.3824404442591207</v>
      </c>
      <c r="F199" s="64">
        <f>F114</f>
        <v>1.6561249465170016</v>
      </c>
      <c r="G199" s="64">
        <f>G114</f>
        <v>1.3229794412154148</v>
      </c>
      <c r="H199" s="64">
        <f>H114</f>
        <v>1.0491624859318625</v>
      </c>
    </row>
    <row r="202" spans="2:8" x14ac:dyDescent="0.25">
      <c r="B202" s="26" t="s">
        <v>400</v>
      </c>
    </row>
    <row r="203" spans="2:8" x14ac:dyDescent="0.25">
      <c r="C203" s="26" t="s">
        <v>418</v>
      </c>
      <c r="D203" s="155">
        <f>AVERAGE(D204,D207,D210)</f>
        <v>0.10324272920277694</v>
      </c>
      <c r="E203" s="155">
        <f t="shared" ref="E203:H203" si="120">AVERAGE(E204,E207,E210)</f>
        <v>0.1521494607507663</v>
      </c>
      <c r="F203" s="155">
        <f t="shared" si="120"/>
        <v>0.16996620940966276</v>
      </c>
      <c r="G203" s="155">
        <f t="shared" si="120"/>
        <v>0.12802411080531992</v>
      </c>
      <c r="H203" s="155">
        <f t="shared" si="120"/>
        <v>0.11201556632833577</v>
      </c>
    </row>
    <row r="204" spans="2:8" x14ac:dyDescent="0.25">
      <c r="C204" s="26" t="s">
        <v>451</v>
      </c>
      <c r="D204" s="154">
        <f>D205/D206</f>
        <v>0.14420411285310628</v>
      </c>
      <c r="E204" s="154">
        <f t="shared" ref="E204:H204" si="121">E205/E206</f>
        <v>0.15969531459579411</v>
      </c>
      <c r="F204" s="154">
        <f t="shared" si="121"/>
        <v>0.16886484061521798</v>
      </c>
      <c r="G204" s="154">
        <f t="shared" si="121"/>
        <v>0.24271546686502729</v>
      </c>
      <c r="H204" s="154">
        <f t="shared" si="121"/>
        <v>0.19990606283170154</v>
      </c>
    </row>
    <row r="205" spans="2:8" outlineLevel="1" x14ac:dyDescent="0.25">
      <c r="C205" s="65" t="s">
        <v>460</v>
      </c>
      <c r="D205" s="67">
        <f>'EF Sempertex 2011-2014 I'!B108</f>
        <v>2292482</v>
      </c>
      <c r="E205" s="67">
        <f>'EF Sempertex 2011-2014 I'!C108</f>
        <v>2861592</v>
      </c>
      <c r="F205" s="67">
        <f>'EF Sempertex 2011-2014 I'!D108</f>
        <v>3384686</v>
      </c>
      <c r="G205" s="67">
        <f>'EF Sempertex 2011-2014 I'!E108</f>
        <v>5795982</v>
      </c>
      <c r="H205" s="67">
        <f>'EF Sempertex 2015 I'!B70</f>
        <v>5496412</v>
      </c>
    </row>
    <row r="206" spans="2:8" outlineLevel="1" x14ac:dyDescent="0.25">
      <c r="C206" s="65" t="s">
        <v>402</v>
      </c>
      <c r="D206" s="67">
        <f>D279</f>
        <v>15897480</v>
      </c>
      <c r="E206" s="67">
        <f>E279</f>
        <v>17919073</v>
      </c>
      <c r="F206" s="67">
        <f>F279</f>
        <v>20043758</v>
      </c>
      <c r="G206" s="67">
        <f>G279</f>
        <v>23879739</v>
      </c>
      <c r="H206" s="67">
        <f>H279</f>
        <v>27494974</v>
      </c>
    </row>
    <row r="207" spans="2:8" x14ac:dyDescent="0.25">
      <c r="C207" s="26" t="s">
        <v>333</v>
      </c>
      <c r="D207" s="154">
        <f>D208/D209</f>
        <v>-0.17892857219262395</v>
      </c>
      <c r="E207" s="154">
        <f t="shared" ref="E207" si="122">E208/E209</f>
        <v>7.9209864675240937E-2</v>
      </c>
      <c r="F207" s="154">
        <f t="shared" ref="F207" si="123">F208/F209</f>
        <v>0.10102675440771253</v>
      </c>
      <c r="G207" s="154">
        <f t="shared" ref="G207" si="124">G208/G209</f>
        <v>2.3292863265445711E-2</v>
      </c>
      <c r="H207" s="154">
        <f t="shared" ref="H207" si="125">H208/H209</f>
        <v>-6.0724320226202048E-2</v>
      </c>
    </row>
    <row r="208" spans="2:8" outlineLevel="1" x14ac:dyDescent="0.25">
      <c r="C208" s="65" t="s">
        <v>460</v>
      </c>
      <c r="D208" s="67">
        <f>'EF Latex de C 2011-2015'!B107</f>
        <v>-501822</v>
      </c>
      <c r="E208" s="67">
        <f>'EF Latex de C 2011-2015'!C107</f>
        <v>241262</v>
      </c>
      <c r="F208" s="67">
        <f>'EF Latex de C 2011-2015'!D107</f>
        <v>342294</v>
      </c>
      <c r="G208" s="67">
        <f>'EF Latex de C 2011-2015'!E107</f>
        <v>112040</v>
      </c>
      <c r="H208" s="67">
        <f>'EF Latex de C 2011-2015'!F107</f>
        <v>-275367</v>
      </c>
    </row>
    <row r="209" spans="3:8" outlineLevel="1" x14ac:dyDescent="0.25">
      <c r="C209" s="65" t="s">
        <v>402</v>
      </c>
      <c r="D209" s="67">
        <f>D282</f>
        <v>2804594</v>
      </c>
      <c r="E209" s="67">
        <f>E282</f>
        <v>3045858</v>
      </c>
      <c r="F209" s="67">
        <f>F282</f>
        <v>3388152</v>
      </c>
      <c r="G209" s="67">
        <f>G282</f>
        <v>4810057</v>
      </c>
      <c r="H209" s="67">
        <f>H282</f>
        <v>4534707</v>
      </c>
    </row>
    <row r="210" spans="3:8" x14ac:dyDescent="0.25">
      <c r="C210" s="26" t="s">
        <v>334</v>
      </c>
      <c r="D210" s="154">
        <f>D211/D212</f>
        <v>0.3444526469478485</v>
      </c>
      <c r="E210" s="154">
        <f t="shared" ref="E210" si="126">E211/E212</f>
        <v>0.21754320298126384</v>
      </c>
      <c r="F210" s="154">
        <f t="shared" ref="F210" si="127">F211/F212</f>
        <v>0.24000703320605779</v>
      </c>
      <c r="G210" s="154">
        <f t="shared" ref="G210" si="128">G211/G212</f>
        <v>0.11806400228548673</v>
      </c>
      <c r="H210" s="154">
        <f t="shared" ref="H210" si="129">H211/H212</f>
        <v>0.19686495637950785</v>
      </c>
    </row>
    <row r="211" spans="3:8" outlineLevel="1" x14ac:dyDescent="0.25">
      <c r="C211" s="65" t="s">
        <v>460</v>
      </c>
      <c r="D211" s="67">
        <f>'EF Bombatex 2011-2015'!B106</f>
        <v>8216718.1143348422</v>
      </c>
      <c r="E211" s="67">
        <f>'EF Bombatex 2011-2015'!C106</f>
        <v>5804313.343720817</v>
      </c>
      <c r="F211" s="67">
        <f>'EF Bombatex 2011-2015'!D106</f>
        <v>6687752.9858316714</v>
      </c>
      <c r="G211" s="67">
        <f>'EF Bombatex 2011-2015'!E106</f>
        <v>3415607.6343448902</v>
      </c>
      <c r="H211" s="67">
        <f>'EF Bombatex 2011-2015'!F106</f>
        <v>7091372.7308940124</v>
      </c>
    </row>
    <row r="212" spans="3:8" outlineLevel="1" x14ac:dyDescent="0.25">
      <c r="C212" s="65" t="s">
        <v>402</v>
      </c>
      <c r="D212" s="67">
        <f>D285</f>
        <v>23854420.011406928</v>
      </c>
      <c r="E212" s="67">
        <f>E285</f>
        <v>26681198.328318812</v>
      </c>
      <c r="F212" s="67">
        <f>F285</f>
        <v>27864820.861686617</v>
      </c>
      <c r="G212" s="67">
        <f>G285</f>
        <v>28930135.928186819</v>
      </c>
      <c r="H212" s="67">
        <f>H285</f>
        <v>36021508.659080833</v>
      </c>
    </row>
    <row r="214" spans="3:8" x14ac:dyDescent="0.25">
      <c r="C214" s="26" t="s">
        <v>461</v>
      </c>
    </row>
    <row r="215" spans="3:8" outlineLevel="1" x14ac:dyDescent="0.25">
      <c r="C215" s="26" t="s">
        <v>451</v>
      </c>
      <c r="D215" s="67"/>
      <c r="E215" s="67"/>
      <c r="F215" s="67"/>
      <c r="G215" s="67"/>
      <c r="H215" s="67"/>
    </row>
    <row r="216" spans="3:8" outlineLevel="1" x14ac:dyDescent="0.25">
      <c r="C216" s="119" t="s">
        <v>404</v>
      </c>
      <c r="D216" s="156">
        <f>D167</f>
        <v>3.7610636637332981E-2</v>
      </c>
      <c r="E216" s="156">
        <f>E167</f>
        <v>4.492512988581189E-2</v>
      </c>
      <c r="F216" s="156">
        <f>F167</f>
        <v>5.1171107657459032E-2</v>
      </c>
      <c r="G216" s="156">
        <f>G167</f>
        <v>6.9861419872921243E-2</v>
      </c>
      <c r="H216" s="156">
        <f>H167</f>
        <v>5.6921066257948259E-2</v>
      </c>
    </row>
    <row r="217" spans="3:8" outlineLevel="1" x14ac:dyDescent="0.25">
      <c r="C217" s="119" t="s">
        <v>399</v>
      </c>
      <c r="D217" s="142">
        <f>D193</f>
        <v>3.0122523651062179</v>
      </c>
      <c r="E217" s="142">
        <f t="shared" ref="E217:H217" si="130">E193</f>
        <v>2.7629145190868529</v>
      </c>
      <c r="F217" s="142">
        <f t="shared" si="130"/>
        <v>2.269649627751511</v>
      </c>
      <c r="G217" s="142">
        <f t="shared" si="130"/>
        <v>2.4414345198480025</v>
      </c>
      <c r="H217" s="142">
        <f t="shared" si="130"/>
        <v>2.3548257784481619</v>
      </c>
    </row>
    <row r="218" spans="3:8" outlineLevel="1" x14ac:dyDescent="0.25">
      <c r="C218" s="119" t="s">
        <v>405</v>
      </c>
      <c r="D218" s="142">
        <f>D295</f>
        <v>1.2728452559776771</v>
      </c>
      <c r="E218" s="142">
        <f>E295</f>
        <v>1.2865758178450415</v>
      </c>
      <c r="F218" s="142">
        <f>F295</f>
        <v>1.4539705079257093</v>
      </c>
      <c r="G218" s="142">
        <f>G295</f>
        <v>1.4230329736853489</v>
      </c>
      <c r="H218" s="142">
        <f>H295</f>
        <v>1.4914000646081718</v>
      </c>
    </row>
    <row r="219" spans="3:8" outlineLevel="1" x14ac:dyDescent="0.25">
      <c r="C219" s="26" t="s">
        <v>333</v>
      </c>
      <c r="D219" s="67"/>
      <c r="E219" s="67"/>
      <c r="F219" s="67"/>
      <c r="G219" s="67"/>
      <c r="H219" s="67"/>
    </row>
    <row r="220" spans="3:8" outlineLevel="1" x14ac:dyDescent="0.25">
      <c r="C220" s="119" t="s">
        <v>404</v>
      </c>
      <c r="D220" s="156">
        <f>D168</f>
        <v>-7.8515597680433619E-2</v>
      </c>
      <c r="E220" s="156">
        <f>E168</f>
        <v>2.9940732088638525E-2</v>
      </c>
      <c r="F220" s="156">
        <f>F168</f>
        <v>4.0481988924558135E-2</v>
      </c>
      <c r="G220" s="156">
        <f>G168</f>
        <v>1.262310314046447E-2</v>
      </c>
      <c r="H220" s="156">
        <f>H168</f>
        <v>-2.9721744579745798E-2</v>
      </c>
    </row>
    <row r="221" spans="3:8" outlineLevel="1" x14ac:dyDescent="0.25">
      <c r="C221" s="119" t="s">
        <v>399</v>
      </c>
      <c r="D221" s="142">
        <f>D196</f>
        <v>1.288969526928357</v>
      </c>
      <c r="E221" s="142">
        <f t="shared" ref="E221:H221" si="131">E196</f>
        <v>1.6374655533182105</v>
      </c>
      <c r="F221" s="142">
        <f t="shared" si="131"/>
        <v>1.4296201375504842</v>
      </c>
      <c r="G221" s="142">
        <f t="shared" si="131"/>
        <v>1.2228067139691217</v>
      </c>
      <c r="H221" s="142">
        <f t="shared" si="131"/>
        <v>1.2853962754607393</v>
      </c>
    </row>
    <row r="222" spans="3:8" outlineLevel="1" x14ac:dyDescent="0.25">
      <c r="C222" s="119" t="s">
        <v>405</v>
      </c>
      <c r="D222" s="142">
        <f>D296</f>
        <v>1.7679952962888745</v>
      </c>
      <c r="E222" s="142">
        <f>E296</f>
        <v>1.6156403220373372</v>
      </c>
      <c r="F222" s="142">
        <f>F296</f>
        <v>1.7456368545448964</v>
      </c>
      <c r="G222" s="142">
        <f>G296</f>
        <v>1.5090336767318973</v>
      </c>
      <c r="H222" s="142">
        <f>H296</f>
        <v>1.5894663095101844</v>
      </c>
    </row>
    <row r="223" spans="3:8" outlineLevel="1" x14ac:dyDescent="0.25">
      <c r="C223" s="26" t="s">
        <v>334</v>
      </c>
      <c r="D223" s="67"/>
      <c r="E223" s="67"/>
      <c r="F223" s="67"/>
      <c r="G223" s="67"/>
      <c r="H223" s="67"/>
    </row>
    <row r="224" spans="3:8" outlineLevel="1" x14ac:dyDescent="0.25">
      <c r="C224" s="119" t="s">
        <v>404</v>
      </c>
      <c r="D224" s="156">
        <f>D169</f>
        <v>0.12919682949424902</v>
      </c>
      <c r="E224" s="156">
        <f>E169</f>
        <v>7.7777514421053004E-2</v>
      </c>
      <c r="F224" s="156">
        <f>F169</f>
        <v>8.2495731294884647E-2</v>
      </c>
      <c r="G224" s="156">
        <f>G169</f>
        <v>3.482533150091395E-2</v>
      </c>
      <c r="H224" s="156">
        <f>H169</f>
        <v>6.5108434053544287E-2</v>
      </c>
    </row>
    <row r="225" spans="2:9" outlineLevel="1" x14ac:dyDescent="0.25">
      <c r="C225" s="119" t="s">
        <v>399</v>
      </c>
      <c r="D225" s="142">
        <f>D199</f>
        <v>1.684938579615507</v>
      </c>
      <c r="E225" s="142">
        <f t="shared" ref="E225:H225" si="132">E199</f>
        <v>1.3824404442591207</v>
      </c>
      <c r="F225" s="142">
        <f t="shared" si="132"/>
        <v>1.6561249465170016</v>
      </c>
      <c r="G225" s="142">
        <f t="shared" si="132"/>
        <v>1.3229794412154148</v>
      </c>
      <c r="H225" s="142">
        <f t="shared" si="132"/>
        <v>1.0491624859318625</v>
      </c>
    </row>
    <row r="226" spans="2:9" outlineLevel="1" x14ac:dyDescent="0.25">
      <c r="C226" s="119" t="s">
        <v>405</v>
      </c>
      <c r="D226" s="142">
        <f>D297</f>
        <v>1.5823173712617091</v>
      </c>
      <c r="E226" s="142">
        <f>E297</f>
        <v>2.023228935906582</v>
      </c>
      <c r="F226" s="142">
        <f>F297</f>
        <v>1.7567072461683915</v>
      </c>
      <c r="G226" s="142">
        <f>G297</f>
        <v>2.5625311116209208</v>
      </c>
      <c r="H226" s="142">
        <f>H297</f>
        <v>2.8819630698953422</v>
      </c>
    </row>
    <row r="229" spans="2:9" x14ac:dyDescent="0.25">
      <c r="B229" s="26" t="s">
        <v>462</v>
      </c>
    </row>
    <row r="230" spans="2:9" x14ac:dyDescent="0.25">
      <c r="C230" s="107" t="s">
        <v>418</v>
      </c>
      <c r="D230" s="157">
        <f>AVERAGE(D231,D232,D233)</f>
        <v>-2.8408699424319367E-2</v>
      </c>
      <c r="E230" s="157">
        <f t="shared" ref="E230:H230" si="133">AVERAGE(E231,E232,E233)</f>
        <v>3.9581539943097918E-2</v>
      </c>
      <c r="F230" s="157">
        <f t="shared" si="133"/>
        <v>3.4882876848391663E-2</v>
      </c>
      <c r="G230" s="157">
        <f t="shared" si="133"/>
        <v>-2.9122194144494327E-2</v>
      </c>
      <c r="H230" s="157">
        <f t="shared" si="133"/>
        <v>-2.1819666159127577E-2</v>
      </c>
    </row>
    <row r="231" spans="2:9" x14ac:dyDescent="0.25">
      <c r="C231" t="s">
        <v>451</v>
      </c>
      <c r="D231" s="156">
        <f>D204-D174</f>
        <v>-3.1174496130717544E-4</v>
      </c>
      <c r="E231" s="156">
        <f t="shared" ref="E231:H231" si="134">E204-E174</f>
        <v>5.0113025999764443E-2</v>
      </c>
      <c r="F231" s="156">
        <f t="shared" si="134"/>
        <v>6.3868739777683675E-2</v>
      </c>
      <c r="G231" s="156">
        <f t="shared" si="134"/>
        <v>-8.7042704423520578E-4</v>
      </c>
      <c r="H231" s="156">
        <f t="shared" si="134"/>
        <v>-3.8543399253459759E-2</v>
      </c>
    </row>
    <row r="232" spans="2:9" x14ac:dyDescent="0.25">
      <c r="C232" t="s">
        <v>333</v>
      </c>
      <c r="D232" s="156">
        <f>D207-D179</f>
        <v>-0.24858536620066146</v>
      </c>
      <c r="E232" s="156">
        <f t="shared" ref="E232:H232" si="135">E207-E179</f>
        <v>-2.5106850259911787E-2</v>
      </c>
      <c r="F232" s="156">
        <f t="shared" si="135"/>
        <v>-3.0758575731756943E-2</v>
      </c>
      <c r="G232" s="156">
        <f t="shared" si="135"/>
        <v>-8.5142975051908515E-2</v>
      </c>
      <c r="H232" s="156">
        <f t="shared" si="135"/>
        <v>-0.12185478731696694</v>
      </c>
    </row>
    <row r="233" spans="2:9" x14ac:dyDescent="0.25">
      <c r="C233" t="s">
        <v>334</v>
      </c>
      <c r="D233" s="156">
        <f>D210-D184</f>
        <v>0.16367101288901054</v>
      </c>
      <c r="E233" s="156">
        <f t="shared" ref="E233:H233" si="136">E210-E184</f>
        <v>9.3738444089441098E-2</v>
      </c>
      <c r="F233" s="156">
        <f t="shared" si="136"/>
        <v>7.1538466499248249E-2</v>
      </c>
      <c r="G233" s="156">
        <f t="shared" si="136"/>
        <v>-1.3531803373392631E-3</v>
      </c>
      <c r="H233" s="156">
        <f t="shared" si="136"/>
        <v>9.4939188093043969E-2</v>
      </c>
    </row>
    <row r="234" spans="2:9" x14ac:dyDescent="0.25">
      <c r="D234" s="156"/>
      <c r="E234" s="156"/>
      <c r="F234" s="156"/>
      <c r="G234" s="156"/>
      <c r="H234" s="156"/>
    </row>
    <row r="236" spans="2:9" x14ac:dyDescent="0.25">
      <c r="B236" s="26" t="s">
        <v>487</v>
      </c>
    </row>
    <row r="237" spans="2:9" x14ac:dyDescent="0.25">
      <c r="B237" s="26"/>
      <c r="C237" s="441" t="s">
        <v>418</v>
      </c>
      <c r="D237" s="156">
        <f>AVERAGE(D238,D239,D240)</f>
        <v>0.43884156104121114</v>
      </c>
      <c r="E237" s="156">
        <f t="shared" ref="E237:H237" si="137">AVERAGE(E238,E239,E240)</f>
        <v>0.33048689342396459</v>
      </c>
      <c r="F237" s="156">
        <f t="shared" si="137"/>
        <v>0.28725878537271071</v>
      </c>
      <c r="G237" s="156">
        <f t="shared" si="137"/>
        <v>0.54737338362887444</v>
      </c>
      <c r="H237" s="156">
        <f t="shared" si="137"/>
        <v>1.1758709167857064</v>
      </c>
    </row>
    <row r="238" spans="2:9" x14ac:dyDescent="0.25">
      <c r="C238" s="441" t="s">
        <v>451</v>
      </c>
      <c r="D238" s="81">
        <f>D306/D321</f>
        <v>0.73225997270800114</v>
      </c>
      <c r="E238" s="81">
        <f>E306/E321</f>
        <v>0.44470490176783817</v>
      </c>
      <c r="F238" s="81">
        <f>F306/F321</f>
        <v>0.43334979864380224</v>
      </c>
      <c r="G238" s="81">
        <f>G306/G321</f>
        <v>1.0766656001542734</v>
      </c>
      <c r="H238" s="81">
        <f>H306/H321</f>
        <v>2.8317072931083498</v>
      </c>
      <c r="I238" s="466">
        <f>AVERAGE(D238:H238)</f>
        <v>1.1037375132764529</v>
      </c>
    </row>
    <row r="239" spans="2:9" x14ac:dyDescent="0.25">
      <c r="C239" s="441" t="s">
        <v>333</v>
      </c>
      <c r="D239" s="81">
        <f>D310/D324</f>
        <v>0.49625589703035095</v>
      </c>
      <c r="E239" s="81">
        <f>E310/E324</f>
        <v>0.45667519127863926</v>
      </c>
      <c r="F239" s="81">
        <f>F310/F324</f>
        <v>0.33158783508245643</v>
      </c>
      <c r="G239" s="81">
        <f>G310/G324</f>
        <v>0.51880010665574094</v>
      </c>
      <c r="H239" s="81">
        <f>H310/H324</f>
        <v>0.47165118075092993</v>
      </c>
      <c r="I239" s="466">
        <f>AVERAGE(D239:H239)</f>
        <v>0.45499404215962347</v>
      </c>
    </row>
    <row r="240" spans="2:9" x14ac:dyDescent="0.25">
      <c r="C240" s="441" t="s">
        <v>334</v>
      </c>
      <c r="D240" s="81">
        <f>D314/D327</f>
        <v>8.8008813385281534E-2</v>
      </c>
      <c r="E240" s="81">
        <f>E314/E327</f>
        <v>9.0080587225416328E-2</v>
      </c>
      <c r="F240" s="81">
        <f>F314/F327</f>
        <v>9.6838722391873397E-2</v>
      </c>
      <c r="G240" s="81">
        <f>G314/G327</f>
        <v>4.665444407660909E-2</v>
      </c>
      <c r="H240" s="81">
        <f>H314/H327</f>
        <v>0.22425427649783966</v>
      </c>
      <c r="I240" s="466">
        <f>AVERAGE(D240:H240)</f>
        <v>0.109167368715404</v>
      </c>
    </row>
    <row r="242" spans="2:15" x14ac:dyDescent="0.25">
      <c r="B242" s="26" t="s">
        <v>4070</v>
      </c>
    </row>
    <row r="243" spans="2:15" x14ac:dyDescent="0.25">
      <c r="C243" s="153" t="s">
        <v>418</v>
      </c>
      <c r="D243" s="444">
        <f>AVERAGE(D244,D253,D262)</f>
        <v>1436452.422013941</v>
      </c>
      <c r="E243" s="444">
        <f>AVERAGE(E244,E253,E262)</f>
        <v>52966.112806161014</v>
      </c>
      <c r="F243" s="444">
        <f>AVERAGE(F244,F253,F262)</f>
        <v>264135.23267920263</v>
      </c>
      <c r="G243" s="444">
        <f>AVERAGE(G244,G253,G262)</f>
        <v>2531174.6470812694</v>
      </c>
      <c r="H243" s="444">
        <f>AVERAGE(H244,H253,H262)</f>
        <v>907992.50382834859</v>
      </c>
    </row>
    <row r="244" spans="2:15" x14ac:dyDescent="0.25">
      <c r="C244" s="153" t="s">
        <v>451</v>
      </c>
      <c r="D244" s="443">
        <f>D245-D246*D247</f>
        <v>851165.04693524214</v>
      </c>
      <c r="E244" s="443">
        <f t="shared" ref="E244:H244" si="138">E245-E246*E247</f>
        <v>-753255.19012246467</v>
      </c>
      <c r="F244" s="443">
        <f t="shared" si="138"/>
        <v>-1465622.0503390036</v>
      </c>
      <c r="G244" s="443">
        <f t="shared" si="138"/>
        <v>3931521.1391361989</v>
      </c>
      <c r="H244" s="443">
        <f t="shared" si="138"/>
        <v>5125828.0714746974</v>
      </c>
    </row>
    <row r="245" spans="2:15" x14ac:dyDescent="0.25">
      <c r="C245" s="119" t="s">
        <v>394</v>
      </c>
      <c r="D245" s="68">
        <f>D175</f>
        <v>2924283.007382106</v>
      </c>
      <c r="E245" s="68">
        <f>E175</f>
        <v>2526337.0385358627</v>
      </c>
      <c r="F245" s="68">
        <f>F175</f>
        <v>3059904.8315795898</v>
      </c>
      <c r="G245" s="68">
        <f>G175</f>
        <v>8277452.0532770529</v>
      </c>
      <c r="H245" s="68">
        <f>H175</f>
        <v>9777860.0729608964</v>
      </c>
    </row>
    <row r="246" spans="2:15" x14ac:dyDescent="0.25">
      <c r="C246" s="119" t="s">
        <v>379</v>
      </c>
      <c r="D246" s="68">
        <f>D40</f>
        <v>20235032</v>
      </c>
      <c r="E246" s="68">
        <f>E40</f>
        <v>23054246</v>
      </c>
      <c r="F246" s="68">
        <f>F40</f>
        <v>29143033</v>
      </c>
      <c r="G246" s="68">
        <f>G40</f>
        <v>33981656</v>
      </c>
      <c r="H246" s="68">
        <f>H40</f>
        <v>41006006</v>
      </c>
    </row>
    <row r="247" spans="2:15" x14ac:dyDescent="0.25">
      <c r="C247" s="119" t="s">
        <v>4071</v>
      </c>
      <c r="D247" s="472">
        <f>(D248*(1-D250)*(D251/(D251+D252)))+(D249*(D252/(D251+D252)))</f>
        <v>0.10245192399235464</v>
      </c>
      <c r="E247" s="472">
        <f t="shared" ref="E247" si="139">(E248*(1-E250)*(E251/(E251+E252)))+(E249*(E252/(E251+E252)))</f>
        <v>0.14225545388291283</v>
      </c>
      <c r="F247" s="472">
        <f t="shared" ref="F247" si="140">(F248*(1-F250)*(F251/(F251+F252)))+(F249*(F252/(F251+F252)))</f>
        <v>0.15528675007569023</v>
      </c>
      <c r="G247" s="472">
        <f t="shared" ref="G247" si="141">(G248*(1-G250)*(G251/(G251+G252)))+(G249*(G252/(G251+G252)))</f>
        <v>0.12789049815997355</v>
      </c>
      <c r="H247" s="472">
        <f t="shared" ref="H247" si="142">(H248*(1-H250)*(H251/(H251+H252)))+(H249*(H252/(H251+H252)))</f>
        <v>0.11344757647175389</v>
      </c>
    </row>
    <row r="248" spans="2:15" x14ac:dyDescent="0.25">
      <c r="C248" s="115" t="s">
        <v>4102</v>
      </c>
      <c r="D248" s="442">
        <f>CERTIFICADO1!E309</f>
        <v>0.15609999999999999</v>
      </c>
      <c r="E248" s="442">
        <f>CERTIFICADO1!E314</f>
        <v>0.19919999999999999</v>
      </c>
      <c r="F248" s="442">
        <f>CERTIFICADO1!E319</f>
        <v>0.20749999999999999</v>
      </c>
      <c r="G248" s="442">
        <f>CERTIFICADO1!E324</f>
        <v>0.19650000000000001</v>
      </c>
      <c r="H248" s="442">
        <f>CERTIFICADO1!E330</f>
        <v>0.19209999999999999</v>
      </c>
      <c r="I248" t="s">
        <v>4104</v>
      </c>
      <c r="K248">
        <f>D248*(1-D250)</f>
        <v>0.10101847719891545</v>
      </c>
      <c r="L248">
        <f t="shared" ref="L248:O248" si="143">E248*(1-E250)</f>
        <v>0.12722881813145678</v>
      </c>
      <c r="M248">
        <f t="shared" si="143"/>
        <v>0.13189412091693825</v>
      </c>
      <c r="N248">
        <f t="shared" si="143"/>
        <v>0.12768035909813136</v>
      </c>
      <c r="O248">
        <f t="shared" si="143"/>
        <v>0.11527240301839546</v>
      </c>
    </row>
    <row r="249" spans="2:15" x14ac:dyDescent="0.25">
      <c r="C249" s="115" t="s">
        <v>4103</v>
      </c>
      <c r="D249" s="442">
        <f>D$203</f>
        <v>0.10324272920277694</v>
      </c>
      <c r="E249" s="442">
        <f t="shared" ref="E249:H249" si="144">E$203</f>
        <v>0.1521494607507663</v>
      </c>
      <c r="F249" s="442">
        <f t="shared" si="144"/>
        <v>0.16996620940966276</v>
      </c>
      <c r="G249" s="442">
        <f t="shared" si="144"/>
        <v>0.12802411080531992</v>
      </c>
      <c r="H249" s="442">
        <f t="shared" si="144"/>
        <v>0.11201556632833577</v>
      </c>
      <c r="I249" t="s">
        <v>4072</v>
      </c>
    </row>
    <row r="250" spans="2:15" x14ac:dyDescent="0.25">
      <c r="C250" s="115" t="s">
        <v>4073</v>
      </c>
      <c r="D250" s="472">
        <f>D177</f>
        <v>0.35286049199926039</v>
      </c>
      <c r="E250" s="472">
        <f>E177</f>
        <v>0.36130111379790758</v>
      </c>
      <c r="F250" s="472">
        <f>F177</f>
        <v>0.36436568232800837</v>
      </c>
      <c r="G250" s="472">
        <f>G177</f>
        <v>0.35022718016218135</v>
      </c>
      <c r="H250" s="472">
        <f>H177</f>
        <v>0.39993543457368314</v>
      </c>
    </row>
    <row r="251" spans="2:15" x14ac:dyDescent="0.25">
      <c r="C251" s="115" t="s">
        <v>454</v>
      </c>
      <c r="D251" s="414">
        <f>D321</f>
        <v>8770336</v>
      </c>
      <c r="E251" s="414">
        <f>E321</f>
        <v>11798478</v>
      </c>
      <c r="F251" s="414">
        <f>F321</f>
        <v>12577959</v>
      </c>
      <c r="G251" s="414">
        <f>G321</f>
        <v>15183446</v>
      </c>
      <c r="H251" s="414">
        <f>H321</f>
        <v>21576342</v>
      </c>
    </row>
    <row r="252" spans="2:15" x14ac:dyDescent="0.25">
      <c r="C252" s="115" t="s">
        <v>402</v>
      </c>
      <c r="D252" s="414">
        <f>D206</f>
        <v>15897480</v>
      </c>
      <c r="E252" s="414">
        <f>E206</f>
        <v>17919073</v>
      </c>
      <c r="F252" s="414">
        <f>F206</f>
        <v>20043758</v>
      </c>
      <c r="G252" s="414">
        <f>G206</f>
        <v>23879739</v>
      </c>
      <c r="H252" s="414">
        <f>H206</f>
        <v>27494974</v>
      </c>
    </row>
    <row r="253" spans="2:15" x14ac:dyDescent="0.25">
      <c r="C253" s="153" t="s">
        <v>333</v>
      </c>
      <c r="D253" s="443">
        <f>D254-D255*D256</f>
        <v>-166063.7170748972</v>
      </c>
      <c r="E253" s="443">
        <f t="shared" ref="E253" si="145">E254-E255*E256</f>
        <v>-157364.19968700205</v>
      </c>
      <c r="F253" s="443">
        <f t="shared" ref="F253" si="146">F254-F255*F256</f>
        <v>-141022.78323452664</v>
      </c>
      <c r="G253" s="443">
        <f t="shared" ref="G253" si="147">G254-G255*G256</f>
        <v>-146273.29564220412</v>
      </c>
      <c r="H253" s="443">
        <f t="shared" ref="H253" si="148">H254-H255*H256</f>
        <v>-381315.41212764592</v>
      </c>
    </row>
    <row r="254" spans="2:15" x14ac:dyDescent="0.25">
      <c r="C254" s="119" t="s">
        <v>394</v>
      </c>
      <c r="D254" s="68">
        <f>D180</f>
        <v>345393.83999999997</v>
      </c>
      <c r="E254" s="68">
        <f>E180</f>
        <v>513343.70167975087</v>
      </c>
      <c r="F254" s="68">
        <f>F180</f>
        <v>779442.09475927975</v>
      </c>
      <c r="G254" s="68">
        <f>G180</f>
        <v>787085.65298837179</v>
      </c>
      <c r="H254" s="68">
        <f>H180</f>
        <v>440613.98</v>
      </c>
    </row>
    <row r="255" spans="2:15" x14ac:dyDescent="0.25">
      <c r="C255" s="119" t="s">
        <v>379</v>
      </c>
      <c r="D255" s="68">
        <f>D43</f>
        <v>4958509</v>
      </c>
      <c r="E255" s="68">
        <f>E43</f>
        <v>4921011</v>
      </c>
      <c r="F255" s="68">
        <f>F43</f>
        <v>5914483</v>
      </c>
      <c r="G255" s="68">
        <f>G43</f>
        <v>7258538</v>
      </c>
      <c r="H255" s="68">
        <f>H43</f>
        <v>7207764</v>
      </c>
    </row>
    <row r="256" spans="2:15" x14ac:dyDescent="0.25">
      <c r="C256" s="119" t="s">
        <v>4071</v>
      </c>
      <c r="D256" s="472">
        <f>(D257*(1-D259)*(D260/(D260+D261)))+(D258*(D261/(D260+D261)))</f>
        <v>0.10314744958109326</v>
      </c>
      <c r="E256" s="472">
        <f t="shared" ref="E256" si="149">(E257*(1-E259)*(E260/(E260+E261)))+(E258*(E261/(E260+E261)))</f>
        <v>0.13629473727385549</v>
      </c>
      <c r="F256" s="472">
        <f t="shared" ref="F256" si="150">(F257*(1-F259)*(F260/(F260+F261)))+(F258*(F261/(F260+F261)))</f>
        <v>0.15562896672351689</v>
      </c>
      <c r="G256" s="472">
        <f t="shared" ref="G256" si="151">(G257*(1-G259)*(G260/(G260+G261)))+(G258*(G261/(G260+G261)))</f>
        <v>0.12858773331910309</v>
      </c>
      <c r="H256" s="472">
        <f t="shared" ref="H256" si="152">(H257*(1-H259)*(H260/(H260+H261)))+(H258*(H261/(H260+H261)))</f>
        <v>0.1140338934692709</v>
      </c>
    </row>
    <row r="257" spans="3:9" outlineLevel="1" x14ac:dyDescent="0.25">
      <c r="C257" s="115" t="s">
        <v>4102</v>
      </c>
      <c r="D257" s="442">
        <f>D248</f>
        <v>0.15609999999999999</v>
      </c>
      <c r="E257" s="442">
        <f t="shared" ref="E257:H257" si="153">E248</f>
        <v>0.19919999999999999</v>
      </c>
      <c r="F257" s="442">
        <f t="shared" si="153"/>
        <v>0.20749999999999999</v>
      </c>
      <c r="G257" s="442">
        <f t="shared" si="153"/>
        <v>0.19650000000000001</v>
      </c>
      <c r="H257" s="442">
        <f t="shared" si="153"/>
        <v>0.19209999999999999</v>
      </c>
      <c r="I257" t="s">
        <v>4104</v>
      </c>
    </row>
    <row r="258" spans="3:9" outlineLevel="1" x14ac:dyDescent="0.25">
      <c r="C258" s="115" t="s">
        <v>4103</v>
      </c>
      <c r="D258" s="442">
        <f>D$203</f>
        <v>0.10324272920277694</v>
      </c>
      <c r="E258" s="442">
        <f t="shared" ref="E258:H258" si="154">E$203</f>
        <v>0.1521494607507663</v>
      </c>
      <c r="F258" s="442">
        <f t="shared" si="154"/>
        <v>0.16996620940966276</v>
      </c>
      <c r="G258" s="442">
        <f t="shared" si="154"/>
        <v>0.12802411080531992</v>
      </c>
      <c r="H258" s="442">
        <f t="shared" si="154"/>
        <v>0.11201556632833577</v>
      </c>
      <c r="I258" t="s">
        <v>4072</v>
      </c>
    </row>
    <row r="259" spans="3:9" outlineLevel="1" x14ac:dyDescent="0.25">
      <c r="C259" s="115" t="s">
        <v>4073</v>
      </c>
      <c r="D259" s="472">
        <f>D182</f>
        <v>0.34</v>
      </c>
      <c r="E259" s="472">
        <f>E182</f>
        <v>0.44309460111398624</v>
      </c>
      <c r="F259" s="472">
        <f>F182</f>
        <v>0.34090195768836035</v>
      </c>
      <c r="G259" s="472">
        <f>G182</f>
        <v>0.34000164940680261</v>
      </c>
      <c r="H259" s="472">
        <f>H182</f>
        <v>0.39</v>
      </c>
    </row>
    <row r="260" spans="3:9" outlineLevel="1" x14ac:dyDescent="0.25">
      <c r="C260" s="115" t="s">
        <v>454</v>
      </c>
      <c r="D260" s="414">
        <f>D324</f>
        <v>2200260</v>
      </c>
      <c r="E260" s="414">
        <f>E324</f>
        <v>1904290</v>
      </c>
      <c r="F260" s="414">
        <f>F324</f>
        <v>2574814</v>
      </c>
      <c r="G260" s="414">
        <f>G324</f>
        <v>2460252</v>
      </c>
      <c r="H260" s="414">
        <f>H324</f>
        <v>2908234</v>
      </c>
    </row>
    <row r="261" spans="3:9" outlineLevel="1" x14ac:dyDescent="0.25">
      <c r="C261" s="115" t="s">
        <v>402</v>
      </c>
      <c r="D261" s="414">
        <f>D209</f>
        <v>2804594</v>
      </c>
      <c r="E261" s="414">
        <f>E209</f>
        <v>3045858</v>
      </c>
      <c r="F261" s="414">
        <f>F209</f>
        <v>3388152</v>
      </c>
      <c r="G261" s="414">
        <f>G209</f>
        <v>4810057</v>
      </c>
      <c r="H261" s="414">
        <f>H209</f>
        <v>4534707</v>
      </c>
    </row>
    <row r="262" spans="3:9" x14ac:dyDescent="0.25">
      <c r="C262" s="153" t="s">
        <v>334</v>
      </c>
      <c r="D262" s="443">
        <f>D263-D264*D265</f>
        <v>3624255.9361814782</v>
      </c>
      <c r="E262" s="443">
        <f t="shared" ref="E262" si="155">E263-E264*E265</f>
        <v>1069517.7282279497</v>
      </c>
      <c r="F262" s="443">
        <f t="shared" ref="F262" si="156">F263-F264*F265</f>
        <v>2399050.531611138</v>
      </c>
      <c r="G262" s="443">
        <f t="shared" ref="G262" si="157">G263-G264*G265</f>
        <v>3808276.0977498135</v>
      </c>
      <c r="H262" s="443">
        <f t="shared" ref="H262" si="158">H263-H264*H265</f>
        <v>-2020535.147862006</v>
      </c>
    </row>
    <row r="263" spans="3:9" x14ac:dyDescent="0.25">
      <c r="C263" s="119" t="s">
        <v>394</v>
      </c>
      <c r="D263" s="68">
        <f>D185</f>
        <v>6823650.3530258769</v>
      </c>
      <c r="E263" s="68">
        <f>E185</f>
        <v>6683249.8511308935</v>
      </c>
      <c r="F263" s="68">
        <f>F185</f>
        <v>8246592.3933129869</v>
      </c>
      <c r="G263" s="68">
        <f>G185</f>
        <v>8852918.0044766888</v>
      </c>
      <c r="H263" s="68">
        <f>H185</f>
        <v>10581184.891627267</v>
      </c>
    </row>
    <row r="264" spans="3:9" x14ac:dyDescent="0.25">
      <c r="C264" s="119" t="s">
        <v>379</v>
      </c>
      <c r="D264" s="68">
        <f>D46</f>
        <v>37745263.165422119</v>
      </c>
      <c r="E264" s="68">
        <f>E46</f>
        <v>53982172.50251694</v>
      </c>
      <c r="F264" s="68">
        <f>F46</f>
        <v>48950332.720909044</v>
      </c>
      <c r="G264" s="68">
        <f>G46</f>
        <v>74134373.379400909</v>
      </c>
      <c r="H264" s="68">
        <f>H46</f>
        <v>103812657.67738625</v>
      </c>
    </row>
    <row r="265" spans="3:9" x14ac:dyDescent="0.25">
      <c r="C265" s="119" t="s">
        <v>4071</v>
      </c>
      <c r="D265" s="472">
        <f>(D266*(1-D268)*(D269/(D269+D270)))+(D267*(D270/(D269+D270)))</f>
        <v>8.4762805939986585E-2</v>
      </c>
      <c r="E265" s="472">
        <f t="shared" ref="E265:H265" si="159">(E266*(1-E268)*(E269/(E269+E270)))+(E267*(E270/(E269+E270)))</f>
        <v>0.10399233418479409</v>
      </c>
      <c r="F265" s="472">
        <f t="shared" si="159"/>
        <v>0.11945867446993025</v>
      </c>
      <c r="G265" s="472">
        <f t="shared" si="159"/>
        <v>6.8047272496790101E-2</v>
      </c>
      <c r="H265" s="472">
        <f t="shared" si="159"/>
        <v>0.12138905140692044</v>
      </c>
    </row>
    <row r="266" spans="3:9" outlineLevel="1" x14ac:dyDescent="0.25">
      <c r="C266" s="115" t="s">
        <v>4102</v>
      </c>
      <c r="D266" s="472">
        <f>D240</f>
        <v>8.8008813385281534E-2</v>
      </c>
      <c r="E266" s="472">
        <f t="shared" ref="E266:H266" si="160">E240</f>
        <v>9.0080587225416328E-2</v>
      </c>
      <c r="F266" s="472">
        <f t="shared" si="160"/>
        <v>9.6838722391873397E-2</v>
      </c>
      <c r="G266" s="472">
        <f t="shared" si="160"/>
        <v>4.665444407660909E-2</v>
      </c>
      <c r="H266" s="472">
        <f t="shared" si="160"/>
        <v>0.22425427649783966</v>
      </c>
    </row>
    <row r="267" spans="3:9" outlineLevel="1" x14ac:dyDescent="0.25">
      <c r="C267" s="115" t="s">
        <v>4103</v>
      </c>
      <c r="D267" s="442">
        <f>D$203</f>
        <v>0.10324272920277694</v>
      </c>
      <c r="E267" s="442">
        <f t="shared" ref="E267:H267" si="161">E$203</f>
        <v>0.1521494607507663</v>
      </c>
      <c r="F267" s="442">
        <f t="shared" si="161"/>
        <v>0.16996620940966276</v>
      </c>
      <c r="G267" s="442">
        <f t="shared" si="161"/>
        <v>0.12802411080531992</v>
      </c>
      <c r="H267" s="442">
        <f t="shared" si="161"/>
        <v>0.11201556632833577</v>
      </c>
      <c r="I267" t="s">
        <v>4072</v>
      </c>
    </row>
    <row r="268" spans="3:9" outlineLevel="1" x14ac:dyDescent="0.25">
      <c r="C268" s="115" t="s">
        <v>4073</v>
      </c>
      <c r="D268" s="472">
        <f>D187</f>
        <v>0.34</v>
      </c>
      <c r="E268" s="472">
        <f>E187</f>
        <v>0.34</v>
      </c>
      <c r="F268" s="472">
        <f>F187</f>
        <v>0.34</v>
      </c>
      <c r="G268" s="472">
        <f>G187</f>
        <v>0.34</v>
      </c>
      <c r="H268" s="472">
        <f>H187</f>
        <v>0.42020802111182637</v>
      </c>
    </row>
    <row r="269" spans="3:9" outlineLevel="1" x14ac:dyDescent="0.25">
      <c r="C269" s="115" t="s">
        <v>454</v>
      </c>
      <c r="D269" s="414">
        <f>D327</f>
        <v>16524647.87321024</v>
      </c>
      <c r="E269" s="414">
        <f>E327</f>
        <v>28848551.048944436</v>
      </c>
      <c r="F269" s="414">
        <f>F327</f>
        <v>25337661.918063011</v>
      </c>
      <c r="G269" s="414">
        <f>G327</f>
        <v>46574212.246166818</v>
      </c>
      <c r="H269" s="414">
        <f>H327</f>
        <v>39116740.674957976</v>
      </c>
    </row>
    <row r="270" spans="3:9" outlineLevel="1" x14ac:dyDescent="0.25">
      <c r="C270" s="115" t="s">
        <v>402</v>
      </c>
      <c r="D270" s="414">
        <f>D212</f>
        <v>23854420.011406928</v>
      </c>
      <c r="E270" s="414">
        <f>E212</f>
        <v>26681198.328318812</v>
      </c>
      <c r="F270" s="414">
        <f>F212</f>
        <v>27864820.861686617</v>
      </c>
      <c r="G270" s="414">
        <f>G212</f>
        <v>28930135.928186819</v>
      </c>
      <c r="H270" s="414">
        <f>H212</f>
        <v>36021508.659080833</v>
      </c>
    </row>
    <row r="271" spans="3:9" x14ac:dyDescent="0.25">
      <c r="D271" s="68"/>
      <c r="E271" s="68"/>
      <c r="F271" s="68"/>
      <c r="G271" s="68"/>
      <c r="H271" s="68"/>
    </row>
    <row r="272" spans="3:9" x14ac:dyDescent="0.25">
      <c r="D272" s="68"/>
      <c r="E272" s="68"/>
      <c r="F272" s="68"/>
      <c r="G272" s="68"/>
      <c r="H272" s="68"/>
    </row>
    <row r="273" spans="2:9" x14ac:dyDescent="0.25">
      <c r="B273" s="26" t="s">
        <v>453</v>
      </c>
    </row>
    <row r="275" spans="2:9" x14ac:dyDescent="0.25">
      <c r="C275" s="153" t="s">
        <v>456</v>
      </c>
    </row>
    <row r="276" spans="2:9" x14ac:dyDescent="0.25">
      <c r="C276" s="26" t="s">
        <v>418</v>
      </c>
      <c r="D276" s="154">
        <f>AVERAGE(D277,D280,D283)</f>
        <v>0.67630994598492145</v>
      </c>
      <c r="E276" s="154">
        <f>AVERAGE(E277,E280,E283)</f>
        <v>0.78828971975284701</v>
      </c>
      <c r="F276" s="154">
        <f>AVERAGE(F277,F280,F283)</f>
        <v>0.76559262799362449</v>
      </c>
      <c r="G276" s="154">
        <f>AVERAGE(G277,G280,G283)</f>
        <v>0.91906539710401225</v>
      </c>
      <c r="H276" s="154">
        <f>AVERAGE(H277,H280,H283)</f>
        <v>0.83733095963043713</v>
      </c>
    </row>
    <row r="277" spans="2:9" x14ac:dyDescent="0.25">
      <c r="C277" s="26" t="s">
        <v>451</v>
      </c>
      <c r="D277" s="154">
        <f>D278/D279</f>
        <v>0.55168089533687104</v>
      </c>
      <c r="E277" s="154">
        <f>E278/E279</f>
        <v>0.65843127041225846</v>
      </c>
      <c r="F277" s="154">
        <f>F278/F279</f>
        <v>0.62752498807858292</v>
      </c>
      <c r="G277" s="154">
        <f>G278/G279</f>
        <v>0.63582964621179483</v>
      </c>
      <c r="H277" s="154">
        <f>H278/H279</f>
        <v>0.78473767605672218</v>
      </c>
    </row>
    <row r="278" spans="2:9" outlineLevel="1" x14ac:dyDescent="0.25">
      <c r="C278" s="65" t="s">
        <v>454</v>
      </c>
      <c r="D278" s="67">
        <f>D25+'EF Sempertex 2011-2014 I'!B79</f>
        <v>8770336</v>
      </c>
      <c r="E278" s="67">
        <f>E25+'EF Sempertex 2011-2014 I'!C79</f>
        <v>11798478</v>
      </c>
      <c r="F278" s="67">
        <f>F25+'EF Sempertex 2011-2014 I'!D79</f>
        <v>12577959</v>
      </c>
      <c r="G278" s="67">
        <f>G25+'EF Sempertex 2011-2014 I'!E79</f>
        <v>15183446</v>
      </c>
      <c r="H278" s="67">
        <f>H25+'EF Sempertex 2015 I'!B44</f>
        <v>21576342</v>
      </c>
    </row>
    <row r="279" spans="2:9" outlineLevel="1" x14ac:dyDescent="0.25">
      <c r="C279" s="65" t="s">
        <v>402</v>
      </c>
      <c r="D279" s="67">
        <f>'EF Sempertex 2011-2014 I'!B80</f>
        <v>15897480</v>
      </c>
      <c r="E279" s="67">
        <f>'EF Sempertex 2011-2014 I'!C80</f>
        <v>17919073</v>
      </c>
      <c r="F279" s="67">
        <f>'EF Sempertex 2011-2014 I'!D80</f>
        <v>20043758</v>
      </c>
      <c r="G279" s="67">
        <f>'EF Sempertex 2011-2014 I'!E80</f>
        <v>23879739</v>
      </c>
      <c r="H279" s="67">
        <f>'EF Sempertex 2015 I'!B45</f>
        <v>27494974</v>
      </c>
    </row>
    <row r="280" spans="2:9" x14ac:dyDescent="0.25">
      <c r="C280" s="26" t="s">
        <v>333</v>
      </c>
      <c r="D280" s="154">
        <f>D281/D282</f>
        <v>0.78451996973536986</v>
      </c>
      <c r="E280" s="154">
        <f>E281/E282</f>
        <v>0.62520642787680847</v>
      </c>
      <c r="F280" s="154">
        <f>F281/F282</f>
        <v>0.75994642507183863</v>
      </c>
      <c r="G280" s="154">
        <f>G281/G282</f>
        <v>0.51148084107943004</v>
      </c>
      <c r="H280" s="154">
        <f>H281/H282</f>
        <v>0.64132787410520675</v>
      </c>
    </row>
    <row r="281" spans="2:9" outlineLevel="1" x14ac:dyDescent="0.25">
      <c r="C281" s="65" t="s">
        <v>454</v>
      </c>
      <c r="D281" s="67">
        <f>D30+'EF Latex de C 2011-2015'!B77</f>
        <v>2200260</v>
      </c>
      <c r="E281" s="67">
        <f>E30+'EF Latex de C 2011-2015'!C77</f>
        <v>1904290</v>
      </c>
      <c r="F281" s="67">
        <f>F30+'EF Latex de C 2011-2015'!D77</f>
        <v>2574814</v>
      </c>
      <c r="G281" s="67">
        <f>G30+'EF Latex de C 2011-2015'!E77</f>
        <v>2460252</v>
      </c>
      <c r="H281" s="67">
        <f>H30+'EF Latex de C 2011-2015'!F77</f>
        <v>2908234</v>
      </c>
    </row>
    <row r="282" spans="2:9" outlineLevel="1" x14ac:dyDescent="0.25">
      <c r="C282" s="65" t="s">
        <v>402</v>
      </c>
      <c r="D282" s="67">
        <f>'EF Latex de C 2011-2015'!B78</f>
        <v>2804594</v>
      </c>
      <c r="E282" s="67">
        <f>'EF Latex de C 2011-2015'!C78</f>
        <v>3045858</v>
      </c>
      <c r="F282" s="67">
        <f>'EF Latex de C 2011-2015'!D78</f>
        <v>3388152</v>
      </c>
      <c r="G282" s="67">
        <f>'EF Latex de C 2011-2015'!E78</f>
        <v>4810057</v>
      </c>
      <c r="H282" s="67">
        <f>'EF Latex de C 2011-2015'!F78</f>
        <v>4534707</v>
      </c>
    </row>
    <row r="283" spans="2:9" x14ac:dyDescent="0.25">
      <c r="C283" s="26" t="s">
        <v>334</v>
      </c>
      <c r="D283" s="154">
        <f>D284/D285</f>
        <v>0.69272897288252366</v>
      </c>
      <c r="E283" s="154">
        <f>E284/E285</f>
        <v>1.081231460969474</v>
      </c>
      <c r="F283" s="154">
        <f>F284/F285</f>
        <v>0.90930647083045191</v>
      </c>
      <c r="G283" s="154">
        <f>G284/G285</f>
        <v>1.6098857040208119</v>
      </c>
      <c r="H283" s="154">
        <f>H284/H285</f>
        <v>1.0859273287293827</v>
      </c>
    </row>
    <row r="284" spans="2:9" outlineLevel="1" x14ac:dyDescent="0.25">
      <c r="C284" s="65" t="s">
        <v>454</v>
      </c>
      <c r="D284" s="414">
        <f>D35</f>
        <v>16524647.87321024</v>
      </c>
      <c r="E284" s="414">
        <f>E35</f>
        <v>28848551.048944436</v>
      </c>
      <c r="F284" s="414">
        <f>F35</f>
        <v>25337661.918063011</v>
      </c>
      <c r="G284" s="414">
        <f>G35</f>
        <v>46574212.246166818</v>
      </c>
      <c r="H284" s="438">
        <f>H35</f>
        <v>39116740.674957976</v>
      </c>
      <c r="I284" t="s">
        <v>4069</v>
      </c>
    </row>
    <row r="285" spans="2:9" outlineLevel="1" x14ac:dyDescent="0.25">
      <c r="C285" s="65" t="s">
        <v>402</v>
      </c>
      <c r="D285" s="67">
        <f>'EF Bombatex 2011-2015'!B80</f>
        <v>23854420.011406928</v>
      </c>
      <c r="E285" s="67">
        <f>'EF Bombatex 2011-2015'!C80</f>
        <v>26681198.328318812</v>
      </c>
      <c r="F285" s="67">
        <f>'EF Bombatex 2011-2015'!D80</f>
        <v>27864820.861686617</v>
      </c>
      <c r="G285" s="67">
        <f>'EF Bombatex 2011-2015'!E80</f>
        <v>28930135.928186819</v>
      </c>
      <c r="H285" s="67">
        <f>'EF Bombatex 2011-2015'!F80</f>
        <v>36021508.659080833</v>
      </c>
    </row>
    <row r="287" spans="2:9" x14ac:dyDescent="0.25">
      <c r="C287" s="26" t="s">
        <v>455</v>
      </c>
    </row>
    <row r="288" spans="2:9" x14ac:dyDescent="0.25">
      <c r="C288" t="s">
        <v>418</v>
      </c>
      <c r="D288" s="81">
        <f>AVERAGE(D289,D290,D291)</f>
        <v>0.43831717578911561</v>
      </c>
      <c r="E288" s="81">
        <f>AVERAGE(E289,E290,E291)</f>
        <v>0.47771681136312077</v>
      </c>
      <c r="F288" s="81">
        <f>AVERAGE(F289,F290,F291)</f>
        <v>0.46151811339297594</v>
      </c>
      <c r="G288" s="81">
        <f>AVERAGE(G289,G290,G291)</f>
        <v>0.4713331346727761</v>
      </c>
      <c r="H288" s="81">
        <f>AVERAGE(H289,H290,H291)</f>
        <v>0.43548757541235422</v>
      </c>
    </row>
    <row r="289" spans="2:8" x14ac:dyDescent="0.25">
      <c r="C289" t="s">
        <v>451</v>
      </c>
      <c r="D289" s="81">
        <f>D278/D40</f>
        <v>0.43342338178659662</v>
      </c>
      <c r="E289" s="81">
        <f>E278/E40</f>
        <v>0.51177028300990623</v>
      </c>
      <c r="F289" s="81">
        <f>F278/F40</f>
        <v>0.43159402797917429</v>
      </c>
      <c r="G289" s="81">
        <f>G278/G40</f>
        <v>0.44681300993689066</v>
      </c>
      <c r="H289" s="81">
        <f>H278/H40</f>
        <v>0.52617516565744049</v>
      </c>
    </row>
    <row r="290" spans="2:8" x14ac:dyDescent="0.25">
      <c r="C290" t="s">
        <v>333</v>
      </c>
      <c r="D290" s="81">
        <f>D281/D43</f>
        <v>0.44373419509776024</v>
      </c>
      <c r="E290" s="81">
        <f>E281/E43</f>
        <v>0.38697129512614381</v>
      </c>
      <c r="F290" s="81">
        <f>F281/F43</f>
        <v>0.43534050228904198</v>
      </c>
      <c r="G290" s="81">
        <f>G281/G43</f>
        <v>0.33894594200650324</v>
      </c>
      <c r="H290" s="81">
        <f>H281/H43</f>
        <v>0.4034862961661897</v>
      </c>
    </row>
    <row r="291" spans="2:8" x14ac:dyDescent="0.25">
      <c r="C291" t="s">
        <v>334</v>
      </c>
      <c r="D291" s="81">
        <f>D284/D46</f>
        <v>0.43779395048299008</v>
      </c>
      <c r="E291" s="81">
        <f>E284/E46</f>
        <v>0.53440885595331233</v>
      </c>
      <c r="F291" s="81">
        <f>F284/F46</f>
        <v>0.51761980991071133</v>
      </c>
      <c r="G291" s="81">
        <f>G284/G46</f>
        <v>0.62824045207493451</v>
      </c>
      <c r="H291" s="81">
        <f>H284/H46</f>
        <v>0.37680126441343254</v>
      </c>
    </row>
    <row r="293" spans="2:8" x14ac:dyDescent="0.25">
      <c r="C293" s="26" t="s">
        <v>405</v>
      </c>
    </row>
    <row r="294" spans="2:8" x14ac:dyDescent="0.25">
      <c r="C294" t="s">
        <v>418</v>
      </c>
      <c r="D294" s="64">
        <f>AVERAGE(D295,D296,D297)</f>
        <v>1.541052641176087</v>
      </c>
      <c r="E294" s="64">
        <f>AVERAGE(E295,E296,E297)</f>
        <v>1.6418150252629868</v>
      </c>
      <c r="F294" s="64">
        <f>AVERAGE(F295,F296,F297)</f>
        <v>1.6521048695463325</v>
      </c>
      <c r="G294" s="64">
        <f>AVERAGE(G295,G296,G297)</f>
        <v>1.8315325873460555</v>
      </c>
      <c r="H294" s="64">
        <f>AVERAGE(H295,H296,H297)</f>
        <v>1.9876098146712327</v>
      </c>
    </row>
    <row r="295" spans="2:8" x14ac:dyDescent="0.25">
      <c r="C295" t="s">
        <v>451</v>
      </c>
      <c r="D295" s="64">
        <f>D40/D279</f>
        <v>1.2728452559776771</v>
      </c>
      <c r="E295" s="64">
        <f>E40/E279</f>
        <v>1.2865758178450415</v>
      </c>
      <c r="F295" s="64">
        <f>F40/F279</f>
        <v>1.4539705079257093</v>
      </c>
      <c r="G295" s="64">
        <f>G40/G279</f>
        <v>1.4230329736853489</v>
      </c>
      <c r="H295" s="64">
        <f>H40/H279</f>
        <v>1.4914000646081718</v>
      </c>
    </row>
    <row r="296" spans="2:8" x14ac:dyDescent="0.25">
      <c r="C296" t="s">
        <v>333</v>
      </c>
      <c r="D296" s="64">
        <f>D43/D282</f>
        <v>1.7679952962888745</v>
      </c>
      <c r="E296" s="64">
        <f>E43/E282</f>
        <v>1.6156403220373372</v>
      </c>
      <c r="F296" s="64">
        <f>F43/F282</f>
        <v>1.7456368545448964</v>
      </c>
      <c r="G296" s="64">
        <f>G43/G282</f>
        <v>1.5090336767318973</v>
      </c>
      <c r="H296" s="64">
        <f>H43/H282</f>
        <v>1.5894663095101844</v>
      </c>
    </row>
    <row r="297" spans="2:8" x14ac:dyDescent="0.25">
      <c r="C297" t="s">
        <v>334</v>
      </c>
      <c r="D297" s="64">
        <f>D46/D285</f>
        <v>1.5823173712617091</v>
      </c>
      <c r="E297" s="64">
        <f>E46/E285</f>
        <v>2.023228935906582</v>
      </c>
      <c r="F297" s="64">
        <f>F46/F285</f>
        <v>1.7567072461683915</v>
      </c>
      <c r="G297" s="64">
        <f>G46/G285</f>
        <v>2.5625311116209208</v>
      </c>
      <c r="H297" s="64">
        <f>H46/H285</f>
        <v>2.8819630698953422</v>
      </c>
    </row>
    <row r="298" spans="2:8" x14ac:dyDescent="0.25">
      <c r="D298" s="64"/>
      <c r="E298" s="64"/>
      <c r="F298" s="64"/>
      <c r="G298" s="64"/>
      <c r="H298" s="64"/>
    </row>
    <row r="299" spans="2:8" x14ac:dyDescent="0.25">
      <c r="D299" s="64"/>
      <c r="E299" s="64"/>
      <c r="F299" s="64"/>
      <c r="G299" s="64"/>
      <c r="H299" s="64"/>
    </row>
    <row r="300" spans="2:8" x14ac:dyDescent="0.25">
      <c r="B300" s="26" t="s">
        <v>4190</v>
      </c>
    </row>
    <row r="302" spans="2:8" x14ac:dyDescent="0.25">
      <c r="C302" s="26" t="s">
        <v>4063</v>
      </c>
    </row>
    <row r="303" spans="2:8" x14ac:dyDescent="0.25">
      <c r="C303" s="143" t="s">
        <v>418</v>
      </c>
      <c r="D303" s="440">
        <f>AVERAGE(D304,D308,D312)</f>
        <v>3.9778163205241981</v>
      </c>
      <c r="E303" s="440">
        <f t="shared" ref="E303:H303" si="162">AVERAGE(E304,E308,E312)</f>
        <v>2.6698657290266135</v>
      </c>
      <c r="F303" s="440">
        <f t="shared" si="162"/>
        <v>3.0500786087842044</v>
      </c>
      <c r="G303" s="440">
        <f t="shared" si="162"/>
        <v>4.3032248552774162</v>
      </c>
      <c r="H303" s="440">
        <f t="shared" si="162"/>
        <v>2.434905823444856</v>
      </c>
    </row>
    <row r="304" spans="2:8" x14ac:dyDescent="0.25">
      <c r="C304" s="143" t="s">
        <v>451</v>
      </c>
      <c r="D304" s="439">
        <f>D305/D307</f>
        <v>3.3006718649353894</v>
      </c>
      <c r="E304" s="439">
        <f t="shared" ref="E304:H304" si="163">E305/E307</f>
        <v>1.6829833107511887</v>
      </c>
      <c r="F304" s="439">
        <f t="shared" si="163"/>
        <v>1.8444730201534596</v>
      </c>
      <c r="G304" s="439">
        <f t="shared" si="163"/>
        <v>4.2697478559932351</v>
      </c>
      <c r="H304" s="439">
        <f t="shared" si="163"/>
        <v>3.9313404404477112</v>
      </c>
    </row>
    <row r="305" spans="3:9" outlineLevel="1" x14ac:dyDescent="0.25">
      <c r="C305" s="146" t="s">
        <v>4064</v>
      </c>
      <c r="D305" s="68">
        <f>'EF Sempertex 2011-2014 I'!B101</f>
        <v>4518783</v>
      </c>
      <c r="E305" s="68">
        <f>'EF Sempertex 2011-2014 I'!C101</f>
        <v>3955443</v>
      </c>
      <c r="F305" s="68">
        <f>'EF Sempertex 2011-2014 I'!D101</f>
        <v>4813939</v>
      </c>
      <c r="G305" s="68">
        <f>'EF Sempertex 2011-2014 I'!E101</f>
        <v>12738994</v>
      </c>
      <c r="H305" s="68">
        <f>'EF Sempertex 2015 I'!B64</f>
        <v>16294680</v>
      </c>
    </row>
    <row r="306" spans="3:9" outlineLevel="1" x14ac:dyDescent="0.25">
      <c r="C306" s="146" t="s">
        <v>4065</v>
      </c>
      <c r="D306" s="513">
        <f>'EF Sempertex 2011-2014 I'!B103</f>
        <v>6422166</v>
      </c>
      <c r="E306" s="513">
        <f>'EF Sempertex 2011-2014 I'!C103</f>
        <v>5246841</v>
      </c>
      <c r="F306" s="513">
        <f>'EF Sempertex 2011-2014 I'!D103</f>
        <v>5450656</v>
      </c>
      <c r="G306" s="513">
        <f>'EF Sempertex 2011-2014 I'!E103</f>
        <v>16347494</v>
      </c>
      <c r="H306" s="513">
        <f>'EF Sempertex 2015 I'!B66</f>
        <v>61097885</v>
      </c>
      <c r="I306" t="s">
        <v>4113</v>
      </c>
    </row>
    <row r="307" spans="3:9" outlineLevel="1" x14ac:dyDescent="0.25">
      <c r="C307" s="146" t="s">
        <v>4112</v>
      </c>
      <c r="D307" s="438">
        <f>D321*D248</f>
        <v>1369049.4495999999</v>
      </c>
      <c r="E307" s="438">
        <f>E321*E248</f>
        <v>2350256.8175999997</v>
      </c>
      <c r="F307" s="438">
        <f>F321*F248</f>
        <v>2609926.4924999997</v>
      </c>
      <c r="G307" s="438">
        <f>G321*G248</f>
        <v>2983547.139</v>
      </c>
      <c r="H307" s="438">
        <f>H321*H248</f>
        <v>4144815.2982000001</v>
      </c>
      <c r="I307" t="s">
        <v>4114</v>
      </c>
    </row>
    <row r="308" spans="3:9" x14ac:dyDescent="0.25">
      <c r="C308" s="143" t="s">
        <v>333</v>
      </c>
      <c r="D308" s="439">
        <f>D309/D311</f>
        <v>1.5236799252418445</v>
      </c>
      <c r="E308" s="439">
        <f t="shared" ref="E308" si="164">E309/E311</f>
        <v>2.4299894545861691</v>
      </c>
      <c r="F308" s="439">
        <f t="shared" ref="F308" si="165">F309/F311</f>
        <v>2.2134507954304823</v>
      </c>
      <c r="G308" s="439">
        <f t="shared" ref="G308" si="166">G309/G311</f>
        <v>2.466817369282583</v>
      </c>
      <c r="H308" s="439">
        <f t="shared" ref="H308" si="167">H309/H311</f>
        <v>1.2929202133272566</v>
      </c>
    </row>
    <row r="309" spans="3:9" outlineLevel="1" x14ac:dyDescent="0.25">
      <c r="C309" s="146" t="s">
        <v>4064</v>
      </c>
      <c r="D309" s="68">
        <f>'EF Latex de C 2011-2015'!B100</f>
        <v>523324</v>
      </c>
      <c r="E309" s="68">
        <f>'EF Latex de C 2011-2015'!C100</f>
        <v>921779</v>
      </c>
      <c r="F309" s="68">
        <f>'EF Latex de C 2011-2015'!D100</f>
        <v>1182589</v>
      </c>
      <c r="G309" s="68">
        <f>'EF Latex de C 2011-2015'!E100</f>
        <v>1192557</v>
      </c>
      <c r="H309" s="68">
        <f>'EF Latex de C 2011-2015'!F100</f>
        <v>722318</v>
      </c>
    </row>
    <row r="310" spans="3:9" outlineLevel="1" x14ac:dyDescent="0.25">
      <c r="C310" s="146" t="s">
        <v>4065</v>
      </c>
      <c r="D310" s="513">
        <f>'EF Latex de C 2011-2015'!B102</f>
        <v>1091892</v>
      </c>
      <c r="E310" s="513">
        <f>'EF Latex de C 2011-2015'!C102</f>
        <v>869642</v>
      </c>
      <c r="F310" s="513">
        <f>'EF Latex de C 2011-2015'!D102</f>
        <v>853777</v>
      </c>
      <c r="G310" s="513">
        <f>'EF Latex de C 2011-2015'!E102</f>
        <v>1276379</v>
      </c>
      <c r="H310" s="513">
        <f>'EF Latex de C 2011-2015'!F102</f>
        <v>1371672</v>
      </c>
      <c r="I310" t="s">
        <v>4113</v>
      </c>
    </row>
    <row r="311" spans="3:9" outlineLevel="1" x14ac:dyDescent="0.25">
      <c r="C311" s="146" t="s">
        <v>4112</v>
      </c>
      <c r="D311" s="438">
        <f>D324*D257</f>
        <v>343460.58599999995</v>
      </c>
      <c r="E311" s="438">
        <f>E324*E257</f>
        <v>379334.56799999997</v>
      </c>
      <c r="F311" s="438">
        <f>F324*F257</f>
        <v>534273.90500000003</v>
      </c>
      <c r="G311" s="438">
        <f>G324*G257</f>
        <v>483439.51800000004</v>
      </c>
      <c r="H311" s="438">
        <f>H324*H257</f>
        <v>558671.75139999995</v>
      </c>
      <c r="I311" t="s">
        <v>4114</v>
      </c>
    </row>
    <row r="312" spans="3:9" x14ac:dyDescent="0.25">
      <c r="C312" s="143" t="s">
        <v>334</v>
      </c>
      <c r="D312" s="439">
        <f>D313/D315</f>
        <v>7.1090971713953595</v>
      </c>
      <c r="E312" s="439">
        <f t="shared" ref="E312" si="168">E313/E315</f>
        <v>3.8966244217424824</v>
      </c>
      <c r="F312" s="439">
        <f t="shared" ref="F312" si="169">F313/F315</f>
        <v>5.092312010768671</v>
      </c>
      <c r="G312" s="439">
        <f t="shared" ref="G312" si="170">G313/G315</f>
        <v>6.1731093405564286</v>
      </c>
      <c r="H312" s="439">
        <f t="shared" ref="H312" si="171">H313/H315</f>
        <v>2.0804568165596002</v>
      </c>
    </row>
    <row r="313" spans="3:9" outlineLevel="1" x14ac:dyDescent="0.25">
      <c r="C313" s="146" t="s">
        <v>4064</v>
      </c>
      <c r="D313" s="68">
        <f>'EF Bombatex 2011-2015'!B99</f>
        <v>10338864.171251331</v>
      </c>
      <c r="E313" s="68">
        <f>'EF Bombatex 2011-2015'!C99</f>
        <v>10126136.138077112</v>
      </c>
      <c r="F313" s="68">
        <f>'EF Bombatex 2011-2015'!D99</f>
        <v>12494836.959565133</v>
      </c>
      <c r="G313" s="68">
        <f>'EF Bombatex 2011-2015'!E99</f>
        <v>13413512.127994984</v>
      </c>
      <c r="H313" s="68">
        <f>'EF Bombatex 2011-2015'!F99</f>
        <v>18249967.707242284</v>
      </c>
    </row>
    <row r="314" spans="3:9" outlineLevel="1" x14ac:dyDescent="0.25">
      <c r="C314" s="146" t="s">
        <v>4065</v>
      </c>
      <c r="D314" s="438">
        <f>'EF Bombatex 2011-2015'!B100</f>
        <v>1454314.6509308494</v>
      </c>
      <c r="E314" s="438">
        <f>'EF Bombatex 2011-2015'!C100</f>
        <v>2598694.419091315</v>
      </c>
      <c r="F314" s="438">
        <f>'EF Bombatex 2011-2015'!D100</f>
        <v>2453666.8085424462</v>
      </c>
      <c r="G314" s="438">
        <f>'EF Bombatex 2011-2015'!E100</f>
        <v>2172893.980650912</v>
      </c>
      <c r="H314" s="438">
        <f>'EF Bombatex 2011-2015'!F100</f>
        <v>8772096.3790163174</v>
      </c>
    </row>
    <row r="315" spans="3:9" outlineLevel="1" x14ac:dyDescent="0.25">
      <c r="C315" s="146" t="s">
        <v>4112</v>
      </c>
      <c r="D315" s="438">
        <f>D327*D266</f>
        <v>1454314.6509308494</v>
      </c>
      <c r="E315" s="438">
        <f>E327*E266</f>
        <v>2598694.419091315</v>
      </c>
      <c r="F315" s="438">
        <f>F327*F266</f>
        <v>2453666.8085424462</v>
      </c>
      <c r="G315" s="438">
        <f>G327*G266</f>
        <v>2172893.980650912</v>
      </c>
      <c r="H315" s="438">
        <f>H327*H266</f>
        <v>8772096.3790163174</v>
      </c>
      <c r="I315" t="s">
        <v>4115</v>
      </c>
    </row>
    <row r="317" spans="3:9" x14ac:dyDescent="0.25">
      <c r="C317" s="26" t="s">
        <v>4066</v>
      </c>
    </row>
    <row r="318" spans="3:9" x14ac:dyDescent="0.25">
      <c r="C318" s="143" t="s">
        <v>418</v>
      </c>
      <c r="D318" s="155">
        <f>AVERAGE(D319,D322,D325)</f>
        <v>0.57036216462844835</v>
      </c>
      <c r="E318" s="155">
        <f t="shared" ref="E318:H318" si="172">AVERAGE(E319,E322,E325)</f>
        <v>0.59061779119129676</v>
      </c>
      <c r="F318" s="155">
        <f t="shared" si="172"/>
        <v>0.62946007511982727</v>
      </c>
      <c r="G318" s="155">
        <f t="shared" si="172"/>
        <v>0.61483209322648102</v>
      </c>
      <c r="H318" s="155">
        <f t="shared" si="172"/>
        <v>0.63610730168210194</v>
      </c>
    </row>
    <row r="319" spans="3:9" x14ac:dyDescent="0.25">
      <c r="C319" s="143" t="s">
        <v>451</v>
      </c>
      <c r="D319" s="154">
        <f>D320/D321</f>
        <v>3.2137879324121675E-3</v>
      </c>
      <c r="E319" s="154">
        <f t="shared" ref="E319:H319" si="173">E320/E321</f>
        <v>2.5849351077316923E-2</v>
      </c>
      <c r="F319" s="154">
        <f t="shared" si="173"/>
        <v>1.7065248821370782E-2</v>
      </c>
      <c r="G319" s="154">
        <f t="shared" si="173"/>
        <v>0.33655034568568953</v>
      </c>
      <c r="H319" s="154">
        <f t="shared" si="173"/>
        <v>0.62120126757353034</v>
      </c>
    </row>
    <row r="320" spans="3:9" outlineLevel="1" x14ac:dyDescent="0.25">
      <c r="C320" s="146" t="s">
        <v>4067</v>
      </c>
      <c r="D320" s="68">
        <f>D25</f>
        <v>28186</v>
      </c>
      <c r="E320" s="68">
        <f>E25</f>
        <v>304983</v>
      </c>
      <c r="F320" s="68">
        <f>F25</f>
        <v>214646</v>
      </c>
      <c r="G320" s="68">
        <f>G25</f>
        <v>5109994</v>
      </c>
      <c r="H320" s="68">
        <f>H25</f>
        <v>13403251</v>
      </c>
    </row>
    <row r="321" spans="3:9" outlineLevel="1" x14ac:dyDescent="0.25">
      <c r="C321" s="146" t="s">
        <v>4068</v>
      </c>
      <c r="D321" s="68">
        <f>D278</f>
        <v>8770336</v>
      </c>
      <c r="E321" s="68">
        <f>E278</f>
        <v>11798478</v>
      </c>
      <c r="F321" s="68">
        <f>F278</f>
        <v>12577959</v>
      </c>
      <c r="G321" s="68">
        <f>G278</f>
        <v>15183446</v>
      </c>
      <c r="H321" s="68">
        <f>H278</f>
        <v>21576342</v>
      </c>
    </row>
    <row r="322" spans="3:9" x14ac:dyDescent="0.25">
      <c r="C322" s="143" t="s">
        <v>333</v>
      </c>
      <c r="D322" s="154">
        <f>D323/D324</f>
        <v>0.70787270595293283</v>
      </c>
      <c r="E322" s="154">
        <f t="shared" ref="E322" si="174">E323/E324</f>
        <v>0.74600402249657349</v>
      </c>
      <c r="F322" s="154">
        <f t="shared" ref="F322" si="175">F323/F324</f>
        <v>0.87131497653811107</v>
      </c>
      <c r="G322" s="154">
        <f t="shared" ref="G322" si="176">G323/G324</f>
        <v>0.50794593399375354</v>
      </c>
      <c r="H322" s="154">
        <f t="shared" ref="H322" si="177">H323/H324</f>
        <v>0.28712063747277555</v>
      </c>
    </row>
    <row r="323" spans="3:9" outlineLevel="1" x14ac:dyDescent="0.25">
      <c r="C323" s="146" t="s">
        <v>4067</v>
      </c>
      <c r="D323" s="68">
        <f>D30</f>
        <v>1557504</v>
      </c>
      <c r="E323" s="68">
        <f>E30</f>
        <v>1420608</v>
      </c>
      <c r="F323" s="68">
        <f>F30</f>
        <v>2243474</v>
      </c>
      <c r="G323" s="68">
        <f>G30</f>
        <v>1249675</v>
      </c>
      <c r="H323" s="68">
        <f>H30</f>
        <v>835014</v>
      </c>
    </row>
    <row r="324" spans="3:9" outlineLevel="1" x14ac:dyDescent="0.25">
      <c r="C324" s="146" t="s">
        <v>4068</v>
      </c>
      <c r="D324" s="68">
        <f>D281</f>
        <v>2200260</v>
      </c>
      <c r="E324" s="68">
        <f>E281</f>
        <v>1904290</v>
      </c>
      <c r="F324" s="68">
        <f>F281</f>
        <v>2574814</v>
      </c>
      <c r="G324" s="68">
        <f>G281</f>
        <v>2460252</v>
      </c>
      <c r="H324" s="68">
        <f>H281</f>
        <v>2908234</v>
      </c>
    </row>
    <row r="325" spans="3:9" x14ac:dyDescent="0.25">
      <c r="C325" s="143" t="s">
        <v>334</v>
      </c>
      <c r="D325" s="154">
        <f>D326/D327</f>
        <v>1</v>
      </c>
      <c r="E325" s="154">
        <f t="shared" ref="E325" si="178">E326/E327</f>
        <v>1</v>
      </c>
      <c r="F325" s="154">
        <f t="shared" ref="F325" si="179">F326/F327</f>
        <v>1</v>
      </c>
      <c r="G325" s="154">
        <f t="shared" ref="G325" si="180">G326/G327</f>
        <v>1</v>
      </c>
      <c r="H325" s="154">
        <f t="shared" ref="H325" si="181">H326/H327</f>
        <v>1</v>
      </c>
    </row>
    <row r="326" spans="3:9" outlineLevel="1" x14ac:dyDescent="0.25">
      <c r="C326" s="146" t="s">
        <v>4067</v>
      </c>
      <c r="D326" s="68">
        <f>D35</f>
        <v>16524647.87321024</v>
      </c>
      <c r="E326" s="68">
        <f>E35</f>
        <v>28848551.048944436</v>
      </c>
      <c r="F326" s="68">
        <f>F35</f>
        <v>25337661.918063011</v>
      </c>
      <c r="G326" s="68">
        <f>G35</f>
        <v>46574212.246166818</v>
      </c>
      <c r="H326" s="438">
        <f>H35</f>
        <v>39116740.674957976</v>
      </c>
      <c r="I326" t="s">
        <v>4069</v>
      </c>
    </row>
    <row r="327" spans="3:9" outlineLevel="1" x14ac:dyDescent="0.25">
      <c r="C327" s="146" t="s">
        <v>4068</v>
      </c>
      <c r="D327" s="68">
        <f>D284</f>
        <v>16524647.87321024</v>
      </c>
      <c r="E327" s="68">
        <f>E284</f>
        <v>28848551.048944436</v>
      </c>
      <c r="F327" s="68">
        <f>F284</f>
        <v>25337661.918063011</v>
      </c>
      <c r="G327" s="68">
        <f>G284</f>
        <v>46574212.246166818</v>
      </c>
      <c r="H327" s="68">
        <f>H284</f>
        <v>39116740.674957976</v>
      </c>
    </row>
  </sheetData>
  <mergeCells count="1">
    <mergeCell ref="J20:K2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2:P172"/>
  <sheetViews>
    <sheetView topLeftCell="A14" workbookViewId="0">
      <selection activeCell="D29" sqref="D29"/>
    </sheetView>
  </sheetViews>
  <sheetFormatPr baseColWidth="10" defaultRowHeight="15" outlineLevelRow="1" x14ac:dyDescent="0.25"/>
  <cols>
    <col min="1" max="1" width="3.625" customWidth="1"/>
    <col min="2" max="2" width="35.25" bestFit="1" customWidth="1"/>
    <col min="3" max="8" width="12.625" customWidth="1"/>
    <col min="10" max="12" width="11.625" bestFit="1" customWidth="1"/>
    <col min="13" max="13" width="11.75" bestFit="1" customWidth="1"/>
    <col min="14" max="15" width="11.625" bestFit="1" customWidth="1"/>
  </cols>
  <sheetData>
    <row r="2" spans="2:15" x14ac:dyDescent="0.25">
      <c r="C2" s="26">
        <v>2015</v>
      </c>
      <c r="D2" s="26">
        <f>C2+1</f>
        <v>2016</v>
      </c>
      <c r="E2" s="26">
        <f t="shared" ref="E2:H2" si="0">D2+1</f>
        <v>2017</v>
      </c>
      <c r="F2" s="26">
        <f t="shared" si="0"/>
        <v>2018</v>
      </c>
      <c r="G2" s="26">
        <f t="shared" si="0"/>
        <v>2019</v>
      </c>
      <c r="H2" s="26">
        <f t="shared" si="0"/>
        <v>2020</v>
      </c>
    </row>
    <row r="4" spans="2:15" x14ac:dyDescent="0.25">
      <c r="B4" s="26" t="s">
        <v>4252</v>
      </c>
      <c r="C4" s="26"/>
      <c r="D4" s="155">
        <f>C155</f>
        <v>8.33469515172479E-2</v>
      </c>
      <c r="E4" s="155">
        <f t="shared" ref="E4:H4" si="1">D155</f>
        <v>8.8341811011103513E-2</v>
      </c>
      <c r="F4" s="155">
        <f t="shared" si="1"/>
        <v>9.3206269933787084E-2</v>
      </c>
      <c r="G4" s="155">
        <f t="shared" si="1"/>
        <v>9.7901006809679406E-2</v>
      </c>
      <c r="H4" s="155">
        <f t="shared" si="1"/>
        <v>0.10239249335670521</v>
      </c>
    </row>
    <row r="5" spans="2:15" x14ac:dyDescent="0.25">
      <c r="B5" s="26" t="s">
        <v>4207</v>
      </c>
      <c r="C5" s="155">
        <f>CERTIFICADO1!E330</f>
        <v>0.19209999999999999</v>
      </c>
      <c r="D5" s="155">
        <f>C5</f>
        <v>0.19209999999999999</v>
      </c>
      <c r="E5" s="155">
        <f t="shared" ref="E5:H8" si="2">D5</f>
        <v>0.19209999999999999</v>
      </c>
      <c r="F5" s="155">
        <f t="shared" si="2"/>
        <v>0.19209999999999999</v>
      </c>
      <c r="G5" s="155">
        <f t="shared" si="2"/>
        <v>0.19209999999999999</v>
      </c>
      <c r="H5" s="155">
        <f t="shared" si="2"/>
        <v>0.19209999999999999</v>
      </c>
    </row>
    <row r="6" spans="2:15" x14ac:dyDescent="0.25">
      <c r="B6" s="26" t="s">
        <v>396</v>
      </c>
      <c r="C6" s="155">
        <f>C61/C60</f>
        <v>0.39993543457368314</v>
      </c>
      <c r="D6" s="155">
        <f>C6</f>
        <v>0.39993543457368314</v>
      </c>
      <c r="E6" s="155">
        <f t="shared" si="2"/>
        <v>0.39993543457368314</v>
      </c>
      <c r="F6" s="155">
        <f t="shared" si="2"/>
        <v>0.39993543457368314</v>
      </c>
      <c r="G6" s="155">
        <f t="shared" si="2"/>
        <v>0.39993543457368314</v>
      </c>
      <c r="H6" s="155">
        <f t="shared" si="2"/>
        <v>0.39993543457368314</v>
      </c>
    </row>
    <row r="7" spans="2:15" x14ac:dyDescent="0.25">
      <c r="B7" s="26" t="s">
        <v>4209</v>
      </c>
      <c r="C7" s="155">
        <f>C64/C62</f>
        <v>0.45848091445837758</v>
      </c>
      <c r="D7" s="155">
        <f>C7</f>
        <v>0.45848091445837758</v>
      </c>
      <c r="E7" s="155">
        <f t="shared" si="2"/>
        <v>0.45848091445837758</v>
      </c>
      <c r="F7" s="155">
        <f t="shared" si="2"/>
        <v>0.45848091445837758</v>
      </c>
      <c r="G7" s="155">
        <f t="shared" si="2"/>
        <v>0.45848091445837758</v>
      </c>
      <c r="H7" s="155">
        <f t="shared" si="2"/>
        <v>0.45848091445837758</v>
      </c>
    </row>
    <row r="8" spans="2:15" x14ac:dyDescent="0.25">
      <c r="B8" s="26" t="s">
        <v>4210</v>
      </c>
      <c r="C8" s="532">
        <f>Supuestos!I26</f>
        <v>8.7940209281263254E-2</v>
      </c>
      <c r="D8" s="155">
        <f>C8</f>
        <v>8.7940209281263254E-2</v>
      </c>
      <c r="E8" s="155">
        <f t="shared" si="2"/>
        <v>8.7940209281263254E-2</v>
      </c>
      <c r="F8" s="155">
        <f t="shared" si="2"/>
        <v>8.7940209281263254E-2</v>
      </c>
      <c r="G8" s="155">
        <f t="shared" si="2"/>
        <v>8.7940209281263254E-2</v>
      </c>
      <c r="H8" s="155">
        <f t="shared" si="2"/>
        <v>8.7940209281263254E-2</v>
      </c>
    </row>
    <row r="9" spans="2:15" x14ac:dyDescent="0.25">
      <c r="D9" s="64"/>
      <c r="E9" s="64"/>
      <c r="F9" s="64"/>
      <c r="G9" s="64"/>
      <c r="H9" s="64"/>
    </row>
    <row r="11" spans="2:15" x14ac:dyDescent="0.25">
      <c r="B11" s="482" t="s">
        <v>4205</v>
      </c>
      <c r="C11" s="482"/>
      <c r="D11" s="482"/>
      <c r="E11" s="482"/>
      <c r="F11" s="482"/>
      <c r="G11" s="482"/>
      <c r="H11" s="482"/>
    </row>
    <row r="13" spans="2:15" x14ac:dyDescent="0.25">
      <c r="B13" s="78" t="s">
        <v>4124</v>
      </c>
      <c r="C13" s="87">
        <f>'EF Sempertex 2015 I'!B27</f>
        <v>9879131</v>
      </c>
      <c r="D13" s="87">
        <f>C13</f>
        <v>9879131</v>
      </c>
      <c r="E13" s="87">
        <f t="shared" ref="E13:H13" si="3">D13</f>
        <v>9879131</v>
      </c>
      <c r="F13" s="87">
        <f t="shared" si="3"/>
        <v>9879131</v>
      </c>
      <c r="G13" s="87">
        <f t="shared" si="3"/>
        <v>9879131</v>
      </c>
      <c r="H13" s="87">
        <f t="shared" si="3"/>
        <v>9879131</v>
      </c>
    </row>
    <row r="14" spans="2:15" s="521" customFormat="1" ht="5.0999999999999996" customHeight="1" x14ac:dyDescent="0.25">
      <c r="B14" s="519"/>
      <c r="C14" s="520"/>
    </row>
    <row r="15" spans="2:15" x14ac:dyDescent="0.25">
      <c r="B15" s="78" t="s">
        <v>379</v>
      </c>
      <c r="C15" s="87">
        <f t="shared" ref="C15:H15" si="4">C16+C21</f>
        <v>41006006</v>
      </c>
      <c r="D15" s="87">
        <f t="shared" si="4"/>
        <v>44423731.593997978</v>
      </c>
      <c r="E15" s="87">
        <f t="shared" si="4"/>
        <v>48348204.494882941</v>
      </c>
      <c r="F15" s="87">
        <f t="shared" si="4"/>
        <v>52854560.293846928</v>
      </c>
      <c r="G15" s="87">
        <f t="shared" si="4"/>
        <v>58029074.961097449</v>
      </c>
      <c r="H15" s="87">
        <f t="shared" si="4"/>
        <v>63970816.633547366</v>
      </c>
      <c r="J15" s="92">
        <f t="shared" ref="J15:O15" si="5">C47/C15</f>
        <v>2.3548257784481619</v>
      </c>
      <c r="K15" s="92">
        <f t="shared" si="5"/>
        <v>2.3548257784481619</v>
      </c>
      <c r="L15" s="92">
        <f t="shared" si="5"/>
        <v>2.3548257784481619</v>
      </c>
      <c r="M15" s="92">
        <f t="shared" si="5"/>
        <v>2.3548257784481619</v>
      </c>
      <c r="N15" s="92">
        <f t="shared" si="5"/>
        <v>2.3548257784481619</v>
      </c>
      <c r="O15" s="92">
        <f t="shared" si="5"/>
        <v>2.3548257784481619</v>
      </c>
    </row>
    <row r="16" spans="2:15" x14ac:dyDescent="0.25">
      <c r="B16" s="143" t="s">
        <v>338</v>
      </c>
      <c r="C16" s="165">
        <f>C17+C18-C20-C19</f>
        <v>26070389</v>
      </c>
      <c r="D16" s="165">
        <f>D47/C98</f>
        <v>28243276.448018793</v>
      </c>
      <c r="E16" s="165">
        <f>E47/D98</f>
        <v>30738338.638324022</v>
      </c>
      <c r="F16" s="165">
        <f>F47/E98</f>
        <v>33603344.526763804</v>
      </c>
      <c r="G16" s="165">
        <f>G47/F98</f>
        <v>36893145.788106509</v>
      </c>
      <c r="H16" s="165">
        <f>H47/G98</f>
        <v>40670726.973123163</v>
      </c>
      <c r="K16" s="165" t="b">
        <f>K15=J15</f>
        <v>1</v>
      </c>
      <c r="L16" s="165" t="b">
        <f>L15=K15</f>
        <v>1</v>
      </c>
      <c r="M16" s="165" t="b">
        <f t="shared" ref="M16:O16" si="6">M15=L15</f>
        <v>1</v>
      </c>
      <c r="N16" s="165" t="b">
        <f t="shared" si="6"/>
        <v>1</v>
      </c>
      <c r="O16" s="165" t="b">
        <f t="shared" si="6"/>
        <v>1</v>
      </c>
    </row>
    <row r="17" spans="2:15" x14ac:dyDescent="0.25">
      <c r="B17" s="146" t="s">
        <v>4196</v>
      </c>
      <c r="C17" s="67">
        <f>'EF Sempertex 2015 I'!B28</f>
        <v>18926109</v>
      </c>
      <c r="D17" s="67">
        <f t="shared" ref="D17:H18" si="7">D47/C91</f>
        <v>20503542.489233147</v>
      </c>
      <c r="E17" s="67">
        <f t="shared" si="7"/>
        <v>22314862.564875115</v>
      </c>
      <c r="F17" s="67">
        <f t="shared" si="7"/>
        <v>24394747.668632224</v>
      </c>
      <c r="G17" s="67">
        <f t="shared" si="7"/>
        <v>26783018.026259396</v>
      </c>
      <c r="H17" s="67">
        <f t="shared" si="7"/>
        <v>29525398.021585681</v>
      </c>
      <c r="I17" s="68"/>
      <c r="J17" s="68"/>
      <c r="K17" s="68"/>
      <c r="L17" s="68"/>
      <c r="M17" s="68"/>
      <c r="N17" s="68"/>
      <c r="O17" s="68"/>
    </row>
    <row r="18" spans="2:15" x14ac:dyDescent="0.25">
      <c r="B18" s="146" t="s">
        <v>4197</v>
      </c>
      <c r="C18" s="67">
        <f>'EF Sempertex 2015 I'!B29</f>
        <v>29464218</v>
      </c>
      <c r="D18" s="67">
        <f t="shared" si="7"/>
        <v>31919970.749139629</v>
      </c>
      <c r="E18" s="67">
        <f t="shared" si="7"/>
        <v>34739838.77254007</v>
      </c>
      <c r="F18" s="67">
        <f t="shared" si="7"/>
        <v>37977809.562629685</v>
      </c>
      <c r="G18" s="67">
        <f t="shared" si="7"/>
        <v>41695875.355237395</v>
      </c>
      <c r="H18" s="67">
        <f t="shared" si="7"/>
        <v>45965219.995550551</v>
      </c>
    </row>
    <row r="19" spans="2:15" x14ac:dyDescent="0.25">
      <c r="B19" s="146" t="s">
        <v>4198</v>
      </c>
      <c r="C19" s="67">
        <f>'EF Sempertex 2015 I'!B38</f>
        <v>17889996</v>
      </c>
      <c r="D19" s="67">
        <f>D95/C93</f>
        <v>17556689.920919523</v>
      </c>
      <c r="E19" s="67">
        <f>E95/D93</f>
        <v>19152726.477181565</v>
      </c>
      <c r="F19" s="67">
        <f>F95/E93</f>
        <v>20985407.90276821</v>
      </c>
      <c r="G19" s="67">
        <f>G95/F93</f>
        <v>23089821.610908132</v>
      </c>
      <c r="H19" s="67">
        <f>H95/G93</f>
        <v>25506257.437221833</v>
      </c>
    </row>
    <row r="20" spans="2:15" x14ac:dyDescent="0.25">
      <c r="B20" s="146" t="s">
        <v>4251</v>
      </c>
      <c r="C20" s="67">
        <f>'EF Sempertex 2015 I'!B36+'EF Sempertex 2015 I'!B39+'EF Sempertex 2015 I'!B41</f>
        <v>4429942</v>
      </c>
      <c r="D20" s="529">
        <f>D17+D18-D19-D16</f>
        <v>6623546.8694344573</v>
      </c>
      <c r="E20" s="529">
        <f t="shared" ref="E20:H20" si="8">E17+E18-E19-E16</f>
        <v>7163636.2219095975</v>
      </c>
      <c r="F20" s="529">
        <f t="shared" si="8"/>
        <v>7783804.8017298952</v>
      </c>
      <c r="G20" s="529">
        <f t="shared" si="8"/>
        <v>8495925.9824821427</v>
      </c>
      <c r="H20" s="529">
        <f t="shared" si="8"/>
        <v>9313633.6067912355</v>
      </c>
      <c r="I20" t="s">
        <v>4243</v>
      </c>
    </row>
    <row r="21" spans="2:15" x14ac:dyDescent="0.25">
      <c r="B21" s="143" t="s">
        <v>4085</v>
      </c>
      <c r="C21" s="165">
        <f>C22-C23+C24</f>
        <v>14935617</v>
      </c>
      <c r="D21" s="165">
        <f>D47/C99</f>
        <v>16180455.145979183</v>
      </c>
      <c r="E21" s="165">
        <f>E47/D99</f>
        <v>17609865.856558915</v>
      </c>
      <c r="F21" s="165">
        <f>F47/E99</f>
        <v>19251215.767083123</v>
      </c>
      <c r="G21" s="165">
        <f>G47/F99</f>
        <v>21135929.172990937</v>
      </c>
      <c r="H21" s="165">
        <f>H47/G99</f>
        <v>23300089.660424203</v>
      </c>
    </row>
    <row r="22" spans="2:15" x14ac:dyDescent="0.25">
      <c r="B22" s="115" t="s">
        <v>4193</v>
      </c>
      <c r="C22" s="132">
        <f>'EF Sempertex 2015 I'!B31+C23</f>
        <v>18797249</v>
      </c>
      <c r="D22" s="132">
        <f>D21+D23-D24</f>
        <v>21249660.667159714</v>
      </c>
      <c r="E22" s="132">
        <f t="shared" ref="E22:H22" si="9">E21+E23-E24</f>
        <v>23993324.130710125</v>
      </c>
      <c r="F22" s="132">
        <f t="shared" si="9"/>
        <v>27071423.391059615</v>
      </c>
      <c r="G22" s="132">
        <f t="shared" si="9"/>
        <v>30533545.354673762</v>
      </c>
      <c r="H22" s="132">
        <f t="shared" si="9"/>
        <v>34436629.195079118</v>
      </c>
      <c r="J22" s="68"/>
      <c r="K22" s="68"/>
      <c r="L22" s="68"/>
      <c r="M22" s="68"/>
      <c r="N22" s="68"/>
      <c r="O22" s="68"/>
    </row>
    <row r="23" spans="2:15" x14ac:dyDescent="0.25">
      <c r="B23" s="115" t="s">
        <v>4194</v>
      </c>
      <c r="C23" s="132">
        <f>'Flujo de Caja'!H7</f>
        <v>3863094</v>
      </c>
      <c r="D23" s="414">
        <f>C23+D53</f>
        <v>5070667.5211805329</v>
      </c>
      <c r="E23" s="414">
        <f>D23+E53</f>
        <v>6384920.2741512097</v>
      </c>
      <c r="F23" s="414">
        <f>E23+F53</f>
        <v>7821669.6239764933</v>
      </c>
      <c r="G23" s="414">
        <f>F23+G53</f>
        <v>9399078.1816828251</v>
      </c>
      <c r="H23" s="414">
        <f>G23+H53</f>
        <v>11138001.534654912</v>
      </c>
    </row>
    <row r="24" spans="2:15" x14ac:dyDescent="0.25">
      <c r="B24" s="115" t="s">
        <v>4195</v>
      </c>
      <c r="C24">
        <f>'EF Sempertex 2015 I'!B32</f>
        <v>1462</v>
      </c>
      <c r="D24" s="530">
        <f>C24</f>
        <v>1462</v>
      </c>
      <c r="E24" s="530">
        <f t="shared" ref="E24:H24" si="10">D24</f>
        <v>1462</v>
      </c>
      <c r="F24" s="530">
        <f t="shared" si="10"/>
        <v>1462</v>
      </c>
      <c r="G24" s="530">
        <f t="shared" si="10"/>
        <v>1462</v>
      </c>
      <c r="H24" s="530">
        <f t="shared" si="10"/>
        <v>1462</v>
      </c>
    </row>
    <row r="25" spans="2:15" ht="5.0999999999999996" customHeight="1" x14ac:dyDescent="0.25"/>
    <row r="26" spans="2:15" x14ac:dyDescent="0.25">
      <c r="B26" s="517" t="s">
        <v>4117</v>
      </c>
      <c r="C26" s="518">
        <f>SUM(C27:C29)</f>
        <v>21576342</v>
      </c>
      <c r="D26" s="518">
        <f t="shared" ref="D26:H26" si="11">SUM(D27:D29)</f>
        <v>21576342</v>
      </c>
      <c r="E26" s="518">
        <f t="shared" si="11"/>
        <v>21576342</v>
      </c>
      <c r="F26" s="518">
        <f t="shared" si="11"/>
        <v>21576342</v>
      </c>
      <c r="G26" s="518">
        <f t="shared" si="11"/>
        <v>21576342</v>
      </c>
      <c r="H26" s="518">
        <f t="shared" si="11"/>
        <v>21576342</v>
      </c>
    </row>
    <row r="27" spans="2:15" x14ac:dyDescent="0.25">
      <c r="B27" s="119" t="s">
        <v>4199</v>
      </c>
      <c r="C27" s="67">
        <f>'EF Sempertex 2015 I'!B40</f>
        <v>13403251</v>
      </c>
      <c r="D27" s="529">
        <f>C27</f>
        <v>13403251</v>
      </c>
      <c r="E27" s="529">
        <f t="shared" ref="E27:H27" si="12">D27</f>
        <v>13403251</v>
      </c>
      <c r="F27" s="529">
        <f t="shared" si="12"/>
        <v>13403251</v>
      </c>
      <c r="G27" s="529">
        <f t="shared" si="12"/>
        <v>13403251</v>
      </c>
      <c r="H27" s="529">
        <f t="shared" si="12"/>
        <v>13403251</v>
      </c>
      <c r="I27" t="s">
        <v>485</v>
      </c>
      <c r="J27" s="68">
        <f>C27+C28</f>
        <v>21576342</v>
      </c>
      <c r="K27" s="68"/>
    </row>
    <row r="28" spans="2:15" x14ac:dyDescent="0.25">
      <c r="B28" s="119" t="s">
        <v>4200</v>
      </c>
      <c r="C28" s="67">
        <f>'EF Sempertex 2015 I'!B44</f>
        <v>8173091</v>
      </c>
      <c r="D28" s="529">
        <f>C28+C29</f>
        <v>8173091</v>
      </c>
      <c r="E28" s="529">
        <f>D28+D29</f>
        <v>8173091</v>
      </c>
      <c r="F28" s="529">
        <f>E28+E29</f>
        <v>8173091</v>
      </c>
      <c r="G28" s="529">
        <f>F28+F29</f>
        <v>8173091</v>
      </c>
      <c r="H28" s="529">
        <f>G28+G29</f>
        <v>8173091</v>
      </c>
      <c r="I28" t="s">
        <v>4241</v>
      </c>
      <c r="K28" s="167"/>
    </row>
    <row r="29" spans="2:15" x14ac:dyDescent="0.25">
      <c r="B29" s="115" t="s">
        <v>4218</v>
      </c>
      <c r="C29" s="67"/>
      <c r="D29" s="527">
        <f>D13+D15-D27-D28-D32-D34</f>
        <v>0</v>
      </c>
      <c r="E29" s="527">
        <f t="shared" ref="E29:H29" si="13">E13+E15-E27-E28-E32-E34</f>
        <v>0</v>
      </c>
      <c r="F29" s="527">
        <f t="shared" si="13"/>
        <v>0</v>
      </c>
      <c r="G29" s="527">
        <f t="shared" si="13"/>
        <v>0</v>
      </c>
      <c r="H29" s="527">
        <f t="shared" si="13"/>
        <v>0</v>
      </c>
      <c r="I29" t="s">
        <v>4234</v>
      </c>
    </row>
    <row r="30" spans="2:15" ht="5.0999999999999996" customHeight="1" x14ac:dyDescent="0.25"/>
    <row r="31" spans="2:15" x14ac:dyDescent="0.25">
      <c r="B31" s="517" t="s">
        <v>4250</v>
      </c>
      <c r="C31" s="518">
        <f>C32</f>
        <v>1813821</v>
      </c>
      <c r="D31" s="518">
        <f t="shared" ref="D31:H31" si="14">D32</f>
        <v>1813821</v>
      </c>
      <c r="E31" s="518">
        <f t="shared" si="14"/>
        <v>1813821</v>
      </c>
      <c r="F31" s="518">
        <f t="shared" si="14"/>
        <v>1813821</v>
      </c>
      <c r="G31" s="518">
        <f t="shared" si="14"/>
        <v>1813821</v>
      </c>
      <c r="H31" s="518">
        <f t="shared" si="14"/>
        <v>1813821</v>
      </c>
    </row>
    <row r="32" spans="2:15" x14ac:dyDescent="0.25">
      <c r="B32" s="65" t="s">
        <v>4242</v>
      </c>
      <c r="C32" s="67">
        <f>'EF Sempertex 2015 I'!B43</f>
        <v>1813821</v>
      </c>
      <c r="D32" s="529">
        <f>C32</f>
        <v>1813821</v>
      </c>
      <c r="E32" s="529">
        <f t="shared" ref="E32:H32" si="15">D32</f>
        <v>1813821</v>
      </c>
      <c r="F32" s="529">
        <f t="shared" si="15"/>
        <v>1813821</v>
      </c>
      <c r="G32" s="529">
        <f t="shared" si="15"/>
        <v>1813821</v>
      </c>
      <c r="H32" s="529">
        <f t="shared" si="15"/>
        <v>1813821</v>
      </c>
    </row>
    <row r="33" spans="2:11" ht="5.0999999999999996" customHeight="1" x14ac:dyDescent="0.25"/>
    <row r="34" spans="2:11" x14ac:dyDescent="0.25">
      <c r="B34" s="517" t="s">
        <v>4119</v>
      </c>
      <c r="C34" s="518">
        <f>SUM(C35:C39)</f>
        <v>27494974</v>
      </c>
      <c r="D34" s="518">
        <f t="shared" ref="D34:H34" si="16">SUM(D35:D39)</f>
        <v>30912699.59399797</v>
      </c>
      <c r="E34" s="518">
        <f t="shared" si="16"/>
        <v>34837172.494882934</v>
      </c>
      <c r="F34" s="518">
        <f t="shared" si="16"/>
        <v>39343528.293846935</v>
      </c>
      <c r="G34" s="518">
        <f t="shared" si="16"/>
        <v>44518042.961097449</v>
      </c>
      <c r="H34" s="518">
        <f t="shared" si="16"/>
        <v>50459784.633547373</v>
      </c>
    </row>
    <row r="35" spans="2:11" x14ac:dyDescent="0.25">
      <c r="B35" s="65" t="s">
        <v>4121</v>
      </c>
      <c r="C35" s="67">
        <f>'EF Sempertex 2015 I'!B47</f>
        <v>755566</v>
      </c>
      <c r="D35" s="68">
        <f>C35</f>
        <v>755566</v>
      </c>
      <c r="E35" s="68">
        <f t="shared" ref="E35:H35" si="17">D35</f>
        <v>755566</v>
      </c>
      <c r="F35" s="68">
        <f t="shared" si="17"/>
        <v>755566</v>
      </c>
      <c r="G35" s="68">
        <f t="shared" si="17"/>
        <v>755566</v>
      </c>
      <c r="H35" s="68">
        <f t="shared" si="17"/>
        <v>755566</v>
      </c>
      <c r="J35" s="68"/>
      <c r="K35" s="68"/>
    </row>
    <row r="36" spans="2:11" x14ac:dyDescent="0.25">
      <c r="B36" s="65" t="s">
        <v>4122</v>
      </c>
      <c r="C36" s="67">
        <f>'EF Sempertex 2015 I'!B48</f>
        <v>23105605</v>
      </c>
      <c r="D36" s="68">
        <f>C36+C37</f>
        <v>23105605</v>
      </c>
      <c r="E36" s="68">
        <f t="shared" ref="E36:H36" si="18">D36+D37</f>
        <v>26523330.59399797</v>
      </c>
      <c r="F36" s="68">
        <f t="shared" si="18"/>
        <v>30447803.494882934</v>
      </c>
      <c r="G36" s="68">
        <f t="shared" si="18"/>
        <v>34954159.293846935</v>
      </c>
      <c r="H36" s="68">
        <f t="shared" si="18"/>
        <v>40128673.961097449</v>
      </c>
      <c r="K36" s="528"/>
    </row>
    <row r="37" spans="2:11" x14ac:dyDescent="0.25">
      <c r="B37" s="146" t="s">
        <v>4201</v>
      </c>
      <c r="C37" s="67"/>
      <c r="D37" s="68">
        <f>D65</f>
        <v>3417725.5939979707</v>
      </c>
      <c r="E37" s="68">
        <f t="shared" ref="E37:H37" si="19">E65</f>
        <v>3924472.9008849654</v>
      </c>
      <c r="F37" s="68">
        <f t="shared" si="19"/>
        <v>4506355.7989639975</v>
      </c>
      <c r="G37" s="68">
        <f t="shared" si="19"/>
        <v>5174514.6672505159</v>
      </c>
      <c r="H37" s="68">
        <f t="shared" si="19"/>
        <v>5941741.672449925</v>
      </c>
      <c r="J37" s="68">
        <f>D37*C42</f>
        <v>2682018.0400335477</v>
      </c>
    </row>
    <row r="38" spans="2:11" x14ac:dyDescent="0.25">
      <c r="B38" s="65" t="s">
        <v>4202</v>
      </c>
      <c r="C38" s="67">
        <f>'EF Sempertex 2015 I'!B49</f>
        <v>3256020</v>
      </c>
      <c r="D38" s="67">
        <f>C38</f>
        <v>3256020</v>
      </c>
      <c r="E38" s="67">
        <f t="shared" ref="E38:H39" si="20">D38</f>
        <v>3256020</v>
      </c>
      <c r="F38" s="67">
        <f t="shared" si="20"/>
        <v>3256020</v>
      </c>
      <c r="G38" s="67">
        <f t="shared" si="20"/>
        <v>3256020</v>
      </c>
      <c r="H38" s="67">
        <f t="shared" si="20"/>
        <v>3256020</v>
      </c>
    </row>
    <row r="39" spans="2:11" x14ac:dyDescent="0.25">
      <c r="B39" s="65" t="s">
        <v>4203</v>
      </c>
      <c r="C39" s="67">
        <f>'EF Sempertex 2015 I'!B50</f>
        <v>377783</v>
      </c>
      <c r="D39" s="67">
        <f>C39</f>
        <v>377783</v>
      </c>
      <c r="E39" s="67">
        <f t="shared" si="20"/>
        <v>377783</v>
      </c>
      <c r="F39" s="67">
        <f t="shared" si="20"/>
        <v>377783</v>
      </c>
      <c r="G39" s="67">
        <f t="shared" si="20"/>
        <v>377783</v>
      </c>
      <c r="H39" s="67">
        <f t="shared" si="20"/>
        <v>377783</v>
      </c>
    </row>
    <row r="40" spans="2:11" ht="5.0999999999999996" customHeight="1" x14ac:dyDescent="0.25"/>
    <row r="41" spans="2:11" x14ac:dyDescent="0.25">
      <c r="B41" s="523" t="s">
        <v>4204</v>
      </c>
      <c r="C41" s="522">
        <f>C13+C15-C26-C34-C31</f>
        <v>0</v>
      </c>
      <c r="D41" s="522">
        <f t="shared" ref="D41:H41" si="21">D13+D15-D26-D34-D31</f>
        <v>7.4505805969238281E-9</v>
      </c>
      <c r="E41" s="522">
        <f t="shared" si="21"/>
        <v>7.4505805969238281E-9</v>
      </c>
      <c r="F41" s="522">
        <f t="shared" si="21"/>
        <v>-7.4505805969238281E-9</v>
      </c>
      <c r="G41" s="522">
        <f t="shared" si="21"/>
        <v>0</v>
      </c>
      <c r="H41" s="522">
        <f t="shared" si="21"/>
        <v>-7.4505805969238281E-9</v>
      </c>
    </row>
    <row r="42" spans="2:11" x14ac:dyDescent="0.25">
      <c r="B42" t="s">
        <v>4232</v>
      </c>
      <c r="C42" s="524">
        <f>(C26/C34)</f>
        <v>0.78473767605672218</v>
      </c>
      <c r="D42" s="524">
        <f t="shared" ref="D42:H42" si="22">(D26/D34)</f>
        <v>0.69797663366124374</v>
      </c>
      <c r="E42" s="524">
        <f t="shared" si="22"/>
        <v>0.61934825517683001</v>
      </c>
      <c r="F42" s="524">
        <f t="shared" si="22"/>
        <v>0.54840892354269088</v>
      </c>
      <c r="G42" s="524">
        <f t="shared" si="22"/>
        <v>0.48466510576070715</v>
      </c>
      <c r="H42" s="524">
        <f t="shared" si="22"/>
        <v>0.4275948095437434</v>
      </c>
    </row>
    <row r="43" spans="2:11" x14ac:dyDescent="0.25">
      <c r="D43" s="525">
        <f>D42-C42</f>
        <v>-8.6761042395478438E-2</v>
      </c>
      <c r="E43" s="525">
        <f t="shared" ref="E43:H43" si="23">E42-D42</f>
        <v>-7.862837848441373E-2</v>
      </c>
      <c r="F43" s="525">
        <f t="shared" si="23"/>
        <v>-7.0939331634139124E-2</v>
      </c>
      <c r="G43" s="525">
        <f t="shared" si="23"/>
        <v>-6.3743817781983736E-2</v>
      </c>
      <c r="H43" s="525">
        <f t="shared" si="23"/>
        <v>-5.7070296216963745E-2</v>
      </c>
    </row>
    <row r="45" spans="2:11" x14ac:dyDescent="0.25">
      <c r="B45" s="482" t="s">
        <v>174</v>
      </c>
      <c r="C45" s="482"/>
      <c r="D45" s="482"/>
      <c r="E45" s="482"/>
      <c r="F45" s="482"/>
      <c r="G45" s="482"/>
      <c r="H45" s="482"/>
    </row>
    <row r="47" spans="2:11" x14ac:dyDescent="0.25">
      <c r="B47" t="s">
        <v>299</v>
      </c>
      <c r="C47" s="67">
        <f>'EF Sempertex 2015 I'!B57</f>
        <v>96562000</v>
      </c>
      <c r="D47" s="67">
        <f>C47*(1+D4)</f>
        <v>104610148.33240849</v>
      </c>
      <c r="E47" s="67">
        <f t="shared" ref="E47:H47" si="24">D47*(1+E4)</f>
        <v>113851598.28623363</v>
      </c>
      <c r="F47" s="67">
        <f t="shared" si="24"/>
        <v>124463281.08849341</v>
      </c>
      <c r="G47" s="67">
        <f t="shared" si="24"/>
        <v>136648361.61789304</v>
      </c>
      <c r="H47" s="67">
        <f t="shared" si="24"/>
        <v>150640128.07705781</v>
      </c>
    </row>
    <row r="48" spans="2:11" x14ac:dyDescent="0.25">
      <c r="B48" t="s">
        <v>300</v>
      </c>
      <c r="C48" s="67">
        <f>'EF Sempertex 2015 I'!B58</f>
        <v>50678744</v>
      </c>
      <c r="D48" s="68">
        <f>$C48/$C$47*D$47</f>
        <v>54902662.819123022</v>
      </c>
      <c r="E48" s="68">
        <f t="shared" ref="E48:H54" si="25">$C48/$C$47*E$47</f>
        <v>59752863.481896326</v>
      </c>
      <c r="F48" s="68">
        <f t="shared" si="25"/>
        <v>65322205.004906684</v>
      </c>
      <c r="G48" s="68">
        <f t="shared" si="25"/>
        <v>71717314.641915321</v>
      </c>
      <c r="H48" s="68">
        <f t="shared" si="25"/>
        <v>79060629.304948375</v>
      </c>
      <c r="I48" t="s">
        <v>4228</v>
      </c>
    </row>
    <row r="49" spans="2:16" x14ac:dyDescent="0.25">
      <c r="B49" s="78" t="s">
        <v>177</v>
      </c>
      <c r="C49" s="87">
        <f>C47-C48</f>
        <v>45883256</v>
      </c>
      <c r="D49" s="87">
        <f t="shared" ref="D49:H49" si="26">D47-D48</f>
        <v>49707485.513285466</v>
      </c>
      <c r="E49" s="87">
        <f t="shared" si="26"/>
        <v>54098734.804337308</v>
      </c>
      <c r="F49" s="87">
        <f t="shared" si="26"/>
        <v>59141076.083586723</v>
      </c>
      <c r="G49" s="87">
        <f t="shared" si="26"/>
        <v>64931046.975977719</v>
      </c>
      <c r="H49" s="87">
        <f t="shared" si="26"/>
        <v>71579498.772109434</v>
      </c>
      <c r="K49" s="98">
        <f>C49/C$47</f>
        <v>0.47516886559930405</v>
      </c>
      <c r="L49" s="98">
        <f t="shared" ref="L49:P49" si="27">D49/D$47</f>
        <v>0.47516886559930399</v>
      </c>
      <c r="M49" s="98">
        <f t="shared" si="27"/>
        <v>0.4751688655993041</v>
      </c>
      <c r="N49" s="98">
        <f t="shared" si="27"/>
        <v>0.47516886559930405</v>
      </c>
      <c r="O49" s="98">
        <f t="shared" si="27"/>
        <v>0.47516886559930405</v>
      </c>
      <c r="P49" s="98">
        <f t="shared" si="27"/>
        <v>0.4751688655993041</v>
      </c>
    </row>
    <row r="50" spans="2:16" x14ac:dyDescent="0.25">
      <c r="B50" t="s">
        <v>302</v>
      </c>
      <c r="C50" s="67">
        <f>'EF Sempertex 2015 I'!B60</f>
        <v>1497597</v>
      </c>
      <c r="D50" s="68">
        <f>$C50/$C$47*D$47</f>
        <v>1622417.1445513759</v>
      </c>
      <c r="E50" s="68">
        <f t="shared" si="25"/>
        <v>1765744.4133165078</v>
      </c>
      <c r="F50" s="68">
        <f t="shared" si="25"/>
        <v>1930322.8637381627</v>
      </c>
      <c r="G50" s="68">
        <f t="shared" si="25"/>
        <v>2119303.4155658721</v>
      </c>
      <c r="H50" s="68">
        <f t="shared" si="25"/>
        <v>2336304.1764650438</v>
      </c>
      <c r="I50" t="s">
        <v>4228</v>
      </c>
      <c r="L50" t="b">
        <f>L49=K49</f>
        <v>1</v>
      </c>
      <c r="M50" t="b">
        <f t="shared" ref="M50:P50" si="28">M49=L49</f>
        <v>1</v>
      </c>
      <c r="N50" t="b">
        <f t="shared" si="28"/>
        <v>1</v>
      </c>
      <c r="O50" t="b">
        <f t="shared" si="28"/>
        <v>1</v>
      </c>
      <c r="P50" t="b">
        <f t="shared" si="28"/>
        <v>1</v>
      </c>
    </row>
    <row r="51" spans="2:16" x14ac:dyDescent="0.25">
      <c r="B51" t="s">
        <v>303</v>
      </c>
      <c r="C51" s="67">
        <f>'EF Sempertex 2015 I'!B61</f>
        <v>18133089</v>
      </c>
      <c r="D51" s="68">
        <f>$C51/$C$47*D$47</f>
        <v>19644426.689740941</v>
      </c>
      <c r="E51" s="68">
        <f t="shared" si="25"/>
        <v>21379850.919787515</v>
      </c>
      <c r="F51" s="68">
        <f t="shared" si="25"/>
        <v>23372587.075761352</v>
      </c>
      <c r="G51" s="68">
        <f t="shared" si="25"/>
        <v>25660786.88222529</v>
      </c>
      <c r="H51" s="68">
        <f t="shared" si="25"/>
        <v>28288258.832591373</v>
      </c>
      <c r="I51" t="s">
        <v>4228</v>
      </c>
    </row>
    <row r="52" spans="2:16" x14ac:dyDescent="0.25">
      <c r="B52" t="s">
        <v>304</v>
      </c>
      <c r="C52" s="67">
        <f>'EF Sempertex 2015 I'!B62</f>
        <v>12675308</v>
      </c>
      <c r="D52" s="68">
        <f>$C52/$C$47*D$47</f>
        <v>13731756.281342182</v>
      </c>
      <c r="E52" s="68">
        <f t="shared" si="25"/>
        <v>14944844.499599049</v>
      </c>
      <c r="F52" s="68">
        <f t="shared" si="25"/>
        <v>16337797.71014715</v>
      </c>
      <c r="G52" s="68">
        <f t="shared" si="25"/>
        <v>17937284.555023428</v>
      </c>
      <c r="H52" s="68">
        <f t="shared" si="25"/>
        <v>19773927.844660997</v>
      </c>
      <c r="I52" t="s">
        <v>4228</v>
      </c>
    </row>
    <row r="53" spans="2:16" x14ac:dyDescent="0.25">
      <c r="B53" s="71" t="s">
        <v>4140</v>
      </c>
      <c r="C53" s="173">
        <f>'EF Sempertex 2015 I'!B84</f>
        <v>1221805</v>
      </c>
      <c r="D53" s="529">
        <f>D52*D8</f>
        <v>1207573.5211805329</v>
      </c>
      <c r="E53" s="529">
        <f t="shared" ref="E53:H53" si="29">E52*E8</f>
        <v>1314252.7529706764</v>
      </c>
      <c r="F53" s="529">
        <f t="shared" si="29"/>
        <v>1436749.349825284</v>
      </c>
      <c r="G53" s="529">
        <f t="shared" si="29"/>
        <v>1577408.5577063314</v>
      </c>
      <c r="H53" s="529">
        <f t="shared" si="29"/>
        <v>1738923.352972087</v>
      </c>
      <c r="I53" s="488" t="s">
        <v>4249</v>
      </c>
      <c r="J53" s="488"/>
    </row>
    <row r="54" spans="2:16" x14ac:dyDescent="0.25">
      <c r="B54" t="s">
        <v>305</v>
      </c>
      <c r="C54" s="67">
        <f>'EF Sempertex 2015 I'!B63</f>
        <v>277776</v>
      </c>
      <c r="D54" s="68">
        <f>$C54/$C$47*D$47</f>
        <v>300927.78280465503</v>
      </c>
      <c r="E54" s="68">
        <f t="shared" si="25"/>
        <v>327512.28812117432</v>
      </c>
      <c r="F54" s="68">
        <f t="shared" si="25"/>
        <v>358038.48685442872</v>
      </c>
      <c r="G54" s="68">
        <f t="shared" si="25"/>
        <v>393090.81519409141</v>
      </c>
      <c r="H54" s="68">
        <f t="shared" si="25"/>
        <v>433340.36387743428</v>
      </c>
      <c r="I54" t="s">
        <v>4228</v>
      </c>
    </row>
    <row r="55" spans="2:16" x14ac:dyDescent="0.25">
      <c r="B55" s="78" t="s">
        <v>180</v>
      </c>
      <c r="C55" s="87">
        <f t="shared" ref="C55:H55" si="30">C49+C50-C51-C52-C54</f>
        <v>16294680</v>
      </c>
      <c r="D55" s="87">
        <f t="shared" si="30"/>
        <v>17652791.90394906</v>
      </c>
      <c r="E55" s="87">
        <f t="shared" si="30"/>
        <v>19212271.510146078</v>
      </c>
      <c r="F55" s="87">
        <f t="shared" si="30"/>
        <v>21002975.674561959</v>
      </c>
      <c r="G55" s="87">
        <f t="shared" si="30"/>
        <v>23059188.139100779</v>
      </c>
      <c r="H55" s="87">
        <f t="shared" si="30"/>
        <v>25420275.907444682</v>
      </c>
      <c r="K55" s="98">
        <f>C55/C$47</f>
        <v>0.16874836892359313</v>
      </c>
      <c r="L55" s="98">
        <f t="shared" ref="L55:P55" si="31">D55/D$47</f>
        <v>0.16874836892359305</v>
      </c>
      <c r="M55" s="98">
        <f t="shared" si="31"/>
        <v>0.16874836892359313</v>
      </c>
      <c r="N55" s="98">
        <f t="shared" si="31"/>
        <v>0.16874836892359313</v>
      </c>
      <c r="O55" s="98">
        <f t="shared" si="31"/>
        <v>0.16874836892359313</v>
      </c>
      <c r="P55" s="98">
        <f t="shared" si="31"/>
        <v>0.16874836892359321</v>
      </c>
    </row>
    <row r="56" spans="2:16" x14ac:dyDescent="0.25">
      <c r="B56" t="s">
        <v>307</v>
      </c>
      <c r="C56" s="67">
        <f>'EF Sempertex 2015 I'!B65</f>
        <v>53962906</v>
      </c>
      <c r="D56" s="414">
        <f>C56</f>
        <v>53962906</v>
      </c>
      <c r="E56" s="414">
        <f t="shared" ref="E56:H56" si="32">D56</f>
        <v>53962906</v>
      </c>
      <c r="F56" s="414">
        <f t="shared" si="32"/>
        <v>53962906</v>
      </c>
      <c r="G56" s="414">
        <f t="shared" si="32"/>
        <v>53962906</v>
      </c>
      <c r="H56" s="414">
        <f t="shared" si="32"/>
        <v>53962906</v>
      </c>
      <c r="I56" t="s">
        <v>4233</v>
      </c>
      <c r="L56" t="b">
        <f>L55=K55</f>
        <v>1</v>
      </c>
      <c r="M56" t="b">
        <f t="shared" ref="M56:P56" si="33">M55=L55</f>
        <v>1</v>
      </c>
      <c r="N56" t="b">
        <f t="shared" si="33"/>
        <v>1</v>
      </c>
      <c r="O56" t="b">
        <f t="shared" si="33"/>
        <v>1</v>
      </c>
      <c r="P56" t="b">
        <f t="shared" si="33"/>
        <v>1</v>
      </c>
    </row>
    <row r="57" spans="2:16" x14ac:dyDescent="0.25">
      <c r="B57" t="s">
        <v>4229</v>
      </c>
      <c r="C57" s="67">
        <f>C58+C59</f>
        <v>61097885</v>
      </c>
      <c r="D57" s="67">
        <f t="shared" ref="D57:H57" si="34">D58+D59</f>
        <v>61097885</v>
      </c>
      <c r="E57" s="67">
        <f t="shared" si="34"/>
        <v>61097885</v>
      </c>
      <c r="F57" s="67">
        <f t="shared" si="34"/>
        <v>61097885</v>
      </c>
      <c r="G57" s="67">
        <f t="shared" si="34"/>
        <v>61097885</v>
      </c>
      <c r="H57" s="67">
        <f t="shared" si="34"/>
        <v>61097885</v>
      </c>
      <c r="K57" s="68"/>
    </row>
    <row r="58" spans="2:16" x14ac:dyDescent="0.25">
      <c r="B58" s="65" t="s">
        <v>4230</v>
      </c>
      <c r="C58" s="67">
        <f>'EF Sempertex 2015 I'!B66-C59</f>
        <v>56953069.701800004</v>
      </c>
      <c r="D58" s="414">
        <f>C58</f>
        <v>56953069.701800004</v>
      </c>
      <c r="E58" s="414">
        <f t="shared" ref="E58:H58" si="35">D58</f>
        <v>56953069.701800004</v>
      </c>
      <c r="F58" s="414">
        <f t="shared" si="35"/>
        <v>56953069.701800004</v>
      </c>
      <c r="G58" s="414">
        <f t="shared" si="35"/>
        <v>56953069.701800004</v>
      </c>
      <c r="H58" s="414">
        <f t="shared" si="35"/>
        <v>56953069.701800004</v>
      </c>
      <c r="I58" t="s">
        <v>4233</v>
      </c>
    </row>
    <row r="59" spans="2:16" x14ac:dyDescent="0.25">
      <c r="B59" s="65" t="s">
        <v>4065</v>
      </c>
      <c r="C59" s="67">
        <f>(C27+C28)*C5</f>
        <v>4144815.2982000001</v>
      </c>
      <c r="D59" s="67">
        <f t="shared" ref="D59:H59" si="36">(D27+D28)*D5</f>
        <v>4144815.2982000001</v>
      </c>
      <c r="E59" s="67">
        <f t="shared" si="36"/>
        <v>4144815.2982000001</v>
      </c>
      <c r="F59" s="67">
        <f t="shared" si="36"/>
        <v>4144815.2982000001</v>
      </c>
      <c r="G59" s="67">
        <f t="shared" si="36"/>
        <v>4144815.2982000001</v>
      </c>
      <c r="H59" s="67">
        <f t="shared" si="36"/>
        <v>4144815.2982000001</v>
      </c>
      <c r="L59" s="526"/>
    </row>
    <row r="60" spans="2:16" x14ac:dyDescent="0.25">
      <c r="B60" s="78" t="s">
        <v>185</v>
      </c>
      <c r="C60" s="87">
        <f>C55+C56-C57</f>
        <v>9159701</v>
      </c>
      <c r="D60" s="87">
        <f t="shared" ref="D60:H60" si="37">D55+D56-D57</f>
        <v>10517812.903949052</v>
      </c>
      <c r="E60" s="87">
        <f t="shared" si="37"/>
        <v>12077292.510146081</v>
      </c>
      <c r="F60" s="87">
        <f t="shared" si="37"/>
        <v>13867996.674561962</v>
      </c>
      <c r="G60" s="87">
        <f t="shared" si="37"/>
        <v>15924209.139100775</v>
      </c>
      <c r="H60" s="87">
        <f t="shared" si="37"/>
        <v>18285296.907444686</v>
      </c>
      <c r="K60" s="98">
        <f>C60/C$47</f>
        <v>9.4858236159151635E-2</v>
      </c>
      <c r="L60" s="98">
        <f t="shared" ref="L60:P60" si="38">D60/D$47</f>
        <v>0.10054294991082244</v>
      </c>
      <c r="M60" s="98">
        <f t="shared" si="38"/>
        <v>0.10607925309737533</v>
      </c>
      <c r="N60" s="98">
        <f t="shared" si="38"/>
        <v>0.11142239344230219</v>
      </c>
      <c r="O60" s="98">
        <f t="shared" si="38"/>
        <v>0.11653421197708398</v>
      </c>
      <c r="P60" s="98">
        <f t="shared" si="38"/>
        <v>0.1213839707975494</v>
      </c>
    </row>
    <row r="61" spans="2:16" x14ac:dyDescent="0.25">
      <c r="B61" t="s">
        <v>4132</v>
      </c>
      <c r="C61" s="67">
        <f>'EF Sempertex 2015 I'!B68</f>
        <v>3663289</v>
      </c>
      <c r="D61" s="67">
        <f>D60*D6</f>
        <v>4206446.0745055564</v>
      </c>
      <c r="E61" s="67">
        <f>E60*E6</f>
        <v>4830137.2285187617</v>
      </c>
      <c r="F61" s="67">
        <f>F60*F6</f>
        <v>5546303.2767073307</v>
      </c>
      <c r="G61" s="67">
        <f>G60*G6</f>
        <v>6368655.5022884849</v>
      </c>
      <c r="H61" s="67">
        <f>H60*H6</f>
        <v>7312938.164987715</v>
      </c>
    </row>
    <row r="62" spans="2:16" x14ac:dyDescent="0.25">
      <c r="B62" s="78" t="s">
        <v>4206</v>
      </c>
      <c r="C62" s="87">
        <f>C60-C61</f>
        <v>5496412</v>
      </c>
      <c r="D62" s="87">
        <f t="shared" ref="D62:H62" si="39">D60-D61</f>
        <v>6311366.8294434957</v>
      </c>
      <c r="E62" s="87">
        <f t="shared" si="39"/>
        <v>7247155.2816273198</v>
      </c>
      <c r="F62" s="87">
        <f t="shared" si="39"/>
        <v>8321693.3978546318</v>
      </c>
      <c r="G62" s="87">
        <f t="shared" si="39"/>
        <v>9555553.6368122902</v>
      </c>
      <c r="H62" s="87">
        <f t="shared" si="39"/>
        <v>10972358.742456971</v>
      </c>
      <c r="K62" s="98">
        <f>C62/C$47</f>
        <v>5.6921066257948259E-2</v>
      </c>
      <c r="L62" s="98">
        <f t="shared" ref="L62:P62" si="40">D62/D$47</f>
        <v>6.0332261544917609E-2</v>
      </c>
      <c r="M62" s="98">
        <f t="shared" si="40"/>
        <v>6.3654400910624812E-2</v>
      </c>
      <c r="N62" s="98">
        <f t="shared" si="40"/>
        <v>6.6860630099715171E-2</v>
      </c>
      <c r="O62" s="98">
        <f t="shared" si="40"/>
        <v>6.9928051267327193E-2</v>
      </c>
      <c r="P62" s="98">
        <f t="shared" si="40"/>
        <v>7.2838219686352207E-2</v>
      </c>
    </row>
    <row r="63" spans="2:16" s="488" customFormat="1" ht="5.0999999999999996" customHeight="1" x14ac:dyDescent="0.25">
      <c r="B63" s="172"/>
      <c r="C63" s="165"/>
    </row>
    <row r="64" spans="2:16" x14ac:dyDescent="0.25">
      <c r="B64" t="s">
        <v>4147</v>
      </c>
      <c r="C64" s="67">
        <f>'EF Sempertex 2015 I'!B90</f>
        <v>2520000</v>
      </c>
      <c r="D64" s="67">
        <f>D62*D7</f>
        <v>2893641.235445525</v>
      </c>
      <c r="E64" s="67">
        <f>E62*E7</f>
        <v>3322682.3807423543</v>
      </c>
      <c r="F64" s="67">
        <f>F62*F7</f>
        <v>3815337.5988906347</v>
      </c>
      <c r="G64" s="67">
        <f>G62*G7</f>
        <v>4381038.9695617743</v>
      </c>
      <c r="H64" s="67">
        <f>H62*H7</f>
        <v>5030617.0700070458</v>
      </c>
      <c r="L64" s="156"/>
    </row>
    <row r="65" spans="2:16" x14ac:dyDescent="0.25">
      <c r="B65" s="78" t="s">
        <v>4208</v>
      </c>
      <c r="C65" s="518">
        <f>C62-C64</f>
        <v>2976412</v>
      </c>
      <c r="D65" s="518">
        <f t="shared" ref="D65:H65" si="41">D62-D64</f>
        <v>3417725.5939979707</v>
      </c>
      <c r="E65" s="518">
        <f t="shared" si="41"/>
        <v>3924472.9008849654</v>
      </c>
      <c r="F65" s="518">
        <f t="shared" si="41"/>
        <v>4506355.7989639975</v>
      </c>
      <c r="G65" s="518">
        <f t="shared" si="41"/>
        <v>5174514.6672505159</v>
      </c>
      <c r="H65" s="518">
        <f t="shared" si="41"/>
        <v>5941741.672449925</v>
      </c>
      <c r="K65" s="98">
        <f>C65/C$47</f>
        <v>3.0823843748058244E-2</v>
      </c>
      <c r="L65" s="98">
        <f t="shared" ref="L65:P65" si="42">D65/D$47</f>
        <v>3.2671071100461774E-2</v>
      </c>
      <c r="M65" s="98">
        <f t="shared" si="42"/>
        <v>3.4470072971821364E-2</v>
      </c>
      <c r="N65" s="98">
        <f t="shared" si="42"/>
        <v>3.6206307270334435E-2</v>
      </c>
      <c r="O65" s="98">
        <f t="shared" si="42"/>
        <v>3.7867374375990713E-2</v>
      </c>
      <c r="P65" s="98">
        <f t="shared" si="42"/>
        <v>3.9443286117033252E-2</v>
      </c>
    </row>
    <row r="68" spans="2:16" x14ac:dyDescent="0.25">
      <c r="B68" s="482" t="s">
        <v>4143</v>
      </c>
      <c r="C68" s="482"/>
      <c r="D68" s="482"/>
      <c r="E68" s="482"/>
      <c r="F68" s="482"/>
      <c r="G68" s="482"/>
      <c r="H68" s="482"/>
    </row>
    <row r="70" spans="2:16" x14ac:dyDescent="0.25">
      <c r="B70" s="446" t="s">
        <v>394</v>
      </c>
      <c r="C70" s="67">
        <f t="shared" ref="C70:H70" si="43">C55*(1-C6)</f>
        <v>9777860.0729608964</v>
      </c>
      <c r="D70" s="67">
        <f t="shared" si="43"/>
        <v>10592814.902404396</v>
      </c>
      <c r="E70" s="67">
        <f t="shared" si="43"/>
        <v>11528603.354588214</v>
      </c>
      <c r="F70" s="67">
        <f t="shared" si="43"/>
        <v>12603141.470815524</v>
      </c>
      <c r="G70" s="67">
        <f t="shared" si="43"/>
        <v>13837001.709773188</v>
      </c>
      <c r="H70" s="67">
        <f t="shared" si="43"/>
        <v>15253806.815417863</v>
      </c>
    </row>
    <row r="71" spans="2:16" x14ac:dyDescent="0.25">
      <c r="B71" s="451" t="s">
        <v>4074</v>
      </c>
      <c r="C71" s="67">
        <f t="shared" ref="C71:H71" si="44">C53</f>
        <v>1221805</v>
      </c>
      <c r="D71" s="67">
        <f t="shared" si="44"/>
        <v>1207573.5211805329</v>
      </c>
      <c r="E71" s="67">
        <f t="shared" si="44"/>
        <v>1314252.7529706764</v>
      </c>
      <c r="F71" s="67">
        <f t="shared" si="44"/>
        <v>1436749.349825284</v>
      </c>
      <c r="G71" s="67">
        <f t="shared" si="44"/>
        <v>1577408.5577063314</v>
      </c>
      <c r="H71" s="67">
        <f t="shared" si="44"/>
        <v>1738923.352972087</v>
      </c>
    </row>
    <row r="72" spans="2:16" x14ac:dyDescent="0.25">
      <c r="B72" s="454" t="s">
        <v>4075</v>
      </c>
      <c r="C72" s="87">
        <f>C70+C71</f>
        <v>10999665.072960896</v>
      </c>
      <c r="D72" s="87">
        <f t="shared" ref="D72:H72" si="45">D70+D71</f>
        <v>11800388.423584929</v>
      </c>
      <c r="E72" s="87">
        <f t="shared" si="45"/>
        <v>12842856.107558891</v>
      </c>
      <c r="F72" s="87">
        <f t="shared" si="45"/>
        <v>14039890.820640808</v>
      </c>
      <c r="G72" s="87">
        <f t="shared" si="45"/>
        <v>15414410.26747952</v>
      </c>
      <c r="H72" s="87">
        <f t="shared" si="45"/>
        <v>16992730.16838995</v>
      </c>
    </row>
    <row r="73" spans="2:16" x14ac:dyDescent="0.25">
      <c r="B73" s="451" t="s">
        <v>4077</v>
      </c>
      <c r="C73" s="67">
        <f>-('Flujo de Caja'!H13-'Flujo de Caja'!G13)</f>
        <v>-2855923</v>
      </c>
      <c r="D73" s="68">
        <f>-(D16-C16)</f>
        <v>-2172887.448018793</v>
      </c>
      <c r="E73" s="68">
        <f>-(E16-D16)</f>
        <v>-2495062.1903052293</v>
      </c>
      <c r="F73" s="68">
        <f>-(F16-E16)</f>
        <v>-2865005.888439782</v>
      </c>
      <c r="G73" s="68">
        <f>-(G16-F16)</f>
        <v>-3289801.2613427043</v>
      </c>
      <c r="H73" s="68">
        <f>-(H16-G16)</f>
        <v>-3777581.1850166544</v>
      </c>
    </row>
    <row r="74" spans="2:16" x14ac:dyDescent="0.25">
      <c r="B74" s="483" t="s">
        <v>4078</v>
      </c>
      <c r="C74" s="67">
        <f>-('Flujo de Caja'!H15-'Flujo de Caja'!G15)</f>
        <v>-5390232</v>
      </c>
      <c r="D74" s="68">
        <f>-(D22-C22)</f>
        <v>-2452411.6671597138</v>
      </c>
      <c r="E74" s="68">
        <f>-(E22-D22)</f>
        <v>-2743663.4635504112</v>
      </c>
      <c r="F74" s="68">
        <f>-(F22-E22)</f>
        <v>-3078099.2603494897</v>
      </c>
      <c r="G74" s="68">
        <f>-(G22-F22)</f>
        <v>-3462121.9636141472</v>
      </c>
      <c r="H74" s="68">
        <f>-(H22-G22)</f>
        <v>-3903083.8404053561</v>
      </c>
    </row>
    <row r="75" spans="2:16" x14ac:dyDescent="0.25">
      <c r="B75" s="456" t="s">
        <v>4079</v>
      </c>
      <c r="C75" s="518">
        <f>C72+C73+C74</f>
        <v>2753510.0729608964</v>
      </c>
      <c r="D75" s="518">
        <f t="shared" ref="D75:H75" si="46">D72+D73+D74</f>
        <v>7175089.3084064219</v>
      </c>
      <c r="E75" s="518">
        <f t="shared" si="46"/>
        <v>7604130.4537032507</v>
      </c>
      <c r="F75" s="518">
        <f t="shared" si="46"/>
        <v>8096785.6718515363</v>
      </c>
      <c r="G75" s="518">
        <f t="shared" si="46"/>
        <v>8662487.0425226688</v>
      </c>
      <c r="H75" s="518">
        <f t="shared" si="46"/>
        <v>9312065.1429679394</v>
      </c>
    </row>
    <row r="76" spans="2:16" x14ac:dyDescent="0.25">
      <c r="B76" s="451" t="s">
        <v>4080</v>
      </c>
      <c r="C76" s="67">
        <f t="shared" ref="C76:H76" si="47">-C59*(1-C6)</f>
        <v>-2487156.7906867326</v>
      </c>
      <c r="D76" s="67">
        <f t="shared" si="47"/>
        <v>-2487156.7906867326</v>
      </c>
      <c r="E76" s="67">
        <f t="shared" si="47"/>
        <v>-2487156.7906867326</v>
      </c>
      <c r="F76" s="67">
        <f t="shared" si="47"/>
        <v>-2487156.7906867326</v>
      </c>
      <c r="G76" s="67">
        <f t="shared" si="47"/>
        <v>-2487156.7906867326</v>
      </c>
      <c r="H76" s="67">
        <f t="shared" si="47"/>
        <v>-2487156.7906867326</v>
      </c>
    </row>
    <row r="77" spans="2:16" x14ac:dyDescent="0.25">
      <c r="B77" s="451" t="s">
        <v>4081</v>
      </c>
      <c r="C77" s="67">
        <f>('Flujo de Caja'!H17-'Flujo de Caja'!G17)</f>
        <v>6392896</v>
      </c>
      <c r="D77" s="67">
        <f>D26-C26</f>
        <v>0</v>
      </c>
      <c r="E77" s="67">
        <f t="shared" ref="E77:H77" si="48">E26-D26</f>
        <v>0</v>
      </c>
      <c r="F77" s="67">
        <f t="shared" si="48"/>
        <v>0</v>
      </c>
      <c r="G77" s="67">
        <f t="shared" si="48"/>
        <v>0</v>
      </c>
      <c r="H77" s="67">
        <f t="shared" si="48"/>
        <v>0</v>
      </c>
    </row>
    <row r="78" spans="2:16" x14ac:dyDescent="0.25">
      <c r="B78" s="456" t="s">
        <v>4082</v>
      </c>
      <c r="C78" s="518">
        <f>C75+C76+C77</f>
        <v>6659249.2822741643</v>
      </c>
      <c r="D78" s="518">
        <f t="shared" ref="D78:H78" si="49">D75+D76+D77</f>
        <v>4687932.5177196898</v>
      </c>
      <c r="E78" s="518">
        <f t="shared" si="49"/>
        <v>5116973.6630165186</v>
      </c>
      <c r="F78" s="518">
        <f t="shared" si="49"/>
        <v>5609628.8811648041</v>
      </c>
      <c r="G78" s="518">
        <f t="shared" si="49"/>
        <v>6175330.2518359367</v>
      </c>
      <c r="H78" s="518">
        <f t="shared" si="49"/>
        <v>6824908.3522812072</v>
      </c>
    </row>
    <row r="79" spans="2:16" x14ac:dyDescent="0.25">
      <c r="B79" s="451" t="s">
        <v>4149</v>
      </c>
      <c r="C79" s="68">
        <f>-C64</f>
        <v>-2520000</v>
      </c>
      <c r="D79" s="68">
        <f t="shared" ref="D79:H79" si="50">-D64</f>
        <v>-2893641.235445525</v>
      </c>
      <c r="E79" s="68">
        <f t="shared" si="50"/>
        <v>-3322682.3807423543</v>
      </c>
      <c r="F79" s="68">
        <f t="shared" si="50"/>
        <v>-3815337.5988906347</v>
      </c>
      <c r="G79" s="68">
        <f t="shared" si="50"/>
        <v>-4381038.9695617743</v>
      </c>
      <c r="H79" s="68">
        <f t="shared" si="50"/>
        <v>-5030617.0700070458</v>
      </c>
    </row>
    <row r="80" spans="2:16" x14ac:dyDescent="0.25">
      <c r="B80" s="451" t="s">
        <v>4150</v>
      </c>
      <c r="C80" s="67">
        <f>('Flujo de Caja'!H18-'Flujo de Caja'!G18)</f>
        <v>0</v>
      </c>
      <c r="D80" s="68">
        <f>(D35-C35)</f>
        <v>0</v>
      </c>
      <c r="E80" s="68">
        <f>(E35-D35)</f>
        <v>0</v>
      </c>
      <c r="F80" s="68">
        <f>(F35-E35)</f>
        <v>0</v>
      </c>
      <c r="G80" s="68">
        <f>(G35-F35)</f>
        <v>0</v>
      </c>
      <c r="H80" s="68">
        <f>(H35-G35)</f>
        <v>0</v>
      </c>
    </row>
    <row r="81" spans="2:10" x14ac:dyDescent="0.25">
      <c r="B81" s="456" t="s">
        <v>4151</v>
      </c>
      <c r="C81" s="518">
        <f>C78+C79+C80</f>
        <v>4139249.2822741643</v>
      </c>
      <c r="D81" s="518">
        <f t="shared" ref="D81:H81" si="51">D78+D79+D80</f>
        <v>1794291.2822741647</v>
      </c>
      <c r="E81" s="518">
        <f t="shared" si="51"/>
        <v>1794291.2822741643</v>
      </c>
      <c r="F81" s="518">
        <f t="shared" si="51"/>
        <v>1794291.2822741694</v>
      </c>
      <c r="G81" s="518">
        <f t="shared" si="51"/>
        <v>1794291.2822741624</v>
      </c>
      <c r="H81" s="518">
        <f t="shared" si="51"/>
        <v>1794291.2822741615</v>
      </c>
    </row>
    <row r="84" spans="2:10" x14ac:dyDescent="0.25">
      <c r="B84" s="482" t="s">
        <v>335</v>
      </c>
      <c r="C84" s="482"/>
      <c r="D84" s="482"/>
      <c r="E84" s="482"/>
      <c r="F84" s="482"/>
      <c r="G84" s="482"/>
      <c r="H84" s="482"/>
    </row>
    <row r="86" spans="2:10" x14ac:dyDescent="0.25">
      <c r="B86" s="488" t="s">
        <v>336</v>
      </c>
      <c r="C86" s="171">
        <f>(C17+C18+C13)/(C20+C19+C27)</f>
        <v>1.6311381942972671</v>
      </c>
      <c r="D86" s="171">
        <f t="shared" ref="D86:H86" si="52">(D17+D18+D13)/(D20+D19+D27)</f>
        <v>1.6577132113417932</v>
      </c>
      <c r="E86" s="171">
        <f t="shared" si="52"/>
        <v>1.6851581902204331</v>
      </c>
      <c r="F86" s="171">
        <f t="shared" si="52"/>
        <v>1.7132432370451138</v>
      </c>
      <c r="G86" s="171">
        <f t="shared" si="52"/>
        <v>1.7417152377561267</v>
      </c>
      <c r="H86" s="171">
        <f t="shared" si="52"/>
        <v>1.7703066494344064</v>
      </c>
      <c r="J86" s="64"/>
    </row>
    <row r="87" spans="2:10" x14ac:dyDescent="0.25">
      <c r="B87" s="488" t="s">
        <v>337</v>
      </c>
      <c r="C87" s="171">
        <f>(C17+C13)/(C20+C19+C27)</f>
        <v>0.80634570446664211</v>
      </c>
      <c r="D87" s="171">
        <f t="shared" ref="D87:H87" si="53">(D17+D13)/(D20+D19+D27)</f>
        <v>0.80840484147485203</v>
      </c>
      <c r="E87" s="171">
        <f t="shared" si="53"/>
        <v>0.8105313865530307</v>
      </c>
      <c r="F87" s="171">
        <f t="shared" si="53"/>
        <v>0.81270752661710344</v>
      </c>
      <c r="G87" s="171">
        <f t="shared" si="53"/>
        <v>0.81491364939262623</v>
      </c>
      <c r="H87" s="171">
        <f t="shared" si="53"/>
        <v>0.81712902460029102</v>
      </c>
      <c r="J87" s="64"/>
    </row>
    <row r="89" spans="2:10" x14ac:dyDescent="0.25">
      <c r="B89" s="482" t="s">
        <v>416</v>
      </c>
      <c r="C89" s="482"/>
      <c r="D89" s="482"/>
      <c r="E89" s="482"/>
      <c r="F89" s="482"/>
      <c r="G89" s="482"/>
      <c r="H89" s="482"/>
    </row>
    <row r="91" spans="2:10" x14ac:dyDescent="0.25">
      <c r="B91" t="s">
        <v>4211</v>
      </c>
      <c r="C91" s="64">
        <f t="shared" ref="C91:H92" si="54">C47/C17</f>
        <v>5.1020524081310112</v>
      </c>
      <c r="D91" s="64">
        <f t="shared" si="54"/>
        <v>5.1020524081310112</v>
      </c>
      <c r="E91" s="64">
        <f t="shared" si="54"/>
        <v>5.1020524081310112</v>
      </c>
      <c r="F91" s="64">
        <f t="shared" si="54"/>
        <v>5.1020524081310112</v>
      </c>
      <c r="G91" s="64">
        <f t="shared" si="54"/>
        <v>5.1020524081310112</v>
      </c>
      <c r="H91" s="64">
        <f t="shared" si="54"/>
        <v>5.1020524081310112</v>
      </c>
    </row>
    <row r="92" spans="2:10" x14ac:dyDescent="0.25">
      <c r="B92" t="s">
        <v>4212</v>
      </c>
      <c r="C92" s="64">
        <f t="shared" si="54"/>
        <v>1.720009809864969</v>
      </c>
      <c r="D92" s="64">
        <f t="shared" si="54"/>
        <v>1.720009809864969</v>
      </c>
      <c r="E92" s="64">
        <f t="shared" si="54"/>
        <v>1.720009809864969</v>
      </c>
      <c r="F92" s="64">
        <f t="shared" si="54"/>
        <v>1.720009809864969</v>
      </c>
      <c r="G92" s="64">
        <f t="shared" si="54"/>
        <v>1.720009809864969</v>
      </c>
      <c r="H92" s="64">
        <f t="shared" si="54"/>
        <v>1.720009809864969</v>
      </c>
    </row>
    <row r="93" spans="2:10" x14ac:dyDescent="0.25">
      <c r="B93" t="s">
        <v>4213</v>
      </c>
      <c r="C93" s="64">
        <f t="shared" ref="C93:H93" si="55">C95/C19</f>
        <v>3.2670404174489476</v>
      </c>
      <c r="D93" s="64">
        <f t="shared" si="55"/>
        <v>3.267040417448948</v>
      </c>
      <c r="E93" s="64">
        <f t="shared" si="55"/>
        <v>3.2670404174489476</v>
      </c>
      <c r="F93" s="64">
        <f t="shared" si="55"/>
        <v>3.2670404174489476</v>
      </c>
      <c r="G93" s="64">
        <f t="shared" si="55"/>
        <v>3.2670404174489476</v>
      </c>
      <c r="H93" s="64">
        <f t="shared" si="55"/>
        <v>3.2670404174489476</v>
      </c>
    </row>
    <row r="94" spans="2:10" outlineLevel="1" x14ac:dyDescent="0.25">
      <c r="B94" s="65" t="s">
        <v>373</v>
      </c>
      <c r="C94" s="67">
        <f>'EF Sempertex 2011-2014 I'!E38</f>
        <v>21695622</v>
      </c>
      <c r="D94" s="68">
        <f>C97</f>
        <v>29464218</v>
      </c>
      <c r="E94" s="68">
        <f t="shared" ref="E94:H94" si="56">D97</f>
        <v>31919970.749139629</v>
      </c>
      <c r="F94" s="68">
        <f t="shared" si="56"/>
        <v>34739838.77254007</v>
      </c>
      <c r="G94" s="68">
        <f t="shared" si="56"/>
        <v>37977809.562629685</v>
      </c>
      <c r="H94" s="68">
        <f t="shared" si="56"/>
        <v>41695875.355237395</v>
      </c>
    </row>
    <row r="95" spans="2:10" outlineLevel="1" x14ac:dyDescent="0.25">
      <c r="B95" s="65" t="s">
        <v>375</v>
      </c>
      <c r="C95" s="67">
        <f>C97+C96-C94</f>
        <v>58447340</v>
      </c>
      <c r="D95" s="67">
        <f>D97+D96-D94</f>
        <v>57358415.568262652</v>
      </c>
      <c r="E95" s="67">
        <f t="shared" ref="E95:H95" si="57">E97+E96-E94</f>
        <v>62572731.505296774</v>
      </c>
      <c r="F95" s="67">
        <f t="shared" si="57"/>
        <v>68560175.794996291</v>
      </c>
      <c r="G95" s="67">
        <f t="shared" si="57"/>
        <v>75435380.434523031</v>
      </c>
      <c r="H95" s="67">
        <f t="shared" si="57"/>
        <v>83329973.945261538</v>
      </c>
    </row>
    <row r="96" spans="2:10" outlineLevel="1" x14ac:dyDescent="0.25">
      <c r="B96" s="65" t="s">
        <v>374</v>
      </c>
      <c r="C96" s="67">
        <f t="shared" ref="C96:H96" si="58">C48</f>
        <v>50678744</v>
      </c>
      <c r="D96" s="67">
        <f t="shared" si="58"/>
        <v>54902662.819123022</v>
      </c>
      <c r="E96" s="67">
        <f t="shared" si="58"/>
        <v>59752863.481896326</v>
      </c>
      <c r="F96" s="67">
        <f t="shared" si="58"/>
        <v>65322205.004906684</v>
      </c>
      <c r="G96" s="67">
        <f t="shared" si="58"/>
        <v>71717314.641915321</v>
      </c>
      <c r="H96" s="67">
        <f t="shared" si="58"/>
        <v>79060629.304948375</v>
      </c>
    </row>
    <row r="97" spans="2:8" outlineLevel="1" x14ac:dyDescent="0.25">
      <c r="B97" s="65" t="s">
        <v>372</v>
      </c>
      <c r="C97" s="67">
        <f t="shared" ref="C97:H97" si="59">C18</f>
        <v>29464218</v>
      </c>
      <c r="D97" s="67">
        <f t="shared" si="59"/>
        <v>31919970.749139629</v>
      </c>
      <c r="E97" s="67">
        <f t="shared" si="59"/>
        <v>34739838.77254007</v>
      </c>
      <c r="F97" s="67">
        <f t="shared" si="59"/>
        <v>37977809.562629685</v>
      </c>
      <c r="G97" s="67">
        <f t="shared" si="59"/>
        <v>41695875.355237395</v>
      </c>
      <c r="H97" s="67">
        <f t="shared" si="59"/>
        <v>45965219.995550551</v>
      </c>
    </row>
    <row r="98" spans="2:8" x14ac:dyDescent="0.25">
      <c r="B98" t="s">
        <v>4219</v>
      </c>
      <c r="C98" s="64">
        <f t="shared" ref="C98:H98" si="60">C47/C16</f>
        <v>3.7038956342385223</v>
      </c>
      <c r="D98" s="64">
        <f t="shared" si="60"/>
        <v>3.7038956342385223</v>
      </c>
      <c r="E98" s="64">
        <f t="shared" si="60"/>
        <v>3.7038956342385223</v>
      </c>
      <c r="F98" s="64">
        <f t="shared" si="60"/>
        <v>3.7038956342385227</v>
      </c>
      <c r="G98" s="64">
        <f t="shared" si="60"/>
        <v>3.7038956342385227</v>
      </c>
      <c r="H98" s="64">
        <f t="shared" si="60"/>
        <v>3.7038956342385227</v>
      </c>
    </row>
    <row r="99" spans="2:8" x14ac:dyDescent="0.25">
      <c r="B99" t="s">
        <v>4220</v>
      </c>
      <c r="C99" s="64">
        <f t="shared" ref="C99:H99" si="61">C47/C21</f>
        <v>6.465216669656165</v>
      </c>
      <c r="D99" s="64">
        <f t="shared" si="61"/>
        <v>6.465216669656165</v>
      </c>
      <c r="E99" s="64">
        <f t="shared" si="61"/>
        <v>6.465216669656165</v>
      </c>
      <c r="F99" s="64">
        <f t="shared" si="61"/>
        <v>6.465216669656165</v>
      </c>
      <c r="G99" s="64">
        <f t="shared" si="61"/>
        <v>6.465216669656165</v>
      </c>
      <c r="H99" s="64">
        <f t="shared" si="61"/>
        <v>6.465216669656165</v>
      </c>
    </row>
    <row r="100" spans="2:8" x14ac:dyDescent="0.25">
      <c r="B100" s="426" t="s">
        <v>4221</v>
      </c>
      <c r="C100" s="64">
        <f t="shared" ref="C100:H100" si="62">C47/C22</f>
        <v>5.1370282960022502</v>
      </c>
      <c r="D100" s="64">
        <f t="shared" si="62"/>
        <v>4.9229091217479173</v>
      </c>
      <c r="E100" s="64">
        <f t="shared" si="62"/>
        <v>4.745136508221881</v>
      </c>
      <c r="F100" s="64">
        <f t="shared" si="62"/>
        <v>4.5975890994190438</v>
      </c>
      <c r="G100" s="64">
        <f t="shared" si="62"/>
        <v>4.4753519458878142</v>
      </c>
      <c r="H100" s="64">
        <f t="shared" si="62"/>
        <v>4.3744156033304149</v>
      </c>
    </row>
    <row r="101" spans="2:8" x14ac:dyDescent="0.25">
      <c r="B101" t="s">
        <v>4222</v>
      </c>
      <c r="C101" s="64">
        <f t="shared" ref="C101:H101" si="63">C47/C15</f>
        <v>2.3548257784481619</v>
      </c>
      <c r="D101" s="64">
        <f t="shared" si="63"/>
        <v>2.3548257784481619</v>
      </c>
      <c r="E101" s="64">
        <f t="shared" si="63"/>
        <v>2.3548257784481619</v>
      </c>
      <c r="F101" s="64">
        <f t="shared" si="63"/>
        <v>2.3548257784481619</v>
      </c>
      <c r="G101" s="64">
        <f t="shared" si="63"/>
        <v>2.3548257784481619</v>
      </c>
      <c r="H101" s="64">
        <f t="shared" si="63"/>
        <v>2.3548257784481619</v>
      </c>
    </row>
    <row r="103" spans="2:8" x14ac:dyDescent="0.25">
      <c r="B103" s="482" t="s">
        <v>4214</v>
      </c>
      <c r="C103" s="482"/>
      <c r="D103" s="482"/>
      <c r="E103" s="482"/>
      <c r="F103" s="482"/>
      <c r="G103" s="482"/>
      <c r="H103" s="482"/>
    </row>
    <row r="105" spans="2:8" x14ac:dyDescent="0.25">
      <c r="B105" t="s">
        <v>384</v>
      </c>
      <c r="C105" s="149">
        <f>360/C91+360/C92-360/C93</f>
        <v>169.66949729985691</v>
      </c>
      <c r="D105" s="149">
        <f t="shared" ref="D105:H105" si="64">360/D91+360/D92-360/D93</f>
        <v>169.66949729985691</v>
      </c>
      <c r="E105" s="149">
        <f t="shared" si="64"/>
        <v>169.66949729985691</v>
      </c>
      <c r="F105" s="149">
        <f t="shared" si="64"/>
        <v>169.66949729985691</v>
      </c>
      <c r="G105" s="149">
        <f t="shared" si="64"/>
        <v>169.66949729985691</v>
      </c>
      <c r="H105" s="149">
        <f t="shared" si="64"/>
        <v>169.66949729985691</v>
      </c>
    </row>
    <row r="106" spans="2:8" x14ac:dyDescent="0.25">
      <c r="B106" t="s">
        <v>392</v>
      </c>
      <c r="C106" s="149">
        <f>360/C91+360/C92</f>
        <v>279.86097153974532</v>
      </c>
      <c r="D106" s="149">
        <f t="shared" ref="D106:H106" si="65">360/D91+360/D92</f>
        <v>279.86097153974532</v>
      </c>
      <c r="E106" s="149">
        <f t="shared" si="65"/>
        <v>279.86097153974532</v>
      </c>
      <c r="F106" s="149">
        <f t="shared" si="65"/>
        <v>279.86097153974532</v>
      </c>
      <c r="G106" s="149">
        <f t="shared" si="65"/>
        <v>279.86097153974532</v>
      </c>
      <c r="H106" s="149">
        <f t="shared" si="65"/>
        <v>279.86097153974532</v>
      </c>
    </row>
    <row r="108" spans="2:8" x14ac:dyDescent="0.25">
      <c r="B108" s="482" t="s">
        <v>4215</v>
      </c>
      <c r="C108" s="482"/>
      <c r="D108" s="482"/>
      <c r="E108" s="482"/>
      <c r="F108" s="482"/>
      <c r="G108" s="482"/>
      <c r="H108" s="482"/>
    </row>
    <row r="110" spans="2:8" x14ac:dyDescent="0.25">
      <c r="B110" s="488" t="s">
        <v>4216</v>
      </c>
      <c r="C110" s="171">
        <f t="shared" ref="C110:H110" si="66">C16/C47</f>
        <v>0.26998600898904329</v>
      </c>
      <c r="D110" s="171">
        <f t="shared" si="66"/>
        <v>0.26998600898904335</v>
      </c>
      <c r="E110" s="171">
        <f t="shared" si="66"/>
        <v>0.26998600898904329</v>
      </c>
      <c r="F110" s="171">
        <f t="shared" si="66"/>
        <v>0.26998600898904329</v>
      </c>
      <c r="G110" s="171">
        <f t="shared" si="66"/>
        <v>0.26998600898904329</v>
      </c>
      <c r="H110" s="171">
        <f t="shared" si="66"/>
        <v>0.26998600898904329</v>
      </c>
    </row>
    <row r="111" spans="2:8" x14ac:dyDescent="0.25">
      <c r="B111" s="488" t="s">
        <v>4105</v>
      </c>
      <c r="C111" s="171">
        <f>(C55+C53)/C16</f>
        <v>0.67189196908415905</v>
      </c>
      <c r="D111" s="171">
        <f t="shared" ref="D111:H111" si="67">(D55+D53)/D16</f>
        <v>0.6677824883328155</v>
      </c>
      <c r="E111" s="171">
        <f t="shared" si="67"/>
        <v>0.66778248833281584</v>
      </c>
      <c r="F111" s="171">
        <f t="shared" si="67"/>
        <v>0.66778248833281595</v>
      </c>
      <c r="G111" s="171">
        <f t="shared" si="67"/>
        <v>0.66778248833281584</v>
      </c>
      <c r="H111" s="171">
        <f t="shared" si="67"/>
        <v>0.66778248833281617</v>
      </c>
    </row>
    <row r="113" spans="2:8" x14ac:dyDescent="0.25">
      <c r="B113" s="482" t="s">
        <v>411</v>
      </c>
      <c r="C113" s="482"/>
      <c r="D113" s="482"/>
      <c r="E113" s="482"/>
      <c r="F113" s="482"/>
      <c r="G113" s="482"/>
      <c r="H113" s="482"/>
    </row>
    <row r="115" spans="2:8" x14ac:dyDescent="0.25">
      <c r="B115" t="s">
        <v>412</v>
      </c>
      <c r="C115" s="81">
        <f t="shared" ref="C115:H115" si="68">C49/C47</f>
        <v>0.47516886559930405</v>
      </c>
      <c r="D115" s="81">
        <f t="shared" si="68"/>
        <v>0.47516886559930399</v>
      </c>
      <c r="E115" s="81">
        <f t="shared" si="68"/>
        <v>0.4751688655993041</v>
      </c>
      <c r="F115" s="81">
        <f t="shared" si="68"/>
        <v>0.47516886559930405</v>
      </c>
      <c r="G115" s="81">
        <f t="shared" si="68"/>
        <v>0.47516886559930405</v>
      </c>
      <c r="H115" s="81">
        <f t="shared" si="68"/>
        <v>0.4751688655993041</v>
      </c>
    </row>
    <row r="116" spans="2:8" x14ac:dyDescent="0.25">
      <c r="B116" t="s">
        <v>452</v>
      </c>
      <c r="C116" s="81">
        <f t="shared" ref="C116:H116" si="69">C55/C47</f>
        <v>0.16874836892359313</v>
      </c>
      <c r="D116" s="81">
        <f t="shared" si="69"/>
        <v>0.16874836892359305</v>
      </c>
      <c r="E116" s="81">
        <f t="shared" si="69"/>
        <v>0.16874836892359313</v>
      </c>
      <c r="F116" s="81">
        <f t="shared" si="69"/>
        <v>0.16874836892359313</v>
      </c>
      <c r="G116" s="81">
        <f t="shared" si="69"/>
        <v>0.16874836892359313</v>
      </c>
      <c r="H116" s="81">
        <f t="shared" si="69"/>
        <v>0.16874836892359321</v>
      </c>
    </row>
    <row r="117" spans="2:8" x14ac:dyDescent="0.25">
      <c r="B117" t="s">
        <v>404</v>
      </c>
      <c r="C117" s="81">
        <f t="shared" ref="C117:H117" si="70">C62/C47</f>
        <v>5.6921066257948259E-2</v>
      </c>
      <c r="D117" s="81">
        <f t="shared" si="70"/>
        <v>6.0332261544917609E-2</v>
      </c>
      <c r="E117" s="81">
        <f t="shared" si="70"/>
        <v>6.3654400910624812E-2</v>
      </c>
      <c r="F117" s="81">
        <f t="shared" si="70"/>
        <v>6.6860630099715171E-2</v>
      </c>
      <c r="G117" s="81">
        <f t="shared" si="70"/>
        <v>6.9928051267327193E-2</v>
      </c>
      <c r="H117" s="81">
        <f t="shared" si="70"/>
        <v>7.2838219686352207E-2</v>
      </c>
    </row>
    <row r="119" spans="2:8" x14ac:dyDescent="0.25">
      <c r="B119" s="26" t="s">
        <v>393</v>
      </c>
      <c r="C119" s="154">
        <f t="shared" ref="C119:H119" si="71">C70/C15</f>
        <v>0.2384494620851613</v>
      </c>
      <c r="D119" s="154">
        <f t="shared" si="71"/>
        <v>0.23844946208516113</v>
      </c>
      <c r="E119" s="154">
        <f t="shared" si="71"/>
        <v>0.2384494620851613</v>
      </c>
      <c r="F119" s="154">
        <f t="shared" si="71"/>
        <v>0.2384494620851613</v>
      </c>
      <c r="G119" s="154">
        <f t="shared" si="71"/>
        <v>0.2384494620851613</v>
      </c>
      <c r="H119" s="154">
        <f t="shared" si="71"/>
        <v>0.23844946208516138</v>
      </c>
    </row>
    <row r="120" spans="2:8" x14ac:dyDescent="0.25">
      <c r="B120" s="65" t="s">
        <v>398</v>
      </c>
      <c r="C120" s="81">
        <f t="shared" ref="C120:H120" si="72">C70/C47</f>
        <v>0.1012599166645357</v>
      </c>
      <c r="D120" s="81">
        <f t="shared" si="72"/>
        <v>0.10125991666453564</v>
      </c>
      <c r="E120" s="81">
        <f t="shared" si="72"/>
        <v>0.10125991666453571</v>
      </c>
      <c r="F120" s="81">
        <f t="shared" si="72"/>
        <v>0.1012599166645357</v>
      </c>
      <c r="G120" s="81">
        <f t="shared" si="72"/>
        <v>0.10125991666453571</v>
      </c>
      <c r="H120" s="81">
        <f t="shared" si="72"/>
        <v>0.10125991666453574</v>
      </c>
    </row>
    <row r="121" spans="2:8" x14ac:dyDescent="0.25">
      <c r="B121" s="65" t="s">
        <v>4217</v>
      </c>
      <c r="C121" s="64">
        <f>C101</f>
        <v>2.3548257784481619</v>
      </c>
      <c r="D121" s="64">
        <f t="shared" ref="D121:H121" si="73">D101</f>
        <v>2.3548257784481619</v>
      </c>
      <c r="E121" s="64">
        <f t="shared" si="73"/>
        <v>2.3548257784481619</v>
      </c>
      <c r="F121" s="64">
        <f t="shared" si="73"/>
        <v>2.3548257784481619</v>
      </c>
      <c r="G121" s="64">
        <f t="shared" si="73"/>
        <v>2.3548257784481619</v>
      </c>
      <c r="H121" s="64">
        <f t="shared" si="73"/>
        <v>2.3548257784481619</v>
      </c>
    </row>
    <row r="123" spans="2:8" x14ac:dyDescent="0.25">
      <c r="B123" s="26" t="s">
        <v>400</v>
      </c>
      <c r="C123" s="154">
        <f t="shared" ref="C123:H123" si="74">C62/C34</f>
        <v>0.19990606283170154</v>
      </c>
      <c r="D123" s="154">
        <f t="shared" si="74"/>
        <v>0.20416744290650418</v>
      </c>
      <c r="E123" s="154">
        <f t="shared" si="74"/>
        <v>0.20802937674381639</v>
      </c>
      <c r="F123" s="154">
        <f t="shared" si="74"/>
        <v>0.21151365316557258</v>
      </c>
      <c r="G123" s="154">
        <f t="shared" si="74"/>
        <v>0.21464451267910653</v>
      </c>
      <c r="H123" s="154">
        <f t="shared" si="74"/>
        <v>0.21744759360629881</v>
      </c>
    </row>
    <row r="124" spans="2:8" x14ac:dyDescent="0.25">
      <c r="B124" s="65" t="s">
        <v>404</v>
      </c>
      <c r="C124" s="156">
        <f>C117</f>
        <v>5.6921066257948259E-2</v>
      </c>
      <c r="D124" s="156">
        <f t="shared" ref="D124:H124" si="75">D117</f>
        <v>6.0332261544917609E-2</v>
      </c>
      <c r="E124" s="156">
        <f t="shared" si="75"/>
        <v>6.3654400910624812E-2</v>
      </c>
      <c r="F124" s="156">
        <f t="shared" si="75"/>
        <v>6.6860630099715171E-2</v>
      </c>
      <c r="G124" s="156">
        <f t="shared" si="75"/>
        <v>6.9928051267327193E-2</v>
      </c>
      <c r="H124" s="156">
        <f t="shared" si="75"/>
        <v>7.2838219686352207E-2</v>
      </c>
    </row>
    <row r="125" spans="2:8" x14ac:dyDescent="0.25">
      <c r="B125" s="65" t="s">
        <v>399</v>
      </c>
      <c r="C125" s="64">
        <f>C101</f>
        <v>2.3548257784481619</v>
      </c>
      <c r="D125" s="64">
        <f t="shared" ref="D125:H125" si="76">D101</f>
        <v>2.3548257784481619</v>
      </c>
      <c r="E125" s="64">
        <f t="shared" si="76"/>
        <v>2.3548257784481619</v>
      </c>
      <c r="F125" s="64">
        <f t="shared" si="76"/>
        <v>2.3548257784481619</v>
      </c>
      <c r="G125" s="64">
        <f t="shared" si="76"/>
        <v>2.3548257784481619</v>
      </c>
      <c r="H125" s="64">
        <f t="shared" si="76"/>
        <v>2.3548257784481619</v>
      </c>
    </row>
    <row r="126" spans="2:8" x14ac:dyDescent="0.25">
      <c r="B126" s="65" t="s">
        <v>405</v>
      </c>
      <c r="C126" s="64">
        <f t="shared" ref="C126:H126" si="77">C15/C34</f>
        <v>1.4914000646081718</v>
      </c>
      <c r="D126" s="64">
        <f t="shared" si="77"/>
        <v>1.4370705948510338</v>
      </c>
      <c r="E126" s="64">
        <f t="shared" si="77"/>
        <v>1.3878337715836317</v>
      </c>
      <c r="F126" s="64">
        <f t="shared" si="77"/>
        <v>1.3434118033108136</v>
      </c>
      <c r="G126" s="64">
        <f t="shared" si="77"/>
        <v>1.3034956413471894</v>
      </c>
      <c r="H126" s="64">
        <f t="shared" si="77"/>
        <v>1.2677584158973481</v>
      </c>
    </row>
    <row r="128" spans="2:8" x14ac:dyDescent="0.25">
      <c r="B128" s="426" t="s">
        <v>406</v>
      </c>
      <c r="C128" s="156">
        <f>C123-C119</f>
        <v>-3.8543399253459759E-2</v>
      </c>
      <c r="D128" s="156">
        <f t="shared" ref="D128:H128" si="78">D123-D119</f>
        <v>-3.4282019178656947E-2</v>
      </c>
      <c r="E128" s="156">
        <f t="shared" si="78"/>
        <v>-3.042008534134491E-2</v>
      </c>
      <c r="F128" s="156">
        <f t="shared" si="78"/>
        <v>-2.6935808919588716E-2</v>
      </c>
      <c r="G128" s="156">
        <f t="shared" si="78"/>
        <v>-2.3804949406054765E-2</v>
      </c>
      <c r="H128" s="156">
        <f t="shared" si="78"/>
        <v>-2.1001868478862568E-2</v>
      </c>
    </row>
    <row r="130" spans="2:9" x14ac:dyDescent="0.25">
      <c r="B130" s="26" t="s">
        <v>4070</v>
      </c>
      <c r="C130" s="73">
        <f>C131-C132*C133</f>
        <v>5125828.0714746974</v>
      </c>
      <c r="D130" s="73">
        <f t="shared" ref="D130:H130" si="79">D131-D132*D133</f>
        <v>5557192.4020152139</v>
      </c>
      <c r="E130" s="73">
        <f t="shared" si="79"/>
        <v>6052627.6535968324</v>
      </c>
      <c r="F130" s="73">
        <f t="shared" si="79"/>
        <v>6621640.619959522</v>
      </c>
      <c r="G130" s="73">
        <f t="shared" si="79"/>
        <v>7275146.3166053472</v>
      </c>
      <c r="H130" s="73">
        <f t="shared" si="79"/>
        <v>8025676.5800325451</v>
      </c>
    </row>
    <row r="131" spans="2:9" x14ac:dyDescent="0.25">
      <c r="B131" s="119" t="s">
        <v>394</v>
      </c>
      <c r="C131" s="67">
        <f>C70</f>
        <v>9777860.0729608964</v>
      </c>
      <c r="D131" s="67">
        <f t="shared" ref="D131:H131" si="80">D70</f>
        <v>10592814.902404396</v>
      </c>
      <c r="E131" s="67">
        <f t="shared" si="80"/>
        <v>11528603.354588214</v>
      </c>
      <c r="F131" s="67">
        <f t="shared" si="80"/>
        <v>12603141.470815524</v>
      </c>
      <c r="G131" s="67">
        <f t="shared" si="80"/>
        <v>13837001.709773188</v>
      </c>
      <c r="H131" s="67">
        <f t="shared" si="80"/>
        <v>15253806.815417863</v>
      </c>
    </row>
    <row r="132" spans="2:9" x14ac:dyDescent="0.25">
      <c r="B132" s="119" t="s">
        <v>379</v>
      </c>
      <c r="C132" s="67">
        <f t="shared" ref="C132:H132" si="81">C15</f>
        <v>41006006</v>
      </c>
      <c r="D132" s="67">
        <f t="shared" si="81"/>
        <v>44423731.593997978</v>
      </c>
      <c r="E132" s="67">
        <f t="shared" si="81"/>
        <v>48348204.494882941</v>
      </c>
      <c r="F132" s="67">
        <f t="shared" si="81"/>
        <v>52854560.293846928</v>
      </c>
      <c r="G132" s="67">
        <f t="shared" si="81"/>
        <v>58029074.961097449</v>
      </c>
      <c r="H132" s="67">
        <f t="shared" si="81"/>
        <v>63970816.633547366</v>
      </c>
    </row>
    <row r="133" spans="2:9" x14ac:dyDescent="0.25">
      <c r="B133" s="119" t="s">
        <v>4071</v>
      </c>
      <c r="C133" s="156">
        <f>C134*C136+C135*C137</f>
        <v>0.11344757647175389</v>
      </c>
      <c r="D133" s="156">
        <f t="shared" ref="D133:H133" si="82">D134*D136+D135*D137</f>
        <v>0.11335433381444113</v>
      </c>
      <c r="E133" s="156">
        <f t="shared" si="82"/>
        <v>0.11326120086984712</v>
      </c>
      <c r="F133" s="156">
        <f t="shared" si="82"/>
        <v>0.11316905897242588</v>
      </c>
      <c r="G133" s="156">
        <f t="shared" si="82"/>
        <v>0.11307875229041464</v>
      </c>
      <c r="H133" s="156">
        <f t="shared" si="82"/>
        <v>0.1129910577317027</v>
      </c>
    </row>
    <row r="134" spans="2:9" x14ac:dyDescent="0.25">
      <c r="B134" s="115" t="s">
        <v>4102</v>
      </c>
      <c r="C134" s="81">
        <f>C5*(1-C6)</f>
        <v>0.11527240301839546</v>
      </c>
      <c r="D134" s="81">
        <f t="shared" ref="D134:H134" si="83">D5*(1-D6)</f>
        <v>0.11527240301839546</v>
      </c>
      <c r="E134" s="81">
        <f t="shared" si="83"/>
        <v>0.11527240301839546</v>
      </c>
      <c r="F134" s="81">
        <f t="shared" si="83"/>
        <v>0.11527240301839546</v>
      </c>
      <c r="G134" s="81">
        <f t="shared" si="83"/>
        <v>0.11527240301839546</v>
      </c>
      <c r="H134" s="81">
        <f t="shared" si="83"/>
        <v>0.11527240301839546</v>
      </c>
    </row>
    <row r="135" spans="2:9" x14ac:dyDescent="0.25">
      <c r="B135" s="115" t="s">
        <v>4103</v>
      </c>
      <c r="C135" s="531">
        <f>'Analisis Sectorial'!$H$203</f>
        <v>0.11201556632833577</v>
      </c>
      <c r="D135" s="531">
        <f>'Analisis Sectorial'!$H$203</f>
        <v>0.11201556632833577</v>
      </c>
      <c r="E135" s="531">
        <f>'Analisis Sectorial'!$H$203</f>
        <v>0.11201556632833577</v>
      </c>
      <c r="F135" s="531">
        <f>'Analisis Sectorial'!$H$203</f>
        <v>0.11201556632833577</v>
      </c>
      <c r="G135" s="531">
        <f>'Analisis Sectorial'!$H$203</f>
        <v>0.11201556632833577</v>
      </c>
      <c r="H135" s="531">
        <f>'Analisis Sectorial'!$H$203</f>
        <v>0.11201556632833577</v>
      </c>
      <c r="I135" t="s">
        <v>4244</v>
      </c>
    </row>
    <row r="136" spans="2:9" x14ac:dyDescent="0.25">
      <c r="B136" s="115" t="s">
        <v>4129</v>
      </c>
      <c r="C136" s="81">
        <f t="shared" ref="C136:H136" si="84">(C27+C28+C29)/(C27+C28+C29+C34)</f>
        <v>0.43969356762308964</v>
      </c>
      <c r="D136" s="81">
        <f t="shared" si="84"/>
        <v>0.41106374482682911</v>
      </c>
      <c r="E136" s="81">
        <f t="shared" si="84"/>
        <v>0.3824676089265297</v>
      </c>
      <c r="F136" s="81">
        <f t="shared" si="84"/>
        <v>0.35417577049863264</v>
      </c>
      <c r="G136" s="81">
        <f t="shared" si="84"/>
        <v>0.32644742836626195</v>
      </c>
      <c r="H136" s="81">
        <f t="shared" si="84"/>
        <v>0.29952112930447117</v>
      </c>
    </row>
    <row r="137" spans="2:9" x14ac:dyDescent="0.25">
      <c r="B137" s="115" t="s">
        <v>4130</v>
      </c>
      <c r="C137" s="81">
        <f t="shared" ref="C137:H137" si="85">(C34)/(C27+C28+C29+C34)</f>
        <v>0.56030643237691036</v>
      </c>
      <c r="D137" s="81">
        <f t="shared" si="85"/>
        <v>0.58893625517317094</v>
      </c>
      <c r="E137" s="81">
        <f t="shared" si="85"/>
        <v>0.61753239107347035</v>
      </c>
      <c r="F137" s="81">
        <f t="shared" si="85"/>
        <v>0.64582422950136731</v>
      </c>
      <c r="G137" s="81">
        <f t="shared" si="85"/>
        <v>0.67355257163373805</v>
      </c>
      <c r="H137" s="81">
        <f t="shared" si="85"/>
        <v>0.70047887069552894</v>
      </c>
    </row>
    <row r="139" spans="2:9" x14ac:dyDescent="0.25">
      <c r="B139" s="482" t="s">
        <v>453</v>
      </c>
      <c r="C139" s="482"/>
      <c r="D139" s="482"/>
      <c r="E139" s="482"/>
      <c r="F139" s="482"/>
      <c r="G139" s="482"/>
      <c r="H139" s="482"/>
    </row>
    <row r="141" spans="2:9" x14ac:dyDescent="0.25">
      <c r="B141" t="s">
        <v>456</v>
      </c>
      <c r="C141" s="64">
        <f>C26/C34</f>
        <v>0.78473767605672218</v>
      </c>
      <c r="D141" s="64">
        <f t="shared" ref="D141:H141" si="86">D26/D34</f>
        <v>0.69797663366124374</v>
      </c>
      <c r="E141" s="64">
        <f t="shared" si="86"/>
        <v>0.61934825517683001</v>
      </c>
      <c r="F141" s="64">
        <f t="shared" si="86"/>
        <v>0.54840892354269088</v>
      </c>
      <c r="G141" s="64">
        <f t="shared" si="86"/>
        <v>0.48466510576070715</v>
      </c>
      <c r="H141" s="64">
        <f t="shared" si="86"/>
        <v>0.4275948095437434</v>
      </c>
    </row>
    <row r="142" spans="2:9" x14ac:dyDescent="0.25">
      <c r="B142" t="s">
        <v>455</v>
      </c>
      <c r="C142" s="81">
        <f>C26/C15</f>
        <v>0.52617516565744049</v>
      </c>
      <c r="D142" s="81">
        <f t="shared" ref="D142:H142" si="87">D26/D15</f>
        <v>0.48569404743376277</v>
      </c>
      <c r="E142" s="81">
        <f t="shared" si="87"/>
        <v>0.44626976793488965</v>
      </c>
      <c r="F142" s="81">
        <f t="shared" si="87"/>
        <v>0.40822101025995694</v>
      </c>
      <c r="G142" s="81">
        <f t="shared" si="87"/>
        <v>0.37181950624690685</v>
      </c>
      <c r="H142" s="81">
        <f t="shared" si="87"/>
        <v>0.33728414197990719</v>
      </c>
    </row>
    <row r="143" spans="2:9" x14ac:dyDescent="0.25">
      <c r="B143" t="s">
        <v>405</v>
      </c>
      <c r="C143" s="64">
        <f t="shared" ref="C143:H143" si="88">C15/C34</f>
        <v>1.4914000646081718</v>
      </c>
      <c r="D143" s="64">
        <f t="shared" si="88"/>
        <v>1.4370705948510338</v>
      </c>
      <c r="E143" s="64">
        <f t="shared" si="88"/>
        <v>1.3878337715836317</v>
      </c>
      <c r="F143" s="64">
        <f t="shared" si="88"/>
        <v>1.3434118033108136</v>
      </c>
      <c r="G143" s="64">
        <f t="shared" si="88"/>
        <v>1.3034956413471894</v>
      </c>
      <c r="H143" s="64">
        <f t="shared" si="88"/>
        <v>1.2677584158973481</v>
      </c>
    </row>
    <row r="145" spans="2:8" x14ac:dyDescent="0.25">
      <c r="B145" s="482" t="s">
        <v>4190</v>
      </c>
      <c r="C145" s="482"/>
      <c r="D145" s="482"/>
      <c r="E145" s="482"/>
      <c r="F145" s="482"/>
      <c r="G145" s="482"/>
      <c r="H145" s="482"/>
    </row>
    <row r="146" spans="2:8" outlineLevel="1" x14ac:dyDescent="0.25"/>
    <row r="147" spans="2:8" outlineLevel="1" x14ac:dyDescent="0.25">
      <c r="B147" t="s">
        <v>4063</v>
      </c>
      <c r="C147" s="64">
        <f>C55/C59</f>
        <v>3.9313404404477112</v>
      </c>
      <c r="D147" s="64">
        <f t="shared" ref="D147:H147" si="89">D55/D59</f>
        <v>4.2590056815355002</v>
      </c>
      <c r="E147" s="64">
        <f t="shared" si="89"/>
        <v>4.6352539565489286</v>
      </c>
      <c r="F147" s="64">
        <f t="shared" si="89"/>
        <v>5.0672886880346821</v>
      </c>
      <c r="G147" s="64">
        <f t="shared" si="89"/>
        <v>5.5633813523885767</v>
      </c>
      <c r="H147" s="64">
        <f t="shared" si="89"/>
        <v>6.1330298405538448</v>
      </c>
    </row>
    <row r="148" spans="2:8" outlineLevel="1" x14ac:dyDescent="0.25">
      <c r="B148" t="s">
        <v>4066</v>
      </c>
      <c r="C148" s="81">
        <f t="shared" ref="C148:H148" si="90">C27/(C27+C28+C29)</f>
        <v>0.62120126757353034</v>
      </c>
      <c r="D148" s="81">
        <f t="shared" si="90"/>
        <v>0.62120126757353034</v>
      </c>
      <c r="E148" s="81">
        <f t="shared" si="90"/>
        <v>0.62120126757353034</v>
      </c>
      <c r="F148" s="81">
        <f t="shared" si="90"/>
        <v>0.62120126757353034</v>
      </c>
      <c r="G148" s="81">
        <f t="shared" si="90"/>
        <v>0.62120126757353034</v>
      </c>
      <c r="H148" s="81">
        <f t="shared" si="90"/>
        <v>0.62120126757353034</v>
      </c>
    </row>
    <row r="149" spans="2:8" outlineLevel="1" x14ac:dyDescent="0.25"/>
    <row r="150" spans="2:8" outlineLevel="1" x14ac:dyDescent="0.25"/>
    <row r="151" spans="2:8" x14ac:dyDescent="0.25">
      <c r="B151" s="482" t="s">
        <v>4231</v>
      </c>
      <c r="C151" s="482"/>
      <c r="D151" s="482"/>
      <c r="E151" s="482"/>
      <c r="F151" s="482"/>
      <c r="G151" s="482"/>
      <c r="H151" s="482"/>
    </row>
    <row r="153" spans="2:8" x14ac:dyDescent="0.25">
      <c r="B153" t="s">
        <v>4223</v>
      </c>
      <c r="C153" s="81">
        <f t="shared" ref="C153:H153" si="91">1-C7</f>
        <v>0.54151908554162242</v>
      </c>
      <c r="D153" s="81">
        <f t="shared" si="91"/>
        <v>0.54151908554162242</v>
      </c>
      <c r="E153" s="81">
        <f t="shared" si="91"/>
        <v>0.54151908554162242</v>
      </c>
      <c r="F153" s="81">
        <f t="shared" si="91"/>
        <v>0.54151908554162242</v>
      </c>
      <c r="G153" s="81">
        <f t="shared" si="91"/>
        <v>0.54151908554162242</v>
      </c>
      <c r="H153" s="81">
        <f t="shared" si="91"/>
        <v>0.54151908554162242</v>
      </c>
    </row>
    <row r="155" spans="2:8" x14ac:dyDescent="0.25">
      <c r="B155" s="26" t="s">
        <v>4224</v>
      </c>
      <c r="C155" s="154">
        <f>(C156*C153)/(1-C157*C153)</f>
        <v>8.33469515172479E-2</v>
      </c>
      <c r="D155" s="154">
        <f t="shared" ref="D155:H155" si="92">(D156*D153)/(1-D157*D153)</f>
        <v>8.8341811011103513E-2</v>
      </c>
      <c r="E155" s="154">
        <f t="shared" si="92"/>
        <v>9.3206269933787084E-2</v>
      </c>
      <c r="F155" s="154">
        <f t="shared" si="92"/>
        <v>9.7901006809679406E-2</v>
      </c>
      <c r="G155" s="154">
        <f t="shared" si="92"/>
        <v>0.10239249335670521</v>
      </c>
      <c r="H155" s="154">
        <f t="shared" si="92"/>
        <v>0.10665372179238364</v>
      </c>
    </row>
    <row r="156" spans="2:8" x14ac:dyDescent="0.25">
      <c r="B156" s="65" t="s">
        <v>4225</v>
      </c>
      <c r="C156" s="81">
        <f t="shared" ref="C156:H156" si="93">C62/C15</f>
        <v>0.13403919416097243</v>
      </c>
      <c r="D156" s="81">
        <f t="shared" si="93"/>
        <v>0.1420719647580487</v>
      </c>
      <c r="E156" s="81">
        <f t="shared" si="93"/>
        <v>0.14989502417601344</v>
      </c>
      <c r="F156" s="81">
        <f t="shared" si="93"/>
        <v>0.15744513532209639</v>
      </c>
      <c r="G156" s="81">
        <f t="shared" si="93"/>
        <v>0.16466837776094673</v>
      </c>
      <c r="H156" s="81">
        <f t="shared" si="93"/>
        <v>0.17152131737369258</v>
      </c>
    </row>
    <row r="157" spans="2:8" x14ac:dyDescent="0.25">
      <c r="B157" s="65" t="s">
        <v>393</v>
      </c>
      <c r="C157" s="156">
        <f>C119</f>
        <v>0.2384494620851613</v>
      </c>
      <c r="D157" s="156">
        <f t="shared" ref="D157:H157" si="94">D119</f>
        <v>0.23844946208516113</v>
      </c>
      <c r="E157" s="156">
        <f t="shared" si="94"/>
        <v>0.2384494620851613</v>
      </c>
      <c r="F157" s="156">
        <f t="shared" si="94"/>
        <v>0.2384494620851613</v>
      </c>
      <c r="G157" s="156">
        <f t="shared" si="94"/>
        <v>0.2384494620851613</v>
      </c>
      <c r="H157" s="156">
        <f t="shared" si="94"/>
        <v>0.23844946208516138</v>
      </c>
    </row>
    <row r="159" spans="2:8" x14ac:dyDescent="0.25">
      <c r="B159" s="26" t="s">
        <v>4226</v>
      </c>
      <c r="C159" s="154">
        <f>(C160*C153)/(1-C161*C153)</f>
        <v>0.13407215269236802</v>
      </c>
      <c r="D159" s="154">
        <f t="shared" ref="D159:H159" si="95">(D160*D153)/(1-D161*D153)</f>
        <v>0.13575068822118538</v>
      </c>
      <c r="E159" s="154">
        <f t="shared" si="95"/>
        <v>0.13724709954854719</v>
      </c>
      <c r="F159" s="154">
        <f t="shared" si="95"/>
        <v>0.13857742311425009</v>
      </c>
      <c r="G159" s="154">
        <f t="shared" si="95"/>
        <v>0.1397571569144419</v>
      </c>
      <c r="H159" s="154">
        <f t="shared" si="95"/>
        <v>0.14080104338868807</v>
      </c>
    </row>
    <row r="160" spans="2:8" x14ac:dyDescent="0.25">
      <c r="B160" s="65" t="s">
        <v>400</v>
      </c>
      <c r="C160" s="156">
        <f>C123</f>
        <v>0.19990606283170154</v>
      </c>
      <c r="D160" s="156">
        <f t="shared" ref="D160:H160" si="96">D123</f>
        <v>0.20416744290650418</v>
      </c>
      <c r="E160" s="156">
        <f t="shared" si="96"/>
        <v>0.20802937674381639</v>
      </c>
      <c r="F160" s="156">
        <f t="shared" si="96"/>
        <v>0.21151365316557258</v>
      </c>
      <c r="G160" s="156">
        <f t="shared" si="96"/>
        <v>0.21464451267910653</v>
      </c>
      <c r="H160" s="156">
        <f t="shared" si="96"/>
        <v>0.21744759360629881</v>
      </c>
    </row>
    <row r="161" spans="2:8" x14ac:dyDescent="0.25">
      <c r="B161" s="65" t="s">
        <v>4227</v>
      </c>
      <c r="C161" s="81">
        <f t="shared" ref="C161:H161" si="97">C70/C34</f>
        <v>0.35562354315959332</v>
      </c>
      <c r="D161" s="81">
        <f t="shared" si="97"/>
        <v>0.34266871032063156</v>
      </c>
      <c r="E161" s="81">
        <f t="shared" si="97"/>
        <v>0.33092821629773761</v>
      </c>
      <c r="F161" s="81">
        <f t="shared" si="97"/>
        <v>0.32033582185831999</v>
      </c>
      <c r="G161" s="81">
        <f t="shared" si="97"/>
        <v>0.31081783450958961</v>
      </c>
      <c r="H161" s="81">
        <f t="shared" si="97"/>
        <v>0.30229631232465898</v>
      </c>
    </row>
    <row r="162" spans="2:8" x14ac:dyDescent="0.25">
      <c r="B162" s="65"/>
      <c r="C162" s="156"/>
      <c r="D162" s="156"/>
      <c r="E162" s="156"/>
      <c r="F162" s="156"/>
      <c r="G162" s="156"/>
      <c r="H162" s="156"/>
    </row>
    <row r="163" spans="2:8" x14ac:dyDescent="0.25">
      <c r="B163" s="65"/>
      <c r="D163" s="149"/>
      <c r="E163" s="149"/>
      <c r="F163" s="149"/>
      <c r="G163" s="149"/>
      <c r="H163" s="149"/>
    </row>
    <row r="164" spans="2:8" x14ac:dyDescent="0.25">
      <c r="B164" s="65"/>
      <c r="C164" s="156"/>
      <c r="D164" s="156"/>
      <c r="E164" s="156"/>
      <c r="F164" s="156"/>
      <c r="G164" s="156"/>
      <c r="H164" s="156"/>
    </row>
    <row r="165" spans="2:8" x14ac:dyDescent="0.25">
      <c r="B165" s="65"/>
      <c r="C165" s="142"/>
      <c r="D165" s="142"/>
      <c r="E165" s="142"/>
      <c r="F165" s="142"/>
      <c r="G165" s="142"/>
      <c r="H165" s="142"/>
    </row>
    <row r="166" spans="2:8" x14ac:dyDescent="0.25">
      <c r="B166" s="65"/>
      <c r="C166" s="142"/>
      <c r="D166" s="142"/>
      <c r="E166" s="142"/>
      <c r="F166" s="142"/>
      <c r="G166" s="142"/>
      <c r="H166" s="142"/>
    </row>
    <row r="167" spans="2:8" x14ac:dyDescent="0.25">
      <c r="D167" s="64"/>
      <c r="E167" s="64"/>
      <c r="F167" s="64"/>
      <c r="G167" s="64"/>
      <c r="H167" s="64"/>
    </row>
    <row r="172" spans="2:8" x14ac:dyDescent="0.25">
      <c r="D172" s="149"/>
      <c r="E172" s="149"/>
      <c r="F172" s="149"/>
      <c r="G172" s="149"/>
      <c r="H172" s="149"/>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2:P172"/>
  <sheetViews>
    <sheetView topLeftCell="B155" workbookViewId="0">
      <selection activeCell="H6" sqref="H6"/>
    </sheetView>
  </sheetViews>
  <sheetFormatPr baseColWidth="10" defaultRowHeight="15" outlineLevelRow="1" x14ac:dyDescent="0.25"/>
  <cols>
    <col min="1" max="1" width="3.625" customWidth="1"/>
    <col min="2" max="2" width="35.25" bestFit="1" customWidth="1"/>
    <col min="3" max="8" width="12.625" customWidth="1"/>
    <col min="10" max="12" width="11.625" bestFit="1" customWidth="1"/>
    <col min="13" max="13" width="11.75" bestFit="1" customWidth="1"/>
    <col min="14" max="15" width="11.625" bestFit="1" customWidth="1"/>
  </cols>
  <sheetData>
    <row r="2" spans="2:15" x14ac:dyDescent="0.25">
      <c r="C2" s="26">
        <v>2015</v>
      </c>
      <c r="D2" s="26">
        <f>C2+1</f>
        <v>2016</v>
      </c>
      <c r="E2" s="26">
        <f t="shared" ref="E2:H2" si="0">D2+1</f>
        <v>2017</v>
      </c>
      <c r="F2" s="26">
        <f t="shared" si="0"/>
        <v>2018</v>
      </c>
      <c r="G2" s="26">
        <f t="shared" si="0"/>
        <v>2019</v>
      </c>
      <c r="H2" s="26">
        <f t="shared" si="0"/>
        <v>2020</v>
      </c>
    </row>
    <row r="4" spans="2:15" x14ac:dyDescent="0.25">
      <c r="B4" s="26" t="s">
        <v>4252</v>
      </c>
      <c r="C4" s="26"/>
      <c r="D4" s="155">
        <f>C159</f>
        <v>0.13407215269236802</v>
      </c>
      <c r="E4" s="155">
        <f t="shared" ref="E4:H4" si="1">D159</f>
        <v>0.14641876697593381</v>
      </c>
      <c r="F4" s="155">
        <f t="shared" si="1"/>
        <v>0.15288044001903819</v>
      </c>
      <c r="G4" s="155">
        <f t="shared" si="1"/>
        <v>0.15897128001886401</v>
      </c>
      <c r="H4" s="155">
        <f t="shared" si="1"/>
        <v>0.16468971133921523</v>
      </c>
    </row>
    <row r="5" spans="2:15" x14ac:dyDescent="0.25">
      <c r="B5" s="26" t="s">
        <v>4207</v>
      </c>
      <c r="C5" s="155">
        <f>CERTIFICADO1!E330</f>
        <v>0.19209999999999999</v>
      </c>
      <c r="D5" s="155">
        <f>C5</f>
        <v>0.19209999999999999</v>
      </c>
      <c r="E5" s="155">
        <f t="shared" ref="E5:H8" si="2">D5</f>
        <v>0.19209999999999999</v>
      </c>
      <c r="F5" s="155">
        <f t="shared" si="2"/>
        <v>0.19209999999999999</v>
      </c>
      <c r="G5" s="155">
        <f t="shared" si="2"/>
        <v>0.19209999999999999</v>
      </c>
      <c r="H5" s="155">
        <f t="shared" si="2"/>
        <v>0.19209999999999999</v>
      </c>
    </row>
    <row r="6" spans="2:15" x14ac:dyDescent="0.25">
      <c r="B6" s="26" t="s">
        <v>396</v>
      </c>
      <c r="C6" s="155">
        <f>C61/C60</f>
        <v>0.39993543457368314</v>
      </c>
      <c r="D6" s="155">
        <f>C6</f>
        <v>0.39993543457368314</v>
      </c>
      <c r="E6" s="155">
        <f t="shared" si="2"/>
        <v>0.39993543457368314</v>
      </c>
      <c r="F6" s="155">
        <f t="shared" si="2"/>
        <v>0.39993543457368314</v>
      </c>
      <c r="G6" s="155">
        <f t="shared" si="2"/>
        <v>0.39993543457368314</v>
      </c>
      <c r="H6" s="155">
        <f t="shared" si="2"/>
        <v>0.39993543457368314</v>
      </c>
    </row>
    <row r="7" spans="2:15" x14ac:dyDescent="0.25">
      <c r="B7" s="26" t="s">
        <v>4209</v>
      </c>
      <c r="C7" s="155">
        <f>C64/C62</f>
        <v>0.45848091445837758</v>
      </c>
      <c r="D7" s="155">
        <f>C7</f>
        <v>0.45848091445837758</v>
      </c>
      <c r="E7" s="155">
        <f t="shared" si="2"/>
        <v>0.45848091445837758</v>
      </c>
      <c r="F7" s="155">
        <f t="shared" si="2"/>
        <v>0.45848091445837758</v>
      </c>
      <c r="G7" s="155">
        <f t="shared" si="2"/>
        <v>0.45848091445837758</v>
      </c>
      <c r="H7" s="155">
        <f t="shared" si="2"/>
        <v>0.45848091445837758</v>
      </c>
    </row>
    <row r="8" spans="2:15" x14ac:dyDescent="0.25">
      <c r="B8" s="26" t="s">
        <v>4210</v>
      </c>
      <c r="C8" s="532">
        <f>Supuestos!I26</f>
        <v>8.7940209281263254E-2</v>
      </c>
      <c r="D8" s="155">
        <f>C8</f>
        <v>8.7940209281263254E-2</v>
      </c>
      <c r="E8" s="155">
        <f t="shared" si="2"/>
        <v>8.7940209281263254E-2</v>
      </c>
      <c r="F8" s="155">
        <f t="shared" si="2"/>
        <v>8.7940209281263254E-2</v>
      </c>
      <c r="G8" s="155">
        <f t="shared" si="2"/>
        <v>8.7940209281263254E-2</v>
      </c>
      <c r="H8" s="155">
        <f t="shared" si="2"/>
        <v>8.7940209281263254E-2</v>
      </c>
    </row>
    <row r="9" spans="2:15" x14ac:dyDescent="0.25">
      <c r="D9" s="64"/>
      <c r="E9" s="64"/>
      <c r="F9" s="64"/>
      <c r="G9" s="64"/>
      <c r="H9" s="64"/>
    </row>
    <row r="11" spans="2:15" x14ac:dyDescent="0.25">
      <c r="B11" s="482" t="s">
        <v>4205</v>
      </c>
      <c r="C11" s="482"/>
      <c r="D11" s="482"/>
      <c r="E11" s="482"/>
      <c r="F11" s="482"/>
      <c r="G11" s="482"/>
      <c r="H11" s="482"/>
    </row>
    <row r="13" spans="2:15" x14ac:dyDescent="0.25">
      <c r="B13" s="78" t="s">
        <v>4124</v>
      </c>
      <c r="C13" s="87">
        <f>'EF Sempertex 2015 I'!B27</f>
        <v>9879131</v>
      </c>
      <c r="D13" s="87">
        <f>D26+D31+D34-D15</f>
        <v>10960464.473831289</v>
      </c>
      <c r="E13" s="87">
        <f t="shared" ref="E13:H13" si="3">E26+E31+E34-E15</f>
        <v>11977427.292529933</v>
      </c>
      <c r="F13" s="87">
        <f t="shared" si="3"/>
        <v>13147887.454784609</v>
      </c>
      <c r="G13" s="87">
        <f t="shared" si="3"/>
        <v>14493091.553537428</v>
      </c>
      <c r="H13" s="87">
        <f t="shared" si="3"/>
        <v>16036714.168044537</v>
      </c>
    </row>
    <row r="14" spans="2:15" s="521" customFormat="1" ht="5.0999999999999996" customHeight="1" x14ac:dyDescent="0.25">
      <c r="B14" s="519"/>
      <c r="C14" s="520"/>
    </row>
    <row r="15" spans="2:15" x14ac:dyDescent="0.25">
      <c r="B15" s="78" t="s">
        <v>379</v>
      </c>
      <c r="C15" s="87">
        <f t="shared" ref="C15:H15" si="4">C16+C21</f>
        <v>41006006</v>
      </c>
      <c r="D15" s="87">
        <f t="shared" si="4"/>
        <v>46503769.497736156</v>
      </c>
      <c r="E15" s="87">
        <f t="shared" si="4"/>
        <v>53312794.087327726</v>
      </c>
      <c r="F15" s="87">
        <f t="shared" si="4"/>
        <v>61463277.506042771</v>
      </c>
      <c r="G15" s="87">
        <f t="shared" si="4"/>
        <v>71234173.405333042</v>
      </c>
      <c r="H15" s="87">
        <f t="shared" si="4"/>
        <v>82965708.860944942</v>
      </c>
      <c r="J15" s="92">
        <f t="shared" ref="J15:O15" si="5">C47/C15</f>
        <v>2.3548257784481619</v>
      </c>
      <c r="K15" s="92">
        <f t="shared" si="5"/>
        <v>2.3548257784481623</v>
      </c>
      <c r="L15" s="92">
        <f t="shared" si="5"/>
        <v>2.3548257784481619</v>
      </c>
      <c r="M15" s="92">
        <f t="shared" si="5"/>
        <v>2.3548257784481619</v>
      </c>
      <c r="N15" s="92">
        <f t="shared" si="5"/>
        <v>2.3548257784481619</v>
      </c>
      <c r="O15" s="92">
        <f t="shared" si="5"/>
        <v>2.3548257784481623</v>
      </c>
    </row>
    <row r="16" spans="2:15" x14ac:dyDescent="0.25">
      <c r="B16" s="143" t="s">
        <v>338</v>
      </c>
      <c r="C16" s="165">
        <f>C17+C18-C20-C19</f>
        <v>26070389</v>
      </c>
      <c r="D16" s="165">
        <f>D47/C98</f>
        <v>29565702.174757432</v>
      </c>
      <c r="E16" s="165">
        <f>E47/D98</f>
        <v>33894675.8319631</v>
      </c>
      <c r="F16" s="165">
        <f>F47/E98</f>
        <v>39076508.787456281</v>
      </c>
      <c r="G16" s="165">
        <f>G47/F98</f>
        <v>45288551.408066593</v>
      </c>
      <c r="H16" s="165">
        <f>H47/G98</f>
        <v>52747109.866432287</v>
      </c>
      <c r="K16" s="165" t="b">
        <f>K15=J15</f>
        <v>1</v>
      </c>
      <c r="L16" s="165" t="b">
        <f>L15=K15</f>
        <v>1</v>
      </c>
      <c r="M16" s="165" t="b">
        <f t="shared" ref="M16:O16" si="6">M15=L15</f>
        <v>1</v>
      </c>
      <c r="N16" s="165" t="b">
        <f t="shared" si="6"/>
        <v>1</v>
      </c>
      <c r="O16" s="165" t="b">
        <f t="shared" si="6"/>
        <v>1</v>
      </c>
    </row>
    <row r="17" spans="2:15" x14ac:dyDescent="0.25">
      <c r="B17" s="146" t="s">
        <v>4196</v>
      </c>
      <c r="C17" s="67">
        <f>'EF Sempertex 2015 I'!B28</f>
        <v>18926109</v>
      </c>
      <c r="D17" s="67">
        <f t="shared" ref="D17:H18" si="7">D47/C91</f>
        <v>21463573.175720401</v>
      </c>
      <c r="E17" s="67">
        <f t="shared" si="7"/>
        <v>24606243.095007107</v>
      </c>
      <c r="F17" s="67">
        <f t="shared" si="7"/>
        <v>28368056.366587214</v>
      </c>
      <c r="G17" s="67">
        <f t="shared" si="7"/>
        <v>32877762.598830871</v>
      </c>
      <c r="H17" s="67">
        <f t="shared" si="7"/>
        <v>38292391.830711573</v>
      </c>
      <c r="I17" s="68"/>
      <c r="J17" s="68"/>
      <c r="K17" s="68"/>
      <c r="L17" s="68"/>
      <c r="M17" s="68"/>
      <c r="N17" s="68"/>
      <c r="O17" s="68"/>
    </row>
    <row r="18" spans="2:15" x14ac:dyDescent="0.25">
      <c r="B18" s="146" t="s">
        <v>4197</v>
      </c>
      <c r="C18" s="67">
        <f>'EF Sempertex 2015 I'!B29</f>
        <v>29464218</v>
      </c>
      <c r="D18" s="67">
        <f t="shared" si="7"/>
        <v>33414549.134657227</v>
      </c>
      <c r="E18" s="67">
        <f t="shared" si="7"/>
        <v>38307066.218010485</v>
      </c>
      <c r="F18" s="67">
        <f t="shared" si="7"/>
        <v>44163467.357258365</v>
      </c>
      <c r="G18" s="67">
        <f t="shared" si="7"/>
        <v>51184190.293113045</v>
      </c>
      <c r="H18" s="67">
        <f t="shared" si="7"/>
        <v>59613699.817617297</v>
      </c>
    </row>
    <row r="19" spans="2:15" x14ac:dyDescent="0.25">
      <c r="B19" s="146" t="s">
        <v>4198</v>
      </c>
      <c r="C19" s="67">
        <f>'EF Sempertex 2015 I'!B38</f>
        <v>17889996</v>
      </c>
      <c r="D19" s="67">
        <f>D95/C93</f>
        <v>18801017.309251733</v>
      </c>
      <c r="E19" s="67">
        <f>E95/D93</f>
        <v>21665188.587029263</v>
      </c>
      <c r="F19" s="67">
        <f>F95/E93</f>
        <v>25043460.679090954</v>
      </c>
      <c r="G19" s="67">
        <f>G95/F93</f>
        <v>29096068.674972214</v>
      </c>
      <c r="H19" s="67">
        <f>H95/G93</f>
        <v>33965192.90685682</v>
      </c>
    </row>
    <row r="20" spans="2:15" x14ac:dyDescent="0.25">
      <c r="B20" s="146" t="s">
        <v>4251</v>
      </c>
      <c r="C20" s="67">
        <f>'EF Sempertex 2015 I'!B36+'EF Sempertex 2015 I'!B39+'EF Sempertex 2015 I'!B41</f>
        <v>4429942</v>
      </c>
      <c r="D20" s="529">
        <f>D17+D18-D19-D16</f>
        <v>6511402.8263684623</v>
      </c>
      <c r="E20" s="529">
        <f t="shared" ref="E20:H20" si="8">E17+E18-E19-E16</f>
        <v>7353444.8940252289</v>
      </c>
      <c r="F20" s="529">
        <f t="shared" si="8"/>
        <v>8411554.2572983354</v>
      </c>
      <c r="G20" s="529">
        <f t="shared" si="8"/>
        <v>9677332.8089051098</v>
      </c>
      <c r="H20" s="529">
        <f t="shared" si="8"/>
        <v>11193788.875039764</v>
      </c>
      <c r="I20" t="s">
        <v>4243</v>
      </c>
    </row>
    <row r="21" spans="2:15" x14ac:dyDescent="0.25">
      <c r="B21" s="143" t="s">
        <v>4085</v>
      </c>
      <c r="C21" s="165">
        <f>C22-C23+C24</f>
        <v>14935617</v>
      </c>
      <c r="D21" s="165">
        <f>D47/C99</f>
        <v>16938067.322978728</v>
      </c>
      <c r="E21" s="165">
        <f>E47/D99</f>
        <v>19418118.255364627</v>
      </c>
      <c r="F21" s="165">
        <f>F47/E99</f>
        <v>22386768.71858649</v>
      </c>
      <c r="G21" s="165">
        <f>G47/F99</f>
        <v>25945621.997266449</v>
      </c>
      <c r="H21" s="165">
        <f>H47/G99</f>
        <v>30218598.994512651</v>
      </c>
    </row>
    <row r="22" spans="2:15" x14ac:dyDescent="0.25">
      <c r="B22" s="115" t="s">
        <v>4193</v>
      </c>
      <c r="C22" s="132">
        <f>'EF Sempertex 2015 I'!B31+C23</f>
        <v>18797249</v>
      </c>
      <c r="D22" s="132">
        <f>D21+D23-D24</f>
        <v>22063814.665511914</v>
      </c>
      <c r="E22" s="132">
        <f t="shared" ref="E22:H22" si="9">E21+E23-E24</f>
        <v>25993071.150200069</v>
      </c>
      <c r="F22" s="132">
        <f t="shared" si="9"/>
        <v>30632482.348238192</v>
      </c>
      <c r="G22" s="132">
        <f t="shared" si="9"/>
        <v>36127699.33435341</v>
      </c>
      <c r="H22" s="132">
        <f t="shared" si="9"/>
        <v>42655939.219060108</v>
      </c>
      <c r="J22" s="68"/>
      <c r="K22" s="68"/>
      <c r="L22" s="68"/>
      <c r="M22" s="68"/>
      <c r="N22" s="68"/>
      <c r="O22" s="68"/>
    </row>
    <row r="23" spans="2:15" x14ac:dyDescent="0.25">
      <c r="B23" s="115" t="s">
        <v>4194</v>
      </c>
      <c r="C23" s="132">
        <f>'Flujo de Caja'!H7</f>
        <v>3863094</v>
      </c>
      <c r="D23" s="414">
        <f>C23+D53</f>
        <v>5127209.342533187</v>
      </c>
      <c r="E23" s="414">
        <f>D23+E53</f>
        <v>6576414.8948354432</v>
      </c>
      <c r="F23" s="414">
        <f>E23+F53</f>
        <v>8247175.629651702</v>
      </c>
      <c r="G23" s="414">
        <f>F23+G53</f>
        <v>10183539.337086959</v>
      </c>
      <c r="H23" s="414">
        <f>G23+H53</f>
        <v>12438802.224547461</v>
      </c>
    </row>
    <row r="24" spans="2:15" x14ac:dyDescent="0.25">
      <c r="B24" s="115" t="s">
        <v>4195</v>
      </c>
      <c r="C24">
        <f>'EF Sempertex 2015 I'!B32</f>
        <v>1462</v>
      </c>
      <c r="D24" s="530">
        <f>C24</f>
        <v>1462</v>
      </c>
      <c r="E24" s="530">
        <f t="shared" ref="E24:H24" si="10">D24</f>
        <v>1462</v>
      </c>
      <c r="F24" s="530">
        <f t="shared" si="10"/>
        <v>1462</v>
      </c>
      <c r="G24" s="530">
        <f t="shared" si="10"/>
        <v>1462</v>
      </c>
      <c r="H24" s="530">
        <f t="shared" si="10"/>
        <v>1462</v>
      </c>
    </row>
    <row r="25" spans="2:15" ht="5.0999999999999996" customHeight="1" x14ac:dyDescent="0.25"/>
    <row r="26" spans="2:15" x14ac:dyDescent="0.25">
      <c r="B26" s="517" t="s">
        <v>4117</v>
      </c>
      <c r="C26" s="518">
        <f>SUM(C27:C29)</f>
        <v>21576342</v>
      </c>
      <c r="D26" s="518">
        <f t="shared" ref="D26:H26" si="11">SUM(D27:D29)</f>
        <v>24469128.619166754</v>
      </c>
      <c r="E26" s="518">
        <f t="shared" si="11"/>
        <v>27910164.942891259</v>
      </c>
      <c r="F26" s="518">
        <f t="shared" si="11"/>
        <v>32008523.879621372</v>
      </c>
      <c r="G26" s="518">
        <f t="shared" si="11"/>
        <v>36896201.54581596</v>
      </c>
      <c r="H26" s="518">
        <f t="shared" si="11"/>
        <v>42733203.15842703</v>
      </c>
    </row>
    <row r="27" spans="2:15" x14ac:dyDescent="0.25">
      <c r="B27" s="119" t="s">
        <v>4199</v>
      </c>
      <c r="C27" s="67">
        <f>'EF Sempertex 2015 I'!B40</f>
        <v>13403251</v>
      </c>
      <c r="D27" s="529">
        <f>C27</f>
        <v>13403251</v>
      </c>
      <c r="E27" s="529">
        <f t="shared" ref="E27:H27" si="12">D27</f>
        <v>13403251</v>
      </c>
      <c r="F27" s="529">
        <f t="shared" si="12"/>
        <v>13403251</v>
      </c>
      <c r="G27" s="529">
        <f t="shared" si="12"/>
        <v>13403251</v>
      </c>
      <c r="H27" s="529">
        <f t="shared" si="12"/>
        <v>13403251</v>
      </c>
      <c r="I27" t="s">
        <v>485</v>
      </c>
      <c r="J27" s="68"/>
      <c r="K27" s="68"/>
    </row>
    <row r="28" spans="2:15" x14ac:dyDescent="0.25">
      <c r="B28" s="119" t="s">
        <v>4200</v>
      </c>
      <c r="C28" s="67">
        <f>'EF Sempertex 2015 I'!B44</f>
        <v>8173091</v>
      </c>
      <c r="D28" s="529">
        <f>C28+C29</f>
        <v>8173091</v>
      </c>
      <c r="E28" s="529">
        <f>D28+D29</f>
        <v>11065877.619166754</v>
      </c>
      <c r="F28" s="529">
        <f>E28+E29</f>
        <v>14506913.942891259</v>
      </c>
      <c r="G28" s="529">
        <f>F28+F29</f>
        <v>18605272.879621372</v>
      </c>
      <c r="H28" s="529">
        <f>G28+G29</f>
        <v>23492950.54581596</v>
      </c>
      <c r="I28" t="s">
        <v>4241</v>
      </c>
      <c r="K28" s="167"/>
    </row>
    <row r="29" spans="2:15" x14ac:dyDescent="0.25">
      <c r="B29" s="115" t="s">
        <v>4218</v>
      </c>
      <c r="C29" s="67"/>
      <c r="D29" s="527">
        <f>D65*C141</f>
        <v>2892786.6191667537</v>
      </c>
      <c r="E29" s="527">
        <f t="shared" ref="E29:H29" si="13">E65*D141</f>
        <v>3441036.3237245046</v>
      </c>
      <c r="F29" s="527">
        <f t="shared" si="13"/>
        <v>4098358.936730111</v>
      </c>
      <c r="G29" s="527">
        <f t="shared" si="13"/>
        <v>4887677.6661945898</v>
      </c>
      <c r="H29" s="527">
        <f t="shared" si="13"/>
        <v>5837001.6126110731</v>
      </c>
      <c r="I29" t="s">
        <v>4234</v>
      </c>
    </row>
    <row r="30" spans="2:15" ht="5.0999999999999996" customHeight="1" x14ac:dyDescent="0.25"/>
    <row r="31" spans="2:15" x14ac:dyDescent="0.25">
      <c r="B31" s="517" t="s">
        <v>4250</v>
      </c>
      <c r="C31" s="518">
        <f>C32</f>
        <v>1813821</v>
      </c>
      <c r="D31" s="518">
        <f t="shared" ref="D31:H31" si="14">D32</f>
        <v>1813821</v>
      </c>
      <c r="E31" s="518">
        <f t="shared" si="14"/>
        <v>1813821</v>
      </c>
      <c r="F31" s="518">
        <f t="shared" si="14"/>
        <v>1813821</v>
      </c>
      <c r="G31" s="518">
        <f t="shared" si="14"/>
        <v>1813821</v>
      </c>
      <c r="H31" s="518">
        <f t="shared" si="14"/>
        <v>1813821</v>
      </c>
    </row>
    <row r="32" spans="2:15" x14ac:dyDescent="0.25">
      <c r="B32" s="65" t="s">
        <v>4242</v>
      </c>
      <c r="C32" s="67">
        <f>'EF Sempertex 2015 I'!B43</f>
        <v>1813821</v>
      </c>
      <c r="D32" s="529">
        <f>C32</f>
        <v>1813821</v>
      </c>
      <c r="E32" s="529">
        <f t="shared" ref="E32:H32" si="15">D32</f>
        <v>1813821</v>
      </c>
      <c r="F32" s="529">
        <f t="shared" si="15"/>
        <v>1813821</v>
      </c>
      <c r="G32" s="529">
        <f t="shared" si="15"/>
        <v>1813821</v>
      </c>
      <c r="H32" s="529">
        <f t="shared" si="15"/>
        <v>1813821</v>
      </c>
    </row>
    <row r="33" spans="2:11" ht="5.0999999999999996" customHeight="1" x14ac:dyDescent="0.25"/>
    <row r="34" spans="2:11" x14ac:dyDescent="0.25">
      <c r="B34" s="517" t="s">
        <v>4119</v>
      </c>
      <c r="C34" s="518">
        <f>SUM(C35:C39)</f>
        <v>27494974</v>
      </c>
      <c r="D34" s="518">
        <f t="shared" ref="D34:H34" si="16">SUM(D35:D39)</f>
        <v>31181284.35240069</v>
      </c>
      <c r="E34" s="518">
        <f t="shared" si="16"/>
        <v>35566235.436966404</v>
      </c>
      <c r="F34" s="518">
        <f t="shared" si="16"/>
        <v>40788820.081206009</v>
      </c>
      <c r="G34" s="518">
        <f t="shared" si="16"/>
        <v>47017242.413054518</v>
      </c>
      <c r="H34" s="518">
        <f t="shared" si="16"/>
        <v>54455398.870562449</v>
      </c>
    </row>
    <row r="35" spans="2:11" x14ac:dyDescent="0.25">
      <c r="B35" s="65" t="s">
        <v>4121</v>
      </c>
      <c r="C35" s="67">
        <f>'EF Sempertex 2015 I'!B47</f>
        <v>755566</v>
      </c>
      <c r="D35" s="68">
        <f>C35</f>
        <v>755566</v>
      </c>
      <c r="E35" s="68">
        <f t="shared" ref="E35:H35" si="17">D35</f>
        <v>755566</v>
      </c>
      <c r="F35" s="68">
        <f t="shared" si="17"/>
        <v>755566</v>
      </c>
      <c r="G35" s="68">
        <f t="shared" si="17"/>
        <v>755566</v>
      </c>
      <c r="H35" s="68">
        <f t="shared" si="17"/>
        <v>755566</v>
      </c>
      <c r="J35" s="68"/>
      <c r="K35" s="68"/>
    </row>
    <row r="36" spans="2:11" x14ac:dyDescent="0.25">
      <c r="B36" s="65" t="s">
        <v>4122</v>
      </c>
      <c r="C36" s="67">
        <f>'EF Sempertex 2015 I'!B48</f>
        <v>23105605</v>
      </c>
      <c r="D36" s="68">
        <f>C36+C37</f>
        <v>23105605</v>
      </c>
      <c r="E36" s="68">
        <f t="shared" ref="E36:H36" si="18">D36+D37</f>
        <v>26791915.35240069</v>
      </c>
      <c r="F36" s="68">
        <f t="shared" si="18"/>
        <v>31176866.436966408</v>
      </c>
      <c r="G36" s="68">
        <f t="shared" si="18"/>
        <v>36399451.081206009</v>
      </c>
      <c r="H36" s="68">
        <f t="shared" si="18"/>
        <v>42627873.413054518</v>
      </c>
      <c r="K36" s="528"/>
    </row>
    <row r="37" spans="2:11" x14ac:dyDescent="0.25">
      <c r="B37" s="146" t="s">
        <v>4201</v>
      </c>
      <c r="C37" s="67"/>
      <c r="D37" s="68">
        <f>D65</f>
        <v>3686310.3524006894</v>
      </c>
      <c r="E37" s="68">
        <f t="shared" ref="E37:H37" si="19">E65</f>
        <v>4384951.0845657177</v>
      </c>
      <c r="F37" s="68">
        <f t="shared" si="19"/>
        <v>5222584.6442396045</v>
      </c>
      <c r="G37" s="68">
        <f t="shared" si="19"/>
        <v>6228422.3318485087</v>
      </c>
      <c r="H37" s="68">
        <f t="shared" si="19"/>
        <v>7438156.4575079279</v>
      </c>
      <c r="J37" s="68">
        <f>D37*C42</f>
        <v>2892786.6191667537</v>
      </c>
    </row>
    <row r="38" spans="2:11" x14ac:dyDescent="0.25">
      <c r="B38" s="65" t="s">
        <v>4202</v>
      </c>
      <c r="C38" s="67">
        <f>'EF Sempertex 2015 I'!B49</f>
        <v>3256020</v>
      </c>
      <c r="D38" s="67">
        <f>C38</f>
        <v>3256020</v>
      </c>
      <c r="E38" s="67">
        <f t="shared" ref="E38:H39" si="20">D38</f>
        <v>3256020</v>
      </c>
      <c r="F38" s="67">
        <f t="shared" si="20"/>
        <v>3256020</v>
      </c>
      <c r="G38" s="67">
        <f t="shared" si="20"/>
        <v>3256020</v>
      </c>
      <c r="H38" s="67">
        <f t="shared" si="20"/>
        <v>3256020</v>
      </c>
    </row>
    <row r="39" spans="2:11" x14ac:dyDescent="0.25">
      <c r="B39" s="65" t="s">
        <v>4203</v>
      </c>
      <c r="C39" s="67">
        <f>'EF Sempertex 2015 I'!B50</f>
        <v>377783</v>
      </c>
      <c r="D39" s="67">
        <f>C39</f>
        <v>377783</v>
      </c>
      <c r="E39" s="67">
        <f t="shared" si="20"/>
        <v>377783</v>
      </c>
      <c r="F39" s="67">
        <f t="shared" si="20"/>
        <v>377783</v>
      </c>
      <c r="G39" s="67">
        <f t="shared" si="20"/>
        <v>377783</v>
      </c>
      <c r="H39" s="67">
        <f t="shared" si="20"/>
        <v>377783</v>
      </c>
    </row>
    <row r="40" spans="2:11" ht="5.0999999999999996" customHeight="1" x14ac:dyDescent="0.25"/>
    <row r="41" spans="2:11" x14ac:dyDescent="0.25">
      <c r="B41" s="523" t="s">
        <v>4204</v>
      </c>
      <c r="C41" s="522">
        <f>C13+C15-C26-C34-C31</f>
        <v>0</v>
      </c>
      <c r="D41" s="522">
        <f t="shared" ref="D41:H41" si="21">D13+D15-D26-D34-D31</f>
        <v>0</v>
      </c>
      <c r="E41" s="522">
        <f t="shared" si="21"/>
        <v>0</v>
      </c>
      <c r="F41" s="522">
        <f t="shared" si="21"/>
        <v>0</v>
      </c>
      <c r="G41" s="522">
        <f t="shared" si="21"/>
        <v>-7.4505805969238281E-9</v>
      </c>
      <c r="H41" s="522">
        <f t="shared" si="21"/>
        <v>0</v>
      </c>
    </row>
    <row r="42" spans="2:11" x14ac:dyDescent="0.25">
      <c r="B42" t="s">
        <v>4232</v>
      </c>
      <c r="C42" s="524">
        <f>(C26/C34)</f>
        <v>0.78473767605672218</v>
      </c>
      <c r="D42" s="524">
        <f t="shared" ref="D42:H42" si="22">(D26/D34)</f>
        <v>0.78473767605672218</v>
      </c>
      <c r="E42" s="524">
        <f t="shared" si="22"/>
        <v>0.78473767605672229</v>
      </c>
      <c r="F42" s="524">
        <f t="shared" si="22"/>
        <v>0.78473767605672229</v>
      </c>
      <c r="G42" s="524">
        <f t="shared" si="22"/>
        <v>0.78473767605672229</v>
      </c>
      <c r="H42" s="524">
        <f t="shared" si="22"/>
        <v>0.78473767605672218</v>
      </c>
    </row>
    <row r="43" spans="2:11" x14ac:dyDescent="0.25">
      <c r="D43" s="525">
        <f>D42-C42</f>
        <v>0</v>
      </c>
      <c r="E43" s="525">
        <f t="shared" ref="E43:H43" si="23">E42-D42</f>
        <v>0</v>
      </c>
      <c r="F43" s="525">
        <f t="shared" si="23"/>
        <v>0</v>
      </c>
      <c r="G43" s="525">
        <f t="shared" si="23"/>
        <v>0</v>
      </c>
      <c r="H43" s="525">
        <f t="shared" si="23"/>
        <v>0</v>
      </c>
    </row>
    <row r="45" spans="2:11" x14ac:dyDescent="0.25">
      <c r="B45" s="482" t="s">
        <v>174</v>
      </c>
      <c r="C45" s="482"/>
      <c r="D45" s="482"/>
      <c r="E45" s="482"/>
      <c r="F45" s="482"/>
      <c r="G45" s="482"/>
      <c r="H45" s="482"/>
    </row>
    <row r="47" spans="2:11" x14ac:dyDescent="0.25">
      <c r="B47" t="s">
        <v>299</v>
      </c>
      <c r="C47" s="67">
        <f>'EF Sempertex 2015 I'!B57</f>
        <v>96562000</v>
      </c>
      <c r="D47" s="67">
        <f>C47*(1+D4)</f>
        <v>109508275.20828044</v>
      </c>
      <c r="E47" s="67">
        <f t="shared" ref="E47:H47" si="24">D47*(1+E4)</f>
        <v>125542341.83793809</v>
      </c>
      <c r="F47" s="67">
        <f t="shared" si="24"/>
        <v>144735310.29914257</v>
      </c>
      <c r="G47" s="67">
        <f t="shared" si="24"/>
        <v>167744067.84132475</v>
      </c>
      <c r="H47" s="67">
        <f t="shared" si="24"/>
        <v>195369789.95297825</v>
      </c>
    </row>
    <row r="48" spans="2:11" x14ac:dyDescent="0.25">
      <c r="B48" t="s">
        <v>300</v>
      </c>
      <c r="C48" s="67">
        <f>'EF Sempertex 2015 I'!B58</f>
        <v>50678744</v>
      </c>
      <c r="D48" s="68">
        <f>$C48/$C$47*D$47</f>
        <v>57473352.303825438</v>
      </c>
      <c r="E48" s="68">
        <f t="shared" ref="E48:H54" si="25">$C48/$C$47*E$47</f>
        <v>65888529.682124995</v>
      </c>
      <c r="F48" s="68">
        <f t="shared" si="25"/>
        <v>75961597.092135727</v>
      </c>
      <c r="G48" s="68">
        <f t="shared" si="25"/>
        <v>88037309.414149761</v>
      </c>
      <c r="H48" s="68">
        <f t="shared" si="25"/>
        <v>102536148.48864727</v>
      </c>
      <c r="I48" t="s">
        <v>4228</v>
      </c>
    </row>
    <row r="49" spans="2:16" x14ac:dyDescent="0.25">
      <c r="B49" s="78" t="s">
        <v>177</v>
      </c>
      <c r="C49" s="87">
        <f>C47-C48</f>
        <v>45883256</v>
      </c>
      <c r="D49" s="87">
        <f t="shared" ref="D49:H49" si="26">D47-D48</f>
        <v>52034922.904455006</v>
      </c>
      <c r="E49" s="87">
        <f t="shared" si="26"/>
        <v>59653812.155813091</v>
      </c>
      <c r="F49" s="87">
        <f t="shared" si="26"/>
        <v>68773713.207006842</v>
      </c>
      <c r="G49" s="87">
        <f t="shared" si="26"/>
        <v>79706758.427174985</v>
      </c>
      <c r="H49" s="87">
        <f t="shared" si="26"/>
        <v>92833641.464330986</v>
      </c>
      <c r="K49" s="98">
        <f>C49/C$47</f>
        <v>0.47516886559930405</v>
      </c>
      <c r="L49" s="98">
        <f t="shared" ref="L49:P49" si="27">D49/D$47</f>
        <v>0.47516886559930399</v>
      </c>
      <c r="M49" s="98">
        <f t="shared" si="27"/>
        <v>0.47516886559930405</v>
      </c>
      <c r="N49" s="98">
        <f t="shared" si="27"/>
        <v>0.47516886559930405</v>
      </c>
      <c r="O49" s="98">
        <f t="shared" si="27"/>
        <v>0.4751688655993041</v>
      </c>
      <c r="P49" s="98">
        <f t="shared" si="27"/>
        <v>0.47516886559930405</v>
      </c>
    </row>
    <row r="50" spans="2:16" x14ac:dyDescent="0.25">
      <c r="B50" t="s">
        <v>302</v>
      </c>
      <c r="C50" s="67">
        <f>'EF Sempertex 2015 I'!B60</f>
        <v>1497597</v>
      </c>
      <c r="D50" s="68">
        <f>$C50/$C$47*D$47</f>
        <v>1698383.0536556323</v>
      </c>
      <c r="E50" s="68">
        <f t="shared" si="25"/>
        <v>1947058.2062247111</v>
      </c>
      <c r="F50" s="68">
        <f t="shared" si="25"/>
        <v>2244725.3215350243</v>
      </c>
      <c r="G50" s="68">
        <f t="shared" si="25"/>
        <v>2601572.1791902035</v>
      </c>
      <c r="H50" s="68">
        <f t="shared" si="25"/>
        <v>3030024.3504091711</v>
      </c>
      <c r="I50" t="s">
        <v>4228</v>
      </c>
      <c r="L50" t="b">
        <f>L49=K49</f>
        <v>1</v>
      </c>
      <c r="M50" t="b">
        <f t="shared" ref="M50:P50" si="28">M49=L49</f>
        <v>1</v>
      </c>
      <c r="N50" t="b">
        <f t="shared" si="28"/>
        <v>1</v>
      </c>
      <c r="O50" t="b">
        <f t="shared" si="28"/>
        <v>1</v>
      </c>
      <c r="P50" t="b">
        <f t="shared" si="28"/>
        <v>1</v>
      </c>
    </row>
    <row r="51" spans="2:16" x14ac:dyDescent="0.25">
      <c r="B51" t="s">
        <v>303</v>
      </c>
      <c r="C51" s="67">
        <f>'EF Sempertex 2015 I'!B61</f>
        <v>18133089</v>
      </c>
      <c r="D51" s="68">
        <f>$C51/$C$47*D$47</f>
        <v>20564231.277192298</v>
      </c>
      <c r="E51" s="68">
        <f t="shared" si="25"/>
        <v>23575220.664606728</v>
      </c>
      <c r="F51" s="68">
        <f t="shared" si="25"/>
        <v>27179410.773357727</v>
      </c>
      <c r="G51" s="68">
        <f t="shared" si="25"/>
        <v>31500156.494156908</v>
      </c>
      <c r="H51" s="68">
        <f t="shared" si="25"/>
        <v>36687908.174319714</v>
      </c>
      <c r="I51" t="s">
        <v>4228</v>
      </c>
    </row>
    <row r="52" spans="2:16" x14ac:dyDescent="0.25">
      <c r="B52" t="s">
        <v>304</v>
      </c>
      <c r="C52" s="67">
        <f>'EF Sempertex 2015 I'!B62</f>
        <v>12675308</v>
      </c>
      <c r="D52" s="68">
        <f>$C52/$C$47*D$47</f>
        <v>14374713.829598794</v>
      </c>
      <c r="E52" s="68">
        <f t="shared" si="25"/>
        <v>16479441.704160551</v>
      </c>
      <c r="F52" s="68">
        <f t="shared" si="25"/>
        <v>18998826.003160704</v>
      </c>
      <c r="G52" s="68">
        <f t="shared" si="25"/>
        <v>22019093.691738844</v>
      </c>
      <c r="H52" s="68">
        <f t="shared" si="25"/>
        <v>25645411.875782445</v>
      </c>
      <c r="I52" t="s">
        <v>4228</v>
      </c>
    </row>
    <row r="53" spans="2:16" x14ac:dyDescent="0.25">
      <c r="B53" s="71" t="s">
        <v>4140</v>
      </c>
      <c r="C53" s="173">
        <f>'EF Sempertex 2015 I'!B84</f>
        <v>1221805</v>
      </c>
      <c r="D53" s="529">
        <f>D52*D8</f>
        <v>1264115.342533187</v>
      </c>
      <c r="E53" s="529">
        <f t="shared" ref="E53:H53" si="29">E52*E8</f>
        <v>1449205.5523022565</v>
      </c>
      <c r="F53" s="529">
        <f t="shared" si="29"/>
        <v>1670760.7348162585</v>
      </c>
      <c r="G53" s="529">
        <f t="shared" si="29"/>
        <v>1936363.7074352575</v>
      </c>
      <c r="H53" s="529">
        <f t="shared" si="29"/>
        <v>2255262.8874605023</v>
      </c>
      <c r="I53" s="488" t="s">
        <v>4249</v>
      </c>
      <c r="J53" s="488"/>
    </row>
    <row r="54" spans="2:16" x14ac:dyDescent="0.25">
      <c r="B54" t="s">
        <v>305</v>
      </c>
      <c r="C54" s="67">
        <f>'EF Sempertex 2015 I'!B63</f>
        <v>277776</v>
      </c>
      <c r="D54" s="68">
        <f>$C54/$C$47*D$47</f>
        <v>315018.02628627524</v>
      </c>
      <c r="E54" s="68">
        <f t="shared" si="25"/>
        <v>361142.57727030397</v>
      </c>
      <c r="F54" s="68">
        <f t="shared" si="25"/>
        <v>416354.21339299751</v>
      </c>
      <c r="G54" s="68">
        <f t="shared" si="25"/>
        <v>482542.5756373296</v>
      </c>
      <c r="H54" s="68">
        <f t="shared" si="25"/>
        <v>562012.37312792288</v>
      </c>
      <c r="I54" t="s">
        <v>4228</v>
      </c>
    </row>
    <row r="55" spans="2:16" x14ac:dyDescent="0.25">
      <c r="B55" s="78" t="s">
        <v>180</v>
      </c>
      <c r="C55" s="87">
        <f t="shared" ref="C55:H55" si="30">C49+C50-C51-C52-C54</f>
        <v>16294680</v>
      </c>
      <c r="D55" s="87">
        <f t="shared" si="30"/>
        <v>18479342.82503327</v>
      </c>
      <c r="E55" s="87">
        <f t="shared" si="30"/>
        <v>21185065.416000221</v>
      </c>
      <c r="F55" s="87">
        <f t="shared" si="30"/>
        <v>24423847.538630433</v>
      </c>
      <c r="G55" s="87">
        <f t="shared" si="30"/>
        <v>28306537.844832104</v>
      </c>
      <c r="H55" s="87">
        <f t="shared" si="30"/>
        <v>32968333.391510069</v>
      </c>
      <c r="K55" s="98">
        <f>C55/C$47</f>
        <v>0.16874836892359313</v>
      </c>
      <c r="L55" s="98">
        <f t="shared" ref="L55:P55" si="31">D55/D$47</f>
        <v>0.16874836892359307</v>
      </c>
      <c r="M55" s="98">
        <f t="shared" si="31"/>
        <v>0.16874836892359316</v>
      </c>
      <c r="N55" s="98">
        <f t="shared" si="31"/>
        <v>0.1687483689235931</v>
      </c>
      <c r="O55" s="98">
        <f t="shared" si="31"/>
        <v>0.16874836892359313</v>
      </c>
      <c r="P55" s="98">
        <f t="shared" si="31"/>
        <v>0.1687483689235931</v>
      </c>
    </row>
    <row r="56" spans="2:16" x14ac:dyDescent="0.25">
      <c r="B56" t="s">
        <v>307</v>
      </c>
      <c r="C56" s="67">
        <f>'EF Sempertex 2015 I'!B65</f>
        <v>53962906</v>
      </c>
      <c r="D56" s="414">
        <f>C56</f>
        <v>53962906</v>
      </c>
      <c r="E56" s="414">
        <f t="shared" ref="E56:H56" si="32">D56</f>
        <v>53962906</v>
      </c>
      <c r="F56" s="414">
        <f t="shared" si="32"/>
        <v>53962906</v>
      </c>
      <c r="G56" s="414">
        <f t="shared" si="32"/>
        <v>53962906</v>
      </c>
      <c r="H56" s="414">
        <f t="shared" si="32"/>
        <v>53962906</v>
      </c>
      <c r="I56" t="s">
        <v>4233</v>
      </c>
      <c r="L56" t="b">
        <f>L55=K55</f>
        <v>1</v>
      </c>
      <c r="M56" t="b">
        <f t="shared" ref="M56:P56" si="33">M55=L55</f>
        <v>1</v>
      </c>
      <c r="N56" t="b">
        <f t="shared" si="33"/>
        <v>1</v>
      </c>
      <c r="O56" t="b">
        <f t="shared" si="33"/>
        <v>1</v>
      </c>
      <c r="P56" t="b">
        <f t="shared" si="33"/>
        <v>1</v>
      </c>
    </row>
    <row r="57" spans="2:16" x14ac:dyDescent="0.25">
      <c r="B57" t="s">
        <v>4229</v>
      </c>
      <c r="C57" s="67">
        <f>C58+C59</f>
        <v>61097885</v>
      </c>
      <c r="D57" s="67">
        <f t="shared" ref="D57:H57" si="34">D58+D59</f>
        <v>61097885</v>
      </c>
      <c r="E57" s="67">
        <f t="shared" si="34"/>
        <v>61653589.309541941</v>
      </c>
      <c r="F57" s="67">
        <f t="shared" si="34"/>
        <v>62314612.387329414</v>
      </c>
      <c r="G57" s="67">
        <f t="shared" si="34"/>
        <v>63101907.139075272</v>
      </c>
      <c r="H57" s="67">
        <f t="shared" si="34"/>
        <v>64040830.018751249</v>
      </c>
      <c r="K57" s="68"/>
    </row>
    <row r="58" spans="2:16" x14ac:dyDescent="0.25">
      <c r="B58" s="65" t="s">
        <v>4230</v>
      </c>
      <c r="C58" s="67">
        <f>'EF Sempertex 2015 I'!B66-C59</f>
        <v>56953069.701800004</v>
      </c>
      <c r="D58" s="414">
        <f>C58</f>
        <v>56953069.701800004</v>
      </c>
      <c r="E58" s="414">
        <f t="shared" ref="E58:H58" si="35">D58</f>
        <v>56953069.701800004</v>
      </c>
      <c r="F58" s="414">
        <f t="shared" si="35"/>
        <v>56953069.701800004</v>
      </c>
      <c r="G58" s="414">
        <f t="shared" si="35"/>
        <v>56953069.701800004</v>
      </c>
      <c r="H58" s="414">
        <f t="shared" si="35"/>
        <v>56953069.701800004</v>
      </c>
      <c r="I58" t="s">
        <v>4233</v>
      </c>
    </row>
    <row r="59" spans="2:16" x14ac:dyDescent="0.25">
      <c r="B59" s="65" t="s">
        <v>4065</v>
      </c>
      <c r="C59" s="67">
        <f>(C27+C28)*C5</f>
        <v>4144815.2982000001</v>
      </c>
      <c r="D59" s="67">
        <f t="shared" ref="D59:H59" si="36">(D27+D28)*D5</f>
        <v>4144815.2982000001</v>
      </c>
      <c r="E59" s="67">
        <f t="shared" si="36"/>
        <v>4700519.6077419333</v>
      </c>
      <c r="F59" s="67">
        <f t="shared" si="36"/>
        <v>5361542.6855294108</v>
      </c>
      <c r="G59" s="67">
        <f t="shared" si="36"/>
        <v>6148837.4372752653</v>
      </c>
      <c r="H59" s="67">
        <f t="shared" si="36"/>
        <v>7087760.316951246</v>
      </c>
      <c r="L59" s="526"/>
    </row>
    <row r="60" spans="2:16" x14ac:dyDescent="0.25">
      <c r="B60" s="78" t="s">
        <v>185</v>
      </c>
      <c r="C60" s="87">
        <f>C55+C56-C57</f>
        <v>9159701</v>
      </c>
      <c r="D60" s="87">
        <f t="shared" ref="D60:H60" si="37">D55+D56-D57</f>
        <v>11344363.825033277</v>
      </c>
      <c r="E60" s="87">
        <f t="shared" si="37"/>
        <v>13494382.106458277</v>
      </c>
      <c r="F60" s="87">
        <f t="shared" si="37"/>
        <v>16072141.151301011</v>
      </c>
      <c r="G60" s="87">
        <f t="shared" si="37"/>
        <v>19167536.705756836</v>
      </c>
      <c r="H60" s="87">
        <f t="shared" si="37"/>
        <v>22890409.372758821</v>
      </c>
      <c r="K60" s="98">
        <f>C60/C$47</f>
        <v>9.4858236159151635E-2</v>
      </c>
      <c r="L60" s="98">
        <f t="shared" ref="L60:P60" si="38">D60/D$47</f>
        <v>0.10359366726812876</v>
      </c>
      <c r="M60" s="98">
        <f t="shared" si="38"/>
        <v>0.10748869193373897</v>
      </c>
      <c r="N60" s="98">
        <f t="shared" si="38"/>
        <v>0.1110450595510018</v>
      </c>
      <c r="O60" s="98">
        <f t="shared" si="38"/>
        <v>0.11426655471291008</v>
      </c>
      <c r="P60" s="98">
        <f t="shared" si="38"/>
        <v>0.1171645287547686</v>
      </c>
    </row>
    <row r="61" spans="2:16" x14ac:dyDescent="0.25">
      <c r="B61" t="s">
        <v>4132</v>
      </c>
      <c r="C61" s="67">
        <f>'EF Sempertex 2015 I'!B68</f>
        <v>3663289</v>
      </c>
      <c r="D61" s="67">
        <f>D60*D6</f>
        <v>4537013.0763266543</v>
      </c>
      <c r="E61" s="67">
        <f>E60*E6</f>
        <v>5396881.5720497249</v>
      </c>
      <c r="F61" s="67">
        <f>F60*F6</f>
        <v>6427818.755875146</v>
      </c>
      <c r="G61" s="67">
        <f>G60*G6</f>
        <v>7665777.1221238831</v>
      </c>
      <c r="H61" s="67">
        <f>H60*H6</f>
        <v>9154685.8200638089</v>
      </c>
    </row>
    <row r="62" spans="2:16" x14ac:dyDescent="0.25">
      <c r="B62" s="78" t="s">
        <v>4206</v>
      </c>
      <c r="C62" s="87">
        <f>C60-C61</f>
        <v>5496412</v>
      </c>
      <c r="D62" s="87">
        <f t="shared" ref="D62:H62" si="39">D60-D61</f>
        <v>6807350.748706623</v>
      </c>
      <c r="E62" s="87">
        <f t="shared" si="39"/>
        <v>8097500.5344085516</v>
      </c>
      <c r="F62" s="87">
        <f t="shared" si="39"/>
        <v>9644322.3954258654</v>
      </c>
      <c r="G62" s="87">
        <f t="shared" si="39"/>
        <v>11501759.583632953</v>
      </c>
      <c r="H62" s="87">
        <f t="shared" si="39"/>
        <v>13735723.552695012</v>
      </c>
      <c r="K62" s="98">
        <f>C62/C$47</f>
        <v>5.6921066257948259E-2</v>
      </c>
      <c r="L62" s="98">
        <f t="shared" ref="L62:P62" si="40">D62/D$47</f>
        <v>6.2162888930168143E-2</v>
      </c>
      <c r="M62" s="98">
        <f t="shared" si="40"/>
        <v>6.4500155213462321E-2</v>
      </c>
      <c r="N62" s="98">
        <f t="shared" si="40"/>
        <v>6.6634205402211377E-2</v>
      </c>
      <c r="O62" s="98">
        <f t="shared" si="40"/>
        <v>6.8567310496564851E-2</v>
      </c>
      <c r="P62" s="98">
        <f t="shared" si="40"/>
        <v>7.0306282030609416E-2</v>
      </c>
    </row>
    <row r="63" spans="2:16" s="488" customFormat="1" ht="5.0999999999999996" customHeight="1" x14ac:dyDescent="0.25">
      <c r="B63" s="172"/>
      <c r="C63" s="165"/>
    </row>
    <row r="64" spans="2:16" x14ac:dyDescent="0.25">
      <c r="B64" t="s">
        <v>4147</v>
      </c>
      <c r="C64" s="67">
        <f>'EF Sempertex 2015 I'!B90</f>
        <v>2520000</v>
      </c>
      <c r="D64" s="67">
        <f>D62*D7</f>
        <v>3121040.3963059336</v>
      </c>
      <c r="E64" s="67">
        <f>E62*E7</f>
        <v>3712549.4498428339</v>
      </c>
      <c r="F64" s="67">
        <f>F62*F7</f>
        <v>4421737.751186261</v>
      </c>
      <c r="G64" s="67">
        <f>G62*G7</f>
        <v>5273337.2517844448</v>
      </c>
      <c r="H64" s="67">
        <f>H62*H7</f>
        <v>6297567.0951870838</v>
      </c>
      <c r="L64" s="156"/>
    </row>
    <row r="65" spans="2:16" x14ac:dyDescent="0.25">
      <c r="B65" s="78" t="s">
        <v>4208</v>
      </c>
      <c r="C65" s="518">
        <f>C62-C64</f>
        <v>2976412</v>
      </c>
      <c r="D65" s="518">
        <f t="shared" ref="D65:H65" si="41">D62-D64</f>
        <v>3686310.3524006894</v>
      </c>
      <c r="E65" s="518">
        <f t="shared" si="41"/>
        <v>4384951.0845657177</v>
      </c>
      <c r="F65" s="518">
        <f t="shared" si="41"/>
        <v>5222584.6442396045</v>
      </c>
      <c r="G65" s="518">
        <f t="shared" si="41"/>
        <v>6228422.3318485087</v>
      </c>
      <c r="H65" s="518">
        <f t="shared" si="41"/>
        <v>7438156.4575079279</v>
      </c>
      <c r="K65" s="98">
        <f>C65/C$47</f>
        <v>3.0823843748058244E-2</v>
      </c>
      <c r="L65" s="98">
        <f t="shared" ref="L65:P65" si="42">D65/D$47</f>
        <v>3.3662390768090099E-2</v>
      </c>
      <c r="M65" s="98">
        <f t="shared" si="42"/>
        <v>3.4928065068486829E-2</v>
      </c>
      <c r="N65" s="98">
        <f t="shared" si="42"/>
        <v>3.6083693975198144E-2</v>
      </c>
      <c r="O65" s="98">
        <f t="shared" si="42"/>
        <v>3.7130507278148289E-2</v>
      </c>
      <c r="P65" s="98">
        <f t="shared" si="42"/>
        <v>3.8072193553047015E-2</v>
      </c>
    </row>
    <row r="68" spans="2:16" x14ac:dyDescent="0.25">
      <c r="B68" s="482" t="s">
        <v>4143</v>
      </c>
      <c r="C68" s="482"/>
      <c r="D68" s="482"/>
      <c r="E68" s="482"/>
      <c r="F68" s="482"/>
      <c r="G68" s="482"/>
      <c r="H68" s="482"/>
    </row>
    <row r="70" spans="2:16" x14ac:dyDescent="0.25">
      <c r="B70" s="446" t="s">
        <v>394</v>
      </c>
      <c r="C70" s="67">
        <f t="shared" ref="C70:H70" si="43">C55*(1-C6)</f>
        <v>9777860.0729608964</v>
      </c>
      <c r="D70" s="67">
        <f t="shared" si="43"/>
        <v>11088798.821667515</v>
      </c>
      <c r="E70" s="67">
        <f t="shared" si="43"/>
        <v>12712407.072380265</v>
      </c>
      <c r="F70" s="67">
        <f t="shared" si="43"/>
        <v>14655885.459306888</v>
      </c>
      <c r="G70" s="67">
        <f t="shared" si="43"/>
        <v>16985750.330582768</v>
      </c>
      <c r="H70" s="67">
        <f t="shared" si="43"/>
        <v>19783128.649406418</v>
      </c>
    </row>
    <row r="71" spans="2:16" x14ac:dyDescent="0.25">
      <c r="B71" s="451" t="s">
        <v>4074</v>
      </c>
      <c r="C71" s="67">
        <f t="shared" ref="C71:H71" si="44">C53</f>
        <v>1221805</v>
      </c>
      <c r="D71" s="67">
        <f t="shared" si="44"/>
        <v>1264115.342533187</v>
      </c>
      <c r="E71" s="67">
        <f t="shared" si="44"/>
        <v>1449205.5523022565</v>
      </c>
      <c r="F71" s="67">
        <f t="shared" si="44"/>
        <v>1670760.7348162585</v>
      </c>
      <c r="G71" s="67">
        <f t="shared" si="44"/>
        <v>1936363.7074352575</v>
      </c>
      <c r="H71" s="67">
        <f t="shared" si="44"/>
        <v>2255262.8874605023</v>
      </c>
    </row>
    <row r="72" spans="2:16" x14ac:dyDescent="0.25">
      <c r="B72" s="454" t="s">
        <v>4075</v>
      </c>
      <c r="C72" s="87">
        <f>C70+C71</f>
        <v>10999665.072960896</v>
      </c>
      <c r="D72" s="87">
        <f t="shared" ref="D72:H72" si="45">D70+D71</f>
        <v>12352914.164200701</v>
      </c>
      <c r="E72" s="87">
        <f t="shared" si="45"/>
        <v>14161612.624682521</v>
      </c>
      <c r="F72" s="87">
        <f t="shared" si="45"/>
        <v>16326646.194123147</v>
      </c>
      <c r="G72" s="87">
        <f t="shared" si="45"/>
        <v>18922114.038018025</v>
      </c>
      <c r="H72" s="87">
        <f t="shared" si="45"/>
        <v>22038391.536866922</v>
      </c>
    </row>
    <row r="73" spans="2:16" x14ac:dyDescent="0.25">
      <c r="B73" s="451" t="s">
        <v>4077</v>
      </c>
      <c r="C73" s="67">
        <f>-('Flujo de Caja'!H13-'Flujo de Caja'!G13)</f>
        <v>-2855923</v>
      </c>
      <c r="D73" s="68">
        <f>-(D16-C16)</f>
        <v>-3495313.1747574322</v>
      </c>
      <c r="E73" s="68">
        <f>-(E16-D16)</f>
        <v>-4328973.6572056673</v>
      </c>
      <c r="F73" s="68">
        <f>-(F16-E16)</f>
        <v>-5181832.9554931819</v>
      </c>
      <c r="G73" s="68">
        <f>-(G16-F16)</f>
        <v>-6212042.6206103116</v>
      </c>
      <c r="H73" s="68">
        <f>-(H16-G16)</f>
        <v>-7458558.4583656937</v>
      </c>
    </row>
    <row r="74" spans="2:16" x14ac:dyDescent="0.25">
      <c r="B74" s="483" t="s">
        <v>4078</v>
      </c>
      <c r="C74" s="67">
        <f>-('Flujo de Caja'!H15-'Flujo de Caja'!G15)</f>
        <v>-5390232</v>
      </c>
      <c r="D74" s="68">
        <f>-(D22-C22)</f>
        <v>-3266565.6655119136</v>
      </c>
      <c r="E74" s="68">
        <f>-(E22-D22)</f>
        <v>-3929256.4846881554</v>
      </c>
      <c r="F74" s="68">
        <f>-(F22-E22)</f>
        <v>-4639411.1980381235</v>
      </c>
      <c r="G74" s="68">
        <f>-(G22-F22)</f>
        <v>-5495216.9861152172</v>
      </c>
      <c r="H74" s="68">
        <f>-(H22-G22)</f>
        <v>-6528239.8847066984</v>
      </c>
    </row>
    <row r="75" spans="2:16" x14ac:dyDescent="0.25">
      <c r="B75" s="456" t="s">
        <v>4079</v>
      </c>
      <c r="C75" s="518">
        <f>C72+C73+C74</f>
        <v>2753510.0729608964</v>
      </c>
      <c r="D75" s="518">
        <f t="shared" ref="D75:H75" si="46">D72+D73+D74</f>
        <v>5591035.323931355</v>
      </c>
      <c r="E75" s="518">
        <f t="shared" si="46"/>
        <v>5903382.4827886987</v>
      </c>
      <c r="F75" s="518">
        <f t="shared" si="46"/>
        <v>6505402.0405918416</v>
      </c>
      <c r="G75" s="518">
        <f t="shared" si="46"/>
        <v>7214854.4312924966</v>
      </c>
      <c r="H75" s="518">
        <f t="shared" si="46"/>
        <v>8051593.1937945299</v>
      </c>
    </row>
    <row r="76" spans="2:16" x14ac:dyDescent="0.25">
      <c r="B76" s="451" t="s">
        <v>4080</v>
      </c>
      <c r="C76" s="67">
        <f t="shared" ref="C76:H76" si="47">-C59*(1-C6)</f>
        <v>-2487156.7906867326</v>
      </c>
      <c r="D76" s="67">
        <f t="shared" si="47"/>
        <v>-2487156.7906867326</v>
      </c>
      <c r="E76" s="67">
        <f t="shared" si="47"/>
        <v>-2820615.2556975442</v>
      </c>
      <c r="F76" s="67">
        <f t="shared" si="47"/>
        <v>-3217271.7816068535</v>
      </c>
      <c r="G76" s="67">
        <f t="shared" si="47"/>
        <v>-3689699.4646756495</v>
      </c>
      <c r="H76" s="67">
        <f t="shared" si="47"/>
        <v>-4253113.8144372432</v>
      </c>
    </row>
    <row r="77" spans="2:16" x14ac:dyDescent="0.25">
      <c r="B77" s="451" t="s">
        <v>4081</v>
      </c>
      <c r="C77" s="67">
        <f>('Flujo de Caja'!H17-'Flujo de Caja'!G17)</f>
        <v>6392896</v>
      </c>
      <c r="D77" s="67">
        <f>D26-C26</f>
        <v>2892786.6191667542</v>
      </c>
      <c r="E77" s="67">
        <f t="shared" ref="E77:H77" si="48">E26-D26</f>
        <v>3441036.3237245046</v>
      </c>
      <c r="F77" s="67">
        <f t="shared" si="48"/>
        <v>4098358.9367301129</v>
      </c>
      <c r="G77" s="67">
        <f t="shared" si="48"/>
        <v>4887677.6661945879</v>
      </c>
      <c r="H77" s="67">
        <f t="shared" si="48"/>
        <v>5837001.6126110703</v>
      </c>
    </row>
    <row r="78" spans="2:16" x14ac:dyDescent="0.25">
      <c r="B78" s="456" t="s">
        <v>4082</v>
      </c>
      <c r="C78" s="518">
        <f>C75+C76+C77</f>
        <v>6659249.2822741643</v>
      </c>
      <c r="D78" s="518">
        <f t="shared" ref="D78:H78" si="49">D75+D76+D77</f>
        <v>5996665.1524113771</v>
      </c>
      <c r="E78" s="518">
        <f t="shared" si="49"/>
        <v>6523803.5508156586</v>
      </c>
      <c r="F78" s="518">
        <f t="shared" si="49"/>
        <v>7386489.1957151014</v>
      </c>
      <c r="G78" s="518">
        <f t="shared" si="49"/>
        <v>8412832.6328114346</v>
      </c>
      <c r="H78" s="518">
        <f t="shared" si="49"/>
        <v>9635480.9919683561</v>
      </c>
    </row>
    <row r="79" spans="2:16" x14ac:dyDescent="0.25">
      <c r="B79" s="451" t="s">
        <v>4149</v>
      </c>
      <c r="C79" s="68">
        <f>-C64</f>
        <v>-2520000</v>
      </c>
      <c r="D79" s="68">
        <f t="shared" ref="D79:H79" si="50">-D64</f>
        <v>-3121040.3963059336</v>
      </c>
      <c r="E79" s="68">
        <f t="shared" si="50"/>
        <v>-3712549.4498428339</v>
      </c>
      <c r="F79" s="68">
        <f t="shared" si="50"/>
        <v>-4421737.751186261</v>
      </c>
      <c r="G79" s="68">
        <f t="shared" si="50"/>
        <v>-5273337.2517844448</v>
      </c>
      <c r="H79" s="68">
        <f t="shared" si="50"/>
        <v>-6297567.0951870838</v>
      </c>
    </row>
    <row r="80" spans="2:16" x14ac:dyDescent="0.25">
      <c r="B80" s="451" t="s">
        <v>4150</v>
      </c>
      <c r="C80" s="67">
        <f>('Flujo de Caja'!H18-'Flujo de Caja'!G18)</f>
        <v>0</v>
      </c>
      <c r="D80" s="68">
        <f>(D35-C35)</f>
        <v>0</v>
      </c>
      <c r="E80" s="68">
        <f>(E35-D35)</f>
        <v>0</v>
      </c>
      <c r="F80" s="68">
        <f>(F35-E35)</f>
        <v>0</v>
      </c>
      <c r="G80" s="68">
        <f>(G35-F35)</f>
        <v>0</v>
      </c>
      <c r="H80" s="68">
        <f>(H35-G35)</f>
        <v>0</v>
      </c>
    </row>
    <row r="81" spans="2:10" x14ac:dyDescent="0.25">
      <c r="B81" s="456" t="s">
        <v>4151</v>
      </c>
      <c r="C81" s="518">
        <f>C78+C79+C80</f>
        <v>4139249.2822741643</v>
      </c>
      <c r="D81" s="518">
        <f t="shared" ref="D81:H81" si="51">D78+D79+D80</f>
        <v>2875624.7561054435</v>
      </c>
      <c r="E81" s="518">
        <f t="shared" si="51"/>
        <v>2811254.1009728247</v>
      </c>
      <c r="F81" s="518">
        <f t="shared" si="51"/>
        <v>2964751.4445288405</v>
      </c>
      <c r="G81" s="518">
        <f t="shared" si="51"/>
        <v>3139495.3810269898</v>
      </c>
      <c r="H81" s="518">
        <f t="shared" si="51"/>
        <v>3337913.8967812723</v>
      </c>
    </row>
    <row r="84" spans="2:10" x14ac:dyDescent="0.25">
      <c r="B84" s="482" t="s">
        <v>335</v>
      </c>
      <c r="C84" s="482"/>
      <c r="D84" s="482"/>
      <c r="E84" s="482"/>
      <c r="F84" s="482"/>
      <c r="G84" s="482"/>
      <c r="H84" s="482"/>
    </row>
    <row r="86" spans="2:10" x14ac:dyDescent="0.25">
      <c r="B86" s="488" t="s">
        <v>336</v>
      </c>
      <c r="C86" s="171">
        <f>(C17+C18+C13)/(C20+C19+C27)</f>
        <v>1.6311381942972671</v>
      </c>
      <c r="D86" s="171">
        <f t="shared" ref="D86:H86" si="52">(D17+D18+D13)/(D20+D19+D27)</f>
        <v>1.7005668467835082</v>
      </c>
      <c r="E86" s="171">
        <f t="shared" si="52"/>
        <v>1.7653797685247465</v>
      </c>
      <c r="F86" s="171">
        <f t="shared" si="52"/>
        <v>1.8284801937600741</v>
      </c>
      <c r="G86" s="171">
        <f t="shared" si="52"/>
        <v>1.8888725081766222</v>
      </c>
      <c r="H86" s="171">
        <f t="shared" si="52"/>
        <v>1.9456704501129727</v>
      </c>
      <c r="J86" s="64"/>
    </row>
    <row r="87" spans="2:10" x14ac:dyDescent="0.25">
      <c r="B87" s="488" t="s">
        <v>337</v>
      </c>
      <c r="C87" s="171">
        <f>(C17+C13)/(C20+C19+C27)</f>
        <v>0.80634570446664211</v>
      </c>
      <c r="D87" s="171">
        <f t="shared" ref="D87:H87" si="53">(D17+D13)/(D20+D19+D27)</f>
        <v>0.83749129741212436</v>
      </c>
      <c r="E87" s="171">
        <f t="shared" si="53"/>
        <v>0.86237730442821836</v>
      </c>
      <c r="F87" s="171">
        <f t="shared" si="53"/>
        <v>0.88598976064821222</v>
      </c>
      <c r="G87" s="171">
        <f t="shared" si="53"/>
        <v>0.90789370144061998</v>
      </c>
      <c r="H87" s="171">
        <f t="shared" si="53"/>
        <v>0.92771575498314907</v>
      </c>
      <c r="J87" s="64"/>
    </row>
    <row r="89" spans="2:10" x14ac:dyDescent="0.25">
      <c r="B89" s="482" t="s">
        <v>416</v>
      </c>
      <c r="C89" s="482"/>
      <c r="D89" s="482"/>
      <c r="E89" s="482"/>
      <c r="F89" s="482"/>
      <c r="G89" s="482"/>
      <c r="H89" s="482"/>
    </row>
    <row r="91" spans="2:10" x14ac:dyDescent="0.25">
      <c r="B91" t="s">
        <v>4211</v>
      </c>
      <c r="C91" s="64">
        <f t="shared" ref="C91:H92" si="54">C47/C17</f>
        <v>5.1020524081310112</v>
      </c>
      <c r="D91" s="64">
        <f t="shared" si="54"/>
        <v>5.1020524081310112</v>
      </c>
      <c r="E91" s="64">
        <f t="shared" si="54"/>
        <v>5.1020524081310112</v>
      </c>
      <c r="F91" s="64">
        <f t="shared" si="54"/>
        <v>5.1020524081310112</v>
      </c>
      <c r="G91" s="64">
        <f t="shared" si="54"/>
        <v>5.1020524081310112</v>
      </c>
      <c r="H91" s="64">
        <f t="shared" si="54"/>
        <v>5.1020524081310112</v>
      </c>
    </row>
    <row r="92" spans="2:10" x14ac:dyDescent="0.25">
      <c r="B92" t="s">
        <v>4212</v>
      </c>
      <c r="C92" s="64">
        <f t="shared" si="54"/>
        <v>1.720009809864969</v>
      </c>
      <c r="D92" s="64">
        <f t="shared" si="54"/>
        <v>1.720009809864969</v>
      </c>
      <c r="E92" s="64">
        <f t="shared" si="54"/>
        <v>1.720009809864969</v>
      </c>
      <c r="F92" s="64">
        <f t="shared" si="54"/>
        <v>1.720009809864969</v>
      </c>
      <c r="G92" s="64">
        <f t="shared" si="54"/>
        <v>1.720009809864969</v>
      </c>
      <c r="H92" s="64">
        <f t="shared" si="54"/>
        <v>1.720009809864969</v>
      </c>
    </row>
    <row r="93" spans="2:10" x14ac:dyDescent="0.25">
      <c r="B93" t="s">
        <v>4213</v>
      </c>
      <c r="C93" s="64">
        <f t="shared" ref="C93:H93" si="55">C95/C19</f>
        <v>3.2670404174489476</v>
      </c>
      <c r="D93" s="64">
        <f t="shared" si="55"/>
        <v>3.2670404174489476</v>
      </c>
      <c r="E93" s="64">
        <f t="shared" si="55"/>
        <v>3.2670404174489471</v>
      </c>
      <c r="F93" s="64">
        <f t="shared" si="55"/>
        <v>3.2670404174489471</v>
      </c>
      <c r="G93" s="64">
        <f t="shared" si="55"/>
        <v>3.2670404174489471</v>
      </c>
      <c r="H93" s="64">
        <f t="shared" si="55"/>
        <v>3.2670404174489471</v>
      </c>
    </row>
    <row r="94" spans="2:10" outlineLevel="1" x14ac:dyDescent="0.25">
      <c r="B94" s="65" t="s">
        <v>373</v>
      </c>
      <c r="C94" s="67">
        <f>'EF Sempertex 2011-2014 I'!E38</f>
        <v>21695622</v>
      </c>
      <c r="D94" s="68">
        <f>C97</f>
        <v>29464218</v>
      </c>
      <c r="E94" s="68">
        <f t="shared" ref="E94:H94" si="56">D97</f>
        <v>33414549.134657227</v>
      </c>
      <c r="F94" s="68">
        <f t="shared" si="56"/>
        <v>38307066.218010485</v>
      </c>
      <c r="G94" s="68">
        <f t="shared" si="56"/>
        <v>44163467.357258365</v>
      </c>
      <c r="H94" s="68">
        <f t="shared" si="56"/>
        <v>51184190.293113045</v>
      </c>
    </row>
    <row r="95" spans="2:10" outlineLevel="1" x14ac:dyDescent="0.25">
      <c r="B95" s="65" t="s">
        <v>375</v>
      </c>
      <c r="C95" s="67">
        <f>C97+C96-C94</f>
        <v>58447340</v>
      </c>
      <c r="D95" s="67">
        <f>D97+D96-D94</f>
        <v>61423683.438482672</v>
      </c>
      <c r="E95" s="67">
        <f t="shared" ref="E95:H95" si="57">E97+E96-E94</f>
        <v>70781046.765478253</v>
      </c>
      <c r="F95" s="67">
        <f t="shared" si="57"/>
        <v>81817998.231383607</v>
      </c>
      <c r="G95" s="67">
        <f t="shared" si="57"/>
        <v>95058032.350004449</v>
      </c>
      <c r="H95" s="67">
        <f t="shared" si="57"/>
        <v>110965658.01315153</v>
      </c>
    </row>
    <row r="96" spans="2:10" outlineLevel="1" x14ac:dyDescent="0.25">
      <c r="B96" s="65" t="s">
        <v>374</v>
      </c>
      <c r="C96" s="67">
        <f t="shared" ref="C96:H96" si="58">C48</f>
        <v>50678744</v>
      </c>
      <c r="D96" s="67">
        <f t="shared" si="58"/>
        <v>57473352.303825438</v>
      </c>
      <c r="E96" s="67">
        <f t="shared" si="58"/>
        <v>65888529.682124995</v>
      </c>
      <c r="F96" s="67">
        <f t="shared" si="58"/>
        <v>75961597.092135727</v>
      </c>
      <c r="G96" s="67">
        <f t="shared" si="58"/>
        <v>88037309.414149761</v>
      </c>
      <c r="H96" s="67">
        <f t="shared" si="58"/>
        <v>102536148.48864727</v>
      </c>
    </row>
    <row r="97" spans="2:8" outlineLevel="1" x14ac:dyDescent="0.25">
      <c r="B97" s="65" t="s">
        <v>372</v>
      </c>
      <c r="C97" s="67">
        <f t="shared" ref="C97:H97" si="59">C18</f>
        <v>29464218</v>
      </c>
      <c r="D97" s="67">
        <f t="shared" si="59"/>
        <v>33414549.134657227</v>
      </c>
      <c r="E97" s="67">
        <f t="shared" si="59"/>
        <v>38307066.218010485</v>
      </c>
      <c r="F97" s="67">
        <f t="shared" si="59"/>
        <v>44163467.357258365</v>
      </c>
      <c r="G97" s="67">
        <f t="shared" si="59"/>
        <v>51184190.293113045</v>
      </c>
      <c r="H97" s="67">
        <f t="shared" si="59"/>
        <v>59613699.817617297</v>
      </c>
    </row>
    <row r="98" spans="2:8" x14ac:dyDescent="0.25">
      <c r="B98" t="s">
        <v>4219</v>
      </c>
      <c r="C98" s="64">
        <f t="shared" ref="C98:H98" si="60">C47/C16</f>
        <v>3.7038956342385223</v>
      </c>
      <c r="D98" s="64">
        <f t="shared" si="60"/>
        <v>3.7038956342385227</v>
      </c>
      <c r="E98" s="64">
        <f t="shared" si="60"/>
        <v>3.7038956342385223</v>
      </c>
      <c r="F98" s="64">
        <f t="shared" si="60"/>
        <v>3.7038956342385223</v>
      </c>
      <c r="G98" s="64">
        <f t="shared" si="60"/>
        <v>3.7038956342385227</v>
      </c>
      <c r="H98" s="64">
        <f t="shared" si="60"/>
        <v>3.7038956342385227</v>
      </c>
    </row>
    <row r="99" spans="2:8" x14ac:dyDescent="0.25">
      <c r="B99" t="s">
        <v>4220</v>
      </c>
      <c r="C99" s="64">
        <f t="shared" ref="C99:H99" si="61">C47/C21</f>
        <v>6.465216669656165</v>
      </c>
      <c r="D99" s="64">
        <f t="shared" si="61"/>
        <v>6.465216669656165</v>
      </c>
      <c r="E99" s="64">
        <f t="shared" si="61"/>
        <v>6.4652166696561659</v>
      </c>
      <c r="F99" s="64">
        <f t="shared" si="61"/>
        <v>6.4652166696561659</v>
      </c>
      <c r="G99" s="64">
        <f t="shared" si="61"/>
        <v>6.4652166696561659</v>
      </c>
      <c r="H99" s="64">
        <f t="shared" si="61"/>
        <v>6.4652166696561659</v>
      </c>
    </row>
    <row r="100" spans="2:8" x14ac:dyDescent="0.25">
      <c r="B100" s="426" t="s">
        <v>4221</v>
      </c>
      <c r="C100" s="64">
        <f t="shared" ref="C100:H100" si="62">C47/C22</f>
        <v>5.1370282960022502</v>
      </c>
      <c r="D100" s="64">
        <f t="shared" si="62"/>
        <v>4.9632521333427224</v>
      </c>
      <c r="E100" s="64">
        <f t="shared" si="62"/>
        <v>4.8298387332722621</v>
      </c>
      <c r="F100" s="64">
        <f t="shared" si="62"/>
        <v>4.7248965543749648</v>
      </c>
      <c r="G100" s="64">
        <f t="shared" si="62"/>
        <v>4.6430874628603558</v>
      </c>
      <c r="H100" s="64">
        <f t="shared" si="62"/>
        <v>4.5801310094159282</v>
      </c>
    </row>
    <row r="101" spans="2:8" x14ac:dyDescent="0.25">
      <c r="B101" t="s">
        <v>4222</v>
      </c>
      <c r="C101" s="64">
        <f t="shared" ref="C101:H101" si="63">C47/C15</f>
        <v>2.3548257784481619</v>
      </c>
      <c r="D101" s="64">
        <f t="shared" si="63"/>
        <v>2.3548257784481623</v>
      </c>
      <c r="E101" s="64">
        <f t="shared" si="63"/>
        <v>2.3548257784481619</v>
      </c>
      <c r="F101" s="64">
        <f t="shared" si="63"/>
        <v>2.3548257784481619</v>
      </c>
      <c r="G101" s="64">
        <f t="shared" si="63"/>
        <v>2.3548257784481619</v>
      </c>
      <c r="H101" s="64">
        <f t="shared" si="63"/>
        <v>2.3548257784481623</v>
      </c>
    </row>
    <row r="103" spans="2:8" x14ac:dyDescent="0.25">
      <c r="B103" s="482" t="s">
        <v>4214</v>
      </c>
      <c r="C103" s="482"/>
      <c r="D103" s="482"/>
      <c r="E103" s="482"/>
      <c r="F103" s="482"/>
      <c r="G103" s="482"/>
      <c r="H103" s="482"/>
    </row>
    <row r="105" spans="2:8" x14ac:dyDescent="0.25">
      <c r="B105" t="s">
        <v>384</v>
      </c>
      <c r="C105" s="149">
        <f>360/C91+360/C92-360/C93</f>
        <v>169.66949729985691</v>
      </c>
      <c r="D105" s="149">
        <f t="shared" ref="D105:H105" si="64">360/D91+360/D92-360/D93</f>
        <v>169.66949729985691</v>
      </c>
      <c r="E105" s="149">
        <f t="shared" si="64"/>
        <v>169.66949729985689</v>
      </c>
      <c r="F105" s="149">
        <f t="shared" si="64"/>
        <v>169.66949729985689</v>
      </c>
      <c r="G105" s="149">
        <f t="shared" si="64"/>
        <v>169.66949729985689</v>
      </c>
      <c r="H105" s="149">
        <f t="shared" si="64"/>
        <v>169.66949729985689</v>
      </c>
    </row>
    <row r="106" spans="2:8" x14ac:dyDescent="0.25">
      <c r="B106" t="s">
        <v>392</v>
      </c>
      <c r="C106" s="149">
        <f>360/C91+360/C92</f>
        <v>279.86097153974532</v>
      </c>
      <c r="D106" s="149">
        <f t="shared" ref="D106:H106" si="65">360/D91+360/D92</f>
        <v>279.86097153974532</v>
      </c>
      <c r="E106" s="149">
        <f t="shared" si="65"/>
        <v>279.86097153974532</v>
      </c>
      <c r="F106" s="149">
        <f t="shared" si="65"/>
        <v>279.86097153974532</v>
      </c>
      <c r="G106" s="149">
        <f t="shared" si="65"/>
        <v>279.86097153974532</v>
      </c>
      <c r="H106" s="149">
        <f t="shared" si="65"/>
        <v>279.86097153974532</v>
      </c>
    </row>
    <row r="108" spans="2:8" x14ac:dyDescent="0.25">
      <c r="B108" s="482" t="s">
        <v>4215</v>
      </c>
      <c r="C108" s="482"/>
      <c r="D108" s="482"/>
      <c r="E108" s="482"/>
      <c r="F108" s="482"/>
      <c r="G108" s="482"/>
      <c r="H108" s="482"/>
    </row>
    <row r="110" spans="2:8" x14ac:dyDescent="0.25">
      <c r="B110" s="488" t="s">
        <v>4216</v>
      </c>
      <c r="C110" s="171">
        <f t="shared" ref="C110:H110" si="66">C16/C47</f>
        <v>0.26998600898904329</v>
      </c>
      <c r="D110" s="171">
        <f t="shared" si="66"/>
        <v>0.26998600898904329</v>
      </c>
      <c r="E110" s="171">
        <f t="shared" si="66"/>
        <v>0.26998600898904329</v>
      </c>
      <c r="F110" s="171">
        <f t="shared" si="66"/>
        <v>0.26998600898904335</v>
      </c>
      <c r="G110" s="171">
        <f t="shared" si="66"/>
        <v>0.26998600898904329</v>
      </c>
      <c r="H110" s="171">
        <f t="shared" si="66"/>
        <v>0.26998600898904329</v>
      </c>
    </row>
    <row r="111" spans="2:8" x14ac:dyDescent="0.25">
      <c r="B111" s="488" t="s">
        <v>4105</v>
      </c>
      <c r="C111" s="171">
        <f>(C55+C53)/C16</f>
        <v>0.67189196908415905</v>
      </c>
      <c r="D111" s="171">
        <f t="shared" ref="D111:H111" si="67">(D55+D53)/D16</f>
        <v>0.66778248833281562</v>
      </c>
      <c r="E111" s="171">
        <f t="shared" si="67"/>
        <v>0.66778248833281595</v>
      </c>
      <c r="F111" s="171">
        <f t="shared" si="67"/>
        <v>0.66778248833281562</v>
      </c>
      <c r="G111" s="171">
        <f t="shared" si="67"/>
        <v>0.66778248833281584</v>
      </c>
      <c r="H111" s="171">
        <f t="shared" si="67"/>
        <v>0.66778248833281573</v>
      </c>
    </row>
    <row r="113" spans="2:8" x14ac:dyDescent="0.25">
      <c r="B113" s="482" t="s">
        <v>411</v>
      </c>
      <c r="C113" s="482"/>
      <c r="D113" s="482"/>
      <c r="E113" s="482"/>
      <c r="F113" s="482"/>
      <c r="G113" s="482"/>
      <c r="H113" s="482"/>
    </row>
    <row r="115" spans="2:8" x14ac:dyDescent="0.25">
      <c r="B115" t="s">
        <v>412</v>
      </c>
      <c r="C115" s="81">
        <f t="shared" ref="C115:H115" si="68">C49/C47</f>
        <v>0.47516886559930405</v>
      </c>
      <c r="D115" s="81">
        <f t="shared" si="68"/>
        <v>0.47516886559930399</v>
      </c>
      <c r="E115" s="81">
        <f t="shared" si="68"/>
        <v>0.47516886559930405</v>
      </c>
      <c r="F115" s="81">
        <f t="shared" si="68"/>
        <v>0.47516886559930405</v>
      </c>
      <c r="G115" s="81">
        <f t="shared" si="68"/>
        <v>0.4751688655993041</v>
      </c>
      <c r="H115" s="81">
        <f t="shared" si="68"/>
        <v>0.47516886559930405</v>
      </c>
    </row>
    <row r="116" spans="2:8" x14ac:dyDescent="0.25">
      <c r="B116" t="s">
        <v>452</v>
      </c>
      <c r="C116" s="81">
        <f t="shared" ref="C116:H116" si="69">C55/C47</f>
        <v>0.16874836892359313</v>
      </c>
      <c r="D116" s="81">
        <f t="shared" si="69"/>
        <v>0.16874836892359307</v>
      </c>
      <c r="E116" s="81">
        <f t="shared" si="69"/>
        <v>0.16874836892359316</v>
      </c>
      <c r="F116" s="81">
        <f t="shared" si="69"/>
        <v>0.1687483689235931</v>
      </c>
      <c r="G116" s="81">
        <f t="shared" si="69"/>
        <v>0.16874836892359313</v>
      </c>
      <c r="H116" s="81">
        <f t="shared" si="69"/>
        <v>0.1687483689235931</v>
      </c>
    </row>
    <row r="117" spans="2:8" x14ac:dyDescent="0.25">
      <c r="B117" t="s">
        <v>404</v>
      </c>
      <c r="C117" s="81">
        <f t="shared" ref="C117:H117" si="70">C62/C47</f>
        <v>5.6921066257948259E-2</v>
      </c>
      <c r="D117" s="81">
        <f t="shared" si="70"/>
        <v>6.2162888930168143E-2</v>
      </c>
      <c r="E117" s="81">
        <f t="shared" si="70"/>
        <v>6.4500155213462321E-2</v>
      </c>
      <c r="F117" s="81">
        <f t="shared" si="70"/>
        <v>6.6634205402211377E-2</v>
      </c>
      <c r="G117" s="81">
        <f t="shared" si="70"/>
        <v>6.8567310496564851E-2</v>
      </c>
      <c r="H117" s="81">
        <f t="shared" si="70"/>
        <v>7.0306282030609416E-2</v>
      </c>
    </row>
    <row r="119" spans="2:8" x14ac:dyDescent="0.25">
      <c r="B119" s="26" t="s">
        <v>393</v>
      </c>
      <c r="C119" s="154">
        <f t="shared" ref="C119:H119" si="71">C70/C15</f>
        <v>0.2384494620851613</v>
      </c>
      <c r="D119" s="154">
        <f t="shared" si="71"/>
        <v>0.23844946208516124</v>
      </c>
      <c r="E119" s="154">
        <f t="shared" si="71"/>
        <v>0.23844946208516132</v>
      </c>
      <c r="F119" s="154">
        <f t="shared" si="71"/>
        <v>0.23844946208516121</v>
      </c>
      <c r="G119" s="154">
        <f t="shared" si="71"/>
        <v>0.23844946208516132</v>
      </c>
      <c r="H119" s="154">
        <f t="shared" si="71"/>
        <v>0.23844946208516127</v>
      </c>
    </row>
    <row r="120" spans="2:8" x14ac:dyDescent="0.25">
      <c r="B120" s="65" t="s">
        <v>398</v>
      </c>
      <c r="C120" s="81">
        <f t="shared" ref="C120:H120" si="72">C70/C47</f>
        <v>0.1012599166645357</v>
      </c>
      <c r="D120" s="81">
        <f t="shared" si="72"/>
        <v>0.10125991666453567</v>
      </c>
      <c r="E120" s="81">
        <f t="shared" si="72"/>
        <v>0.10125991666453571</v>
      </c>
      <c r="F120" s="81">
        <f t="shared" si="72"/>
        <v>0.10125991666453567</v>
      </c>
      <c r="G120" s="81">
        <f t="shared" si="72"/>
        <v>0.10125991666453571</v>
      </c>
      <c r="H120" s="81">
        <f t="shared" si="72"/>
        <v>0.10125991666453568</v>
      </c>
    </row>
    <row r="121" spans="2:8" x14ac:dyDescent="0.25">
      <c r="B121" s="65" t="s">
        <v>4217</v>
      </c>
      <c r="C121" s="64">
        <f>C101</f>
        <v>2.3548257784481619</v>
      </c>
      <c r="D121" s="64">
        <f t="shared" ref="D121:H121" si="73">D101</f>
        <v>2.3548257784481623</v>
      </c>
      <c r="E121" s="64">
        <f t="shared" si="73"/>
        <v>2.3548257784481619</v>
      </c>
      <c r="F121" s="64">
        <f t="shared" si="73"/>
        <v>2.3548257784481619</v>
      </c>
      <c r="G121" s="64">
        <f t="shared" si="73"/>
        <v>2.3548257784481619</v>
      </c>
      <c r="H121" s="64">
        <f t="shared" si="73"/>
        <v>2.3548257784481623</v>
      </c>
    </row>
    <row r="123" spans="2:8" x14ac:dyDescent="0.25">
      <c r="B123" s="26" t="s">
        <v>400</v>
      </c>
      <c r="C123" s="154">
        <f t="shared" ref="C123:H123" si="74">C62/C34</f>
        <v>0.19990606283170154</v>
      </c>
      <c r="D123" s="154">
        <f t="shared" si="74"/>
        <v>0.21831527758036418</v>
      </c>
      <c r="E123" s="154">
        <f t="shared" si="74"/>
        <v>0.22767381576719445</v>
      </c>
      <c r="F123" s="154">
        <f t="shared" si="74"/>
        <v>0.2364452410298972</v>
      </c>
      <c r="G123" s="154">
        <f t="shared" si="74"/>
        <v>0.24462854462173744</v>
      </c>
      <c r="H123" s="154">
        <f t="shared" si="74"/>
        <v>0.25223804870742178</v>
      </c>
    </row>
    <row r="124" spans="2:8" x14ac:dyDescent="0.25">
      <c r="B124" s="65" t="s">
        <v>404</v>
      </c>
      <c r="C124" s="156">
        <f>C117</f>
        <v>5.6921066257948259E-2</v>
      </c>
      <c r="D124" s="156">
        <f t="shared" ref="D124:H124" si="75">D117</f>
        <v>6.2162888930168143E-2</v>
      </c>
      <c r="E124" s="156">
        <f t="shared" si="75"/>
        <v>6.4500155213462321E-2</v>
      </c>
      <c r="F124" s="156">
        <f t="shared" si="75"/>
        <v>6.6634205402211377E-2</v>
      </c>
      <c r="G124" s="156">
        <f t="shared" si="75"/>
        <v>6.8567310496564851E-2</v>
      </c>
      <c r="H124" s="156">
        <f t="shared" si="75"/>
        <v>7.0306282030609416E-2</v>
      </c>
    </row>
    <row r="125" spans="2:8" x14ac:dyDescent="0.25">
      <c r="B125" s="65" t="s">
        <v>399</v>
      </c>
      <c r="C125" s="64">
        <f>C101</f>
        <v>2.3548257784481619</v>
      </c>
      <c r="D125" s="64">
        <f t="shared" ref="D125:H125" si="76">D101</f>
        <v>2.3548257784481623</v>
      </c>
      <c r="E125" s="64">
        <f t="shared" si="76"/>
        <v>2.3548257784481619</v>
      </c>
      <c r="F125" s="64">
        <f t="shared" si="76"/>
        <v>2.3548257784481619</v>
      </c>
      <c r="G125" s="64">
        <f t="shared" si="76"/>
        <v>2.3548257784481619</v>
      </c>
      <c r="H125" s="64">
        <f t="shared" si="76"/>
        <v>2.3548257784481623</v>
      </c>
    </row>
    <row r="126" spans="2:8" x14ac:dyDescent="0.25">
      <c r="B126" s="65" t="s">
        <v>405</v>
      </c>
      <c r="C126" s="64">
        <f t="shared" ref="C126:H126" si="77">C15/C34</f>
        <v>1.4914000646081718</v>
      </c>
      <c r="D126" s="64">
        <f t="shared" si="77"/>
        <v>1.4914000646081715</v>
      </c>
      <c r="E126" s="64">
        <f t="shared" si="77"/>
        <v>1.4989720849656221</v>
      </c>
      <c r="F126" s="64">
        <f t="shared" si="77"/>
        <v>1.5068657878231391</v>
      </c>
      <c r="G126" s="64">
        <f t="shared" si="77"/>
        <v>1.5150648942685461</v>
      </c>
      <c r="H126" s="64">
        <f t="shared" si="77"/>
        <v>1.523553414017772</v>
      </c>
    </row>
    <row r="128" spans="2:8" x14ac:dyDescent="0.25">
      <c r="B128" s="426" t="s">
        <v>406</v>
      </c>
      <c r="C128" s="156">
        <f>C123-C119</f>
        <v>-3.8543399253459759E-2</v>
      </c>
      <c r="D128" s="156">
        <f t="shared" ref="D128:H128" si="78">D123-D119</f>
        <v>-2.0134184504797065E-2</v>
      </c>
      <c r="E128" s="156">
        <f t="shared" si="78"/>
        <v>-1.0775646317966875E-2</v>
      </c>
      <c r="F128" s="156">
        <f t="shared" si="78"/>
        <v>-2.0042210552640161E-3</v>
      </c>
      <c r="G128" s="156">
        <f t="shared" si="78"/>
        <v>6.1790825365761193E-3</v>
      </c>
      <c r="H128" s="156">
        <f t="shared" si="78"/>
        <v>1.3788586622260512E-2</v>
      </c>
    </row>
    <row r="130" spans="2:9" x14ac:dyDescent="0.25">
      <c r="B130" s="26" t="s">
        <v>4070</v>
      </c>
      <c r="C130" s="73">
        <f>C131-C132*C133</f>
        <v>5125828.0714746974</v>
      </c>
      <c r="D130" s="73">
        <f t="shared" ref="D130:H130" si="79">D131-D132*D133</f>
        <v>5813058.8753482765</v>
      </c>
      <c r="E130" s="73">
        <f t="shared" si="79"/>
        <v>6664199.7882352835</v>
      </c>
      <c r="F130" s="73">
        <f t="shared" si="79"/>
        <v>7683025.5842354698</v>
      </c>
      <c r="G130" s="73">
        <f t="shared" si="79"/>
        <v>8904405.9957790691</v>
      </c>
      <c r="H130" s="73">
        <f t="shared" si="79"/>
        <v>10370870.048871098</v>
      </c>
    </row>
    <row r="131" spans="2:9" x14ac:dyDescent="0.25">
      <c r="B131" s="119" t="s">
        <v>394</v>
      </c>
      <c r="C131" s="67">
        <f>C70</f>
        <v>9777860.0729608964</v>
      </c>
      <c r="D131" s="67">
        <f t="shared" ref="D131:H131" si="80">D70</f>
        <v>11088798.821667515</v>
      </c>
      <c r="E131" s="67">
        <f t="shared" si="80"/>
        <v>12712407.072380265</v>
      </c>
      <c r="F131" s="67">
        <f t="shared" si="80"/>
        <v>14655885.459306888</v>
      </c>
      <c r="G131" s="67">
        <f t="shared" si="80"/>
        <v>16985750.330582768</v>
      </c>
      <c r="H131" s="67">
        <f t="shared" si="80"/>
        <v>19783128.649406418</v>
      </c>
    </row>
    <row r="132" spans="2:9" x14ac:dyDescent="0.25">
      <c r="B132" s="119" t="s">
        <v>379</v>
      </c>
      <c r="C132" s="67">
        <f t="shared" ref="C132:H132" si="81">C15</f>
        <v>41006006</v>
      </c>
      <c r="D132" s="67">
        <f t="shared" si="81"/>
        <v>46503769.497736156</v>
      </c>
      <c r="E132" s="67">
        <f t="shared" si="81"/>
        <v>53312794.087327726</v>
      </c>
      <c r="F132" s="67">
        <f t="shared" si="81"/>
        <v>61463277.506042771</v>
      </c>
      <c r="G132" s="67">
        <f t="shared" si="81"/>
        <v>71234173.405333042</v>
      </c>
      <c r="H132" s="67">
        <f t="shared" si="81"/>
        <v>82965708.860944942</v>
      </c>
    </row>
    <row r="133" spans="2:9" x14ac:dyDescent="0.25">
      <c r="B133" s="119" t="s">
        <v>4071</v>
      </c>
      <c r="C133" s="156">
        <f>C134*C136+C135*C137</f>
        <v>0.11344757647175389</v>
      </c>
      <c r="D133" s="156">
        <f t="shared" ref="D133:H133" si="82">D134*D136+D135*D137</f>
        <v>0.11344757647175389</v>
      </c>
      <c r="E133" s="156">
        <f t="shared" si="82"/>
        <v>0.11344757647175391</v>
      </c>
      <c r="F133" s="156">
        <f t="shared" si="82"/>
        <v>0.11344757647175389</v>
      </c>
      <c r="G133" s="156">
        <f t="shared" si="82"/>
        <v>0.11344757647175391</v>
      </c>
      <c r="H133" s="156">
        <f t="shared" si="82"/>
        <v>0.11344757647175388</v>
      </c>
    </row>
    <row r="134" spans="2:9" x14ac:dyDescent="0.25">
      <c r="B134" s="115" t="s">
        <v>4102</v>
      </c>
      <c r="C134" s="81">
        <f>C5*(1-C6)</f>
        <v>0.11527240301839546</v>
      </c>
      <c r="D134" s="81">
        <f t="shared" ref="D134:H134" si="83">D5*(1-D6)</f>
        <v>0.11527240301839546</v>
      </c>
      <c r="E134" s="81">
        <f t="shared" si="83"/>
        <v>0.11527240301839546</v>
      </c>
      <c r="F134" s="81">
        <f t="shared" si="83"/>
        <v>0.11527240301839546</v>
      </c>
      <c r="G134" s="81">
        <f t="shared" si="83"/>
        <v>0.11527240301839546</v>
      </c>
      <c r="H134" s="81">
        <f t="shared" si="83"/>
        <v>0.11527240301839546</v>
      </c>
    </row>
    <row r="135" spans="2:9" x14ac:dyDescent="0.25">
      <c r="B135" s="115" t="s">
        <v>4103</v>
      </c>
      <c r="C135" s="531">
        <f>'Analisis Sectorial'!$H$203</f>
        <v>0.11201556632833577</v>
      </c>
      <c r="D135" s="531">
        <f>'Analisis Sectorial'!$H$203</f>
        <v>0.11201556632833577</v>
      </c>
      <c r="E135" s="531">
        <f>'Analisis Sectorial'!$H$203</f>
        <v>0.11201556632833577</v>
      </c>
      <c r="F135" s="531">
        <f>'Analisis Sectorial'!$H$203</f>
        <v>0.11201556632833577</v>
      </c>
      <c r="G135" s="531">
        <f>'Analisis Sectorial'!$H$203</f>
        <v>0.11201556632833577</v>
      </c>
      <c r="H135" s="531">
        <f>'Analisis Sectorial'!$H$203</f>
        <v>0.11201556632833577</v>
      </c>
      <c r="I135" t="s">
        <v>4244</v>
      </c>
    </row>
    <row r="136" spans="2:9" x14ac:dyDescent="0.25">
      <c r="B136" s="115" t="s">
        <v>4129</v>
      </c>
      <c r="C136" s="81">
        <f t="shared" ref="C136:H136" si="84">(C27+C28+C29)/(C27+C28+C29+C34)</f>
        <v>0.43969356762308964</v>
      </c>
      <c r="D136" s="81">
        <f t="shared" si="84"/>
        <v>0.43969356762308964</v>
      </c>
      <c r="E136" s="81">
        <f t="shared" si="84"/>
        <v>0.4396935676230897</v>
      </c>
      <c r="F136" s="81">
        <f t="shared" si="84"/>
        <v>0.43969356762308964</v>
      </c>
      <c r="G136" s="81">
        <f t="shared" si="84"/>
        <v>0.4396935676230897</v>
      </c>
      <c r="H136" s="81">
        <f t="shared" si="84"/>
        <v>0.43969356762308959</v>
      </c>
    </row>
    <row r="137" spans="2:9" x14ac:dyDescent="0.25">
      <c r="B137" s="115" t="s">
        <v>4130</v>
      </c>
      <c r="C137" s="81">
        <f t="shared" ref="C137:H137" si="85">(C34)/(C27+C28+C29+C34)</f>
        <v>0.56030643237691036</v>
      </c>
      <c r="D137" s="81">
        <f t="shared" si="85"/>
        <v>0.56030643237691036</v>
      </c>
      <c r="E137" s="81">
        <f t="shared" si="85"/>
        <v>0.56030643237691036</v>
      </c>
      <c r="F137" s="81">
        <f t="shared" si="85"/>
        <v>0.56030643237691036</v>
      </c>
      <c r="G137" s="81">
        <f t="shared" si="85"/>
        <v>0.56030643237691036</v>
      </c>
      <c r="H137" s="81">
        <f t="shared" si="85"/>
        <v>0.56030643237691036</v>
      </c>
    </row>
    <row r="139" spans="2:9" x14ac:dyDescent="0.25">
      <c r="B139" s="482" t="s">
        <v>453</v>
      </c>
      <c r="C139" s="482"/>
      <c r="D139" s="482"/>
      <c r="E139" s="482"/>
      <c r="F139" s="482"/>
      <c r="G139" s="482"/>
      <c r="H139" s="482"/>
    </row>
    <row r="141" spans="2:9" x14ac:dyDescent="0.25">
      <c r="B141" t="s">
        <v>456</v>
      </c>
      <c r="C141" s="64">
        <f>C26/C34</f>
        <v>0.78473767605672218</v>
      </c>
      <c r="D141" s="64">
        <f t="shared" ref="D141:H141" si="86">D26/D34</f>
        <v>0.78473767605672218</v>
      </c>
      <c r="E141" s="64">
        <f t="shared" si="86"/>
        <v>0.78473767605672229</v>
      </c>
      <c r="F141" s="64">
        <f t="shared" si="86"/>
        <v>0.78473767605672229</v>
      </c>
      <c r="G141" s="64">
        <f t="shared" si="86"/>
        <v>0.78473767605672229</v>
      </c>
      <c r="H141" s="64">
        <f t="shared" si="86"/>
        <v>0.78473767605672218</v>
      </c>
    </row>
    <row r="142" spans="2:9" x14ac:dyDescent="0.25">
      <c r="B142" t="s">
        <v>455</v>
      </c>
      <c r="C142" s="81">
        <f>C26/C15</f>
        <v>0.52617516565744049</v>
      </c>
      <c r="D142" s="81">
        <f t="shared" ref="D142:H142" si="87">D26/D15</f>
        <v>0.5261751656574406</v>
      </c>
      <c r="E142" s="81">
        <f t="shared" si="87"/>
        <v>0.52351720484155628</v>
      </c>
      <c r="F142" s="81">
        <f t="shared" si="87"/>
        <v>0.52077476467919315</v>
      </c>
      <c r="G142" s="81">
        <f t="shared" si="87"/>
        <v>0.51795647765674324</v>
      </c>
      <c r="H142" s="81">
        <f t="shared" si="87"/>
        <v>0.51507066889587128</v>
      </c>
    </row>
    <row r="143" spans="2:9" x14ac:dyDescent="0.25">
      <c r="B143" t="s">
        <v>405</v>
      </c>
      <c r="C143" s="64">
        <f t="shared" ref="C143:H143" si="88">C15/C34</f>
        <v>1.4914000646081718</v>
      </c>
      <c r="D143" s="64">
        <f t="shared" si="88"/>
        <v>1.4914000646081715</v>
      </c>
      <c r="E143" s="64">
        <f t="shared" si="88"/>
        <v>1.4989720849656221</v>
      </c>
      <c r="F143" s="64">
        <f t="shared" si="88"/>
        <v>1.5068657878231391</v>
      </c>
      <c r="G143" s="64">
        <f t="shared" si="88"/>
        <v>1.5150648942685461</v>
      </c>
      <c r="H143" s="64">
        <f t="shared" si="88"/>
        <v>1.523553414017772</v>
      </c>
    </row>
    <row r="145" spans="2:8" x14ac:dyDescent="0.25">
      <c r="B145" s="482" t="s">
        <v>4190</v>
      </c>
      <c r="C145" s="482"/>
      <c r="D145" s="482"/>
      <c r="E145" s="482"/>
      <c r="F145" s="482"/>
      <c r="G145" s="482"/>
      <c r="H145" s="482"/>
    </row>
    <row r="146" spans="2:8" outlineLevel="1" x14ac:dyDescent="0.25"/>
    <row r="147" spans="2:8" outlineLevel="1" x14ac:dyDescent="0.25">
      <c r="B147" t="s">
        <v>4063</v>
      </c>
      <c r="C147" s="64">
        <f>C55/C59</f>
        <v>3.9313404404477112</v>
      </c>
      <c r="D147" s="64">
        <f t="shared" ref="D147:H147" si="89">D55/D59</f>
        <v>4.4584237162650968</v>
      </c>
      <c r="E147" s="64">
        <f t="shared" si="89"/>
        <v>4.5069624603006906</v>
      </c>
      <c r="F147" s="64">
        <f t="shared" si="89"/>
        <v>4.5553768702708313</v>
      </c>
      <c r="G147" s="64">
        <f t="shared" si="89"/>
        <v>4.6035593124048475</v>
      </c>
      <c r="H147" s="64">
        <f t="shared" si="89"/>
        <v>4.6514458612069971</v>
      </c>
    </row>
    <row r="148" spans="2:8" outlineLevel="1" x14ac:dyDescent="0.25">
      <c r="B148" t="s">
        <v>4066</v>
      </c>
      <c r="C148" s="81">
        <f t="shared" ref="C148:H148" si="90">C27/(C27+C28+C29)</f>
        <v>0.62120126757353034</v>
      </c>
      <c r="D148" s="81">
        <f t="shared" si="90"/>
        <v>0.54776167997667013</v>
      </c>
      <c r="E148" s="81">
        <f t="shared" si="90"/>
        <v>0.48022829773400599</v>
      </c>
      <c r="F148" s="81">
        <f t="shared" si="90"/>
        <v>0.4187400534434938</v>
      </c>
      <c r="G148" s="81">
        <f t="shared" si="90"/>
        <v>0.36326912902826802</v>
      </c>
      <c r="H148" s="81">
        <f t="shared" si="90"/>
        <v>0.31364957478870537</v>
      </c>
    </row>
    <row r="149" spans="2:8" outlineLevel="1" x14ac:dyDescent="0.25"/>
    <row r="150" spans="2:8" outlineLevel="1" x14ac:dyDescent="0.25"/>
    <row r="151" spans="2:8" x14ac:dyDescent="0.25">
      <c r="B151" s="482" t="s">
        <v>4231</v>
      </c>
      <c r="C151" s="482"/>
      <c r="D151" s="482"/>
      <c r="E151" s="482"/>
      <c r="F151" s="482"/>
      <c r="G151" s="482"/>
      <c r="H151" s="482"/>
    </row>
    <row r="153" spans="2:8" x14ac:dyDescent="0.25">
      <c r="B153" t="s">
        <v>4223</v>
      </c>
      <c r="C153" s="81">
        <f t="shared" ref="C153:H153" si="91">1-C7</f>
        <v>0.54151908554162242</v>
      </c>
      <c r="D153" s="81">
        <f t="shared" si="91"/>
        <v>0.54151908554162242</v>
      </c>
      <c r="E153" s="81">
        <f t="shared" si="91"/>
        <v>0.54151908554162242</v>
      </c>
      <c r="F153" s="81">
        <f t="shared" si="91"/>
        <v>0.54151908554162242</v>
      </c>
      <c r="G153" s="81">
        <f t="shared" si="91"/>
        <v>0.54151908554162242</v>
      </c>
      <c r="H153" s="81">
        <f t="shared" si="91"/>
        <v>0.54151908554162242</v>
      </c>
    </row>
    <row r="155" spans="2:8" x14ac:dyDescent="0.25">
      <c r="B155" s="26" t="s">
        <v>4224</v>
      </c>
      <c r="C155" s="154">
        <f>(C156*C153)/(1-C157*C153)</f>
        <v>8.33469515172479E-2</v>
      </c>
      <c r="D155" s="154">
        <f t="shared" ref="D155:H155" si="92">(D156*D153)/(1-D157*D153)</f>
        <v>9.1022316172991946E-2</v>
      </c>
      <c r="E155" s="154">
        <f t="shared" si="92"/>
        <v>9.4444669835761164E-2</v>
      </c>
      <c r="F155" s="154">
        <f t="shared" si="92"/>
        <v>9.7569463331564729E-2</v>
      </c>
      <c r="G155" s="154">
        <f t="shared" si="92"/>
        <v>0.10040002198355284</v>
      </c>
      <c r="H155" s="154">
        <f t="shared" si="92"/>
        <v>0.10294631961404827</v>
      </c>
    </row>
    <row r="156" spans="2:8" x14ac:dyDescent="0.25">
      <c r="B156" s="65" t="s">
        <v>4225</v>
      </c>
      <c r="C156" s="81">
        <f t="shared" ref="C156:H156" si="93">C62/C15</f>
        <v>0.13403919416097243</v>
      </c>
      <c r="D156" s="81">
        <f t="shared" si="93"/>
        <v>0.14638277331556984</v>
      </c>
      <c r="E156" s="81">
        <f t="shared" si="93"/>
        <v>0.1518866282105687</v>
      </c>
      <c r="F156" s="81">
        <f t="shared" si="93"/>
        <v>0.15691194460753713</v>
      </c>
      <c r="G156" s="81">
        <f t="shared" si="93"/>
        <v>0.16146407031617016</v>
      </c>
      <c r="H156" s="81">
        <f t="shared" si="93"/>
        <v>0.16555904531252585</v>
      </c>
    </row>
    <row r="157" spans="2:8" x14ac:dyDescent="0.25">
      <c r="B157" s="65" t="s">
        <v>393</v>
      </c>
      <c r="C157" s="156">
        <f>C119</f>
        <v>0.2384494620851613</v>
      </c>
      <c r="D157" s="156">
        <f t="shared" ref="D157:H157" si="94">D119</f>
        <v>0.23844946208516124</v>
      </c>
      <c r="E157" s="156">
        <f t="shared" si="94"/>
        <v>0.23844946208516132</v>
      </c>
      <c r="F157" s="156">
        <f t="shared" si="94"/>
        <v>0.23844946208516121</v>
      </c>
      <c r="G157" s="156">
        <f t="shared" si="94"/>
        <v>0.23844946208516132</v>
      </c>
      <c r="H157" s="156">
        <f t="shared" si="94"/>
        <v>0.23844946208516127</v>
      </c>
    </row>
    <row r="159" spans="2:8" x14ac:dyDescent="0.25">
      <c r="B159" s="26" t="s">
        <v>4226</v>
      </c>
      <c r="C159" s="154">
        <f>(C160*C153)/(1-C161*C153)</f>
        <v>0.13407215269236802</v>
      </c>
      <c r="D159" s="154">
        <f t="shared" ref="D159:H159" si="95">(D160*D153)/(1-D161*D153)</f>
        <v>0.14641876697593381</v>
      </c>
      <c r="E159" s="154">
        <f t="shared" si="95"/>
        <v>0.15288044001903819</v>
      </c>
      <c r="F159" s="154">
        <f t="shared" si="95"/>
        <v>0.15897128001886401</v>
      </c>
      <c r="G159" s="154">
        <f t="shared" si="95"/>
        <v>0.16468971133921523</v>
      </c>
      <c r="H159" s="154">
        <f t="shared" si="95"/>
        <v>0.17004432180205886</v>
      </c>
    </row>
    <row r="160" spans="2:8" x14ac:dyDescent="0.25">
      <c r="B160" s="65" t="s">
        <v>400</v>
      </c>
      <c r="C160" s="156">
        <f>C123</f>
        <v>0.19990606283170154</v>
      </c>
      <c r="D160" s="156">
        <f t="shared" ref="D160:H160" si="96">D123</f>
        <v>0.21831527758036418</v>
      </c>
      <c r="E160" s="156">
        <f t="shared" si="96"/>
        <v>0.22767381576719445</v>
      </c>
      <c r="F160" s="156">
        <f t="shared" si="96"/>
        <v>0.2364452410298972</v>
      </c>
      <c r="G160" s="156">
        <f t="shared" si="96"/>
        <v>0.24462854462173744</v>
      </c>
      <c r="H160" s="156">
        <f t="shared" si="96"/>
        <v>0.25223804870742178</v>
      </c>
    </row>
    <row r="161" spans="2:8" x14ac:dyDescent="0.25">
      <c r="B161" s="65" t="s">
        <v>4227</v>
      </c>
      <c r="C161" s="81">
        <f t="shared" ref="C161:H161" si="97">C70/C34</f>
        <v>0.35562354315959332</v>
      </c>
      <c r="D161" s="81">
        <f t="shared" si="97"/>
        <v>0.35562354315959321</v>
      </c>
      <c r="E161" s="81">
        <f t="shared" si="97"/>
        <v>0.35742908734072532</v>
      </c>
      <c r="F161" s="81">
        <f t="shared" si="97"/>
        <v>0.3593113365409602</v>
      </c>
      <c r="G161" s="81">
        <f t="shared" si="97"/>
        <v>0.36126640906244661</v>
      </c>
      <c r="H161" s="81">
        <f t="shared" si="97"/>
        <v>0.3632904920305487</v>
      </c>
    </row>
    <row r="162" spans="2:8" x14ac:dyDescent="0.25">
      <c r="B162" s="65"/>
      <c r="C162" s="156"/>
      <c r="D162" s="156"/>
      <c r="E162" s="156"/>
      <c r="F162" s="156"/>
      <c r="G162" s="156"/>
      <c r="H162" s="156"/>
    </row>
    <row r="163" spans="2:8" x14ac:dyDescent="0.25">
      <c r="B163" s="65"/>
      <c r="D163" s="149"/>
      <c r="E163" s="149"/>
      <c r="F163" s="149"/>
      <c r="G163" s="149"/>
      <c r="H163" s="149"/>
    </row>
    <row r="164" spans="2:8" x14ac:dyDescent="0.25">
      <c r="B164" s="65"/>
      <c r="C164" s="156"/>
      <c r="D164" s="156"/>
      <c r="E164" s="156"/>
      <c r="F164" s="156"/>
      <c r="G164" s="156"/>
      <c r="H164" s="156"/>
    </row>
    <row r="165" spans="2:8" x14ac:dyDescent="0.25">
      <c r="B165" s="65"/>
      <c r="C165" s="142"/>
      <c r="D165" s="142"/>
      <c r="E165" s="142"/>
      <c r="F165" s="142"/>
      <c r="G165" s="142"/>
      <c r="H165" s="142"/>
    </row>
    <row r="166" spans="2:8" x14ac:dyDescent="0.25">
      <c r="B166" s="65"/>
      <c r="C166" s="142"/>
      <c r="D166" s="142"/>
      <c r="E166" s="142"/>
      <c r="F166" s="142"/>
      <c r="G166" s="142"/>
      <c r="H166" s="142"/>
    </row>
    <row r="167" spans="2:8" x14ac:dyDescent="0.25">
      <c r="D167" s="64"/>
      <c r="E167" s="64"/>
      <c r="F167" s="64"/>
      <c r="G167" s="64"/>
      <c r="H167" s="64"/>
    </row>
    <row r="172" spans="2:8" x14ac:dyDescent="0.25">
      <c r="D172" s="149"/>
      <c r="E172" s="149"/>
      <c r="F172" s="149"/>
      <c r="G172" s="149"/>
      <c r="H172" s="14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2</vt:i4>
      </vt:variant>
    </vt:vector>
  </HeadingPairs>
  <TitlesOfParts>
    <vt:vector size="33" baseType="lpstr">
      <vt:lpstr>Graficos Final</vt:lpstr>
      <vt:lpstr>Realista</vt:lpstr>
      <vt:lpstr>Supuestos</vt:lpstr>
      <vt:lpstr>Optimista</vt:lpstr>
      <vt:lpstr>Pesimista</vt:lpstr>
      <vt:lpstr>Proyección Base</vt:lpstr>
      <vt:lpstr>Analisis Sectorial</vt:lpstr>
      <vt:lpstr>TIC</vt:lpstr>
      <vt:lpstr>TCS</vt:lpstr>
      <vt:lpstr>Flujo de Caja</vt:lpstr>
      <vt:lpstr>Ejercicio Deuda</vt:lpstr>
      <vt:lpstr>Evaluación Inversión PPE</vt:lpstr>
      <vt:lpstr>Evaluación Disminución Costo</vt:lpstr>
      <vt:lpstr>Costos Sempertex</vt:lpstr>
      <vt:lpstr>Gráficos II</vt:lpstr>
      <vt:lpstr>Gráficos III</vt:lpstr>
      <vt:lpstr>Ratios Latex de C.</vt:lpstr>
      <vt:lpstr>Ratios Bombatex</vt:lpstr>
      <vt:lpstr>EF Sempertex 2011-2014 I</vt:lpstr>
      <vt:lpstr>EF Sempertex 2015 I</vt:lpstr>
      <vt:lpstr>EF Latex de C 2011-2015</vt:lpstr>
      <vt:lpstr>EF Bombatex 2011-2015</vt:lpstr>
      <vt:lpstr>EF Rumatex 2011-2015</vt:lpstr>
      <vt:lpstr>Ratios Rumatex</vt:lpstr>
      <vt:lpstr>CERTIFICADO1</vt:lpstr>
      <vt:lpstr>Resumen Exportación</vt:lpstr>
      <vt:lpstr>Detalle Exportación</vt:lpstr>
      <vt:lpstr>Detalle Importaciones</vt:lpstr>
      <vt:lpstr>Tasa de Cambio</vt:lpstr>
      <vt:lpstr>PIB</vt:lpstr>
      <vt:lpstr>1.3.1. Total nacional</vt:lpstr>
      <vt:lpstr>PIB!A_impresión_IM</vt:lpstr>
      <vt:lpstr>PIB!Área_de_impresión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Cesar Poveda Valero</dc:creator>
  <cp:lastModifiedBy>Julio Cesar Poveda Valero</cp:lastModifiedBy>
  <dcterms:created xsi:type="dcterms:W3CDTF">2016-08-21T13:59:23Z</dcterms:created>
  <dcterms:modified xsi:type="dcterms:W3CDTF">2016-09-17T06:34:17Z</dcterms:modified>
</cp:coreProperties>
</file>